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<sst xmlns="http://schemas.openxmlformats.org/spreadsheetml/2006/main" count="206233" uniqueCount="43813">
  <si>
    <t>Reference Number</t>
  </si>
  <si>
    <t>Procuring Entity</t>
  </si>
  <si>
    <t>Title</t>
  </si>
  <si>
    <t>Area of Delivery</t>
  </si>
  <si>
    <t>Solicitation Number</t>
  </si>
  <si>
    <t>Trade Agreement</t>
  </si>
  <si>
    <t>Procurement Mode</t>
  </si>
  <si>
    <t>Classification</t>
  </si>
  <si>
    <t>Category</t>
  </si>
  <si>
    <t>Approved Budget for the Contract</t>
  </si>
  <si>
    <t>Contract Duration</t>
  </si>
  <si>
    <t>Client Agency</t>
  </si>
  <si>
    <t>Contact Person</t>
  </si>
  <si>
    <t>Status</t>
  </si>
  <si>
    <t>Associated Components</t>
  </si>
  <si>
    <t>Bid Supplements</t>
  </si>
  <si>
    <t>Document Request List</t>
  </si>
  <si>
    <t>Date Published</t>
  </si>
  <si>
    <t>Last Updated / Time</t>
  </si>
  <si>
    <t>Closing Date / Time</t>
  </si>
  <si>
    <t>Description</t>
  </si>
  <si>
    <t>Other Information</t>
  </si>
  <si>
    <t>Created by</t>
  </si>
  <si>
    <t>Date Created</t>
  </si>
  <si>
    <t>PHILIPPINE RECLAMATION AUTHORITY</t>
  </si>
  <si>
    <t>PHILIPPINE HEALTH INSURANCE CORPORATION - ARMM</t>
  </si>
  <si>
    <t>BARANGAY TALAHIB PAYAPA, BATANGAS CITY, BATANGAS</t>
  </si>
  <si>
    <t>IPIL NATIONAL HIGH SCHOOL</t>
  </si>
  <si>
    <t>LUNG CENTER OF THE PHILIPPINES</t>
  </si>
  <si>
    <t>CITY OF TAGUM, DAVAO DEL NORTE</t>
  </si>
  <si>
    <t>ASSOCIATION OF BARANGAY CAPTAINS - MINALABAC, CAMARINES SUR</t>
  </si>
  <si>
    <t>DIOSDADO MACAPAGAL HIGH SCHOOL - ANGAT BULACAN</t>
  </si>
  <si>
    <t>CITY OF CAGAYAN DE ORO, MISAMIS ORIENTAL</t>
  </si>
  <si>
    <t>AGRICULTURAL TRAINING INSTITUTE-REGIONAL TRAINING CENTER X</t>
  </si>
  <si>
    <t>NATIONAL IRRIGATION ADMINISTRATION - REGION I</t>
  </si>
  <si>
    <t>MUNICIPALITY OF  DATU ABDULLAH SANGKI- MAGUINDANAO</t>
  </si>
  <si>
    <t>302ND CONTRACTING OFFICE, AFP PROCUREMENT SERVICE</t>
  </si>
  <si>
    <t>MUNICIPALITY OF ENRILE, CAGAYAN</t>
  </si>
  <si>
    <t>MUNICIPALITY OF BASISTA, PANGASINAN</t>
  </si>
  <si>
    <t>DEPARTMENT OF HEALTH - CARAGA</t>
  </si>
  <si>
    <t>DEPARTMENT OF PUBLIC WORKS AND HIGHWAYS - ALBAY 3RD DEO</t>
  </si>
  <si>
    <t>MUNICIPALITY OF MAGPET - NORTH COTABATO</t>
  </si>
  <si>
    <t>MUNICIPALITY OF MANGATAREM, PANGASINAN</t>
  </si>
  <si>
    <t>MUNICIPALITY OF PINUKPUK, KALINGA</t>
  </si>
  <si>
    <t>MINES AND GEO-SCIENCES BUREAU - REGION X</t>
  </si>
  <si>
    <t>MUNICIPALITY OF MALITA, DAVAO OCCIDENTAL</t>
  </si>
  <si>
    <t>PROVINCE OF ILOILO</t>
  </si>
  <si>
    <t>DEPARTMENT OF THE INTERIOR AND LOCAL GOVERNMENT - RIV - B</t>
  </si>
  <si>
    <t>CITY OF KABANKALAN, NEGROS OCCIDENTAL</t>
  </si>
  <si>
    <t>MUNICIPALITY OF ESTANCIA, ILOILO</t>
  </si>
  <si>
    <t>PROVINCE OF SOUTHERN LEYTE</t>
  </si>
  <si>
    <t>MUNICIPALITY OF TRENTO, AGUSAN DEL SUR</t>
  </si>
  <si>
    <t>DEPARTMENT OF EDUCATION - SCHOOLS DIVISION OFFICE OF DAGUPAN</t>
  </si>
  <si>
    <t>MILUYA ELEMENTARY SCHOOL</t>
  </si>
  <si>
    <t>LAGUNA STATE POLYTECHNIC UNIVERSITY - STA. CRUZ CAMPUS</t>
  </si>
  <si>
    <t>BARANGAY SAN ESTEBAN IGUIG CAGAYAN</t>
  </si>
  <si>
    <t>MUNICIPALITY OF LAUA-AN, ANTIQUE</t>
  </si>
  <si>
    <t>MUNICIPALITY OF LAS NIEVES , AGUSAN DEL NORTE</t>
  </si>
  <si>
    <t>MUNICIPALITY OF CALANASAN, APAYAO</t>
  </si>
  <si>
    <t>DEPARTMENT OF PUBLIC WORKS AND HIGHWAYS - REGION X</t>
  </si>
  <si>
    <t>DAPITAN CITY WATER DISTRICT</t>
  </si>
  <si>
    <t>BUREAU OF FISHERIES AND AQUATIC RESOURCES - REGION IV-A</t>
  </si>
  <si>
    <t>BARANGAY SILANGAN II ROSARIO CAVITE</t>
  </si>
  <si>
    <t>DEPARTMENT OF PUBLIC WORKS AND HIGHWAYS - REGION XIII (CARAG</t>
  </si>
  <si>
    <t>NATIONAL POWER CORPORATION - MINDANAO GENERATION</t>
  </si>
  <si>
    <t>SAN JOSE NATIONAL HIGH SCHOOL - ANTIPOLO CITY</t>
  </si>
  <si>
    <t>MUNICIPALITY OF DIMATALING, ZAMBOANGA DEL SUR</t>
  </si>
  <si>
    <t>MUNICIPALITY OF CUENCA, BATANGAS</t>
  </si>
  <si>
    <t>PROVINCE OF AGUSAN DEL NORTE</t>
  </si>
  <si>
    <t>PHILIPPINE DRUG ENFORCEMENT AGENCY</t>
  </si>
  <si>
    <t>EMILIANO LIZARES NATIONAL HIGH SCHOOL</t>
  </si>
  <si>
    <t>CITY OF SAN CARLOS, NEGROS OCCIDENTAL</t>
  </si>
  <si>
    <t>MUNICIPALITY OF SAN JUAN, ILOCOS SUR</t>
  </si>
  <si>
    <t>BALINGASAG WATER DISTRICT</t>
  </si>
  <si>
    <t>DEPARTMENT OF EDUCATION - SCHOOLS DIVISION OF SORSOGON PROVI</t>
  </si>
  <si>
    <t>ROXAS CITY GOVERNMENT</t>
  </si>
  <si>
    <t>PALOMPON INSTITUTE OF TECHNOLOGY - TABANGO CAMPUS</t>
  </si>
  <si>
    <t>PROVINCE OF ALBAY</t>
  </si>
  <si>
    <t>BARANGAY 46 NALBO, LAOAG CITY, ILOCOS NORTE</t>
  </si>
  <si>
    <t>MARIVELES WATER DISTRICT</t>
  </si>
  <si>
    <t>SILAY CITY WATER DISTRICT</t>
  </si>
  <si>
    <t>PHILIPPINE CARABAO CENTER AT CENTRAL MINDANAO UNIVERSITY</t>
  </si>
  <si>
    <t>PROVINCE OF PALAWAN</t>
  </si>
  <si>
    <t>GHQ PROCUREMENT CENTER, AFP PROCUREMENT SERVICE</t>
  </si>
  <si>
    <t>BUREAU OF SOILS AND WATER MANAGEMENT</t>
  </si>
  <si>
    <t xml:space="preserve">DON GENEROSO M. VILLANUEVA ELEMENTARY SCHOOL, LA CASTELLANA </t>
  </si>
  <si>
    <t>METRO ROXAS WATER DISTRICT</t>
  </si>
  <si>
    <t>DEPARTMENT OF AGRICULTURE - REGION I</t>
  </si>
  <si>
    <t>MUNICIPALITY OF AMLAN, NEGROS ORIENTAL</t>
  </si>
  <si>
    <t>DEPARTMENT OF PUBLIC WORKS AND HIGHWAYS - LEYTE 2ND DEO</t>
  </si>
  <si>
    <t>CITY OF TARLAC, TARLAC</t>
  </si>
  <si>
    <t>PROVINCE OF BATANES</t>
  </si>
  <si>
    <t xml:space="preserve">BARANAGAY CANDANA-AY </t>
  </si>
  <si>
    <t>MUNICIPALITY OF MOBO, MASBATE</t>
  </si>
  <si>
    <t>BARANGAY MABASA,PATNONGON, ANTIQUE</t>
  </si>
  <si>
    <t>PROVINCE OF AKLAN</t>
  </si>
  <si>
    <t>RAGAY NATIONAL AGRICULTURAL AND FISHERIES SCHOOL</t>
  </si>
  <si>
    <t>BONGABON NATIONAL HIGHSCHOOL</t>
  </si>
  <si>
    <t>MUNICIPALITY OF ALAMINOS, LAGUNA</t>
  </si>
  <si>
    <t>BARANGAY TAM-IS - MAASIN CITY SOUTHERN LEYTE</t>
  </si>
  <si>
    <t>PHILIPPINE NATIONAL RAILWAYS</t>
  </si>
  <si>
    <t>BAGAC WATER DISTRICT</t>
  </si>
  <si>
    <t>BARANGAY UDOC, LIBMANAN, CAMARINES SUR</t>
  </si>
  <si>
    <t>MUNICIPALITY OF CAIBIRAN, BILIRAN</t>
  </si>
  <si>
    <t>RIZAL HIGH SCHOOL</t>
  </si>
  <si>
    <t>BENIGNO S. AQUINO NATIONAL HIGH SCHOOL</t>
  </si>
  <si>
    <t>MUNICIPALITY OF SUAL -  PANGASINAN</t>
  </si>
  <si>
    <t>IDIO BARANGAY COUNCIL</t>
  </si>
  <si>
    <t>DEPARTMENT OF AGRARIAN REFORM - NEGROS OCCIDENTAL 2 (SOUTH)</t>
  </si>
  <si>
    <t>DEPARTMENT OF LABOR AND EMPLOYMENT - REGION XI</t>
  </si>
  <si>
    <t>MUNICIPALITY OF MALINAO, AKLAN</t>
  </si>
  <si>
    <t>NAPINDAN INTEGRATED SCHOOL</t>
  </si>
  <si>
    <t>CANDELARIA WATER DISTRICT</t>
  </si>
  <si>
    <t>MUNICIPALITY OF VILLAREAL, SAMAR</t>
  </si>
  <si>
    <t>PROVINCE OF CAGAYAN</t>
  </si>
  <si>
    <t>GUIMBA WATER DISTRICT</t>
  </si>
  <si>
    <t xml:space="preserve">DEPARTMENT OF PUBLIC WORKS AND HIGHWAYS - CAMARINES SUR 1ST </t>
  </si>
  <si>
    <t>DEVELOPMENT BANK OF THE PHILIPPINES - HEAD OFFICE</t>
  </si>
  <si>
    <t>AGRICULTURAL TRAINING INSTITUTE -REGIONAL TRAINING CENTER IX</t>
  </si>
  <si>
    <t>DEPARTMENT OF PUBLIC WORKS AND HIGHWAYS - SORSOGON 1ST DEO</t>
  </si>
  <si>
    <t>MUNICIPALITY OF PIÑAN, ZAMBOANGA DEL NORTE</t>
  </si>
  <si>
    <t>PROVINCE OF NUEVA VIZCAYA - BAYOMBONG NUEVA VIZCAYA</t>
  </si>
  <si>
    <t>DEPARTMENT OF AGRARIAN REFORM - CAMARINES SUR A</t>
  </si>
  <si>
    <t>MUNICIPALITY OF MAHAYAG, ZAMBOANGA DEL SUR</t>
  </si>
  <si>
    <t>CITY OF DAVAO, DAVAO DEL SUR</t>
  </si>
  <si>
    <t>MUNICIPALITY OF LAAK, COMPOSTELA VALLEY</t>
  </si>
  <si>
    <t>PHILIPPINE STATISTICS AUTHORITY - REGION XIII</t>
  </si>
  <si>
    <t>DEPARTMENT OF PUBLIC WORKS AND HIGHWAYS - ISABELA 4TH DEO</t>
  </si>
  <si>
    <t>CITY OF DUMAGUETE, NEGROS ORIENTAL</t>
  </si>
  <si>
    <t>BARANGAY BANGON, AROROY, MASBATE</t>
  </si>
  <si>
    <t>CITY OF MALABON</t>
  </si>
  <si>
    <t>MUNICIPALITY OF LUCBAN, QUEZON</t>
  </si>
  <si>
    <t>MUNICIPALITY OF TUPI, SOUTH COTABATO</t>
  </si>
  <si>
    <t>MUNICIPALITY OF MABITAC, LAGUNA</t>
  </si>
  <si>
    <t>DON JUAN DELA CRUZ CENTRAL ELEMENTARY SCHOOL</t>
  </si>
  <si>
    <t>MANILA INTERNATIONAL AIRPORT AUTHORITY</t>
  </si>
  <si>
    <t>MUNICIPALITY OF LOON, BOHOL</t>
  </si>
  <si>
    <t>MUNICIPALITY OF BOMBON , CAMARINES SUR</t>
  </si>
  <si>
    <t>BARANGAY TUBURAN, BONTOC, SOUTHERN LEYTE</t>
  </si>
  <si>
    <t>MUNICIPALITY OF TABINA, ZAMBOANGA DEL SUR</t>
  </si>
  <si>
    <t>CITY OF MANILA</t>
  </si>
  <si>
    <t>DEPARTMENT OF TOURISM - REGION V</t>
  </si>
  <si>
    <t>MUNICIPALITY OF PIDDIG, PIDDIG, ILOCOS NORTE</t>
  </si>
  <si>
    <t>NATIONAL ECONOMIC AND DEVELOPMENT AUTHORITY - REGION I</t>
  </si>
  <si>
    <t>BARANGAY PINEDA, PASIG CITY</t>
  </si>
  <si>
    <t>MUNICIPALITY OF LA TRINIDAD, BENGUET</t>
  </si>
  <si>
    <t>PROVINCE OF ORIENTAL MINDORO</t>
  </si>
  <si>
    <t>MUNICIPALITY OF SAN JUAN, SIQUIJOR</t>
  </si>
  <si>
    <t>BARANGAY SAN JOSE BACON -  BACON DISTRICT, SORSOGON CITY</t>
  </si>
  <si>
    <t>DEPARTMENT OF LABOR AND EMPLOYMENT - REGION V</t>
  </si>
  <si>
    <t>MUNICIPALITY OF BALANGIGA, EASTERN SAMAR</t>
  </si>
  <si>
    <t>MUNICIPALITY OF TALIBON, BOHOL</t>
  </si>
  <si>
    <t>105TH CONTRACTING OFFICE, AFP PROCUREMENT SERVICE</t>
  </si>
  <si>
    <t>UNIVERSITY OF SOUTHEASTERN PHIL.  - TAGUM MABINI CAMPUS</t>
  </si>
  <si>
    <t>CITY OF PALAYAN, NUEVA ECIJA</t>
  </si>
  <si>
    <t>BUREAU OF ANIMAL INDUSTRY, DA</t>
  </si>
  <si>
    <t>MUNICIPALITY OF LOBO, BATANGAS</t>
  </si>
  <si>
    <t>MUNICIPALITY OF AMULUNG, CAGAYAN</t>
  </si>
  <si>
    <t>MUNICIPALITY OF SAN LUIS BATANGAS</t>
  </si>
  <si>
    <t>MUNICIPALITY OF STA. MARIA, PANGASINAN</t>
  </si>
  <si>
    <t>LAND TRANSPORTATION FRANCHISING AND REGULATORY BOARD - REGIO</t>
  </si>
  <si>
    <t>AGRICULTURAL TRAINING INSTITUTE</t>
  </si>
  <si>
    <t>PHILIPPINE NATIONAL POLICE - CARAGA</t>
  </si>
  <si>
    <t>CITY OF NAGA, CAMARINES SUR</t>
  </si>
  <si>
    <t>CATALUNAN PEQUEÑO ELEMENTARY SCHOOL</t>
  </si>
  <si>
    <t>PROVINCE OF BILIRAN</t>
  </si>
  <si>
    <t>DEPARTMENT OF AGRICULTURE - REGION VIII</t>
  </si>
  <si>
    <t>MUNICIPALITY OF MATALAM, COTABATO</t>
  </si>
  <si>
    <t>PROVINCE OF ZAMBOANGA DEL NORTE</t>
  </si>
  <si>
    <t>EASTERN SAMAR STATE UNIVERSITY - BORONGAN CITY</t>
  </si>
  <si>
    <t>MUNICIPALITY OF SAN JULIAN, EASTERN SAMAR</t>
  </si>
  <si>
    <t>CITY  OF CANLAON, NEGROS ORIENTAL</t>
  </si>
  <si>
    <t>110TH CONTRACTING OFFICE, AFP PROCUREMENT SERVICE</t>
  </si>
  <si>
    <t>DAVAO CITY NATIONAL HIGH SCHOOL</t>
  </si>
  <si>
    <t>MUNICIPALITY OF GUTALAC, ZAMBOANGA DEL NORTE</t>
  </si>
  <si>
    <t>BUREAU OF INTERNAL REVENUE - REVENUE REGION NO. 11</t>
  </si>
  <si>
    <t>BARANGAY LAMBONAO, MALITBOG, SOUTHERN LEYTE</t>
  </si>
  <si>
    <t>SUPREME COURT OF THE PHILIPPINES</t>
  </si>
  <si>
    <t>ADELA SERRA TY MEMORIAL MEDICAL CENTER</t>
  </si>
  <si>
    <t>LIGA NG MGA BARANGAY, SAN LUIS, BATANGAS</t>
  </si>
  <si>
    <t>PROVINCE OF TARLAC</t>
  </si>
  <si>
    <t>MUNICIPALITY OF GUINAYANGAN, QUEZON</t>
  </si>
  <si>
    <t>MUNICIPALITY OF MALAPATAN, SARANGANI</t>
  </si>
  <si>
    <t>BUREAU OF FISHERIES AND AQUATIC RESOURCES</t>
  </si>
  <si>
    <t>MINDANAO STATE UNIVERSITY - NAAWAN</t>
  </si>
  <si>
    <t>MUNICIPALITY OF LEGANES, ILOILO</t>
  </si>
  <si>
    <t>MUNICIPALITY OF BAYOMBONG - NUEVA VISCAYA</t>
  </si>
  <si>
    <t>MUNICIPALITY OF DON CARLOS, BUKIDNON</t>
  </si>
  <si>
    <t>CAVITE STATE UNIVERSITY</t>
  </si>
  <si>
    <t>PROVINCE OF EASTERN SAMAR</t>
  </si>
  <si>
    <t>BARANGAY DALLAG, ARAKAN, COTABATO</t>
  </si>
  <si>
    <t>MUNICIPALITY OF SUGPON, ILOCOS SUR</t>
  </si>
  <si>
    <t>PROVINCE OF AURORA</t>
  </si>
  <si>
    <t>DEPARTMENT OF PUBLIC WORKS AND HIGHWAYS - ZAMBOANGA DEL NORT</t>
  </si>
  <si>
    <t>CITY OF DIGOS, DAVAO DEL SUR</t>
  </si>
  <si>
    <t>DEPARTMENT OF PUBLIC WORKS AND HIGHWAYS - DAVAO CITY II DEO</t>
  </si>
  <si>
    <t>COTABATO REGIONAL AND MEDICAL CENTER</t>
  </si>
  <si>
    <t>LAND TRANSPORTATION OFFICE - NCR</t>
  </si>
  <si>
    <t>METRO COTABATO WATER DISTRICT</t>
  </si>
  <si>
    <t>PROVINCE OF AGUSAN DEL SUR</t>
  </si>
  <si>
    <t>CITY OF SANTIAGO, ISABELA</t>
  </si>
  <si>
    <t>MAA NATIONAL HIGH SCHOOL - DAVAO CITY DAVAO DEL SUR</t>
  </si>
  <si>
    <t>DEPARTMENT OF PUBLIC WORKS AND HIGHWAYS - ILOCOS SUR 2ND DEO</t>
  </si>
  <si>
    <t>MUNICIPALITY OF MANGALDAN, PANGASINAN</t>
  </si>
  <si>
    <t>BARANGAY KAUSWAGAN, MALITBOG, SOUTHERN LEYTE</t>
  </si>
  <si>
    <t>BARANGAY KABALABTIAN - ARAKAN COTABATO</t>
  </si>
  <si>
    <t>MUNICIPALITY OF MILAGROS, MASBATE</t>
  </si>
  <si>
    <t>CITY OF PAGADIAN, ZAMBOANGA DEL SUR</t>
  </si>
  <si>
    <t>MUNICIPALITY OF JASAAN , MISAMIS ORIENTAL</t>
  </si>
  <si>
    <t>MUNICIPALITY OF DANGLAS, ABRA</t>
  </si>
  <si>
    <t>MUNICIPALITY OF BULA, CAMARINES SUR</t>
  </si>
  <si>
    <t>BANGKAL HIGH SCHOOL</t>
  </si>
  <si>
    <t>MEXICO NATIONAL HIGH SCHOOL</t>
  </si>
  <si>
    <t>MUNICIPALITY OF CORTES, SURIGAO DEL SUR</t>
  </si>
  <si>
    <t>MUNICIPALITY OF MONREAL, MASBATE</t>
  </si>
  <si>
    <t>MUNICIPALITY OF NEW LUCENA, ILOILO</t>
  </si>
  <si>
    <t>PANGASINAN STATE UNIVERSITY - MAIN</t>
  </si>
  <si>
    <t>ILOCOS SUR POLYTECHNIC STATE COLLEGE</t>
  </si>
  <si>
    <t>MUNICIPALITY OF SAN ISIDRO, LEYTE</t>
  </si>
  <si>
    <t>MUNICIPALITY OF VINTAR, ILOCOS NORTE</t>
  </si>
  <si>
    <t>SOUTHERN ISABELA COLLEGE OF ARTS AND TRADES</t>
  </si>
  <si>
    <t>BARANGAY BUGNAY TUAO CAGAYAN</t>
  </si>
  <si>
    <t>MINDANAO STATE UNIVERSITY - TAWI-TAWI</t>
  </si>
  <si>
    <t>MUNICIPALITY OF BATARAZA</t>
  </si>
  <si>
    <t>MUNICIPALITY OF MIDSALIP, ZAMBOANGA DEL SUR</t>
  </si>
  <si>
    <t>MUNICIPALITY OF BAROBO, SURIGAO DEL SUR</t>
  </si>
  <si>
    <t>MUNICIPALITY OF TAYASAN, NEGROS ORIENTAL</t>
  </si>
  <si>
    <t>MARIANO MARCOS STATE UNIVERSITY</t>
  </si>
  <si>
    <t>MUNICIPALITY OF WAO, LANAO DEL SUR</t>
  </si>
  <si>
    <t>CITY  OF LA CARLOTA, NEGROS OCCIDENTAL</t>
  </si>
  <si>
    <t>IBA INTEGRATED SCHOOL</t>
  </si>
  <si>
    <t>MUNICIPALITY OF BARLIG MOUNTAIN PROVINCE</t>
  </si>
  <si>
    <t>BARANGAY  ALLAB - ARAKAN COTABATO</t>
  </si>
  <si>
    <t>BARANGAY POBLACION, ALCALA, PANGASINAN</t>
  </si>
  <si>
    <t>BARANGAY ELICIA LA LIBERTAD NEGROS ORIENTAL</t>
  </si>
  <si>
    <t>MUNICIPALITY OF PATNOÑGON, ANTIQUE</t>
  </si>
  <si>
    <t>CITY  OF CABANATUAN, NUEVA ECIJA</t>
  </si>
  <si>
    <t>BARANGAY CAGDIANAO, CLAVER, SURIGAO DEL NORTE</t>
  </si>
  <si>
    <t>MUNICIPALITY OF IPIL, ZAMBOANGA SIBUGAY</t>
  </si>
  <si>
    <t>BARANGAY  ANAPOLON ARAKAN COTABATO</t>
  </si>
  <si>
    <t>NATIONAL BUREAU OF INVESTIGATION</t>
  </si>
  <si>
    <t>DIGOS WATER DISTRICT</t>
  </si>
  <si>
    <t>MUNICIPALITY OF DIMIAO, BOHOL</t>
  </si>
  <si>
    <t>MUNICIPALITY OF LOBOC, BOHOL</t>
  </si>
  <si>
    <t>CITY OF VIGAN, ILOCOS SUR</t>
  </si>
  <si>
    <t>MUNICIPALITY OF AMBAGUIO, NUEVA VIZCAYA</t>
  </si>
  <si>
    <t>DEPARTMENT OF AGRICULTURE - REGION VI</t>
  </si>
  <si>
    <t>SOCIAL SECURITY SYSTEM - WESTERN VISAYAS DIVISION 1</t>
  </si>
  <si>
    <t>MUNICIPALITY OF SAMAL, BATAAN</t>
  </si>
  <si>
    <t>BENGUET STATE UNIVERSITY</t>
  </si>
  <si>
    <t>DEPARTMENT OF AGRICULTURE - REGION II</t>
  </si>
  <si>
    <t>BARANGAY TUMANDING - ARAKAN COTABATO</t>
  </si>
  <si>
    <t>BANGKO SENTRAL NG PILIPINAS- LA UNION REGIONAL OFFICE</t>
  </si>
  <si>
    <t>MUNICIPALITY OF BALER, AURORA</t>
  </si>
  <si>
    <t>DEPARTMENT OF PUBLIC WORKS AND HIGHWAYS - AURORA DEO</t>
  </si>
  <si>
    <t>MUNICIPALITY OF HINIGARAN, NEGROS OCCIDENTAL</t>
  </si>
  <si>
    <t>MUNICIPALITY OF CALINOG, ILOILO</t>
  </si>
  <si>
    <t>ZAMBOANGA DEL SUR NATIONAL HIGH SCHOOL</t>
  </si>
  <si>
    <t>PROVINCE OF COMPOSTELA VALLEY</t>
  </si>
  <si>
    <t>BARANGAY MEOCAN ARAKAN COTABATO</t>
  </si>
  <si>
    <t>DEPARTMENT OF ENVIRONMENT AND NATURAL RESOURCES - ILOCOS NOR</t>
  </si>
  <si>
    <t>OFFICE OF THE CHIEF MINISTER  - BARMM</t>
  </si>
  <si>
    <t>BATANGAS STATE UNIVERSITY</t>
  </si>
  <si>
    <t>NATIONAL CENTER FOR MENTAL HEALTH</t>
  </si>
  <si>
    <t>DEPARTMENT OF SOCIAL WELFARE AND DEVELOPMENT - REGION IX</t>
  </si>
  <si>
    <t>DEPARTMENT OF ENVIRONMENT AND NATURAL RES. - PENRO, PALAWAN</t>
  </si>
  <si>
    <t>DR. JOSE FABELLA MEMORIAL HOSPITAL</t>
  </si>
  <si>
    <t>CITY GOVERNMENT OF LUCENA</t>
  </si>
  <si>
    <t>MUNICIPALITY OF RIZAL, ZAMBOANGA DEL NORTE</t>
  </si>
  <si>
    <t>MUNICIPALITY OF INITAO, MISAMIS ORIENTAL</t>
  </si>
  <si>
    <t>MUNICIPALITY OF SURALLAH, SOUTH COTABATO</t>
  </si>
  <si>
    <t>BARANGAY ALABUG - TUAO CAGAYAN</t>
  </si>
  <si>
    <t>BUREAU OF FISHERIES AND AQUATIC RESOURCES 9</t>
  </si>
  <si>
    <t>BARANGAY NAPALICO - ARAKAN COTABATO</t>
  </si>
  <si>
    <t>MUNICIPALITY OF SINDANGAN, ZAMBOANGA DEL NORTE</t>
  </si>
  <si>
    <t>DEPARTMENT OF ENVIRONMENT AND NATURAL RESOURCES - REGION V</t>
  </si>
  <si>
    <t>BARANGAY TALISAYAN, ANINI-Y, ANTIQUE</t>
  </si>
  <si>
    <t>CIVIL AVIATION AUTHORITY OF THE PHILIPPINES - SILAY AIRPORT</t>
  </si>
  <si>
    <t>CITY  OF HIMAMAYLAN, NEGROS OCCIDENTAL</t>
  </si>
  <si>
    <t>PROVINCE OF BUKIDNON</t>
  </si>
  <si>
    <t>MUNICIPALITY OF NAGTIPUNAN, QUIRINO</t>
  </si>
  <si>
    <t>DEPARTMENT OF HUMAN SETTLEMENT AND URBAN DEVELOPMENT - QUEZO</t>
  </si>
  <si>
    <t>UNIVERSITY OF SOUTHERN MINDANAO</t>
  </si>
  <si>
    <t>BARANGAY BALOGO, OAS, ALBAY</t>
  </si>
  <si>
    <t>MUNICIPALITY OF CALAMBA, MISAMIS OCCIDENTAL</t>
  </si>
  <si>
    <t>DEPARTMENT OF EDUCATION - DIVISION OF ILOCOS SUR</t>
  </si>
  <si>
    <t>PHILIPPINE PUBLIC SAFETY COLLEGE</t>
  </si>
  <si>
    <t>LA CASTELLANA ELEMENTARY SCHOOL</t>
  </si>
  <si>
    <t>LAND TRANSPORTATION FRANCHISING REGULATORY BOARD-NCR</t>
  </si>
  <si>
    <t>MUNICIPALITY OF ALLEN, NORTHERN SAMAR</t>
  </si>
  <si>
    <t>CITY OF SAN PEDRO, LAGUNA</t>
  </si>
  <si>
    <t>DEPARTMENT OF SOCIAL WELFARE AND DEVELOPMENT - CAR</t>
  </si>
  <si>
    <t>UNIVERSITY OF THE PHILIPPINES - BAGUIO</t>
  </si>
  <si>
    <t>PROVINCE OF SURIGAO DEL SUR</t>
  </si>
  <si>
    <t>CITY OF TAGAYTAY, CAVITE</t>
  </si>
  <si>
    <t>MUNICIPALITY OF PLARIDEL, MISAMIS OCCIDENTAL</t>
  </si>
  <si>
    <t>PHILIPPINE NATIONAL POLICE</t>
  </si>
  <si>
    <t>BARANGAY AMOT, BURDEOS, QUEZON</t>
  </si>
  <si>
    <t>BARANGAY 24, STA. MONICA,SAN NICOLAS, ILOCOS NORTE</t>
  </si>
  <si>
    <t>MUNICIPALITY OF PURA, TARLAC</t>
  </si>
  <si>
    <t>KRUS NA LIGAS ELEMENTARY SCHOOL</t>
  </si>
  <si>
    <t>MUNICIPALITY OF SUMILAO, BUKIDNON</t>
  </si>
  <si>
    <t>MUNICIPALITY OF PAYAO, ZAMBOANGA SIBUGAY</t>
  </si>
  <si>
    <t>MUNICIPALITY OF VICTORIA, TARLAC</t>
  </si>
  <si>
    <t>MUNICIPALITY OF CALASIAO, PANGASINAN</t>
  </si>
  <si>
    <t>BARANGAY ALALASAN, LAPUZ, ILOILO CITY</t>
  </si>
  <si>
    <t>DEPARTMENT OF SCIENCE AND TECHNOLOGY - REGION - VIII</t>
  </si>
  <si>
    <t>MUNICIPALITY OF REAL, QUEZON</t>
  </si>
  <si>
    <t>METROPOLITAN TUGUEGARAO WATER DISTRICT</t>
  </si>
  <si>
    <t>BAGBAG ELEMENTARY SCHOOL</t>
  </si>
  <si>
    <t>DEPARTMENT OF EDUCATION DIVISION OF DAVAO OCCIDENTAL</t>
  </si>
  <si>
    <t>MUNICIPALITY OF MONKAYO, COMPOSTELA VALLEY</t>
  </si>
  <si>
    <t>MUNICIPALITY OF LICUAN-BAAY, ABRA</t>
  </si>
  <si>
    <t xml:space="preserve">DEPARTMENT OF PUBLIC WORKS AND HIGHWAYS - ZAMBOANGA SIBUGAY </t>
  </si>
  <si>
    <t>FORTUNATO F. HALILI NATIONAL AGRICULTURAL SCHOOL</t>
  </si>
  <si>
    <t>MUNICIPALITY OF DUMANJUG, CEBU</t>
  </si>
  <si>
    <t>CITY OF PASSI, ILOILO</t>
  </si>
  <si>
    <t>PROVINCE OF DAVAO DEL SUR</t>
  </si>
  <si>
    <t>DEPARTMENT OF SOCIAL WELFARE AND DEVELOPMENT - CARAGA</t>
  </si>
  <si>
    <t>DEPARTMENT OF PUBLIC WORKS AND HIGHWAYS - ISABELA 1ST DEO</t>
  </si>
  <si>
    <t>MUNICIPALITY OF MATANAO, DAVAO DEL SUR</t>
  </si>
  <si>
    <t>CITY OF LAPU-LAPU</t>
  </si>
  <si>
    <t>CITY OF PASIG</t>
  </si>
  <si>
    <t>CITY OF CABADBARAN, AGUSAN DEL NORTE</t>
  </si>
  <si>
    <t>DEPARTMENT OF AGRICULTURE - CARAGA</t>
  </si>
  <si>
    <t>LIGA NG MGA BARANGAY, NATIVIDAD CHAPTER</t>
  </si>
  <si>
    <t>SURIGAO DEL SUR STATE UNIVERSITY</t>
  </si>
  <si>
    <t>BARANGAY POBLACION, BAYUGAN, AGUSAN DEL SUR</t>
  </si>
  <si>
    <t>CITY OF TACLOBAN, LEYTE</t>
  </si>
  <si>
    <t>103RD CONTRACTING OFFICE, AFP PROCUREMENT SERVICE</t>
  </si>
  <si>
    <t>PHILIPPINE ARMY PROCUREMENT CENTER, AFP PROCUREMENT SERVICE</t>
  </si>
  <si>
    <t>DAVAO ORIENTAL STATE COLLEGE OF  SCIENCE AND  TECHNOLOGY</t>
  </si>
  <si>
    <t>BANGKO SENTRAL NG PILIPINAS - BUTUAN BRANCH</t>
  </si>
  <si>
    <t>MUNICIPALITY OF BUGALLON - PANGASINAN</t>
  </si>
  <si>
    <t>PALAWAN STATE UNIVERSITY</t>
  </si>
  <si>
    <t>COMMISSION ON HUMAN RIGHTS</t>
  </si>
  <si>
    <t>MUNICIPALITY OF BANAYBANAY, DAVAO ORIENTAL</t>
  </si>
  <si>
    <t>MUNICIPALITY OF BARUGO, LEYTE</t>
  </si>
  <si>
    <t>PROVINCE OF SIQUIJOR</t>
  </si>
  <si>
    <t>MUNICIPALITY OF SAN JUAN, BATANGAS</t>
  </si>
  <si>
    <t>BARANGAY SINGCANG-AIRPORT NATIONAL HIGH SCHOOL</t>
  </si>
  <si>
    <t>CAGAYAN STATE UNIVERSITY - TUGUEGARAO CITY CAGAYAN</t>
  </si>
  <si>
    <t>PROVINCE OF LAGUNA</t>
  </si>
  <si>
    <t>MUNICIPALITY OF MALIBCONG, ABRA</t>
  </si>
  <si>
    <t>SURIGAO STATE COLLEGE OF TECHNOLOGY</t>
  </si>
  <si>
    <t>MUNICIPALITY OF EL NIDO, PALAWAN</t>
  </si>
  <si>
    <t>GUISAD VALLEY NATIONAL HIGH SCHOOL</t>
  </si>
  <si>
    <t>AGRICULTURAL TRAINING INSTITUTE - CARAGA REGION</t>
  </si>
  <si>
    <t>PROVINCE OF SOUTH COTABATO</t>
  </si>
  <si>
    <t>CAMARINES SUR POLYTECHNIC COLLEGES - NABUA CAMPUS</t>
  </si>
  <si>
    <t>DAVAO CITY WATER DISTRICT</t>
  </si>
  <si>
    <t>MUNICIPALITY OF MARCOS, ILOCOS NORTE</t>
  </si>
  <si>
    <t>MUNICIPALITY OF SANTOL, LA UNION</t>
  </si>
  <si>
    <t>MUNICIPALITY OF QUEZON, NUEVA VIZCAYA</t>
  </si>
  <si>
    <t>BARANGAY LAMAK, HILONGOS, LEYTE</t>
  </si>
  <si>
    <t>MUNICIPALITY OF TALAKAG, BUKIDNON</t>
  </si>
  <si>
    <t>CITY OF PANABO, DAVAO DEL NORTE</t>
  </si>
  <si>
    <t>MUNICIPALITY OF ROXAS, ISABELA</t>
  </si>
  <si>
    <t>MUNICIPALITY OF DUPAX DEL SUR, NUEVA VIZCAYA</t>
  </si>
  <si>
    <t>MUNICIPALITY OF LLORENTE, EASTERN SAMAR</t>
  </si>
  <si>
    <t>BUREAU OF THE TREASURY</t>
  </si>
  <si>
    <t>BARANGAY SUMALILI - ARAKAN COTABATO</t>
  </si>
  <si>
    <t>BARANGAY SAN PEDRO, SAN QUINTIN, PANGASINAN</t>
  </si>
  <si>
    <t>CITY OF SAN JOSE, NUEVA ECIJA</t>
  </si>
  <si>
    <t>CITY OF SAN PABLO, LAGUNA</t>
  </si>
  <si>
    <t>FERTILIZER AND PESTICIDE AUTHORITY - QUEZON CITY METRO MANIL</t>
  </si>
  <si>
    <t>ASUNCION L. LIZARES ELEMENTARY SCHOOL</t>
  </si>
  <si>
    <t>BUREAU OF AGRICULTURAL RESEARCH</t>
  </si>
  <si>
    <t>CITY OF OZAMIS, MISAMIS OCCIDENTAL</t>
  </si>
  <si>
    <t>BARANGAY 09 POBLACION, CATBALOGAN CITY</t>
  </si>
  <si>
    <t>CARLOS HILADO MEMORIAL STATE COLLEGE</t>
  </si>
  <si>
    <t>MUNICIPALITY OF MONTEVISTA, COMPOSTELA VALLEY</t>
  </si>
  <si>
    <t>ZAMBOANGA CITY MEDICAL CENTER</t>
  </si>
  <si>
    <t>MUNICIPALITY OF BADIAN, CEBU</t>
  </si>
  <si>
    <t>DEPARTMENT OF AGRICULTURE - CARFU</t>
  </si>
  <si>
    <t>MUNICIPALITY OF BULAN, SORSOGON</t>
  </si>
  <si>
    <t>BARANGAY SAN JUAN - TUAO CAGAYAN</t>
  </si>
  <si>
    <t>407TH CONTRACTING OFFICE, AFP PROCUREMENT SERVICE</t>
  </si>
  <si>
    <t>BARANGAY TAGAYTAY HILL - JOSEFINA, ZAMBOANGA DEL SUR</t>
  </si>
  <si>
    <t>MUNICIPALITY OF POLA, ORIENTAL MINDORO</t>
  </si>
  <si>
    <t>MARIANO MARCOS MEMORIAL HOSPITAL AND MEDICAL CENTER</t>
  </si>
  <si>
    <t>OLONGAPO CITY NATIONAL HIGH SCHOOL</t>
  </si>
  <si>
    <t>DUTY FREE PHILIPPINES CORPORATION</t>
  </si>
  <si>
    <t>ZAMBOANGA CITY STATE POLYTECHNIC COLLEGE</t>
  </si>
  <si>
    <t>MUNICIPALITY OF MAGSAYSAY, MISAMIS ORIENTAL</t>
  </si>
  <si>
    <t>MUNICIPALITY OF ALORAN, MISAMIS OCCIDENTAL</t>
  </si>
  <si>
    <t>CITY OF QUEZON</t>
  </si>
  <si>
    <t>MINES AND GEO-SCIENCES BUREAU</t>
  </si>
  <si>
    <t>DEPARTMENT OF EDUCATION - BISLIG CITY DIVISION</t>
  </si>
  <si>
    <t>MUNICIPALITY OF ALANGALANG, LEYTE</t>
  </si>
  <si>
    <t>MUNICIPALITY OF REMEDIOS T. ROMUALDEZ, AGUSAN DEL NORTE</t>
  </si>
  <si>
    <t>MANGATAREM NATIONAL HIGH SCHOOL</t>
  </si>
  <si>
    <t>MUNICIPALITY OF GUIMBAL, ILOILO</t>
  </si>
  <si>
    <t>SANTA ROSA ELEMENTARY SCHOOL CENTRAL 3(SSES)</t>
  </si>
  <si>
    <t>MUNICIPALITY OF MAGSAYSAY, OCCIDENTAL MINDORO</t>
  </si>
  <si>
    <t>BARANGAY PATA  - TUAO CAGAYAN</t>
  </si>
  <si>
    <t>MUNICIPALITY OF ROSALES, PANGASINAN</t>
  </si>
  <si>
    <t>107TH CONTRACTING OFFICE, AFP PROCUREMENT SERVICE</t>
  </si>
  <si>
    <t>PROVINCE OF ZAMBOANGA DEL SUR</t>
  </si>
  <si>
    <t>CITY OF BAIS, NEGROS ORIENTAL</t>
  </si>
  <si>
    <t>MUNICIPALITY OF TABOGON, CEBU</t>
  </si>
  <si>
    <t>MUNICIPALITY OF CAN-AVID, EASTERN SAMAR</t>
  </si>
  <si>
    <t>MUNICIPALITY OF ARAKAN, COTABATO</t>
  </si>
  <si>
    <t>BARANGAY CABUGAO SUR, PAVIA, ILOILO</t>
  </si>
  <si>
    <t>DEPARTMENT OF AGRARIAN REFORM PROVINCIAL OFFICE, COTABATO</t>
  </si>
  <si>
    <t>BARANGAY MAMBACAG -TUAO CAGAYAN</t>
  </si>
  <si>
    <t>NATIONAL IRRIGATION ADMINISTRATION - KALINGA IRRIGATION MANA</t>
  </si>
  <si>
    <t>PROVINCE OF MAGUINDANAO</t>
  </si>
  <si>
    <t>BUNGGO NATIONAL HIGH SCHOOL</t>
  </si>
  <si>
    <t>BARANGAY SAGRADA FAMILIA - TAMBULIG ZAMBOANGA DEL SUR</t>
  </si>
  <si>
    <t>NAGA CITY SCHOOL OF ARTS AND TRADES</t>
  </si>
  <si>
    <t>MUNICIPALITY OF KATIPUNAN, ZAMBOANGA DEL NORTE</t>
  </si>
  <si>
    <t>MUNICIPALITY OF VERUELA, AGUSAN DEL SUR</t>
  </si>
  <si>
    <t>MUNICIPALITY OF TERESA, RIZAL</t>
  </si>
  <si>
    <t>MUNICIPALITY OF GARCIA-HERNANDEZ, BOHOL</t>
  </si>
  <si>
    <t>VETERANS MEMORIAL MEDICAL CENTER, DND</t>
  </si>
  <si>
    <t>CITY OF CABUYAO, LAGUNA</t>
  </si>
  <si>
    <t>PROVINCE OF ILOCOS SUR</t>
  </si>
  <si>
    <t>MUNICIPALITY OF ROSARIO, CAVITE</t>
  </si>
  <si>
    <t>NATIONAL IRRIGATION ADMINISTRATION - DAVAO ORIENTAL</t>
  </si>
  <si>
    <t>MUNICIPALITY OF DON SALVADOR BENEDICTO, NEGROS OCCIDENTAL</t>
  </si>
  <si>
    <t>MUNICIPALITY OF TUNGA, LEYTE</t>
  </si>
  <si>
    <t>VETERANS REGIONAL HOSPITAL</t>
  </si>
  <si>
    <t>BARANGAY LEMU NORTE</t>
  </si>
  <si>
    <t>CITY OF GINGOOG, MISAMIS ORIENTAL</t>
  </si>
  <si>
    <t>MUNICIPALITY OF LUBUAGAN, KALINGA</t>
  </si>
  <si>
    <t>MUNICIPALITY OF STO. TOMAS, BATANGAS</t>
  </si>
  <si>
    <t>BACOLOD CITY NATIONAL HIGH SCHOOL</t>
  </si>
  <si>
    <t>MUNICIPALITY OF SEN. NINOY AQUINO, SULTAN KUDARAT</t>
  </si>
  <si>
    <t>MUNICIPALITY OF PANGIL, LAGUNA</t>
  </si>
  <si>
    <t>MUNICIPALITY OF SABTANG, BATANES</t>
  </si>
  <si>
    <t>BAGONG BARRIO NATIONAL HIGH SCHOOL</t>
  </si>
  <si>
    <t>DEPARTMENT OF PUBLIC WORKS AND HIGHWAYS - AKLAN DEO</t>
  </si>
  <si>
    <t>CITY OF DAPITAN</t>
  </si>
  <si>
    <t>CITY OF SIPALAY, NEGROS OCCIDENTAL</t>
  </si>
  <si>
    <t>BARANGAY STA. RITA, CALAPAN, ORIENTAL MINDORO</t>
  </si>
  <si>
    <t>EASTERN VISAYAS STATE UNIVERSITY</t>
  </si>
  <si>
    <t>BATAAN PENINSULA STATE UNIVERSITY</t>
  </si>
  <si>
    <t>ENVIRONMENTAL MANAGEMENT BUREAU - REGION - LA UNION</t>
  </si>
  <si>
    <t>DEPARTMENT OF LABOR AND EMPLOYMENT - NCR</t>
  </si>
  <si>
    <t>CITY OF ALAMINOS, PANGASINAN</t>
  </si>
  <si>
    <t>DEPARTMENT OF ENVIRONMENT AND NATURAL RES. - PENRO, LUCENA</t>
  </si>
  <si>
    <t>SINALHAN ELEMENTARY SCHOOL</t>
  </si>
  <si>
    <t>MUNICIPALITY OF BINGAWAN, ILOILO</t>
  </si>
  <si>
    <t>BARANGAY STA. MONICA, PUERTO PRINCESA CITY, PALAWAN</t>
  </si>
  <si>
    <t>UPIAN ELEMENTARY SCHOOL</t>
  </si>
  <si>
    <t>BAGUIO CITY NATIONAL HIGH SCHOOL</t>
  </si>
  <si>
    <t>PNOC EXPLORATION CORPORATION - TAGUIG CITY</t>
  </si>
  <si>
    <t>MUNICIPALITY OF BAY, LAGUNA</t>
  </si>
  <si>
    <t>DEPARTMENT OF PUBLIC WORKS AND HIGHWAYS - CAGAYAN 2ND DEO</t>
  </si>
  <si>
    <t>DEPARTMENT OF EDUCATION - DIVISION OF AGUSAN DEL SUR</t>
  </si>
  <si>
    <t>BARANGAY SANTOLAN, PASIG CITY</t>
  </si>
  <si>
    <t>PHILIPPINE NORMAL UNIVERSITY</t>
  </si>
  <si>
    <t>MUNICIPALITY OF MAASIN, ILOILO</t>
  </si>
  <si>
    <t>BARANGAY GOLDEN, MAPANDAN, PANGASINAN</t>
  </si>
  <si>
    <t>DEPARTMENT OF PUBLIC WORKS AND HIGHWAYS - ILOILO 1ST DEO</t>
  </si>
  <si>
    <t>DEPARTMENT OF PUBLIC WORKS AND HIGHWAYS - CEBU 6TH DEO</t>
  </si>
  <si>
    <t>MUNICIPALITY OF MAGALLANES, AGUSAN DEL NORTE</t>
  </si>
  <si>
    <t>COMAGASCAS ELEMENTARY SCHOOL - CABADBARAN CITY AGUSAN DEL NO</t>
  </si>
  <si>
    <t>DEPARTMENT OF INFORMATION AND COMMUNICATIONS TECHNOLOGY</t>
  </si>
  <si>
    <t>MUNICIPALITY OF LIMAY, BATAAN</t>
  </si>
  <si>
    <t>MUNICIPALITY OF MAGALLANES, CAVITE</t>
  </si>
  <si>
    <t>PHIL. ATMOSPHERIC GEOPHYSICAL &amp; ASTRONOMICAL SERVICES ADM.</t>
  </si>
  <si>
    <t>F. BANGOY NATIONAL HIGH SCHOOL</t>
  </si>
  <si>
    <t>PARTIDO STATE UNIVERSITY - GOA CAMPUS</t>
  </si>
  <si>
    <t>MUNICIPALITY OF VILLAVICIOSA, ABRA</t>
  </si>
  <si>
    <t>CITY OF CEBU, CEBU</t>
  </si>
  <si>
    <t>BARANGAY DAGATAN - AMADEO CAVITE</t>
  </si>
  <si>
    <t>BARANGAY SAN BLAS, PAOAY ILOCOS NORTE</t>
  </si>
  <si>
    <t>PROVINCE OF QUIRINO</t>
  </si>
  <si>
    <t>AKLAN STATE UNIVERSITY - BANGA CAMPUS</t>
  </si>
  <si>
    <t>MUNICIPALITY OF PADADA, DAVAO DEL SUR</t>
  </si>
  <si>
    <t>BAGUIO GENERAL HOSPITAL AND MEDICAL CENTER</t>
  </si>
  <si>
    <t>UNIVERSITY OF ANTIQUE</t>
  </si>
  <si>
    <t>MUNICIPALITY OF LAKE WOOD, ZAMBOANGA DEL SUR</t>
  </si>
  <si>
    <t>ECOSYSTEMS RESEARCH AND DEVELOPMENT BUREAU - (ERDB)</t>
  </si>
  <si>
    <t>MPW BASILAN DISTRICT ENGINEERING OFFICE</t>
  </si>
  <si>
    <t>CITY OF ILIGAN, LANAO DEL NORTE</t>
  </si>
  <si>
    <t>ALIMATOC ELEMENTARY SCHOOL</t>
  </si>
  <si>
    <t>MUNICIPALITY OF PINTUYAN, SOUTHERN LEYTE</t>
  </si>
  <si>
    <t>FIBER INDUSTRY DEVELOPMENT AUTHORITY - REGION V</t>
  </si>
  <si>
    <t>MUNICIPALITY OF TINAMBAC, CAMARINES SUR</t>
  </si>
  <si>
    <t>PROVINCE OF GUIMARAS</t>
  </si>
  <si>
    <t>PROVINCE OF IFUGAO</t>
  </si>
  <si>
    <t>DEPARTMENT OF INFORMATION AND COMMUNICATIONS TECHNOLOGY REGI</t>
  </si>
  <si>
    <t>DAGUPAN CITY NATIONAL HIGH SCHOOL</t>
  </si>
  <si>
    <t>MUNICIPALITY OF BALENO, MASBATE</t>
  </si>
  <si>
    <t>MUNICIPALITY OF VALENCIA, BOHOL</t>
  </si>
  <si>
    <t>BARANGAY STA. CRUZ, PASIG CITY</t>
  </si>
  <si>
    <t>MUNICIPALITY OF BURGOS, ISABELA</t>
  </si>
  <si>
    <t>PUNTA NATIONAL HIGH SCHOOL</t>
  </si>
  <si>
    <t>ANTONIO J. VILLEGAS VOCATIONAL HIGH SCHOOL</t>
  </si>
  <si>
    <t>PHILIPPINE AMUSEMENT AND GAMING CORPORATION - ILOCOS NORTE</t>
  </si>
  <si>
    <t>AGRICULTURAL TRAINING INSTITUTE - LIPA CITY</t>
  </si>
  <si>
    <t>MUNICIPALITY OF VINZONS, CAMARINES NORTE</t>
  </si>
  <si>
    <t>DON MARIANO MARCOS MEMORIAL STATE UNIVERSITY - SLUC</t>
  </si>
  <si>
    <t>DEPARTMENT OF EDUCATION - DIVISION OF ILIGAN CITY</t>
  </si>
  <si>
    <t>NATIONAL IRRIGATION ADMINISTRATION - REGION IX</t>
  </si>
  <si>
    <t>ISABELA REHABILITATION CENTER</t>
  </si>
  <si>
    <t>BOGO WATER DISTRICT</t>
  </si>
  <si>
    <t>BARANGAY TALUYA, GLAN, SARANGANI</t>
  </si>
  <si>
    <t>BICOL MEDICAL CENTER</t>
  </si>
  <si>
    <t>CABADBARAN SOUTH CENTRAL ELEMENTARY SCHOOL - CABADBARAN CITY</t>
  </si>
  <si>
    <t>OROQUIETA AGRO-INDUSTRIAL SCHOOL</t>
  </si>
  <si>
    <t>TALAVERA WATER DISTRICT</t>
  </si>
  <si>
    <t>BANSALAN WATER DISTRICT</t>
  </si>
  <si>
    <t>MANOLO FORTICH WATER DISTRICT</t>
  </si>
  <si>
    <t>MUNICIPALITY OF SIBAGAT, AGUSAN DEL SUR</t>
  </si>
  <si>
    <t>BARANGAY SAN JOAQUIN, PASIG CITY</t>
  </si>
  <si>
    <t>BARANGAY FUNDADO, CAMARINES NORTE</t>
  </si>
  <si>
    <t>BARANGAY BAG-ONG KAUSWAGAN - TAMBULIG, ZAMBOANGA DEL SUR</t>
  </si>
  <si>
    <t>PROVINCE OF OCCIDENTAL MINDORO</t>
  </si>
  <si>
    <t>MUNICIPALITY OF DOÑA REMEDIOS TRINIDAD, BULACAN</t>
  </si>
  <si>
    <t>NATIONAL IRRIGATION ADMINISTRATION - QIMO</t>
  </si>
  <si>
    <t>METRO KIDAPAWAN WATER DISTRICT</t>
  </si>
  <si>
    <t>MUNICIPALITY OF MAGALLANES, SORSOGON</t>
  </si>
  <si>
    <t>DEPARTMENT OF ENVIRONMENT AND NATURAL RES. - PENRO XII-4</t>
  </si>
  <si>
    <t>LASAM INSTITUTE OF TECHNOLOGY</t>
  </si>
  <si>
    <t>BARANGAY APATUT LIBONG - PINILI ILOCOS NORTE</t>
  </si>
  <si>
    <t>UNIVERSITY OF THE PHILIPPINES - MANILA</t>
  </si>
  <si>
    <t>MUNICIPALITY OF TAGANA-AN, SURIGAO DEL NORTE</t>
  </si>
  <si>
    <t>NUEVA VIZCAYA STATE UNIVERSITY</t>
  </si>
  <si>
    <t>MUNICIPALITY OF PRIETO DIAZ, SORSOGON</t>
  </si>
  <si>
    <t>MUNICIPALITY OF TUBLAY, BENGUET</t>
  </si>
  <si>
    <t>MANDALAGAN NATIONAL HIGH SCHOOL</t>
  </si>
  <si>
    <t>CITY OF GENERAL SANTOS , SOUTH COTABATO</t>
  </si>
  <si>
    <t>NORTHERN ILOILO POLYTECHNIC STATE COLLEGE</t>
  </si>
  <si>
    <t>BANGKO SENTRAL NG PILIPINAS</t>
  </si>
  <si>
    <t>PROVINCE OF BENGUET</t>
  </si>
  <si>
    <t>MUNICIPALITY OF PILAR, CAPIZ</t>
  </si>
  <si>
    <t>DEPARTMENT OF AGRARIAN REFORM - REGION V</t>
  </si>
  <si>
    <t>DEPARTMENT OF EDUCATION - DIVISION OF CADIZ CITY</t>
  </si>
  <si>
    <t>BARANGAY ALTURA MATANDA, TANAUAN CITY, BATANGAS</t>
  </si>
  <si>
    <t>LIPA CITY NATIONAL HIGH SCHOOL</t>
  </si>
  <si>
    <t>KAPITOLYO HIGH SCHOOL</t>
  </si>
  <si>
    <t>PHILIPPINE SCIENCE HIGH SCHOOL - CALABARZON REGION CAMPUS</t>
  </si>
  <si>
    <t>MUNICIPALITY OF BALETE, AKLAN</t>
  </si>
  <si>
    <t>JUAN SUMULONG ELEMENTARY SCHOOL</t>
  </si>
  <si>
    <t>MUNICIPALITY OF TANAUAN, LEYTE</t>
  </si>
  <si>
    <t>CITY OF LEGAZPI, ALBAY</t>
  </si>
  <si>
    <t>MUNICIPALITY OF TOMAS OPPUS, SOUTHERN LEYTE</t>
  </si>
  <si>
    <t>COMMISSION ON POPULATION AND DEVELOPMENT  - SAN FERNANDO CIT</t>
  </si>
  <si>
    <t>SULTAN KUDARAT STATE UNIVERSITY</t>
  </si>
  <si>
    <t>MUNICIPALITY OF PILAR, SORSOGON</t>
  </si>
  <si>
    <t>MUNICIPALITY OF SISON, PANGASINAN</t>
  </si>
  <si>
    <t>MUNICIPALITY OF SAN NICOLAS, PANGASINAN</t>
  </si>
  <si>
    <t>MUNICIPALITY OF CALAPE, BOHOL</t>
  </si>
  <si>
    <t>MUNICIPALITY OF MALILIPOT, ALBAY</t>
  </si>
  <si>
    <t>MUNICIPALITY OF ABUYOG, LEYTE</t>
  </si>
  <si>
    <t>DEPARTMENT OF EDUCATION - DIVISION OF ILOILO CITY</t>
  </si>
  <si>
    <t>DEPARTMENT OF SOCIAL WELFARE AND DEVELOPMENT - MAIN</t>
  </si>
  <si>
    <t>DEPARTMENT OF PUBLIC WORKS AND HIGHWAYS - ILOCOS SUR 1ST DEO</t>
  </si>
  <si>
    <t>DEPARTMENT OF SCIENCE AND TECHNOLOGY REGION 1</t>
  </si>
  <si>
    <t>PARANG HIGH SCHOOL</t>
  </si>
  <si>
    <t>MUNICIPALITY OF NABUA, CAMARINES SUR</t>
  </si>
  <si>
    <t>MUNICIPALITY OF GEN. MAMERTO NATIVIDAD, NUEVA ECIJA</t>
  </si>
  <si>
    <t>BARANGAY TAGNATE, HILONGOS, LEYTE</t>
  </si>
  <si>
    <t>MUNICIPALITY OF NARRA, PALAWAN</t>
  </si>
  <si>
    <t>BARANGAY 04 POBLACION, CATBALOGAN CITY</t>
  </si>
  <si>
    <t>BARANGAY MALAMA - LIGAO CITY</t>
  </si>
  <si>
    <t>METRO MIDSAYAP WATER DISTRICT</t>
  </si>
  <si>
    <t>DEPARTMENT OF AGRARIAN REFORM - CATANDUANES</t>
  </si>
  <si>
    <t>CITY GOVERNMENT OF BALANGA, BATAAN</t>
  </si>
  <si>
    <t>MUNICIPALITY OF SAN MIGUEL, ZAMBOANGA DEL SUR</t>
  </si>
  <si>
    <t>MARIGONDON ELEMENTARY SCHOOL</t>
  </si>
  <si>
    <t>LLORENTE NATIONAL HIGH SCHOOL - LLORENTE EASTERN SAMAR</t>
  </si>
  <si>
    <t>MUNICIPALITY OF BANI, PANGASINAN</t>
  </si>
  <si>
    <t>UNIVERSITY OF ANTIQUE - TARIO-LIM MEMORIAL CAMPUS</t>
  </si>
  <si>
    <t>MUNICIPALITY OF TINOC, IFUGAO</t>
  </si>
  <si>
    <t>NATIONAL MAPPING AND RESOURCE INFORMATION AUTHORITY (NAMRIA)</t>
  </si>
  <si>
    <t>MUNICIPALITY OF SAN JOAQUIN, ILOILO</t>
  </si>
  <si>
    <t>DEPARTMENT OF THE INTERIOR AND LOCAL GOVERNMENT - CALAMBA</t>
  </si>
  <si>
    <t>BATANGAS MEDICAL CENTER</t>
  </si>
  <si>
    <t>CITY OF BATANGAS, BATANGAS</t>
  </si>
  <si>
    <t>ANGAT WATER DISTRICT</t>
  </si>
  <si>
    <t>BARANGAY SAN JUAN -  CAINTA, RIZAL</t>
  </si>
  <si>
    <t>DEPARTMENT OF PUBLIC WORKS AND HIGHWAYS - LANAO DEL NORTE 2N</t>
  </si>
  <si>
    <t>MUNICIPALITY OF SAN ISIDRO, DAVAO ORIENTAL</t>
  </si>
  <si>
    <t>CABANGLASAN WATER DISTRICT - CABANGLASAN BUKIDNON</t>
  </si>
  <si>
    <t>MUNICIPALITY OF SINACABAN , MISAMIS OCCIDENTAL</t>
  </si>
  <si>
    <t>CITY  OF CALBAYOG, SAMAR</t>
  </si>
  <si>
    <t>BARANGAY MAYBUNGA - PASIG CITY</t>
  </si>
  <si>
    <t>TECHNICAL EDUCATION AND SKILLS DEVELOPMENT AUTHORITY  - ILOI</t>
  </si>
  <si>
    <t>MUNICIPALITY OF SAN RICARDO - SOUTHERN LEYTE</t>
  </si>
  <si>
    <t>METRO MANILA DEVELOPMENT AUTHORITY</t>
  </si>
  <si>
    <t>HOUSING AND LAND USE REGULATORY BOARD - CENTRAL VISAYAS REGI</t>
  </si>
  <si>
    <t>MUNICIPALITY OF BALAMBAN, CEBU</t>
  </si>
  <si>
    <t>HOME DEVELOPMENT MUTUAL FUND - CORPORATE HEADQUARTERS</t>
  </si>
  <si>
    <t>PHILIPPINE ORTHOPEDIC CENTER</t>
  </si>
  <si>
    <t>BARANGAY CABUGAO, RAGAY, CAAMRINES SUR</t>
  </si>
  <si>
    <t>DEPARTMENT OF LABOR AND EMPLOYMENT - CAR</t>
  </si>
  <si>
    <t>MUNICIPALITY OF BALBALAN, KALINGA</t>
  </si>
  <si>
    <t>LAS PIÑAS GENERAL HOSPITAL AND SATELLITE TRAUMA CENTER</t>
  </si>
  <si>
    <t>MUNICIPALITY OF GONZAGA, CAGAYAN</t>
  </si>
  <si>
    <t>MUNICIPALITY OF ROSARIO, LA UNION</t>
  </si>
  <si>
    <t>BARANGAY SAN RAFAEL VILLAGE, NAVOTAS</t>
  </si>
  <si>
    <t>DEPARTMENT OF AGRARIAN REFORM - CAMARINES SUR B</t>
  </si>
  <si>
    <t>MUNICIPALITY OF TIGBAUAN, ILOILO</t>
  </si>
  <si>
    <t>NATIONAL FOOD AUTHORITY - LAGUNA PROVINCIAL OFFICE</t>
  </si>
  <si>
    <t>MUNICIPALITY OF URBIZTONDO, PANGASINAN</t>
  </si>
  <si>
    <t>PHILIPPINE HEALTH INSURANCE CORPORATION - CAR</t>
  </si>
  <si>
    <t>DEPARTMENT OF PUBLIC WORKS AND HIGHWAYS - QUEZON CITY 1ST ED</t>
  </si>
  <si>
    <t>MUNICIPALITY OF STA.CRUZ, DAVAO DEL SUR</t>
  </si>
  <si>
    <t>MUNICIPALITY OF JIABONG, SAMAR</t>
  </si>
  <si>
    <t>BARANGAY BUBOY NAGCARLAN, LAGUNA</t>
  </si>
  <si>
    <t>MUNICIPALITY  OF NUMANCIA, AKLAN</t>
  </si>
  <si>
    <t>MUNICIPALITY OF LICAB, NUEVA ECIJA</t>
  </si>
  <si>
    <t>DEPT OF TRADE AND INDUSTRY - CAR - MOUNTAIN PROVINCE</t>
  </si>
  <si>
    <t>MUNICIPALITY OF SINILOAN. LAGUNA</t>
  </si>
  <si>
    <t>DEPARTMENT OF AGRARIAN REFORM - LAGUNA PROVINCIAL OFFICE</t>
  </si>
  <si>
    <t>MUNICIPALITY OF MANAY, DAVAO ORIENTAL</t>
  </si>
  <si>
    <t>DEPARTMENT OF  EDUCATION - DIVISION OF URDANETA CITY</t>
  </si>
  <si>
    <t>F. BUSTAMANTE NATIONAL HIGH SCHOOL - DAVAO CITY</t>
  </si>
  <si>
    <t>MUNICIPALITY OF JAGNA, BOHOL</t>
  </si>
  <si>
    <t>MUNICIPALITY OF BALIWAG, BULACAN</t>
  </si>
  <si>
    <t>PHILIPPINE FISHERIES DEVELOPMENT AUTHORITY - MAIN</t>
  </si>
  <si>
    <t>DEPARTMENT OF EDUCATION - CARAGA</t>
  </si>
  <si>
    <t>DEPARTMENT OF ENVIRONMENT AND NATURAL RES. - PENRO ZDS</t>
  </si>
  <si>
    <t>OROQUIETA CITY WATER DISTRICT</t>
  </si>
  <si>
    <t>BARANGAY CALUNASAN, CALAPE, BOHOL</t>
  </si>
  <si>
    <t>DEPARTMENT OF HEALTH - TREATMENT AND REHABILITATION CENTER -</t>
  </si>
  <si>
    <t>UNITED COCONUT PLANTERS BANK</t>
  </si>
  <si>
    <t>PROVINCE OF ILOCOS NORTE</t>
  </si>
  <si>
    <t>CITY OF MATI, PROVINCE OF DAVAO ORIENTAL</t>
  </si>
  <si>
    <t>MUNICIPALITY OF AURORA, ZAMBOANGA DEL SUR</t>
  </si>
  <si>
    <t>MUNICIPALITY OF TAMBULIG, ZAMBOANGA DEL SUR</t>
  </si>
  <si>
    <t>CITY OF SURIGAO, SURIGAO DEL NORTE</t>
  </si>
  <si>
    <t>MUNICIPALITY OF MANKAYAN, BENGUET</t>
  </si>
  <si>
    <t>NATIONAL MARITIME POLYTECHNIC - REGION VIII</t>
  </si>
  <si>
    <t>BINMALEY WATER DISTRICT</t>
  </si>
  <si>
    <t>DEPARTMENT OF AGRICULTURE - PANGASINAN PROVINCIAL CENTER</t>
  </si>
  <si>
    <t>MUNICIPALITY OF GUIUAN, EASTERN SAMAR</t>
  </si>
  <si>
    <t>BARANGAY AMAGBAGAN, POZORRUBIO, PANGASINAN</t>
  </si>
  <si>
    <t>PHILIPPINE DEPOSIT INSURANCE CORPORATION</t>
  </si>
  <si>
    <t>OFFICE OF THE VICE-PRESIDENT OF THE PHILIPPINES</t>
  </si>
  <si>
    <t>PHILIPPINE RICE RESEARCH INSTITUTE</t>
  </si>
  <si>
    <t>MUNICIPALITY OF STO. DOMINGO, ALBAY</t>
  </si>
  <si>
    <t>DEPARTMENT OF ENVIRONMENT AND NATURAL RESOURCES  - REGION VI</t>
  </si>
  <si>
    <t>MUNICIPALITY OF PILAR, ABRA</t>
  </si>
  <si>
    <t>BARANGAY IBAYO SILANGAN - NAIC CAVITE</t>
  </si>
  <si>
    <t>409TH CONTRACTING OFFICE</t>
  </si>
  <si>
    <t>MUNICIPALITY OF ISABEL, LEYTE</t>
  </si>
  <si>
    <t>CAMARINES SUR INSTITUTE OF FISHERIES AND MARINE SCIENCES</t>
  </si>
  <si>
    <t>BARANGAY CALUMPANG WEST - SAN LUIS BATANGAS</t>
  </si>
  <si>
    <t>109TH CONTRACTING OFFICE, AFP PROCUREMENT SERVICE</t>
  </si>
  <si>
    <t>MUNICIPALITY OF CALAYAN, CAGAYAN</t>
  </si>
  <si>
    <t>MUNICIPALITY OF PADRE GARCIA, BATANGAS</t>
  </si>
  <si>
    <t>BARANGAY MANIBOC, LINGAYEN, PANGASINAN</t>
  </si>
  <si>
    <t>MUNICIPALITY OF TANZA, CAVITE</t>
  </si>
  <si>
    <t>CITY OF LAMITAN, BASILAN</t>
  </si>
  <si>
    <t>DEPARTMENT OF ENVIRONMENT AND NATURAL RESOURCES - CENRO TAGB</t>
  </si>
  <si>
    <t>MUNICIPALITY OF RIZAL, NUEVA ECIJA</t>
  </si>
  <si>
    <t>MUNICIPALITY OF NAGUILIAN, LA UNION</t>
  </si>
  <si>
    <t>MUNICIPALITY OF LA CASTELLANA, NEGROS OCCIDENTAL</t>
  </si>
  <si>
    <t>CARAGA STATE UNIVERSITY</t>
  </si>
  <si>
    <t>DEPARTMENT OF HEALTH - NCR REGIONAL OFFICE(DOH-NCRO)</t>
  </si>
  <si>
    <t>VALLADOLID ELEMENTARY SCHOOL - VALLADOLID NEGROS OCCIDENTAL</t>
  </si>
  <si>
    <t>BARANGAY SAN RAMON - BULA CAMARINES SUR</t>
  </si>
  <si>
    <t>BUREAU OF CUSTOMS</t>
  </si>
  <si>
    <t>MUNICIPALITY OF CASTILLEJOS, ZAMBALES</t>
  </si>
  <si>
    <t>DEPARTMENT OF PUBLIC WORKS AND HIGHWAYS - AGUSAN DEL NORTE D</t>
  </si>
  <si>
    <t>BARANGAY CENTRO 2,  SANCHEZ MIRA, CAGAYAN</t>
  </si>
  <si>
    <t>LEGAZPI CITY WATER DISTRICT</t>
  </si>
  <si>
    <t>MUNICIPALITY OF CATIGBIAN, BOHOL</t>
  </si>
  <si>
    <t>BARANGAY LONOC, LEON, ILOILO</t>
  </si>
  <si>
    <t>DEPARTMENT OF SOCIAL WELFARE AND DEVELOPMENT - REGION XII</t>
  </si>
  <si>
    <t>MUNICIPALITY OF DAPA, SURIGAO DEL NORTE</t>
  </si>
  <si>
    <t>DEPARTMENT OF HEALTH - MAIN</t>
  </si>
  <si>
    <t>MUNICIPALITY OF CORON, PALAWAN</t>
  </si>
  <si>
    <t>BANGKO SENTRAL NG PILIPINAS (SECURITY PLANT COMPLEX) - QUEZO</t>
  </si>
  <si>
    <t>BARANGAY STA. CRUZ, CALAPE, BOHOL</t>
  </si>
  <si>
    <t>MUNICIPALITY OF BUENAVISTA, AGUSAN DEL NORTE</t>
  </si>
  <si>
    <t>MUNICIPALITY OF GITAGUM , MISAMIS ORIENTAL</t>
  </si>
  <si>
    <t>MUNICIPALITY OF GLORIA, ORIENTAL MINDORO</t>
  </si>
  <si>
    <t>MUNICIPALITY OF STA. CRUZ, MARINDUQUE</t>
  </si>
  <si>
    <t>TUBLAY SCHOOL OF HOME INDUSTRIES</t>
  </si>
  <si>
    <t>PROVINCE OF NEGROS ORIENTAL</t>
  </si>
  <si>
    <t>CAGAYAN VALLEY MEDICAL CENTER</t>
  </si>
  <si>
    <t>MUNICIPALITY OF SILAGO, SOUTHERN LEYTE</t>
  </si>
  <si>
    <t>MUNICIPALITY OF TABUELAN, CEBU</t>
  </si>
  <si>
    <t>CITY OF PASAY</t>
  </si>
  <si>
    <t>DEPARTMENT OF AGRARIAN REFORM - ARCDP</t>
  </si>
  <si>
    <t>PHILIPPINE CHARITY SWEEPSTAKES OFFICE - MANDALUYONG CITY</t>
  </si>
  <si>
    <t>AGRICULTURAL TRAINING INSTITUTE-REGIONAL TRAINING CENTER-8</t>
  </si>
  <si>
    <t>DEPARTMENT OF PUBLIC WORKS AND HIGHWAYS - BUKIDNON 3RD DEO</t>
  </si>
  <si>
    <t>MUNICIPALITY OF SIBONGA, CEBU</t>
  </si>
  <si>
    <t>BARANGAY BUSO, MATI CITY</t>
  </si>
  <si>
    <t>CITY OF SAN FERNANDO, LA UNION</t>
  </si>
  <si>
    <t>CENTRAL BICOL STATE UNIVERSITY OF AGRICULTURE-SIPOCOT CAMPUS</t>
  </si>
  <si>
    <t>BARANGAY POLOPINA, CONCEPCION, ILOILO</t>
  </si>
  <si>
    <t>MUNICIPALITY OF KAPATAGAN, LANAO DEL NORTE</t>
  </si>
  <si>
    <t>MUNICIPALITY OF TUMAUINI, ISABELA</t>
  </si>
  <si>
    <t>MUNICIPALITY OF ATIMONAN, QUEZON</t>
  </si>
  <si>
    <t>MUNICIPALITY OF DANAO, BOHOL</t>
  </si>
  <si>
    <t>PHILIPPINE HEALTH INSURANCE CORPORATION - REGION VIII</t>
  </si>
  <si>
    <t>CITY OF MARIKINA</t>
  </si>
  <si>
    <t>MUNICIPALITY OF SAN NICOLAS, ILOCOS NORTE</t>
  </si>
  <si>
    <t>LUISA MEDEL NATIONAL HIGH SCHOOL - BACOLOD CITY</t>
  </si>
  <si>
    <t>PHILIPPINE HEART CENTER</t>
  </si>
  <si>
    <t>CITY OF TOLEDO, CEBU</t>
  </si>
  <si>
    <t>NATIONAL HOUSING AUTHORITY</t>
  </si>
  <si>
    <t>PHILIPPINE INFORMATION AGENCY</t>
  </si>
  <si>
    <t>BARANGAY STA. CRUZ KORONADAL CITY SOUTH COTABATO</t>
  </si>
  <si>
    <t>MUNICIPALITY OF GUINSILIBAN, CAMIGUIN</t>
  </si>
  <si>
    <t>MUNICIPALITY OF ESPERANZA, MASBATE</t>
  </si>
  <si>
    <t>CITY OF SILAY, NEGROS OCCIDENTAL</t>
  </si>
  <si>
    <t>MUNICIPALITY OF KAPALONG, DAVAO DEL NORTE</t>
  </si>
  <si>
    <t>BARANGAY POBLACION, INFANTA, PANGASINAN</t>
  </si>
  <si>
    <t>CITY OF BIÑAN, LAGUNA</t>
  </si>
  <si>
    <t>DANGEROUS DRUGS BOARD</t>
  </si>
  <si>
    <t>PARTIDO DEVELOPMENT ADMINISTRATION</t>
  </si>
  <si>
    <t>MUNICIPALITY OF BARCELONA, SORSOGON</t>
  </si>
  <si>
    <t>GRACIANO LOPEZ JAENA ELEMENTARY SCHOOL - NEGROS OCCIDENTAL</t>
  </si>
  <si>
    <t>CITY OF TALISAY, NEGROS OCCIDENTAL</t>
  </si>
  <si>
    <t>MUNICIPALITY OF KOLAMBUGAN, LANAO DEL NORTE</t>
  </si>
  <si>
    <t>MUNICIPALITY OF ROXAS, PALAWAN</t>
  </si>
  <si>
    <t>OBANDO WATER DISTRICT</t>
  </si>
  <si>
    <t>PUERTO PRINCESA CITY WATER DISTRICT</t>
  </si>
  <si>
    <t>INTELLECTUAL PROPERTY OF THE PHILIPPINES - TAGUIG CITY</t>
  </si>
  <si>
    <t>BARANGAY BALECBEC, NAGUILIAN, LA UNION</t>
  </si>
  <si>
    <t>PROVINCE OF DAVAO ORIENTAL</t>
  </si>
  <si>
    <t>MUNICIPALITY OF TUY, BATANGAS</t>
  </si>
  <si>
    <t>ABKASA ELEMENTARY SCHOOL</t>
  </si>
  <si>
    <t>MUNICIPALITY OF MADRIDEJOS, CEBU</t>
  </si>
  <si>
    <t>DEPARTMENT OF EDUCATION - DIVISION OF PANGASINAN II</t>
  </si>
  <si>
    <t>NATIONAL IRRIGATION ADMINISTRATION - SKIMO</t>
  </si>
  <si>
    <t>MUNICIPALITY OF CARAGA, DAVAO ORIENTAL</t>
  </si>
  <si>
    <t>MUNICIPALITY OF ALILEM, ILOCOS SUR</t>
  </si>
  <si>
    <t>DUMALAG VOCATIONAL TECHNICAL SCHOOL</t>
  </si>
  <si>
    <t>COMPOSTELA WATER DISTRICT</t>
  </si>
  <si>
    <t>DEPARTMENT OF EDUCATION - DIVISION OF MASBATE CITY</t>
  </si>
  <si>
    <t>BARANGAY  LINAO - SAN ISIDRO LEYTE</t>
  </si>
  <si>
    <t>CITY OF BOGO, CEBU</t>
  </si>
  <si>
    <t>DOH TREATMENT AND REHABILITATION CENTER - CEBU CITY</t>
  </si>
  <si>
    <t>BARANGAY STA. CRUZ, ALITAGTAG, BATANGAS</t>
  </si>
  <si>
    <t>DEPARTMENT OF AGRARIAN REFORM - COMVAL</t>
  </si>
  <si>
    <t>NATIONAL FOOD AUTHORITY - REGION VIII</t>
  </si>
  <si>
    <t>DEPARTMENT OF PUBLIC WORKS AND HIGHWAYS - IFUGAO 2ND DEO</t>
  </si>
  <si>
    <t>MUNICIPALITY OF SAN MIGUEL, SURIGAO DEL SUR</t>
  </si>
  <si>
    <t>MUNICIPALITY OF LAUR, NUEVA ECIJA</t>
  </si>
  <si>
    <t>MUNICIPALITY OF MIDSAYAP, NORTH COTABATO</t>
  </si>
  <si>
    <t>MUNICIPALITY OF NAGBUKEL, ILOCOS SUR</t>
  </si>
  <si>
    <t>MUNICIPALITY OF NATIVIDAD -  PANGASINAN</t>
  </si>
  <si>
    <t>TESDA 4B MIMAROPA REGIONAL OFFICE</t>
  </si>
  <si>
    <t>MUNICIPALITY OF AGNO, PANGASINAN</t>
  </si>
  <si>
    <t>MUNICIPALITY OF ESPERANZA, AGUSAN DEL SUR</t>
  </si>
  <si>
    <t>DEPARTMENT OF HEALTH REGIONAL OFFICE II</t>
  </si>
  <si>
    <t>BARANGAY BUCAL, BATANGAS CITY, BATANGAS</t>
  </si>
  <si>
    <t>MUNICIPALITY OF BATO, LEYTE</t>
  </si>
  <si>
    <t>BARANGAY BANABA WEST, BATANGAS CITY</t>
  </si>
  <si>
    <t>MUNICIPALITY OF KIBLAWAN, DAVAO DEL SUR</t>
  </si>
  <si>
    <t>VICENTE SOTTO MEMORIAL MEDICAL CENTER - REGION VII</t>
  </si>
  <si>
    <t>DON MARIANO MARCOS MEMORIAL STATE UNIVERSITY - BACNOTAN</t>
  </si>
  <si>
    <t>MUNICIPALITY OF AGOO, LA UNION</t>
  </si>
  <si>
    <t>MUNICIPALITY OF CABUGAO, ILOCOS SUR</t>
  </si>
  <si>
    <t>MUNICIPALITY OF SAN MATEO, RIZAL</t>
  </si>
  <si>
    <t>CITY OF LAOAG, ILOCOS NORTE</t>
  </si>
  <si>
    <t>CIVIL AVIATION AUTHORITY OF THE PHILIPPINES - REGION V</t>
  </si>
  <si>
    <t>BARANGAY SOLANGON - SAN JUAN SIQUIJOR</t>
  </si>
  <si>
    <t>BARANGAY BALETE, BATANGAS CITY, BATANGAS</t>
  </si>
  <si>
    <t>PROVINCIAL GOVERNMENT OF SURIGAO DEL NORTE</t>
  </si>
  <si>
    <t>BARANGAY ADLAY, CARRASCAL, SURIGAO DEL SUR</t>
  </si>
  <si>
    <t>MUNICIPALITY OF NEW CORELLA, DAVAO DEL NORTE</t>
  </si>
  <si>
    <t>CITY OF BUTUAN, AGUSAN DEL NORTE</t>
  </si>
  <si>
    <t>MUNICIPALITY OF BALUNGAO, PANGASINAN</t>
  </si>
  <si>
    <t>MUNICIPALITY OF DUPAX DEL NORTE, NUEVA VIZCAYA</t>
  </si>
  <si>
    <t>DEPARTMENT OF SOCIAL WELFARE AND DEVELOPMENT - REGION VI</t>
  </si>
  <si>
    <t>BICOL STATE COLLEGE OF APPLIED SCIENCES AND TECHNOLOGY</t>
  </si>
  <si>
    <t>CITY OF BISLIG, SURIGAO DEL SUR</t>
  </si>
  <si>
    <t>SANTIAGO WATER DISTRICT</t>
  </si>
  <si>
    <t>BARANGAY GASANG, MABINI, BATANGAS</t>
  </si>
  <si>
    <t>PROVINCE OF ANTIQUE</t>
  </si>
  <si>
    <t>BARANGAY 19-B, DAVAO CITY</t>
  </si>
  <si>
    <t>DEPARTMENT OF PUBLIC WORKS AND HIGHWAYS - LOWER KALINGA DEO</t>
  </si>
  <si>
    <t>DEPARTMENT OF TOURISM</t>
  </si>
  <si>
    <t>404TH CONTRACTING OFFICE, AFP PROCUREMENT SERVICE</t>
  </si>
  <si>
    <t>BARANGAY PAZ, PORO, CEBU</t>
  </si>
  <si>
    <t>BARANGAY LALA-O - SAN JUAN SIQUIJOE</t>
  </si>
  <si>
    <t>MUNICIPALITY OF DAO, CAPIZ</t>
  </si>
  <si>
    <t>DEPARTMENT OF TRADE AND INDUSTRY - REGION XII</t>
  </si>
  <si>
    <t>MUNICIPALITY OF ALUBIJID, MISAMIS ORIENTAL</t>
  </si>
  <si>
    <t>MUNICIPALITY OF LIAN, BATANGAS</t>
  </si>
  <si>
    <t>BARANGAY PILAHAN, MABINI, BATANGAS</t>
  </si>
  <si>
    <t>BARANGAY SAN PEDRO, SAN PABLO CITY, LAGUNA</t>
  </si>
  <si>
    <t>MACTAN-CEBU INTERNATIONAL AIRPORT AUTHORITY</t>
  </si>
  <si>
    <t>TECHNICAL EDUCATION &amp; SKILLS DEVELOPMENT AUTHORITY - NCR PAM</t>
  </si>
  <si>
    <t>BARANGAY LIGA IBAAN BATANGAS</t>
  </si>
  <si>
    <t>KUYA ELEMENTARY SCHOOL KUYA MARAMAG BUKIDNON</t>
  </si>
  <si>
    <t>NATIONAL IRRIGATION ADMINISTRATION - REGION V</t>
  </si>
  <si>
    <t>NATIONAL FOOD AUTHORITY - REGION V</t>
  </si>
  <si>
    <t>MARGOSATUBIG REGIONAL HOSPITAL</t>
  </si>
  <si>
    <t>VISAYAS STATE UNIVERSITY - MAIN CAMPUS</t>
  </si>
  <si>
    <t>MUNICIPALITY OF LAOAC, PANGASINAN</t>
  </si>
  <si>
    <t>WESTERN VISAYAS MEDICAL CENTER</t>
  </si>
  <si>
    <t>BARANGAY CRISTO REY - CAPAS TARLAC</t>
  </si>
  <si>
    <t>DEPARTMENT OF ENVIRONMENT AND NATURAL RES. - CENRO-APARRI</t>
  </si>
  <si>
    <t>PROVINCE OF MARINDUQUE</t>
  </si>
  <si>
    <t>BUREAU OF FIRE PROTECTION - CARAGA REGION</t>
  </si>
  <si>
    <t>OSPITAL NG PALAWAN</t>
  </si>
  <si>
    <t>NATIONAL POWER CORPORATION</t>
  </si>
  <si>
    <t>MUNICIPALITY OF BANGUI, ILOCOS NORTE</t>
  </si>
  <si>
    <t>102ND CONTRACTING OFFICE, AFP PROCUREMENT SERVICE</t>
  </si>
  <si>
    <t>BARANGAY BULACAN, MABINI, BATANGAS</t>
  </si>
  <si>
    <t>NORZAGARAY WATER DISTRICT</t>
  </si>
  <si>
    <t>BATA ELEMENTARY II</t>
  </si>
  <si>
    <t>MUNICIPALITY OF VALDERRAMA, ANTIQUE</t>
  </si>
  <si>
    <t>MUNICIPALITY OF KABACAN, COTABATO</t>
  </si>
  <si>
    <t>SOCIAL SECURITY SYSTEM - LUZON BICOL DIVISION</t>
  </si>
  <si>
    <t>MUNICIPALITY OF GIGMOTO, CATANDUANES</t>
  </si>
  <si>
    <t>TALISAY DISTRICT HOSPITAL</t>
  </si>
  <si>
    <t>DEPARTMENT OF AGRARIAN REFORM - ILOILO PROVINCIAL OFFICE</t>
  </si>
  <si>
    <t>BUREAU OF CUSTOMS - REGION V</t>
  </si>
  <si>
    <t>BUREAU OF FIRE PROTECTION - NATIONAL HEADQUARTERS</t>
  </si>
  <si>
    <t>MINDORO STATE COLLEGE OF AGRICULTURE AND TECHNOLOGY</t>
  </si>
  <si>
    <t>DEPARTMENT OF ENVIRONMENT AND NATURAL RESOURCES - APO ISLAND</t>
  </si>
  <si>
    <t>JARO NATIONAL HIGH SCHOOL</t>
  </si>
  <si>
    <t>MUNICIPALITY OF GASAN, MARINDUQUE</t>
  </si>
  <si>
    <t>PHILIPPINE SCIENCE HIGH SCHOOL - MAIN CAMPUS</t>
  </si>
  <si>
    <t>LAND TRANSPORTATION OFFICE - REGION IVA</t>
  </si>
  <si>
    <t>PROVINCE OF LA UNION</t>
  </si>
  <si>
    <t>MUNICIPALITY OF LUGAIT, MISAMIS ORIENTAL</t>
  </si>
  <si>
    <t>PROFESSIONAL REGULATION COMMISSION</t>
  </si>
  <si>
    <t>BARANGAY POBLACION III, NAGCARLAN, LAGUNA</t>
  </si>
  <si>
    <t>DEPARTMENT OF EDUCATION - DIVISION OF PANGASINAN I</t>
  </si>
  <si>
    <t>BUREAU OF FISHERIES AND AQUATIC RESOURCES CARAGA</t>
  </si>
  <si>
    <t>CITY OF TACURONG, SULTAN KUDARAT</t>
  </si>
  <si>
    <t>DEPARTMENT OF EDUCATION - SCHOOLS DIVISION OF BACOOR CITY</t>
  </si>
  <si>
    <t>TONDO MEDICAL CENTER</t>
  </si>
  <si>
    <t>LABUAN GENERAL HOSPITAL</t>
  </si>
  <si>
    <t>PHILIPPINE SCIENCE HIGH SCHOOL - CENTRAL LUZON CAMPUS</t>
  </si>
  <si>
    <t>BARANGAY TALAHIB, NAGCARLAN, LAGUNA</t>
  </si>
  <si>
    <t>CITY OF TANJAY, NEGROS ORIENTAL</t>
  </si>
  <si>
    <t>DEPARTMENT OF EDUCATION - DIVISION OF BOHOL</t>
  </si>
  <si>
    <t>PHILIPPINE CROP INSURANCE CORPORATION - REGION IV</t>
  </si>
  <si>
    <t>PHILIPPINE CHILDREN'S MEDICAL CENTER</t>
  </si>
  <si>
    <t>MUNICIPALITY OF ALABEL, SARANGANI PROVINCE</t>
  </si>
  <si>
    <t>MISAMIS OCCIDENTAL NATIONAL HIGH SCHOOL</t>
  </si>
  <si>
    <t>MUNICIPALITY OF KINOGUITAN , MISAMIS ORIENTAL</t>
  </si>
  <si>
    <t>BARANGAY PANTIHAN 4</t>
  </si>
  <si>
    <t>MUNICIPALITY OF BAYAMBANG - PANGASINAN</t>
  </si>
  <si>
    <t>MUNICIPALITY OF AGUINALDO, IFUGAO</t>
  </si>
  <si>
    <t>AGRICULTURAL TRAINING INSTITUTE - REGION III</t>
  </si>
  <si>
    <t>MUNICIPALITY OF SAGBAYAN, BOHOL</t>
  </si>
  <si>
    <t>DEPARTMENT OF TRADE AND INDUSTRY - REGION I</t>
  </si>
  <si>
    <t>DEPARTMENT OF PUBLIC WORKS AND HIGHWAYS - AGUSAN DEL SUR 2ND</t>
  </si>
  <si>
    <t>BARANGAY PANTIHAN 1 MARAGONDON CAVITE</t>
  </si>
  <si>
    <t>DEPARTMENT OF PUBLIC WORKS AND HIGHWAYS - BAGUIO CITY DEO</t>
  </si>
  <si>
    <t>NATIONAL HOME MORTGAGE FINANCE CORPORATION</t>
  </si>
  <si>
    <t>DEPARTMENT OF TRADE AND INDUSTRY - MAIN</t>
  </si>
  <si>
    <t>BARANGAY BANGKAL, COUNCIL</t>
  </si>
  <si>
    <t>AGRICULTURAL TRAINING INSTITUTE- REGIONAL TRAINING CENTER 02</t>
  </si>
  <si>
    <t>BARANGAY 6, SAN JUAN BAUTISTA, SAN NICOLAS, ILOCOS NORTE</t>
  </si>
  <si>
    <t>MUNICIPALITY OF STA. BARBARA, ILOILO</t>
  </si>
  <si>
    <t>MUNICIPALITY OF STO. NIÑO, SOUTH COTABATO</t>
  </si>
  <si>
    <t>BARANGAY MALAYA, LABO, CAMARINES NORTE</t>
  </si>
  <si>
    <t>114TH CONTRACTING OFFICE FOR INFRASTRUCTURE, AFPPS</t>
  </si>
  <si>
    <t>DEPARTMENT OF EDUCATION - DIVISION OF PANABO CITY</t>
  </si>
  <si>
    <t>BARANGAY BANJO WEST, TANAUAN CITY, BATANGAS</t>
  </si>
  <si>
    <t>QUIRINO MEMORIAL MEDICAL CENTER</t>
  </si>
  <si>
    <t>BARANGAY CALBAYOG, MALILIPOT, ALBAY</t>
  </si>
  <si>
    <t>TOLEDO NATIONAL HIGH SCHOOL - NABAS, AKLAN</t>
  </si>
  <si>
    <t>BARANGAY POBLACION, BOSTON, DAVAO ORIENTAL</t>
  </si>
  <si>
    <t>SAN PEDRO NATIONAL HIGH SCHOOL - HAGONOY BULACAN</t>
  </si>
  <si>
    <t>BARANGAY SAN MIGUEL ARAKAN COTABATO</t>
  </si>
  <si>
    <t>BARANGAY ADA, TANAUAN, LEYTE</t>
  </si>
  <si>
    <t>DEPARTMENT OF ENERGY - MAIN</t>
  </si>
  <si>
    <t>DEPARTMENT OF PUBLIC WORKS AND HIGHWAYS - REGION IV-A</t>
  </si>
  <si>
    <t>HOME DEVELOPMENT MUTUAL FUND - CALAMBA BRANCH</t>
  </si>
  <si>
    <t>BARANGAY LA RIOJA - PATNONGON, ANTIQUE</t>
  </si>
  <si>
    <t>BARANGAY BULUA, CAGAYAN DE ORO CITY</t>
  </si>
  <si>
    <t>BARANGAY 140 ZONE 12 DISTRICT 1</t>
  </si>
  <si>
    <t>BARANGAY MINIEN WEST, STA. BARBARA, PANGASINAN</t>
  </si>
  <si>
    <t>MUNICIPALITY OF DAGUIOMAN, ABRA</t>
  </si>
  <si>
    <t>DEPARTMENT OF PUBLIC WORKS AND HIGHWAYS - SULTAN KUDARAT 2ND</t>
  </si>
  <si>
    <t>INDUSTRIAL TECHNOLOGY DEVELOPMENT INSTITIUTE</t>
  </si>
  <si>
    <t>PONTEVEDRA SOUTH ELEMENTARY SCHOOL</t>
  </si>
  <si>
    <t>BUREAU OF INTERNAL REVENUE - REVENUE REGION NO. 2</t>
  </si>
  <si>
    <t>BARANGAY TALOY SUR - TUBA BENGUET</t>
  </si>
  <si>
    <t>CITY OF BALANGA NATIONAL HIGH SCHOOL</t>
  </si>
  <si>
    <t>FOOD AND NUTRITION RESEARCH INSTITUTE</t>
  </si>
  <si>
    <t>DEPARTMENT OF EDUCATION - DIVISION OF CAMARINES NORTE</t>
  </si>
  <si>
    <t>MUNICIPALITY OF MINALABAC, CAMARINES SUR</t>
  </si>
  <si>
    <t>APO PRODUCTION UNIT, INC.</t>
  </si>
  <si>
    <t>BARANGAY BAGONG TUBIG - SAN LUIS BATANGAS</t>
  </si>
  <si>
    <t>DEPARTMENT OF SOCIAL WELFARE AND DEVELOPMENT - REGION IV-B</t>
  </si>
  <si>
    <t>BARANGAY UGAC NORTE, TUGUEGARAO CITY, CAGAYAN</t>
  </si>
  <si>
    <t>LEGARDA ELEMENTARY SCHOOL - MANILA METRO MANILA</t>
  </si>
  <si>
    <t>BARANGAY 659-A ZONE 71 DISTRICT V, MANILA</t>
  </si>
  <si>
    <t>MUNICIPALITY OF PATNANUNGAN, QUEZON</t>
  </si>
  <si>
    <t>BARANGAY ZONE I -  PINAMALAYAN, ORIENTAL MINDORO</t>
  </si>
  <si>
    <t>BUREAU OF JAIL MANAGEMENT AND PENOLOGY - REGION VII</t>
  </si>
  <si>
    <t>MUNICIPALITY OF PAVIA, ILOILO</t>
  </si>
  <si>
    <t>DEPARTMENT OF PUBLIC WORKS AND HIGHWAYS - QUEZON 1ST ED</t>
  </si>
  <si>
    <t>MUNICIPALITY OF ENRIQUE VILLANUEVA, SIQUIJOR</t>
  </si>
  <si>
    <t>BARANGAY BOTOCAN - QUEZON CITY</t>
  </si>
  <si>
    <t>DEPARTMENT OF PUBLIC WORKS AND HIGHWAYS - CAGAYAN 1ST DEO</t>
  </si>
  <si>
    <t>BARANGAY INDUSTRIAL VALLEY COMPLEX, MARIKINA CITY</t>
  </si>
  <si>
    <t>MARAMAG WATER DISTRICT</t>
  </si>
  <si>
    <t>CALAMBA NATIONAL HIGH SCHOOL - CABADBARAN CITY AGUSAN DEL NO</t>
  </si>
  <si>
    <t>BARANGAY IBABANG DUPAY, LUCENA CITY</t>
  </si>
  <si>
    <t>MUNICIPALITY OF PITOGO, ZAMBOANGA DEL SUR</t>
  </si>
  <si>
    <t>HANDUM ELEMENTARY SCHOOL -1- BACOLOD CITY</t>
  </si>
  <si>
    <t>CITY OF TAYABAS, QUEZON</t>
  </si>
  <si>
    <t>305TH CONTRACTING OFFICE, AFP PROCUREMENT SERVICE</t>
  </si>
  <si>
    <t>NATIONAL WATER RESOURCES BOARD</t>
  </si>
  <si>
    <t>MUNICIPALITY OF MARGOSATUBIG, ZAMBOANGA DEL SUR</t>
  </si>
  <si>
    <t>NATIONAL COMMISSION FOR CULTURE AND THE ARTS</t>
  </si>
  <si>
    <t>BARANGAY SAPA PEQUEÑA, BURGOS, PANGASINAN</t>
  </si>
  <si>
    <t>MUNICIPALITY OF PROSPERIDAD, AGUSAN DEL SUR</t>
  </si>
  <si>
    <t>BARANGAY SAN VICENTE - LIBON, ALBAY</t>
  </si>
  <si>
    <t>AGRICULTURAL TRAINING INSTITUTE - TRECE MARTIRES</t>
  </si>
  <si>
    <t>CALUMPIT WATER DISTRICT</t>
  </si>
  <si>
    <t>PHILIPPINE SCIENCE HIGH SCHOOL - MIMAROPA REGION CAMPUS</t>
  </si>
  <si>
    <t>VILLA AGLIPAY NATIONAL HIGH SCHOOL</t>
  </si>
  <si>
    <t xml:space="preserve">EDUARDO COJUANGCO NATIONAL VOCATIONAL HIGH SCHOOL - PANIQUI </t>
  </si>
  <si>
    <t>BAYABAS ELEMENTARY SCHOOL - CABADBARAN CITY AGUSAN DEL NORTE</t>
  </si>
  <si>
    <t>BARANGAY  BAGTIC - SILAY CITY</t>
  </si>
  <si>
    <t>PEDRO E. DIAZ HIGH SCHOOL</t>
  </si>
  <si>
    <t>MUNICIPALITY OF PASUQUIN, ILOCOS NORTE</t>
  </si>
  <si>
    <t>PHILIPPINE NAVY PROCUREMENT CENTER, AFP PROCUREMENT SERVICE</t>
  </si>
  <si>
    <t>BARANGAY PAPALLASEN, BURGOS, PANGASINAN</t>
  </si>
  <si>
    <t>DEPARTMENT OF ENVIRONMENT AND NATURAL RES. - REGION IV MIMAR</t>
  </si>
  <si>
    <t>BARANGAY DIGON, MARGOSATUBIG, ZAMBOANGA DEL SUR</t>
  </si>
  <si>
    <t>BARANGAY TAMBACAN, BURGOS, PANGASINAN</t>
  </si>
  <si>
    <t>BARANGAY STA. FE, MATALOM, LEYTE</t>
  </si>
  <si>
    <t>MUNICIPALITY OF MARIVELES, BATAAN</t>
  </si>
  <si>
    <t>TOURISM PROMOTIONS BOARD</t>
  </si>
  <si>
    <t>MUNTINLUPA BUSINESS HIGH SCHOOL</t>
  </si>
  <si>
    <t>MUNICIPALITY OF SUGBONGCOGON, MISAMIS ORIENTAL</t>
  </si>
  <si>
    <t>DEPARTMENT OF ENVIRONMENT AND NATURAL RES. - PENRO PAMPANGA</t>
  </si>
  <si>
    <t>MUNICIPALITY OF BUGUIAS, BENGUET</t>
  </si>
  <si>
    <t>MUNICIPALITY OF TULUNAN, NORTH COTABATO</t>
  </si>
  <si>
    <t>BARANGAY 23 STA. CATALINA PASUQUIN ILOCOS NORTE</t>
  </si>
  <si>
    <t>BARANGAY CARUSIKIS, PASUQUIN, ILOCOS NORTE</t>
  </si>
  <si>
    <t>BARANGAY SAN JOSE, MALILIPOT, ALBAY</t>
  </si>
  <si>
    <t>NAMNAM ELEMENTARY SCHOOL</t>
  </si>
  <si>
    <t>BARANGAY 809 ZONE 88 DISTRICT V, MANILA</t>
  </si>
  <si>
    <t>NATIONAL COMMISSION ON INDIGENOUS PEOPLES - CAR</t>
  </si>
  <si>
    <t>BARANGAY 29 SAN JUAN PASUQUIN ILOCOS NORTE</t>
  </si>
  <si>
    <t>KAPITAN EDDIE T. REYES INTEGRATED SCHOOL</t>
  </si>
  <si>
    <t>CITY OF PUERTO PRINCESA, PALAWAN</t>
  </si>
  <si>
    <t>CENTER FOR HEALTH DEVELOPMENT - REGION VI</t>
  </si>
  <si>
    <t>CARLOS P. GARCIA HIGH SCHOOL</t>
  </si>
  <si>
    <t>PROVINCE OF QUEZON</t>
  </si>
  <si>
    <t>MUNICIPALITY OF COMPOSTELA, COMPOSTELA VALLEY</t>
  </si>
  <si>
    <t>QUEZON NATIONAL HIGH SCHOOL - PALAWAN</t>
  </si>
  <si>
    <t>DEPARTMENT OF PUBLIC WORKS AND HIGHWAYS - MINDORO OCCIDENTAL</t>
  </si>
  <si>
    <t>CITY OF BAGUIO, BENGUET</t>
  </si>
  <si>
    <t>ZSNHS-SENIOR HIGH SCHOOL (STAND ALONE)</t>
  </si>
  <si>
    <t>MUNICIPALITY OF LOPE DE VEGA, NORTHERN SAMAR</t>
  </si>
  <si>
    <t>CENTRAL MINDANAO UNIVERSITY</t>
  </si>
  <si>
    <t>MUNICIPALITY OF POZORRUBIO, PANGASINAN</t>
  </si>
  <si>
    <t>MUNICIPALITY OF MOLAVE, ZAMBOANGA DEL SUR</t>
  </si>
  <si>
    <t>DEPARTMENT OF AGRICULTURE - REGION V</t>
  </si>
  <si>
    <t>CITY OF TANDAG, SURIGAO DEL SUR</t>
  </si>
  <si>
    <t>MUNICIPALITY OF RIZAL,PALAWAN</t>
  </si>
  <si>
    <t>CEBU TECHNOLOGICAL UNIVERSITY</t>
  </si>
  <si>
    <t>DEPED-ROVI-DIVISION OF AKLAN</t>
  </si>
  <si>
    <t>CITY OF MANDAUE, CEBU</t>
  </si>
  <si>
    <t>MUNICIPALITY OF DUERO, BOHOL</t>
  </si>
  <si>
    <t>MUNICIPALITY OF SAN JOSE, BATANGAS</t>
  </si>
  <si>
    <t>MUNICIPALITY OF CORDOVA, CEBU</t>
  </si>
  <si>
    <t>MUNICIPALITY OF LIBAGON, SOUTHERN LEYTE</t>
  </si>
  <si>
    <t>BARANGAY BANAOANG, STA. BARBARA, PANGASINAN</t>
  </si>
  <si>
    <t>MUNICIPALITY OF BALILIHAN, BOHOL</t>
  </si>
  <si>
    <t>MUNICIPALITY OF BATO, CATANDUANES</t>
  </si>
  <si>
    <t>BARANGAY SAN PEDRO I, BACARRA, ILOCOS NORTE</t>
  </si>
  <si>
    <t>MARITIME SAFETY SERVICES COMMAND</t>
  </si>
  <si>
    <t>MUNICIPALITY OF NABUNTURAN, COMPOSTELA VALLEY</t>
  </si>
  <si>
    <t>MUNICIPALITY OF PALO - LEYTE LEYTE</t>
  </si>
  <si>
    <t>MUNICIPALITY OF BONGABONG, ORIENTAL MINDORO</t>
  </si>
  <si>
    <t>DEPARTMENT OF PUBLIC WORKS AND HIGHWAYS - CAGAYAN 3RD DEO</t>
  </si>
  <si>
    <t>PHILIPPINE HEALTH INSURANCE CORPORATION - REGION XI</t>
  </si>
  <si>
    <t>ZAMBOANGA CITY WATER DISTRICT - ZAMBOANGA CITY ZAMBOANGA DEL</t>
  </si>
  <si>
    <t>ROMBLON STATE UNIVERSITY</t>
  </si>
  <si>
    <t>BARANGAY SOLO, MABINI, BATANGAS</t>
  </si>
  <si>
    <t>DEPARTMENT OF PUBLIC WORKS AND HIGHWAYS - ROMBLON DEO</t>
  </si>
  <si>
    <t>MUNICIPALITY OF ANTEQUERA, BOHOL</t>
  </si>
  <si>
    <t>MUNICIPALITY OF SARIAYA, QUEZON</t>
  </si>
  <si>
    <t>BARANGAY PAYAO, CATBALOGAN CITY</t>
  </si>
  <si>
    <t>BARANGAY MAYPANGDAN, BORONGAN, EASTERN SAMAR</t>
  </si>
  <si>
    <t>MUNICIPALITY OF MIAG-AO, ILOILO</t>
  </si>
  <si>
    <t>COAST GUARD DISTRICT NORTHEASTERN LUZON</t>
  </si>
  <si>
    <t>MUNICIPALITY OF CORCUERA, ROMBLON</t>
  </si>
  <si>
    <t>MUNICIPALITY OF SANTA CRUZ, LAGUNA</t>
  </si>
  <si>
    <t>C. ARELLANO HIGH SCHOOL</t>
  </si>
  <si>
    <t>MUNICIPALITY OF LALA,  LANAO DEL NORTE</t>
  </si>
  <si>
    <t>MUNICIPALITY OF NAIC, CAVITE</t>
  </si>
  <si>
    <t>MUNICIPALITY OF ANTIPAS, COTABATO</t>
  </si>
  <si>
    <t>PHILIPPINE AMUSEMENT AND GAMING CORPORATION-BACOLOD</t>
  </si>
  <si>
    <t>MUNICIPALITY OF GUMACA, QUEZON</t>
  </si>
  <si>
    <t>BARANGAY NIPA, CONCEPCION, ILOILO</t>
  </si>
  <si>
    <t>MUNICIPALITY OF TAYTAY, PALAWAN</t>
  </si>
  <si>
    <t>LIGHT RAIL TRANSIT AUTHORITY</t>
  </si>
  <si>
    <t>ILOCOS TRAINING AND REGIONAL MEDICAL CENTER</t>
  </si>
  <si>
    <t>MUNICIPALITY OF BOAC, MARINDUQUE</t>
  </si>
  <si>
    <t>MARIVELES MENTAL WELLNESS AND GENERAL HOSPITAL</t>
  </si>
  <si>
    <t>CITY OF BAYAWAN, NEGROS ORIENTAL</t>
  </si>
  <si>
    <t>NATIONAL POWER CORPORATION - SPUG/BICOL OPERATIONS DIVISION</t>
  </si>
  <si>
    <t>BARANGAY ANIBONGON ,ABUYOG, LEYTE</t>
  </si>
  <si>
    <t>KIDAPAWAN CITY NATIONAL HIGH SCHOOL</t>
  </si>
  <si>
    <t>BARANGAY BEGONG - TIGBAO ZAMBOANGA DEL SUR</t>
  </si>
  <si>
    <t>DEPARTMENT OF PUBLIC WORKS AND HIGHWAYS - DAVAO ORIENTAL 1ST</t>
  </si>
  <si>
    <t>BARANGAY CUTA, BATANGAS CITY</t>
  </si>
  <si>
    <t>BARANGAY SOROSORO KARSADA, BATANGAS CITY</t>
  </si>
  <si>
    <t>AMADO V. HERNANDEZ ELEMENTARY SCHOOL</t>
  </si>
  <si>
    <t>BARANGAY 895 ZONE 99 DISTRICT 6, MANILA</t>
  </si>
  <si>
    <t>PROVINCE OF ZAMBOANGA SIBUGAY</t>
  </si>
  <si>
    <t>DEPARTMENT OF PUBLIC WORKS AND HIGHWAYS - ISABELA 2ND DEO</t>
  </si>
  <si>
    <t>BARANGAY 283 ZONE 26 DISTRICT III, MANILA</t>
  </si>
  <si>
    <t>DEPARTMENT OF PUBLIC WORKS AND HIGHWAYS - QUEZON CITY 2ND ED</t>
  </si>
  <si>
    <t>MUNICIPALITY OF ALEGRIA, CEBU</t>
  </si>
  <si>
    <t>BARANGAY BALAGTAS, BATANGAS CITY, BATANGAS</t>
  </si>
  <si>
    <t>BARANGAY NEW VISAYAS, PANABO CITY, DAVAO DEL NORTE</t>
  </si>
  <si>
    <t>METROPOLITAN NAGA WATER DISTRICT</t>
  </si>
  <si>
    <t>DEPARTMENT OF HEALTH - CHD, ZAMBOANGA PENINSULA</t>
  </si>
  <si>
    <t>GOVERNMENT SERVICE INSURANCE SYSTEM</t>
  </si>
  <si>
    <t>BARANGAY GRIJALVO, SAN FERNANDO, CAMARINES SUR</t>
  </si>
  <si>
    <t>MUNICIPALITY OF BANTAYAN, CEBU</t>
  </si>
  <si>
    <t>DEPARTMENT OF PUBLIC WORKS AND HIGHWAYS - LANAO DEL NORTE 1S</t>
  </si>
  <si>
    <t>BARANGAY STA. RITA KARSADA, BATANGAS CITY, BATANGAS</t>
  </si>
  <si>
    <t>PROVINCE OF SORSOGON</t>
  </si>
  <si>
    <t>DEPARTMENT OF PUBLIC WORKS AND HIGHWAYS - ILOILO 2ND DISTRIC</t>
  </si>
  <si>
    <t>MUNICIPALITY OF CARMONA, CAVITE</t>
  </si>
  <si>
    <t>BUREAU OF PLANT INDUSTRY - NCR</t>
  </si>
  <si>
    <t>NATIONAL IRRIGATION ADMINISTRATION - LEYTE IMO</t>
  </si>
  <si>
    <t>MUNICIPALITY OF PAGBILAO, QUEZON</t>
  </si>
  <si>
    <t>CITY OF TAGBILARAN, BOHOL</t>
  </si>
  <si>
    <t>MUNICIPALITY OF PINAMUNGAJAN, CEBU</t>
  </si>
  <si>
    <t>NATIONAL IRRIGATION ADMINISTRATION - IMO AGUSAN DEL SUR</t>
  </si>
  <si>
    <t>BARANGAY POBLACION, MAKATI CITY</t>
  </si>
  <si>
    <t>DEPARTMENT OF  EDUCATION - DIVISION OF SAN JOSE DEL MONTE CI</t>
  </si>
  <si>
    <t>SOCIAL SECURITY SYSTEM - SAN PABLO BRANCH OFFICE</t>
  </si>
  <si>
    <t>BARANGAY ILAYA 3RD, DUMANGAS, ILOILO</t>
  </si>
  <si>
    <t>TAYSAN NATIONAL HIGH SCHOOL (DEP-ED)</t>
  </si>
  <si>
    <t>PROVINCE OF ROMBLON</t>
  </si>
  <si>
    <t>DEPED-GUILLERMO D. MENDOZA HIGH SCHOOL</t>
  </si>
  <si>
    <t>BARANGAY MAYSALAY - GOA CAMARINES SUR</t>
  </si>
  <si>
    <t>MUNICIPALITY OF BINDOY, NEGROS ORIENTAL</t>
  </si>
  <si>
    <t>BARANGAY BONUAN GUESET, DAGUPAN CITY</t>
  </si>
  <si>
    <t>MANSIWAT PRIMARY SCHOOL</t>
  </si>
  <si>
    <t>SAWI ELEMENTARY SCHOOL</t>
  </si>
  <si>
    <t>TANZA ELEMENTARY SCHOOL-BOAC NORTH</t>
  </si>
  <si>
    <t>MUNICIPALITY OF KABASALAN, ZAMBOANGA SIBUGAY</t>
  </si>
  <si>
    <t>MUNICIPALITY OF ROSELLER T. LIM, ZAMBOANGA SIBUGAY</t>
  </si>
  <si>
    <t>NATIONAL HISTORICAL COMMISSION OF THE PHILIPPINES</t>
  </si>
  <si>
    <t>BARANGAY SOUTH TRIANGLE - QUEZON CITY</t>
  </si>
  <si>
    <t>MUNICIPALITY OF GATTARAN, CAGAYAN</t>
  </si>
  <si>
    <t>JULIO LEDESMA NATIONAL HIGH SCHOOL</t>
  </si>
  <si>
    <t>DEPARTMENT OF TRADE AND INDUSTRY - CAR</t>
  </si>
  <si>
    <t>COMMISSION ON AUDIT - MAIN</t>
  </si>
  <si>
    <t>MUNICIPALITY OF POLANGUI, ALBAY</t>
  </si>
  <si>
    <t>PROVINCE OF ZAMBALES</t>
  </si>
  <si>
    <t>MUNICIPALITY OF BONIFACIO, MISAMIS OCCIDENTAL</t>
  </si>
  <si>
    <t>SABLAYAN NATIONAL COMPREHENSIVE HIGH SCHOOL</t>
  </si>
  <si>
    <t>PULOT NATIONAL HIGH SCHOOL</t>
  </si>
  <si>
    <t>STA. CRUZ ELEMENTARY SCHOOL</t>
  </si>
  <si>
    <t>BARANGAY ALIBUNGBUNGAN, NAGCARLAN, LAGUNA</t>
  </si>
  <si>
    <t>BARANGAY PUNONG, TOMAS OPPUS, SOUTHERN LEYTE</t>
  </si>
  <si>
    <t>MUNICIPALITY OF BOBON, NORTHERN SAMAR</t>
  </si>
  <si>
    <t>BARANGAY SAN LUIS - CULASI ANTIQUE</t>
  </si>
  <si>
    <t>BARANGAY IBA, ANNI-Y, ANTIQUE</t>
  </si>
  <si>
    <t>DEPARTMENT OF PUBLIC WORKS AND HIGHWAYS - DINAGAT ISLANDS DI</t>
  </si>
  <si>
    <t>BARANGAY SANITO, IPIL, ZAMBOANGA SIBUGAY</t>
  </si>
  <si>
    <t>CITY  OF DANAO, CEBU</t>
  </si>
  <si>
    <t>TECHNICAL EDUCATION &amp; SKILLS DEVELOPMENT AUTHORITY-  ISABELA</t>
  </si>
  <si>
    <t>MUNICIPALITY OF BOLINAO, PANGASINAN</t>
  </si>
  <si>
    <t>BARANGAY CANARVACANAN, BINALONAN, PANGASINAN</t>
  </si>
  <si>
    <t>BARANGAY PINAGTUNG-ULAN, SAN JOSE, BATANGAS</t>
  </si>
  <si>
    <t>HOME DEVELOPMENT MUTUAL FUND - MAKATI BRANCH</t>
  </si>
  <si>
    <t>DEPARTMENT OF AGRICULTURE - REGION III</t>
  </si>
  <si>
    <t>MUNICIPALITY OF QUEZON, PALAWAN</t>
  </si>
  <si>
    <t>MUNICIPALITY OF DATU PIANG, MAGUINDANAO</t>
  </si>
  <si>
    <t>NATIONAL IRRIGATION ADMINISTRATION - COTABATO IMO</t>
  </si>
  <si>
    <t>MANGGAHAN HIGH SCHOOL</t>
  </si>
  <si>
    <t>BUREAU OF FISHERIES AND AQUATIC RESOURCES - REGION VIII</t>
  </si>
  <si>
    <t>MUNICIPALITY OF BALO-I, LANAO DEL NORTE</t>
  </si>
  <si>
    <t>PAGLAUM VILLAGE NATIONAL HIGH SCHOOL</t>
  </si>
  <si>
    <t>MUNICIPALITY OF LOOC, ROMBLON</t>
  </si>
  <si>
    <t>ANDRES BONIFACIO INTEGRATED SCHOOL (JUNIOR) - MANDALUYONG CI</t>
  </si>
  <si>
    <t>DEPARTMENT OF ENVIRONMENT AND NATURAL RES. - PENRO, BILIRAN</t>
  </si>
  <si>
    <t>DEPARTMENT OF INFORMATION AND COMMUNICATION TECHNOLOGY</t>
  </si>
  <si>
    <t>PANGANTUCAN NATIONAL HIGH SCHOOL</t>
  </si>
  <si>
    <t>GENERAL SANTOS CITY NATIONAL NATIONAL SECONDARY SCHOOL OF AR</t>
  </si>
  <si>
    <t>PRIVATIZATION AND MANAGEMENT OFFICE</t>
  </si>
  <si>
    <t>DEPARTMENT OF EDUCATION - DIVISION OF SAMAR</t>
  </si>
  <si>
    <t>BARANGAY CARAYRAYAN - SIPOCOT, CAMARINES SUR</t>
  </si>
  <si>
    <t>BARANGAY BARCENAGA, NAUJAN, ORIENTAL MINDORO</t>
  </si>
  <si>
    <t>MUNICIPALITY OF CALUMPIT, BULACAN</t>
  </si>
  <si>
    <t>MUNICIPALITY OF PINILI, ILOCOS NORTE</t>
  </si>
  <si>
    <t>NATIONAL IRRIGATION ADMINISTRATION - UPRIIS, DIVISION 2</t>
  </si>
  <si>
    <t>CITY OF SORSOGON, SORSOGON</t>
  </si>
  <si>
    <t>DEPARTMENT OF EDUCATION - DIVISION OF ALBAY</t>
  </si>
  <si>
    <t>CAIGANGAN ELEMENTARY SCHOOL</t>
  </si>
  <si>
    <t>BARANGAY SAN ANTONIO - ALAMINOS, PANGASINAN</t>
  </si>
  <si>
    <t>BARANGAY CENTRO VIII CLAVERIA CAGAYAN</t>
  </si>
  <si>
    <t>LOCAL GOVERNMENT UNIT OF OTON, ILOILO</t>
  </si>
  <si>
    <t>BARANGAY AMANDIEGO, ALAMINOS, PANGASINAN</t>
  </si>
  <si>
    <t>NATIONAL TRANSMISSION CORPORATION(TRANSCO)</t>
  </si>
  <si>
    <t>QUIRINO STATE UNIVERSITY</t>
  </si>
  <si>
    <t>BARANGAY PINAGSAMA - TAGUIG CITY</t>
  </si>
  <si>
    <t>MUNICIPALITY OF ARITAO, NUEVA VIZCAYA</t>
  </si>
  <si>
    <t>DON LUIS CONSING ELEMENTARY SCHOOL</t>
  </si>
  <si>
    <t>MUNICIPALITY OF LANUZA, SURIGAO DEL SUR</t>
  </si>
  <si>
    <t>NATIONAL IRRIGATION ADMINISTRATION - CBIMO</t>
  </si>
  <si>
    <t>BARANGAY BILOLO, ORION, BATAAN</t>
  </si>
  <si>
    <t>UNIVERSITY OF THE PHILIPPINES - MANILA PGH</t>
  </si>
  <si>
    <t>BARANGAY SIOCON, COMPOSTELA, COMPOSTELA VALLEY</t>
  </si>
  <si>
    <t>CITY OF ANTIPOLO, RIZAL</t>
  </si>
  <si>
    <t>MUNICIPALITY OF ALCANTARA, CEBU</t>
  </si>
  <si>
    <t>NATIONAL IRRIGATION ADMINISTRATION REGION 7</t>
  </si>
  <si>
    <t>DEPARTMENT OF PUBLIC WORKS AND HIGHWAYS - ILOCOS NORTE 1ST D</t>
  </si>
  <si>
    <t>UNIVERSITY OF THE PHILIPPINES - DILIMAN</t>
  </si>
  <si>
    <t>DEPARTMENT OF TRADE AND INDUSTRY - BENGUET</t>
  </si>
  <si>
    <t>MUNICIPALITY OF CAJIDIOCAN, ROMBLON</t>
  </si>
  <si>
    <t>DEPARTMENT OF PUBLIC WORKS AND HIGHWAYS - BOHOL 1ST ED</t>
  </si>
  <si>
    <t>BARANGAY PINAGBUHATAN, PASIG CITY</t>
  </si>
  <si>
    <t>EMILIO JACINTO ELEMENTARY SCHOOL</t>
  </si>
  <si>
    <t>WESTERN PHILIPPINES UNIVERSITY</t>
  </si>
  <si>
    <t>MUNICIPALITY OF SULOP, DAVAO DEL SUR</t>
  </si>
  <si>
    <t>PHILIPPINE AMUSEMENT AND GAMING CORPORATION</t>
  </si>
  <si>
    <t>DEPARTMENT OF AGRICULTURE - REGION XII</t>
  </si>
  <si>
    <t>POWER SECTOR ASSETS AND LIABILITIES MANAGEMENT CORPORATION-Q</t>
  </si>
  <si>
    <t>DEPARTMENT OF SCIENCE AND TECHNOLOGY - REGION XI</t>
  </si>
  <si>
    <t>BARANGAY 373 ZONE 38 DISTRICT III, MANILA</t>
  </si>
  <si>
    <t>DEPARTMENT OF PUBLIC WORKS AND HIGHWAYS - BENGUET 2ND DEO</t>
  </si>
  <si>
    <t>REBOKON AGRICULTURAL AND VOCATIONAL HIGH SCHOOL</t>
  </si>
  <si>
    <t>LANDY NATIONAL HIGH SCHOOL</t>
  </si>
  <si>
    <t>ENERGY REGULATORY COMMISSION</t>
  </si>
  <si>
    <t>MUNICIPALITY OF STA. CATALINA, NEGROS ORIENTAL</t>
  </si>
  <si>
    <t xml:space="preserve">DEPARTMENT OF PUBLIC WORKS AND HIGHWAYS - CAMARINES SUR 4TH </t>
  </si>
  <si>
    <t>BARANGAY MARANGI, SAN FERNANDO, CAMARINES SUR</t>
  </si>
  <si>
    <t>MUNICIPALITY OF BULUSAN, SORSOGON</t>
  </si>
  <si>
    <t>BARANGAY SAN VICENTE, BUTUAN CITY</t>
  </si>
  <si>
    <t>ISABELA STATE UNIVERSITY - ROXAS</t>
  </si>
  <si>
    <t>BARANGAY CAPALALIAN, PAMPLONA, CAGAYAN</t>
  </si>
  <si>
    <t>MUNICIPALITY OF BANAYOYO, ILOCOS SUR</t>
  </si>
  <si>
    <t>BARANGAY LAMOGONG - MANJUYOD NEGROS ORIENTAL</t>
  </si>
  <si>
    <t>MUNICIPALITY OF CULABA, BILIRAN</t>
  </si>
  <si>
    <t>NATIONAL TELECOMMUNICATIONS COMMISSION - REGION VI</t>
  </si>
  <si>
    <t>MUNICIPALITY OF CANTILAN, SURIGAO DEL SUR</t>
  </si>
  <si>
    <t>NATIONAL IRRIGATION ADMINISTRATION - AGUSAN DEL NORTE IMO</t>
  </si>
  <si>
    <t>DEPARTMENT OF PUBLIC WORKS AND HIGHWAYS - CAPIZ 1ST DEO</t>
  </si>
  <si>
    <t>CITY OF TALISAY, CEBU</t>
  </si>
  <si>
    <t>PROVINCE OF COTABATO</t>
  </si>
  <si>
    <t>BARANGAY FATIMA, PAQUIBATO DISTRICT, DAVAO CITY</t>
  </si>
  <si>
    <t>VILLACIN NATIONAL HIGH SCHOOL (SENIOR HIGH)</t>
  </si>
  <si>
    <t>MUNICIPALITY OF BINMALEY, PANGASINAN</t>
  </si>
  <si>
    <t>STA. LUCIA HIGH SCHOOL - JUNIOR HIGH SCHOOL</t>
  </si>
  <si>
    <t>MUNICIPALITY OF ALAMADA, COTABATO</t>
  </si>
  <si>
    <t>MINTAL ELEMENTARY SCHOOL</t>
  </si>
  <si>
    <t>AGRICULTURAL TRAINING INSTITUTE - REGION IV-B</t>
  </si>
  <si>
    <t>TECHNICAL EDUCATION AND SKILLS DEVELOPMENT AUTHORITY IV-A</t>
  </si>
  <si>
    <t>BUREAU OF PLANT INDUSTRY-BNCRDPSC</t>
  </si>
  <si>
    <t>DEPARTMENT OF PUBLIC WORKS AND HIGHWAYS - QUIRINO DEO</t>
  </si>
  <si>
    <t>MUNICIPALITY OF HINATUAN , SURIGAO DEL SUR</t>
  </si>
  <si>
    <t>BUREAU OF JAIL MANAGEMENT AND PENOLOGY-CALABARZON</t>
  </si>
  <si>
    <t>BARANGAY MONTE DUJALI, SAN ISIDRO DAVAO DEL NORTE</t>
  </si>
  <si>
    <t>MINES AND GEOSCIENCES BUREAU - MIMAROPA REGION</t>
  </si>
  <si>
    <t>CABADBARAN CITY NATIONAL HIGH SCHOOL</t>
  </si>
  <si>
    <t>BARANGAY POBLACION, SAN MIGUEL, SURIGAO DEL SUR</t>
  </si>
  <si>
    <t>DEPARTMENT OF PUBLIC WORKS AND HIGHWAYS - CAVITE I DEO</t>
  </si>
  <si>
    <t>BARANGAY CONCEPCION PEQUEÑA, NAGA CITY</t>
  </si>
  <si>
    <t>BARANGAY SAGAD, PASIG CITY</t>
  </si>
  <si>
    <t>MUNICIPALITY OF NASUGBU, BATANGAS</t>
  </si>
  <si>
    <t>NAGUILIAN WATER DISTRICT</t>
  </si>
  <si>
    <t>CALUMPIT NATIONAL HIGH SCHOOL</t>
  </si>
  <si>
    <t>BARANGAY KANLURAN ROSARIO CAVITE</t>
  </si>
  <si>
    <t>DENR FORESTLAND MANAGEMENT PROJECT</t>
  </si>
  <si>
    <t>PHILIPPINE STATISTICS AUTHORITY - ZAMBOANGA CITY</t>
  </si>
  <si>
    <t>CITY OF MARAWI</t>
  </si>
  <si>
    <t>AGUSAN NATIONAL HIGH SCHOOL</t>
  </si>
  <si>
    <t>SAN RAFAEL ELEMENTARY SCHOOL - CADIZ CITY</t>
  </si>
  <si>
    <t>BARANGAY 4 RAJAH SOLIMAN, BUTUAN CITY</t>
  </si>
  <si>
    <t>BARANGAY SAN VICENTE, GUMACA, QUEZON</t>
  </si>
  <si>
    <t>PROVINCE OF PAMPANGA</t>
  </si>
  <si>
    <t>BARANGAY LIRA, SAN JUAN, ILOCOS SUR</t>
  </si>
  <si>
    <t>BUREAU OF CORRECTIONS - SABLAYAN PRISON AND PENAL FARM</t>
  </si>
  <si>
    <t>BARANGAY MAGALLANES, MAKATI CITY</t>
  </si>
  <si>
    <t>SAMAR STATE UNIVERSITY</t>
  </si>
  <si>
    <t>BARANGAY STA. ELENA, SAN PABLO CITY, LAGUNA</t>
  </si>
  <si>
    <t>SAN ANTONIO NATIONAL HIGH SCHOOL</t>
  </si>
  <si>
    <t>PROVINCE OF DAVAO DEL NORTE</t>
  </si>
  <si>
    <t>DEPARTMENT OF EDUCATION - REGION XI</t>
  </si>
  <si>
    <t>BUGA HIGH SCHOOL - LIBON ALBAY</t>
  </si>
  <si>
    <t>MUNICIPALITY OF BURGOS, ILOCOS NORTE</t>
  </si>
  <si>
    <t>MUNICIPALITY OF MATNOG , SORSOGON</t>
  </si>
  <si>
    <t>ENVIRONMENTAL MANAGEMENT BUREAU - REGION III</t>
  </si>
  <si>
    <t>B. DURANO INTEGRATED SCHOOL - DANAO CITY CEBU</t>
  </si>
  <si>
    <t>T. PAEZ INTEGRATED SCHOOL (HS)</t>
  </si>
  <si>
    <t>DEVELOPMENT ACADEMY OF THE PHILIPPINES</t>
  </si>
  <si>
    <t>NATIONAL IRRIGATION ADMINISTRATION - PIMO</t>
  </si>
  <si>
    <t>PROVINCE OF NEGROS OCCIDENTAL</t>
  </si>
  <si>
    <t>BARANGAY GAAS - BAYBAY CITY LEYTE</t>
  </si>
  <si>
    <t>LAND TRANSPORTATION AND FRANCHISING REGULATORY BOARD - MAIN</t>
  </si>
  <si>
    <t>BARANGAY BALUAN GENERAL SANTOS CITY COTABATO</t>
  </si>
  <si>
    <t>BARANGAY SAN PABLO, STO. TOMAS, BATANGAS</t>
  </si>
  <si>
    <t>CAPIZ PROVINCIAL GOVERNMENT</t>
  </si>
  <si>
    <t>DEPARTMENT OF PUBLIC WORKS AND HIGHWAYS - QUEZON 4TH ED</t>
  </si>
  <si>
    <t>DEPARTMENT OF EDUCATION - DIVISION OF CEBU PROVINCE</t>
  </si>
  <si>
    <t>ALAMINOS CITY WATER DISTRICT</t>
  </si>
  <si>
    <t>BARANGAY KAMBONGGAN - BAYBAY CITY LEYTE</t>
  </si>
  <si>
    <t>MUNICIPALITY OF SABLAYAN, OCCIDENTAL MINDORO</t>
  </si>
  <si>
    <t>UNIVERSITY OF THE PHILIPPINES - OPEN UNIVERSITY</t>
  </si>
  <si>
    <t>UNIVERSITY OF RIZAL SYSTEM</t>
  </si>
  <si>
    <t>DEPARTMENT OF  EDUCATION - DIVISION OF MALOLOS CITY</t>
  </si>
  <si>
    <t>DEPARTMENT OF PUBLIC WORKS AND HIGHWAYS - APAYAO 1ST DEO</t>
  </si>
  <si>
    <t>BARANGAY BASIAD, STA. ELENA, CAMARINES  NORTE</t>
  </si>
  <si>
    <t>MUNICIPALITY OF MERCEDES, EASTERN SAMAR</t>
  </si>
  <si>
    <t>SAN NICOLAS ELEMENTARY SCHOOL</t>
  </si>
  <si>
    <t>BARANGAY SAPSAP PASTRANA LEYTE</t>
  </si>
  <si>
    <t>MUNICIPALITY OF TUBOD, SURIGAO DEL NORTE</t>
  </si>
  <si>
    <t>DEPARTMENT OF SOCIAL WELFARE AND DEVELOPMENT - REGION VIII</t>
  </si>
  <si>
    <t>BARANGAY ATABAY, HILONGOS, LEYTE</t>
  </si>
  <si>
    <t>NATIONAL IRRIGATION ADMINISTRATION - UPRIIS, DIVISION I</t>
  </si>
  <si>
    <t>GOVERNMENT SERVICE INSURANCE SYSTEM - TACLOBAN BRANCH OFFICE</t>
  </si>
  <si>
    <t>JOHN HAY MANAGEMENT CORPORATION</t>
  </si>
  <si>
    <t xml:space="preserve">DEPARTMENT OF  EDUCATION - SCHOOLS DIVISION OFFICE-DIVISION </t>
  </si>
  <si>
    <t>MALINO NATIONAL HIGH SCHOOL</t>
  </si>
  <si>
    <t>BUREAU OF FISHERIES AND AQUATIC RESOURCES - REGION III</t>
  </si>
  <si>
    <t>PHILIPPINE SPORTS COMMISSION</t>
  </si>
  <si>
    <t>BARANGAY 241, ZONE 22, DISTRICT II, MANILA</t>
  </si>
  <si>
    <t>DEPARTMENT OF ENVIRONMENT AND NATURAL RESOURCES - NCR</t>
  </si>
  <si>
    <t>SUM-AG ELEMENTARY SCHOOL - BACOLOD CITY NEGROS OCCIDENTAL</t>
  </si>
  <si>
    <t>BUREAU OF JAIL MANAGEMENT AND PENOLOGY XI</t>
  </si>
  <si>
    <t>BARANGAY NAGTUPACAN, PAMPLONA, CAGAYAN</t>
  </si>
  <si>
    <t>BARANGAY 225, ZONE 21 DISTRICT II MANILA</t>
  </si>
  <si>
    <t>MABABANABA NATIONAL HIGH SCHOOL</t>
  </si>
  <si>
    <t>VICTORIA NATIONAL HIGH SCHOOL</t>
  </si>
  <si>
    <t>MUNICIPALITY OF CONCEPCION, TARLAC</t>
  </si>
  <si>
    <t>MUNICIPALITY OF PAMPLONA, CAGAYAN</t>
  </si>
  <si>
    <t>MUNICIPALITY OF CLAVERIA, CAGAYAN</t>
  </si>
  <si>
    <t>BARANGAY TONGONAN, KANANGA, LEYTE</t>
  </si>
  <si>
    <t>CITY OF CATBALOGAN, SAMAR</t>
  </si>
  <si>
    <t>UNIVERSITY OF THE PHILIPPINES - SYSTEM</t>
  </si>
  <si>
    <t>CITY OF CALAMBA, LAGUNA</t>
  </si>
  <si>
    <t>CENTER FOR HEALTH DEVELOPMENT - REGION XI</t>
  </si>
  <si>
    <t>BARANGAY TAWAY, IPIL, ZAMBOANGA SIBUGAY</t>
  </si>
  <si>
    <t>DEPARTMENT OF EDUCATION - SCHOOLS DIVISION OF ISABELA CITY</t>
  </si>
  <si>
    <t>BARANGAY PUGUIS, LA TRINIDAD, BENGUET</t>
  </si>
  <si>
    <t>IGLAU-AN ELEMENTARY SCHOOL - MURCIA NEGROS OCCIDENTAL</t>
  </si>
  <si>
    <t>PHILIPPINE INSTITUTE FOR DEVELOPMENT STUDIES</t>
  </si>
  <si>
    <t>BARANGAY IGUID, CATBALOGAN, SAMAR</t>
  </si>
  <si>
    <t>BICOL REGION GENERAL HOSPITAL AND GERIATRIC MEDICAL CENTER(F</t>
  </si>
  <si>
    <t>DEPARTMENT OF PUBLIC WORKS AND HIGHWAYS - REGION I</t>
  </si>
  <si>
    <t>BARANGAY LIBAS, CATBALOGAN, SAMAR</t>
  </si>
  <si>
    <t>BARANGAY SOCORRO, CATBALOGAN CITY, SAMAR</t>
  </si>
  <si>
    <t>BARANGAY TAGBONGABONG - R.T. ROMUALDEZ, AGUSAN DEL NORTE</t>
  </si>
  <si>
    <t>BENEJIWAN ELEMENTARY SCHOOL</t>
  </si>
  <si>
    <t>DEPARTMENT OF PUBLIC WORKS AND HIGHWAYS - QUEZON 3RD ED</t>
  </si>
  <si>
    <t>MUNICIPALITY OF LEMERY, ILOILO</t>
  </si>
  <si>
    <t>TIGLAWIGAN NATIONAL HIGH SCHOOL</t>
  </si>
  <si>
    <t>BARANGAY CONAYNAY, SANTA BARBARA, ILOILO</t>
  </si>
  <si>
    <t>ROMBLON NATIONAL INSTITUTE OF TECHNOLOGY</t>
  </si>
  <si>
    <t>NATIONAL POLICE COMMISSION</t>
  </si>
  <si>
    <t>COMMISSION ON POPULATION - REGION 10</t>
  </si>
  <si>
    <t>DENR-PENRO,ORIENTAL MINDORO</t>
  </si>
  <si>
    <t>MUNICIPALITY OF BAGAC, BATAAN</t>
  </si>
  <si>
    <t>BARANGAY BULALA NORTE, APARRI, CAGAYAN</t>
  </si>
  <si>
    <t>BARANGAY CENTRO 4 APARRI CAGAYAN</t>
  </si>
  <si>
    <t>DEPARTMENT OF INFORMATION &amp; COMMUNICATIONS TECHNOLOGY - MIND</t>
  </si>
  <si>
    <t>MUNICIPALITY OF NAUJAN, ORIENTAL MINDORO</t>
  </si>
  <si>
    <t>MUNICIPALITY OF TIAONG, QUEZON</t>
  </si>
  <si>
    <t>DEPARTMENT OF PUBLIC WORKS AND HIGHWAYS - NORTHERN SAMAR 2ND</t>
  </si>
  <si>
    <t>MUNICIPALITY OF BUUG - ZAMBOANGA SIBUGAY</t>
  </si>
  <si>
    <t>PROVINCE OF PANGASINAN</t>
  </si>
  <si>
    <t>PASSI TRADE SCHOOL</t>
  </si>
  <si>
    <t>PHILIPPINE RURAL DEVELOPMENT PROJECT-MINDANAO CLUSTER</t>
  </si>
  <si>
    <t>MUNICIPALITY OF SEBASTE, ANTIQUE</t>
  </si>
  <si>
    <t>CITY OF DAGUPAN  - PANGASINAN</t>
  </si>
  <si>
    <t>MUNICIPALITY OF MARAGUSAN COMPOSTELA VALLEY</t>
  </si>
  <si>
    <t>BARANGAY PINAMOPOAN, CAPOOCAN, LEYTE</t>
  </si>
  <si>
    <t>BARANGAY LOWER DIMOROK - MOLAVE ZAMBOANGA DEL SU</t>
  </si>
  <si>
    <t>LIGA NG BARANGAY MAASIN ILOILO</t>
  </si>
  <si>
    <t>MUNICIPALITY OF TUBA, BENGUET</t>
  </si>
  <si>
    <t>CITY OF ANGELES, PAMPANGA</t>
  </si>
  <si>
    <t>BARANGAY BULAWAN - SIPOCOT, CAMARINES SUR</t>
  </si>
  <si>
    <t>BARANGAY ANIB - SIPOCOT, CAMARINES SUR</t>
  </si>
  <si>
    <t>BARANGAY CENTRAL SIGNAL VILLAGE -TAGUIG CITY</t>
  </si>
  <si>
    <t>MUNICIPALITY OF PUDTOL, APAYAO</t>
  </si>
  <si>
    <t>BARANGAY TARA - SIPOCOT, CAMARINES SUR</t>
  </si>
  <si>
    <t>KABADIANGAN ELEMENTARY SCHOOL</t>
  </si>
  <si>
    <t>COMMISSION ON HIGHER EDUCATION - REGION VII</t>
  </si>
  <si>
    <t>MUNICIPALITY OF SAN ROQUE - NORTHERN SAMAR</t>
  </si>
  <si>
    <t>BARANGAY IV -  BANTAY ILOCOS SUR</t>
  </si>
  <si>
    <t>BARANGAY TALACU-AN, LEON, ILOILO</t>
  </si>
  <si>
    <t>PAKIL WATER DISTRICT</t>
  </si>
  <si>
    <t>BANTON NATIONAL HIGH SCHOOL - BANTON ROMBLON</t>
  </si>
  <si>
    <t>NATIONAL POWER CORPORATION - MINGEN, PULANGI IV HEP</t>
  </si>
  <si>
    <t>DEPARTMENT OF PUBLIC WORKS AND HIGHWAYS - MAIN</t>
  </si>
  <si>
    <t>LAWAAN NATIONAL SCHOOL OF CRAFTSMANSHIP AND HOME INDUSTRIES</t>
  </si>
  <si>
    <t>TARLAC AGRICULTURAL UNIVERSITY</t>
  </si>
  <si>
    <t>MUNICIPALITY OF STA. TERESITA, CAGAYAN</t>
  </si>
  <si>
    <t>MUNICIPALITY OF SAN ANDRES, QUEZON</t>
  </si>
  <si>
    <t>BARANGAY SACRITAN - PINILI ILOCOS NORTE</t>
  </si>
  <si>
    <t>MUNICIPALITY OF KIBUNGAN, BENGUET</t>
  </si>
  <si>
    <t>MUNICIPALITY OF TOLOSA, LEYTE</t>
  </si>
  <si>
    <t>MUNICIPALITY OF JUBAN, SORSOGON</t>
  </si>
  <si>
    <t>BARANGAY SAN GABRIEL I, BACARRA, ILOCOS NORTE</t>
  </si>
  <si>
    <t>SAN JOSE (DINAGAT ISLAND) WATER DISTRICT</t>
  </si>
  <si>
    <t>BARANGAY CABARUAN, BACARRA, ILOCOS NORTE</t>
  </si>
  <si>
    <t>DEPARTMENT OF NATIONAL DEFENSE - GOVERNMENT ARSENAL, BATAAN</t>
  </si>
  <si>
    <t>MUNICIPALITY OF MANOLO FORTICH, BUKIDNON</t>
  </si>
  <si>
    <t>MUNICIPALITY OF SIGMA, CAPIZ</t>
  </si>
  <si>
    <t>CITY OF CALAPAN, ORIENTAL MINDORO</t>
  </si>
  <si>
    <t>MUNICIPALITY OF NORZAGARAY, BULACAN</t>
  </si>
  <si>
    <t>BARANGAY MUNGO, TUAO, CAGAYAN</t>
  </si>
  <si>
    <t>BARANGAY TAGABAKID, MATI, DAVAO ORIENTAL</t>
  </si>
  <si>
    <t>MUNICIPALITY OF KITAOTAO, BUKIDNON</t>
  </si>
  <si>
    <t>PILI INTEGRATED SCHOOL - DANAO CITY CEBU</t>
  </si>
  <si>
    <t>MUNICIPALITY OF SILANG , CAVITE</t>
  </si>
  <si>
    <t>BARANGAY TAGBUANE - ALBURQUERQUE, BOHOL</t>
  </si>
  <si>
    <t>DEPARTMENT OF EDUCATION - DIVISION OF NUEVA VIZCAYA</t>
  </si>
  <si>
    <t>BARANGAY CASIAN, TAYTAY, PALAWAN</t>
  </si>
  <si>
    <t>MUNICIPALITY OF LILIW, LAGUNA</t>
  </si>
  <si>
    <t>BUREAU OF PLANT INDUSTRY - REGION X</t>
  </si>
  <si>
    <t>DA - PHILIPPINE RURAL DEVELOPMENT PROJECT - CARAGA</t>
  </si>
  <si>
    <t>CITY OF SAN JOSE DEL MONTE, BULACAN</t>
  </si>
  <si>
    <t>BARANGAY TALAHIB, DARAGA, ALBAY</t>
  </si>
  <si>
    <t>SK OF BARANGAY WAWA II - ROSARIO CAVITE</t>
  </si>
  <si>
    <t>MUNICIPALITY OF MABINAY, NEGROS ORIENTAL</t>
  </si>
  <si>
    <t>NATIONAL FOOD AUTHORITY - MAIN</t>
  </si>
  <si>
    <t>CITY OF BACOLOD, NEGROS OCCIDENTAL</t>
  </si>
  <si>
    <t>PROVINCE OF SAMAR</t>
  </si>
  <si>
    <t>BARANGAY AGLAYAN, MALAYBALAY CITY</t>
  </si>
  <si>
    <t>DEPARTMENT OF HEALTH - REGION XII</t>
  </si>
  <si>
    <t>BARAGAY MAANGAS -  PRESENTACION, CAMARINES SUR</t>
  </si>
  <si>
    <t>MUNICIPALITY OF SAN FRANCISCO, CEBU</t>
  </si>
  <si>
    <t>MUNICIPALITY OF SOLSONA, ILOCOS NORTE</t>
  </si>
  <si>
    <t>MUNICIPALITY OF STA. CRUZ, OCCIDENTAL MINDORO</t>
  </si>
  <si>
    <t>BARANGAY KASING-KASING MOLO, ILOILO CITY</t>
  </si>
  <si>
    <t>MUNICIPALITY OF PANTUKAN, COMPOSTELA VALLEY</t>
  </si>
  <si>
    <t>MUNICIPALITY OF SAN GUILLERMO, ISABELA</t>
  </si>
  <si>
    <t>MUNICIPALITY OF ROSARIO, AGUSAN DEL SUR</t>
  </si>
  <si>
    <t>CITY OF OROQUIETA, MISAMIS OCCIDENTAL</t>
  </si>
  <si>
    <t>LBP RESOURCES AND DEVELOPMENT CORPORATION</t>
  </si>
  <si>
    <t>MUNICIPALITY OF JAMINDAN, CAPIZ</t>
  </si>
  <si>
    <t>MUNICIPALITY OF MANSALAY, ORIENTAL MINDORO</t>
  </si>
  <si>
    <t>DEPARTMENT OF PUBLIC WORKS AND HIGHWAYS - SURIGAO DEL SUR 1S</t>
  </si>
  <si>
    <t>MINES AND GEO-SCIENCES BUREAU - REGION III</t>
  </si>
  <si>
    <t>BARANGAY BUENAVISTA - PRESENTACION, CAMARINES SUR</t>
  </si>
  <si>
    <t>BARANGAY AMBARACAO SUR, NAGUILIAN, LA UNION</t>
  </si>
  <si>
    <t>UNIVERSITY OF THE PHILIPPINES - LOS BAÑOS</t>
  </si>
  <si>
    <t>MUNICIPALITY OF STO. TOMAS, PANGASINAN</t>
  </si>
  <si>
    <t>BARANGAY CABOLOAN SUR, OTON, ILOILO</t>
  </si>
  <si>
    <t>UNIVERSITY OF SCIENCE AND TECHNOLOGY OF SOUTHERN PHILIPPINES</t>
  </si>
  <si>
    <t>MUNICIPALITY OF BOTOLAN, ZAMBALES</t>
  </si>
  <si>
    <t>BUREAU OF FISHERIES AND AQUATIC RESOURCES - REGION XI</t>
  </si>
  <si>
    <t>BARANGAY SAN JUAN, MOLO, ILOILO CITY</t>
  </si>
  <si>
    <t>AGRICULTURAL TRAINING INSTITUTE - REGION XII</t>
  </si>
  <si>
    <t>DEPARTMENT OF PUBLIC WORKS AND HIGHWAYS - BUTUAN CITY DEO</t>
  </si>
  <si>
    <t>DR. FELIPE DE JESUS NATIONAL HIGH SCHOOL</t>
  </si>
  <si>
    <t>PEOPLE'S TELEVISION NETWORK, INC.</t>
  </si>
  <si>
    <t>MINES &amp; GEOSCIENCES BUREAU - REGION XI</t>
  </si>
  <si>
    <t>BARANGAY SILANGAN UNO - ROSARIO CAVITE</t>
  </si>
  <si>
    <t>DEPARTMENT OF AGRARIAN REFORM - REGION II</t>
  </si>
  <si>
    <t>DEPARTMENT OF TRADE AND INDUSTRY - ILOCOS SUR</t>
  </si>
  <si>
    <t>SINILOAN WATER DISTRICT</t>
  </si>
  <si>
    <t>MUNICIPALITY OF ITOGON, BENGUET</t>
  </si>
  <si>
    <t>BARANGAY POBLACION ROSARIO CAVITE</t>
  </si>
  <si>
    <t>PNOC - ALTERNATIVE FUELS CORPORATION</t>
  </si>
  <si>
    <t>BARANGAY LOWER BALURAN - IMELDA ZAMBOANGA SIBUGAY</t>
  </si>
  <si>
    <t>MUNICIPALITY OF BASCO, BATANES</t>
  </si>
  <si>
    <t>KATIPUNAN NATIONAL HIGH SCHOOL</t>
  </si>
  <si>
    <t>MUNICIPALITY OF GENERAL NAKAR, QUEZON</t>
  </si>
  <si>
    <t>BARANGAY WAWA II ROSARIO CAVITE</t>
  </si>
  <si>
    <t>BOHOL ISLAND STATE UNIVERSITY - MAIN CAMPUS</t>
  </si>
  <si>
    <t>RIZAL TECHNOLOGICAL UNIVERSITY</t>
  </si>
  <si>
    <t>MUNICIPALITY OF DAUIS, BOHOL</t>
  </si>
  <si>
    <t>MUNICIPALITY OF LAOANG, NORTHERN SAMAR</t>
  </si>
  <si>
    <t>DEPARTMENT OF SCIENCE AND TECHNOLOGY - REGION IV-B</t>
  </si>
  <si>
    <t>BARANGAY TAGPOPONGAN ISLAND GARDEN CITY OF SAMAL DAVAO DEL N</t>
  </si>
  <si>
    <t>RESEARCH INSTITUTE FOR TROPICAL MEDICINE, DOH</t>
  </si>
  <si>
    <t>CITY OF TABACO, ALBAY</t>
  </si>
  <si>
    <t>DEPARTMENT OF SOCIAL WELFARE AND DEVELOPMENT - REGION XI</t>
  </si>
  <si>
    <t>MUNICIPALITY OF LA LIBERTAD, NEGROS ORIENTAL</t>
  </si>
  <si>
    <t>BARANGAY LUZON, CLAVERIA, CAGAYAN</t>
  </si>
  <si>
    <t>PHILIPPINE INSTITUTE OF VOLCANOLOGY AND SEISMOLOGY</t>
  </si>
  <si>
    <t>COURT OF APPEALS</t>
  </si>
  <si>
    <t>DEPARTMENT OF PUBLIC WORKS AND HIGHWAYS - BUKIDNON 2ND DEO</t>
  </si>
  <si>
    <t>MUNICIPALITY OF CALABANGA, CAMARINES SUR</t>
  </si>
  <si>
    <t xml:space="preserve">DEPARTMENT OF PUBLIC WORKS AND HIGHWAYS - COMPOSTELA VALLEY </t>
  </si>
  <si>
    <t>NATIONAL ECONOMIC AND DEVELOPMENT AUTHORITY - REGION II</t>
  </si>
  <si>
    <t>DEPARTMENT OF EDUCATION - DIVISION OF PAGADIAN CITY</t>
  </si>
  <si>
    <t>DEPARTMENT OF PUBLIC WORKS AND HIGHWAYS - MT. PROVINCE I DEO</t>
  </si>
  <si>
    <t>CALULUT ELEMENTARY SCHOOL</t>
  </si>
  <si>
    <t>MUNICIPALITY OF QUIRINO, ISABELA</t>
  </si>
  <si>
    <t>DEPARTMENT OF SOCIAL WELFARE AND DEVELOPMENT - REGION V</t>
  </si>
  <si>
    <t>MUNICIPALITY OF LABANGAN, ZAMBOANGA DEL SUR</t>
  </si>
  <si>
    <t>MUNICIPALITY OF CAOAYAN, ILOCOS SUR</t>
  </si>
  <si>
    <t>MUNICIPALITY OF PILAR, CEBU</t>
  </si>
  <si>
    <t>BARANGAY GONZALES, TUBAO, LA UNION</t>
  </si>
  <si>
    <t>MUNICIPALITY OF BATO, CAMARINES SUR</t>
  </si>
  <si>
    <t>BARANGAY 104 ZONE 8 DISTRICT 1</t>
  </si>
  <si>
    <t>NATIONAL TELECOMMUNICATIONS COMMISSION</t>
  </si>
  <si>
    <t>METRO BANGUED WATER DISTRICT</t>
  </si>
  <si>
    <t>BARANGAY 54 ZONE 4 DISTRICT I</t>
  </si>
  <si>
    <t>BARANGAY DUMANTAY, BATANGAS CITY</t>
  </si>
  <si>
    <t>BARANGAY MAMALINGLING, DAGUPAN CITY</t>
  </si>
  <si>
    <t>BARANGAY DALAHICAN, LUCENA CITY</t>
  </si>
  <si>
    <t>BARANGAY TIGBAO, AROROY, MASBATE</t>
  </si>
  <si>
    <t>BARANGAY ORANBO, PASIG CITY</t>
  </si>
  <si>
    <t>BARANGAY II-B, SAN PABLO CITY</t>
  </si>
  <si>
    <t>DEPARTMENT OF PUBLIC WORKS AND HIGHWAYS - NEG. OCC. 2ND DEO</t>
  </si>
  <si>
    <t>PAG-IBIG FUND - DAVAO HUB (TECHNICAL AND ADMIN SUPPORT)</t>
  </si>
  <si>
    <t>BARANGAY NEW MAHAYAG, CATBALOGAN, SAMAR</t>
  </si>
  <si>
    <t>JOSE R. REYES MEMORIAL MEDICAL CENTER</t>
  </si>
  <si>
    <t>PHILIPPINE NATIONAL POLICE - SPECIAL ACTION FORCE</t>
  </si>
  <si>
    <t>BARANGAY BONUAN BINLOC, DAGUPAN CITY</t>
  </si>
  <si>
    <t>DEPARTMENT OF PUBLIC WORKS AND HIGHWAYS - MINDORO ORIENTAL D</t>
  </si>
  <si>
    <t>NATIONAL IRRIGATION ADMINISTRATION - CAR</t>
  </si>
  <si>
    <t>SAN ROQUE NATIONAL HIGH SCHOOL</t>
  </si>
  <si>
    <t>BUREAU OF CUSTOMS - DAVAO CITY</t>
  </si>
  <si>
    <t>COMMISSION ON POPULATION AND DEVELOPMENT</t>
  </si>
  <si>
    <t>BARANGAY MALABANBAN SUR, CANDELARIA, QUEZON</t>
  </si>
  <si>
    <t>CIVIL SERVICE COMMISSION - REGION II</t>
  </si>
  <si>
    <t>BARANGAY SEMIRARA, CALUYA, ANTIQUE</t>
  </si>
  <si>
    <t>NATIONAL FOOD AUTHORITY - TARLAC</t>
  </si>
  <si>
    <t>ENVIRONMENTAL MANAGEMENT BUREAU, DENR-REGION X</t>
  </si>
  <si>
    <t>MUNICIPALITY OF SAN MIGUEL, CATANDUANES</t>
  </si>
  <si>
    <t>BARANGAY TIBAL-OG, STO.TOMAS, DAVAO</t>
  </si>
  <si>
    <t>MUNICIPALITY OF BASILISA, DINAGAT ISLAND</t>
  </si>
  <si>
    <t>CENTER FOR HEALTH DEVELOPMENT - REGION I</t>
  </si>
  <si>
    <t>PHILIPPINE SCIENCE HIGH SCHOOL - REGION V</t>
  </si>
  <si>
    <t>EAST AVENUE MEDICAL CENTER</t>
  </si>
  <si>
    <t>DEPARTMENT OF ENVIRONMENT AND NATURAL RES. - PENRO, ALBAY</t>
  </si>
  <si>
    <t>BARANGAY 58, CASILI, LAOAG CITY, ILOCOS NORTE</t>
  </si>
  <si>
    <t>DEVELOPMENT BANK OF THE PHILIPPINES - BBG - NORTHERN MINDANA</t>
  </si>
  <si>
    <t>CITY OF VALENCIA, BUKIDNON</t>
  </si>
  <si>
    <t>SECURITIES AND EXCHANGE COMMISSION</t>
  </si>
  <si>
    <t>BARANGAY MINANGA CAMALANIUGAN CAGAYAN</t>
  </si>
  <si>
    <t>MUNICIPALITY OF LUPON, DAVAO ORIENTAL</t>
  </si>
  <si>
    <t>LAND TRANSPORTATION OFFICE - MAIN</t>
  </si>
  <si>
    <t>BARANGAY STA. LUCIA - PASIG CITY</t>
  </si>
  <si>
    <t>MUNICIPALITY OF SUYO, ILOCOS SUR</t>
  </si>
  <si>
    <t>PHILIPPINE RETIREMENT AUTHORITY</t>
  </si>
  <si>
    <t>DEPARTMENT OF HEALTH - REGION X</t>
  </si>
  <si>
    <t>DOH-REGIONAL OFFICE IV-A</t>
  </si>
  <si>
    <t>SUGAR REGULATORY ADMINISTRATION - VISAYAS</t>
  </si>
  <si>
    <t>DEPARTMENT OF PUBLIC WORKS AND HIGHWAYS - PAMPANGA 3RD DEO</t>
  </si>
  <si>
    <t>MUNICIPALITY OF LA PAZ, AGUSAN DEL SUR</t>
  </si>
  <si>
    <t>405TH CONTRACTING OFFICE, AFP PROCUREMENT SERVICE</t>
  </si>
  <si>
    <t>GENERAL SANTOS CITY WATER DISTRICT</t>
  </si>
  <si>
    <t>COOPERATIVE DEVELOPMENT AUTHORITY - REGION VIII</t>
  </si>
  <si>
    <t>SUGAR REGULATORY ADMINISTRATION</t>
  </si>
  <si>
    <t>PHILIPPINE PORTS AUTHORITY - PMO ILIGAN</t>
  </si>
  <si>
    <t>DEPARTMENT OF PUBLIC WORKS AND HIGHWAYS - ABRA ED</t>
  </si>
  <si>
    <t>BARANGAY MAPGAP, TOMAS OPPUS, SOUTHERN LEYTE</t>
  </si>
  <si>
    <t>DEPARTMENT OF PUBLIC WORKS AND HIGHWAYS - LAS PINAS- MUNTINL</t>
  </si>
  <si>
    <t>PROFESSIONAL REGULATION COMMISSION - ROSALES PANGASINAN</t>
  </si>
  <si>
    <t>DEPARTMENT OF PUBLIC WORKS AND HIGHWAYS - LAGUNA II DEO</t>
  </si>
  <si>
    <t>SOCIAL SECURITY SYSTEM - NCR NORTH DIVISION</t>
  </si>
  <si>
    <t>MUNICIPALITY OF JOSEFINA, ZAMBOANGA DEL SUR</t>
  </si>
  <si>
    <t>MUNICIPALITY OF ZAMBOANGUITA, NEGROS ORIENTAL</t>
  </si>
  <si>
    <t>DEPARTMENT OF EDUCATION - DIVISION OF GUIMARAS</t>
  </si>
  <si>
    <t>DEPARTMENT OF PUBLIC WORKS AND HIGHWAYS - LA UNION 2ND ED</t>
  </si>
  <si>
    <t>CITY OF MALAYBALAY, BUKIDNON</t>
  </si>
  <si>
    <t xml:space="preserve">TECHNICAL EDUCATION &amp; SKILLS DEVELOPMENT AUTHORITY - REGION </t>
  </si>
  <si>
    <t>MUNICIPALITY OF IROSIN, SORSOGON</t>
  </si>
  <si>
    <t>DEPARTMENT OF SCIENCE AND TECHNOLOGY - REGION V</t>
  </si>
  <si>
    <t>BARANGAY CANO-AN - ESTANCIA ILOILO</t>
  </si>
  <si>
    <t xml:space="preserve">DEPARTMENT OF PUBLIC WORKS AND HIGHWAYS - CAMARINES SUR 5TH </t>
  </si>
  <si>
    <t>BAGUIO WATER DISTRICT - BAGUIO CITY</t>
  </si>
  <si>
    <t>MUNICIPALITY OF TUAO, CAGAYAN</t>
  </si>
  <si>
    <t>PHILIPPINE HEALTH INSURANCE CORPORATION - REGION IX</t>
  </si>
  <si>
    <t>MUNICIPALITY OF ALEOSAN, COTABATO</t>
  </si>
  <si>
    <t>MINES AND GEOSCIENCES BUREAU - REGION I</t>
  </si>
  <si>
    <t>MALAYBALAY CITY WATER DISTRICT</t>
  </si>
  <si>
    <t>MUNICIPALITY OF INOPACAN, LEYTE</t>
  </si>
  <si>
    <t>DEPARTMENT OF ENVIRONMENT AND NATURAL RES. - PENRO, N. VIZCA</t>
  </si>
  <si>
    <t>BARANGAY CAOAYAN - SUAL PANGASINAN</t>
  </si>
  <si>
    <t>MUNICIPALITY OF SEVILLA, BOHOL</t>
  </si>
  <si>
    <t>NATIONAL CHILDREN'S HOSPITAL</t>
  </si>
  <si>
    <t>BARANGAY TINA, SAN MIGUEL, SURIGAO DEL SUR</t>
  </si>
  <si>
    <t>DEPARTMENT OF AGRARIAN REFORM - SOUTHERN LEYTE</t>
  </si>
  <si>
    <t>CENTRAL BICOL STATE UNIVERSITY OF AGRICULTURE (CBSUA)</t>
  </si>
  <si>
    <t>BARANGAY LIOAC SUR, NAGUILIAN, LA UNION</t>
  </si>
  <si>
    <t>INSTITUTE FOR LABOR STUDIES - MANILA METRO MANILA</t>
  </si>
  <si>
    <t>MUNICIPALITY OF BACOLOR, PAMPANGA</t>
  </si>
  <si>
    <t>PHILIPPINE HEALTH INSURANCE CORPORATION - CARAGA</t>
  </si>
  <si>
    <t>CITY  OF CADIZ, NEGROS OCCIDENTAL</t>
  </si>
  <si>
    <t>MUNICIPALITY OF PILAR, BATAAN</t>
  </si>
  <si>
    <t>PROVINCE OF SURIGAO DEL NORTE</t>
  </si>
  <si>
    <t>METRO LIPA WATER DISTRICT</t>
  </si>
  <si>
    <t>PHILIPPINE NATIONAL OIL COMPANY - MAIN OFFICE</t>
  </si>
  <si>
    <t>NATIONAL DAIRY AUTHORITY - REGION X</t>
  </si>
  <si>
    <t>MUNICIPALITY OF LUNA, ISABELA</t>
  </si>
  <si>
    <t>LAGUNA STATE POLYTECHNIC UNIVERSITY - SINILOAN CAMPUS</t>
  </si>
  <si>
    <t>BALIWAG WATER DISTRICT</t>
  </si>
  <si>
    <t>BUREAU OF FISHERIES AND AQUATIC RESOURCES - RV</t>
  </si>
  <si>
    <t>MUNICIPALITY OF PRES. MANUEL A. ROXAS, ZAMBOANGA DEL NORTE</t>
  </si>
  <si>
    <t>PINES CITY NATIONAL HIGH SCHOOL</t>
  </si>
  <si>
    <t>MUNICIPALITY OF LAGUINDINGAN, MISAMIS ORIENTAL</t>
  </si>
  <si>
    <t>MUNICIPALITY OF IMPASUGONG, BUKIDNON</t>
  </si>
  <si>
    <t>LANDBANK OF THE PHILIPPINES - HEAD OFFICE</t>
  </si>
  <si>
    <t>DEPARTMENT OF PUBLIC WORKS AND HIGHWAYS - PALAWAN 2ND DEO</t>
  </si>
  <si>
    <t>NATIONAL IRRIGATION ADMINISTRATION</t>
  </si>
  <si>
    <t>PHILIPPINE NATIONAL POLICE - LOGISTICS SUPPORT SERVICE</t>
  </si>
  <si>
    <t>DEPARTMENT OF PUBLIC WORKS AND HIGHWAYS - CEBU CITY DEO</t>
  </si>
  <si>
    <t>MUNICIPALITY OF MAINIT, SURIGAO DEL NORTE</t>
  </si>
  <si>
    <t>BARANGAY SUNGGIAM - ILOCOS SUR</t>
  </si>
  <si>
    <t>DEPARTMENT OF PUBLIC WORKS AND HIGHWAYS - BOHOL 2ND DEO</t>
  </si>
  <si>
    <t>DEPARTMENT OF HEALTH - CAR OFFICE</t>
  </si>
  <si>
    <t>MUNICIPALITY OF PANGANIBAN, CATANDUANES</t>
  </si>
  <si>
    <t>LICAB WATER DISTRICT</t>
  </si>
  <si>
    <t>BARANGAY CATBANGEN - SAN FERNANDO CITY, LA UNION</t>
  </si>
  <si>
    <t>MUNICIPALITY OF PAOAY, ILOCOS NORTE</t>
  </si>
  <si>
    <t>BARANGAY SAN MIGUEL, SAN PABLO CITY</t>
  </si>
  <si>
    <t>GOVERNOR CELESTINO GALLARES MEMORIAL HOSPITAL</t>
  </si>
  <si>
    <t>DEPARTMENT OF PUBLIC WORKS AND HIGHWAYS - REGION IV-B</t>
  </si>
  <si>
    <t>DEPARTMENT OF PUBLIC WORKS AND HIGHWAYS - METRO MANILA 3RD E</t>
  </si>
  <si>
    <t>BARANGAY 838 ZONE 91, DISTRICT VI MANILA</t>
  </si>
  <si>
    <t>DEPARTMENT OF PUBLIC WORKS AND HIGHWAYS - NORTH COTABATO 1ST</t>
  </si>
  <si>
    <t>BARANGAY VILLA PANTINOPLE - BASILISA, DINAGAT ISLAND</t>
  </si>
  <si>
    <t>BARANGAY LANTAP, BAGABAG, NUEVA VIZCAYA</t>
  </si>
  <si>
    <t>OFFICE OF CIVIL DEFENSE - REGION V</t>
  </si>
  <si>
    <t>HOME DEVELOPMENT MUTUAL FUND - IMUS BRANCH</t>
  </si>
  <si>
    <t>DEPARTMENT OF AGRICULTURE - REGION IV-B (MIMAROPA)</t>
  </si>
  <si>
    <t>ADVANCED SCIENCE AND TECHNOLOGY INSTITUTE</t>
  </si>
  <si>
    <t>ILOILO STATE COLLEGE OF FISHERIES - MAIN CAMPUS</t>
  </si>
  <si>
    <t>DEPARTMENT OF PUBLIC WORKS AND HIGHWAYS - CAVITE 3RD DISTRIC</t>
  </si>
  <si>
    <t>BARANGAY PINYA, LABO, CAMARINES NORTE</t>
  </si>
  <si>
    <t>MUNICIPALITY OF BAUAN, BATANGAS</t>
  </si>
  <si>
    <t>DEPARTMENT OF PUBLIC WORKS AND HIGHWAYS - ISABELA 3RD DEO</t>
  </si>
  <si>
    <t>DEPARTMENT OF PUBLIC WORKS AND HIGHWAYS - REGION IX</t>
  </si>
  <si>
    <t>BARANGAY TIBANG - SAN ANDRES, CATANDUANES</t>
  </si>
  <si>
    <t>MUNICIPALITY OF MANDAON, MASBATE</t>
  </si>
  <si>
    <t>NATIONAL IRRIGATION ADMINISTRATION - SARIS</t>
  </si>
  <si>
    <t>BARANGAY DIVINO ROSTRO - SAN ANDRES CATANDUANES</t>
  </si>
  <si>
    <t>BARANGAY BALLOG - BACNOTAN, LA UNION</t>
  </si>
  <si>
    <t>BARANGAY DE GUZMAN, MABINI, PANGASINAN</t>
  </si>
  <si>
    <t>BARANGAY LANAO PILAR CEBU</t>
  </si>
  <si>
    <t>BARANGAY CABANAETAN, MABINI, PANGASINAN</t>
  </si>
  <si>
    <t>NATIONAL MEAT INSPECTION  SERVICE</t>
  </si>
  <si>
    <t>BARANGAY 216 ZONE 20 DISTRICT II, MANILA</t>
  </si>
  <si>
    <t>BARANGAY CALANUTIAN - SAN NICOLAS PANGASINAN</t>
  </si>
  <si>
    <t>PHILIPPINE NUCLEAR RESEARCH INSTITUTE</t>
  </si>
  <si>
    <t>MUNICIPALITY OF ALITAGTAG, BATANGAS</t>
  </si>
  <si>
    <t>BARANGAY 245 ZONE 22 DISTRICT 2, MANILA</t>
  </si>
  <si>
    <t>MUNICIPALITY OF GANDARA, SAMAR</t>
  </si>
  <si>
    <t>PHILIPPINE PORTS AUTHORITY - PMO CAGAYAN DE ORO</t>
  </si>
  <si>
    <t>DEPARTMENT OF PUBLIC WORKS AND HIGHWAYS - COTABATO SUB-DEO</t>
  </si>
  <si>
    <t>BARANGAY POBLACION, SULOP, DAVAO DEL SUR</t>
  </si>
  <si>
    <t>DEPED-MURCIA NATIONAL HIGH SCHOOL</t>
  </si>
  <si>
    <t>TALA HIGH SCHOOL</t>
  </si>
  <si>
    <t>DON JOSE S. MONFORT MEDICAL CENTER EXTENSION HOSPITAL</t>
  </si>
  <si>
    <t>BARANGAY LIM-AO, KANANGA, LEYTE</t>
  </si>
  <si>
    <t>DEPARTMENT OF AGRICULTURE - REGION VII</t>
  </si>
  <si>
    <t>LIGA NG MGA BARANGAY, MAGSINGAL, ILOCOS SUR CHAPTER</t>
  </si>
  <si>
    <t>MUNICIPALITY OF ALOGUINSAN, CEBU</t>
  </si>
  <si>
    <t>BARANGAY SAN ANTONIO, PASIG CITY</t>
  </si>
  <si>
    <t>MUNICIPALITY OF PRESENTACION, CAMARINES SUR</t>
  </si>
  <si>
    <t>MUNICIPALITY OF VILLASIS, PANGASINAN</t>
  </si>
  <si>
    <t>DEPARTMENT OF AGRARIAN REFORM - QUEZON II PROVINCIAL OFFICE</t>
  </si>
  <si>
    <t>CITY GOVERNMENT OF BACOOR</t>
  </si>
  <si>
    <t>BARANGAY IBULO, BAGGAO, CAGAYAN</t>
  </si>
  <si>
    <t>BARANGAY SAN JOSE, BAGGAO, CAGAYAN</t>
  </si>
  <si>
    <t>MUNICIPALITY OF PAMBUJAN, NORTHERN SAMAR</t>
  </si>
  <si>
    <t>CITY OF DIPOLOG, ZAMBOANGA DEL NORTE</t>
  </si>
  <si>
    <t>BARANGAY POBLACION ZONE I, CAPOOCAN,LEYTE</t>
  </si>
  <si>
    <t>MUNICIPALITY OF SAN NARCISO, QUEZON</t>
  </si>
  <si>
    <t>BARANGAY ASINGA-VIA, BAGGAO, CAGAYAN</t>
  </si>
  <si>
    <t>BARANGAY ALEGRIA SAN FRANCISCO AGUSAN DEL SUR</t>
  </si>
  <si>
    <t>CITY OF ILOILO</t>
  </si>
  <si>
    <t>BARANGAY WARD I, SAN ANTONIO, NORTHERN SAMAR</t>
  </si>
  <si>
    <t>BARANGAY 4, LUCBAN, QUEZON</t>
  </si>
  <si>
    <t>MUNICIPALITY OF LABASON, ZAMBOANGA DEL NORTE</t>
  </si>
  <si>
    <t>DEPARTMENT OF PUBLIC WORKS AND HIGHWAYS - MISAMIS ORIENTAL 1</t>
  </si>
  <si>
    <t>MARINDUQUE STATE COLLEGE</t>
  </si>
  <si>
    <t>MUNICIPALITY OF TINGLAYAN, KALINGA</t>
  </si>
  <si>
    <t>PHILIPPINE MERCHANT MARINE ACADEMY</t>
  </si>
  <si>
    <t>MUNICIPALITY OF VILLABA, LEYTE</t>
  </si>
  <si>
    <t>PHILIPPINE NATIONAL POLICE - INFORMATION TECHNOLOGY MANAGEME</t>
  </si>
  <si>
    <t>NATIONAL IRRIGATION ADMINISTRATION - MARIIS, DIVISION II</t>
  </si>
  <si>
    <t>MUNICIPALITY OF SAN JUAN, SOUTHERN LEYTE</t>
  </si>
  <si>
    <t>BARANGAY GUADALUPE VIEJO, MAKATI CITY</t>
  </si>
  <si>
    <t>RAMON MAGSAYSAY HIGH SCHOOL</t>
  </si>
  <si>
    <t>BARANGAY SALOG, SORSOGON CITY, SORSOGON</t>
  </si>
  <si>
    <t>MUNICIPALITY OF STO. NIÑO, CAGAYAN</t>
  </si>
  <si>
    <t>BARANGAY PINAGBOBONG - TABACO, ALBAY</t>
  </si>
  <si>
    <t>MUNICIPALITY OF CABATUAN, ILOILO</t>
  </si>
  <si>
    <t>MUNICIPALITY OF MAPANAS, NORTHERN SAMAR</t>
  </si>
  <si>
    <t>BARANGAY DUMAGMANG, LABO, CAMARINES NORTE</t>
  </si>
  <si>
    <t>ISLAND GARDEN CITY OF SAMAL WATER DISTRICT</t>
  </si>
  <si>
    <t>MUNICIPALITY OF PINABACDAO, SAMAR</t>
  </si>
  <si>
    <t>BARANGAY SAN PEDRO -  TALIBON BOHOL</t>
  </si>
  <si>
    <t>CITY OF MAKATI</t>
  </si>
  <si>
    <t>BARANGAY LOWER LOBOC, OROQUIETA CITY</t>
  </si>
  <si>
    <t>MUNICIPALITY OF KAYAPA, NUEVA VIZCAYA</t>
  </si>
  <si>
    <t>MUNICIPALITY OF CALINTAAN, OCCIDENTAL MINDORO</t>
  </si>
  <si>
    <t>BARANGAY 50, BUTTONG, LAOAG CITY</t>
  </si>
  <si>
    <t>BARANGAY BARANCUAG - TUAO CAGAYAN</t>
  </si>
  <si>
    <t>CITY OF EL SALVADOR, MISAMIS ORIENTAL</t>
  </si>
  <si>
    <t>MUNICIPALITY OF MANUKAN, ZAMBOANGA DEL NORTE</t>
  </si>
  <si>
    <t>MUNICIPALITY OF CASIGURAN, SORSOGON</t>
  </si>
  <si>
    <t>BARANGAY CAGUMITAN - TUAO CAGAYAN</t>
  </si>
  <si>
    <t>PHILIPPINE STATISTICS AUTHORITY - BUKIDNON</t>
  </si>
  <si>
    <t>BARANGAY  DAGUPAN - TUAO CAGAYAN</t>
  </si>
  <si>
    <t>BARANGAY I(BONTOG), MATAAS NA KAHOY, BATANGAS</t>
  </si>
  <si>
    <t>BARANGAY LITTLE BAAGUIO - IMELDA ZAMBOANGA SIBUGAY</t>
  </si>
  <si>
    <t>BARANGAY NANGKAAN, MATAAS NA KAHOY, BATANGAS</t>
  </si>
  <si>
    <t>DEPARTMENT OF PUBLIC WORKS AND HIGHWAYS - ALBAY 2ND DEO</t>
  </si>
  <si>
    <t>NATIONAL KIDNEY AND TRANSPLANT INSTITUTE</t>
  </si>
  <si>
    <t>MUNICIPALITY OF BURGOS, ILOCOS SUR</t>
  </si>
  <si>
    <t>MUNICIPALITY OF SAN FERNANDO, CAMARINES SUR</t>
  </si>
  <si>
    <t>BARANGAY SAN JOAQUIN, CAPOOCAN, LEYTE</t>
  </si>
  <si>
    <t>PHILIPPINE NATIONAL POLICE - POLICE REGIONAL OFFICE 2</t>
  </si>
  <si>
    <t>MUNICIPALITY OF PRESIDENT ROXAS, CAPIZ</t>
  </si>
  <si>
    <t>CITY OF CANDON, ILOCOS SUR</t>
  </si>
  <si>
    <t>CITY OF LIGAO, ALBAY</t>
  </si>
  <si>
    <t>BARANGAY BAGANIAN - TABINA ZAMBOANGA DEL SUR</t>
  </si>
  <si>
    <t>MUNICIPALITY OF SAN PABLO, ZAMBOANGA DEL SUR</t>
  </si>
  <si>
    <t>BARANGAY BUKAL NORTE, CANDELARIA, QUEZON</t>
  </si>
  <si>
    <t>BARANGAY STA. ROSA, PASIG CITY</t>
  </si>
  <si>
    <t>DEPARTMENT OF AGRARIAN REFORM - BUKIDNON</t>
  </si>
  <si>
    <t>MUNICIPALITY OF ARACELI, PALAWAN</t>
  </si>
  <si>
    <t>CIVIL SERVICE COMMISSION - NCR</t>
  </si>
  <si>
    <t>PHILIPPINE PORTS AUTHORITY - HEAD OFFICE</t>
  </si>
  <si>
    <t>BARANGAY CAPSAY, AROROY, MASBATE</t>
  </si>
  <si>
    <t>DEPARTMENT OF ENVIRONMENT AND NATURAL RESOURCES - COMPOSTELA</t>
  </si>
  <si>
    <t>MUNICIPALITY OF MACROHON, SOUTHERN LEYTE</t>
  </si>
  <si>
    <t>CORAZON LOCSIN MONTELIBANO MEMORIAL REGIONAL HOSPITAL-DOH R6</t>
  </si>
  <si>
    <t>BANGKO SENTRAL NG PILIPINAS - TUGUEGARAO BRANCH</t>
  </si>
  <si>
    <t>DEPARTMENT OF PUBLIC WORKS AND HIGHWAYS - MASBATE 1ST DEO</t>
  </si>
  <si>
    <t>STA. LUCIA HIGH SCHOOL - SENIOR HIGH</t>
  </si>
  <si>
    <t>BALITUCAN NATIONAL HIGH SCHOOL</t>
  </si>
  <si>
    <t>REGIONAL SCIENCE HIGH SCHOOL - REGION I</t>
  </si>
  <si>
    <t>DEPARTMENT OF PUBLIC WORKS AND HIGHWAYS - PANGASINAN 3RD DEO</t>
  </si>
  <si>
    <t>MUNICIPALITY OF LIBMANAN, CAMARINES SUR</t>
  </si>
  <si>
    <t>CITY OF MALOLOS, BULACAN</t>
  </si>
  <si>
    <t>MUNICIPALITY OF ISULAN, SULTAN KUDARAT</t>
  </si>
  <si>
    <t>MUNICIPALITY OF MAGSINGAL, ILOCOS SUR</t>
  </si>
  <si>
    <t>MUNICIPALITY OF RAGAY, CAMARINES SUR</t>
  </si>
  <si>
    <t>TALIBON WATER DISTRICT</t>
  </si>
  <si>
    <t>MUNICIPALITY OF VALLEHERMOSO, NEGROS</t>
  </si>
  <si>
    <t>BARANGAY KAPATAGAN, DIGOS CITY</t>
  </si>
  <si>
    <t>AGRICULTURAL TRAINING INSTITUTE-CORDILLERA ADMINISTRATIVE RE</t>
  </si>
  <si>
    <t>MUNICIPALITY OF SAN ISIDRO, NORTHERN SAMAR</t>
  </si>
  <si>
    <t>BARANGAY CUYAOYAO, PIO DURAN, ALBAY</t>
  </si>
  <si>
    <t>MUNICIPALITY OF PIO DURAN, ALBAY</t>
  </si>
  <si>
    <t>BARANGAY ARANGIN, NAUJAN, ORIENTAL MINDORO</t>
  </si>
  <si>
    <t>PHILIPPINE SCIENCE HIGH SCHOOL - CAR CAMPUS</t>
  </si>
  <si>
    <t>MUNICIPALITY OF INDANG, CAVITE</t>
  </si>
  <si>
    <t>MUNICIPALITY OF ODIONGAN, ROMBLON</t>
  </si>
  <si>
    <t>DEPARTMENT OF ENVIRONMENT AND NATURAL RES. - PENRO AURORA</t>
  </si>
  <si>
    <t>MUNICIPALITY OF USON, MASBATE</t>
  </si>
  <si>
    <t>MUNICIPALITY OF CARAMORAN, CATANDUANES</t>
  </si>
  <si>
    <t>UNIVERSITY OF SOUTHERN MINDANAO - KIDAPAWAN CITY CAMPUS</t>
  </si>
  <si>
    <t>PINAGBUHATAN HIGH SCHOOL</t>
  </si>
  <si>
    <t>BARANGAY VISAYAN VILLAGE, TAGUM CITY</t>
  </si>
  <si>
    <t>ENVIRONMENTAL MANAGEMENT BUREAU - REGION II</t>
  </si>
  <si>
    <t>GMA WATER DISTRICT</t>
  </si>
  <si>
    <t>CALAMBA WATER DISTRICT</t>
  </si>
  <si>
    <t>MUNICIPALITY OF ILOG, NEGROS OCCIDENTAL</t>
  </si>
  <si>
    <t>DEPARTMENT OF PUBLIC WORKS AND HIGHWAYS - DAVAO DEL SUR DIST</t>
  </si>
  <si>
    <t>DENR-MASBATE</t>
  </si>
  <si>
    <t>BARANGAY IBA O'ESTE CALUMPIT BULACAN</t>
  </si>
  <si>
    <t>NATIONAL POLICE COMMISSION - REGION VII</t>
  </si>
  <si>
    <t>MUNICIPALITY OF OPOL, MISAMIS ORIENTAL</t>
  </si>
  <si>
    <t>BARANGAY NAGSIDORISAN, NAGUILIAN, LA UNION</t>
  </si>
  <si>
    <t>BARANGAY SAN ANTONIO ISLA VERDE, BATANGAS CITY</t>
  </si>
  <si>
    <t>DEPARTMENT OF PUBLIC WORKS AND HIGHWAYS - GUIMARAS DEO</t>
  </si>
  <si>
    <t>BARANGAY CAPAY-CAPAY - DUEÑAS ILOILO</t>
  </si>
  <si>
    <t>MUNICIPALITY OF GOA, CAMARINES SUR</t>
  </si>
  <si>
    <t>MUNICIPALITY OF ALCALA, CAGAYAN</t>
  </si>
  <si>
    <t>BARANGAY BURABOD, CASTILLA, SORSOGON</t>
  </si>
  <si>
    <t>BARANGAY MAHABANG DAHILIG -BATANGAS CITY BATANGAS</t>
  </si>
  <si>
    <t>PHILIPPINE CARABAO CENTER</t>
  </si>
  <si>
    <t>DEPARTMENT OF PUBLIC WORKS AND HIGHWAYS - CEBU 4TH DEO</t>
  </si>
  <si>
    <t>NATIONAL IRRIGATION ADMINISTRATION - DAVAO DEL NORTE IMO</t>
  </si>
  <si>
    <t>PROVINCE OF NORTHERN SAMAR</t>
  </si>
  <si>
    <t>CENTER FOR HEALTH DEVELOPMENT - REGION IV-B (MIMAROPA)</t>
  </si>
  <si>
    <t>BARANGAY BACAO -  TAYSAN BATANGAS</t>
  </si>
  <si>
    <t>CARAGA STATE UNIVERSITY - CABADBARAN CAMPUS</t>
  </si>
  <si>
    <t>BARANGAY SAN FRANCISCO EAST - ANAO TARLAC</t>
  </si>
  <si>
    <t>MUNICIPALITY OF AJUY, ILOILO</t>
  </si>
  <si>
    <t>DEPARTMENT OF TRADE AND INDUSTRY - REGION XI</t>
  </si>
  <si>
    <t>BARANGAY POBLACION 14, BATANGAS CITY, BATANGAS</t>
  </si>
  <si>
    <t>MUNICIPALITY OF MARIPIPI, BILIRAN</t>
  </si>
  <si>
    <t>DEPARTMENT OF AGRARIAN REFORM - MAIN</t>
  </si>
  <si>
    <t>BARANGAY IMELDA - BAYBAY CITY LEYTE</t>
  </si>
  <si>
    <t>BARANGAY DIVISORIA, CATAINGAN, MASBATE</t>
  </si>
  <si>
    <t>BARANGAY CASILI, ANAO, TARLAC</t>
  </si>
  <si>
    <t>BARANGAY DAP-DAP, RAPU-RAPU, ALBAY</t>
  </si>
  <si>
    <t>BARANGAY CHIMENEA, CATAINGAN, MASBATE</t>
  </si>
  <si>
    <t>MUNICIPALITY OF RIZAL, KALINGA</t>
  </si>
  <si>
    <t>DEPARTMENT OF PUBLIC WORKS AND HIGHWAYS - PANGASINAN 1ST DEO</t>
  </si>
  <si>
    <t>MUNICIPALITY OF SALAY , MISAMIS ORIENTAL</t>
  </si>
  <si>
    <t>NATIONAL INTELLIGENCE COORDINATING AGENCY</t>
  </si>
  <si>
    <t>MUNICIPALITY OF NAGUILIAN, ISABELA</t>
  </si>
  <si>
    <t>BARANGAY LAM-AN, OZAMIS CITY</t>
  </si>
  <si>
    <t>BARANGAY BANGCUD, MALAYBALAY CITY</t>
  </si>
  <si>
    <t>CIVIL SERVICE COMMISSION  - CENTRAL OFFICE</t>
  </si>
  <si>
    <t>MUNICIPALITY OF LORETO - DINAGAT ISLANDS</t>
  </si>
  <si>
    <t>DAMPOL 2ND NATIONAL HIGH SCHOOL</t>
  </si>
  <si>
    <t>BARANGAY MALLORGA - TALALORA, SAMAR</t>
  </si>
  <si>
    <t>MUNICIPALITY OF TALISAY, CAMARINES NORTE</t>
  </si>
  <si>
    <t>BARANGAY SAN MIGUEL, TAGUM CITY, DAVAO DEL NORTE</t>
  </si>
  <si>
    <t>DEPARTMENT OF PUBLIC WORKS AND HIGHWAYS - BATANGAS IV DEO</t>
  </si>
  <si>
    <t>MUNICIPALITY OF TUBOD, LANAO DEL NORTE</t>
  </si>
  <si>
    <t>BARANGAY BANLAG, MONKAYO, COMPOSTELA VALLEY</t>
  </si>
  <si>
    <t>MUNICIPALITY OF LIBUNGAN, COTABATO</t>
  </si>
  <si>
    <t>MUNICIPALITY OF MAYOYAO, IFUGAO</t>
  </si>
  <si>
    <t>SAN PABLO 2ND NATIONAL HIGH SCHOOL</t>
  </si>
  <si>
    <t>BARANGAY MAPULO - TAYSAN, BATANGAS</t>
  </si>
  <si>
    <t>BARANGAY LIBERTAD - NABAS AKLAN</t>
  </si>
  <si>
    <t>MUNICIPALITY OF SAN SIMON, PAMPANGA</t>
  </si>
  <si>
    <t>DEPARTMENT OF AGRICULTURE - MAIN</t>
  </si>
  <si>
    <t>BARANGAY LANANG, AROROY, MASBATE</t>
  </si>
  <si>
    <t>CITY OF TABUK, KALINGA</t>
  </si>
  <si>
    <t>MUNICIPALITY OF TUNGAWAN, ZAMBOANGA SIBUGAY</t>
  </si>
  <si>
    <t xml:space="preserve">DEPARTMENT OF PUBLIC WORKS AND HIGHWAYS - CAMARINES SUR 3RD </t>
  </si>
  <si>
    <t>BARANGAY SAN RAFAEL - PATNONGON, ANTIQUE</t>
  </si>
  <si>
    <t>MUNICIPALITY OF POLANCO, ZAMBOANGA DEL NORTE</t>
  </si>
  <si>
    <t>DAVAO PRISON AND PENAL FARM - BRAULIO E. DUJALI</t>
  </si>
  <si>
    <t>BARANGAY 8 POBLACION - TIGBAUAN ILOILO</t>
  </si>
  <si>
    <t>DEPARTMENT OF TRADE AND INDUSTRY - REGION III  NUEVA ECIJA</t>
  </si>
  <si>
    <t>BARANGAY IRISAN, BAGUIO CITY</t>
  </si>
  <si>
    <t>MUNICIPALITY OF MABINI, PANGASINAN</t>
  </si>
  <si>
    <t xml:space="preserve">BARANGAY BASUD, SAN ISIDRO, LEYTE </t>
  </si>
  <si>
    <t>CAGAYAN DE ORO CITY WATER DISTRICT</t>
  </si>
  <si>
    <t>MUNICIPALITY OF SAN FRANCISCO, QUEZON</t>
  </si>
  <si>
    <t>MUNICIPALITY OF LEBAK, SULTAN KUDARAT</t>
  </si>
  <si>
    <t>MUNICIPALITY OF SAN REMIGIO, CEBU</t>
  </si>
  <si>
    <t>PHILIPPINE STATE COLLEGE OF AERONAUTICS</t>
  </si>
  <si>
    <t>MUNICIPALITY OF SAN QUINTIN, ABRA</t>
  </si>
  <si>
    <t>PHILIPPINE NATIONAL POLICE - HEADQUARTERS SUPPORT SERVICE</t>
  </si>
  <si>
    <t>OFFICE OF CIVIL DEFENSE</t>
  </si>
  <si>
    <t>CARMONA WATER DISTRICT</t>
  </si>
  <si>
    <t>BARANGAY PASONG TAMO, QUEZON CITY</t>
  </si>
  <si>
    <t>DEPARTMENT OF PUBLIC WORKS AND HIGHWAYS - LEYTE 1ST ED</t>
  </si>
  <si>
    <t>MUNICIPALITY OF LUBA, ABRA</t>
  </si>
  <si>
    <t>111TH CONTRACTING OFFICE, AFP PROCUREMENT SERVICE</t>
  </si>
  <si>
    <t>BARANGAY BAGUINGIN TIGBAUAN ILO-ILO</t>
  </si>
  <si>
    <t>PACOL ELEMENTARY SCHOOL</t>
  </si>
  <si>
    <t>MUNICIPALITY OF SAN ISIDRO, BOHOL</t>
  </si>
  <si>
    <t>DEPARTMENT OF PUBLIC WORKS AND HIGHWAYS - BATANGAS 1ST DISTR</t>
  </si>
  <si>
    <t>MUNICIPALITY OF RAMON MAGSAYSAY, ZAMBOANGA DEL SUR</t>
  </si>
  <si>
    <t>MUNICIPALITY OF KALAYAAN, PALAWAN</t>
  </si>
  <si>
    <t>MUNICIPALITY OF BAUNGON, BUKIDNON</t>
  </si>
  <si>
    <t>MUNICIPALITY OF ARGAO, CEBU</t>
  </si>
  <si>
    <t>DEPARTMENT OF SOCIAL WELFARE AND DEVELOPMENT - REGION X</t>
  </si>
  <si>
    <t>SOCIAL SECURITY SYSTEM - LUZON SOUTH DIVISION 2</t>
  </si>
  <si>
    <t>BARANGAY POBLACION, RAPU-RAPU, ALBAY</t>
  </si>
  <si>
    <t>DEPARTMENT OF PUBLIC WORKS AND HIGHWAYS - CAGAYAN DE ORO CIT</t>
  </si>
  <si>
    <t>MUNICIPALITY OF RODRIGUEZ, RIZAL</t>
  </si>
  <si>
    <t>MUNICIPALITY OF BARBAZA, ANTIQUE</t>
  </si>
  <si>
    <t>MUNICIPALITY OF PAGSANGHAN, SAMAR</t>
  </si>
  <si>
    <t>MUNICIPALITY OF NUEVA VALENCIA, GUIMARAS</t>
  </si>
  <si>
    <t>BINALONAN WATER DISTRICT</t>
  </si>
  <si>
    <t>PROVINCIAL GOVERNMENT OF CAMARINES NORTE</t>
  </si>
  <si>
    <t>MANAOAG NATIONAL HIGH SCHOOL</t>
  </si>
  <si>
    <t>CITY OF ORMOC, LEYTE</t>
  </si>
  <si>
    <t>COMMISSION ON HUMAN RIGHTS MIMAROPA - QUEZON CITY</t>
  </si>
  <si>
    <t>MUNICIPALITY OF DON MARCELINO - DAVAO OCCIDENTAL</t>
  </si>
  <si>
    <t>BARANGAY NAPO, BOHOL</t>
  </si>
  <si>
    <t>NORTHERN MINDANAO SCHOOL OF FISHERIES</t>
  </si>
  <si>
    <t>OFFICE OF THE PRESIDENT</t>
  </si>
  <si>
    <t>DEPARTMENT OF PUBLIC WORKS AND HIGHWAYS - PANGASINAN IV DEO</t>
  </si>
  <si>
    <t>DEPARTMENT OF EDUCATION - DIVISION OF BUTUAN CITY</t>
  </si>
  <si>
    <t>MUNICIPALITY OF SIBALOM, ANTIQUE</t>
  </si>
  <si>
    <t>MUNICIPALITY OF MALVAR, BATANGAS</t>
  </si>
  <si>
    <t>DEPARTMENT OF PUBLIC WORKS AND HIGHWAYS - LEYTE 5TH ED</t>
  </si>
  <si>
    <t>BANGKO SENTRAL NG PILIPINAS - GEN. SANTOS BRANCH</t>
  </si>
  <si>
    <t>DEPARTMENT OF PUBLIC WORKS AND HIGHWAYS SARANGANI DISTRICT E</t>
  </si>
  <si>
    <t>LOCAL GOVERNMENT ACADEMY, DILG</t>
  </si>
  <si>
    <t>NATIONAL ECONOMIC AND DEVELOPMENT AUTHORITY - RVII</t>
  </si>
  <si>
    <t>HAGONOY WATER DISTRICT - BULACAN</t>
  </si>
  <si>
    <t>SIBULAN WATER DISTRICT</t>
  </si>
  <si>
    <t>PROVINCE OF MISAMIS ORIENTAL</t>
  </si>
  <si>
    <t>MUNICIPALITY OF ARINGAY, LA UNION</t>
  </si>
  <si>
    <t>BARANGAY MARIBUYONG, DUENAS, ILOILO</t>
  </si>
  <si>
    <t>MANAPLA WATER DISTRICT</t>
  </si>
  <si>
    <t>CITY OF IRIGA</t>
  </si>
  <si>
    <t>BUREAU OF FISHERIES AND AQUATIC RESOURCES - CAR</t>
  </si>
  <si>
    <t>ISABELA STATE UNIVERSITY - CABAGAN CAMPUS</t>
  </si>
  <si>
    <t>BUTUAN CITY WATER DISTRICT</t>
  </si>
  <si>
    <t>DEPARTMENT OF PUBLIC WORKS AND HIGHWAYS - BATANES DEO</t>
  </si>
  <si>
    <t>BARANGAY BUCAO - GUIUAN, EASTERN SAMAR</t>
  </si>
  <si>
    <t>COMMISSION ON FILIPINOS OVERSEAS</t>
  </si>
  <si>
    <t>DEPARTMENT OF AGRARIAN REFORM - KALINGA PROVINCE</t>
  </si>
  <si>
    <t>BARANGAY STA. BARBARA, RAPU-RAPU, ALBAY</t>
  </si>
  <si>
    <t>FOREST PRODUCT RESEARCH AND DEVELOPMENT INSTITUTE ( FPRDI )</t>
  </si>
  <si>
    <t>NATIONAL IRRIGATION ADMINISTRATION - CAMARINES SUR IMO</t>
  </si>
  <si>
    <t>PHILIPPINE CROP INSURANCE CORPORATION</t>
  </si>
  <si>
    <t>MUNICIPALITY OF LAGAWE, IFUGAO</t>
  </si>
  <si>
    <t>MUNICIPALITY OF MABUHAY, ZAMBOANGA SIBUGAY</t>
  </si>
  <si>
    <t>DAVAO NATIONAL AGRICULTURAL SCHOOL</t>
  </si>
  <si>
    <t>BARANGAY SAN ISIDRO, TOMAS OPPUS, SOUTHERN LEYTE</t>
  </si>
  <si>
    <t>BARANGAY CASILAGAN, NAGUILIAN, LA UNION</t>
  </si>
  <si>
    <t>MUNICIPALITY OF TALACOGON, AGUSAN DEL SUR</t>
  </si>
  <si>
    <t>DEPARTMENT OF PUBLIC WORKS AND HIGHWAYS - IFUGAO</t>
  </si>
  <si>
    <t>MUNICIPALITY OF MAGSAYSAY, PALAWAN</t>
  </si>
  <si>
    <t>MUNICIPALITY OF HAMTIC, ANTIQUE</t>
  </si>
  <si>
    <t>MUNICIPALITY OF MOGPOG, MARINDUQUE</t>
  </si>
  <si>
    <t>MUNICIPALITY OF LAS NAVAS, NORTHERN SAMAR</t>
  </si>
  <si>
    <t>MUNICIPALITY OF SOUTH UPI, MAGUINADANAO</t>
  </si>
  <si>
    <t>DEPARTMENT OF EDUCATION - DIVISION OF BILIRAN</t>
  </si>
  <si>
    <t>101ST CONTRACTING OFFICE, AFP PROCUREMENT SERVICE</t>
  </si>
  <si>
    <t>SALOGON ELEMENTARY SCHOOL - SAN JOSE CAMARINES SUR</t>
  </si>
  <si>
    <t>ILOCOS NORTE COLLEGE OF ARTS AND TRADES</t>
  </si>
  <si>
    <t>HINIGARAN ELEMENTARY SCHOOL-A</t>
  </si>
  <si>
    <t>TESDA - APARRI POLYTECHNIC INSTITUTE</t>
  </si>
  <si>
    <t>TALAVERA GENERAL HOSPITAL</t>
  </si>
  <si>
    <t>ISABELA CITY WATER DISTRICT</t>
  </si>
  <si>
    <t>MUNICIPALITY OF BUENAVISTA, MARINDUQUE</t>
  </si>
  <si>
    <t>DEPARTMENT OF PUBLIC WORKS AND HIGHWAYS - NEG. OCC. 3RD DEO</t>
  </si>
  <si>
    <t>MUNICIPALITY OF DUMINGAG, ZAMBOANGA DEL SUR</t>
  </si>
  <si>
    <t>JOSE RIZAL MEMORIAL STATE COLLEGE - TAMPILISAN CAMPUS</t>
  </si>
  <si>
    <t>BARANGAY TONGANTONGAN, VALENCIA CITY</t>
  </si>
  <si>
    <t>MUNICIPALITY OF MAITUM, SARANGANI</t>
  </si>
  <si>
    <t>DEPARTMENT OF ENVIRONMENT AND NATURAL RES. - PENRO, SORSOGON</t>
  </si>
  <si>
    <t>BARANGAY MUZON I ROSARIO CAVITE</t>
  </si>
  <si>
    <t>DEPARTMENT OF TRADE AND INDUSTRY - TAGUM CITY</t>
  </si>
  <si>
    <t>MUNICIPALITY OF STA. PRAXEDES, CAGAYAN</t>
  </si>
  <si>
    <t>MUNICIPALITY OF AROROY, MASBATE</t>
  </si>
  <si>
    <t>MUNICIPALITY OF CARMEN, DAVAO DEL NORTE</t>
  </si>
  <si>
    <t>BICOL UNIVERSITY</t>
  </si>
  <si>
    <t>MUNICIPALITY OF CAGWAIT, SURIGAO DEL SUR</t>
  </si>
  <si>
    <t>DEPARTMENT OF EDUCATION - DIVISION OF ILOILO</t>
  </si>
  <si>
    <t>COURT OF TAX APPEALS</t>
  </si>
  <si>
    <t>NIA-CHICO RIVER PUMP IRRIGATION PROJECT, TUAO, CAGAYAN</t>
  </si>
  <si>
    <t>BANGKO SENTRAL NG PILIPINAS - CAGAYAN DE ORO CITY</t>
  </si>
  <si>
    <t>TECHNICAL EDUCATION &amp; SKILLS DEVELOPMENT AUTHORITY - CAVITE</t>
  </si>
  <si>
    <t>DEPARTMENT OF EDUCATION - DVISION OF PUERTO PRINCESA CITY</t>
  </si>
  <si>
    <t>BARANGAY LICTIN - SAN ANDRES, CATANDUANES</t>
  </si>
  <si>
    <t>MUNICIPALITY OF CARRASCAL, SURIGAO DEL SUR</t>
  </si>
  <si>
    <t>CITY OF KORONADAL, SOUTH COTABATO</t>
  </si>
  <si>
    <t>MUNICIPALITY OF GERONA, TARLAC</t>
  </si>
  <si>
    <t>MUNICIPALITY OF RAPU-RAPU, ALBAY</t>
  </si>
  <si>
    <t>MUNICIPALITY OF CALACA, BATANGAS</t>
  </si>
  <si>
    <t>CAUAYAN CITY WATER DISTRICT</t>
  </si>
  <si>
    <t>BATANES GENERAL HOSPITAL</t>
  </si>
  <si>
    <t>NATIONAL IRRIGATION ADMINISTRATION - NEGROS ISLAND REGION</t>
  </si>
  <si>
    <t>BARANGAY TIGATTO, DAVAO CITY</t>
  </si>
  <si>
    <t>MUNICIPALITY OF SALVADOR, LANAO DEL NORTE</t>
  </si>
  <si>
    <t>MUNICIPALITY OF DINALUPIHAN, BATAAN</t>
  </si>
  <si>
    <t>DEPARTMENT OF PUBLIC WORKS AND HIGHWAYS - REGION VIII</t>
  </si>
  <si>
    <t>DEPARTMENT OF PUBLIC WORKS AND HIGHWAYS - ILOILO CITY DEO</t>
  </si>
  <si>
    <t>DEPARTMENT OF ENVIRONMENT AND NATURAL RES. - PENRO, BATANES</t>
  </si>
  <si>
    <t>DEPARTMENT OF PUBLIC WORKS AND HIGHWAYS - CEBU 3RD DEO</t>
  </si>
  <si>
    <t>MABUHAY ELEMENTARY SCHOOL - SAN FERNANDO, BUKIDNON</t>
  </si>
  <si>
    <t>CITY OF SANTA ROSA, LAGUNA</t>
  </si>
  <si>
    <t>LAND TRANSPORTATION FRANCHISING &amp; REGULATORY BOARD - REG. IV</t>
  </si>
  <si>
    <t>PHILIPPINE PORTS AUTHORITY - PMO ZAMBOANGA DEL NORTE</t>
  </si>
  <si>
    <t>AGUSAN DEL SUR SCHOOL OF ARTS AND TRADES - CARAGA</t>
  </si>
  <si>
    <t>BARANGAY III-C, SAN PABLO CITY</t>
  </si>
  <si>
    <t>PHILIPPINE NATIONAL POLICE - HEALTH SERVICE</t>
  </si>
  <si>
    <t>NATIONAL TELECOMMUNICATIONS COMMISSION - REGION V</t>
  </si>
  <si>
    <t>PHILIPPINE ECONOMIC ZONE AUTHORITY - BAGUIO CITY ECOZONE</t>
  </si>
  <si>
    <t>MUNICIPALITY OF ABULUG, CAGAYAN</t>
  </si>
  <si>
    <t>BARANGAY STO. NIÑO SUR, AREVALO, ILOILO CITY</t>
  </si>
  <si>
    <t>BARANGAY BOLILAO, MANDURRIAO, ILOILO CITY</t>
  </si>
  <si>
    <t>MUNICIPALITY OF BURAUEN, LEYTE</t>
  </si>
  <si>
    <t>BARANGAY KALAWAAN, PASIG CITY</t>
  </si>
  <si>
    <t>IBAJAY CENTRAL SCHOOL - IBAJAY AKLAN</t>
  </si>
  <si>
    <t>MUNICIPALITY OF PADRE BURGOS, QUEZON</t>
  </si>
  <si>
    <t>BARANGAY CAMP 7, BAGUIO CITY</t>
  </si>
  <si>
    <t>DOMINGO LACSON NATIONAL HIGH SCHOOL</t>
  </si>
  <si>
    <t xml:space="preserve">DEPARTMENT OF PUBLIC WORKS AND HIGHWAYS - CAMARINES SUR 2ND </t>
  </si>
  <si>
    <t>DEPARTMENT OF EDUCATION - DIVISION OF CITY SCHOOLS, LAS PINA</t>
  </si>
  <si>
    <t>CIVIL AVIATION AUTHORITY OF THE PHILIPPINES - AREA CENTER XI</t>
  </si>
  <si>
    <t>DEPARTMENT OF PUBLIC WORKS AND HIGHWAYS - PALAWAN 1ST DEO</t>
  </si>
  <si>
    <t>DEPARTMENT OF EDUCATION - DIVISION OF QUEZON</t>
  </si>
  <si>
    <t>MUNICIPALITY OF PIKIT, NORTH COTABATO</t>
  </si>
  <si>
    <t>MUNICIPALITY OF RIZAL, OCCIDENTAL MINDORO</t>
  </si>
  <si>
    <t>BARANGAY POBLACION, MUNTINLUPA CITY</t>
  </si>
  <si>
    <t>BARANGAY TARRA NEGROS ORIENTAL</t>
  </si>
  <si>
    <t>DEPARTMENT OF AGRICULTURE - REGION XI</t>
  </si>
  <si>
    <t>METRO KALIBO WATER DISTRICT</t>
  </si>
  <si>
    <t>DEPARTMENT OF PUBLIC WORKS AND HIGHWAYS - CEBU 5TH DEO</t>
  </si>
  <si>
    <t>BARANGAY SAN TEODORO, BAUAN, BATANGAS</t>
  </si>
  <si>
    <t xml:space="preserve">KIBACANIA ELEMENTARY SCHOOL </t>
  </si>
  <si>
    <t>DEPARTMENT OF PUBLIC WORKS AND HIGHWAYS - METRO MANILA 1ST E</t>
  </si>
  <si>
    <t>NATIONAL PRINTING OFFICE</t>
  </si>
  <si>
    <t>BARANGAY HITOOG, MATALOM, LEYTE</t>
  </si>
  <si>
    <t>DEPARTMENT OF PUBLIC WORKS AND HIGHWAYS - RIZAL II DEO</t>
  </si>
  <si>
    <t>BARANGAY NUPOLAN - JOSEFINA ZAMBOANGA DEL SUR</t>
  </si>
  <si>
    <t>BARANGAY WACK-WACK GREENHILLS EAST,</t>
  </si>
  <si>
    <t>KALINGA STATE UNIVERSITY</t>
  </si>
  <si>
    <t>DEPARTMENT OF BUDGET AND MANAGEMENT - REGIONAL OFFICE VI</t>
  </si>
  <si>
    <t>DEPARTMENT OF EDUCATION - DIVISION OF SURIGAO DEL NORTE</t>
  </si>
  <si>
    <t>BARANGAY SAN DIEGO, SAN PABLO CITY</t>
  </si>
  <si>
    <t>MUNICIPALITY OF BENITO SOLIVEN, ISABELA</t>
  </si>
  <si>
    <t>GUEVARRA HIGH SCHOOL</t>
  </si>
  <si>
    <t>MUNICIPALITY OF SALCEDO, EASTERN SAMAR</t>
  </si>
  <si>
    <t>DAVAO DEL NORTE STATE COLLEGE</t>
  </si>
  <si>
    <t>LA CASTELLANA NATIONAL HIGH SCHOOL (JUNIOR HIGH SCHOOL)</t>
  </si>
  <si>
    <t>MUNICIPALITY OF DONSOL, SORSOGON</t>
  </si>
  <si>
    <t>GAMES AND AMUSEMENTS BOARD</t>
  </si>
  <si>
    <t>BARANGAY PINAYAGAN SUR, TUBIGON, BOHOL</t>
  </si>
  <si>
    <t>NATIONAL ECONOMIC AND DEVELOPMENT AUTHORITY - MAIN</t>
  </si>
  <si>
    <t>BARANGAY I-A, SAN PABLO CITY, LAGUNA</t>
  </si>
  <si>
    <t>BARANGAY 227 ZONE 21 DISTRICT 2</t>
  </si>
  <si>
    <t>BARANGAY CANDABONG - MANJUYOD NEGROS ORIENTAL</t>
  </si>
  <si>
    <t>DEPARTMENT OF ENVIRONMENT AND NATURAL RES. - PENRO-LOS BANOS</t>
  </si>
  <si>
    <t>NATIONAL IRRIGATION ADMINISTRATION - REGION XI</t>
  </si>
  <si>
    <t>LAND BANK OF THE PHILIPPINES - OAH IV-B</t>
  </si>
  <si>
    <t>DEPARTMENT OF ENVIRONMENT AND NATURAL RES. - PENRO - XI</t>
  </si>
  <si>
    <t>BARANGAY COMUN, CAMALIG, ALBAY</t>
  </si>
  <si>
    <t>BARANGAY BAGONTAAS, VALENCIA CITY</t>
  </si>
  <si>
    <t>BARANGAY ALAPANG, LA TRINIDAD, BENGUET</t>
  </si>
  <si>
    <t>DEPARTMENT OF PUBLIC  WORKS AND HIGHWAYS - APAYAO 2ND DEO</t>
  </si>
  <si>
    <t>MUNICIPALITY OF PANGANTUCAN, BUKIDNON</t>
  </si>
  <si>
    <t>ILOILO FISH PORT COMPLEX</t>
  </si>
  <si>
    <t>DEPARTMENT OF PUBLIC WORKS AND HIGHWAYS - CAVITE II DISTRICT</t>
  </si>
  <si>
    <t>MUNICIPALITY OF PAETE, LAGUNA</t>
  </si>
  <si>
    <t>PROVINCE OF RIZAL</t>
  </si>
  <si>
    <t>BARANGAY PUNTA, DIPOLOG, ZAMBOANGA DEL NORTE</t>
  </si>
  <si>
    <t>BARANGAY 13, NUESTRA SEÑORA DE VISITACION, LAOAG CITY</t>
  </si>
  <si>
    <t>METRO ILOILO WATER DISTRICT</t>
  </si>
  <si>
    <t>BARANGAY GINATILAN, KIDAPAWAN CITY, COTABATO</t>
  </si>
  <si>
    <t>BARANGAY DALIG, BATANGAS CITY, BATANGAS</t>
  </si>
  <si>
    <t>MUNICIPALITY OF MAUBAN, QUEZON</t>
  </si>
  <si>
    <t>MUNICIPALITY OF LAMUT, IFUGAO</t>
  </si>
  <si>
    <t>MUNICIPALITY OF BINUANGAN , MISAMIS ORIENTAL</t>
  </si>
  <si>
    <t>MUNICIPALITY OF MORONG, RIZAL</t>
  </si>
  <si>
    <t>MUNICIPALITY OF LOS BAÑOS, LAGUNA</t>
  </si>
  <si>
    <t>MUNICIPALITY OF ORION, BATAAN</t>
  </si>
  <si>
    <t>BARANGAY PARIAN - SAN FERNANDO CITY, LA UNION</t>
  </si>
  <si>
    <t>WEST VISAYAS STATE UNIVERSITY MEDICAL CENTER - REGION VI</t>
  </si>
  <si>
    <t>NORTHERN NEGROS STATE COLLEGE OF SCIENCE AND TECHNOLOGY</t>
  </si>
  <si>
    <t>PHILIPPINE AIR FORCE</t>
  </si>
  <si>
    <t>MUNICIPALITY OF LOOC, OCCIDENTAL MINDORO</t>
  </si>
  <si>
    <t>BARANGAY TAYTAY, LOON, BOHOL</t>
  </si>
  <si>
    <t>DENR-PENRO CAMARINES SUR</t>
  </si>
  <si>
    <t>BARANGAY POBLACION 7 - NASUGBU BATANGAS</t>
  </si>
  <si>
    <t>BARANGAY CAMATCHILE, GABALDON, NUEVA ECIJA</t>
  </si>
  <si>
    <t>BARANGAY 4 POBLACION - NASUGBU BATANGAS</t>
  </si>
  <si>
    <t>BARANGAY A. PASCUAL, SAN JOSE CITY, NUEVA ECIJA</t>
  </si>
  <si>
    <t>BARANGAY BALAYTIGUE - NASUGBU BATANGAS</t>
  </si>
  <si>
    <t>BARANGAY NABA - CULASI ANTIQUE</t>
  </si>
  <si>
    <t>MUNICIPALITY OF BACNOTAN, LA UNION</t>
  </si>
  <si>
    <t>BARANGAY WEST BALABAG, VALENCIA, NEGROS ORIENTAL</t>
  </si>
  <si>
    <t>BARANGAY BUQUIG - BANTAY ILOCOS SUR</t>
  </si>
  <si>
    <t>BARANGAY WILSON, SAN JOSE, DINAGAT ISLAND</t>
  </si>
  <si>
    <t>BARANGAY ALEGRE, OTON, ILOILO</t>
  </si>
  <si>
    <t>MUNICIPALITY OF ZUMARRAGA, SAMAR</t>
  </si>
  <si>
    <t>BARANGAY AMBOLONG, AROROY, MASBATE</t>
  </si>
  <si>
    <t>DEPARTMENT OF PUBLIC WORKS AND HIGHWAYS - DAVAO DEL NORTE DE</t>
  </si>
  <si>
    <t>MUNICIPALITY OF LOPEZ JAENA , MISAMIS OCCIDENTAL</t>
  </si>
  <si>
    <t>PROVINCE OF DAVAO OCCIDENTAL</t>
  </si>
  <si>
    <t>BARANGAY INAGAWAN SUB,  PUERTO PRINCESA CITY, PALAWAN</t>
  </si>
  <si>
    <t>MUNICIPALITY OF TUBIGON, BOHOL</t>
  </si>
  <si>
    <t>MUNICIPALITY OF LILOY, ZAMBOANGA DEL NORTE</t>
  </si>
  <si>
    <t>MUNICIPALITY OF CARMEN, CEBU</t>
  </si>
  <si>
    <t>SAN NICOLAS WATER DISTRICT - ILOCOS NORTE</t>
  </si>
  <si>
    <t>PN BAC SECRETARIAT, AFP PROCUREMENT SERVICE</t>
  </si>
  <si>
    <t>ENVIRONMENTAL MANAGEMENT BUREAU - REGION VII</t>
  </si>
  <si>
    <t>MUNICIPALITY OF GALIMUYOD, ILOCOS SUR</t>
  </si>
  <si>
    <t>MUNICIPALITY OF PARACALE, CAMARINES NORTE</t>
  </si>
  <si>
    <t>MUNICIPALITY OF HUNGDUAN, IFUGAO</t>
  </si>
  <si>
    <t>BARANGAY LOMANOY, LILA, BOHOL</t>
  </si>
  <si>
    <t>BARANGAY IPIL, MAGDIWANG, ROMBLON</t>
  </si>
  <si>
    <t>MUNICIPALITY OF CABAGAN, ISABELA</t>
  </si>
  <si>
    <t>DEPARTMENT OF PUBLIC WORKS AND HIGHWAYS - EASTERN SAMAR DEO</t>
  </si>
  <si>
    <t>CITY OF DASMARIÑAS, CAVITE</t>
  </si>
  <si>
    <t>DEPARTMENT OF PUBLIC WORKS AND HIGHWAYS - COTABATO CITY DEO</t>
  </si>
  <si>
    <t>BARANGAY SAN JOSE - SERGIO OSMEÑA, SR. ZAMBOANGA DEL NORTE</t>
  </si>
  <si>
    <t>MUNICIPALITY OF CLAVERIA, MISAMIS ORIENTAL</t>
  </si>
  <si>
    <t>MUNICIPALITY OF STA. ANA, CAGAYAN</t>
  </si>
  <si>
    <t>MUNICIPALITY OF GUIMBA, NUEVA ECIJA</t>
  </si>
  <si>
    <t>BARANGAY BAGONG LIPUNAN, HILONGOS, LEYTE</t>
  </si>
  <si>
    <t>BARANGAY ESPERANZA, PORO, CEBU</t>
  </si>
  <si>
    <t>PROVINCE OF BOHOL</t>
  </si>
  <si>
    <t>CATANDUANES STATE COLLEGES</t>
  </si>
  <si>
    <t>BARANGAY GELLA - PATNONGON,ANTIQUE</t>
  </si>
  <si>
    <t>CITY OF BAGO, NEGROS OCCIDENTAL</t>
  </si>
  <si>
    <t>BARANGAY SUMILANG, PASIG CITY</t>
  </si>
  <si>
    <t>BARANGAY SILUM, MAGDIWANG, ROMBLON</t>
  </si>
  <si>
    <t>JUVENILE JUSTICE AND WELFARE COUNCIL</t>
  </si>
  <si>
    <t>BARANGAY UPPER TUNGAWAN ZAMBOANGA SIBUGAY</t>
  </si>
  <si>
    <t>MUNICIPALITY OF SALUG, ZAMBOANGA DEL NORTE</t>
  </si>
  <si>
    <t>ASSOCIATION OF BARANGAY COUNCIL, IBAAN, BATANGAS CHAPTER</t>
  </si>
  <si>
    <t>MUNICIPALITY OF BUENAVISTA, BOHOL</t>
  </si>
  <si>
    <t>BUREAU OF FIRE PROTECTION - REGION III</t>
  </si>
  <si>
    <t>BARANGAY MARAPAL - LEMERY, ILOILO</t>
  </si>
  <si>
    <t>LOOC NATIONAL HIGH SCHOOL</t>
  </si>
  <si>
    <t>BARANGAY CANDUGUE DARAM SAMAR</t>
  </si>
  <si>
    <t>BARANGAY ALVANIZ- PATNONGON,ANTIQUE</t>
  </si>
  <si>
    <t>BARANGAY BUHATAN, RAPU-RAPU, ALBAY</t>
  </si>
  <si>
    <t>CALATRAVA SENIOR HIGH SCHOOL - CALATRAVA NEGROS OCCIDENTAL</t>
  </si>
  <si>
    <t>DEPARTMENT OF PUBLIC WORKS AND HIGHWAYS - UPPER KALINGA DEO</t>
  </si>
  <si>
    <t>MUNICIPALITY OF HILONGOS, LEYTE</t>
  </si>
  <si>
    <t>MUNICIPALITY OF MARABUT, SAMAR</t>
  </si>
  <si>
    <t>MUNICIPALITY OF SAN JOSE, CAMARINES SUR</t>
  </si>
  <si>
    <t>DEPARTMENT OF ENVIRONMENT AND NATURAL RES. - PENRO KALINGA</t>
  </si>
  <si>
    <t>BICOL UNIVERSITY POLANGUI CAMPUS</t>
  </si>
  <si>
    <t>MUNICIPALITY OF CUYO, PALAWAN</t>
  </si>
  <si>
    <t>BARANGAY BILBAO, RAPU-RAPU, ALBAY</t>
  </si>
  <si>
    <t>DEPARTMENT OF PUBLIC WORKS AND HIGHWAYS - BATANGAS 3RD ED</t>
  </si>
  <si>
    <t>MUNICIPALITY OF BAGANGA, DAVAO ORIENTAL</t>
  </si>
  <si>
    <t>SOUTHERN ISABELA MEDICAL CENTER</t>
  </si>
  <si>
    <t>MUNICIPALITY OF CAWAYAN, MASBATE</t>
  </si>
  <si>
    <t>MUNICIPALITY OF LASAM, CAGAYAN</t>
  </si>
  <si>
    <t>BARANGAY HAMORWON, RAPU-RAPU, ALBAY</t>
  </si>
  <si>
    <t>BARANGAY BONGOL -  SAN VICENTE, GUIMBAL, ILOILO</t>
  </si>
  <si>
    <t>BARANGAY TANZA, BOAC, MARINDUQUE</t>
  </si>
  <si>
    <t>MASBATE-MOBO WATER DISTRICT</t>
  </si>
  <si>
    <t>BIDS AND AWARDS COMMITTEE - MUNICIPALITY OF CALATRAVA</t>
  </si>
  <si>
    <t>MUNICIPALITY OF NASIPIT, AGUSAN DEL NORTE</t>
  </si>
  <si>
    <t>DEPARTMENT OF PUBLIC WORKS AND HIGHWAYS - MISAMIS ORIENTAL 2</t>
  </si>
  <si>
    <t>BAYUGAN WATER DISTRICT</t>
  </si>
  <si>
    <t>BARANGAY GALICIA, RAPU-RAPU, ALBAY</t>
  </si>
  <si>
    <t>BAIS CITY WATER DISTRICT</t>
  </si>
  <si>
    <t>BARANGAY MERCADO, BOAC, MARINDUQUE</t>
  </si>
  <si>
    <t>MUNICIPALITY OF LIBONA, BUKIDNON</t>
  </si>
  <si>
    <t>BANGKO SENTRAL NG PILIPINAS - BATAC BRANCH</t>
  </si>
  <si>
    <t>BARANGAY PANIPUAN, MEXICO, PAMPANGA</t>
  </si>
  <si>
    <t>MUNICIPALITY OF SAN RAFAEL, ILOILO</t>
  </si>
  <si>
    <t>BARANGAY MAILHI - BAYBAY CITY</t>
  </si>
  <si>
    <t>DIPOLOG CITY WATER DISTRICT</t>
  </si>
  <si>
    <t>BARANGAY 170, ZONE 15, DISTRICT II, MANILA</t>
  </si>
  <si>
    <t>MUNICIPALITY OF CAPUL, NORTHERN SAMAR</t>
  </si>
  <si>
    <t>BARANGAY 309, ZONE 30, DISTRICT III, MANILA</t>
  </si>
  <si>
    <t>BARANGAY OLD MAHAYAG, CATBALOGAN, SAMAR</t>
  </si>
  <si>
    <t>BARANGAY 174, ZONE 15, DISTRICT 11, MANILA</t>
  </si>
  <si>
    <t>TUKURAN TECHNICAL-VOCATIONAL HIGH SCHOOL</t>
  </si>
  <si>
    <t>BARANGAY CARITAN CENTRO TUGUEGARAO CITY</t>
  </si>
  <si>
    <t>MINES AND GEOSCIENCES BUREAU - REGION XII</t>
  </si>
  <si>
    <t>BARANGAY 171 ZONE 15 DISTRICT 2</t>
  </si>
  <si>
    <t>DAGUPAN CITY WATER DISTRICT</t>
  </si>
  <si>
    <t>BARANGAY STA. CLARA, BATANGAS CITY, BATANGAS</t>
  </si>
  <si>
    <t>EASTERN VISAYAS REGIONAL MEDICAL CENTER - DOH</t>
  </si>
  <si>
    <t>MUNICIPALITY OF DATU ODIN SINSUAT, MAGUINDANAO</t>
  </si>
  <si>
    <t>KOLAMBUGAN WATER DISTRICT</t>
  </si>
  <si>
    <t>BARANGAY PANSOL - QUEZON CITY</t>
  </si>
  <si>
    <t>BARANGAY CENTRO 10 - TUGUEGARAO CITY CAGAYAN</t>
  </si>
  <si>
    <t>MUNICIPALITY OF NAGA, ZAMBOANGA SIBUGAY</t>
  </si>
  <si>
    <t>SAN PASCUAL NATIONAL HIGH SCHOOL - SAN PASCUAL BATANGAS</t>
  </si>
  <si>
    <t>DEPARTMENT OF PUBLIC WORKS AND HIGHWAYS - ILOCOS NORTE 2ND D</t>
  </si>
  <si>
    <t>DEPARTMENT OF PUBLIC WORKS AND HIGHWAYS - BENGUET I DEO</t>
  </si>
  <si>
    <t>BARANGAY BITA NORTE - OTON, ILOILO</t>
  </si>
  <si>
    <t xml:space="preserve">DEPARTMENT OF PUBLIC WORKS AND HIGHWAYS - SURIGAO DEL NORTE </t>
  </si>
  <si>
    <t>BARANGAY MANSABAY BAJO, LOPEZ JAENA, MISAMIS OCCIDENTAL</t>
  </si>
  <si>
    <t>BARANGAY SAMPAGA, BATANGAS CITY, BATANGAS</t>
  </si>
  <si>
    <t>BARANGAY ABAR 1ST, SAN JOSE CITY, NUEVA ECIJA</t>
  </si>
  <si>
    <t>BARANGAY PALUA, MANGALDAN, PANGASINAN</t>
  </si>
  <si>
    <t>MUNICIPALITY OF BACUAG, SURIGAO DEL NORTE</t>
  </si>
  <si>
    <t>PROVINCE OF KALINGA</t>
  </si>
  <si>
    <t>BARANGAY 595, ZONE 59, DISTRICT VI, MANILA</t>
  </si>
  <si>
    <t>PHILIPPINE STATISTICS AUTHORITY - REGION VII</t>
  </si>
  <si>
    <t>DEPARTMENT OF EDUCATION - DIVISION OF TACLOBAN CITY</t>
  </si>
  <si>
    <t>BARANGAY T. ARLAN - STA. MONICA SURIGAO DEL NORTE</t>
  </si>
  <si>
    <t>BUREAU OF FISHERIES AND AQUATIC RESOURCES - REGION VI</t>
  </si>
  <si>
    <t>MUNICIPALITY OF LAMBAYONG, SULTAN KUDARAT</t>
  </si>
  <si>
    <t>MUNICIPALITY OF BAROTAC VIEJO, ILOILO</t>
  </si>
  <si>
    <t>MUNICIPALITY OF SIQUIJOR, SIQUIJOR</t>
  </si>
  <si>
    <t>BARANGAY MAUG, BUTUAN CITY</t>
  </si>
  <si>
    <t>MUNICIPALITY OF DUMALINAO, ZAMBOANGA DEL SUR</t>
  </si>
  <si>
    <t>MUNICIPALITY OF BALAOAN, LA UNION</t>
  </si>
  <si>
    <t>MUNICIPALITY OF TUBO - ABRA</t>
  </si>
  <si>
    <t xml:space="preserve">DEPARTMENT OF PUBLIC WORKS AND HIGHWAYS - ZAMBOANGA DEL SUR </t>
  </si>
  <si>
    <t>SENATE OF THE PHILIPPINES</t>
  </si>
  <si>
    <t>DEPARTMENT OF PUBLIC WORKS AND HIGHWAYS - REGION VII</t>
  </si>
  <si>
    <t>BARANGAY TINOCAWAN, RAPU-RAPU, ALBAY</t>
  </si>
  <si>
    <t>BARANGAY 706 ZONE 77 DISTRICT V, MANILA</t>
  </si>
  <si>
    <t>MUNICIPALITY OF ANAHAWAN, SOUTHERN LEYTE</t>
  </si>
  <si>
    <t>BARANGAY CATULAYAN - SAN JUAN SIQUIJOR</t>
  </si>
  <si>
    <t>AGRICULTURAL TRAINING INSTITUTE - REGIONAL TRAINING CENTER-R</t>
  </si>
  <si>
    <t>NATIONAL COMMISSION ON INDIGENOUS PEOPLES - REGION XII</t>
  </si>
  <si>
    <t>BARANGAY MAHABANG PARANG, BATANGAS CITY, BATANGAS</t>
  </si>
  <si>
    <t>BARANGAY BIÑAN, PAGSANJAN, LAGUNA</t>
  </si>
  <si>
    <t>MUNICIPALITY OF PORAC, PAMPANGA</t>
  </si>
  <si>
    <t>PHILIPPINE TEXTILE RESEARCH INSTITUTE</t>
  </si>
  <si>
    <t>DEPARTMENT OF PUBLIC WORKS AND HIGHWAYS - PANGASINAN 2ND</t>
  </si>
  <si>
    <t>MUNICIPALITY OF SAN AGUSTIN, ROMBLON</t>
  </si>
  <si>
    <t>MUNICIPALITY OF DEL GALLEGO, CAMARINES SUR</t>
  </si>
  <si>
    <t>DEPARTMENT OF PUBLIC WORKS AND HIGHWAYS - ILOILO 4TH DEO</t>
  </si>
  <si>
    <t>BARANGAY CAWAYAN (EXTENSION) - MASBATE CITY</t>
  </si>
  <si>
    <t>DEPARTMENT OF SOCIAL WELFARE AND DEVELOPMENT - REGION III</t>
  </si>
  <si>
    <t>MUNICIPALITY OF HINOBA-AN, NEGROS OCCIDENTAL</t>
  </si>
  <si>
    <t>BARANGAY SAGRADA, RAPU-RAPU, ALBAY</t>
  </si>
  <si>
    <t>MUNICIPALITY OF QUINAPONDAN, EASTERN SAMAR</t>
  </si>
  <si>
    <t>BARANGAY SAMAY, RAGAY, CAMARINES SUR</t>
  </si>
  <si>
    <t>VALENZUELA MEDICAL CENTER</t>
  </si>
  <si>
    <t>BARANGAY CASIBONG, SAN JACINTO, PANGASINAN</t>
  </si>
  <si>
    <t>MUNICIPALITY OF DON VICTORIANO CHIONGBIAN, MIS. OCCIDENTAL</t>
  </si>
  <si>
    <t>BARANGAY PALIPARAN II DASMARIÑAS CAVITE</t>
  </si>
  <si>
    <t>MUNICIPALITY OF JAVIER, LEYTE</t>
  </si>
  <si>
    <t>MUNICIPALITY OF BULALACAO, ORIENTAL MINDORO</t>
  </si>
  <si>
    <t>BARANGAY PRES. GARCIA, MATALOM, LEYTE</t>
  </si>
  <si>
    <t>BARANGAY VELASCO - LEMERY, ILOILO</t>
  </si>
  <si>
    <t>BARANGAY MAGATOS, ASUNCION, DAVAO DEL NORTE</t>
  </si>
  <si>
    <t>MUNICIPALITY OF BOLJOON, CEBU</t>
  </si>
  <si>
    <t>HUMAN RIGHTS VIOLATIONS VICTIMS' MEMORIAL COMMISSION</t>
  </si>
  <si>
    <t>MUNICIPALITY OF NEW BATAAN, COMPOSTELA VALLEY</t>
  </si>
  <si>
    <t>MUNICIPALITY OF SILVINO LOBOS, NORTHERN SAMAR</t>
  </si>
  <si>
    <t>NORTHERN MINDANAO MEDICAL CENTER</t>
  </si>
  <si>
    <t>BARANGAY SAN IGNACIO, SAN PABLO CITY, LAGUNA</t>
  </si>
  <si>
    <t>BARANGAY 378, MANILA CITY</t>
  </si>
  <si>
    <t>ZAMBOANGA STATE COLLEGE OF MARINE SCIENCES AND TECHNOLOGY</t>
  </si>
  <si>
    <t>MUNICIPALITY OF LOPEZ, QUEZON</t>
  </si>
  <si>
    <t>NEGROS ORIENTAL STATE UNIVERSITY</t>
  </si>
  <si>
    <t>BARANGAY BONGABONG, TUDELA, MISAMIS OCCIDENTAL</t>
  </si>
  <si>
    <t>MUNICIPALITY OF NAGCARLAN, LAGUNA</t>
  </si>
  <si>
    <t>BARANGAY  POBLACION - GODOD ZAMBOANGA DEL NORTE</t>
  </si>
  <si>
    <t>DEPARTMENT OF PUBLIC WORKS AND HIGHWAYS - REGION III</t>
  </si>
  <si>
    <t>BUREAU OF JAIL MANAGEMENT AND PENOLOGY - REGION X</t>
  </si>
  <si>
    <t>MUNICIPALITY OF CABANGAN, ZAMBALES</t>
  </si>
  <si>
    <t>BARANGAY CENTRO 06 - TUGUEGARAO CITY CAGAYAN</t>
  </si>
  <si>
    <t>MUNICIPALITY OF LAUREL, BATANGAS</t>
  </si>
  <si>
    <t>BARANGAY SAN MIGUEL, COMPOSTELA, COMPOSTELA VALLEY</t>
  </si>
  <si>
    <t xml:space="preserve">BARANGAY 793 ZONE 86 </t>
  </si>
  <si>
    <t>BARANGAY PATAWAG, LABASON, ZAMBOANGA DEL NORTE</t>
  </si>
  <si>
    <t>MUNICIPALITY OF MAJAYJAY, LAGUNA</t>
  </si>
  <si>
    <t>BARANGAY 353 ZONE 36 DISTRICT III, MANILA</t>
  </si>
  <si>
    <t>REGION I MEDICAL CENTER</t>
  </si>
  <si>
    <t>DEPARTMENT OF PUBLIC WORKS AND HIGHWAYS - CEBU 1ST DEO</t>
  </si>
  <si>
    <t>DEPARTMENT OF PUBLIC WORKS AND HIGHWAYS - REGION II</t>
  </si>
  <si>
    <t>PROCUREMENT SERVICE</t>
  </si>
  <si>
    <t>MUNICIPALITY OF CURRIMAO, ILOCOS NORTE</t>
  </si>
  <si>
    <t>BARANGAY MALINAO, PASIG CITY</t>
  </si>
  <si>
    <t>NATIONAL FOOD AUTHORITY - REGION VII</t>
  </si>
  <si>
    <t>DEPARTMENT OF EDUCATION - DIVISION OF NORTHERN SAMAR</t>
  </si>
  <si>
    <t>DIPACULAO WATER DISTRICT</t>
  </si>
  <si>
    <t>DEPARTMENT OF PUBLIC WORKS AND HIGHWAYS - BATAAN 2ND DEO</t>
  </si>
  <si>
    <t>BARANGAY SAN ISIDRO, MAKATI CITY</t>
  </si>
  <si>
    <t>CADIZ EAST ELEMENTARY SCHOOL II</t>
  </si>
  <si>
    <t>MUNICIPALITY OF SABANGAN, MOUNTAIN PROVINCE</t>
  </si>
  <si>
    <t>PHILIPPINE SCIENCE HIGH SCHOOL - REGION XI</t>
  </si>
  <si>
    <t>LUIS UY CHIAT ELEMENTARY SCHOOL</t>
  </si>
  <si>
    <t>BARANGAY LOWER SIBATANG - PAGADIAN CITY ZAMBOANGA DEL SUR</t>
  </si>
  <si>
    <t>MUNICIPALITY OF LUISIANA, LAGUNA</t>
  </si>
  <si>
    <t>BARANGAY MORERA, GUINOBATAN, ALBAY</t>
  </si>
  <si>
    <t>BARANGAY MAYAG, OAS, ALBAY</t>
  </si>
  <si>
    <t>TANAY WATER DISTRICT</t>
  </si>
  <si>
    <t>DEPARTMENT OF PUBLIC WORKS AND HIGHWAYS - SULTAN KUDARAT 1ST</t>
  </si>
  <si>
    <t>BARANGAY SIPAC, NAVOTAS CITY</t>
  </si>
  <si>
    <t>BARANGAY SICUL, STA. PRAXEDES, CAGAYAN</t>
  </si>
  <si>
    <t>BARANGAY MARAMBA, OAS, ALBAY</t>
  </si>
  <si>
    <t>MUNICIPALITY OF KAPANGAN, BENGUET</t>
  </si>
  <si>
    <t>NATIONAL IRRIGATION ADMINISTRATION - REGION 12</t>
  </si>
  <si>
    <t>LUMBIA NATIONAL HIGH SCHOOL</t>
  </si>
  <si>
    <t>DEPARTMENT OF PUBLIC WORKS AND HIGHWAYS - LAGUNA 1ST ED</t>
  </si>
  <si>
    <t>BARANGAY 584 ZONE 57 DISTRICT IV, MANILA</t>
  </si>
  <si>
    <t>MUNICIPALITY OF SAN JOSE, OCCIDENTAL MINDORO</t>
  </si>
  <si>
    <t>CITY  OF ESCALANTE, NEGROS OCCIDENTAL</t>
  </si>
  <si>
    <t>COTABATO FOUNDATION COLLEGE OF SCIENCE &amp; TECHNOLOGY</t>
  </si>
  <si>
    <t>BARANGAY 583 ZONE 57 DISTRICT IV, MANILA</t>
  </si>
  <si>
    <t>AGRICULTURAL TRAINING INSTITUTE - CAMARINES SUR</t>
  </si>
  <si>
    <t>BARANGAY 644 ZONE 66 DISTRICT VI MANILA</t>
  </si>
  <si>
    <t>DEPARTMENT OF PUBLIC WORKS AND HIGHWAYS - NUEVA ECIJA 1ST DE</t>
  </si>
  <si>
    <t>PHILIPPINE COUNCIL FOR HEALTH RESEARCH AND DEVELOPMENT</t>
  </si>
  <si>
    <t>CIVIL AVIATION AUTHORITY OF THE PHILIPPINES - DAVAO INTERNAT</t>
  </si>
  <si>
    <t>BARANGAY 512 ZONE 51 DISTRICT IV MANILA</t>
  </si>
  <si>
    <t>BARANGAY MARILAG ROSARIO BATANGAS</t>
  </si>
  <si>
    <t>BARANGAY GLAN PADIDU, GLAN, SARANGANI</t>
  </si>
  <si>
    <t>BARANGAY AGBALOGO  - MAKATO AKLAN</t>
  </si>
  <si>
    <t>MUNICIPALITY OF HINABANGAN, SAMAR</t>
  </si>
  <si>
    <t>MUNICIPALITY OF TALAINGOD, DAVAO DEL NORTE</t>
  </si>
  <si>
    <t>BARANGAY SMALL MARGUS, GLAN, SARANGANI</t>
  </si>
  <si>
    <t>MUNICIPALITY OF ADAMS, ILOCOS NORTE</t>
  </si>
  <si>
    <t>DEPARTMENT OF TRADE AND INDUSTRY - REGION IV-A</t>
  </si>
  <si>
    <t>JOSE B. LINGAD MEMORIAL GENERAL HOSPITAL</t>
  </si>
  <si>
    <t>MUNICIPALITY OF SOCORRO , SURIGAO DEL NORTE</t>
  </si>
  <si>
    <t>F.M. CABRAS ELEMENTARY SCHOOL</t>
  </si>
  <si>
    <t>DEPARTMENT OF PUBLIC WORKS AND HIGHWAYS - SOUTH METRO MANILA</t>
  </si>
  <si>
    <t>BUREAU OF FISHERIES AND AQUATIC RESOURCES - REGION VII</t>
  </si>
  <si>
    <t>CITY OF KIDAPAWAN, NORTH COTABATO</t>
  </si>
  <si>
    <t>MUNICIPALITY OF LARENA, SIQUIJOR</t>
  </si>
  <si>
    <t>DEPARTMENT OF PUBLIC WORKS AND HIGHWAYS - BATAAN 1ST DEO</t>
  </si>
  <si>
    <t>AFP - RETIREMENT AND SEPARATION BENEFITS SYSTEM</t>
  </si>
  <si>
    <t>MUNICIPALITY OF CAPAS, TARLAC</t>
  </si>
  <si>
    <t>DEPARTMENT OF PUBLIC WORKS AND HIGHWAYS - REGION V</t>
  </si>
  <si>
    <t>MUNICIPALITY OF CLARIN, MISAMIS OCCIDENTAL</t>
  </si>
  <si>
    <t>MUNICIPALITY OF IBAJAY, AKLAN</t>
  </si>
  <si>
    <t>MUNICIPALITY OF KASIBU, NUEVA VIZCAYA</t>
  </si>
  <si>
    <t>MUNICIPALITY OF SAINT BERNARD, SOUTHERN LEYTE</t>
  </si>
  <si>
    <t>MUNICIPALITY OF IGUIG, CAGAYAN</t>
  </si>
  <si>
    <t>GENERAL TRIAS CITY CAVITE</t>
  </si>
  <si>
    <t>O'DONNELL NATIONAL HIGH SCHOOL</t>
  </si>
  <si>
    <t>DEPARTMENT OF HEALTH - REGION VII</t>
  </si>
  <si>
    <t>NATIONAL DAIRY AUTHORITY</t>
  </si>
  <si>
    <t>BASILAN STATE COLLEGE</t>
  </si>
  <si>
    <t>BARANGAY MASALUKOT III, CANDELARIA, QUEZON</t>
  </si>
  <si>
    <t>CITY OF BORONGAN, EASTERN SAMAR</t>
  </si>
  <si>
    <t>CITY OF TANGUB</t>
  </si>
  <si>
    <t>FOOD AND DRUG ADMINISTRATION</t>
  </si>
  <si>
    <t>BARANGAY KINAN-OAN - TRINIDAD, BOHOL</t>
  </si>
  <si>
    <t>DR. E. B. ESPINOSA, SR. MEMORIAL STATE COL OF AGRIC AND TECH</t>
  </si>
  <si>
    <t>MUNICIPALITY OF SAN ILDEFONSO, BULACAN</t>
  </si>
  <si>
    <t>BULACAN STATE UNIVERSITY</t>
  </si>
  <si>
    <t>BARANGAY OLINGAN DIPOLOG CITY ZAMBOANGA DEL NORTE</t>
  </si>
  <si>
    <t>SCHOOLS DIVISION OFFICE OF IFUGAO</t>
  </si>
  <si>
    <t>PA BAC SECRETARIAT, AFP PROCUREMENT SERVICE</t>
  </si>
  <si>
    <t>BARANGAY DEPASE - BAYOG ZAMBOANGA DEL SUR</t>
  </si>
  <si>
    <t>BARANAGY NAGUIDDAYAN -  BANTAY ILOCOS SUR</t>
  </si>
  <si>
    <t>MUNICIPALITY OF CATARMAN, NORTHERN SAMAR</t>
  </si>
  <si>
    <t>BARANGAY EAST REMBO, MAKATI CITY</t>
  </si>
  <si>
    <t>MUNICIPALITY OF ORAS, EASTERN SAMAR</t>
  </si>
  <si>
    <t>MUNICIPALITY OF TADIAN, MOUNTAIN PROVINCE</t>
  </si>
  <si>
    <t>BARANGAY HINAGTIKAN, TOMAS OPPUS, SOUTHERN LEYTE</t>
  </si>
  <si>
    <t>BARANGAY AGUING, SINAIT, ILOCOS SUR</t>
  </si>
  <si>
    <t>MUNICIPALITY OF GINATILAN, CEBU</t>
  </si>
  <si>
    <t>BARANGAY MAYO, MATI, DAVAO ORIENTAL</t>
  </si>
  <si>
    <t>MUNICIPALITY OF MAASIM, SARANGANI</t>
  </si>
  <si>
    <t>BARANGAY BINUGAO TORIL DISTRICT</t>
  </si>
  <si>
    <t>MUNICIPALITY OF SAN PASCUAL, MASBATE</t>
  </si>
  <si>
    <t>CITY OF SAN CARLOS, PANGASINAN</t>
  </si>
  <si>
    <t>BARANGAY LANCA, MATI, DAVAO ORIENTAL</t>
  </si>
  <si>
    <t>SOCIAL SECURITY SYSTEM - LUZON CENTRAL 2</t>
  </si>
  <si>
    <t>BARANGAY MALALINTA - TUAO CAGAYAN</t>
  </si>
  <si>
    <t>CAMARIN D ELEMENTARY SCHOOL UNIT II</t>
  </si>
  <si>
    <t>MUNICIPALITY OF BACONG, NEGROS ORIENTAL</t>
  </si>
  <si>
    <t>BARANGAY OLD LABANGAN - LABANGAN ZAMBOANGA DEL SUR</t>
  </si>
  <si>
    <t>MUNICIPALITY OF TRINIDAD, BOHOL</t>
  </si>
  <si>
    <t>PROVINCE OF ABRA</t>
  </si>
  <si>
    <t>MUNICIPALITY OF SAN MARIANO, ISABELA</t>
  </si>
  <si>
    <t>BARANGAY PLANDICO, CONCEPCION, LEYTE</t>
  </si>
  <si>
    <t>DEPARTMENT OF ENVIRONMENT AND NATURAL RES. - PENRO TARLAC</t>
  </si>
  <si>
    <t>MUNICIPALITY OF CARLES, ILOILO</t>
  </si>
  <si>
    <t>BARANGAY CABUNGALUNAN, BURDEOS, QUEZON</t>
  </si>
  <si>
    <t>DEPARTMENT OF PUBLIC WORKS AND HIGHWAYS - BILIRAN ED</t>
  </si>
  <si>
    <t>MUNICIPALITY OF CABIAO, NUEVA ECIJA</t>
  </si>
  <si>
    <t>PLARIDEL WATER DISTRICT</t>
  </si>
  <si>
    <t>CITY  OF CAUAYAN, ISABELA</t>
  </si>
  <si>
    <t>MUNICIPALITY OF TAPAZ, CAPIZ</t>
  </si>
  <si>
    <t>BARANGAY CANINGAY - CANDONI NEGROS OCCIDENTAL</t>
  </si>
  <si>
    <t>BARANGAY BAESA</t>
  </si>
  <si>
    <t>BARANGAY FATIMA - LILOY ZAMBOANGA DEL NORTE</t>
  </si>
  <si>
    <t>MUNICIPALITY OF RAMON, ISABELA</t>
  </si>
  <si>
    <t>DEPARTMENT OF PUBLIC WORKS AND HIGHWAYS - REGION VI</t>
  </si>
  <si>
    <t>BARANGAY KIYAAB - ANTIPAS COTABATO</t>
  </si>
  <si>
    <t>BANGKO SENTRAL NG PILIPINAS - DAVAO REGIONAL OFFICE</t>
  </si>
  <si>
    <t>MUNICIPALITY OF POLILLO, QUEZON</t>
  </si>
  <si>
    <t>NATIONAL FOOD AUTHORITY - REGION II</t>
  </si>
  <si>
    <t>MUNICIPALITY OF KIBAWE , BUKIDNON</t>
  </si>
  <si>
    <t>MUNICIPALITY OF CONSOLACION, CEBU</t>
  </si>
  <si>
    <t>BARANGAY IGBON, CONCEPCION, ILOILO</t>
  </si>
  <si>
    <t>BARANGAY BUNTAY, DULAG, LEYTE</t>
  </si>
  <si>
    <t>NATIONAL TELECOMMUNICATIONS COMMISSION - REGION IX</t>
  </si>
  <si>
    <t>MUNICIPALITY OF LIBERTAD, ANTIQUE</t>
  </si>
  <si>
    <t>BARANGAY KATIPUNAN, SINACABAN, MISAMIS OCCIDENTAL</t>
  </si>
  <si>
    <t>MUNICIPALITY OF MALUNGON, SARANGANI</t>
  </si>
  <si>
    <t>BUREAU OF FISHERIES AND AQUATIC RESOURCES - REGION XII</t>
  </si>
  <si>
    <t>MUNICIPALITY OF MASINLOC, ZAMBALES</t>
  </si>
  <si>
    <t>YEE ON ELEMENTARY SCHOOL</t>
  </si>
  <si>
    <t>BARANGAY TAMBALIZA, CONCEPCION, ILOILO</t>
  </si>
  <si>
    <t>DEPARTMENT OF PUBLIC WORKS AND HIGHWAYS - MISAMIS OCCIDENTAL</t>
  </si>
  <si>
    <t>NATIONAL IRRIGATION ADMINISTRATION - LIGAO CITY, ALBAY</t>
  </si>
  <si>
    <t>MUNICIPALITY OF MEXICO, PAMPANGA</t>
  </si>
  <si>
    <t>MUNICIPALITY OF ABRA DE ILOG, OCCIDENTAL MINDORO</t>
  </si>
  <si>
    <t>DEPARTMENT OF PUBLIC WORKS AND HIGHWAYS - ILOILO 3RD DEO</t>
  </si>
  <si>
    <t>DEPARTMENT OF SOCIAL WELFARE AND DEVELOPMENT - REGION II</t>
  </si>
  <si>
    <t>BARANGAY APAD, RAGAY, CAMARINES SUR</t>
  </si>
  <si>
    <t>MUNICIPALITY OF DOLORES, QUEZON</t>
  </si>
  <si>
    <t>BARANGAY OLYMPIA - MAKATI CITY</t>
  </si>
  <si>
    <t>MUNICIPALITY OF PADRE BURGOS, SOUTHERN LEYTE</t>
  </si>
  <si>
    <t>MUNICIPALITY OF MONCADA, TARLAC</t>
  </si>
  <si>
    <t>MUNICIPALITY OF TAGUDIN, ILOCOS SUR</t>
  </si>
  <si>
    <t>MUNICIPALITY OF SANTA IGNACIA, TARLAC</t>
  </si>
  <si>
    <t>BARANGAY POBLACION SUR BATUAN BOHOL</t>
  </si>
  <si>
    <t>MUNICIPALITY OF CABATUAN, ISABELA</t>
  </si>
  <si>
    <t>MUNICIPALITY OF JORDAN, GUIMARAS</t>
  </si>
  <si>
    <t>MUNICIPALITY OF MAYANTOC, TARLAC</t>
  </si>
  <si>
    <t>MUNICIPALITY OF PONTEVEDRA, CAPIZ</t>
  </si>
  <si>
    <t>BARANGAY TALOTO-AN, CONCEPCION, ILOILO</t>
  </si>
  <si>
    <t>MUNICIPALITY OF GLAN, SARANGANI PROVINCE</t>
  </si>
  <si>
    <t>BARANGAY BUDA  - DAVAO CITY</t>
  </si>
  <si>
    <t>AGUSAN DEL SUR STATE COLLEGE OF AGRICULTURE AND TECHNOLOGY</t>
  </si>
  <si>
    <t>DEPARTMENT OF PUBLIC WORKS AND HIGHWAYS - PAMPANGA 1ST DEO</t>
  </si>
  <si>
    <t>DEPARTMENT OF PUBLIC WORKS AND HIGHWAYS - SORSOGON 2ND DEO</t>
  </si>
  <si>
    <t>BARANGAY SAN ANDRES ISLA VERDE, BATANGAS CITY, BATANGAS</t>
  </si>
  <si>
    <t>BARANGAY CAMANSI, SAN FERNANDO CITY, LA UNION</t>
  </si>
  <si>
    <t>BARANGAY I - SAN FERNANDO CITY, LA UNION</t>
  </si>
  <si>
    <t>BARANGAY SAN ISIDRO, CANDELARIA, QUEZON</t>
  </si>
  <si>
    <t>BARANGAY MARIANA - QUEZON CITY METRO MANILA</t>
  </si>
  <si>
    <t>BARANGAY PINAMUCAN PROPER, BATANGAS CITY, BATANGAS</t>
  </si>
  <si>
    <t>BARANGAY ALIMANGO ESCALANTE CITY NEGROS OCCIDENTAL NEGROS IS</t>
  </si>
  <si>
    <t>MUNICIPALITY OF BAYOG, ZAMBOANGA DEL SUR</t>
  </si>
  <si>
    <t>PROVINCE OF LEYTE</t>
  </si>
  <si>
    <t>BARANGAY UMALAG, SAN MIGUEL, SURIGAO DEL SUR</t>
  </si>
  <si>
    <t>BARANGAY VILLA BOTA, GUMACA, QUEZON</t>
  </si>
  <si>
    <t>BARANGAY MASIN NORTE,CANDELARIA,QUEZON</t>
  </si>
  <si>
    <t>PHILIPPINE COMPETITION COMMISSION</t>
  </si>
  <si>
    <t>DEPARTMENT OF ENVIRONMENT AND NATURAL RES. - PENRO, CEBU</t>
  </si>
  <si>
    <t>MUNICIPALITY OF SIBUNAG, GUIMARAS</t>
  </si>
  <si>
    <t>JOSE RIZAL MEMORIAL STATE UNIVERSITY - MAIN CAMPUS</t>
  </si>
  <si>
    <t>BARANGAY PAHINGA NORTE,CANDELARIA, QUEZON</t>
  </si>
  <si>
    <t>BARANGAY LAGUNA GUMACA, QUEZON</t>
  </si>
  <si>
    <t>KORONADAL WATER DISTRICT</t>
  </si>
  <si>
    <t>BARANGAY ESCODA, MARCOS, ILOCOS NORTE</t>
  </si>
  <si>
    <t>MUNICIPALITY OF CORDON, ISABELA</t>
  </si>
  <si>
    <t>CITY GOVERNMENT OF NAVOTAS</t>
  </si>
  <si>
    <t>CITY OF TUGUEGARAO, CAGAYAN</t>
  </si>
  <si>
    <t>MUNICIPALITY OF CAPOOCAN, LEYTE</t>
  </si>
  <si>
    <t>TARLAC COLLEGE OF AGRICULTURE</t>
  </si>
  <si>
    <t>BARANGAY ELIZABETH, MARCOS, ILOCOS NORTE</t>
  </si>
  <si>
    <t>MUNICIPALITY OF JOSE DALMAN, ZAMBOANGA DEL NORTE</t>
  </si>
  <si>
    <t>BARANGAY KINATIHAN 1, CANDELARIA, QUEZON</t>
  </si>
  <si>
    <t>NATIONAL FOOD AUTHORITY - TAGBILARAN</t>
  </si>
  <si>
    <t>CITY OF OLONGAPO, ZAMBALES</t>
  </si>
  <si>
    <t>BARANGAY IMELDA MARCOS ILOCOS NORTE</t>
  </si>
  <si>
    <t>BARANGAY LYDIA MARCOS ILOCOS NORTE</t>
  </si>
  <si>
    <t>PHILIPPINE CENTER FOR POSTHARVEST DEV'T AND MECHANIZATION</t>
  </si>
  <si>
    <t>BUREAU OF FIRE PROTECTION - REGION VIII</t>
  </si>
  <si>
    <t>MUNICIPALITY OF BAKUN, BENGUET</t>
  </si>
  <si>
    <t>MUNICIPALITY OF MAKILALA, NORTH COTABATO</t>
  </si>
  <si>
    <t>MUNICIPALITY OF SAGADA, MOUNTAIN PROVINCE</t>
  </si>
  <si>
    <t>MACARIO B. ASISTIO SR. HIGH SCHOOL UNIT I</t>
  </si>
  <si>
    <t>MUNICIPALITY OF SIASI, SULU</t>
  </si>
  <si>
    <t>NATIONAL ECONOMIC AND DEVELOPMENT AUTHORITY - REGION IX</t>
  </si>
  <si>
    <t>MUNICIPALITY OF CATANAUAN, QUEZON</t>
  </si>
  <si>
    <t>MUNICIPALITY OF KALILANGAN, BUKIDNON</t>
  </si>
  <si>
    <t>BARANGAY UPPER BAGONG TUDELA, JOSEFINA, ZAMBOANGA DEL SUR</t>
  </si>
  <si>
    <t>BARANGAY SAMPALOC IV, DASMARIÑAS CITY, CAVITE</t>
  </si>
  <si>
    <t>MUNICIPALITY OF BALETE, BATANGAS</t>
  </si>
  <si>
    <t>MUNICIPALITY OF LABO, CAMARINES NORTE</t>
  </si>
  <si>
    <t>DEPARTMENT OF PUBLIC WORKS AND HIGHWAYS - NORTH MANILA DEO</t>
  </si>
  <si>
    <t>MUNICIPALITY OF CALAUAG, QUEZON</t>
  </si>
  <si>
    <t>BARANGAY CAPUY - SORSOGON CITY SORSOGON</t>
  </si>
  <si>
    <t>BARANGAY SOLANO, TANAUAN, LEYTE</t>
  </si>
  <si>
    <t>BARANGAY PANAMIN - MALUNGON SARANGANI</t>
  </si>
  <si>
    <t>DEPARTMENT OF SCIENCE AND TECHNOLOGY - REGION IX</t>
  </si>
  <si>
    <t>BARANGAY 494 ZONE 49 DISTRICT IV, MANILA</t>
  </si>
  <si>
    <t>DEPARTMENT OF PUBLIC WORKS AND HIGHWAYS - BULACAN 1ST DEO</t>
  </si>
  <si>
    <t>MUNICIPALITY  OF KABAYAN, BENGUET</t>
  </si>
  <si>
    <t>BARANGAY CAWIT, PILAR, CEBU</t>
  </si>
  <si>
    <t>BARANGAY SINGKAMAS, MAKATI CITY</t>
  </si>
  <si>
    <t>MUNICIPALITY OF LAWAAN, EASTERN SAMAR</t>
  </si>
  <si>
    <t>BARANGAY PAG-ASA, KAPALONG, DAVAO DEL NORTE</t>
  </si>
  <si>
    <t>MUNICIPALITY OF PLACER, MASBATE</t>
  </si>
  <si>
    <t>CITY OF BAYUGAN, AGUSAN DEL SUR</t>
  </si>
  <si>
    <t>MUNICIPAL GOVERNMENT OF ATOK, BENGUET</t>
  </si>
  <si>
    <t>MUNICIPALITY OF FLORIDABLANCA, PAMPANGA</t>
  </si>
  <si>
    <t>MUNICIPALITY OF MADALAG, AKLAN</t>
  </si>
  <si>
    <t>PROVINCE OF MOUNTAIN PROVINCE</t>
  </si>
  <si>
    <t>MUNICIPALITY OF LEON, ILOILO</t>
  </si>
  <si>
    <t>MUNICIPALITY OF SOMINOT, ZAMBOANGA DEL SUR</t>
  </si>
  <si>
    <t>MANGALDAN WATER DISTRICT</t>
  </si>
  <si>
    <t>NATIONAL POWER CORPORATION SPUG - MINDANAO(EMOD)</t>
  </si>
  <si>
    <t>MUNICIPALITY OF POTOTAN, ILOILO</t>
  </si>
  <si>
    <t>CAPIZ STATE UNIVERSITY - CENTRAL ADMINISTRATION</t>
  </si>
  <si>
    <t>MUNICIPALITY OF AYUNGON, NEGROS ORIENTAL</t>
  </si>
  <si>
    <t>BARANGAY STA. CRUZ, SAN FERNANDO, CAMARINES SUR</t>
  </si>
  <si>
    <t>MUNICIPALITY OF PASIL, KALINGA</t>
  </si>
  <si>
    <t>BARANGAY CAMANGAHAN, GUIMBAL, ILOILO</t>
  </si>
  <si>
    <t>DEPARTMENT OF EDUCATION - DIVISION OF CAMARINES SUR</t>
  </si>
  <si>
    <t>NABUNTURAN WATER DISTRICT</t>
  </si>
  <si>
    <t>BARANGAY IDIO SEBASTE ANTIQUE</t>
  </si>
  <si>
    <t>SUBIC BAY METROPOLITAN AUTHORITY</t>
  </si>
  <si>
    <t>MUNICIPALITY OF ANGADANAN, ISABELA</t>
  </si>
  <si>
    <t>MUNICIPALITY OF MARIA, SIQUIJOR</t>
  </si>
  <si>
    <t>CIVIL AVIATION AUTHORITY OF THE PHILIPPINES - ILOILO AIRPORT</t>
  </si>
  <si>
    <t>MUNICIPALITY OF TALUSAN, ZAMBOANGA SIBUGAY</t>
  </si>
  <si>
    <t>MUNICIPALITY OF MAGDALENA, LAGUNA</t>
  </si>
  <si>
    <t>DEPARTMENT OF PUBLIC WORKS AND HIGHWAYS - REGION XI</t>
  </si>
  <si>
    <t>NATIONAL FOOD AUTHORITY - NCR</t>
  </si>
  <si>
    <t>BARANGAY MAHAY, BUTUAN CITY</t>
  </si>
  <si>
    <t>DEPARTMENT OF EDUCATION - DIVISION OF SURIGAO DEL SUR</t>
  </si>
  <si>
    <t>BUREAU OF FISHERIES AND AQUATIC RESOURCES REGION 1</t>
  </si>
  <si>
    <t>BARANGAY KAUNLARAN - NAVOTAS CITY</t>
  </si>
  <si>
    <t>BARANGAY STA. MARIA NORTE, BINALONAN, PANGASINAN</t>
  </si>
  <si>
    <t>COMMISSION ON HIGHER EDUCATION - MAIN</t>
  </si>
  <si>
    <t>BARANGAY SAN ISIDRO, SORSOGON CITY</t>
  </si>
  <si>
    <t>MUNICIPALITY OF ECHAGUE, ISABELA</t>
  </si>
  <si>
    <t>DEPARTMENT OF AGRICULTURE - REGION IX</t>
  </si>
  <si>
    <t>BARANGAY BALEY-A-DAAN, ALAMINOS, PANGASINAN</t>
  </si>
  <si>
    <t>BARANGAY PUNTOD, CAGAYAN DE ORO CITY</t>
  </si>
  <si>
    <t>MUNICIPALITY OF INFANTA, PANGASINAN</t>
  </si>
  <si>
    <t>TECHNICAL EDUCATION &amp; SKILLS DEVELOPMENT AUTHORITY</t>
  </si>
  <si>
    <t>BARANGAY PISONG-A - MARIA SIQUIJOR</t>
  </si>
  <si>
    <t>BARANGAY RIZAL, PINAMUNGAJAN, CEBU</t>
  </si>
  <si>
    <t>BARANGAY MALUBLUB, LEON, ILOILO</t>
  </si>
  <si>
    <t>PALO ALTO ELEMENTARY SCHOOL</t>
  </si>
  <si>
    <t>BARANGAY CABUTONGAN, LEON, ILOILO</t>
  </si>
  <si>
    <t>BARANGAY FATIMA - VILLABA LEYTE</t>
  </si>
  <si>
    <t>MUNICIPALITY OF VICTORIA, NORTHERN SAMAR</t>
  </si>
  <si>
    <t>BARANGAY POTOL, INFANTA, PANGASINAN</t>
  </si>
  <si>
    <t>BARANGAY TAÑONG, MARIKINA CITY</t>
  </si>
  <si>
    <t>BARANGAY BAMBAN, INFANTA, PANGASINAN</t>
  </si>
  <si>
    <t>MUNICIPALITY OF TANAY, RIZAL</t>
  </si>
  <si>
    <t>MUNICIPALITY OF JIPAPAD, EASTERN SAMAR</t>
  </si>
  <si>
    <t>BARANGAY BAGONG SIRANG, PILI, CAMARINES SUR</t>
  </si>
  <si>
    <t>BARANGAY NORTE, DON CARLOS, BUKIDNON</t>
  </si>
  <si>
    <t>MUNICIPALITY OF TAGO, SURIGAO DEL SUR</t>
  </si>
  <si>
    <t>BARANGAY PASORIO - MUTIA ZAMBOANGA DEL NORTE</t>
  </si>
  <si>
    <t>DEPARTMENT OF AGRARIAN REFORM - MISAMIS ORIENTAL</t>
  </si>
  <si>
    <t>DEPARTMENT OF EDUCATION - REGION VI</t>
  </si>
  <si>
    <t>DEPARTMENT OF SCIENCE AND TECHNOLOGY - CAR</t>
  </si>
  <si>
    <t>NATIONAL FOOD AUTHORITY - REGION VI</t>
  </si>
  <si>
    <t>MUNICIPALITY OF MAHAPLAG - LEYTE</t>
  </si>
  <si>
    <t>BARANGAY STA. CRUZ, BALLESTEROS, CAGAYAN</t>
  </si>
  <si>
    <t>BARANGAY SAN ANTONIO, MAKATI CITY</t>
  </si>
  <si>
    <t>CNHS-ANDRES BONIFACIO EXTENSION HIGH SCHOOL - CADIZ CITY NEG</t>
  </si>
  <si>
    <t>MUNICIPALITY OF STO. TOMAS, DAVAO DEL NORTE</t>
  </si>
  <si>
    <t>MUNICIPALITY OF SAN DIONISIO, ILOILO</t>
  </si>
  <si>
    <t>MUNICIPALITY OF TIWI, ALBAY</t>
  </si>
  <si>
    <t>CITY OF MAASIN, SOUTHERN LEYTE</t>
  </si>
  <si>
    <t>BARANGAY  PANGPANG - SORSOGON CITY SORSOGON</t>
  </si>
  <si>
    <t>BARANGAY POBLACION, DAANBANTAYAN, CEBU</t>
  </si>
  <si>
    <t>CITY  OF CAVITE</t>
  </si>
  <si>
    <t>MUNICIPALITY OF BACLAYON, BOHOL</t>
  </si>
  <si>
    <t>BARANGAY SAN ANTONIO LALLO CAGAYAN</t>
  </si>
  <si>
    <t>BARANGAY SAN JOSE, NAUJAN, ORIENTAL MINDORO</t>
  </si>
  <si>
    <t>PHILIPPINE NATIONAL POLICE - REGION I</t>
  </si>
  <si>
    <t>NATIONAL IRRIGATION ADMINISTRATION - REGION IV-A CALABARZON</t>
  </si>
  <si>
    <t>AURORA STATE COLLEGE OF TECHNOLOGY</t>
  </si>
  <si>
    <t>MUNICIPALITY OF GINGOOG CITY, MISAMIS ORIENTAL</t>
  </si>
  <si>
    <t>SK OF LIGTONG II - ROSARIO CAVITE</t>
  </si>
  <si>
    <t>BARANGAY PONITON, VIRAC, CATANDUANES</t>
  </si>
  <si>
    <t>MUNICIPALITY OF BELISON, ANTIQUE</t>
  </si>
  <si>
    <t>MUNICIPALITY OF PARACELIS, MOUNTAIN PROVINCE</t>
  </si>
  <si>
    <t>BARANGAY MAHIPON-LUMOT - CAVINTI LAGUNA</t>
  </si>
  <si>
    <t>METROPOLITAN CEBU WATER DISTRICT</t>
  </si>
  <si>
    <t>MUNICIPALITY OF PAMPLONA, CAMARINES SUR</t>
  </si>
  <si>
    <t>MUNICIPALITY OF ZARRAGA, ILOILO</t>
  </si>
  <si>
    <t>DEPARTMENT OF PUBLIC WORKS AND HIGHWAYS - QUEZON 2ND ED</t>
  </si>
  <si>
    <t>MUNICIPALITY OF MATAG-OB, LEYTE</t>
  </si>
  <si>
    <t>MUNICIPALITY OF LAKE SEBU, SOUTH COTABATO</t>
  </si>
  <si>
    <t>DEPARTMENT OF ENVIRONMENT AND NATURAL RESOURCES - PENRO OCCI</t>
  </si>
  <si>
    <t>MUNICIPALITY OF DARAGA, ALBAY</t>
  </si>
  <si>
    <t>MUNICIPALITY OF ANILAO - ILOILO</t>
  </si>
  <si>
    <t>MUNICIPALITY OF BUGASONG, ANTIQUE</t>
  </si>
  <si>
    <t>PHILIPPINE PORTS AUTHORITY - PMO WESTERN LEYTE/BILIRAN</t>
  </si>
  <si>
    <t>BARANGAY CABASI, GUIMBAL, ILOILO</t>
  </si>
  <si>
    <t>MUNICIPALITY OF CORELLA, BOHOL</t>
  </si>
  <si>
    <t>PHILIPPINE NATIONAL POLICE - CRIME LABORATORY</t>
  </si>
  <si>
    <t>DEPARTMENT OF PUBLIC WORKS AND HIGHWAYS - BATANGAS 2ND ED</t>
  </si>
  <si>
    <t>DEPARTMENT OF PUBLIC WORKS AND HIGHWAYS - CAR</t>
  </si>
  <si>
    <t>MUNICIPALITY OF ASTURIAS, CEBU</t>
  </si>
  <si>
    <t>MUNICIPALITY OF KUMALARANG, ZAMBOANGA DEL SUR</t>
  </si>
  <si>
    <t>BARANGAY POBLACION, BURGOS, ILOCOS NORTE</t>
  </si>
  <si>
    <t>BOHOL ISLAND STATE UNIVERSITY - CLARIN CAMPUS</t>
  </si>
  <si>
    <t>BARANGAY ANTIPOLO, RIZAL, LAGUNA</t>
  </si>
  <si>
    <t>BARANGAY 25, TACLOBAN CITY, LEYTE</t>
  </si>
  <si>
    <t>MUNICIPALITY OF LAL-LO, CAGAYAN VALLEY</t>
  </si>
  <si>
    <t>BARANGAY 30, TACLOBAN CITY, LEYTE</t>
  </si>
  <si>
    <t>BARANGAY DALAOIG, ALCALA, CAGAYAN</t>
  </si>
  <si>
    <t>PHILIPPINE SCIENCE HIGH SCHOOL - SOCCSKSARGEN REGION CAMPUS</t>
  </si>
  <si>
    <t>PROVINCE OF LANAO DEL SUR</t>
  </si>
  <si>
    <t>BARANGAY MANHANIP MALINAO AKLAN</t>
  </si>
  <si>
    <t>DEPARTMENT OF PUBLIC WORKS AND HIGHWAYS - SURIGAO DEL SUR 2N</t>
  </si>
  <si>
    <t>DEPARTMENT OF AGRARIAN REFORM - SORSOGON PROVINCIAL OFFICE</t>
  </si>
  <si>
    <t>BARANGAY CANGMOYA, PALOMPON, LEYTE</t>
  </si>
  <si>
    <t>BARANGAY CRUZ, PALOMPON, LEYTE</t>
  </si>
  <si>
    <t>BARANGAY CAMBINOY, PALOMPON, LEYTE</t>
  </si>
  <si>
    <t>BARANGAY NAVOTAS WEST, NAVOTAS</t>
  </si>
  <si>
    <t>BARANGAY MABINI - PALOMPON, LEYTE</t>
  </si>
  <si>
    <t>CITY OF SAGAY, NEGROS OCCIDENTAL</t>
  </si>
  <si>
    <t xml:space="preserve">PHILIPPINE SCIENCE HIGH SCHOOL - ZAMBOANGA PENINSULA REGION </t>
  </si>
  <si>
    <t>MUNICIPALITY OF PONTEVEDRA, NEGROS OCCIDENTAL</t>
  </si>
  <si>
    <t>EVERSLEY CHILDS SANITARIUM</t>
  </si>
  <si>
    <t>MUNICIPALITY OF BANSUD, ORIENTAL MINDORO</t>
  </si>
  <si>
    <t>CABAGAN WATER DISTRICT</t>
  </si>
  <si>
    <t>OCCIDENTAL MINDORO STATE COLLEGE</t>
  </si>
  <si>
    <t>MUNICIPALITY OF CATEEL, DAVAO ORIENTAL</t>
  </si>
  <si>
    <t xml:space="preserve">BARANGAY CAGSIAY 1 </t>
  </si>
  <si>
    <t xml:space="preserve">DEPARTMENT OF PUBLIC WORKS AND HIGHWAYS - NUEVA VIZCAYA 2ND </t>
  </si>
  <si>
    <t>BARANGAY LAMDALAG - LAKE SEBU SOUTH COTABATO</t>
  </si>
  <si>
    <t>MUNICIPALITY OF CARMEN, BOHOL</t>
  </si>
  <si>
    <t>MUNICIPALITY OF TIBIAO, ANTIQUE</t>
  </si>
  <si>
    <t>MUNICIPALITY OF ALLACAPAN, CAGAYAN</t>
  </si>
  <si>
    <t>BARANGAY GALICIA 3 MENDEZ-NUÑEZ CAVITE</t>
  </si>
  <si>
    <t>BARANGAY MAGACAN SANCHEZ MIRA CAGAYAN</t>
  </si>
  <si>
    <t>BARANGAY CABUYEW, NAGCARLAN, LAGUNA</t>
  </si>
  <si>
    <t>ISABELA STATE UNIVERSITY - JONES CAMPUS</t>
  </si>
  <si>
    <t>MUNICIPALITY OF SANTA, ILOCOS SUR</t>
  </si>
  <si>
    <t>MUNICIPALITY OF SAN FABIAN, PANGASINAN</t>
  </si>
  <si>
    <t>BARANGAY TINIGUIBAN - LEON B. POSTIGO ZAMBOANGA DEL NORTE</t>
  </si>
  <si>
    <t>BARANGAY CAPAYANG, MOGPOG, MARINDUQUE</t>
  </si>
  <si>
    <t>MUNICIPALITY OF LEON B. POSTIGO, ZAMBOANGA DEL NORTE</t>
  </si>
  <si>
    <t>MUNICIPALITY OF PANIQUI, TARLAC</t>
  </si>
  <si>
    <t>MUNICIPALITY OF STA. MARCELA, APAYAO</t>
  </si>
  <si>
    <t>PROVINCE OF CEBU</t>
  </si>
  <si>
    <t>MUNICIPALITY OF ROSARIO, BATANGAS</t>
  </si>
  <si>
    <t>COMMISSION ON HIGHER EDUCATION - REGION XII</t>
  </si>
  <si>
    <t>MUNICIPALITY OF MERIDA, LEYTE</t>
  </si>
  <si>
    <t>MUNICIPALITY OF DEL CARMEN, SURIGAO DEL NORTE</t>
  </si>
  <si>
    <t>MUNICIPALITY OF KAUSWAGAN, LANAO DEL NORTE</t>
  </si>
  <si>
    <t>PROVINCIAL GOVERNMENT OF CAMARINES SUR</t>
  </si>
  <si>
    <t>BARANGAY PUNSOD, MARIBOJOC, BOHOL</t>
  </si>
  <si>
    <t>MUNICIPALITY OF SAN ISIDRO, ISABELA</t>
  </si>
  <si>
    <t>CITY OF COTABATO</t>
  </si>
  <si>
    <t>BARANGAY  BAQUIOEN - SUAL PANGASINAN</t>
  </si>
  <si>
    <t>MUNICIPALITY OF TUDELA, CEBU</t>
  </si>
  <si>
    <t>MUNICIPALITY OF SOLANO, NUEVA VIZCAYA</t>
  </si>
  <si>
    <t>MUNICIPALITY OF FLORA, APAYAO</t>
  </si>
  <si>
    <t>MUNICIPALITY OF ASIPULO, IFUGAO</t>
  </si>
  <si>
    <t>MUNICIPALITY OF BROOKE'S POINT, PALAWAN</t>
  </si>
  <si>
    <t>BARANGAY VALENZUELA, MAKATI CITY</t>
  </si>
  <si>
    <t>DEPARTMENT OF PUBLIC WORKS AND HIGHWAYS - LEYTE 4TH DEO</t>
  </si>
  <si>
    <t>BARANGAY BUENAVISTA - BAYBAY CITY LEYTE</t>
  </si>
  <si>
    <t>MUNICIPALITY OF TAGBINA, SURIGAO DEL SUR</t>
  </si>
  <si>
    <t>MUNICIPALITY OF SAN FRANCISCO, AGUSAN DEL SUR</t>
  </si>
  <si>
    <t>PROVINCE OF LANAO DEL NORTE</t>
  </si>
  <si>
    <t>BARANGAY TAGONGON TAGBINA SURIGAO DEL SUR</t>
  </si>
  <si>
    <t>MUNICIPALITY OF SINAIT, ILOCOS SUR</t>
  </si>
  <si>
    <t>BARANGAY BUNTUN, TUGUEGARAO CITY, CAGAYAN</t>
  </si>
  <si>
    <t>MUNICIPALITY OF LIDLIDDA, ILOCOS SUR</t>
  </si>
  <si>
    <t>MUNICIPALITY OF MUTIA, ZAMBOANGA DEL NORTE</t>
  </si>
  <si>
    <t>MUNICIPALITY OF TANGCAL, LANAO DEL NORTE</t>
  </si>
  <si>
    <t>NATIONAL FOOD AUTHORITY - REGION IV</t>
  </si>
  <si>
    <t>DEPARTMENT OF PUBLIC WORKS AND HIGHWAYS - SOUTH COTABATO  1S</t>
  </si>
  <si>
    <t>BARANGAY LIGTONG II ROSARIO CAVITE</t>
  </si>
  <si>
    <t>MUNICIPALITY OF SIKATUNA, BOHOL</t>
  </si>
  <si>
    <t>DEPARTMENT OF PUBLIC WORKS AND HIGHWAYS - CAMARINES NORTE ED</t>
  </si>
  <si>
    <t>NATIONAL IRRIGATION ADMINISTRATION - ZAMBOANGA SIBUGAY</t>
  </si>
  <si>
    <t>DEPARTMENT OF PUBLIC WORKS AND HIGHWAYS - DAVAO ORIENTAL 2ND</t>
  </si>
  <si>
    <t>MUNICIPALITY OF QUIRINO, ILOCOS SUR</t>
  </si>
  <si>
    <t>BARANGAY SASA, DAVAO CITY</t>
  </si>
  <si>
    <t>LIGA NG MGA BARANGAY - ALIMODIAN ILOILO</t>
  </si>
  <si>
    <t>BARANGAY TALIGAMAN, BUTUAN CITY</t>
  </si>
  <si>
    <t>MUNICIPALITY OF KALAMANSIG, SULTAN KUDARAT</t>
  </si>
  <si>
    <t>MUNICIPALITY OF KALAYAAN, LAGUNA</t>
  </si>
  <si>
    <t>DEPARTMENT OF PUBLIC WORKS AND HIGHWAYS - MASBATE 2ND DEO</t>
  </si>
  <si>
    <t>MUNICIPALITY OF BUSUANGA, PALAWAN</t>
  </si>
  <si>
    <t>DEPARTMENT OF PUBLIC WORKS AND HIGHWAYS - NEGROS ORIENTAL 3R</t>
  </si>
  <si>
    <t>BARANGAY BAYAMBANG, INFANTA, PANGASINAN</t>
  </si>
  <si>
    <t>DEPARTMENT OF PUBLIC WORKS AND HIGHWAYS - NORTH COTABATO 2ND</t>
  </si>
  <si>
    <t>MUNICIPALITY OF HERNANI, EASTERN SAMAR</t>
  </si>
  <si>
    <t>MUNICIPALITY OF SIOCON</t>
  </si>
  <si>
    <t>MUNICIPALITY OF LA PAZ, ABRA</t>
  </si>
  <si>
    <t>DPWH - ANTIQUE DISTRICT ENGINEERING OFFICE</t>
  </si>
  <si>
    <t>PROVINCE OF ISABELA</t>
  </si>
  <si>
    <t>METRO SIQUIJOR WATER DISTRICT</t>
  </si>
  <si>
    <t>MUNICIPALITY OF OLUTANGA, ZAMBOANGA SIBUGAY</t>
  </si>
  <si>
    <t>MUNICIPALITY OF QUEZON , BUKIDNON</t>
  </si>
  <si>
    <t>BARANGAY BUENAVISTA - CASTILLA SORSOGON</t>
  </si>
  <si>
    <t>MUNICIPALITY OF AURORA, ISABELA</t>
  </si>
  <si>
    <t>MUNICIPALITY OF SAN BENITO, SURIGAO DEL NORTE</t>
  </si>
  <si>
    <t>MUNICIPALITY OF MEDELLIN, CEBU</t>
  </si>
  <si>
    <t>BRGY. GUIASAN, MUNICIPALITY OF MAGALLANES, AGUSAN DEL NORTE</t>
  </si>
  <si>
    <t>MUNICIPALITY OF TAGOLOAN, MISAMIS ORIENTAL</t>
  </si>
  <si>
    <t>MUNICIPALITY OF PASACAO, CAMARINES SUR</t>
  </si>
  <si>
    <t>MABINI NATIONAL HIGH SCHOOL - NEGROS OCCIDENTAL</t>
  </si>
  <si>
    <t>DEPARTMENT OF EDUCATION - DIVISION OF SOUTHERN LEYTE</t>
  </si>
  <si>
    <t>MUNICIPALITY OF ALFONSO LISTA, IFUGAO</t>
  </si>
  <si>
    <t>DEPARTMENT OF PUBLIC WORKS AND HIGHWAYS - PALAWAN 3RD DEO</t>
  </si>
  <si>
    <t>MUNICIPALITY OF PIAT, CAGAYAN</t>
  </si>
  <si>
    <t>BARANGAY DALID, CALINOG, ILOILO</t>
  </si>
  <si>
    <t>BARANGAY SUNG-AN -  MERCEDES, EASTERN SAMAR</t>
  </si>
  <si>
    <t>BARANGAY SAN JUAN, SAN PABLO CITY, LAGUNA</t>
  </si>
  <si>
    <t>MUNICIPALITY OF CARMEN COTABATO</t>
  </si>
  <si>
    <t>MUNICIPALITY OF STA. CRUZ, ZAMBALES</t>
  </si>
  <si>
    <t>BARANGAY CAN-ANGAY INOPACAN LEYTE</t>
  </si>
  <si>
    <t>MUNICIPALITY OF PUERTO GALERA, ORIENTAL MINDORO</t>
  </si>
  <si>
    <t>BUREAU OF BROADCAST SERVICES</t>
  </si>
  <si>
    <t>MUNICIPALITY  OF SAN JOSE, NEGROS ORIENTAL</t>
  </si>
  <si>
    <t>BARANGAY KINAMLUTAN, BUTUAN, AGUSAN DEL NORTE</t>
  </si>
  <si>
    <t>MUNICIPALITY OF VIRAC , CATANDUANES</t>
  </si>
  <si>
    <t>MUNICIPALITY OF JIMENEZ, MISAMIS OCCIDENTAL</t>
  </si>
  <si>
    <t>CITY OF MUNTINLUPA</t>
  </si>
  <si>
    <t>PROVINCE OF BATANGAS</t>
  </si>
  <si>
    <t>MUNICIPALITY OF AGLIPAY, QUIRINO</t>
  </si>
  <si>
    <t>MUNICIPALITY OF NORALA, SOUTH COTABATO</t>
  </si>
  <si>
    <t>BARANGAY POBLACION - TAMPAKAN SOUTH COTABATO</t>
  </si>
  <si>
    <t>BARANGAY BATTUNG, TUAO, CAGAYAN</t>
  </si>
  <si>
    <t>BANGKO SENTRAL NG PILIPINAS - CEBU REGIONAL OFFICE</t>
  </si>
  <si>
    <t>CITY OF BAYBAY, LEYTE</t>
  </si>
  <si>
    <t>BARANGAY MABINI HOMESITE-CABANATUAN CITY</t>
  </si>
  <si>
    <t>DEPARTMENT OF SOCIAL WELFARE AND DEVELOPMENT - REGION I</t>
  </si>
  <si>
    <t>DEPARTMENT OF PUBLIC WORKS AND HIGHWAYS - DAVAO CITY DEO</t>
  </si>
  <si>
    <t>NATIONAL IRRIGATION ADMINISTRATION - QUEZON IMO, LUCENA CITY</t>
  </si>
  <si>
    <t>MUNICIPALITY OF MANAPLA, NEGROS OCCIDENTAL</t>
  </si>
  <si>
    <t>MUNICIPALITY OF BARILI, CEBU</t>
  </si>
  <si>
    <t>TECHNICAL EDUCATION &amp; SKILLS DEVELOPMENT AUTHORITY - BAYOMBO</t>
  </si>
  <si>
    <t>MUNICIPALITY OF DASOL, PANGASINAN</t>
  </si>
  <si>
    <t>MUNICIPALITY OF TAFT, EASTERN SAMAR</t>
  </si>
  <si>
    <t>SAN LAZARO HOSPITAL</t>
  </si>
  <si>
    <t>DEPARTMENT OF PUBLIC WORKS AND HIGHWAYS - LAGUNA III DISTRIC</t>
  </si>
  <si>
    <t>CITY OF TRECE MARTIRES</t>
  </si>
  <si>
    <t>BARANGAY M. ROXAS - TRINIDAD BOHOL</t>
  </si>
  <si>
    <t>MUNICIPALITY OF PEÑABLANCA, CAGAYAN</t>
  </si>
  <si>
    <t>SK OF  BARANGAY TEJEROS  - MAKATI CITY</t>
  </si>
  <si>
    <t>DEPARTMENT OF PUBLIC WORKS AND HIGHWAYS - ZAMBALES 1ST DEO</t>
  </si>
  <si>
    <t>MUNICIPALITY OF BANSALAN, DAVAO DEL SUR</t>
  </si>
  <si>
    <t>MUNICIPALITY OF STA. FE, LEYTE</t>
  </si>
  <si>
    <t>BARANGAY DANAO, TIGBAUAN, ILOILO</t>
  </si>
  <si>
    <t xml:space="preserve">BUREAU OF FISHERIES AND AQUATIC RESOURCES - REGION IV-B </t>
  </si>
  <si>
    <t>TOLEDO CITY WATER DISTRICT</t>
  </si>
  <si>
    <t>BARANGAY CAMPELIPA - DARAM SAMAR</t>
  </si>
  <si>
    <t>WESTERN VISAYAS SANITARIUM - DOH</t>
  </si>
  <si>
    <t>MUNICIPALITY OF BAMBANG, NUEVA VIZCAYA</t>
  </si>
  <si>
    <t>BARANGAY BALUC, TANGUB CITY</t>
  </si>
  <si>
    <t>AGRICULTURAL TRAINING INSTITUTE - REGION XI</t>
  </si>
  <si>
    <t>MUNICIPALITY OF SANTA MARIA, ILOCOS SUR</t>
  </si>
  <si>
    <t>DEPARTMENT OF PUBLIC WORKS AND HIGHWAYS - NEG. OCC. 4TH DEO</t>
  </si>
  <si>
    <t>MUNICIPALITY OF MACALELON, QUEZON</t>
  </si>
  <si>
    <t>MUNICIPALITY OF SAN ENRIQUE, ILOILO</t>
  </si>
  <si>
    <t>DEPARTMENT OF PUBLIC WORKS AND HIGHWAYS - NEGROS ORIENTAL 2N</t>
  </si>
  <si>
    <t>DEPARTMENT OF PUBLIC WORKS AND HIGHWAYS - SAMAR 2ND DEO</t>
  </si>
  <si>
    <t>BARANGAY CULASIAN, CAPOOCAN, LEYTE</t>
  </si>
  <si>
    <t>BARANGAY MAMBUGSAY - CAUAYAN NEGROS OCCIDENTAL</t>
  </si>
  <si>
    <t>MUNICIPALITY OF SAN JOSE DE BUAN, SAMAR</t>
  </si>
  <si>
    <t>MUNICIPALITY OF  PANAON, MISAMIS OCCIDENTAL</t>
  </si>
  <si>
    <t>MUNICIPALITY OF VALENCIA, NEGROS ORIENTAL</t>
  </si>
  <si>
    <t>BARANGAY  - ROXAS ORIENTAL MINDORO</t>
  </si>
  <si>
    <t>MUNICIPALITY OF BALIGUIAN, ZAMBOANGA DEL NORTE</t>
  </si>
  <si>
    <t>BARANGAY LANGKONG - M'LANG COTABATO</t>
  </si>
  <si>
    <t>SCIENCE CITY OF MUÑOZ, NUEVA ECIJA</t>
  </si>
  <si>
    <t>BARANGAY BAYAG NORTE, LEON, ILOILO</t>
  </si>
  <si>
    <t>MUNICIPALITY OF DINGLE, ILOILO</t>
  </si>
  <si>
    <t>BARANGAY MAIHAO, CAWAYAN, MASBATE</t>
  </si>
  <si>
    <t>BARANGAY TEJEROS, MAKATI CITY</t>
  </si>
  <si>
    <t>BARANGAY LA PAZ MAKATI CITY</t>
  </si>
  <si>
    <t>BARANGAY BOBON, LEON, ILOILO</t>
  </si>
  <si>
    <t>LEYTE NORMAL UNIVERSITY</t>
  </si>
  <si>
    <t>MUNICIPALITY OF GETAFE, BOHOL</t>
  </si>
  <si>
    <t>BARANGAY  CABIHIAN - VIRAC CATANDUANES</t>
  </si>
  <si>
    <t>MUNICIPALITY OF ALMAGRO, SAMAR</t>
  </si>
  <si>
    <t>BARANGAY DUNGON, CONCEPCION, ILOILO</t>
  </si>
  <si>
    <t>TECHNOLOGICAL UNIVERSITY OF THE PHILIPPINES - MANILA CAMPUS</t>
  </si>
  <si>
    <t>BARANGAY SICAYAB, DIPOLOG, ZAMBOANGA DEL NORTE</t>
  </si>
  <si>
    <t>DR. JOSE RIZAL MEMORIAL HOSPITAL</t>
  </si>
  <si>
    <t>PHILIPPINE HEALTH INSURANCE CORPORATION - REGION XII</t>
  </si>
  <si>
    <t>MUNICIPALITY OF BONTOC, MOUNTAIN PROVINCE</t>
  </si>
  <si>
    <t>BARANGAY MAHAYAHAY - CAWAYAN, MASBATE</t>
  </si>
  <si>
    <t>DEPARTMENT OF PUBLIC WORKS AND HIGHWAYS - MIS. OCC. SUB-DEO</t>
  </si>
  <si>
    <t>BARANGAY SAN ISIDRO, SAN FRANCISCO, CEBU</t>
  </si>
  <si>
    <t>CITY OF ZAMBOANGA, ZAMBOANGA DEL SUR</t>
  </si>
  <si>
    <t>BARANGAY ANTICALA, BUTUAN CITY</t>
  </si>
  <si>
    <t>BARANGAY 267 ZONE 24 DISTRICT II, MANILA</t>
  </si>
  <si>
    <t>BARANGAY 319 ZONE 32 DISTRICT 3 - MANILA</t>
  </si>
  <si>
    <t>BARANGAY 1 MAON, BUTUAN CITY</t>
  </si>
  <si>
    <t>DEPARTMENT OF PUBLIC WORKS AND HIGHWAYS - REGION XII</t>
  </si>
  <si>
    <t>BARANGAY BARANGOBONG - TAYUG, PANGASINAN</t>
  </si>
  <si>
    <t>BARANGAY ALMEÑANA - LEMERY,ILOILO</t>
  </si>
  <si>
    <t>DEPARTMENT OF PUBLIC WORKS AND HIGHWAYS - TARLAC 1ST DEO</t>
  </si>
  <si>
    <t>DEPARTMENT OF PUBLIC WORKS AND HIGHWAYS - CATANDUANES ED</t>
  </si>
  <si>
    <t>MUNICIPALITY OF NUNUNGAN, LANAO DEL NORTE</t>
  </si>
  <si>
    <t>MUNICIPALITY OF BOSTON, DAVAO ORIENTAL</t>
  </si>
  <si>
    <t>MUNICIPALITY OF MAGARAO, CAMARINES SUR</t>
  </si>
  <si>
    <t>BARANGAY STA. VERONICA, SAN PABLO CITY</t>
  </si>
  <si>
    <t>MUNICIPALITY OF BAUANG, LA UNION</t>
  </si>
  <si>
    <t>DEPARTMENT OF AGRARIAN REFORM - TARLAC CITY</t>
  </si>
  <si>
    <t>MUNICIPALITY OF M'LANG, COTABATO</t>
  </si>
  <si>
    <t>BUREAU OF INTERNAL REVENUE</t>
  </si>
  <si>
    <t>MUNICIPALITY OF PANUKULAN, QUEZON</t>
  </si>
  <si>
    <t>CITY OF VALENZUELA</t>
  </si>
  <si>
    <t>BARANGAY GUADALUPE NUEVO, MAKATI CITY</t>
  </si>
  <si>
    <t>BUREAU OF JAIL MANAGEMENT AND PENOLOGY-NCR</t>
  </si>
  <si>
    <t>DEPARTMENT OF SCIENCE AND TECHNOLOGY - CARAGA</t>
  </si>
  <si>
    <t>NATIONAL IRRIGATION ADMINISTRATION-SORSOGON MASBATE IMO</t>
  </si>
  <si>
    <t>DEPARTMENT OF PUBLIC WORKS AND HIGHWAYS - LA UNION 1ST ED</t>
  </si>
  <si>
    <t>BOHOL ISLAND STATE UNIVERSITY - CANDIJAY CAMPUS</t>
  </si>
  <si>
    <t>MUNICIPALITY OF BAGGAO, CAGAYAN</t>
  </si>
  <si>
    <t>BARANGAY TIKEY, BOKOD, BENGUET</t>
  </si>
  <si>
    <t>DEPARTMENT OF SOCIAL WELFARE AND DEVELOPMENT - REGION IV-A</t>
  </si>
  <si>
    <t>MUNICIPALITY OF JANIUAY, ILOILO</t>
  </si>
  <si>
    <t>MINDANAO STATE UNIVERSITY - GENERAL SANTOS CITY CAMPUS</t>
  </si>
  <si>
    <t>CADIZ VIEJO NATIONAL HIGH SCHOOL</t>
  </si>
  <si>
    <t>BARANGAY MARIBAGO, LAPU-LAPU, CEBU</t>
  </si>
  <si>
    <t>CITY OF GAPAN, NUEVA ECIJA</t>
  </si>
  <si>
    <t>MUNICIPALITY OF CERVANTES, ILOCOS SUR</t>
  </si>
  <si>
    <t>BUREAU OF FIRE PROTECTION - ARMM</t>
  </si>
  <si>
    <t>BARANGAY CAMITOC, DULAG, LEYTE</t>
  </si>
  <si>
    <t>BICOL REGIONAL TRAINING AND TEACHING HOSPITAL</t>
  </si>
  <si>
    <t>DEPARTMENT OF PUBLIC WORKS AND HIGHWAYS - BUKIDNON 1ST DEO</t>
  </si>
  <si>
    <t>MUNICIPALITY OF BASUD, CAMARINES NORTE</t>
  </si>
  <si>
    <t>MLANG WATER DISTRICT</t>
  </si>
  <si>
    <t>PROVINCE OF BULACAN</t>
  </si>
  <si>
    <t>MUNICIPALITY OF INFANTA, QUEZON</t>
  </si>
  <si>
    <t>BARANGAY POBLACION, POLILLO, QUEZON</t>
  </si>
  <si>
    <t>DEPARTMENT OF PUBLIC WORKS AND HIGHWAYS - TACLOBAN CITY SDEO</t>
  </si>
  <si>
    <t>BARANGAY OSMENA, CATAINGAN, MASBATE</t>
  </si>
  <si>
    <t>MUNICIPALITY OF STA. ANA, PAMPANGA</t>
  </si>
  <si>
    <t>BARANGAY SINOGBUHAN, SAN JOAQUIN, ILOILO</t>
  </si>
  <si>
    <t>MUNICIPALITY OF ANINI-Y, ANTIQUE</t>
  </si>
  <si>
    <t>MUNICIPALITY OF SAN LORENZO RUIZ, CAMARINES NORTE</t>
  </si>
  <si>
    <t>PROVINCE OF SARANGANI</t>
  </si>
  <si>
    <t>DEPARTMENT OF BUDGET AND MANAGEMENT</t>
  </si>
  <si>
    <t>NATIONAL POWER CORPORATION SPUG-MINDANAO</t>
  </si>
  <si>
    <t>MUNICIPALITY OF BINANGONAN, RIZAL</t>
  </si>
  <si>
    <t>DEPARTMENT OF PUBLIC WORKS AND HIGHWAYS - DAVAO OCCIDENTAL D</t>
  </si>
  <si>
    <t>DEPARTMENT OF PUBLIC WORKS AND HIGHWAYS - PAMPANGA 2ND DEO</t>
  </si>
  <si>
    <t>BARANGAY SANTIAGO SANCHEZ MIRA CAGAYAN</t>
  </si>
  <si>
    <t>MUNICIPALITY OF PULUPANDAN, NEGROS OCCIDENTAL</t>
  </si>
  <si>
    <t>DEPARTMENT OF SOCIAL WELFARE AND DEVELOPMENT - NCR</t>
  </si>
  <si>
    <t>MUNICIPALITY OF MANAOAG, PANGASINAN</t>
  </si>
  <si>
    <t>TANJAY WATER DISTRICT</t>
  </si>
  <si>
    <t>PROVINCIAL GOVERNMENT OF APAYAO</t>
  </si>
  <si>
    <t>MUNICIPALITY OF DIMASALANG, MASBATE</t>
  </si>
  <si>
    <t>INFANTA (QUEZON) WATER DISTRICT</t>
  </si>
  <si>
    <t>MUNICIPALITY OF CALUYA, ANTIQUE</t>
  </si>
  <si>
    <t>DEPARTMENT OF PUBLIC WORKS AND HIGHWAYS - CARAGA</t>
  </si>
  <si>
    <t>BARANGAY POTOL - DAPITAN CITY ZAMBOANGA DEL NORTE</t>
  </si>
  <si>
    <t>BARANGAY MATINA 74-A - MATINA, DAVAO CITY</t>
  </si>
  <si>
    <t>Procurement of Thirteen (13) Units High Speed Color Document Scanner, Brand New</t>
  </si>
  <si>
    <t>Tawi-Tawi LHIO Office Equipment -Air Con</t>
  </si>
  <si>
    <t>Purchase of various Medicine and Medical Supplies</t>
  </si>
  <si>
    <t>Hiring of 2 Agency Security Guards</t>
  </si>
  <si>
    <t>PROCUREMENT OF VARIOUS MEDICAL EQUIPMENT (DIGITAL MASS CHEST RADIOGRAPHY, NAVIGATIONAL BRONCHOSCOPE, ELECTROSURGICAL MACHINE WITH ADVANCED VESSEL SEALING MODULE, CARDIOPULMONARY EXERCISE TEST MACHINE,</t>
  </si>
  <si>
    <t>PRE-BID CONFERENCE 23/June/2020 - Procurement of Goods: Supply and Installation of Panoramic/Scenic ELEVATOR for the use of CMO (Const'n &amp; Maint. of City Hall Bldg. of Tagum) (PR#100-20-06-0032)</t>
  </si>
  <si>
    <t>REHABILITATION OF LOCAL ROAD OF BRGY. BALIUAG VIEJO AT ZONE ZONE 3</t>
  </si>
  <si>
    <t>Procurement of Office Supplies - June 2020</t>
  </si>
  <si>
    <t>Supply and Delivery of 1 Pc. Ball Stud #23B-27-31580 &amp; Other Items; PR No. 20-1302 dated January 6, 2020</t>
  </si>
  <si>
    <t>Supply and Delivery of 20 Gal. Gasoline Engine Oil &amp; Other Item; PR No. 20-1339 dated April 23, 2020</t>
  </si>
  <si>
    <t>Agricultural Products (Seeds, Seedlings, Plants..) to be used during the conduct of Webinar Episodes on Common Insect Pests in Vegetables and Common Diseases</t>
  </si>
  <si>
    <t>Consulting Services for Cabacanan Small Reservoir Irrigation Project-Detailed Engineering</t>
  </si>
  <si>
    <t>Supply and Delivery of 1 Unit Clutch Lining &amp; Other Items; PR No. 20-1298 dated April 21, 2020</t>
  </si>
  <si>
    <t>Rehabilitation of Brgy. Madanding FMR</t>
  </si>
  <si>
    <t>Office Supplies and Devices to be used during the conduct of Webinar Episodes on Common Insect Pests in Vegetables and Common Diseases</t>
  </si>
  <si>
    <t>CNH-0320-032</t>
  </si>
  <si>
    <t>Supply and Delivery of 1 Unit Hardware Firewall, License, 2 years &amp; Other Items; PR No. 20-1338 dated March 23, 2020</t>
  </si>
  <si>
    <t>Completion of Day Center</t>
  </si>
  <si>
    <t>Procurement of Multivitamins with Inositol</t>
  </si>
  <si>
    <t>Supply &amp; delivery of 510 Vials Rabies Vaccine; PR No. 20-1380 dated May 22, 2020</t>
  </si>
  <si>
    <t>REHABILITATION OF LOCAL ROAD OF BRGY. BALIUAG VIEJO AT ZONE 1</t>
  </si>
  <si>
    <t>Procurement of Male Condom</t>
  </si>
  <si>
    <t>20GFO0014 - Purchase of One (1) Set - Portable Weigh-in-Motion (WIM) Axle Weigher, for Use in Axle Load Survey Program of DPWH Albay 3rd DEO, Paulog, Ligao City</t>
  </si>
  <si>
    <t>REHABILITATION OF LOCAL ROAD OF BRGY. BALIUAG VIEJO AT ZONE ZONE 4B</t>
  </si>
  <si>
    <t>Supply and Delivery of Office Equipment</t>
  </si>
  <si>
    <t>REHABILITATION OF LOCAL ROAD OF BRGY. BALIUAG VIEJO AT ZONE ZONE 2</t>
  </si>
  <si>
    <t>Purchase of Cudgel to be used at Various Barangays in Mangatarem, Pangasinan</t>
  </si>
  <si>
    <t>20GFO0015 - Supply and Delivery of Materials for Work Cat. 10: Activity 122 - Cracks and Joint of Concrete Pavement along National Roads within the 3rd District of Albay</t>
  </si>
  <si>
    <t>Construction of WWS, Podpod-Paddig to ES Baclas, Apatan, Pinukpuk</t>
  </si>
  <si>
    <t>Procurement of Medical Supplies Lot 1</t>
  </si>
  <si>
    <t>SUPPLY AND DELIVERY OF OFFICE SUPPLIES AND ACCESSORIES FOR MGB-X APP CSE 2020 PART I.</t>
  </si>
  <si>
    <t>Repair &amp; Construction of WWS, Bonnong-Taga, Pinukpuk</t>
  </si>
  <si>
    <t>Catering services to be served during the conduct of ATI Staff Monthly Meeting, MANCOMM, and other activities of the center from July 2020-December 2020</t>
  </si>
  <si>
    <t>Procurement of Lynestrenol</t>
  </si>
  <si>
    <t>INFORMATION &amp; COMMUNICATION TECHNOLOGY EQUIPMENT</t>
  </si>
  <si>
    <t>Supply &amp; delivery of 4 Unit Pressure Washer &amp; other items; PR No. 20-1385 dated May 29, 2020</t>
  </si>
  <si>
    <t>PPD-20-043 NP3 (SV)</t>
  </si>
  <si>
    <t>Procurement of Personal Protective Equipment</t>
  </si>
  <si>
    <t>Printing services to be used during the conduct of Webinar Episodes on Common Insect Pests in Vegetables and Common Diseases</t>
  </si>
  <si>
    <t>Procurement of Petroleum</t>
  </si>
  <si>
    <t>Purchase of various electrical supplies for installation of lighting system at 94th Infantry Batallion Army Detachment at Bry. Tambo, Ayungon, Negros Oriental -electrical works</t>
  </si>
  <si>
    <t>Supply and Delivery of 3 Pieces CCTV NVR &amp; Other Items; PR No. 20-1243 dated April 4, 2020</t>
  </si>
  <si>
    <t>Procurement of 1 Lot Meals &amp; Snacks; PR No. 20-1212 dated March 23, 2020</t>
  </si>
  <si>
    <t>CONSTRUCTION OF EVACUATION CENTER PHASE 4</t>
  </si>
  <si>
    <t>Rehabilitation of Spring Development Project, Barangay Mahayag, St. Bernard, Southern Leyte</t>
  </si>
  <si>
    <t>Provision of Outdoor Facilities (Physical Activity Equipment) and Construction of Perimeter Fence Phase 2 - Outdoor Facilities</t>
  </si>
  <si>
    <t>ELECTRIFICATION OF UN-ENERGIZED SCHOOLS AND MODERNIZATION OF ELECTRICAL SYSTEMS ON-GRID SCHOOLS AT CARAEL NATIONAL HIGH SCHOOL</t>
  </si>
  <si>
    <t>Construction of Canopy of Covered Court, Barangay Cantutang, Padre Burgos, Southern Leyte</t>
  </si>
  <si>
    <t>Completion of Cabul-anonan Seawall, Barangay Cabul-anonan, Malitbog, Southern Leyte</t>
  </si>
  <si>
    <t>Procurement of School Supplies of Miluya ES</t>
  </si>
  <si>
    <t>Fabrication &amp; Installation of PAIASO Shelves, Capitol Site, Asuncion, Maasin City, Southern Leyte</t>
  </si>
  <si>
    <t>Construction of Multi-Purpose Hall, Barangay San Antonio, Tomas Oppus, Southern Leyte, Southern Leyte</t>
  </si>
  <si>
    <t>REBID-ELECTRIFICATION OF UN-ENERGIZED SCHOOLS AND MODERNIZATION OF ELECTRICAL SYSTEMS ON-GRID SCHOOLS AT BONUAN BOQUIG NHS</t>
  </si>
  <si>
    <t>Reblocking of St. Bernard Municipal Road, Barangay Himatagon, St. Bernard, Southern Leyte</t>
  </si>
  <si>
    <t>INVITATION TO BID FOR THE PROCUREMENT OF BOOKS FOR THE UNIVERSITY LIBRARY OF THE LAGUNA STATE POLYTECHNIC UNIVERSITY MAIN CAMPUS</t>
  </si>
  <si>
    <t>REBID-ELECTRIFICATION OF UN-ENERGIZED SCHOOLS AND MODERNIZATION OF ELECTRICAL SYSTEMS ON-GRID SCHOOLS AT JUDGE JOSE DE VENECIA, SR. TECHNICAL-VOCATIONAL SECONDARY SCHOOL</t>
  </si>
  <si>
    <t>Rehabilitation of Barangay Pandan Multi-Purpose Building, Barangay Pandan, Liloan, Southern Leyte</t>
  </si>
  <si>
    <t>Concreting of Soro-Soro-Hanginan Barangay Road, Maasin City, Southern Leyte</t>
  </si>
  <si>
    <t>Construction of San Ramon CHB Canal, Barangay San Ramon, Bontoc, Southern Leyte</t>
  </si>
  <si>
    <t>Construction of Magaupas River Control, Barangay Magaupas, Liloan, Southern Leyte</t>
  </si>
  <si>
    <t>Concreting of Barangay Road</t>
  </si>
  <si>
    <t>Purchase of Fuel (Diesel) –  Municipal Health Office</t>
  </si>
  <si>
    <t>Construction of Ilihan Concrete Pavement, Barangay Ilihan, Macrohon, Southern Leyte</t>
  </si>
  <si>
    <t>Construction of Material Recovery Facilities of Barangay Ambacon</t>
  </si>
  <si>
    <t>Supply and delivery of hardware materials use for the Construction of Multi Purpose Building, Sidaga</t>
  </si>
  <si>
    <t>CONSTRUCTION OF STORM DRAINAGE (Butao)</t>
  </si>
  <si>
    <t>Completion/Concreting of Barangay Road, Brgy. Lumbog, Hinunangan, Southern Leyte</t>
  </si>
  <si>
    <t>Concreting of Pandan Road, Barangay Pandan, Sogod, Southern Leyte</t>
  </si>
  <si>
    <t>Installation of 6 Units Solar Street Light of Barangay Poblacion</t>
  </si>
  <si>
    <t>Continuation of Naguilian Flood Control (remaining item of the original POW)</t>
  </si>
  <si>
    <t>P.R. No. X11-20-02-104 - Supply and Delivery for the repair and maintenance of Mitsubishi Montero, H1-7670 (B5-G363) assigned at COA</t>
  </si>
  <si>
    <t>P.R. No. X4-20-03-137 - Supply and Delivery for the use in the Construction Division</t>
  </si>
  <si>
    <t>Concreting of Dagsa Barangay Road, Barangay Dagsa, Sogod, Southern Leyte</t>
  </si>
  <si>
    <t>Purchase of Fuel (Diesel) –  Office of the Municipal Mayor</t>
  </si>
  <si>
    <t>Supply and Delivery of Various CI Fittings</t>
  </si>
  <si>
    <t>Procurement of Various Office Supplies</t>
  </si>
  <si>
    <t>P.R. No. X11-20-04-194 - Supply and Delivery for the use of Ford Ranger Pick-up, H1-5972 (100803/ABB-7023), assigned at EMD</t>
  </si>
  <si>
    <t>Purchase of Drone Camera</t>
  </si>
  <si>
    <t>20CSN012; CONSULTING SERVICES FOR THE GEOTECHNICAL AND GEOLOGICAL SURVEY/ INVESTIGATIONS FOR THE CONSTRUCTION OF STA. JOSEFA BRIDGE (PARALLEL) ALONG NRJ CUEVAS- SAMPAGUITA ROAD, AGUSAN DEL SUR</t>
  </si>
  <si>
    <t>Supply &amp; delivery of 10 Packs Cotton Pledget &amp; other items; PR No. 20-0799 dated March 10, 2020</t>
  </si>
  <si>
    <t>MG-A5M20-076 ( PAINT, EPOXY, COMPONENT A&amp;B + 2 ITEMS )</t>
  </si>
  <si>
    <t>GEPS2006-004</t>
  </si>
  <si>
    <t>YMANDAYA VILLAGE REPLICA FACILITIES</t>
  </si>
  <si>
    <t>Construction of 2 Units Material Recovery Facilities at Elementary and High School of Brgy. Marcos Calo</t>
  </si>
  <si>
    <t>GEPS2006-003</t>
  </si>
  <si>
    <t>Purchase of 216 Half Sacks of Rice</t>
  </si>
  <si>
    <t>UPGRADING OF POBLACION-MADALAPANG FMR</t>
  </si>
  <si>
    <t>Vehicle Repair and Maintenance SHS 193</t>
  </si>
  <si>
    <t>Installation of 6 Units Solar Street Light of Barangay Malicato</t>
  </si>
  <si>
    <t>PR-2020-0350 Two (2) units Brand new Pick-Up (Renegotiated)-PDRRMO</t>
  </si>
  <si>
    <t>PR-2020-0734 One (1)  Unit Brand new Four Wheel Drive (FWD) Tractor (Negotiated)-PAO</t>
  </si>
  <si>
    <t>Request for Quotation for the Provision of Transportation services to ferry ATI staff and participants on official business for the month of July to September 2020.</t>
  </si>
  <si>
    <t>Completion of Solar Dryer of P-5 &amp; P-6 of Barangay Bonifacio</t>
  </si>
  <si>
    <t>PR-2020-1189 Airconditioning Units (Rebid)-SPO</t>
  </si>
  <si>
    <t>PR-2020-1190 Five (5) Units Misting Machine (Rebid)-PHO</t>
  </si>
  <si>
    <t>RFQ - Maintenance (Rosa Bus)</t>
  </si>
  <si>
    <t>PROVISION OF 12 UNITS OF LED TV</t>
  </si>
  <si>
    <t>SABANGAN ROAD OPENING</t>
  </si>
  <si>
    <t>PR-2020-0783 One (1) Unit Multi-Commodity Solar Tunnel Dryer &amp; Seven (7) Units Fiber Glass Fish Holding Tanks(Negotiated)-PAO</t>
  </si>
  <si>
    <t>PR-2020-1268 Drugs &amp; Medicines-Fluids-CDH</t>
  </si>
  <si>
    <t>PR 1-20-01-0118, TO BE USED FOR VARIOUS SPORTS ACTIVITIES.</t>
  </si>
  <si>
    <t>IMPROVEMENT OF MULTI-PURPOSE BUILDING - CARONOAN- SAN  JUAN, ILOCOS SUR</t>
  </si>
  <si>
    <t>PR 1-20-03-0497, FOR THE USE OF GUESTS, FACILITATORS AND VISITORS OF THE PUBLIC EMPLOYMENT SERVICE OFFICE, THIS CITY.</t>
  </si>
  <si>
    <t>NOTICE TO CONDUCT FOR  PROCUREMENT OF LOT # 3 AND LOT # 4 OF REPAIR AND MAINTENANCE MATERIALS FOR BALINGASAG WATER DISTRICT</t>
  </si>
  <si>
    <t>INVITATION TO BID FOR PROVISION OF SECURITY SERVICES FOR 2020</t>
  </si>
  <si>
    <t>PR 1-20-03-0437, TO BE USED FOR VARIOUS FOOTBALL ACTIVITIES 2020.</t>
  </si>
  <si>
    <t>PR 1-20-03-0429, TO BE USED AT THE BUSINESS TAX &amp; OTHER FEES DIVISION, CITY TREASURER'S OFFICE.</t>
  </si>
  <si>
    <t>: Supply and Delivery of Furnitures and Fixtures for the use of CMO-Local Public Transport Route Plan</t>
  </si>
  <si>
    <t>PR 1-20-02-0402, FOR USE DURING THE LOCALIZED BARANGAY SEARCH FOR SEAL OF GOOD ENVIRONMENTAL GOVERNANCE YEAR I - EVALUATION ON MAY 25 - 29, 2020 OF CITY ENVIRONMENT MANAGEMENT OFFICE, CEMO, THIS CITY.</t>
  </si>
  <si>
    <t>ITB-140 Installation of Fire Sprinkler, Fire Detection and Alarm System,  Nasipit District Hospital, Nasipit, Agusan del Norte (REBID)</t>
  </si>
  <si>
    <t>Opening of Road Naguilian Cemetery</t>
  </si>
  <si>
    <t>PR 1-20-03-0490, TO BE USED FOR VARIOUS FOOTBALL ACTIVITIES 2020.</t>
  </si>
  <si>
    <t>PR-2020-0465 IT Equipment (Renegotiated)-PDRRMO</t>
  </si>
  <si>
    <t>PR 1-20-03-0487, FOR USE OF OFFICE OF THE BUILDING OFFICIAL, CITY ENGINEERING DEPARTMENT.</t>
  </si>
  <si>
    <t>PR 1-20-03-0489, FOR USE OF THE STREET SWEEPERS, GARBAGE COLLECTORS AND SEGREGATORS, CEMO, THIS CITY.</t>
  </si>
  <si>
    <t>PR-2020-0665 Portable Anthropometric Tool (Renegotiated)-PSWDO</t>
  </si>
  <si>
    <t>RFQ for Hardware Supplies of IQA Office</t>
  </si>
  <si>
    <t>PR 1-20-03-0473, FOR USE OF THE LAW ENFORCEMENT TEAM - CITY LEGAL OFFICE, THIS CITY.</t>
  </si>
  <si>
    <t>Calibration of Dialysis Machine at Ziga Memorial District Hospital (PR NO. 100(01)20-05-1100)</t>
  </si>
  <si>
    <t>PR-2020-0352 One (1) Unit Brand new Ambulance Van Type (Renegotiated)-PDRRMO</t>
  </si>
  <si>
    <t>RFQ for Hardware and Construction Supplies of Campus Director's Office</t>
  </si>
  <si>
    <t>PR 1-20-03-0482, FOR USE AT THE OFFICE OF THE CITY AGRICULTURIST, THIS CITY.</t>
  </si>
  <si>
    <t>construction of stock room</t>
  </si>
  <si>
    <t>Purchase of Office Supplies for use at Provincial General Services Office (PR NO. 100(01)20-02-0356)</t>
  </si>
  <si>
    <t>SUPPLY AND DELIVERY OF METER READING GADGET</t>
  </si>
  <si>
    <t>1-20-03-0501, FOR USE OF THE PEOPLE’S PARK MANAGEMENT OFFICE, THIS CITY.</t>
  </si>
  <si>
    <t>Fabrication of Twenty (20) Units Mechanical Coupling 150mm (6") for the jointing of B.I. Pipe 6" to uPVC Pipe 6" for Silay City Water District</t>
  </si>
  <si>
    <t>NEGOTIATED PROCUREMENT  OF WATER METER CLUSTERING</t>
  </si>
  <si>
    <t>CHEST FREEZER</t>
  </si>
  <si>
    <t>PR 1-20-03-0515, FOR THE USE OF PUBLIC EMPLOYMENT SERVICE OFFICE SAN CARLOS CITY LOCAL GOVERNMENT UNIT TRAINING CENTER.</t>
  </si>
  <si>
    <t>Procurement of Vehicle Spare Parts &amp; Labor - OVG/OSP</t>
  </si>
  <si>
    <t>Procurement of Furniture and Fixtures</t>
  </si>
  <si>
    <t>Representation Expenses (CYBER-PhP138,000.00)</t>
  </si>
  <si>
    <t>Construction of Material Recovery Facilities Building of Barangay Katipunan</t>
  </si>
  <si>
    <t>INVITATION TO BID FOR PURCHASE OF COMMON OFFICE SUPPLIES FOR F.Y. 2020</t>
  </si>
  <si>
    <t>Procurement of Vehicle Spare Parts - OSP</t>
  </si>
  <si>
    <t>Installation of New Steel Pipelines that Crosses the Imbang Bridge located at Brgy. E. Lopez for Silay City Water District</t>
  </si>
  <si>
    <t>Road Gravelling at Barangay Durian</t>
  </si>
  <si>
    <t>Procurement of Catering Services &amp; Venue - Lot 1 - Catering services - PDRRMO</t>
  </si>
  <si>
    <t>Office Supplies</t>
  </si>
  <si>
    <t>Road Gravelling at Barangay Lingayao</t>
  </si>
  <si>
    <t>Improvements of Multi-Purpose Hall of Barangay Maningalao</t>
  </si>
  <si>
    <t>Road Concreting of Barangay Road of Barangay Casiklan</t>
  </si>
  <si>
    <t>Construction of Rain Collector of Barangay Rosario</t>
  </si>
  <si>
    <t>Office Supplies , Equipment and consumables</t>
  </si>
  <si>
    <t>Construction of Drainage Canal at Purok 1 &amp; Purok 1A of Barangay Pinana-an</t>
  </si>
  <si>
    <t>Procurement of Catering Services &amp; Venue - Lot 2 - Venue - PDRRMO</t>
  </si>
  <si>
    <t>Completion of Asinan-San Isidro Multi-Purpose Drying Pavement of Barangay San Isidro</t>
  </si>
  <si>
    <t>SUPPLY AND DELIVERY OF VARIOUS PIPES AND FITTINGS, AND CONSTRUCTION MATERIALS</t>
  </si>
  <si>
    <t>PR 1-20-05-0603, FOR THE USE OF THE INFORMATION OFFICE.</t>
  </si>
  <si>
    <t>PR 1-20-04-0551, FOR USE IN DISPERSAL AND UPGRADING OF SMALL FARM ANIMALS, CITY AGRICULTURE OFFICE, THIS CITY.</t>
  </si>
  <si>
    <t>Rehabilitation of Multi-Purpose Building of Barangay Ibuan</t>
  </si>
  <si>
    <t>PR 1-20-05-0586, FOR USE OF VARIOUS VEHICLES ASSIGNED IN SANITATION &amp; ENVIRONMENTAL PROTECTION PROGRAM, CITY ENVIRONMENT MANAGEMENT OFFICE CEMO, THIS CITY.</t>
  </si>
  <si>
    <t>PR 1-20-03-0517, REPAIR AND MAINTENANCE OF VARIOUS ROAD NETWORKS W/IN BRGY PROSPERIDAD 1ST QUARTER.</t>
  </si>
  <si>
    <t>Procurement of Vehicle Spare Parts &amp; Labor - PDRRMO</t>
  </si>
  <si>
    <t>PR 1-20-04-0526, FOR USE OF FUSO CANTER# 2 SHW 643 &amp; MINI DUMPTRUCK SJL 848 ASSIGNED AT CED, THIS CITY.</t>
  </si>
  <si>
    <t>Construction of Box Culvert of Barangay E.G. Montilla</t>
  </si>
  <si>
    <t>SUPPLY AND DELIVERY OF VARIOUS PIPES AND FITTINGS, AND VARIOUS CONSTRUCTION MATERIALS</t>
  </si>
  <si>
    <t>PR 1-20-06-0657, FOR USE IN VEGETABLE PRODUCTION PROGRAM, CITY AGRICULTURE OFFICE, THIS CITY.</t>
  </si>
  <si>
    <t>PR 1-20-04-0532, FOR USE OF TRAFFIC ENFORCER’S UNIFORM SAN CARLOS CITY NEG. OCC.</t>
  </si>
  <si>
    <t>Road Concreting from Purok 1A to Purok 2 of Barangay San Roque</t>
  </si>
  <si>
    <t>PR 4-20-06-0634, THIS PROJECT INCLUDES, THE PROCURMENT OF VARIOUS MATERIALS TO BE USED FOR URBAN AND RURAL WATER SYSTEM, THIS CITY.</t>
  </si>
  <si>
    <t>PR 1-20-06-0649, FOR USE IN THE  ELECTRICAL SERVICES, (CED ) THIS CITY.</t>
  </si>
  <si>
    <t>PR 2-20-03-0492, FOR USE OF PUBLIC TRANSPORT TERMINAL OFFICE, THIS CITY.</t>
  </si>
  <si>
    <t>PR 1-20-06-0631, FOR USE IN THE ELECTRICAL SERVICES , CED, THIS CITY (BOOMTRUCK # 1, BOOMTRUCK # 2 , GENSET, PORTABLE GENERATOR AND PORTABLE WELDING MACHINE).</t>
  </si>
  <si>
    <t>PR 4-20-03-0461, FOR USE OF  FORD RANGER XLS (PICK-UP STYLE) ASSIGNED AT CWD , THIS CITY.</t>
  </si>
  <si>
    <t>Provision of labor, materials, equipment rentals and other incidentals needed for the Repair/Rehabilitation of Israel Type Greenhouse at Ilocos Norte Research &amp; Experiment Center, MMMSU Compound, Tabu</t>
  </si>
  <si>
    <t>Provision of labor, materials, equipment rentals and other incidentals needed for the Reconstruction of Screenhouse at DA-PREC, Sual, Pangasinan</t>
  </si>
  <si>
    <t>Provision of labor, materials, equipment rentals and other incidentals needed for the Reconstruction of Screenhouse at DA-INREC, Dingras Station, Brgy. Cali, Dingras, Ilocos Norte</t>
  </si>
  <si>
    <t>Provision of labor, materials, equipment rentals and other incidentals needed for the Rehabilitation &amp; Enhancement of Mango Seedling Nursery at DA-INREC, Dingras, Ilocos Norte</t>
  </si>
  <si>
    <t>PR 18-20-04-0550, ROAD CONCRETING OF ROADWAYS &amp; IMPROVEMENT OF DRAINAGE WITH SIDEWALK OF ALL INTERIOR ROADS OF STAGES 1 &amp; 2 OF URBAN RELOCATION SITE, PHASE 4.</t>
  </si>
  <si>
    <t>Repair &amp; Maintenance of Reservoir PS &amp; Conduit - AWAS</t>
  </si>
  <si>
    <t>PR 9-20-04-0533, FOR THE USE OF SAN CARLOS CITY HOSPITAL, THIS CITY.</t>
  </si>
  <si>
    <t>PR 401-20-03-0453, FOR USE OF THE VARIOUS WATER INFRASTUCTURE PROJECTS OF THE CITY IN COMPLIANCE TO EXISTING ENVIRONMENTAL LAWS AND ADMINISTRATIVE ORDERS.</t>
  </si>
  <si>
    <t>PR 401-20-03-0494, FOR USE OF THE CONSTRUCTION OF SIPAWAY ISLAND WASTEWATER TREATMENT FACILITY AND DRANAGE SYSTEM PHASE II AT BRGY. SAN JUAN, CITY ENVIRONMENT MANAGEMENT OFFICE,CEMO, THIS CITY.</t>
  </si>
  <si>
    <t>20ID0070 - Construction of Multi-Purpose Building,Brgy. Bagong Lipunan, Carigara,Leyte</t>
  </si>
  <si>
    <t>Procurement of Engine Oil, Oil Filter &amp; Labor - PGO</t>
  </si>
  <si>
    <t>PR 1-20-06-0659, FOR USE IN ANIMAL DISEASE CONTROL PROGRAM, CITY AGRICULTURE OFFICE, THIS CITY.</t>
  </si>
  <si>
    <t>Motor Vehicle Maintenance - Mits. FB L300/SJL-591 (DepEd) and Mits. FB L300/SJL-594 (DepEd)</t>
  </si>
  <si>
    <t>Procurement of Electrical Supplies  - PENRMO</t>
  </si>
  <si>
    <t>Procurement of Vehicle Spare Parts - SDH</t>
  </si>
  <si>
    <t>Procurement of Various Office Supplies  - SOYMPH</t>
  </si>
  <si>
    <t>Procurement of Medical/Hospital Equipment  - ADH</t>
  </si>
  <si>
    <t>Supply &amp; Delivery of Office Supplies</t>
  </si>
  <si>
    <t>Procurement of Vehicle Spare Parts &amp; Labor - PGO</t>
  </si>
  <si>
    <t>Procurement of Vehicle Spare Parts - PEO ENGINEERING</t>
  </si>
  <si>
    <t>Procurement of Various IT Equipment - ADMIN &amp; PSAO</t>
  </si>
  <si>
    <t>Supply &amp; Delivery of Housekeeping Supply</t>
  </si>
  <si>
    <t>S &amp; D of Medical Supplies (PHO)</t>
  </si>
  <si>
    <t>PROCUREMENT OF MATERIALS AND EQUIPMENT FOR DISASTER PREPAREDNESS BARANGAY CANDANA-AY, AYUNGON, NEGROS ORIENTAL</t>
  </si>
  <si>
    <t>Procurement of Housekeeping Supplies - PDH</t>
  </si>
  <si>
    <t>Procurement of Kitchen Equipment - SOYMPH</t>
  </si>
  <si>
    <t>Procurement of Vehicle Spare Parts - PENRMO</t>
  </si>
  <si>
    <t>Procurement of Various IT Equipment and Supplies - OVG</t>
  </si>
  <si>
    <t>Supply &amp; Delivery of Housekeeping Supplies</t>
  </si>
  <si>
    <t>Supply &amp; Delivery Fruits Plant</t>
  </si>
  <si>
    <t>Procurement of Office Supplies - June 2020 - JHS</t>
  </si>
  <si>
    <t>Supply &amp; Delivery of Bangus Fry (Lot 2)</t>
  </si>
  <si>
    <t>Supply &amp; Delivery of Vehicle Battery</t>
  </si>
  <si>
    <t>Supply &amp; Delivery of Hardware Supplies</t>
  </si>
  <si>
    <t>Supply &amp; Delivery of Animal Feeds Lot 1</t>
  </si>
  <si>
    <t>Supply &amp; Delivery of State Grease Bgone Lot 5A</t>
  </si>
  <si>
    <t>Supply &amp; Delivery of Furniture Lot 3</t>
  </si>
  <si>
    <t>Supply &amp; Delivery of Housekeeping Supplies Lot 1</t>
  </si>
  <si>
    <t>LAND EXPANSION OF MOBO PORT @ BRGY. PINAMARBUHAN, MOBO, MASBATE</t>
  </si>
  <si>
    <t>Supply &amp; Delivery of Office Equipment Lot 4</t>
  </si>
  <si>
    <t>Supply &amp; Delivery of Anseptanios Terminal HPH (5 liter/gal)</t>
  </si>
  <si>
    <t>Financial Assistance for the Concreting Barangay Road</t>
  </si>
  <si>
    <t>Repair and Maintenance of Bacan Elementary School Buildings and Other School Facility, Bacan, Banga, Aklan</t>
  </si>
  <si>
    <t>Procurement of Various Office Supplies - PGO</t>
  </si>
  <si>
    <t>Rehabilitation and Improvement of Foot Path into Farm-to-Market Road, Rosal-Loctuga, Libacao, Aklan</t>
  </si>
  <si>
    <t>Construction of Day Care Center, Ogsip, Libacao, Aklan</t>
  </si>
  <si>
    <t>Procurement of Greenhouse-Materials &amp; Installation  with complete Accessories &amp; Irrigation Facilities - PAGSO</t>
  </si>
  <si>
    <t>Procurement of Various Housekeeping Supplies - OVG</t>
  </si>
  <si>
    <t>Procurement of Office Supplies - PGO</t>
  </si>
  <si>
    <t>Procurement of Catering Services - PPO</t>
  </si>
  <si>
    <t>Procurement of Various Housekeeping Supplies - PLSO</t>
  </si>
  <si>
    <t>Procurement of 1 Unit Chest Type Freezer - ADH</t>
  </si>
  <si>
    <t>PROCUREMENT OF CONSTRUCTION MATERIALS FOR REPAIR/IMPROVEMENT/EXPANSION OF RECORDS SECTION</t>
  </si>
  <si>
    <t>Procurement of IT and Office Equipment - Lot 1 - IT Equipment - PAIASSO</t>
  </si>
  <si>
    <t>PROCUREMENT OF CONSTRUCTION MATERIALS FOR REPAIR/IMPROVEMENT AND CONVERSION OF GUIDANCE OFFICE TO CLINIC</t>
  </si>
  <si>
    <t>Repair and Maintenance of Bacan High School Buildings and Other School Facility, Bacan, Banga, Aklan</t>
  </si>
  <si>
    <t>Repair and Rehabilitation of Guard House</t>
  </si>
  <si>
    <t>PROCUREMENT OF CONSTRUCTION MATERIALS FOR REHABILITATION AND REPAIR OF ROOFING FOR GRADE 7 BUILDING (PHASE 1)</t>
  </si>
  <si>
    <t>Repair and Maintenance of Lezo Integrated School Buildings and Facility, Lezo, Aklan</t>
  </si>
  <si>
    <t>Repair and Maintenance of Malinao Elementary School Buildings and Other School Facility, Malinao, Aklan</t>
  </si>
  <si>
    <t>Repair and Maintenance of School Buildings and Other School Facility, Malinao School of Philippine Craftsmen, Malinao, Aklan</t>
  </si>
  <si>
    <t>Repair and rehabilitation of hand washing area and three seater comfort room</t>
  </si>
  <si>
    <t>Supply and delivery of vaccine</t>
  </si>
  <si>
    <t>Rehabilitation of Water Supply</t>
  </si>
  <si>
    <t>Repair and rehabilitation of hand washing area</t>
  </si>
  <si>
    <t>PROCUREMENT OF FIFTY- FIVE (55) PIECES SEALED BEAM PAR 56 FOR HEADLIGHT ON DIESEL ELECTRIC LOCOMOTIVE</t>
  </si>
  <si>
    <t>RFQ-Maintenance materials 02</t>
  </si>
  <si>
    <t>CONCRETE PATHWAY</t>
  </si>
  <si>
    <t>Concrete Pavement of Access Road to the Existing Waste Disposal Area</t>
  </si>
  <si>
    <t>Purchase and delivery of materials for MIS of SHS</t>
  </si>
  <si>
    <t>procurement of electrical supply and materials</t>
  </si>
  <si>
    <t>PROCUREMENT OF HOSPITAL/MEDICAL EQUIPMENT - PCF</t>
  </si>
  <si>
    <t>concreting and Improvement of Ground to Multipurpose Hall (Phase 1)</t>
  </si>
  <si>
    <t>PROCUREMENT OF ONE (1) LOT EMERGENCY SUPPLIES AS PROTECTIVE MEASURE AGAINST COVID-19 AND COMPLIANCE TO THE NEW NORMAL</t>
  </si>
  <si>
    <t>DCFO KITCHENWARE FOR THE PRODUCTION OF COCONUT COOKING OIL, VINEGAR, SUGAR AND VIRGIN COCONUT OIL</t>
  </si>
  <si>
    <t>SUPPLY &amp; DELIVERY OF VEGETABLE SEEDS FOR THE ESTABLISHMENT OF HOPE GARDENS</t>
  </si>
  <si>
    <t>CEILING REPAIR OF 4STOREY 24 CLASSROOM BUILDING OF HIGH SCHOOL</t>
  </si>
  <si>
    <t>Supply &amp; Delivery  of Food Stuff</t>
  </si>
  <si>
    <t>PURCHASE OF SUPPLIES</t>
  </si>
  <si>
    <t>procurement of water connection service &amp; repair materials</t>
  </si>
  <si>
    <t>Construction of Buildings and Support Infrastructures Construction of Water System, Ballesteros Cagayan</t>
  </si>
  <si>
    <t>Request for Quotation for Supply and Delivery of  Chlorine Dosing Pump, Unit, Parts and Materials for Water Sanitation</t>
  </si>
  <si>
    <t xml:space="preserve">20GFD0009 – Supply and Delivery of Spare Parts and Materials for the Repair and Upkeep of Mitsubishi Adventure B0-V652/H1-6487, Mitsubishi L300 NR-4155/H1-5976, Mitsubishi Strada (B0-A194/H1-6488, B4 </t>
  </si>
  <si>
    <t>PROCUREMENT OF FABRICATED CANOPY</t>
  </si>
  <si>
    <t>A-2020-15: Third Party Support for the Deployment of Microsoft System Center Configuration Manager (SCCM)</t>
  </si>
  <si>
    <t>PROCUREMENT OF TWENTY (20) PIECES INVERTER – TYPE SV008iG5A-2</t>
  </si>
  <si>
    <t>Improvement of Private Room Into Temporary Isolation Room Ballesteros District Hospital</t>
  </si>
  <si>
    <t>RFQ for Hardware and Construction Supplies of FSM</t>
  </si>
  <si>
    <t>Training after support under Corn Program different activities (Corn-Based Farming System; Financial Literacy; FSTP Phase 1, FSTP Phase 3 and FSTP Insertion).</t>
  </si>
  <si>
    <t>2020-06-0030- Grass Cutter (Maint. Section)</t>
  </si>
  <si>
    <t>PROCUREMENT OF VARIOUS GROCERY ITEMS USE FOR RESPONDERS 24/7 DUTY @ PIÑAN, ZN</t>
  </si>
  <si>
    <t>(PA) REQUEST FOR QUOTATION (RFQ)  For the Procurement of Office Supplies (Battery, Alcohol, etc.) For the Provincial Administrator Office--81,083.25</t>
  </si>
  <si>
    <t>REQUEST FOR SUPPLIES AND MATERIALS</t>
  </si>
  <si>
    <t>Procurement of  Kalayaan 2020 Tarpaulin 5x10</t>
  </si>
  <si>
    <t>20GFD0010 – Supply and Delivery of Office Equipment for use in Administrative Section, Planning and Design Section and Office of the Auditor (COA)  for 2nd Quarter  CY 2020 of DPWH CS 1st DEO</t>
  </si>
  <si>
    <t>RFQ-DVO-PR.NO. 2005212 CAT. 94 SERVICES</t>
  </si>
  <si>
    <t>Procurement of One (1) set Desktop Computer with Printer and Complete Accessories for MCR Office of LGU - Laak, Davao De Oro</t>
  </si>
  <si>
    <t>Toner for Office Use/Agri Surveys/LFS/APIS of PSA-PDI</t>
  </si>
  <si>
    <t>Rehabilitation/Major Repair of Permanent Bridges, Jones Bridge (B01204LZ) along Jct. Ipil-Quirino Bdry. Road</t>
  </si>
  <si>
    <t>45 pack Stringbeans and other items for Barangays Agricultural development and promotion center./CAO</t>
  </si>
  <si>
    <t>ROAD CONCRETING</t>
  </si>
  <si>
    <t>2ND QUARTER OTHER SUPPLIES AND MATERIALS.</t>
  </si>
  <si>
    <t>REPAIRS IMPROVEMENT OF OFFICE FACILITIES ACCOUNTING &amp; MPDC OFFICE</t>
  </si>
  <si>
    <t>THE SUPPLY AND DELIVERY OF CONSTRUCTION MATERIALS AND SUPPLIES FOR THE CONSTRUCTION OF 50 DUPLEX HOUSING UNITS</t>
  </si>
  <si>
    <t>Proposed Embankment of Barangay Plaza in Brgy. Masikap, Mabitac, Laguna</t>
  </si>
  <si>
    <t>2ND QUARTER PRINTING AND PUBLICATION.</t>
  </si>
  <si>
    <t>CONSTRUCTION SUPPLIES AND MATERIALS</t>
  </si>
  <si>
    <t>A-2020-16: ADOBE CREATIVE CLOUD FOR TEAMS (CCT) SOFTWARE LICENSE SUBSCRIPTION MAINTENANCE AND SUPPORT SERVICES</t>
  </si>
  <si>
    <t>Supply and Installation of Wall Coverings at HRDD Office (R.I.S. No.: 20-88-076)</t>
  </si>
  <si>
    <t>Agricultural  Supplies</t>
  </si>
  <si>
    <t>PRINTING SERVICES</t>
  </si>
  <si>
    <t>Purchase of Construction Materials/ Temporary Reservoir at Tiwi, Loon</t>
  </si>
  <si>
    <t>STREET LIGHTING INSTALLATION (LED) AND CONSTRUCTION OF FEDESTAL ALONG NATIONAL ROAD (FRONT RHU BLDG.) BRGY. KULAPI</t>
  </si>
  <si>
    <t>2ND QUARTER OFFICE SUPPLIES.</t>
  </si>
  <si>
    <t>GO-0142 Supply and Delivery of 100,000 pcs. Flyers Glossy papee 8.5" x 13"</t>
  </si>
  <si>
    <t>20GFD0011 – Supply  of Fuel for Use of Various Sections for 2nd  Quarter  CY 2020 of DPWH CS 1st DEO</t>
  </si>
  <si>
    <t>Supply and Delivery of Medicines</t>
  </si>
  <si>
    <t>Vehicle Repair and Maintenance</t>
  </si>
  <si>
    <t>PROCUREMENT OF OFFICE EQUIPMENT FOR THE LOCAL GOVERNMENT UNIT COMPUTERIZATION PROGRAM</t>
  </si>
  <si>
    <t>CAN - Various IT Supplies PR No. 206 ONT</t>
  </si>
  <si>
    <t>PROCUREMENT OF CUSTOMIZED DOT EXCITING BICOL FACE MASKS</t>
  </si>
  <si>
    <t>Supply and Delivery of Furniture</t>
  </si>
  <si>
    <t>PROVISION OF CONSTRUCTION SUPPLLIES AND MATERIALS - FOR BUILDING REPAIR AND MAINTENANCE</t>
  </si>
  <si>
    <t>50 ltrs Microbial inoculant and other items for solid waste segration and reduction enhancement program waste to food project organic material recovery and fertilizer production./CAO</t>
  </si>
  <si>
    <t>PROCUREMENT OF VEHICLE (SB)</t>
  </si>
  <si>
    <t>Supply and delivery of chemicals and chemical product for the use of Naujan Community Hospital</t>
  </si>
  <si>
    <t>RFQ-DVO-PR.NO. 2006043 CAT. 70 BUSINESS AND BICYCLE PLATES</t>
  </si>
  <si>
    <t>Request for Quotation on Procurement of Office Equipment, Furniture &amp; Fixtures for OSCA, MSWD CY2 020</t>
  </si>
  <si>
    <t>CONSTRUCTION OF LOCAL ROAD/BRIDGE, PUROK 5</t>
  </si>
  <si>
    <t>Supply and delivery of Office Supplies (inks) for official use of DOLE RO5</t>
  </si>
  <si>
    <t>Preparation of As-built Plan, Detailed Engineering Design</t>
  </si>
  <si>
    <t>2 pcs. Thermal Scanner for TPC School use</t>
  </si>
  <si>
    <t>Supply and Delivery of Vehicle Parts of 5MIB (P177,550.00)</t>
  </si>
  <si>
    <t>MEDICAL SUPPLIES</t>
  </si>
  <si>
    <t>Animal Feeds- CEDU Animal- Swine Project</t>
  </si>
  <si>
    <t>PURCHASE OF TWO (2) UNITS LAPTOP</t>
  </si>
  <si>
    <t>General Merchandise</t>
  </si>
  <si>
    <t>Supply and delivery of drugs and medicines for use of Botika ng Lalawigan ng Oriental Mindoro</t>
  </si>
  <si>
    <t>PROCUREMENT OF ONE (1) LOT OFFICE EQUIPMENT</t>
  </si>
  <si>
    <t>Purchase of Office Tables for the Use in the Office of Mayor at Municipality of lobo, Batangas</t>
  </si>
  <si>
    <t>Procurement of Radio Base Transceiver and VHF Handheld Radio of DepEd Elementary - Laak North District, Laak, Davao De Oro</t>
  </si>
  <si>
    <t>Supply and Delivery of 5,000 Liters Diesel for Ambulance</t>
  </si>
  <si>
    <t>Rehabilitation / Maintenance of Marine Protected Area (Bagong Tubig,Balite and Locloc, San Luis, Batangas</t>
  </si>
  <si>
    <t>IMPROVEMENT OF PUBLIC MARKET</t>
  </si>
  <si>
    <t>Polo Shirt</t>
  </si>
  <si>
    <t>INVITATION TO BID FOR THE PROVISION OF AGRICULTURAL SUPPLIES FOR THE CONDUCT OF URBAN AGRICULTURE, GLAMOURIZING YOUTH IN AGRICULTURE, ESTABLISHMENT OF COMMUNITY GARDENS IN EIGHT SITES/BARANGAYS, AND M</t>
  </si>
  <si>
    <t>Renovation of Regional Director's Office</t>
  </si>
  <si>
    <t>Medical Supplies</t>
  </si>
  <si>
    <t>Educational Materials and Supplies</t>
  </si>
  <si>
    <t>1 pc. Table for MSWD Office use</t>
  </si>
  <si>
    <t>Disinfectant Concentrate and All Purpose Cleaner for cleaning and disinfection of all COVID 19 related facility/equipments</t>
  </si>
  <si>
    <t>Purchase of 11,666 Sachet Nutriblend (rice, sesame, monggo) for BPH Supplemental feeding program under Five (5) Children Provincewide</t>
  </si>
  <si>
    <t>Purchase of Construction Materials</t>
  </si>
  <si>
    <t>20GFD0012 – Supply and Delivery of Customized Binder for use of  Various Sections for  the  2nd Quarter 2020 of DPWH CS 1st DEO</t>
  </si>
  <si>
    <t>HVCDP20-06-05-0563  To provide labor and materials for the printing of T-shirts.</t>
  </si>
  <si>
    <t>IMPROVEMENT OF FMR NEAR SIMEON AREA</t>
  </si>
  <si>
    <t>RFQ-DVO-PR.NO. 2006087 CAT. 46 PAINTING TOOLS AND MATERIALS</t>
  </si>
  <si>
    <t>Purchase of Fuel</t>
  </si>
  <si>
    <t>Procurement of Various Office Supplies-06-312(A)PGO</t>
  </si>
  <si>
    <t>Catering Services for the Activity entitled Training Workshop on Course Modules Production for flexible learning in higher education institutions (HEIs)</t>
  </si>
  <si>
    <t>RFQ-DVO-PR.NO. 2005198 CAT. CONSTRUCTION REPAIR</t>
  </si>
  <si>
    <t>Supply &amp; Delivery of Disaster Response and Rescue Equipments</t>
  </si>
  <si>
    <t>Spare Parts Repair &amp; Maintenance Transportation Equipment</t>
  </si>
  <si>
    <t>3,000 ltrs Diesel Fuel for various vehicle and equipments assigned to the different offices/general services office</t>
  </si>
  <si>
    <t>Medical Supplies and Laboratory Equipment</t>
  </si>
  <si>
    <t>Supply and Delivery of Construction Materials and Supplies for 53EBDe, PA</t>
  </si>
  <si>
    <t>Procurement of various medical supplies and equipment for the opening of SY 2020-2021</t>
  </si>
  <si>
    <t>procurement of spareparts and repair materials/lgu motorpool</t>
  </si>
  <si>
    <t>Materials for the rehabilitation of gutters and downspout of Basketball Court at Purok 3</t>
  </si>
  <si>
    <t>Thermal Paper</t>
  </si>
  <si>
    <t>Supply and Delivery of Materials for the Construction of Health Station, Phase II with Fence</t>
  </si>
  <si>
    <t>Request for Quotation (Polo shirt)</t>
  </si>
  <si>
    <t>Extension and Improvement of Pastoral Office and Quarters</t>
  </si>
  <si>
    <t>20GFD0013 – Supply and Delivery of Electrical Supplies, Common Office Supplies, Common Office Devices, Other Supplies/Materials, Tools, Common Computer and IT Supplies, Spare Parts, Consumables and Ja</t>
  </si>
  <si>
    <t>Diesel Fuel &amp; Gasoline Prem</t>
  </si>
  <si>
    <t>PROCUREMENT OF LABORATORY SUPPLIES AND REAGENTS</t>
  </si>
  <si>
    <t>REPAIR/IMPROVEMENT OF MULTIPURPOSE BLDG. (HEALTH CENTER)</t>
  </si>
  <si>
    <t>Procurement of Various Air Conditioning-06-323(O)PEO</t>
  </si>
  <si>
    <t>Supply of labor &amp; materials for the construction of concrete barrier of barangay Mahabang Parang, San Luis, Batangas</t>
  </si>
  <si>
    <t>Repair and Maintenance of various Service Vehicle for use of Provincial Government of Tarlac</t>
  </si>
  <si>
    <t>Supply and Delivery of Construction Materials - ITB 032-2020 GQ</t>
  </si>
  <si>
    <t>Procurement of Three (3) units Generator and Four (4) units Grass Cutter for DepEd Elementary - Laak North District, Laak, Davao De Oro</t>
  </si>
  <si>
    <t>Catering Services</t>
  </si>
  <si>
    <t>Purchase of Tire for RP Vehicle Road Grader of GSO</t>
  </si>
  <si>
    <t>Procurement of Various IT Equipment-06-009(K)PWO</t>
  </si>
  <si>
    <t>CAN - Various Medical Supplies UDM PR No. 331</t>
  </si>
  <si>
    <t>Supply and Delivery of Uniforms</t>
  </si>
  <si>
    <t>CAN - Various Drugs and Medicines UDM PR No. 330</t>
  </si>
  <si>
    <t>20-05-387a_Procurement of field supplies for NICER 2 Project use</t>
  </si>
  <si>
    <t>Filling at ESSU Mini Park at ESSU Main Campus</t>
  </si>
  <si>
    <t>Purchase of Camera</t>
  </si>
  <si>
    <t>Supply and Delivery of materials for the Repairs and Maintenance of LGU-Facilities, LGU-Bayombong, Nueva Vizcaya.</t>
  </si>
  <si>
    <t>Supply and Delivery of one (1) unit Laptop and One(1) unit Projector  intended for Rural Health Unit  of this municipality</t>
  </si>
  <si>
    <t>PEO-20-0676 NP (SV)- PURCHASE OF SPARE PARTS FOR MRG-6, KFL-1 NDT-22, CRIMPING MACHINE &amp; PU-26</t>
  </si>
  <si>
    <t>Labor for Replacement of Roofing and Ceiling Eaves of Whitehouse</t>
  </si>
  <si>
    <t>CONSTRUCTION OF BOX CULVERT</t>
  </si>
  <si>
    <t>ITB No. (INF) 2020-06-089 CONCRETING OF CAROLINA – HINOLASO PROVINCIAL ROAD, Can-avid &amp; Dolores, Eastern Samar</t>
  </si>
  <si>
    <t>Sta. Ana-006 Supply and Delivery of 20,000 unit window type aircon -non invertermanual control 1.5 HP</t>
  </si>
  <si>
    <t>RFQ-DVO-PR.NO. 2006045 CAT. 21 ELECTRICAL SUPPLIES AND MATERIALS</t>
  </si>
  <si>
    <t>RFQ-DVO-PR.NO. 2005193 CAT. 41.1 ELECTRONIC CONSUMABLES</t>
  </si>
  <si>
    <t>Construction of Multi-purpose Building @ sitio Malli</t>
  </si>
  <si>
    <t>Supply and Delivery of Construction Materials - ITB 033-2020 GQ</t>
  </si>
  <si>
    <t>Construction of Special Care Facility</t>
  </si>
  <si>
    <t>Procurement of Various Spare Parts-06-313(A)PGO</t>
  </si>
  <si>
    <t>CONSTRUCTION OF MULTI-PURPOSE BUILDING, BRGY. SUGUIT ,MARIA AURORA, AURORA</t>
  </si>
  <si>
    <t>20JBG0041 with PR No. 20-06-54 - For use in the replacement of worned-out airconditioning unit 'in Planning &amp; Design Section for the 2nd quarter, this district.</t>
  </si>
  <si>
    <t>procurement of fuel and lubricants/mayors office</t>
  </si>
  <si>
    <t>2 set Computer set with accessories</t>
  </si>
  <si>
    <t>Purchase of Laptop</t>
  </si>
  <si>
    <t>RFQ 2020-06-019 - PR 2020-06-019 - For use in Michigan Payloader L2-1335 assigned at Maint. Section</t>
  </si>
  <si>
    <t>Office Supplies for PAO Talibon District Office</t>
  </si>
  <si>
    <t>RFQ-DVO-PR.NO. 2006055 CAT. 60 TIRE, BATTERIES AND ACCESSORIES</t>
  </si>
  <si>
    <t>Procurement of Various Medical Supplies-06-010(T)TSMH</t>
  </si>
  <si>
    <t>CAN - Various Supplies and Materials PR Nos. 205 &amp; 203 ONT</t>
  </si>
  <si>
    <t>ITB No. (INF) 2020-06-090 CONSTRUCTION OF MULTI-PURPOSE BUILDING (PHASE II), Brgy. Abucay, Sulat, Eastern Samar</t>
  </si>
  <si>
    <t>SUPPLY &amp; DELIVERY OF SMART TELEVISION</t>
  </si>
  <si>
    <t>Procurement of Medical Supplies-06-009(T)TSMH</t>
  </si>
  <si>
    <t>Procurement of Various Veterinary Products and Supplies-06-024(AA)ProVet</t>
  </si>
  <si>
    <t>Repair and Maintenance of Makato Integrated School Buildings and Other Facility, Makato, Aklan</t>
  </si>
  <si>
    <t>RFQ-DVO-PR.NO. 2005253 CAT. 65 VETERINARY SUPPLIES AND MATERIALS</t>
  </si>
  <si>
    <t>Supply of labor &amp; materials for the Installation of additional streetlight of Barangay Mahabang Parang, San Luis, Batangas</t>
  </si>
  <si>
    <t>Repair and Maintenance of Numancia Elementary School Buildings and Other Facility,  Numancia, Aklan.</t>
  </si>
  <si>
    <t>Construction of Public C.R and 50 meters Reinforced Concrete Pathway Alfonso Ponce Enrile Memorial District Hospital</t>
  </si>
  <si>
    <t>STO20-05-26-0250 Labor services for the conduct of Complete Soil Analysis for samples collected from 45 sites   in three provinces.</t>
  </si>
  <si>
    <t>Repair of Electrical System at LTO Malabon</t>
  </si>
  <si>
    <t>ITB No. (INF) 2020-06-091REHABILITATION/CONSTRUCTION OF BRGY. HALL/MULTI-PURPOSE BUILDING, Brgy. Mara-mara, Sulat, Eastern Samar</t>
  </si>
  <si>
    <t>Procurement of Various Veterinary Products and Supplies-06-025(AA)ProVet</t>
  </si>
  <si>
    <t>Construction of Commercial Stalls</t>
  </si>
  <si>
    <t>Materials for Commissioning of 1 Lot Network Cabling of MCWD's - Engineering Building and Server Room</t>
  </si>
  <si>
    <t>Procurement of Information Technology</t>
  </si>
  <si>
    <t>CAN - Various Office Supplies - ONT, MHD, JJASGH, YDWB</t>
  </si>
  <si>
    <t>Supply &amp; Delivery of Materials Re: Brigada Eskwela 2020 for San Julian District Elementary &amp; Secondary Schools</t>
  </si>
  <si>
    <t>SUPPLY AND DELIVERY OF VARIOUS EQUIPMENT FOR CANCER PREVENTION AND CONTROL PROGRAM USE</t>
  </si>
  <si>
    <t>PROCUREMENT OF GROUND WOOD PAPER</t>
  </si>
  <si>
    <t>Procurement of Various Veterinary Products and Supplies-06-023(AA)ProVet</t>
  </si>
  <si>
    <t>(KMH) 2ND REQUEST FOR QUOTATION (RFQ)  For the Procurement of Office Supplies (Carbon Film, Paper Multi-purpose, etc.)x For the Kasibu Municiipal Hospital--100,430.00</t>
  </si>
  <si>
    <t>PPDO-Supply and Delivery of Laptop</t>
  </si>
  <si>
    <t>20ID0071 - Construction/ Rehabilitation of Flood Mitigation Facilities within Major River Basins and Principal Rivers- Construction of Daguitan-Marabong River Flood Control, Brgy. Batug, Dulag, Leyte</t>
  </si>
  <si>
    <t>RFQ.NO.028-2020 : Purchase of Reflectorized Informative Warning Sign for use in Maintenance Section</t>
  </si>
  <si>
    <t>Purchase of Various Office Supplies  for SB Office</t>
  </si>
  <si>
    <t>Supply and Delivery of Materials for the Construction of Road Concreting</t>
  </si>
  <si>
    <t>Materials for Construction and Painting Supplies</t>
  </si>
  <si>
    <t>Ri Bid for Purchase of Rescue Vehicle Bonggo</t>
  </si>
  <si>
    <t>Purchase of Folding Bed and Single Foam</t>
  </si>
  <si>
    <t>Construction of 1.00M width Pathway With 4 Unit Street Lights</t>
  </si>
  <si>
    <t>Supply and Delivery of Materials for Replacement of Roofing and Ceiling Eaves of Whitehouse</t>
  </si>
  <si>
    <t>Procurement of Machinery &amp; Equipment for ESSU Can-Avid use PR#20-06-091</t>
  </si>
  <si>
    <t>Procurement of Various Electrical Supplies-03-025(N)PEMO</t>
  </si>
  <si>
    <t>GOODS-2020-06-77 PROCUREMENT OF MEDICAL SUPPLIES FOR POLIO MASS IMMUNIZATION.</t>
  </si>
  <si>
    <t>Construction Of Multi-Purpose Building , Brgy. Dikildit, Maria Aurora, Aurora</t>
  </si>
  <si>
    <t>Procurement of Transporation Services - Balik Probinsya Program</t>
  </si>
  <si>
    <t>1 set Laptop</t>
  </si>
  <si>
    <t>UPGRADE EXISTING FARM-TO-MARKET ROAD TO CLIMATE RESILIENT DESIGN STANDARDS</t>
  </si>
  <si>
    <t>PROCUREMENT OF COMMERCIAL RICE</t>
  </si>
  <si>
    <t>CAN - Various Textbooks UDM PR No. 359</t>
  </si>
  <si>
    <t>ITB No. (INF) 2020-06-092 CONSTRUCTION OF TRIPLE BARREL BOX CULVERT (DRAINAGE SYSTEM), Brgy. Siha, Borongan City, Eastern Samar</t>
  </si>
  <si>
    <t>Supply and Delivery of Construction Materials - ITB 034-2020 GQ</t>
  </si>
  <si>
    <t>Construction materials and supplies / Office supplies</t>
  </si>
  <si>
    <t>REPAIR AND IMPROVEMENT OF PLUMBING AND WATER PIPE LINES</t>
  </si>
  <si>
    <t>Construction of MRF &amp; Purchase of Plastic Bins</t>
  </si>
  <si>
    <t>Supply and delivery of Disinfection Cap for use at Tarlac Provincial Hospital</t>
  </si>
  <si>
    <t>SUPPLY AND DELIVERY WITH INSTALLATION OF MATERIALS FOR SANITARY TOILET CONSTRUCTIONS</t>
  </si>
  <si>
    <t>CONSTRUCTION OF MULTI- PURPOSE HALL</t>
  </si>
  <si>
    <t>2020-GOODS-033_Upgrade, Integration and Relocation of Servers, Network Facilities and PABX Intercom System to the Newly Repaired ICTMO Office of PSU Main</t>
  </si>
  <si>
    <t>Purchase of Agricultural Supplies for RSP Use</t>
  </si>
  <si>
    <t>CONSTRUCTION OF CONCRETE PAVEMENT @ BRGY. MATUNGAO</t>
  </si>
  <si>
    <t>Purchase of Various Janitorial Supplies  for SB &amp; VM Office</t>
  </si>
  <si>
    <t>Procurement of Various Electrical Supplies-03-026(N)PEMO</t>
  </si>
  <si>
    <t>MG-A5C20-050 ( SAFETY CONE W/ ACCESSORIES, PLASTIC GOOD QUALITY )</t>
  </si>
  <si>
    <t>Procurement of IT Supplies for Various Offices</t>
  </si>
  <si>
    <t>For Electrical Installation and Maintenance NC II Instructional Materials</t>
  </si>
  <si>
    <t>Veterinary Medicines for Animal Health Care Support</t>
  </si>
  <si>
    <t>RFQ-DVO-PR.NO. 2006047 CAT. 27 FURNITURE AND FIXTURES</t>
  </si>
  <si>
    <t>request for quotation of garments</t>
  </si>
  <si>
    <t>Supply and Delivery of CCTV and Accesories for MSU-TCTO Information and Communication Technology Office</t>
  </si>
  <si>
    <t>SUPPLY &amp; DELIVERY OF OTHER SUPPLIES EXP.</t>
  </si>
  <si>
    <t>BSF and Traffic Enforcers Uniforms and Accessories</t>
  </si>
  <si>
    <t>Food Stuff</t>
  </si>
  <si>
    <t>Purchase of Office Equipment Consumables for use at ASDGO for the 1st and 2nd quarter of CY2020 (PR NO. 100(01)20-02-0437)</t>
  </si>
  <si>
    <t>SUPPLY &amp; DELIVERY OF IT EQUIPMENT (DESKTOP WITH PRINTER)</t>
  </si>
  <si>
    <t>Procurement of Various Electrical Supplies-03-027(N)PEMO</t>
  </si>
  <si>
    <t>PROCUREMENT OF 1 UNIT TABLET</t>
  </si>
  <si>
    <t>Rehabilitation of Barangay Boundary Marker and other Signages</t>
  </si>
  <si>
    <t>Purchase of Materials for the Construction of Road/Pathway to Bago Waterfalls (Phase II) at Brgy Bago, Tayasan, Neg. Or,</t>
  </si>
  <si>
    <t>20ID0072 - Construction of Anonang River Flood Control, Barangay Anonang,Burauen, Leyte</t>
  </si>
  <si>
    <t>Procurement of Airconditioning for the Meat Processing Operation</t>
  </si>
  <si>
    <t>SUPPLY &amp; DELIVERY OF CONSTRUCTION MATERIALS FOR THE CONSTRUCTION OF SLAUGHTER HOUSE BLDG. @ BRGY. PILINTANGAN, WAO, LANAO DEL SUR</t>
  </si>
  <si>
    <t>RFQ-DVO-PR.NO. 2006050 CAT. 25 FOOD AND CATERING SERVICES</t>
  </si>
  <si>
    <t>Materials for the used of Various Barangays and Schools, La Carlota City</t>
  </si>
  <si>
    <t>PROCUREMENT OF HANDHELD GPS</t>
  </si>
  <si>
    <t>Iba Integrated School Elementary</t>
  </si>
  <si>
    <t>SIREN</t>
  </si>
  <si>
    <t>Ri Bid For  Installation of Culvert</t>
  </si>
  <si>
    <t>Maintenance of St Lights</t>
  </si>
  <si>
    <t>Procurement of Various Electrical Supplies-04-029(N)PEMO</t>
  </si>
  <si>
    <t>PHO 39- Supply and Delivery of 1,200pcs N95 Mask</t>
  </si>
  <si>
    <t>PURCHASE OF CONSTRUCTION MATERIALS</t>
  </si>
  <si>
    <t>Purchase of Materials For the Construction of Access Road/Pathway to Guincalaban Waterfalls (Phase II) at Brgy. Guincalaban,Tayasan,Neg. Or.</t>
  </si>
  <si>
    <t>Purchase of Various Supplies for use at Albay Astrodome (PR 100(01)20-04-0897)</t>
  </si>
  <si>
    <t>Photographic Services for Barangay Personnel</t>
  </si>
  <si>
    <t>PROCUREMENT OF 5 UNIT OF COMPUTE KEYBOARD AND MOUSE</t>
  </si>
  <si>
    <t>PURCHASE OF MATERIALS FOR THE CONSTRUCTION OF WATER EXTRACTION FACILITIES, BARANGAY SAMALAGUE, PATNONGON, ANTIQUE</t>
  </si>
  <si>
    <t>RFQ-DVO-PR.NO. 2005197 CAT. 14 CONSTRUCTION SUPPLIES AND MATERIALS</t>
  </si>
  <si>
    <t>SUPPLY AND DELIVERY OF OFFICE SUPPLIES</t>
  </si>
  <si>
    <t>6 bxs Correction fluid</t>
  </si>
  <si>
    <t>PURCHASE OF FIRE FIGHTING EQUIPMENT</t>
  </si>
  <si>
    <t>CONSTRUCTION OF DRAINAGE SYSTEM</t>
  </si>
  <si>
    <t>Procurement of Various Construction Supplies and Materials-06-328(O)PEO</t>
  </si>
  <si>
    <t>Office Supplies-MEO</t>
  </si>
  <si>
    <t>Supply and Delivery of Laboratory Supplies for use at Tarlac Provincial Hospital</t>
  </si>
  <si>
    <t>Purchase of Other Accessories and Supply and Repair of L300 Vehicle Services</t>
  </si>
  <si>
    <t>Ri Bid ForSupply of Materials for Concrete Perimeter Fence of  Barangay Hall</t>
  </si>
  <si>
    <t>CONSTRUCTION /INSTALLATION OF SLOPE PROTECTION OF ROAD TO PREVENT FLOOD SCOURING, BARANGAY CUYAPIAO, PATNONGON, ANTIQUE</t>
  </si>
  <si>
    <t>Repair/ Improvement of Multi-Purpose Building</t>
  </si>
  <si>
    <t>Supply Catering Services in the Conduct on Corn Production Technology in various sites.</t>
  </si>
  <si>
    <t>PURCHASE OF VARIOUS TOOLS/EQUIPMENT – VARIOUS VEHICLES</t>
  </si>
  <si>
    <t>Supply and Delivery of Laboratory Supplies</t>
  </si>
  <si>
    <t>“Acquisition of One (1) Unit Supply, Delivery and Installation of Gas Chromatography-Mass Spectrometry (GCMS)”</t>
  </si>
  <si>
    <t>Procurement of Various Animal Feeds-06-026(AA)ProVet</t>
  </si>
  <si>
    <t>Construction Materials for the improvement and extension of Water Meter Room</t>
  </si>
  <si>
    <t>Procurement of Medical Supplies for the University use in relation of COVID situation PR# 2020-OSPM-175</t>
  </si>
  <si>
    <t>DIMIAO GYM QUARANTINE FACILITIES</t>
  </si>
  <si>
    <t>Purchase of One (1) set Submersible Pump</t>
  </si>
  <si>
    <t>PURCHASE OF FUEL FOR MUNICIPAL VEHICLE MAINTENANCE (HEAVY EQUIPMENT OPERATIONS), LOBOC, BOHOL</t>
  </si>
  <si>
    <t>Supply and Delivery of Construction Materials - ITB 035-2020 GQ</t>
  </si>
  <si>
    <t>SUPPLY &amp; DELIVERY OF FURNITURE &amp; FIXTURE</t>
  </si>
  <si>
    <t>PROCUREMENT OF BACKHOE FOR MENRO/SLF OPERATION (Rebid)</t>
  </si>
  <si>
    <t>Purchase of Computer Desktop and Monitor for SP Office</t>
  </si>
  <si>
    <t>SUPPLY &amp; DELIVERY OF TEXTILE CLOTHES</t>
  </si>
  <si>
    <t>IMPROVEMENT OF CABLAHAN ELEMENMTARY SCHOOL</t>
  </si>
  <si>
    <t>Procurement of supply and delivery of food</t>
  </si>
  <si>
    <t>STO20-05-26-0248 Supply and Delivery of Fertilizers.</t>
  </si>
  <si>
    <t>SSS Dumaguete Branch Diesel Fuel for the period July to December 2020</t>
  </si>
  <si>
    <t>Repair of Perimeter Fence at Samal South Elementary School @ Samal, Bataan</t>
  </si>
  <si>
    <t>Procurement of Various Agricultural Supplies</t>
  </si>
  <si>
    <t>Office Supplies-MHO Admin</t>
  </si>
  <si>
    <t>Procurement of Various Air Conditioning-06-315(A)PGO</t>
  </si>
  <si>
    <t>PR NO. 1251 VERMICAST</t>
  </si>
  <si>
    <t>For Electrical Maintenance of Tourism Sector</t>
  </si>
  <si>
    <t>Procurement of Various Electrical Supplies-06-331(O)PEO</t>
  </si>
  <si>
    <t>Procurement of office supplies of CIT Bindery Project</t>
  </si>
  <si>
    <t>Supply and Installation of Renewable, Clean Solar Powered Streetlights &amp; Other Related Works Along Lipa-Alaminos Road (80 Watts LED, Integrated Solar Streetlights)</t>
  </si>
  <si>
    <t>Ri Bid For Construction of Multi-purpose Bldg. @ Sitio Side B</t>
  </si>
  <si>
    <t>Construction &amp; Development of Sanitary Landfill.</t>
  </si>
  <si>
    <t>PROCUREMENT OF 1200 PCS PARCHMENT PAPER</t>
  </si>
  <si>
    <t>RFQ-DVO-PR.NO. 2005210 CAT. 49 PRINTED FORMS AND PRINTING SERVICES</t>
  </si>
  <si>
    <t>LED Flood Light for Basketball Court</t>
  </si>
  <si>
    <t>IMPROVEMENT OF 3.00 X 9.00m MULTI-PURPOSE BUILDING</t>
  </si>
  <si>
    <t>Fabrication &amp; Intallation of five (5) units towing accessories</t>
  </si>
  <si>
    <t>PBG-2020-06-20 PROCUREMENT OF ACCOUNTABLE FORMS FOR CITY TREASURER'S OFFICE USE.</t>
  </si>
  <si>
    <t>PROCUREMENT OF TIRES (MS-5813, DOU-413 &amp; DOU-414)</t>
  </si>
  <si>
    <t>Procurement of Various Construction Supplies and Materials-06-091(Q)ZNMC</t>
  </si>
  <si>
    <t>Procurement of VEHICLES</t>
  </si>
  <si>
    <t>Table Signs Of Brgy. Personnel</t>
  </si>
  <si>
    <t>RFQ No. 20-06-057 - Procurement of Diesel Fuel and Lubricants for use of Service Vehicle and Heavy Equipment for the 1st &amp; and Quarter</t>
  </si>
  <si>
    <t>Proposed Box Culvert at Public Plaza, Brgy. III-Poblacion, Hinigaran, Negros Occidental.</t>
  </si>
  <si>
    <t>REHABILITATION OF EVACUATION CENTER</t>
  </si>
  <si>
    <t>Lay-outing of school signage preparation and installation</t>
  </si>
  <si>
    <t>Supply and Delivery of Construction Materials - ITB 036-2020 GQ</t>
  </si>
  <si>
    <t>Meals and snacks for use of PPOC Meeting-SVP-20-4361</t>
  </si>
  <si>
    <t>RFQ-DVO-PR.NO. 2005231 CAT. 49 PRINTED FORMS AND PRINTING SERVICES</t>
  </si>
  <si>
    <t>Supply of Wreaths Flowers for use in relation with the activity of the Sangguniang Panlalawigan Members</t>
  </si>
  <si>
    <t>Ri Bid For Supply for Installation of P.E Pipes @ Upper Meocan</t>
  </si>
  <si>
    <t>FURNITURES AND OTHER ACCESSORIES FOR BIRTHING FACILITY</t>
  </si>
  <si>
    <t>DENR-CENRO Bangui, 3 Year Comprehensive Site Development at Brgy. Balaoi, Pagudpud, Ilocos Norte</t>
  </si>
  <si>
    <t>Construction Of Multi-Purpose Building, Brgy. Ditaelen, Maria Aurora, Aurora</t>
  </si>
  <si>
    <t>REQUEST FOR EXPRESSION OF INTEREST AND TO SUBMIT PROPOSALS FOR THE PROCUREMENT OF CONSULTANCY SERVICES FOR THE HIRING, RECRUITMENT AND EMPLOYEE ASSESSMENT OF THE BANGSAMORO PLANNING AND DEVELOPMENT AU</t>
  </si>
  <si>
    <t>Purchase of Tools &amp; Equipments for Repair and Maintenance of BatStateU-ARASOF Nasugbu</t>
  </si>
  <si>
    <t>SUPPLY AND DELIVERY FOR IT EQUIPMENT AND DEVICES FOR VIDEO CONFERENCING AND LIVE STREAMING CY 2020 - LOT</t>
  </si>
  <si>
    <t>Supply of labor &amp; materials for the rehabilitation of barangay roads of Barangay Locloc, San Luis, Batangas</t>
  </si>
  <si>
    <t>PURCHASE OF CONSTRUCTION MATERIALS FOR VARIOUS PROJECTS</t>
  </si>
  <si>
    <t>Rehabilitation of Barangay Farm to Market Roads Osawan-Tigao to Burgos, Cortes Surigao del Sur</t>
  </si>
  <si>
    <t>MG-A5M20-086 ( TUBE, LED TYPE, T8, 4FT. 18 WATTS + 1 ITEM )</t>
  </si>
  <si>
    <t>SFP:3,000	BOOKLETS	          RECIPE/MENU BOOKLET   FOR THE SF PROGRAM 10th CYCLE IMPLEMENTATION.</t>
  </si>
  <si>
    <t>Construction Materials</t>
  </si>
  <si>
    <t>RFQ-DVO-PR.NO. 2005233 CAT. 87 OXYGEN AND ACETYLENE</t>
  </si>
  <si>
    <t>PEO-20-0504 B (REBID)- Purchase of Spare Parts for use of Isuzu Dump Truck (NDT-37) Model:FTR33FLD assigned at PEP, Sta. Barbara, Iloilo</t>
  </si>
  <si>
    <t>RFQ No. 20-06-058 - Purchase of Coring Bit for use in the QualityAssurance Section (Laboratory)</t>
  </si>
  <si>
    <t>SUPPLY AND DELIVERY OF SANITARY PERMIT AND HEALTH ID FOR SANITARY REQUIREMENT</t>
  </si>
  <si>
    <t>Purchase of construction materials for the DENR-PENRO Stock room</t>
  </si>
  <si>
    <t>RFQ - Equipment for Nutrition and Dietetics Use</t>
  </si>
  <si>
    <t>Construction of Fence for Tenement Housing Project, Barangay Marketview, Lucena City</t>
  </si>
  <si>
    <t>Construction Project</t>
  </si>
  <si>
    <t>Supply and delivery of Tarpaulin for use in the office of Sangguniang Panlalawigan Members</t>
  </si>
  <si>
    <t>800 bags Poly Aluminum Chloride</t>
  </si>
  <si>
    <t>1 unit Laptop</t>
  </si>
  <si>
    <t>Supply and Delivery of Construction Materials - ITB 037-2020 GQ</t>
  </si>
  <si>
    <t>Concreting of Farm to Market Road Sitio Cabicalan  Zone 7</t>
  </si>
  <si>
    <t>20ID0073 - Concreting of Poblacion District 9 to Brgy. Gamay FMR, Brgy. Gamay,Burauen, Leyte</t>
  </si>
  <si>
    <t>Supply and Delivery of Medicines (CARI, Anti Rabies, and Mass Circumcision Program) (Rebidding)</t>
  </si>
  <si>
    <t>One (1) Lot Supply, Delivery &amp; Installation of the following items for Ford F-750 Armored Truck SFX 417: One (1) unit Clutch Fan Assembly, One (1) unit Air Brake Compressor Assembly</t>
  </si>
  <si>
    <t>RFQ-DVO-PR.NO. 2006017 CAT. 32 JANITORIAL SUPPLIES AND MATERIALS</t>
  </si>
  <si>
    <t>For Electrical Maintenance of Construction Sector</t>
  </si>
  <si>
    <t>Procurement of fuel, oil &amp; lubricants</t>
  </si>
  <si>
    <t>SUPPLY AND DELIVERY OF TRAFFIC CITATION TICKET FOR THE IMPLEMENTATION OF CITY TRAFFIC ORDINANCES</t>
  </si>
  <si>
    <t>SUPPLY &amp; DELIVERY OF CONSTRUCTION MATERIALS FOR THE COMPLETION OF SECOND FLOOR OF WAO MUNICIPAL HALL, MUNICIPAL SITE, BRGY. WESTERN, WAO, LANAO DEL SUR</t>
  </si>
  <si>
    <t>RFQ-DVO-PR.NO. 2006089 CAT. 87 OXYGEN AND ACETYLENE</t>
  </si>
  <si>
    <t>request for quotation of drugs and medicine</t>
  </si>
  <si>
    <t>SUPPLY AND DELIVERY OF CONSTRUCTION MATERIALS FOR REPAIR OF TENTS</t>
  </si>
  <si>
    <t>CONSTRUCTION/ESTABLISHMENT/REHABILITATION OF MULTI-PURPOSE HALL @ BRGY. CAIMITO</t>
  </si>
  <si>
    <t>Procurement of 10 pcs Air Tank Compressed use in the conduct of resource assessment and underwater crime scene investigation</t>
  </si>
  <si>
    <t>Ri Bid For Installation of Water Tank</t>
  </si>
  <si>
    <t>RICE20-06-04-0726 Supply and Delivery of Plant Fertilizer.</t>
  </si>
  <si>
    <t>1 box Colilert-18 and 2 boxes Sterile 51 - Well Quanti Tray</t>
  </si>
  <si>
    <t>Purchase of Office Supplies for Household Survey</t>
  </si>
  <si>
    <t>“Acquisition of One (1) Lot Supply and Delivery of Various Security Equipment”</t>
  </si>
  <si>
    <t>Catering Services re:On-Site Training on Product Branding,Packaging &amp; Labelling for the Coco Coir Slipper Production of Maonon Upland Planters Assn.Inc (MUPAI) on June 23-26, 2020 per RFQ-125-2020-CDD</t>
  </si>
  <si>
    <t>Concreting of Farm to Market Road Zone 6</t>
  </si>
  <si>
    <t>Construction/Extension of Covered Court</t>
  </si>
  <si>
    <t>Procurement of OFFICE EQUIPMENT</t>
  </si>
  <si>
    <t>Construction of two (2) units septic Tank @ Tuao District Hospital, Tuao Cagayan</t>
  </si>
  <si>
    <t>Purchase of Medicine</t>
  </si>
  <si>
    <t>STREET LIGHT BULBS</t>
  </si>
  <si>
    <t>Supply &amp; Delivery of Various Office Equipment Supplies &amp; Consumables use for 122nd Philippine Independence Day Sports &amp; Cultural, Himamaylan City</t>
  </si>
  <si>
    <t>Supply of labor &amp; materials for the rehabilitation of street light of Barangay Locloc, San Luis, Batangas</t>
  </si>
  <si>
    <t>SUPPLY AND DELIVERY OF CONSTRUCTION MATERIALS FOR INSTALLATION OF CEILING AND OTHER ELECTRICAL JOBS</t>
  </si>
  <si>
    <t>SUPPLY AND DELIVERY OF MEALS AND SNACKS (rfq#2020-04-1,972)-(vice governor's office)</t>
  </si>
  <si>
    <t>Construction supplies</t>
  </si>
  <si>
    <t>Dumptruck Tires</t>
  </si>
  <si>
    <t>Hiring of Consultant Services for the Formulation of the National Housing and Urban Development Sector Plan</t>
  </si>
  <si>
    <t>RFQ 16723</t>
  </si>
  <si>
    <t>Procurement of IT and Office Equipment - Lot 2 - Office Equipment - PAIASO</t>
  </si>
  <si>
    <t>Purchase of tires for Mitsubishi service vehicles</t>
  </si>
  <si>
    <t>Repair and Maintenance of Energy Structure</t>
  </si>
  <si>
    <t>PROCUREMENT OF RICE FOR COVID-19 RELIEF ASSISTANCE</t>
  </si>
  <si>
    <t>Supply, Delivery and Installation of 75KVA Transformer including its Accessories</t>
  </si>
  <si>
    <t>PROCUREMENT AND INSTALLATION OF AIR-CONDITIONING UNITS FOR THE OFFICES &amp; CLASSROOMS OF THE NFSTI</t>
  </si>
  <si>
    <t>REPAIR AND OTHER OPERATING EXPENSES MOOE 2020 2ND QUARTER</t>
  </si>
  <si>
    <t>Establishment protection and maintenance of coffee plantation to Upland communities to abate illegal logging as a means of promoting peace and order (program against Illegal Logging)</t>
  </si>
  <si>
    <t>SUPPLY AND DELIVERY OF MEALS AND SNACKS (rfq#2020-04-2,156)-(vice governor's office)</t>
  </si>
  <si>
    <t>Purchase of Toner, Ink &amp; Desk Top</t>
  </si>
  <si>
    <t>Rehabilitation of Concrete Pavement</t>
  </si>
  <si>
    <t>SUPPLY AND DELIVERY OF VARIOUS WOODCRAFTS FOR EXECUTIVE LOUNGE USE</t>
  </si>
  <si>
    <t>Rebidding: 10 pcs Auto Bulb 24 volts (double big) and other items for stop light and signal light of vaccum trucks 1-8 used.</t>
  </si>
  <si>
    <t>Supply and Delivery of Rice and Sardines for Distribution in various Barangay of San Pedro City, Laguna under GCQ</t>
  </si>
  <si>
    <t>PURCHASE OF VARIOUS OFFICE SUPPLIES</t>
  </si>
  <si>
    <t>PURCHASE OF CCAM SMARTPHONES FOR PHOTO DOCUMENTATION AND GEOTAGGING</t>
  </si>
  <si>
    <t>SUPPLY AND DELIVERY OF VARIOUS EQUIPMENT FOR VARIOUS SECTION OF CHO</t>
  </si>
  <si>
    <t>PR NO. 1250 VEGETABLE SEEDS</t>
  </si>
  <si>
    <t>For Electrical Maintenance of Automotive Sector</t>
  </si>
  <si>
    <t>IMPROVEMENT AND UPGRADING OF DINGALAN UMIRAY- PROVINCIAL ROAD, DINGALAN, AURORA</t>
  </si>
  <si>
    <t>Supply and Delivery of Various Laboratory Services</t>
  </si>
  <si>
    <t>Procurement of Office Equipment for RTC Branch 27 - Tandag.</t>
  </si>
  <si>
    <t>Various Machineries</t>
  </si>
  <si>
    <t>Construction of Sewer Treatment Plant and Drying Area at Slaughter House, Brgy. Guinhawa North, Tagaytay City</t>
  </si>
  <si>
    <t>PROCUREMENT OF 2.5 HP SPLIT TYPE AIR CONDITIONING UNIT</t>
  </si>
  <si>
    <t>Procurement of Newspaper Subscription for July to December 2020</t>
  </si>
  <si>
    <t>Office Supplies Expenses (PCADG-5020301000-1061-2020)</t>
  </si>
  <si>
    <t>CONSTRUCTION OF BARANGAY STAGE (PAHASE I), BARANGAY AMOT, BURDEOS, QUEZON</t>
  </si>
  <si>
    <t>RFQ-DVO-PR.NO. 2005284 CAT. 6 AUTO REPAIR SHOP</t>
  </si>
  <si>
    <t>RFQ-DVO-PR.NO. 2005160 CAT. 27 FURNITURE AND FIXTURES</t>
  </si>
  <si>
    <t>SUPPLY AND DELIVERY OF SNACKS (rfq#2020-05-2,544)-(pgo-popdev)</t>
  </si>
  <si>
    <t>Continuation/Improvement of Multi-purpose Hall</t>
  </si>
  <si>
    <t>Construction of Slope Protection for Tenement Housing Project, Barangay Marketview, Lucena City</t>
  </si>
  <si>
    <t>SUPPLY AND DELIVERY OF EXTENSION ENERGY EFFECT CUSHION FOR ELECTRICAL POTENTIAL THERAPY EQUIPMENT</t>
  </si>
  <si>
    <t>UCT : 1 LOT PRINTING SERVICES; REPRODUCTION OF FORMS FOR THE UCT-LISTAHANAN PAYOUT ACTIVITIES</t>
  </si>
  <si>
    <t>Purchase of 10 Meter Hydraulic Hose</t>
  </si>
  <si>
    <t>Purchase of COVID-19 Response Items</t>
  </si>
  <si>
    <t>ANNUAL PREVENTIVE MAINTENANCE FOR VARIOUS MEDICAL EQUIPMENT CY 2020</t>
  </si>
  <si>
    <t>PROCUREMENT OF VARIOUS FRUITS SEEDLINGS FOR THE SUSTAINABLE LAND RESOURCE MANAGEMENT APPROACH (SLRMA) FOR AGRI-ENVIRONMENTAL DEVELOPMENT OF UPLANDS AND HILLY LANDS AT SITIO NANGKA, PUNTIAN, SUMILAO, B</t>
  </si>
  <si>
    <t>PURCHASE OF SPAREPARTS AND LABOR FOR REPAIR OF DMAX SERVICE VEHICLE (MBO)</t>
  </si>
  <si>
    <t>SUPPLY AND DELIVERY OF BULB FOR MARKET OPERATION USE</t>
  </si>
  <si>
    <t>MATLS FOR WIRE FENCING OF PUBLIC MARKET</t>
  </si>
  <si>
    <t>CONSTRUCTION OF IGANG BRIDGE ALONG CASIGURAN – DILASAG PROVINCIAL ROAD, Casiguran-Dilasag, Auraora</t>
  </si>
  <si>
    <t>Purchase and Installation of CCTV and Solar Panel Lights for MDDRMC, Calasiao, Pangasinan</t>
  </si>
  <si>
    <t>IMPROVEMENT/REHABILATION OF DRAINAGE SYSTEM</t>
  </si>
  <si>
    <t>RFQ-DVO-PR.NO. 2005265 CAT. 27 FURNITURE AND FIXTURES</t>
  </si>
  <si>
    <t>1 unit laptop Core i7</t>
  </si>
  <si>
    <t>Request for Quotataion</t>
  </si>
  <si>
    <t>780 pcs. Tiles 60cm x 60cm x 1cm</t>
  </si>
  <si>
    <t>Other Supplies &amp; Materials Expenses (PCADG-5020399000-1062-2020)</t>
  </si>
  <si>
    <t>Completion of Climate Resilient Multi-Purpose Hall  @Brgy. Capalong, Real, Quezon</t>
  </si>
  <si>
    <t>PR. 20-06-212 (2020-06-204) PROCUREMENT OF GEAR, REFLECTORIZED VEST &amp; HARD HAT</t>
  </si>
  <si>
    <t>Improvement of Vice Mayor's Office and Provision of Comfort Room</t>
  </si>
  <si>
    <t>Purchase of Washable Face Mask</t>
  </si>
  <si>
    <t>Rehabilitation of Monkey Cage (3 Units), Peacock Cage, Cassowary Cage and Butterfly Cage at Albay Park and Wildlife PR No. (100(01)-20-03-0849)</t>
  </si>
  <si>
    <t>Spare parts for Foton truck</t>
  </si>
  <si>
    <t>Purchase of Common-Use Supplies for OSDS</t>
  </si>
  <si>
    <t>SUPPLY AND DELIVERY OF ELECTRICAL SUPPLIES FOR INSTALLATION OF OVERCURRENT PROTECTION AND UPGRADING TRANSFER SWITCH</t>
  </si>
  <si>
    <t>NEGOTIATED PROCUREMENT OF ADDITIONAL CCTV CAMERA AT MONCAST</t>
  </si>
  <si>
    <t>Concreting of Sucao Elementary School Multi-Purpose Pavement</t>
  </si>
  <si>
    <t>Procurement of Office Equipment for TSP CCTV Monitoring and SP Hall use.</t>
  </si>
  <si>
    <t>Telephone Mobile Expenses (AFPMCC-65,700.00)</t>
  </si>
  <si>
    <t>20JI0086-Furnishing of Labor including provision of equipment necessary to complete the Repair/Maintenance of DENR Building, Brgy.Pob.Imelda,Zamboanga Sibugay</t>
  </si>
  <si>
    <t>Purchase of Brochures, Leaflets and Learning Materials for Protection of Children Program</t>
  </si>
  <si>
    <t>RFQ-DVO-PR.NO. 2005270 CAT. 57 SPORTS ATTIRE</t>
  </si>
  <si>
    <t>Construction of Water System at Giayan N.Q.</t>
  </si>
  <si>
    <t>INVITATION TO BID FOR PHOTOCOPYING MACHINE FOR FFHNAS JUNIOR HIGH SCHOOL AND SENIOR HIGH SCHOOL</t>
  </si>
  <si>
    <t>Request for Quotation</t>
  </si>
  <si>
    <t>GOODS 2020-05-0003 REBID REPAIR AND MAINTENANCE - TRANSPORTATION EQUIPMENT</t>
  </si>
  <si>
    <t>One (1) Job Contract for the Electrification (Installation of 25Kva, 760Vac Primary / 230Vac, Secondary, 60Hz, 1-Phase, OISC, Distribution Transformer and Construction of Streetlights)/Brgy. Gegacjac/</t>
  </si>
  <si>
    <t>Construction</t>
  </si>
  <si>
    <t>SUPPLY AND DELIVERY OF OFFICE AND JANITORIAL SUPPLIES FOR BJMP USE</t>
  </si>
  <si>
    <t>Labor and materials in the propagation of 20,000 quality bamboo seedlings at the Provincial Nursery Laoang Productivity Center, Barangay Laoang Tarlac City</t>
  </si>
  <si>
    <t>Supply / Delivery of 3,813.90 liters Diesel &amp; 215 liters Gasoline Premium</t>
  </si>
  <si>
    <t>150 rms. Bookpaper long</t>
  </si>
  <si>
    <t>SUPPLY AND DELIVERY OF I.T. SUPPLIES -(rfq#2020-05-2,548)-(pgo-popdev)</t>
  </si>
  <si>
    <t>Catering Services: Orientation and LGU Meetings for the Disaster Vulnerability Assessment and Profiling Project (DVAPP) Card Production</t>
  </si>
  <si>
    <t>20GBE0017: Furnishing &amp; Delivery of Pavement Markings Materials for National Roads of DPWH-IFDEO</t>
  </si>
  <si>
    <t>SUPPLY AND DELIVERY OF MASTER ROLLS AND GR INK FOR GSO USE</t>
  </si>
  <si>
    <t>Supply of weighing scales for agro-enterprise development for rice</t>
  </si>
  <si>
    <t>PR 20-06-0633</t>
  </si>
  <si>
    <t>Request for the purchase of flag for lamp post for the use of Cultural Affairs and Tourism Office, Pasig City.</t>
  </si>
  <si>
    <t>Procurement of Printing &amp; Publication Expenses (PCADG-5029902000-1063-2020)</t>
  </si>
  <si>
    <t>RIPRAAPING AND CONSTRUCTION OF CONCRETE PAVEMENT AT LUACAN WATERPARK</t>
  </si>
  <si>
    <t>Procurement of supply and delivery of food for the conduct of DA-PA-Mas Monthly Assessment</t>
  </si>
  <si>
    <t>SUPPLY AND DELIVERY OF 1,591 BOXES ROUND MOIST CAKE FOR PABIRTHDAY NI LOLO UG LOLA (2ND QUARTER)</t>
  </si>
  <si>
    <t>RFQ-DVO-PR.NO. 2005254 CAT. 65 VETERINARY SUPPLIES AND MATERIALS</t>
  </si>
  <si>
    <t>Procurement of Logbook - PDH</t>
  </si>
  <si>
    <t>Procurement of Photocopier Ink</t>
  </si>
  <si>
    <t>BARANGAY HALL DEEP WELL REHABILITATION AT PUROK 3, IN BRGY. CALAPUGAN. NATIVIDAD, PANGASINAN</t>
  </si>
  <si>
    <t>Supply and Delivery Additional Apparatus in Biology Laboratory of SDSSU Tandag</t>
  </si>
  <si>
    <t>PURCHASE OF MATERIALS FOR THE CONSTRUCTION OF CONCRETE PAVEMENT AROUND BARANGAY SITE</t>
  </si>
  <si>
    <t>Animal Feeds</t>
  </si>
  <si>
    <t>Repair of Perimeter Fence at EcoPark @ Samal, Bataan</t>
  </si>
  <si>
    <t>Supplies &amp; Deliveries of Construction Supplies for the use of 6FSSU, ASCOM, PA for 2nd QTR CY 2020</t>
  </si>
  <si>
    <t>SD of 5 pcs Snare Drum &amp; 1 other</t>
  </si>
  <si>
    <t>Repair/Maintenance of Municipal Water System</t>
  </si>
  <si>
    <t>PEO-20-0695 B- Purchase of Spare Parts for use in the repair of Caterpillar Bulldozer (CB-1) Model: D6HXL assigned at PEP, Sta. Barbara, Iloilo</t>
  </si>
  <si>
    <t>Supply and delivery of office supplies and devices</t>
  </si>
  <si>
    <t>SUPPLY AND DELIVERY OF MEALS AND SNACKS (rfq#2020-05-2,560)-(pgo-bac secretariat)</t>
  </si>
  <si>
    <t>RFQ-DVO-PR.NO. 2006044 CAT. 39 MEDICAL SUPPLIES AND MATERIALS</t>
  </si>
  <si>
    <t>Construction of Niches, Lucena Public Cemetery, Barangay Marketview, Lucena City</t>
  </si>
  <si>
    <t>SUPPLY AND DELIVERY OF CONSTRUCTION MATERIALS FOR CONSTRUCTION OF MOTORPOOL GUARD HOUSE</t>
  </si>
  <si>
    <t>Various COD Working Unifrom</t>
  </si>
  <si>
    <t>“Acquisition of One (1) Lot Health Care Services through Health Maintenance Organization"</t>
  </si>
  <si>
    <t>SUPPLY AND DELIVERY OF MEALS AND SNACKS (rfq#2020-06-2,582)-(pgo-pdea)</t>
  </si>
  <si>
    <t>For the Declogging/Clearing of Canal at Barangay Asinan, Bugallon, Pangasinan</t>
  </si>
  <si>
    <t>Request for the purchase of morgue refrigeration system for the use of Pasig City.</t>
  </si>
  <si>
    <t>COMPLETION OF ARCHITECTURE BUILDING, PSU MAIN CAMPUS</t>
  </si>
  <si>
    <t>SUPPLY AND DELIVERY OF ELECTRICAL SUPPLIES FOR IMPROVEMENT OF MUSCOVADO BUILDING</t>
  </si>
  <si>
    <t>Bakery Machinery Eqpt</t>
  </si>
  <si>
    <t>Supply and Delivery of CHR Collaterals</t>
  </si>
  <si>
    <t>PROCUREMENT OF CORN SEEDS &amp; FERTILIZERS FOR THE SUSTAINABLE LAND RESOURCE MANAGEMENT APPROACH (SLRMA) FOR AGRI-ENVIRONMENTAL DEVELOPMENT OF UPLANDS AND HILLY LANDS AT SITIO NANGKA, PUNTIAN, SUMILAO, B</t>
  </si>
  <si>
    <t>RFQ-DVO-PR.NO. 2005208 CAT. 64 VETERINARY DRUGS AND MEDICINES</t>
  </si>
  <si>
    <t>Procurement of Printing &amp; Publication Expenses (PCADG-5029902000-1064-2020)</t>
  </si>
  <si>
    <t>Industrial Machinery and Equipment</t>
  </si>
  <si>
    <t>REPAIR &amp; MAINTENANCE OF OF NEW HOLLAND TRACTOR</t>
  </si>
  <si>
    <t>CONSTRUCTION OF PUI CENTER (MUNICIPAL GYMNASIUM)</t>
  </si>
  <si>
    <t>Procurement of Air Conditioner unit for Provincial Fisheries and Aquatic Resources Office new building.</t>
  </si>
  <si>
    <t>Ice Cream Production</t>
  </si>
  <si>
    <t>Procurement of Various Materials for the Rehabilitation of Concrete Line Canal, Local Government Unit of Barugo, Leyte</t>
  </si>
  <si>
    <t>Supply and Delivery of 2 units Grass Cutter</t>
  </si>
  <si>
    <t>CONCRETING OF BARANGAY ROAD (Brgy. Pulangbato)</t>
  </si>
  <si>
    <t>Other Supplies &amp; Materials Expenses (PCADG-5020399000-1065-2020)</t>
  </si>
  <si>
    <t>PRINTING OF FACULTY &amp; STAFF ID</t>
  </si>
  <si>
    <t>RFQ-DVO-PR.NO. 2005237 CAT. 49 PRINTED FORMS AND PRINTING  SERVICES</t>
  </si>
  <si>
    <t>ICT EQUIPMENTS OF CSU ANDREWS 2020-06-05E</t>
  </si>
  <si>
    <t>RFQ-DVO-PR.NO. 2006011 CAT. 46 PAINTING TOOLS AND MATERIALS</t>
  </si>
  <si>
    <t>Acetator Kit and wine fermentation kit</t>
  </si>
  <si>
    <t>SUPPLY, DELIVERY &amp; INSTALLATION OF CALAMITY RELATED ALARM &amp; SECURITY MONITORING SYSTEM</t>
  </si>
  <si>
    <t>RFQ - Procurement of Goods: IT Equiments for the use of CDRRMO - Command Center (PR#300-20-03-0047)</t>
  </si>
  <si>
    <t>Meals for Session and Inauguration of New Sangguniang Panlalawigan Building</t>
  </si>
  <si>
    <t>PR 1-20-06-0669, FOR USE OF VARIOUS VEHICLES AND EQUIPMENT ASSIGNED IN ECO-CENTER PROJECT OPERATION, CITY ENVIRONMENT MANAGEMENT OFFICE, CEMO, THIS CITY.</t>
  </si>
  <si>
    <t>PROVISION OF PERIMETER LIGHTS AND POST ON AIRSIDE</t>
  </si>
  <si>
    <t>Supply and Installation of Animal Feeds -EDM</t>
  </si>
  <si>
    <t>Water Supply System at Pasalubong Center</t>
  </si>
  <si>
    <t>Supplies and Materials</t>
  </si>
  <si>
    <t>CONSTRUCTION OF TWO STOREY MULTI-PURPOSE (MUNICIPAL ISOLATION) BUILDING, MUNICIPALITY OF MALIBCONG, ABRA</t>
  </si>
  <si>
    <t>Purchase of Real Property Tax Account Register Card for Treasurer’s Office use</t>
  </si>
  <si>
    <t>AVRC : 50	PCS.	LIQUID DISPENSER UP TO 1000	PCS.	GERMICIDAL SOAP; FOR DISINFECTANT AND OTHER RELATED EQUIPMENT AT AVRC  III.</t>
  </si>
  <si>
    <t>Supply and Deliver of Materials for I.D Making</t>
  </si>
  <si>
    <t>Procurement of Signage</t>
  </si>
  <si>
    <t>Procurement of supply and delivery of food fo the conduct of Rice Report Officers Monthly Meeting</t>
  </si>
  <si>
    <t>PR 1-19-09-1639, FOR THE USE OF SAN CARLOS CITY HOSPITAL, THIS CITY.</t>
  </si>
  <si>
    <t>Procurement of Common Office Supplies</t>
  </si>
  <si>
    <t>Post Cement, Banana Twine &amp; Bamboo Poles for LSA - FRIEND Organic Farm</t>
  </si>
  <si>
    <t>ITB 20-0062 - Supply and Delivery of 7,000 bags Cement, Portland, Quick Dry &amp; etc.</t>
  </si>
  <si>
    <t>Supply and Delivery of Construction Materials - ITB 038-2020 GQ</t>
  </si>
  <si>
    <t>2 drums Engine Oil</t>
  </si>
  <si>
    <t>Purchase of Hot and Cold Water Dispenser with Storage Cabinet (ris 20-13-098)</t>
  </si>
  <si>
    <t>Procurement of Communication Plan for 1 Year</t>
  </si>
  <si>
    <t>Training Expense-Php66,000.00 AFP CYBER GROUP</t>
  </si>
  <si>
    <t>IMPROVEMENT OF MUNICIPAL IP HALL GROUND</t>
  </si>
  <si>
    <t>RFQ - Procurement of Goods: IT Equipment (A3 Machine Photocopier &amp; Duplicator Machine) for the use of DEPED (For the use of Various Schools) (PR#200-20-06-0100)</t>
  </si>
  <si>
    <t>Supply of four (4) pieces Steel Cabinet</t>
  </si>
  <si>
    <t>Repair and Maintenance of Legislative Building Roofing</t>
  </si>
  <si>
    <t>RFQ-DVO-PR.NO. 2006001 CAT. 69 SUBSCRIPTION</t>
  </si>
  <si>
    <t>Completion of Paagan Water System</t>
  </si>
  <si>
    <t>SUPPLY AND INSTALL OF BY-PASS POTABLE WATER PIPE LINE QUINANLIMAN, BRGY. POB. 1, REAL, QUEZON</t>
  </si>
  <si>
    <t>Office Eqpt and Accessories</t>
  </si>
  <si>
    <t>Concreting of Lacangan Road</t>
  </si>
  <si>
    <t>Procurement of BDRRM Supplies &amp; Materials</t>
  </si>
  <si>
    <t>LIVE ANIMALS (Livestock)</t>
  </si>
  <si>
    <t>RFQ 16724</t>
  </si>
  <si>
    <t>PROCUREMENT OF DIESOLINE (FOR LGU USE)</t>
  </si>
  <si>
    <t>SUPPLY DELIVERY  FOR TRAINING SERVICES FOR SECURITY NC 1</t>
  </si>
  <si>
    <t>Acquisition of Air Conditioning Unit</t>
  </si>
  <si>
    <t>Construction of Main Steel Gate (Double-Leaf) with Service Gate located at Barangay San Placido, Roxas, Isabela</t>
  </si>
  <si>
    <t>FURNISHING AND DELIVERY OF CONSTRUCTION MATERIALS FOR THE CONSTRUCTION OF TALBEK WATER SYSTEM</t>
  </si>
  <si>
    <t>Supply of Delivery of Conveyor Landing Pad at Terminal 2 (ris 20-83-069)</t>
  </si>
  <si>
    <t>Supply and Delivery of Jetmatic Pump</t>
  </si>
  <si>
    <t>Supply and Delivery of Janitorial Supplies</t>
  </si>
  <si>
    <t>Supply / Delivery of 30 pcs. Cell Cards 100’s &amp; 15 pcs. Cell Cards 300’s</t>
  </si>
  <si>
    <t>Procurement of Various Medicines and Vitamins - PHSO</t>
  </si>
  <si>
    <t>Books, Maps and Other Publications for Distribution to all Barangays of Oriental Mindoro</t>
  </si>
  <si>
    <t>Procurement of Office Equipment</t>
  </si>
  <si>
    <t>Fuel</t>
  </si>
  <si>
    <t>PROCUREMENT OF SUPPLY AND INSTALLATION FOR THE REPLACEMENT OF VEHICLE TIRES</t>
  </si>
  <si>
    <t>PROCUREMENT OF OFFICE SUPPLIES</t>
  </si>
  <si>
    <t>ITB 20-0063 - Supply and Delivery of 5 drums Hydraulic Oil, AW 68 &amp; etc.</t>
  </si>
  <si>
    <t>Purchase of Assorted Goods</t>
  </si>
  <si>
    <t>PROCUREMENT OF CELLPHONE ( brgy council )</t>
  </si>
  <si>
    <t>Procurement of supply and delivery of food fr the conduct of DA Program Assessment &amp; Forum</t>
  </si>
  <si>
    <t>Procurement of Various Medical Supplies, SAN JOSE CITY, NUEVA ECIJA</t>
  </si>
  <si>
    <t>Payment for Security Service for the period of July 2020 to December 2020 at San Pablo City General Hospital, San Pablo City.</t>
  </si>
  <si>
    <t>RFQ-DVO-PR.NO. 2004142 CAT. 78 FIRE AND RESCUE EQUIPMENT</t>
  </si>
  <si>
    <t>Procurement of Printer Resetter for FY 2020 - Repost</t>
  </si>
  <si>
    <t>FURNISHING AND DELIVERY OF LAPTOP COMPUTER FOR BUDGET OFFICE</t>
  </si>
  <si>
    <t>Procurement of Office Supplies June 2020</t>
  </si>
  <si>
    <t>1 Unit Laptop, 5 Units HDMI to VGA Converter, 3 Units Portable Wifi Router &amp; 12 Units Wireless Speaker</t>
  </si>
  <si>
    <t>RFQ - Procurement of Goods: Furniture &amp; Fixtures for the use of CENRO (PR#100-20-06-0093)</t>
  </si>
  <si>
    <t>Construction Materials and Supplies for Provision of Cement and Painting Materials to Various Schools Provincewide</t>
  </si>
  <si>
    <t>Supply Labor and Materials including Printing for the Production of 500 pieces Customized Corporate Bag</t>
  </si>
  <si>
    <t>RFQ PR NO. 824_INFORMATION TECH_ CHRMO</t>
  </si>
  <si>
    <t>Concreting of Pathway with Line Canal - ITB 039-2020 GQ</t>
  </si>
  <si>
    <t>GRASSCUTTER</t>
  </si>
  <si>
    <t>Construction Of Senior Citizen Hall (Phase II), Brgy Dikildit , Maria Aurora, Aurora</t>
  </si>
  <si>
    <t>Invitation to Bid</t>
  </si>
  <si>
    <t>Procurement of Common Janitorial Supplies and Office Supplies for the Four (4) Campuses</t>
  </si>
  <si>
    <t>ITB 20-0064 - Supply and Delivery of 71 units Television, LED, Smart TV.</t>
  </si>
  <si>
    <t>NEGOTIATED PROCUREMENT OF MATERIALS FOR REPAIR AND MAINTENANCE OF PUMPING STATION FOR WATERWORKS OPERATION UNIT</t>
  </si>
  <si>
    <t>Supply and Delivery if Vehicle Spare Parts - Motorpool</t>
  </si>
  <si>
    <t>RFQ PR NO. 860 OFFICE SUPPLIES _SWEMO</t>
  </si>
  <si>
    <t>RFQ - Procurement of Goods: Telecommunication Provider Equipment for the use of DEPED (For Various Schools) (PR#200-20-06-0014)</t>
  </si>
  <si>
    <t>Food Stuff (Roasted Swine)</t>
  </si>
  <si>
    <t>RFQ-DVO-PR.NO. 2006027 CAT. 6 AUTO REPAIR SHOP</t>
  </si>
  <si>
    <t>Procurement of Office Supplies</t>
  </si>
  <si>
    <t>Supply and Delivery of Occult Blood Test</t>
  </si>
  <si>
    <t>RFQ 16688</t>
  </si>
  <si>
    <t>PROCUREMENT OF GASOLINE,OIL,AND LUBRICANTS FOR MUNICIPAL VEHICLES CONSUMPTION FOR THE MONTH OF JUNE 2020</t>
  </si>
  <si>
    <t>Supply of Labor, Materials and Equipment Rentals for the Rehabilitation of Liglican, Diversion Dam in Poblacion, Bakun, Benguet</t>
  </si>
  <si>
    <t>PROCUREMENT OF OFFICE TABLE AND COMPUTER TABLE FOR MUNICIPAL PLANNING AND DEVELOPMENT OFFICE</t>
  </si>
  <si>
    <t>request for quotation of furniture</t>
  </si>
  <si>
    <t>Payment for Janitorial Service for the period of July 2020 to December 2020 at San Pablo City General Hospital, San Pablo City.</t>
  </si>
  <si>
    <t>Furniture to be used/installed in the executive building</t>
  </si>
  <si>
    <t>Re-shaping and Gravelling of Barangay Road</t>
  </si>
  <si>
    <t>RFQ - Procurement of Goods: Agricultural &amp; Marine Supplies for the use of CENRO (Landscaping &amp; Beautification Program) (PR#100-20-06-0092)</t>
  </si>
  <si>
    <t>PURCHASE OF OFFICE SUPPLIES</t>
  </si>
  <si>
    <t>1. Materials and Equipment Rental for the Repair and Improvement of School Stage , Efraim Santibañez National High School, Brgy. Sto. Tomas, Passi City, Iloilo/LSB/P 139,460.00,2. Materials for the Ba</t>
  </si>
  <si>
    <t>Improvement/Rehabilitation of President Bridge of Poblacion</t>
  </si>
  <si>
    <t>Hospital/Medical Equipment for the use of Naujan Community Hospital</t>
  </si>
  <si>
    <t>HAND SANITIZER GEL &amp; MULTI PURPOSE CLEANER</t>
  </si>
  <si>
    <t>RFQ (20-06-036) Various Drugs and Medicines</t>
  </si>
  <si>
    <t>ICT EQUIPMENTS OF CSU ANDREWS 2020-06-03E</t>
  </si>
  <si>
    <t>RFQ (20-06-040) Various IT Supplies</t>
  </si>
  <si>
    <t>Renovation of Public Market</t>
  </si>
  <si>
    <t>Construction of Three (3) - Layer Tombs (2.50mx2.00m) @ Roxas Cemetery, San Rafael, Roxas, Isabela</t>
  </si>
  <si>
    <t>PR. 20-05-169 (2020-05-176 2ND QUOTE) PROCUREMENT OF MATERIALS FOR CENTRAL CCTV MONITORING AND STORAGE FEATURE</t>
  </si>
  <si>
    <t>Supply and Delivery of Personal Protective Equipment for the University of the Philippines Baguio</t>
  </si>
  <si>
    <t>PRINTING SUPPLIES</t>
  </si>
  <si>
    <t>Q-092-20 UPGRADING OF FIBER LINE WITH WI-FI AND VOICE OVER IP WITH HARDWARE</t>
  </si>
  <si>
    <t>request for quotation of office equipment</t>
  </si>
  <si>
    <t>Procurement of Survey Equipment - PEO</t>
  </si>
  <si>
    <t>SUPPLIES AND MATERIALS FOR MAGSAYSAY COLLEGE</t>
  </si>
  <si>
    <t>0JI0087-Furnishing of Labor including provision of equipment necessary to complete the Repair/Maintenance of DPWH Building Maintenance Main Building including Guard House, Zamboanga Sibugay 1st Distri</t>
  </si>
  <si>
    <t>INVITATION TO BID FOR THE IMPROVEMENT OF ALORAN WATER SUPPLY SYSTEM (BARANGAY OSPITAL-DULLAN)</t>
  </si>
  <si>
    <t>GF-20-02-00338B - PROCUREMENT OF PROJECTOR</t>
  </si>
  <si>
    <t>Rehabilitation of Extension/Satellite Office @ Brgy. Llavac, Real, Quezon</t>
  </si>
  <si>
    <t>ETHYL ALCOHOL</t>
  </si>
  <si>
    <t>MG-A5M20-094 ( GREASOLVE, DEGREASER )</t>
  </si>
  <si>
    <t>Purchase of 12 Units Portable Generator set</t>
  </si>
  <si>
    <t>One (1) Lot Information Technology</t>
  </si>
  <si>
    <t>Consolidated request for Curriculum implementation Division (CID) INSET 2020 on June 17, 2020</t>
  </si>
  <si>
    <t>Supply and Delivery of Four (4) Units Air Conditioning System for MSU-TCTO Graduate School</t>
  </si>
  <si>
    <t>TARPAULIN PRINT OUT</t>
  </si>
  <si>
    <t>ITB 20-0065 - Supply and Delivery of 1 unit X-Ray Machine.</t>
  </si>
  <si>
    <t>PURCHASE ROLLER BLINDS WITH INSTALLATION</t>
  </si>
  <si>
    <t>CONSTRUCTION OF CR AT 3RD FLOOR OF LEGISLATIVE BUILDING</t>
  </si>
  <si>
    <t>Agricultural Machinery and Equipment for subsidy/assistance to Local Government Units,  Other (Farmers Association/Cooperative)</t>
  </si>
  <si>
    <t>Negotiated Procurement of One (1) Unit Laptop and One (1) Unit Projector for DCA Agri-Farm Training School</t>
  </si>
  <si>
    <t>NEGOTIATED PROCUREMENT OF GLASS DOOR FOR MUNICIPAL HEALTH CENTER BUILDING</t>
  </si>
  <si>
    <t>Duplo DPA-A120 Duplicating Machine</t>
  </si>
  <si>
    <t>Concreting of Municipal Roads</t>
  </si>
  <si>
    <t>PROCUREMENT OF TRAVELLING RICE MILL  (FOR SAN ISIDRO RICE FARMER ASSOCIATION, BUB 2015)</t>
  </si>
  <si>
    <t>Repair / Improve  of Handwashing Facilities in Front of Canteen/ Fornt of Bldg. 3 &amp; 5 / Front of SSES and Front of Kinder</t>
  </si>
  <si>
    <t>OILS AND LUBRICANTS FOR MOTOR VEHICLES</t>
  </si>
  <si>
    <t>Meals and Snacks (Plant plant plant Program)</t>
  </si>
  <si>
    <t>UPGRADING AND INSTALLATION OF OCP SERVER'S LSI RAID CONTROLLER</t>
  </si>
  <si>
    <t>Procurement of Various Catering Services - PGO</t>
  </si>
  <si>
    <t>Supply Labor and Materials for the Cleaning of Airconditioning Units (indoor and outdoor) Samsung Brand</t>
  </si>
  <si>
    <t>Procurement of Various Supplies</t>
  </si>
  <si>
    <t>Request for quotation of general merchandise</t>
  </si>
  <si>
    <t>Diesel &amp; Lubricants</t>
  </si>
  <si>
    <t>Construction Materials and Supplies</t>
  </si>
  <si>
    <t>SUPPLY AND DELIVERY OF INTRAVENOUS FLUIDS</t>
  </si>
  <si>
    <t>request for quotation of appliances</t>
  </si>
  <si>
    <t>SUPPLY DELIVERY OF TVET TRAINING FOR CAREGIVING NC II</t>
  </si>
  <si>
    <t>Supply and Delivery of Maintenance Supplies and Tools</t>
  </si>
  <si>
    <t>Construction Of Multi-Purpose Building, Brgy. Decoliat, Maria Aurora, Aurora</t>
  </si>
  <si>
    <t>FURNISHING AND DELIVERY OF MEDICAL SUPPLIES FOR MHO</t>
  </si>
  <si>
    <t>Furnishing labor for: Irrigation of Canal, Brgy. Malaiba</t>
  </si>
  <si>
    <t>Procurement of Various Construction Supplies (for Repair), SAN JOSE CITY, NUEVA ECIJA</t>
  </si>
  <si>
    <t>S/D of (1) pc White Board 3x6 &amp; Forty (40) LI of 1BCT, PA (Php 150,000.00)</t>
  </si>
  <si>
    <t>Purchase of Disinfectants for ZDS Sports Facilities - Swimming Pool</t>
  </si>
  <si>
    <t>request for quotation of guns and weapon</t>
  </si>
  <si>
    <t>CONSTRUCTION OF PROPER KALEO DRAINAGE</t>
  </si>
  <si>
    <t>VARIOUS IT SUPPLIES</t>
  </si>
  <si>
    <t>631	bots	Larvicide (Good quality) Temephos 1 % Gr, 250grms, etc. PR # 65-20</t>
  </si>
  <si>
    <t>Purchase of Airconditioner 920-06-387)</t>
  </si>
  <si>
    <t>Purchase of Fuel (Diesel) –  Office of the Municipal Vice Mayor</t>
  </si>
  <si>
    <t>CONCRETING OF BARANGAY STREET, Brgy. 08, Can-avid Eastern Samar</t>
  </si>
  <si>
    <t>RE BID FOR SUPPLY OF MEDICINE &amp; MEDICAL SUPPLIES FOR WALK IN CLIENT</t>
  </si>
  <si>
    <t>CATTLE FATTENING PROJECT</t>
  </si>
  <si>
    <t>CONDUCT OF SUBDIVISION SURVEY FOR NEW LANDS/COLLECTIVE CLOA UNDER RSS 01 TO 11</t>
  </si>
  <si>
    <t>Sporting Goods for distribution to Outstanding pupils and students in public and private schools in Oriental Mindoro</t>
  </si>
  <si>
    <t>20JI0088-Furnishing of Labor including provision of equipment necessary to complete the Repair/Maintenance of DOTR Building Coast Guard Sub-Station Building, Malangas, Zamboanga Sibugay</t>
  </si>
  <si>
    <t>Tools and Materials for Training and Audit Purposes ( Agri Crop )</t>
  </si>
  <si>
    <t>FOR ACCOUNTING AND BUDGET OFFICE 2020-06-07E</t>
  </si>
  <si>
    <t>CONDUCT OF SOIL BEARING CAPACITY TEST FOR LGU  4 STOREYS MULTI-PURPOSE BUILDING</t>
  </si>
  <si>
    <t>Catering Services of Meals and Snacks - Php 14,350.00</t>
  </si>
  <si>
    <t>SUPPLY, DELIVERY &amp; INSTALLATION OF FIXED GLASS WITH PCW FRAME DOUBLE DOOR - GOVERNOR'S OFFICE</t>
  </si>
  <si>
    <t>Supply and Delivery of Construction Materials for the use of City Agriculture Office</t>
  </si>
  <si>
    <t>Construction of Solar Drying Pavement (Phase II)</t>
  </si>
  <si>
    <t>Purchase and Delivery of Construction Materials for the Improvement of Barangay Health Center, Brgy. Bonfal East, Bayombong, Nueva Vizcaya.</t>
  </si>
  <si>
    <t>NCSAT Fabrication of 20 unit office tables at SHS and water proofing and repair of partition at Guidance Office</t>
  </si>
  <si>
    <t>RE-INVITATION FOR THE 1.     Provision of Design Services  : Architectural Plan, Civil/Structural Plan, Electrical Plan, Sanitary/Plumbing Plan, Mechanical Plan, Electronic Plan (Duly Signed and seale</t>
  </si>
  <si>
    <t>Procurement of Various Housekeeping Supplies - ADMIN</t>
  </si>
  <si>
    <t>Construction of Multipurpose Bldg. (Mini-Gym)</t>
  </si>
  <si>
    <t>30 pax Heavy Snacks serve during Blessing &amp; Turn-Over of Road Rehabilitation (Pasil)</t>
  </si>
  <si>
    <t>CONSTRUCTION OF MULTI-PURPOSE HALL AT BRGY STA. CRUZ</t>
  </si>
  <si>
    <t>GF-20-02-00301B WALKIE TALKIE RADIO AND DSLR MICROPHONE</t>
  </si>
  <si>
    <t>Vehicle for use of Bulalacao Community Hospital (BCH)</t>
  </si>
  <si>
    <t>Supply and Delivery of Sanitizer and Deodorizer to be used for Disinfectant</t>
  </si>
  <si>
    <t>Installation of Street Lights along E-Poblacion - Manaba, Garcia-Hernandez, Bohol</t>
  </si>
  <si>
    <t>Procurement of Various Construction Supplies (for Maintenance), SAN JOSE CITY, NUEVA ECIJA</t>
  </si>
  <si>
    <t>DES -SPONGE BAR &amp; 17 OTHERS (3RD POSTING)</t>
  </si>
  <si>
    <t>ICT EQUIPMENTS OF CSU ANDREWS 2020-06-02E</t>
  </si>
  <si>
    <t>S/D of (300) bags Cement &amp; Forty-Thrre (43) LI of  C2C, PA (Php 903,339.22)</t>
  </si>
  <si>
    <t>S/D of (38) each Plywood Ordinary 1/4x4x8 &amp; Thirteen (13) LI of 1BCT, PA (Php 130,000.00)</t>
  </si>
  <si>
    <t>CONSTRUCTION OF MULTI-PURPOSE HALL AT BRGY SISIMON</t>
  </si>
  <si>
    <t>Supply and Installation of Various Furniture and Fixtures in Various Offices (Re-post)</t>
  </si>
  <si>
    <t>CONCRETING OF A. BONIFACIO ST. JCT QUIRINO ST. AND ROXAS ST.</t>
  </si>
  <si>
    <t>Cocreting of Gecobe Road</t>
  </si>
  <si>
    <t>RFQ-2020-06-02</t>
  </si>
  <si>
    <t>Purchase &amp; Delivery of Office Supplies &amp; Consumables for the Office of SPM Virginia C. Pe Benito</t>
  </si>
  <si>
    <t>Installation of Deepwell at Barangay Poblacion, Rosario, Cavite</t>
  </si>
  <si>
    <t>Procurement of Various Machinery and Equipment - PEO ENGINEERING</t>
  </si>
  <si>
    <t>CONSTRUCTION OF ISOLATION FACILITY BUILDING</t>
  </si>
  <si>
    <t>PURCHASE OF VARIOUS MATLS FOR OPCEN &amp; ISOLATION FACILITY  USE</t>
  </si>
  <si>
    <t>2	Unit	Portable Computer (Laptop), etc. PR # 381-20 rebid</t>
  </si>
  <si>
    <t>200	BOX	Amoxicillin Trihydrate 500mg/capsule, 100's, etc. PR # 78-20</t>
  </si>
  <si>
    <t>PURCHASE OF OFFICE EQUIPMENTS FOR THE USE OF MUNICIPAL MAYOR'S OFFICE</t>
  </si>
  <si>
    <t>RFQ (20-06-039) Various IT Supplies</t>
  </si>
  <si>
    <t>Request for Quotation for the Supply and Delivery of Goods, (ONE UNIT LAPTOP)</t>
  </si>
  <si>
    <t>Procurement of Submersible Pump, 2Hp, 230 volts, 60Hz</t>
  </si>
  <si>
    <t>NEGOTIATED PROCUREMENT FOR THE RENOVATION OF BARANGAY HALL</t>
  </si>
  <si>
    <t>4	units	Powered Speaker (portable), etc. PR # 469-20 rebid</t>
  </si>
  <si>
    <t>Purchase of Office Equipment Use of CTO Office Under P.R. No. 80-20-02-026</t>
  </si>
  <si>
    <t>ICT EQUIPMENTS OF CSU ANDREWS 2020-06-08E</t>
  </si>
  <si>
    <t>PACKAGE 2020:26:CONSTRUCTION OF ACCESS ROAD GOING TO CHICO RIVER</t>
  </si>
  <si>
    <t>INSTALLATION OF SOLAR STREETLIGHTS (Brgy. Poctol)</t>
  </si>
  <si>
    <t>GF-20-02-00300B - LABELING MACHINE</t>
  </si>
  <si>
    <t>PR#20-06-0282 Power Saw for CDRRMO Use</t>
  </si>
  <si>
    <t>Supply &amp; Delivery Office Supplies</t>
  </si>
  <si>
    <t>lot b) procurement of supplies and equipment for the full implementation of minimum health standards against covid 19</t>
  </si>
  <si>
    <t>Supply and Delivery of Supplies for the HRM Laboratory of SDSSU Tagbina Campus</t>
  </si>
  <si>
    <t>DES -ALUMINUM FOIL &amp; 13 OTHERS (3RD POSTING)</t>
  </si>
  <si>
    <t>Construction of Multipurpose Bldg.-Nanginan</t>
  </si>
  <si>
    <t>Purchase of Grocery Items (Stockpiling Commodities)</t>
  </si>
  <si>
    <t>Snacks -preferably Bread/Sandwich/Cupcake &amp; Bottled Water/Juice for 2-Day Staff Enhancement Program</t>
  </si>
  <si>
    <t>Repair/Rehabilitation of Roof Gutter in Municipal Building</t>
  </si>
  <si>
    <t>Purchase and Delivery of Fuels and Oils of the SBO</t>
  </si>
  <si>
    <t>20BE0088: REPAIR AND MAINTENANCE OF DRAINAGE STRUCTURES ALONG CALAMAGUI-ILAGAN ROAD  KO398+(-250)-KO399+(-200), KO398+220-KO398+320 (RS),KO399+400-KO399+515(LS), KO399+542.70(LS), KO400+000-KO400+050</t>
  </si>
  <si>
    <t>Rehabilitation of Post-Harvest Facility (PHF) at Brgy. Guinbanga-an, Laua-an, Antique</t>
  </si>
  <si>
    <t>Installation of TLE Laboratory with functional covid compliant food preparation facility</t>
  </si>
  <si>
    <t>Skimmed Milk Powder</t>
  </si>
  <si>
    <t>Tools, Supplies and Materials for Training Purposes ( Agri Crop )</t>
  </si>
  <si>
    <t>To be used in the Advocacy Campaign on Back to Basics: Scientific and Sustainable Livestock and Poultry Production with Post-training support</t>
  </si>
  <si>
    <t>CONCRETING OF ROAD,  SO. PULO BRGY. ZARAH, SAN LUIS, AURORA</t>
  </si>
  <si>
    <t>20GA0191-Re-Invitation-Construction of Revetment Wall (Flood Control) in Brgy. Poblacion Tangalan, Aklan Brgy. Poblacion, Tangalan, Aklan</t>
  </si>
  <si>
    <t>Procurement of Food Stuff PR # 2020-06-04-178</t>
  </si>
  <si>
    <t>Supply and Installation of Additional Partition at CIDA Training Area (Re-post)</t>
  </si>
  <si>
    <t>Supply and Delivery of various materials for various Barangays, Sipalay City, Negros Occidental</t>
  </si>
  <si>
    <t>Supply &amp; Delivery of Commercial Rice</t>
  </si>
  <si>
    <t>CONSTRUCTION OF SIKLING FOOTBRIDGE BARANGAY LATANG</t>
  </si>
  <si>
    <t>Procurement of Various Equipment and Furniture and Fixtures for Instructional use of BSHM - Talisay Campus</t>
  </si>
  <si>
    <t>DES -FOOD BLENDER &amp; 1 OTHER (3RD POSTING)</t>
  </si>
  <si>
    <t>DES -SPECIALIZED PRODUCT &amp; 3 OTHERS (5TH POSTING)</t>
  </si>
  <si>
    <t>Installation of Streetlights</t>
  </si>
  <si>
    <t>IB-05-0399-20HRND SUPPLY AND DELIVERY OF ESPRESSO MACHINE (HRND)</t>
  </si>
  <si>
    <t>Laptop</t>
  </si>
  <si>
    <t>BPSU:AC-DEAN Speech Laboratory Equipment BSA &amp; BTVTE</t>
  </si>
  <si>
    <t>PR#20-06-0281 Medical Supplies for 2nd quarter use of CDRRMO</t>
  </si>
  <si>
    <t>GF-20-02-00337B - Procurement of Speaker System</t>
  </si>
  <si>
    <t>Supply and Delivery of 12,150 Pieces Vitamin C</t>
  </si>
  <si>
    <t>Supply &amp; Delivery of Gasoline</t>
  </si>
  <si>
    <t>Procurement of Office Supplies and Consumables</t>
  </si>
  <si>
    <t>Labor &amp; materials for LED flatforma and multi-purpose trellis at Welcome Arch,Lucap Wharf, Lucap, Alaminos City</t>
  </si>
  <si>
    <t>Concreting of Gattac Road</t>
  </si>
  <si>
    <t>Provision of Repar and Maintenance of PENRO-Quezon Office Building for CY-2020</t>
  </si>
  <si>
    <t>Procurement of materials for Proj Batang SES- Mahalin, Ingatan, Iligtas sa COVID</t>
  </si>
  <si>
    <t>Hospital supplies and equipment</t>
  </si>
  <si>
    <t>Procurement of Supplies for the use of EEDD-Hotel/Resort Operations, Kalibo, Aklan/ITB no: 2020-352</t>
  </si>
  <si>
    <t>Construction of Isolation Unit</t>
  </si>
  <si>
    <t>MATERIALS FOR THE MAINTENANCE OF DUMPTRUCKS</t>
  </si>
  <si>
    <t>Supply and Delivery of Batteries</t>
  </si>
  <si>
    <t>PROCUREMENT OF MEDICAL EQUIPMENT</t>
  </si>
  <si>
    <t>OFFICE SUPPLIES MOOE 2020 2ND QUARTER</t>
  </si>
  <si>
    <t>Supply &amp; Delivery of Fertilizers Lot 1</t>
  </si>
  <si>
    <t>Supply &amp; Delivery of Garden Tool &amp; Equipment Lot 3</t>
  </si>
  <si>
    <t>UPPER MASAWANG &amp; SAN JOSE ES - Office Supplies and Equipment</t>
  </si>
  <si>
    <t>Procurement of vanitorial and medical supplies to be used by various offices at  Legislative department,Alaminos City</t>
  </si>
  <si>
    <t>Supply &amp; Delivery of Seeds Lot 2</t>
  </si>
  <si>
    <t>Procurement of Goods</t>
  </si>
  <si>
    <t>PR#20-06-0283 Continuous Form for City Waterworks Office Use</t>
  </si>
  <si>
    <t>Supply and Delivery of Tires - Motorpool</t>
  </si>
  <si>
    <t>Procurement/Printing of School ID</t>
  </si>
  <si>
    <t>Supply and Delivery of Welding Rods and Paints (Project”)</t>
  </si>
  <si>
    <t>Delivery of labor and materials for the project of Rehabilitation of Foot bridge at Brgy. San Isidro, Bay,  Laguna</t>
  </si>
  <si>
    <t>SUPPLY AND DELIVERY OF 1,709 SETS GROCERY PACKS FOR PA-BIRTHDAY NI LOLO UG LOLA</t>
  </si>
  <si>
    <t>20BE0089: CLUSTER: (1) REPAIR/MAINTENANCE OF ALINGUIGAN 2ND FLOOD CONTROL (2) REPAIR/MAINTENANCE OF UGAD FLOOD CONTROL, ALINGUIGAN 2ND, CITY OF ILAGAN, ISABELA  &amp; CABAGAN (UGAD, SAN PABLO), ISABELA</t>
  </si>
  <si>
    <t>20BC0157 re-adv.-Local Infrastructure Program-Local Roads and Bridges-Concreting of Road Brgy. Balatubat, Calayan, Cagayan</t>
  </si>
  <si>
    <t>Hardware materials for Construction of Handwashing Facility Repair of Function Hall,Repainting of flower boxes of Trento West CES</t>
  </si>
  <si>
    <t xml:space="preserve">20BC0212-Repair/Improvement of carriageway along Manila North road and Claveria-Diabalio-Luzon Cagayan boundary road                                                                                    </t>
  </si>
  <si>
    <t>Supply &amp; Delivery of Newspaper</t>
  </si>
  <si>
    <t>BPSU:BC-Supply -Janitorial Supplies</t>
  </si>
  <si>
    <t>20GA0195-Re-Invitation-Concreting of Barangay Road Brgy. Dumatad, Tangalan, Aklan</t>
  </si>
  <si>
    <t>SUPPLIES AND MATERIALS FOR IMPROVEMENT ROAD,SIDEWALK/PATHWAY &amp; REPLACEMENT MANHOLE COVER</t>
  </si>
  <si>
    <t>SUPPLY AND DELIVERY OF FUEL (DIESEL &amp; GASOLINE) FOR THE CITY ENGINEER’S OFFICE</t>
  </si>
  <si>
    <t>Procurement of various IT equipment/ accesories to be used at the City Accounting Office, Alaminos City</t>
  </si>
  <si>
    <t>Supply, Delivery and Installation of Video Conferencing License Subscription for Philippine Normal University</t>
  </si>
  <si>
    <t>Purchase of Payloader - LGU-Maasin, Iloilo</t>
  </si>
  <si>
    <t>Supply and Delivery of  IT Equipment - IPTBM</t>
  </si>
  <si>
    <t>PURCHASE AND DELIVERY OF ADDITIONAL CAMERA, FIBER OPTIC CABLES &amp; OTHER MATERIALS</t>
  </si>
  <si>
    <t>20GGF0015 – Procurement  of Spare parts for use in printer INEO+227 of Administrative Section, DPWH Iloilo 1st District Engineering Office.</t>
  </si>
  <si>
    <t>20BC0205-Repair/Maintenance of DOJ Building Regional Trial Court Main Building</t>
  </si>
  <si>
    <t>Duplo DPA-A120 Duplicating Machine-SHS</t>
  </si>
  <si>
    <t>STREETLIGHT SUPPLIES AND MATERIALS</t>
  </si>
  <si>
    <t>20HN0083 (Re-advertisement) -LP: Construction/Repair/ Rehabilitation/Improvement of  Various Infrastructure including Local Projects - Local Roads  and Bridges - Local Roads - Construction of Local Ro</t>
  </si>
  <si>
    <t>SUPPLY AND DELIVERY OF VARIOUS CONSTRUCTION MATERIALS FOR TRUCK GARAGE AND BODEGA</t>
  </si>
  <si>
    <t>DICT WVRO Tech4ed Project</t>
  </si>
  <si>
    <t>CONSTRUCTION OF CONCRETE PEDESTAL FOR SOLAR LAMP AT LIMAY ELEMENTARY SCHOOL</t>
  </si>
  <si>
    <t>SOLID WASTE</t>
  </si>
  <si>
    <t>INSTALLATION OF STREET LIGHTS IN PUROK 1 AND 3, BARANGAY MAHABA</t>
  </si>
  <si>
    <t>CONCRETING OF FARM-TO-MARKET ROAD AT SITIO PULO, MAGALLANES, CAVITE</t>
  </si>
  <si>
    <t>Request for Quotation (HMD-2020-02-0115 Safety Equipment)</t>
  </si>
  <si>
    <t>COMPUTER EQUIPMENT AND PARTS</t>
  </si>
  <si>
    <t>COMPLETION OF COMMERCIAL BUILDING - GOA</t>
  </si>
  <si>
    <t>SUPPLIES AND MATERIALS FOR URBAN GREENING</t>
  </si>
  <si>
    <t>20GGF0016 – Procurement  of Global Navigation Satellite System (GNSS) Equipment (1 base, 2 rovers) with Complete Accessories for use in the Planning and Design Section, Iloilo 1st District Engineering</t>
  </si>
  <si>
    <t>Procurement of 1 unit Photocopier machine to be used at City Accounting Office, Alaminos City</t>
  </si>
  <si>
    <t>IMPROVEMENT OF TAMAC DALIT FARM TO MARKET ROAD</t>
  </si>
  <si>
    <t>20ID0074	- Concreting of Sitio Diyo to Sitio Kapitugan Brgy. Libo FMR,Brgy. Libo,Carigara,Leyte</t>
  </si>
  <si>
    <t>REPAIR WORKS AT SAINT FRANCIS NATIONAL HIGH SCHOOL (JUNIOR)</t>
  </si>
  <si>
    <t>20ID0075	- Repair/ Rehabilitation of Damaged Concrete Pavement along Dulag-Julita-Burauen Road, K0946+000-K0947+500 with exceptions</t>
  </si>
  <si>
    <t>Purchase of 50 units Dual-Band Wifi Gigabit Router.</t>
  </si>
  <si>
    <t>Procurement of Solane for the use of Dr. Rafael S. Tumbokon Memorial Hospital-EEDD, Kalibo, Aklan</t>
  </si>
  <si>
    <t>GF-20-02-00030B-VARIOUS SUPPLIES (INTERNET CABLE AND OTHERS)</t>
  </si>
  <si>
    <t>IMPROVEMENT OF PLARIDEL CIVIC CENTER - PHASE I</t>
  </si>
  <si>
    <t>Construction of Permanent Danger Zone Warning Signage (Cluster 2), Province of Albay PR No. (300-20-05-0399)</t>
  </si>
  <si>
    <t>Supply Delivery and Installation of Thermal Camera</t>
  </si>
  <si>
    <t>R/M FOR OFFICE BUILDING SUPPLIES AND MATERIALS</t>
  </si>
  <si>
    <t>23 TUB DISINFECTING FLUID, HOSPITAL GRADE 5L/1 GAL.</t>
  </si>
  <si>
    <t>MAINTENANCE OF CCTV @ POBLACION #6, AMADEO, CAVITE</t>
  </si>
  <si>
    <t>Procurement of Drugs and Medicines</t>
  </si>
  <si>
    <t>Hardware materials for Extension of Pathway, Enhancement of School Landscaping, Repair of Water Pipes of Trento WCES</t>
  </si>
  <si>
    <t>CONDUCT OF SUBDIVISION SURVEY FOR NEW LANDS/COLLECTIVE CLOA UNDER RSS 12,13 &amp;14</t>
  </si>
  <si>
    <t>Contract of Service for the Referees during the 2019-2020 1st Inter-Barangay Basketball Tournament of the Sangguniang Kabataan Federation</t>
  </si>
  <si>
    <t>R/M SPAREPART OF BARANGAY VEHICLES</t>
  </si>
  <si>
    <t>Installation and Rehabilitation of Street Lighting facilities of Barangay San Blas Paoay, I.N.</t>
  </si>
  <si>
    <t>Procurement of Office Supplies - 1</t>
  </si>
  <si>
    <t>Supply and Delivery of Aircondition Split Type Inverter 2.5HP</t>
  </si>
  <si>
    <t>GF-20-02-00061B- INK BOTTLE</t>
  </si>
  <si>
    <t>Construction of Handwashing &amp; Improvement of K-G6 classrooms and school pergola of Cuevas ES</t>
  </si>
  <si>
    <t>Procurement of Various Office Supplies - PAGSO</t>
  </si>
  <si>
    <t>Supply and Delivery of Motorcycle</t>
  </si>
  <si>
    <t>Cocoa Powder</t>
  </si>
  <si>
    <t>RFQ (20-06-059) Various Laboratory Supplies and Reagents</t>
  </si>
  <si>
    <t>Repair of Water Pump</t>
  </si>
  <si>
    <t>Repair and Maintenance of Machineries and Equipment at Calasiao, Pangasinan</t>
  </si>
  <si>
    <t>Meals &amp; snacks to be served to culling operation team on the culling of hogs at Brgy. San Antonio,Dulacac,Cayucay &amp; Bued, Alaminos City</t>
  </si>
  <si>
    <t>Purchase of Medicines and Supplies for MHO PADADA</t>
  </si>
  <si>
    <t>Supply and Delivery of Doorknob, Heavy Duty</t>
  </si>
  <si>
    <t>CONCRETING OF ROAD, PUROK I, DITEKI, SAN LUIS, AURORA</t>
  </si>
  <si>
    <t>PROCUREMENT OF TECHNICAL AND SCIENTIFIC EQUIPMENT FOR RESEARCH AND DEVELOPMENT ACTIVITIES</t>
  </si>
  <si>
    <t>PBD Construction of 105 meters Dona Josephina H. Cerilles Ave. Phase 11</t>
  </si>
  <si>
    <t>Procurement of Printer Ink</t>
  </si>
  <si>
    <t>Laptop-SHS</t>
  </si>
  <si>
    <t>CONSTRUCTION OF FENCE</t>
  </si>
  <si>
    <t>RFQ-Water Sample Analysis thwrdec</t>
  </si>
  <si>
    <t>Supply and Delivery of Gloves, Clean Large Size, natural rubber latex, smooth surface, beaded cuff, high strength and elasticity, Powder Free 100/Box</t>
  </si>
  <si>
    <t>SUPPLY &amp; DELIVERY OF 2 UNITS COMPUTER DESKTOPS</t>
  </si>
  <si>
    <t>Office supplies</t>
  </si>
  <si>
    <t>Procurement of Food Stuff</t>
  </si>
  <si>
    <t>Request for Quotation (RDTD-2019-11-0887 PVC Pipe)</t>
  </si>
  <si>
    <t>2nd posting for School Stage</t>
  </si>
  <si>
    <t>Supply Labor and Materials for the Fabrication of Panel Box Set for NSC Electromagnetic Flow Meter</t>
  </si>
  <si>
    <t>Procurement of Navigation Equipment under the Hybrid Trimaran Project</t>
  </si>
  <si>
    <t>DARF02.QES.115.20-05-018 CORN-LIVESTOCK INTEGRATION PROJECT</t>
  </si>
  <si>
    <t>Purchase of Multi-Media Projector (heavy duty) PR No. (100(01)20-04-0896)</t>
  </si>
  <si>
    <t>3-Phase Primary Line Extension and Transformer Installation (3x50 KVA BN)</t>
  </si>
  <si>
    <t>PR 20-06-0650</t>
  </si>
  <si>
    <t>PR 20-06-0648</t>
  </si>
  <si>
    <t>20GA0199-Re-Invitation-Concreting of Barangay Road Brgy. Tondog, Tangalan, Aklan</t>
  </si>
  <si>
    <t>Procurement of Water Meters for Pintuyan Water Supply System</t>
  </si>
  <si>
    <t>Procurement of Security Services of six (6) security guards for the period July 1, 2020 to December 31, 2020</t>
  </si>
  <si>
    <t>PRINTING OF UNIVERSITY YEARBOOK (COCOON 2018)</t>
  </si>
  <si>
    <t>Procurement of 100 pieces Leatherette cover wiht air vent</t>
  </si>
  <si>
    <t>Procurement of CCTV Equipment and Accessories under the Hybrid Trimaran Project</t>
  </si>
  <si>
    <t>Supply of Food</t>
  </si>
  <si>
    <t>Supply and Delivery of Outer Tire with Inner Tube and Flap.</t>
  </si>
  <si>
    <t>S &amp; D of Laboratory Supplies (PHO)</t>
  </si>
  <si>
    <t>Procurement of Various IT Supplies  - ADH</t>
  </si>
  <si>
    <t>Material for the construction/repair of school building and other structures.</t>
  </si>
  <si>
    <t>RFQ no. 81-2020-G (1 canvass) Hospital/Medical Equipment</t>
  </si>
  <si>
    <t>IP RADIO</t>
  </si>
  <si>
    <t>Water Service connection</t>
  </si>
  <si>
    <t>Purchase of Supplies and Equipment for BPAT</t>
  </si>
  <si>
    <t>DARF02.QES.115.20-06-014 IMPROVEMENT OF POULTRY HOUSE FOR NATIVE CHICKEN</t>
  </si>
  <si>
    <t>RFQ (20-06-031) Various Information Technology Supplies</t>
  </si>
  <si>
    <t>Request for Quotation (HMD-2020-01-0042 Hardware supplies)</t>
  </si>
  <si>
    <t>Invitation to Apply for Eligibility and to Bid for IMPROVEMENT OF BGRY. POBLACION LEVEL II WATER SYSTEM, BALENO, MASBATE</t>
  </si>
  <si>
    <t>Purchase of Laptop for Sangguniang Bayan Office</t>
  </si>
  <si>
    <t>RFQ no. 82-2020-G (1 canvass) Hospital/Medical Equipment</t>
  </si>
  <si>
    <t>(GO-PDRMMO) REQUEST FOR QUOTATION (RFQ)  For the Procurement 1 Lot Digital VHF Base Radio (20 units) For the Governor’s Office – Provincial Disaster Risk Reduction Management Office--1.3M</t>
  </si>
  <si>
    <t>VARIOUS SUPPLIES FOR REPAIR OF DRAINAGE COVER</t>
  </si>
  <si>
    <t>PROCUREMENT OF HRIS AND PAYROLL SYSTEM</t>
  </si>
  <si>
    <t>CONCRETING OF BURGOS – QUIRINO PROVINCIAL ROAD @ BURGOS, ISABELA</t>
  </si>
  <si>
    <t>S/D of (52) each Plain Panels &amp; Twenty-One (21) LI of SMAC/AVNR, PA (Php 960,640.00)</t>
  </si>
  <si>
    <t>Supplies and Materials for Disinfection and Protection Against Viruses</t>
  </si>
  <si>
    <t>Faculty Room Repair Materials &amp; Supplies</t>
  </si>
  <si>
    <t>CONSTRUCTION OF EVACUATION CENTER (COMPLETION) @ MUNICIPAL COMPOUND, BURGOS, ISABELA</t>
  </si>
  <si>
    <t>Two (2) Lots Supply and Delivery of Stock Office Supplies under ITB No. SV20-06-003ILO for Lot-1</t>
  </si>
  <si>
    <t>Extension of the Provincial Treasury Office, Brgy. Suklayin, Baler, Aurora</t>
  </si>
  <si>
    <t>Procurement of Target Client List booklet</t>
  </si>
  <si>
    <t>IS Equipment</t>
  </si>
  <si>
    <t>REHABILITATION OF BREAKWATER (SABANG) - BRGY. SABANG, VINZONS, CAM. NORTE</t>
  </si>
  <si>
    <t>Procurement of Various Catering Services - OVG/OSP</t>
  </si>
  <si>
    <t>WIRELESS LAST MILE CONNECTIVITY</t>
  </si>
  <si>
    <t>RFQ no. 83-2020-G (1 canvass) Vehicle Parts &amp; Accesories</t>
  </si>
  <si>
    <t>REPAIR SUPPLIES AND MATERIALS FOR DIVISION OFFICE</t>
  </si>
  <si>
    <t>Procurement of supply and delivery of arm sleeve and paddy boots</t>
  </si>
  <si>
    <t>PERSONAL PROTECTIVE</t>
  </si>
  <si>
    <t>Supply &amp; Delivery of Surveying Instruments for the use Zambo. Norte RSO</t>
  </si>
  <si>
    <t>2020-06-0099 Supply and installation of Additional CCTV Cameras with LED TV Monitor for Dormitory and EMU Bldg of DOH - Drug Abuse Treatment and Rehabilitation Ceter, Centro San Antonio, City of Ilaga</t>
  </si>
  <si>
    <t>Purchase of Desktop Computer and Printer  for use at JBDAPH Bldg. 1 &amp; 2 PR No. (100(01)20-05-1121)</t>
  </si>
  <si>
    <t>Purchase of construction materials and supplies with labor on pakyaw or takay basis supplied by local laborers for the Repair/Improvement/Construction of Metro Sindangan Canal Phase 2</t>
  </si>
  <si>
    <t>PBD cONST.IMPROVEMENT OF LAKE WOOD ECOLOGICAL PARK AND MRF 2020 CONSTRUCTION OF PERIMETER FENCE</t>
  </si>
  <si>
    <t>PR#05-0003</t>
  </si>
  <si>
    <t>KC : 24	can	AIR FRESHENER UP TO 9	roll	TWINE PLASTIC;OFFICE SUPPLIES AND CONSUMABLES FOR THE USE OF KC -PAMANA FOR RPMO STAFF</t>
  </si>
  <si>
    <t>IMPROVEMENT OF BARANGAY ROAD</t>
  </si>
  <si>
    <t>Outside labor for Siphoning of Sweptic tank:</t>
  </si>
  <si>
    <t>(NVPH) REQUEST FOR QUOTATION (RFQ)  For the Procurement of Desktop Computer, Laptop &amp; Scanner For the Nueva Vizcaya Provincial Hospital--140,000.00</t>
  </si>
  <si>
    <t>Office Supplies and Other COnsumables</t>
  </si>
  <si>
    <t>Supply and Delivery of Various IT Training Tools &amp; Equip. (2)</t>
  </si>
  <si>
    <t>Equipment for Training Audit Purposes ( Agri Crop )</t>
  </si>
  <si>
    <t>Construction Materials to be used for Backfill of Solar Dryer infront of Barangay Hall at Brgy. Dorongan Sawat, Mangatarem, Pangasinan</t>
  </si>
  <si>
    <t>IEC MATERIALS</t>
  </si>
  <si>
    <t>REHABILITATION OF PUBLIC MARKET - POBLACION I, VINZONS, CAM. NORTE</t>
  </si>
  <si>
    <t>SUPPLY AND DELIVERY OF SUBMERSIBLE PUMP AND MOTOR</t>
  </si>
  <si>
    <t>RFQ no. 84-2020-G (1 canvass) Hospital/Medical Equipment</t>
  </si>
  <si>
    <t>Construction of Pipe Support that was damaged at Alegre Spring Source, Brgy. Alegre, Bansalan, Davao del Sur</t>
  </si>
  <si>
    <t>(GO-PDRRMO) REQUEST FOR QUOTATION (RFQ)  For the Procurement 1 unit ADF High Speed Scanner For the Governor’s Office – Provincial Disaster Risk Reduction Management Office--45,000.00</t>
  </si>
  <si>
    <t>Influenza Polyvalent Vaccine injection 0.5ml suspension in a prefilled or ampule (IM) (adult)</t>
  </si>
  <si>
    <t>RFQ (20-06-054) Oxygen</t>
  </si>
  <si>
    <t>Purchase of construction materials for water treatment plant shedhouse</t>
  </si>
  <si>
    <t>RESCUE VEHICLE FOR EMERGENCY RESPONSE</t>
  </si>
  <si>
    <t>CULTURAL ACTIVITY</t>
  </si>
  <si>
    <t>Procurement of One Lot Job for the repair &amp; materials for the use of COA-Service Vehicle (SHN-402), Kalibo, Aklan</t>
  </si>
  <si>
    <t>RFQ no. 85-2020-G (1 canvass)</t>
  </si>
  <si>
    <t>BPSU: AC-DEAN Layer Production</t>
  </si>
  <si>
    <t>Purchase of Toiletries for the Provision of Farmers Haven Amenities</t>
  </si>
  <si>
    <t>Installation of Three (3) Air Conditioning units at Provincial Youth and Development Office at APSEMO Compound, Old Albay District Legazpi City PR No. (100(01)20-05-1128)</t>
  </si>
  <si>
    <t>Maintenance of Municipal Vehicle Plate No. CT 1208</t>
  </si>
  <si>
    <t>Purchase of Supplies and Materials for the Rehabilitation of Child Development Center cum Evacuation Center</t>
  </si>
  <si>
    <t>installation of fiber glass board and lighting of basketball court</t>
  </si>
  <si>
    <t>Two (2) Lots Supply and Delivery of Stock Office Supplies under ITB No. SV20-06-003ILO for Lot-2</t>
  </si>
  <si>
    <t>PURCHASE/DELIVERY OF 1 UNIT BACKHOE</t>
  </si>
  <si>
    <t>S &amp; D of Session Table (SPO)</t>
  </si>
  <si>
    <t>GAD WOMEN'S MONTH</t>
  </si>
  <si>
    <t>Supply and Delivery of Construction Materials used for Sta. Lucia I Elem. School, Sta. Lucia, Sablayan</t>
  </si>
  <si>
    <t>Provision of Eye Glasses for Senior Citizen</t>
  </si>
  <si>
    <t>Use for the repair of the Community Center Dressing Room</t>
  </si>
  <si>
    <t>GOODS-OE-20-2020</t>
  </si>
  <si>
    <t>PR NO. 0620-010</t>
  </si>
  <si>
    <t>PURCHASE OF FURNITURE AND FIXTURES FOR CRCF OTHER MOOE FOR 2020</t>
  </si>
  <si>
    <t>2020-06-0095 Supply and delivery of 6 feet Folding Table of DOH-Drug Abuse Treatment Rehabilitation Center, Centro San Antonio, City of Ilagan, Isabela</t>
  </si>
  <si>
    <t>Construction of Concrete Pathway</t>
  </si>
  <si>
    <t>OFFICE EQUIPMENT SUPPLIES &amp; CONSUMABLES</t>
  </si>
  <si>
    <t>(PAO) 2ND REQUEST FOR QUOTATION (RFQ)  For the Procurement of Desktop Computer, Laptop &amp; Scanner For Provincial Agricultural Office--160,000.00</t>
  </si>
  <si>
    <t>Construction of Multi-Purpose Building (Phase II), Brgy. Dibut,San Luis, Aurora</t>
  </si>
  <si>
    <t>Office Equipment</t>
  </si>
  <si>
    <t>Cyclophosphamide powder 200mg. (IV)</t>
  </si>
  <si>
    <t>OFFICE SUPPLIES</t>
  </si>
  <si>
    <t>Purchase of Solar Lights w/ GI Pipe</t>
  </si>
  <si>
    <t>MATERIALS FOR THE CONSTRUCTION OF PATHWAY AT BARANGAY LLAVAC.</t>
  </si>
  <si>
    <t>Invitation to Apply for Eligibility and to Bid for IMPROVEMENT OF VALDEMORO SPORTS COMPLEX: CONSTRUCTION OF MUSIC ROOM</t>
  </si>
  <si>
    <t>20GA0054-Construction of Bridge (Local Bridge) from Malandayon to  Lilo-an in Brgy. Malandayon, Malinao, Aklan Brgy. Malandayon, Malinao, Aklan</t>
  </si>
  <si>
    <t>PROPOSED RENOVATION OF CAMPUS PLANNING  DEVELOPMENT AND MAINTENANCE OFFICE UNIVERSITY OF THE PHILIPPINES MANILA</t>
  </si>
  <si>
    <t>ITB FOR CONSTRUCTION MATERIALS TO BE USED FOR CONSTRUCTION OF 109 METERS IRRIGATION CANAL AT P-6, KABUNGA-AN BRGY. HIMAMA-UG, TSDN.</t>
  </si>
  <si>
    <t>Request for Quotation (NLPRSD-2020-06-0292 Hydrogen Gas)</t>
  </si>
  <si>
    <t>Purchase of construction materials for water treatment chlorinator house</t>
  </si>
  <si>
    <t>Supply and Delivery of Construction Materials used for Ligaya Elem. School, Ligaya, Sablayan</t>
  </si>
  <si>
    <t>Purchase of Wipeout and Odoriser, deodorizer to be used at the City Sanitary Landfill.</t>
  </si>
  <si>
    <t>Janitorial Supplies</t>
  </si>
  <si>
    <t>RET</t>
  </si>
  <si>
    <t>Supply, delivery and Installation of Airconditioning Unit (Split-Type, Inverter)</t>
  </si>
  <si>
    <t>REQUEST FOR QUOTATION: PROCUREMENT OF CELLULAR PHONES FOR OFFICE USE</t>
  </si>
  <si>
    <t>PROVISION OF MATERIALS FOR THE REPAIR OF 1 UNIT PRINTER (R&amp;M-ICT EQUIPMENT)</t>
  </si>
  <si>
    <t>20CB-GSC-325 PURCHASE OF PURIFIED DRINKING WATER</t>
  </si>
  <si>
    <t>(GO-Exec/Admin) REQUEST FOR QUOTATION (RFQ)  For the Procurement of 3,420 pax Meals &amp; Snacks, etc. II For the Governor’s Office – Executive &amp; Administrative Division--1,301,750.00</t>
  </si>
  <si>
    <t>Purchase of Water Pump for additional water supplies at Albay Provincial Jail PR No. (100(01)20-01-0130)</t>
  </si>
  <si>
    <t>Construction of Multi-Purpose Building and Stage, Brgy. Bangco, Maria Aurora, Aurora</t>
  </si>
  <si>
    <t>Procurement of Books - NIPSC Estancia Campus</t>
  </si>
  <si>
    <t>One (1) Lot – Operation and Maintenance Services of Air-conditioning System at ITIOD Data Center, BSP Head Office, as per BSP Terms of Reference</t>
  </si>
  <si>
    <t>1 unit photocopier</t>
  </si>
  <si>
    <t>REQUEST FOR QUOTATION: PROCUREMENT OF OFFICE SUPPLIES NOT AVAILABLE IN PROCUREMENT SERVICE</t>
  </si>
  <si>
    <t>Purchase of construction materials for water treatment control house</t>
  </si>
  <si>
    <t>Concreting of Barangay Road - Brgy. San Blas, Pilar, Capiz</t>
  </si>
  <si>
    <t>Lease of Office and IT Equipment</t>
  </si>
  <si>
    <t>PURCHASE OF CONSTRUCTION MATERIALS FOR TALACOGON CES</t>
  </si>
  <si>
    <t>Procurement of Various Equipment for Teleconferencing</t>
  </si>
  <si>
    <t>Supply and Delivery of Construction Materials used for Salvacion Elem. School,Batongbuhay Sablayan</t>
  </si>
  <si>
    <t>20CB-GSC-326 PURCHASE OF BLOOD CELL COUNTER</t>
  </si>
  <si>
    <t>Nephrostomy catheter for percutaneous</t>
  </si>
  <si>
    <t>EMERGENCY PURCHASE FOR CALAMITY</t>
  </si>
  <si>
    <t>Supplly and Delivery of Office Equipment @Brgy Darasa, Tanauan City, Batangas</t>
  </si>
  <si>
    <t>RFQ No.06-00652-19 SUPPLY AND DELIVERY OF VARIOUS OFFICE SUPPLIES</t>
  </si>
  <si>
    <t>Purchase and Delivery Air-conditioning Unit for Mayor’s Office Use</t>
  </si>
  <si>
    <t>PURCHASE OF DUPLO COMSUMABLES</t>
  </si>
  <si>
    <t>S &amp; D of ICT Equipment (DepEd)</t>
  </si>
  <si>
    <t>RFQ (20-06-052) Entera Nutrition - Pediatric POlymeric 400g 1-3 years old</t>
  </si>
  <si>
    <t>Diploma Printing</t>
  </si>
  <si>
    <t>For CSS NC II Instructional Materials</t>
  </si>
  <si>
    <t>SUPPLY AND DELIVERY OF TEACHER'S TABLES, OFFICE TABLES AND CHAIRS FOR NEWLY HIRED PSHS CALABARZON REGION CAMPUS FACULTY AND STAFF</t>
  </si>
  <si>
    <t>PURCHASE OF OFFICE EQUIPMENT FOR MSWD, MDRRMO AND COVID CENTER</t>
  </si>
  <si>
    <t>For the Construction of Drainage Line Canal at Nalbagan Street, Bugallon, Pangasinan</t>
  </si>
  <si>
    <t>EMERGENCY PURCHASE FOR CALAMITY 2ND WAVE</t>
  </si>
  <si>
    <t>20CB-GSC-327 PURCHASE OF ENGINE OIL FOR MOTOR VEHICLE</t>
  </si>
  <si>
    <t>JSES ICT SUPPLY</t>
  </si>
  <si>
    <t>Supply and Delivery of Construction Materials used for Repair of PNP-HPG Office</t>
  </si>
  <si>
    <t>SUPPLY AND DELIVERY OF OFFICE SUPPLIES FOR THE QUARANTINE PASS PRODUCTION</t>
  </si>
  <si>
    <t>EMERGENCY PURCHASE FOR CALAMITY (MEDICINES)</t>
  </si>
  <si>
    <t>RFQ-Waste Water Analysis thwrdec</t>
  </si>
  <si>
    <t>RFQ no. 86-2020-G (1 canvass) Furniture</t>
  </si>
  <si>
    <t>Proposed Construction of Market Fire Exit Stairs(additional) phase II at Legazpi City Public Market</t>
  </si>
  <si>
    <t>Supply and Delivery of Medicine for 2nd Quarter Use</t>
  </si>
  <si>
    <t>Procurement of Fuel Supply for the Government Vehicle Transportation Used</t>
  </si>
  <si>
    <t>BPSU:AC-DEAN Laboratory of 3 Programs</t>
  </si>
  <si>
    <t>Purchase of Motorcycle for Engineering, OBO, BAC, Waterworks offices.</t>
  </si>
  <si>
    <t>JO NO. 0620-0016</t>
  </si>
  <si>
    <t>Printing of Tarpaulins</t>
  </si>
  <si>
    <t>REPOSTING  FOR MACHINERY  &amp;  EQUIPMENT OUTLAY FOR THE PURCHASE OF ONE UNIT NURSING SIMULATOR FOR THE USE OF COLLEGE OF HEALTH SCIENCES</t>
  </si>
  <si>
    <t>Invitation to Apply for Eligibility and to Bid for INSTALLATION OF LIGHTINGS FOR STORM-SURGE-PREVENTING BREAKWATER AND SEA WALL    (PHASE II)</t>
  </si>
  <si>
    <t>PROCUREMENT OF TIRES</t>
  </si>
  <si>
    <t>PBD Construction of Dagum-Tiwales Road(Road Opening)</t>
  </si>
  <si>
    <t>Supply and Delivery of Live Animals and feeds</t>
  </si>
  <si>
    <t>SUPPLY AND DELIVERY OF DESKTOP COMPUTER AND PRINTER FOR MAYOR'S OFFICE</t>
  </si>
  <si>
    <t>PROCUREMENT OF OFFICE SUPPLIES FOR MUNICIPAL HEALTH OFFICE</t>
  </si>
  <si>
    <t>Concreting of Barangay Road - Brgy. Tabun-acan, Pilar, Capiz</t>
  </si>
  <si>
    <t>REPAIR &amp; MAINTENANCE OF PERIMETER FENCES</t>
  </si>
  <si>
    <t>20GA0203-Construction of Bridge (Local Bridge) in Brgy. Laguinbanua, Ibajay, Aklan  Brgy. Laguinbanua, Ibajay, Aklan</t>
  </si>
  <si>
    <t>S &amp; D of Veterinary Drugs and Supplies (PVO)</t>
  </si>
  <si>
    <t>CRFPSP PROJECTS</t>
  </si>
  <si>
    <t>Supply and Delivery of Office Supplies and Housekeeping Supplies for PSWD Mamburao, and PSWD Sub-Office in San Jose and Sablayan</t>
  </si>
  <si>
    <t>A DIVERSIFIED FARMING LIVELIHOOD PROJECT OF TULTUGAN FARMERS PRACTITIONERS ASSOCIATION- CALAPE, BOHOL</t>
  </si>
  <si>
    <t>All purpose cream, 250ml, tetra pack</t>
  </si>
  <si>
    <t>Construction Supplies</t>
  </si>
  <si>
    <t>Supply and Delivery of Materials for the Fabrication of Spool, Bend Connections and Exposed Steel Pipe for Silay City Water District</t>
  </si>
  <si>
    <t>Purchase of Fertilizer</t>
  </si>
  <si>
    <t>PROCUREMENT OF MEDICAL SUPPLIES AND EQUIPMENT (ITB No. 2020-154)-(bpmc)</t>
  </si>
  <si>
    <t>BPSU:AC-DEAN Laboratory of Broiler Production</t>
  </si>
  <si>
    <t>For COVID-19 Preparedness</t>
  </si>
  <si>
    <t>20CB-GSC-329 PURCHASE OF MATERIALS FOR SLAUGHTERHOUSE</t>
  </si>
  <si>
    <t>P.R NO. 100-2020-03-0323 PURCHASE OF AGRICULTURAL MATERIALS USE FOR RE-FORESTATION</t>
  </si>
  <si>
    <t>JO NO. 0620-0017</t>
  </si>
  <si>
    <t>Office Supplies for Engineering Office and Works for Second Quarter 2020</t>
  </si>
  <si>
    <t>Representation Expenses (AFPPS-PhP160,875.00)</t>
  </si>
  <si>
    <t>Rebidding of Office Supplies and Materials of the Schools Division of Iloilo City</t>
  </si>
  <si>
    <t>RFQ No. 20-0543 Shoping B - Supply and Delivery of 1st Quarter FY 2020 Office Supplies for DSWD Legal Service</t>
  </si>
  <si>
    <t>20GAC0018 - Supply and Delivery of Thermoplastic Paint (White) for the Maintenance of Roads Along NSR / MNR</t>
  </si>
  <si>
    <t>1	Materials &amp; Equipment Rental for the Improvement of Agriculture Office, Brgy. Sablogon, Passi City, Iloilo, (P 83,910.39), 2	Materials and Equipment Rental for the Construction of Kiosk at Bus Termi</t>
  </si>
  <si>
    <t>Purchase of portable welding machine 500amps</t>
  </si>
  <si>
    <t>Procurement of High Speed Sewing Machine &amp; Sewing Machine Motor for the use of Dr. Rafael S. Tumbokon Memorial Hospital-Linen Section, Kalibo, Aklan</t>
  </si>
  <si>
    <t>Proposed road Concreting at Brgy. 15- Ilawod East, Legazpi City</t>
  </si>
  <si>
    <t>Procurement of Ozone Generator for DOST RO1 Room Disinfection</t>
  </si>
  <si>
    <t>Concreting of Road w/ Line Canal, Brgy. Caragsacan, Dingalan, Aurora</t>
  </si>
  <si>
    <t>Procurement of TLE Instructional Tools and Materials</t>
  </si>
  <si>
    <t>BPSU:AC-DEAN Layer Production-Feeds</t>
  </si>
  <si>
    <t>20CB-GSC-328 PURCHASE OF TEXTBOOKS MATERIALS</t>
  </si>
  <si>
    <t>for MDRRM Office. Local Government Unit-Nabua, Camarines Sur</t>
  </si>
  <si>
    <t>Purchase of Laptop to be use by the Audit Team Member (Gen. M. Natividad/Palayan)</t>
  </si>
  <si>
    <t>BPSU:AC-DEAN Quail Production</t>
  </si>
  <si>
    <t>GASOLINE FOR GRASSCUTTER &amp; DIESEL FUEL FOR VEHICLES AND STAND BY POWER GENERATOR 3RD QUARTER CY 2020</t>
  </si>
  <si>
    <t>CO - Other Machinery and Equipment</t>
  </si>
  <si>
    <t>CONSTRUCTION MATERIALS AND SUPPLIES</t>
  </si>
  <si>
    <t>SUPPLY &amp; DELIVERY OF MATERIALS FOR THE CONSTRUCTION OF TREE HOUSE</t>
  </si>
  <si>
    <t>Printer-HRMO GAD</t>
  </si>
  <si>
    <t>20CB-GSC-331 PURCHASE OF FUELS &amp; LUBRICANTS (RE-BID)</t>
  </si>
  <si>
    <t>20CB-GSC-330 PURCHASE OF FURNITURE AND FIXTURES</t>
  </si>
  <si>
    <t>Procurement of Meals and Snacks</t>
  </si>
  <si>
    <t>Procurement of Corn Seeds for Corn Production areas of Surigao del Sur.</t>
  </si>
  <si>
    <t>JO NO. 0620-0018</t>
  </si>
  <si>
    <t>PROVISION OF LABOR AND MATERIALS FOR THE THE ENHANCEMENT OF HANDWASHING FACILITY OF THE SCHOOL. (R&amp;M- OTHER STRUCTURES)</t>
  </si>
  <si>
    <t>S &amp; D of Vegetable Seeds (P. Agri)</t>
  </si>
  <si>
    <t>Purchase of Additional Fertilizer</t>
  </si>
  <si>
    <t>PROCUREMENT OF MECHANICAL BEDS, MATTRESS AND BP APPARATUS (ITB No. 2020-155)-(bph-kalilangan)</t>
  </si>
  <si>
    <t>UPGRADING/INSTALLATION OF ISOLATION FACILITY</t>
  </si>
  <si>
    <t>FURNISHING OF CONSTRUCTION MATERIALS FOR BARANGAY MALAMA, LIGAO CITY</t>
  </si>
  <si>
    <t>For Hilot (Wellness Massage) NC II Training</t>
  </si>
  <si>
    <t>BPSU:OC-Fisheries Program-Laboratory Equipment Aquaculture</t>
  </si>
  <si>
    <t>for Maintenance of MDRRM Ambulance, Local Government Unit - Nabua, Camarines Sur</t>
  </si>
  <si>
    <t>For Precautionary Measure due to COVID-19 at Admin. Building, CAregiving, Hostel, Function Hall, Civil Tech, Clinic, Welding, EPAS, Garments, Assessment, CSS and CENTEX</t>
  </si>
  <si>
    <t>Supply and Delivery of Welding Machine</t>
  </si>
  <si>
    <t>SUPPLY AND DELIVERY OF VARIOUS EQUIPMENTS</t>
  </si>
  <si>
    <t>RFQ FOR VARIOUS OFFICE SUPPLIES &amp; CONSUMABLES FOR DARPO CATANDUANES - ALL SECTORS</t>
  </si>
  <si>
    <t>20GAC0019 - Supply and Delivery of Thermoplastic Paint (Yellow) for the Maintenance of Roads Along NSR / MNR</t>
  </si>
  <si>
    <t>Proposed Rehabilitation of Drainage System at Brgy. 3-EM's Barrio East, Legazpi City</t>
  </si>
  <si>
    <t>Other Supplies-MHO-Admin</t>
  </si>
  <si>
    <t>SUPPLY &amp; DELIVERY OF R/M PUBLIC INFRASTRUCTURE</t>
  </si>
  <si>
    <t>Supply and delivery of electrorode padz for AED</t>
  </si>
  <si>
    <t>Purchase WiFi Modem and WiFi Router for Mayor’s Office</t>
  </si>
  <si>
    <t>SUPPLY OF MATERIALS FOR WATER SOURCE DEVELOPMENT AND INSTALLATION OF PIPES AND ACCESSORIES</t>
  </si>
  <si>
    <t>Fabrication of Canopy Tent PR # 2020-06-04-176</t>
  </si>
  <si>
    <t>Supply of Delivery of construction material for Marigondon Elementary School</t>
  </si>
  <si>
    <t>RFQ NO. ADMIN 2020-03-030</t>
  </si>
  <si>
    <t>JO NO. 0620-0019</t>
  </si>
  <si>
    <t>8.25x20 Road Lug Tire</t>
  </si>
  <si>
    <t>Procurement of Window Blinds and Glass Sticker - Lot 1 - Window Blinds - OVG</t>
  </si>
  <si>
    <t>Construction of Deep well at Zone III Brgy, San Miguel</t>
  </si>
  <si>
    <t>FURNISHING OF MATERIALS FOR THE INSTALLATION OF POINT TO POINT (P2P) WIRELESS CCTV SYSTEM</t>
  </si>
  <si>
    <t>RFQ No. 20-0545 NP-SV Supply and Delivery of Group Statue made of Lahar</t>
  </si>
  <si>
    <t>Procurement of Technical and Scientific Equipment (Lot 1. Water bath/holding tank with thermometer heater stainless steel bracing pan, etc</t>
  </si>
  <si>
    <t>Procurement of Tablets</t>
  </si>
  <si>
    <t>Procurement of Office Supplies PR # 2020-06-04-179, 2020-06-04-182 and 2020-06-08-186</t>
  </si>
  <si>
    <t>Procurement of ICT Resources for Geospatial Information and System Management Use</t>
  </si>
  <si>
    <t>Procurement of Laboratory Supplies of Rural Health Unit</t>
  </si>
  <si>
    <t>Procurement of Hatchery Equipments and Paraphernalia for the use of Intensive Tilapia Hatchery, Province of Aklan/ITB no: 2020-334</t>
  </si>
  <si>
    <t>Supplly and Delivery of Various Environmental Supplies @Brgy Ulango, Tanauan City, Batangas</t>
  </si>
  <si>
    <t>SUPPLY AND DELIVERY OF HANDHELD RADIO (ITB No. 2020-156)-(sp-maramara)</t>
  </si>
  <si>
    <t>Procurement of Supplies and Materials to be used for the Provision of Sleeping Quarters in the Regional Office</t>
  </si>
  <si>
    <t>SD of 1500 prs Working Glove &amp; 10 others</t>
  </si>
  <si>
    <t>20CB-GSC-333 PURCHASE OF CORE VALUE T-SHIRTS WITH COLLAR AND PRINT</t>
  </si>
  <si>
    <t>RFQ CORRECTIVE MAINTENANCE SERVICE OF GENERATOR SET II (AKSA)</t>
  </si>
  <si>
    <t>Calibrated burette 60 drop/ml non-toxic</t>
  </si>
  <si>
    <t>PURCHASE OF TACTICAL PANTS</t>
  </si>
  <si>
    <t>Other Supplies-MPDC</t>
  </si>
  <si>
    <t>supply &amp; delivery of Goods &amp; Commodities</t>
  </si>
  <si>
    <t>20CB-GSC-334 PURCHASE OF VARIOUS OFFICE EQUIPMENT</t>
  </si>
  <si>
    <t>SUPPLY &amp; DELIVERY OF INSERT WATER METER &amp; TAILPIECE GASKET</t>
  </si>
  <si>
    <t>Laptop (SB Members)</t>
  </si>
  <si>
    <t>Procurement of Office Equipment   PR # 2020-06-04-181 &amp; PR # 2020-06-08-187</t>
  </si>
  <si>
    <t>purchase of office supplies</t>
  </si>
  <si>
    <t>PR 20-06-084</t>
  </si>
  <si>
    <t>RFQ NO ADMIN 2020-03-029</t>
  </si>
  <si>
    <t>T-shirt for CoVid 19 Border Control Personnel</t>
  </si>
  <si>
    <t>Installation of 167 KVA Transformer, Brgy. Caragsacan, Dingalan, Aurora</t>
  </si>
  <si>
    <t>PROC. OF WORKS FOR THE CONST'N OF CRISIS CENTER INCL. MADAC DRUG TREATMENT OFFICE</t>
  </si>
  <si>
    <t>Supply and delivery of various materials for replenishment's of stocks/maintenance before meter of CWD</t>
  </si>
  <si>
    <t>supply, delivery &amp; printing of Pamphlets, Letterheads &amp; Tarpaulins</t>
  </si>
  <si>
    <t>20GA0221-Concreting of Sitio Liong to Sitio Tacube, Brgy. Calimbajan FMR Brgy. Calimbajan, Makato, Aklan</t>
  </si>
  <si>
    <t>Supply and Delivery of Construction Materials</t>
  </si>
  <si>
    <t>Improvement / Upgrading of Pasalubong Center (Window Grilles, Door and Tables)</t>
  </si>
  <si>
    <t>Proposed Rehabilitation/Improvement of School Facilities at Legazpi Port Elementary School Brgy. 31- Baybay, Legazpi City</t>
  </si>
  <si>
    <t>PURCHASE OF FUEL, OIL AND LUBRICANTS, CMO, CALBAYOG CITY</t>
  </si>
  <si>
    <t>Supply and delivery of laboratory supplies for BeMONC Facility</t>
  </si>
  <si>
    <t>SUPPLY, DELIVERY, INSTALLATION OF SOLAR STREET LIGHTS FOR VARIOUS BARANGAY'S OF BUKIDNON (ITB No. 2020-157)-(sp-maramara, sp dinlayan and sp-gayon)</t>
  </si>
  <si>
    <t>Office Supplies-PAO</t>
  </si>
  <si>
    <t>Hybrid Trimaran Vessel Classification</t>
  </si>
  <si>
    <t>PROC. OF WORKS FOR THE CONST'N OF 1 UNIT - 67.20 SQ.M. AND 3 UNITS - 25.5 SQ.M. MRF AT BRGY BATOBATO, TALISAY AND CAMBALEON</t>
  </si>
  <si>
    <t>PURCHASE OF PAINTING MATERIALS FOR TODA (TRICYCLE)</t>
  </si>
  <si>
    <t>Supply of materials &amp; labor for the Construction of Climate-Resilient School Stage, San Jose Elementary School, San Jose, City of Sto. Tomas, Batangas</t>
  </si>
  <si>
    <t>Request for Quotation for the Provision of Agricultural Products to be used the conduct of "KAAYUHAN SA KADAHUNAN": A Webinar on Medicinal and Culinary Herbs Production and Processing on June 19(Episo</t>
  </si>
  <si>
    <t>Supply of Labor &amp; Materials for the Repair/Improvement of Temporary Isolation Facility (Recto Building) at San Luis  Central School, San Luis, Batangas</t>
  </si>
  <si>
    <t>Supply and Delivery of Various Software Licenses for the Management Information System Office</t>
  </si>
  <si>
    <t>Office Supplies for IPO Use</t>
  </si>
  <si>
    <t>Procurement of Window Blinds and Glass Sticker - Lot 2 - Glass Sticker</t>
  </si>
  <si>
    <t>SD of 60 pcs Hardiflex 1/4x4x8 &amp; 70 others</t>
  </si>
  <si>
    <t>Procurement of Brand New Tires</t>
  </si>
  <si>
    <t>Supply and Delivery of Tires for the use of Roxas City Philippine National Police</t>
  </si>
  <si>
    <t>Procurement of Office Supplies and Equipment</t>
  </si>
  <si>
    <t>SUPPLY &amp; DELIVERY OF IT EQUIPMENT</t>
  </si>
  <si>
    <t>Ligating clip ML, 6 clips/cartridge,     non-absorbable polymer</t>
  </si>
  <si>
    <t>Upgrading of Staboardside Main Engine of BRP Hydrographer Ventura</t>
  </si>
  <si>
    <t>Supply and Delivery of Various Medicines</t>
  </si>
  <si>
    <t>Procurement of Hardware Supplies PR # 2020-06-08-184</t>
  </si>
  <si>
    <t>JANITORIAL SERVICES</t>
  </si>
  <si>
    <t>MEDICAL SUPPLIES  ( for Additional purchase for COVID 19 ) RHU</t>
  </si>
  <si>
    <t>Proposed Concrete Fence and Slope Protection at Lamba Elementary School, Brgy. 60- Lamba, Legazp City</t>
  </si>
  <si>
    <t>MEALS AND SNACKS-HRMO-GAD</t>
  </si>
  <si>
    <t>Supply of Labor &amp; Materials for Spot Replacement of Existing Rotten Corrugated  G.I. Sheet Roofing &amp; Wood Purlins of Medical C.D. Ward Building</t>
  </si>
  <si>
    <t>Pag-IBIG Fund CHQ (SUPPLY AND DELIVERY OF MOBILE INTERNET DEVICES)</t>
  </si>
  <si>
    <t>RFQ Supply &amp; Delivery of D.I.S.T.C 2", 3" &amp; 4"</t>
  </si>
  <si>
    <t>VARIOUS SUPPLIES FOR REHAB/CONSTRUCTION OF DRAINAGE CANAL SYSTEM</t>
  </si>
  <si>
    <t>2020 Quadrivalent Inactivated Influenza Vaccine</t>
  </si>
  <si>
    <t>Concreting of Barangay road</t>
  </si>
  <si>
    <t>DILP ASSISTANCE 2020-06-02-BBFO</t>
  </si>
  <si>
    <t>2nd posting for Faulty Electrical Wirings</t>
  </si>
  <si>
    <t>PURCHASE AND DELIVERY OF IT EQUIPMENTS, POBLACION, BALBALAN</t>
  </si>
  <si>
    <t>Industrial Salt Ion Exchange Resin</t>
  </si>
  <si>
    <t>20CB-GSC-332 PURCHASE OF SPARE PARTS FOR MOTOR VEHICLE</t>
  </si>
  <si>
    <t>Supply and Delivery of Appliances</t>
  </si>
  <si>
    <t>Procurement of Customized Cabinet, Accounting Office</t>
  </si>
  <si>
    <t>SD of 5 sets Window Roller Blinds 120 x 180 &amp; 30 others</t>
  </si>
  <si>
    <t>PURCHASE OF STOCK PILES</t>
  </si>
  <si>
    <t>PROVISION OF SURVEY SERVICES-LOT 3 -CSII-2020(CC)/LOT 4-CSII-2020(NL) /LOT 5-CSII-2020(NL)</t>
  </si>
  <si>
    <t>PROCUREMENT OF LOGISTIC SUPPLIES FOR RABIES CONTROL PROGRAM OF THE MUNICIPAL AGRICULTURE OFFICE FOR THE 1ST QUARTER OF THE YEAR 2020</t>
  </si>
  <si>
    <t>Purchase of Office Supplies for the use of OSCA as requested by City Social Welfare and Development Office(PR# 324)</t>
  </si>
  <si>
    <t>Supply and Delivery of Administrative Facilities and Equipment</t>
  </si>
  <si>
    <t>Purchase of One (1) Unit Vat (Kawa "47) to be used at the slaughter house</t>
  </si>
  <si>
    <t>RFQ Supply &amp; Delivery OF PLASTIC FITTINGS</t>
  </si>
  <si>
    <t>Supply and Delivery of Agricultural Products</t>
  </si>
  <si>
    <t>Procurement of Various IT Supplies (Toner Cartridges)</t>
  </si>
  <si>
    <t>20GOF0010 Supply and Delivery of Clearance Light (Amber) and Sixteen others for use of Drop Side Truck with DPWH No. H2-348/Property Plate No. DOQ-314 assigned at Maintenance Section, Quezon City I En</t>
  </si>
  <si>
    <t>REHABILITATION / IMPROVEMENT OF POTABLE WATER SYSTEM - LEVEL II AT CORONON, DAVAO DEL SUR</t>
  </si>
  <si>
    <t>SUPPLIES &amp; MATERIALS FOR IMPROVEMENT OF DAY CARE CENTER</t>
  </si>
  <si>
    <t>CATERING SERVICES DURING SP SESSION/LEGISLATIVE ACTIVITIES, SPO, CALBAYOG CITY</t>
  </si>
  <si>
    <t>Purchase of various Steel / Metal Cabinets, Rubber Boots Rack and Computer Tables for the use of Slaughterhouse as requested by City Agriculturist's Office(PR# 328)</t>
  </si>
  <si>
    <t>electrical materials use in the repair and maintenance of various streetlights at Legazpi City</t>
  </si>
  <si>
    <t>Purchase of Bond Papers (Letter, Folio and A4) for the use of City General Services Office(PR# 330)</t>
  </si>
  <si>
    <t>Procurement of Prepaid Cards PR # 2020-06-04-183</t>
  </si>
  <si>
    <t>CONSTRUCTION OF MULTI-PURPOSE HALL BRGY CANTONGTONG JIABONG SAMAR</t>
  </si>
  <si>
    <t>SUPPLY AND DELIVERY OF MATERIALS FOR INSTALLATION OF SOLAR STREETLIGHTS</t>
  </si>
  <si>
    <t>REPOSTING  FOR MACHINERY  &amp;  EQUIPMENT OUTLAY FOR THE PURCHASE OF VARIOUS EQUIPMENT FOR THE SCIENCE LABORATORY SKSU-KALAMANSIG CAMPUS</t>
  </si>
  <si>
    <t>Office Supplies for DILG Office Use</t>
  </si>
  <si>
    <t>Procurement of Rescue and Communication Equipment</t>
  </si>
  <si>
    <t>Printing &amp; Publication Expenses-MBO</t>
  </si>
  <si>
    <t>RELIEF OPERATION</t>
  </si>
  <si>
    <t>Purchase of Drugs and Medicines for the use of City Health Office(PR# 334)</t>
  </si>
  <si>
    <t>Service Provider for the Pre-construction Documents of Proposed INREMP-LES 2 Processing Centers in Sagada, Mountain Province</t>
  </si>
  <si>
    <t>CONSTRUCTION OF LOCAL ACCESS ROAD</t>
  </si>
  <si>
    <t>Office supplies and equipment for official use of MENRO.</t>
  </si>
  <si>
    <t>Procurement of Technical and Scientific Equipment (Lot 2. Spectrophotometer, Digital sugar refractometer, etc.)</t>
  </si>
  <si>
    <t>Meals &amp; Snacks for the 2nd Quarter Joint PPOC, PADAC and PDC Meeting of the Province</t>
  </si>
  <si>
    <t>Procurement of Spare Parts for 10W Dumptruck</t>
  </si>
  <si>
    <t>PR 20-06-086</t>
  </si>
  <si>
    <t>Purchase of Drugs and Medicines for the use of City Health Office(PR# 333)</t>
  </si>
  <si>
    <t>Construction of 10 cu.m. Capacity Ground Support Reinforced Concrete Water Reservoir with Fittings and Watchman's Quarter (Construction Materials only)</t>
  </si>
  <si>
    <t>Supply and Delivery of Various Materials</t>
  </si>
  <si>
    <t>20GOF0011 Supply and Delivery of Data Arch File Folder and one (1) other for use of various Sections at Quezon City I District Engineering Office</t>
  </si>
  <si>
    <t>Procurement of Agricultural inputs....diff vegetable seeds and  other farm inputs under DAR ARBold program</t>
  </si>
  <si>
    <t>20GOF0012 Supply and Delivery of L-Type Table with Partition and four (4) others for use of Construction Section at Quezon City I District Engineering Office</t>
  </si>
  <si>
    <t>Construction of Hanging Bridge at Sitio Tabiis Anak, N.Q.</t>
  </si>
  <si>
    <t>Hardware materials</t>
  </si>
  <si>
    <t>SUPPLY &amp; DELIVERY OF FUEL, OIL AND LUBRICANTS</t>
  </si>
  <si>
    <t>Procurements of Spare Parts</t>
  </si>
  <si>
    <t>INVITATION TO BID ON THE CONTRACT OF FENCING OF MUNICIPAL BAYWALK</t>
  </si>
  <si>
    <t>GAD ACTIVITY - MEDICAL SERVICES (COMPLETE BLOOD CHEMISTRY, URINALYSIS 7 X-RAY) FOR SDO URDANETA CITY PERSONNEL</t>
  </si>
  <si>
    <t>Strenghtening of Internet Connectivity for New Normal Classes</t>
  </si>
  <si>
    <t>DELIVERY OF MATERIALS FOR THE IMPROVEMENT OF WATERWORKS SYSTEM (BRGY. BUYOG)</t>
  </si>
  <si>
    <t>PURCHASE OF DESKTOP COMPUTER AND CPU, CEO, CALBAYOG CITY</t>
  </si>
  <si>
    <t>LIQUID SOAP KIT</t>
  </si>
  <si>
    <t>PURCHASE OF ONE YEAR SSL SUBSCRIPTION FOR THE MUNICIPALITY OF BALIWAG</t>
  </si>
  <si>
    <t>1 year Subscription of Firewall ( Renewal )</t>
  </si>
  <si>
    <t>Supply and Delivery of Cleaning Materials for Sanitation and Disinfection of various buildings</t>
  </si>
  <si>
    <t>Procurement of Supply &amp; Installation of Computer Parts of Deped RO</t>
  </si>
  <si>
    <t>Purchase of Desktop Computers with Complete Accessories, Printers and UPS for the use of Slaughterhouse as requested by City Agriculturist's Office(PR# 337)</t>
  </si>
  <si>
    <t>Procurement of Common Use Supplies</t>
  </si>
  <si>
    <t>CONSTRUCTION MATERIALS OF COVERED COURT AT MENTERYONG DAAN PONDOL BALAMBAN CEBU   (Materials Only) ME</t>
  </si>
  <si>
    <t>Catering Service for the JOINT COUNCIL Meeting</t>
  </si>
  <si>
    <t>20GOF0013 Supply and Delivery of Flat Latex Paint (White) for use in Maintenance of various National Roads within District I, II, V and VI, Q.C.</t>
  </si>
  <si>
    <t>20GOF0015 Supply and Delivery of Thermoplastic Paint White and One (1) other, to be used along various National Roads in District I, II, V and VI, Q.C.</t>
  </si>
  <si>
    <t>N95 Small</t>
  </si>
  <si>
    <t>ELECTRONIC - WEBCAM</t>
  </si>
  <si>
    <t>Purchase of Construction and Electrical Materials for use in the repairs and maintenance of various facilities in Lucena City as requested by CMO(PR# 343)</t>
  </si>
  <si>
    <t>Supply, Delivery and Installation of One (1) Brand New 75 kVA (60 kW) Silent Type Diesel Electric Generator Set with Complete Standard Accessories</t>
  </si>
  <si>
    <t>RFQ (20-06-053) Compressed Air</t>
  </si>
  <si>
    <t>IMPROVEMENT OF MULTI-PURPOSE BUILDING</t>
  </si>
  <si>
    <t>Procurement of janitorial supplies</t>
  </si>
  <si>
    <t>RFQ (20-06-049) Various Supplies for Mechanical Ventilator Rental Use</t>
  </si>
  <si>
    <t>Office Supplies-MCO</t>
  </si>
  <si>
    <t>Supply and Delivery of Impeller for the replacement of Worn out/damage impeller Mickey of Bantay Dagat Patrol Boat,, Sipalay City, Negros Occidental</t>
  </si>
  <si>
    <t>20GOF0014 Supply and Delivery of Cold Mix Asphalt for use in Maintenance/Rehabilitation and Improvement of National Roads in District I, II, V and VI, Q.C.</t>
  </si>
  <si>
    <t>Purchase of Construction Materials for use in the repairs and maintenance of various facilities including repair of tents assigned at Ancillary Services Unit as requested by CMO(PR# 341)</t>
  </si>
  <si>
    <t>Desktop Computer and Printers</t>
  </si>
  <si>
    <t>Printing, supply and delivery of UCPB Certificate of Time Deposit-Peso ORF BBG-2020-05</t>
  </si>
  <si>
    <t>SUPPLY &amp; DELIVERY OF MEALS AND SNACKS FOR THE ORIENTATION ON SEXUALLY TRANSMITTED INFECTION AND HIV TO YOUTH SECTOR IN THE PROVINCE OF MAGUINDANAO - PGO</t>
  </si>
  <si>
    <t>Procurement of Construction Materials and Supplies for the rehabilitation of facility for Humanitarian Assistance &amp; Disaster Response (HADR), Laoag International Airport</t>
  </si>
  <si>
    <t>Supply and Delivery of Various Office Furnitures</t>
  </si>
  <si>
    <t>INVITATION TO BID FOR VEHICLES (2 WHEELS) AND ACCESSORIES (BID NO. 200623-19)</t>
  </si>
  <si>
    <t>Purchase of Nine Hundred Twenty Six (926) pieces of Hard Bound Cover for the use of City Civil Registrar's Office(PR# 338)</t>
  </si>
  <si>
    <t>Procurement of IT Equipment PR # 2020-06-08-188</t>
  </si>
  <si>
    <t>Procurement of Construction Supplies and Materials for the Improvement of Public Building(Ceiling and Water Line)</t>
  </si>
  <si>
    <t>PROC. OF VCM&amp;S FOR ROAD REHABILITATION AT KABAISANAN, PUROK PERLAS, BATOBATO, SAN ISIDRO, DAVAO ORIENTAL</t>
  </si>
  <si>
    <t>Rice</t>
  </si>
  <si>
    <t>Procurement of Executive Order (Tarpaulin ) Schedule Barangay</t>
  </si>
  <si>
    <t>Fuel (Garbage Collection Transport and Disposal)</t>
  </si>
  <si>
    <t>Procurement of 1 Set Steel Water Tank for Slaughterhouse use</t>
  </si>
  <si>
    <t>Provision of TLE Equipment and Materials</t>
  </si>
  <si>
    <t>Floor Tiling</t>
  </si>
  <si>
    <t>Consulting Services for the Relocation, Topographic and Subdivision Survey of Various LGU Owned Lots</t>
  </si>
  <si>
    <t>COMMON-USE OFFICE SUPPLIES AND EQUIPMENT FOR THE DIVISION OFFICE (THIRD QUARTER)</t>
  </si>
  <si>
    <t>Purchase &amp; Delivery of Information Technology Parts &amp; Accessories &amp; Paraphernalia to be used for YP4 Registration of Trainees and Registration of Computer Systems Servicing NC II with UTPRAS, LTPC, Su</t>
  </si>
  <si>
    <t>20GOF0016 Gender and Development (GAD) Activities in the observance of National Women’s Celebration and 18-Day End VAW Campaign</t>
  </si>
  <si>
    <t>FABRICATION OF SYMBOLIC GONG WITH 7" DIAMETER TO BE INSTALLED AT MUNICIPAL LOBBY.</t>
  </si>
  <si>
    <t>PROVISION FOR OFFICE SUPPLIES (OFFICE SUPPLIE)</t>
  </si>
  <si>
    <t>9 sacks Rice F1</t>
  </si>
  <si>
    <t>Provision of Food and Physical Arrangement of the Venue relative to the conduct of Mid-year Performance Assessment (MYPA) &amp; 2nd Sem Re-Planning Exercises and Year-end Performance Assessment (YEPA) &amp; C</t>
  </si>
  <si>
    <t>PURCHASE OF PROGESTIN SUBDERMAL IMPLANT, CHO, CALBAYOG CITY</t>
  </si>
  <si>
    <t>Supply and delivery of water service connection materials</t>
  </si>
  <si>
    <t>Purchase of Construction Materials for use in the installation of Drainage Structure at Don Victorville Subd., Brgy. Silangang Mayao, Lucena City as requested by City Engineering Office(PR# 348)</t>
  </si>
  <si>
    <t>Purchase of Construction and Other Materials for use in the construction of New Muslim Cemetery at Brgy. Marketview, Lucena City as requested by CMO(PR# 353)</t>
  </si>
  <si>
    <t>Procurement of DepEd RO- ICT Unit's Equipment Repairs &amp; Maintenance</t>
  </si>
  <si>
    <t>Medicine (Medical Assistance Program)</t>
  </si>
  <si>
    <t>Purchase of Construction &amp; Other Materials for use in the rehabilitation of former City Engineering Office at Brgy. Ibabang Dupay, Lucena City for the use of City Engineering Office as requested by CM</t>
  </si>
  <si>
    <t>Procurement of Technical and Scientific Equipment (Lot 3. Automated rain gauge and Water level monitoring)</t>
  </si>
  <si>
    <t>Construction Materials &amp; Supplies</t>
  </si>
  <si>
    <t>Refrigerator and Freezer</t>
  </si>
  <si>
    <t>Procurement of Common-Use Office Supplies</t>
  </si>
  <si>
    <t>Concreting of Perlita Road</t>
  </si>
  <si>
    <t>Completion of Concrete Pathway at Purok 3A of Barangay Tinucoran</t>
  </si>
  <si>
    <t>Supply and Delivery of Agricultural supplies for the consumption and maintenance of Native Chicken &amp; Native Pig Breeder/Layers and Offspring produced</t>
  </si>
  <si>
    <t>Supply and delivery of 10 units pedestal filing cabinet/drawer, 1 unit office table and 10 units low back office swivel chair</t>
  </si>
  <si>
    <t>Construction of Mini-Library</t>
  </si>
  <si>
    <t>Supply and Delivery of Various AirConditioner Window Type Including Installation</t>
  </si>
  <si>
    <t>Purchase &amp; Delivery of Grocery Items for use in the City MAyor's Office during Evaluation of Leaders in the different barangays, Surigao City</t>
  </si>
  <si>
    <t>RFQ - Procurement of Food Packs for PDIC employees, LBPSC contractuals and drivers, security and housekeeping personnel</t>
  </si>
  <si>
    <t>2 units Window type Aircondition 2.5hp</t>
  </si>
  <si>
    <t>CONSTRUCTION OF GENDER SENSITIVE COMMON C.R</t>
  </si>
  <si>
    <t>Bus Rental for Stranded Individual from Region V</t>
  </si>
  <si>
    <t>Supply and Delivery of Brush Cutter and Knapsack Sprayer, PR# 2020-06-0344</t>
  </si>
  <si>
    <t>RFQ 06-03-2020 Item A</t>
  </si>
  <si>
    <t>MATERIALS FOR AIRCON INSTALLATION</t>
  </si>
  <si>
    <t>MATERIALS FOR INSTALLATION</t>
  </si>
  <si>
    <t>Steel File Cabinet</t>
  </si>
  <si>
    <t>PURCHASE OF VARIOUS MEDICINES FOR COVID-19..</t>
  </si>
  <si>
    <t>DRONE CAMERA-NGP</t>
  </si>
  <si>
    <t>CONSTRUCTION/REHABILTATION OF IRRIGATION SYSTEM</t>
  </si>
  <si>
    <t>ECPAC SYSTEM PROGRAM FMIS</t>
  </si>
  <si>
    <t>Procurement of Technical and Scientific Equipment (Lot 4. Small smoke house)</t>
  </si>
  <si>
    <t>Purchase of Second Hand Garbage Truck (2019 Model)</t>
  </si>
  <si>
    <t>Request for Quotation for the Provision of General Merchandise to be used the conduct of "KAAYUHAN SA KADAHUNAN": A Webinar on Medicinal and Culinary Herbs Production and Processing on June 19(Episode</t>
  </si>
  <si>
    <t>Procurement of Emergency Alarm System/Siren</t>
  </si>
  <si>
    <t>Purchase &amp; Delivery of Office Supplies &amp; Consumables for use in the Office of the City Treasurer, Surigao City</t>
  </si>
  <si>
    <t>Janitorial Services</t>
  </si>
  <si>
    <t>Procurement of Construction Supplies and Materials for the Improvement of Public Building(Double Analoc Swing Door)</t>
  </si>
  <si>
    <t>CONSTRUCTION OF PACKAGE 1: 20% LDF CY 2020</t>
  </si>
  <si>
    <t>Tarpaulin-MHO-TF-MCP</t>
  </si>
  <si>
    <t>Other Supplies-IMPS</t>
  </si>
  <si>
    <t>SUPPLY &amp; DELIVERY OF 3 UNITS OF COMPUTER LAPTOP - GOVERNOR'S OFFICE</t>
  </si>
  <si>
    <t>Procurement of Appliances for the use of the Office of the Vice-Governor</t>
  </si>
  <si>
    <t>Office Supplies-IMPS</t>
  </si>
  <si>
    <t>PURCHASE OF VARIOUS CONSTRUCTION MATERIALS</t>
  </si>
  <si>
    <t>Supply and delivery of various medical and rescue equipments</t>
  </si>
  <si>
    <t>CONSTRUCTION OF CORE LOCAL ACCESS ROAD @ KAUSWAGAN ST., BRGY. CROSSING, SAN ISIDRO, LEYTE</t>
  </si>
  <si>
    <t>RFQ 2020 - 06 - 21 Upgrade Equiptment for Barista NC II</t>
  </si>
  <si>
    <t>Purchase of materials for rehabilitation of streetlights of Barangay Calumpang West San Luis Batangas</t>
  </si>
  <si>
    <t>Procurement of Technical and Scientific Equipment (Lot 5. Dual powered solar dryer)</t>
  </si>
  <si>
    <t>Supply and Delivery of Goods for the Other Supply &amp; Materials for of ODA, 9ID,PA (240,550.00)</t>
  </si>
  <si>
    <t>Procurement of Drugs &amp; Medicines</t>
  </si>
  <si>
    <t>SUPPLY &amp; DELIVERY OF OFFICE SUPPLIES</t>
  </si>
  <si>
    <t>Supply and Delivery of Various Equipment for Use of Health Facilities/Isolation and or Quarantine Facilities for COVID-19 (Municipal Wide)  Municipality of Calayan, Province of  Cagayan.</t>
  </si>
  <si>
    <t>Purchase of Laboratory Equipment  and Reagents for the Official Use of MHO</t>
  </si>
  <si>
    <t>RFQ 06-03-2020 Item B</t>
  </si>
  <si>
    <t>INVITATION TO BID FOR THE REHBAILITATION OF STREETLIGHT AT BRGY. MANIBOC AND COMPLETION/IMPROVEMENT OF MULTI PURPOSE HALL AT BRGY. MANIBOC, LINGAYEN, PANGASINAN</t>
  </si>
  <si>
    <t>Procurement of Various Agricultural Supplies - PAGSO</t>
  </si>
  <si>
    <t>RFQ 06-03-2020 Item C</t>
  </si>
  <si>
    <t>CONSTRUCTION OF ROOFING OF HEALTH CENTER PARKING AREA AT AMAYA VII</t>
  </si>
  <si>
    <t>520 heads Snacks</t>
  </si>
  <si>
    <t>Supply and Delivery of Two (2) Units of Multi Purpose Vehicle (MPV)</t>
  </si>
  <si>
    <t>INVITATION TO BID FOR SUBSCRIPTION (BID NO. 200623-20)</t>
  </si>
  <si>
    <t>PROCUREMENT OF MATERIALS FOR THE CONSTRUCTION OF DRAINAGE SYSTEM AT LAPUAK PHASE - I</t>
  </si>
  <si>
    <t>CONSTRUCTION OF 24 UNITS STREETLIGHT AT AMAYA III</t>
  </si>
  <si>
    <t>Food Supplies: RRCY Purified Dringking Water 2nd-4th QUARTER</t>
  </si>
  <si>
    <t>STEEL RACK FOR OFFICIAL USE OF CENRO TAGBILARAN CITY</t>
  </si>
  <si>
    <t>INVITATION TO BID FOR MEDICAL SUPPLIES AND MATERIALS (BID NO. 200623-21)</t>
  </si>
  <si>
    <t>DISSILTING OF CREEK FOR FLOOD PREVENTION</t>
  </si>
  <si>
    <t>RFQ (20-06-057) Tolda and Sodium hypochlorite (sprayer decontamination)</t>
  </si>
  <si>
    <t>SUPPLY AND DELIVERY OF OFFICE SUPPLIES AND DEVICES FOR MGB-X FOR FY 2020</t>
  </si>
  <si>
    <t>IMPROVEMENT OF BARANGAY HEALTH SANITATION AT AMBARACAO NORTE, NAGUILIAN, LA UNION.</t>
  </si>
  <si>
    <t>Road Concreting at Barangay Paoa, Vigan City</t>
  </si>
  <si>
    <t>Supply and Delivery of foodstuffs of 54IB (P58,085.00)</t>
  </si>
  <si>
    <t>Supplies and Materials for Caregiving NC II Training ( 25 Trainees )</t>
  </si>
  <si>
    <t>PURCHASE OF MEDICAL SUPPLIES IN SUPPORT TO COVID-19 RESPONSE, MONITORING &amp; RECOVERY PROGRAM</t>
  </si>
  <si>
    <t>INSTALLATION OF STREETLIGHTS (Solar Panel) (Brgy. Sampiro)</t>
  </si>
  <si>
    <t>CONCRETING OF ROAD AT CASANUEVA-BIGA (PHASE 4)</t>
  </si>
  <si>
    <t>RFQ-PROVISION OF GENERAL SERVICES (JANITORIAL) FOR CSU CAMPUS CLEANING AND MAINTENACE SERVICES.IGF-164-20-06-123</t>
  </si>
  <si>
    <t>Surgical Gloves</t>
  </si>
  <si>
    <t>MOOE 2020 2ND QUARTER REPAIR AND MAINTENANCE-SCHOOL BUILDING</t>
  </si>
  <si>
    <t>Procurement of Banana Cardava Plantlets - PAGSO</t>
  </si>
  <si>
    <t>Concreting of Local Road, Siempre Eterno, Paloyon Proper, Nabua, Camarines Sur</t>
  </si>
  <si>
    <t>FURNISHING AND DELIVERY OF TELCO CARDS FOR EXECUTIVE OFFICES</t>
  </si>
  <si>
    <t>Improvement of Barangay Office Building I - Phase II</t>
  </si>
  <si>
    <t>Lease of Training for Customer Service Training</t>
  </si>
  <si>
    <t>Procurement of Technical and Scientific Equipment (Lot 6. Water retort chamber with accessories)</t>
  </si>
  <si>
    <t>REQUEST FOR QUOTATION ON LABORATORY AND EQUIPMENT</t>
  </si>
  <si>
    <t>20NA0070 Concreting of Brgy. Sangay FMR, Buenavista, Agusan del Norte</t>
  </si>
  <si>
    <t>Supply and Delivery of Vegetable Seeds</t>
  </si>
  <si>
    <t>PROCUREMENT OF TOOLS AND EQUIPMENT FOR CITY ENGINEER'S OFFICE</t>
  </si>
  <si>
    <t>PROCUREMENT OF DRUGS AND MEDICINES</t>
  </si>
  <si>
    <t>REPOSTING  FOR MACHINERY  &amp;  EQUIPMENT OUTLAY FOR THE PURCHASE OF VARIOUS EQUIPMENT FOR THE USE OF SCIENCE LABORATORY - SKSU TACURONG CAMPUS</t>
  </si>
  <si>
    <t>50 pax Meals and Snacks</t>
  </si>
  <si>
    <t>Steel Cabinets</t>
  </si>
  <si>
    <t>INVITATION TO BID FOR  PAINTING TOOLS AND MATERIALS (BID NO. 200623-22)</t>
  </si>
  <si>
    <t>MATERIALS AND SUPPLIES FOR THE CONS. AND IMPROVEMENT OF TABBAC FOOTRAIL</t>
  </si>
  <si>
    <t>LCWD-2020-046 Construction Materials</t>
  </si>
  <si>
    <t>Procurement of Various Catering Services &amp; Training Materials - Lot 1 - Catering Services - PAGSO</t>
  </si>
  <si>
    <t>CONSTRUCTION AND IMPROVEMENT OF CANAL LINING AT JULUGAN I</t>
  </si>
  <si>
    <t>IMPROVEMENT OF M.R.F. CONSTRUCTION OF SEGREGATION BUILDING</t>
  </si>
  <si>
    <t>Concreting of Local Road, Dolorosa, Nabua, Camarines Sur</t>
  </si>
  <si>
    <t>PROCUREMENT OF VARIOUS MACHINERIES AND EQUIPMENT FOR THE USE OF MDRRM OPERATION CENTER, TIGBAUAN, ILOILO</t>
  </si>
  <si>
    <t>Clothing and Linens for use of RSCC Residents for CY 2020</t>
  </si>
  <si>
    <t>Consultancy and Training for Comprehensive Land Use Plan (CLUP) and Zoning Ordinance Formulation/Revision</t>
  </si>
  <si>
    <t>Procurement of Troclosene Sodium under IB No. 2020-176</t>
  </si>
  <si>
    <t>RFQ - Procurement of Goods: Const'n Materials &amp; Supplies for the use of CEO (Repair &amp; Maintenance of Structures used as Evacuation Center) (PR#100-20-06-0105)</t>
  </si>
  <si>
    <t>Supply and Delivery of One (1) Unit Brand New Rescue Vehicle (Ambulance)</t>
  </si>
  <si>
    <t>CONSTRUCTION OF MULTIPURPOSE HALL AT LAMBINGAN</t>
  </si>
  <si>
    <t>CONSTRUCTION OF FLOOD CONTROL</t>
  </si>
  <si>
    <t>CONSTRUCTION OF SEPTIC VAULT FOR HEALTH CARE WASTE</t>
  </si>
  <si>
    <t>PROVISION OF 1 UNIT TELEVISION</t>
  </si>
  <si>
    <t>SNACKS-MSWDO-PDAO</t>
  </si>
  <si>
    <t>INVITATION TO BID FOR EYE GLASSES (BID NO. 200623-23)</t>
  </si>
  <si>
    <t>Calibration Services for WEM Instruments (10 lots)</t>
  </si>
  <si>
    <t>Airconditioning Units</t>
  </si>
  <si>
    <t>RFQ NO. 20-0541 NP-SVP - Procurement of Service Provider for the Maintenance Check-up of Air-conditioning, Replace Compressor and Other Defective Parts of Mitsubishi Adventure 2012</t>
  </si>
  <si>
    <t>Purchase of Animal/Zoological Supplies (Multivitamins/Antibiotics).</t>
  </si>
  <si>
    <t>REPAIR OF REPEATER.</t>
  </si>
  <si>
    <t>Procurement of Technical and Scientific Equipment (Lot 7. Chest type freezer/chiller, Ice cream machine, etc.)</t>
  </si>
  <si>
    <t>Procurement of Various Catering Services &amp; Training Materials - Lot 2 - Training Materials</t>
  </si>
  <si>
    <t>SUPPLY AND DELIVERY OF ICT SUPPLIES AND EQUIPMENT FOR MINERAL RESERVATION PROGRAM (MRP) 2020</t>
  </si>
  <si>
    <t>ADDITIONAL FOOTBRIDGE AND RAILINGS</t>
  </si>
  <si>
    <t>ITB-B13-2020</t>
  </si>
  <si>
    <t>Completion of Concreting of Local Road, Inapatan to Angustia, Nabua, Camarines Sur</t>
  </si>
  <si>
    <t>PURCHASE OF FOOD SUPPLIES</t>
  </si>
  <si>
    <t>Procurement of Construction Materials</t>
  </si>
  <si>
    <t>Procurement of Red Evacuated Tube under IB No. 2020-189</t>
  </si>
  <si>
    <t>CONSTRUCTION OF WATER SYSTEM @ SITIO SINAMBAG, BARANGAY DAJA DAKU</t>
  </si>
  <si>
    <t>INSTALLATION OF IRRIGATION SYSTEM FOR THE ORGANIC DEMO FARM.</t>
  </si>
  <si>
    <t>Catering Service 30 pax during the conduct of Fish Examiners Training for the PNP- Regional Maritime Unit 9 in Zamboanga City.</t>
  </si>
  <si>
    <t>Waterworks System Repair in Purok-6 Poblacion, Gitagum, Mis. Or.</t>
  </si>
  <si>
    <t>Procurement of One (1) Unit Evacuation and Relief Vehicle  (Customized Stake Truck) (Brand New) Local Government Unit, Barugo, Leyte</t>
  </si>
  <si>
    <t>LCWD-2020-047 uPVC Pipes and Bends</t>
  </si>
  <si>
    <t>INVITATION TO BID FOR UMBRELLA (BID NO. 200623-25)</t>
  </si>
  <si>
    <t>LCWD-2020-048 Mechanical Gate Valves and Universal Flange Adaptors</t>
  </si>
  <si>
    <t>Repost: Supply and Delivery of Lug Tire for the Repair and Maintenance of Machinery &amp; Equipment (Heavy Equipment – D.T.1 Big Yellow)</t>
  </si>
  <si>
    <t>Procurement of Catering Services, Venue/Rental, Training Supplies &amp; Materials and Agricultural Supplies - Lot 1 - Catering Services - PAGSO</t>
  </si>
  <si>
    <t>INVITATION TO BID FOR GROCERIES (BID NO. 200623-24)</t>
  </si>
  <si>
    <t>Fuels (MENRO)</t>
  </si>
  <si>
    <t>LCWD-2020-049 Air Release Valve</t>
  </si>
  <si>
    <t>Purchase of ICT Equipment (Office of the Mayor)</t>
  </si>
  <si>
    <t>Supply and Delivery of Toilet Bowl Cemented for various Barangays, Sipalay City, Negros Occidental</t>
  </si>
  <si>
    <t>Procurement of Sewing machines and Stainless Rack for Kitchen Utensils</t>
  </si>
  <si>
    <t>o hire contractor to provide materials, labor, and equipment for the “Additional Appropriation for the Improvement of Multi-Purpose Building, Brgy. Dungo-an, Manjuyod, Negros Oriental (N2FB-07-2020(B)</t>
  </si>
  <si>
    <t>Concreting of Local Road at Topas Proper, Nabua, Camarines Sur</t>
  </si>
  <si>
    <t>To hire contractor to provide materials, labor and equipment for six (6) Infrastructure Projects, viz: 1) Improvement of Brgy. Road, Pacuan, La Libertad, Neg. Or.; 2) Conc. of Brgy. Road Nasunggan, La</t>
  </si>
  <si>
    <t>SUPPLY, DELIVERY AND COMMISSIONING OF OPHTHALMIC ULTRASOUND A/B SCAN WITH UBM</t>
  </si>
  <si>
    <t>Procurement of Technical and Scientific Equipment (Lot 1. Speech Lab. [additional])</t>
  </si>
  <si>
    <t>Supply and Delivery of Goods for the Other Supply &amp; Materials for of 9IB, 9ID,PA (88,000.00)</t>
  </si>
  <si>
    <t>PROCUREMENT OF CONSTRUCTION MATERIALS AND SUPPLIES			 		FOR THE CONSTRUCTION OF NEW SB SESSION HALL			 		TABLES AND VICE MAYOR TABLE WITH ELECTRICAL CONNECTION</t>
  </si>
  <si>
    <t>Supply and Delivery of Two (2) Units Brand New Elf Trucks of the Municipality of Tabuelan, Cebu</t>
  </si>
  <si>
    <t>Supply and delivery of five (5) Units LAPTOP (RFQ2020-06-085)</t>
  </si>
  <si>
    <t>PURCHASE OF ELECTRICAL MATERIALS AND SUPPLIES</t>
  </si>
  <si>
    <t>Procurement of Office Supplies for 1st and 2nd Quarter</t>
  </si>
  <si>
    <t>1 Lot Fit Out Works of 2nd Floor Sun Plaza Building</t>
  </si>
  <si>
    <t>Procurement of Catering Services, Venue/Rental, Training Supplies &amp; Materials and Agricultural Supplies - Lot 2 - Venue/Rental</t>
  </si>
  <si>
    <t>Levothyroxine Thydin</t>
  </si>
  <si>
    <t>Supply and Delivery of Furniture and Fixture for the Newly Improved Legal Office</t>
  </si>
  <si>
    <t>Seminar on Organic Vegetable withextension support at Tabon-tabon, Leyte on August 7, 2020 (Services &amp; Starter kit)</t>
  </si>
  <si>
    <t>2020-05-0080 - PROCUREMENT OF ELECTRICAL SUPPLIES  FOR REPLACEMENT OF TIRES, BATTERY, AND ACCESSORIES OF TOYOTA HILUX WITH PLATE NUMBER 102006 UNDER PLANNING AND DESIGN SECTION</t>
  </si>
  <si>
    <t>Procurement of Printing Services of FPA FY2019 Annual Report</t>
  </si>
  <si>
    <t>PURCHASE OF RDT DETECTION OF DEGUE NSI ANTIGEN &amp; 1GM AND 1gG ANTIBODIES COMBINED, CHO</t>
  </si>
  <si>
    <t>Purchase/Acquisition of Fuel for the Maintenance of Municipal Vehicles &amp; Heavy Equipment</t>
  </si>
  <si>
    <t>PROVISION OF MEDICAL NEEDS AND SUPPLIES (DRUG AND MEDICINES)</t>
  </si>
  <si>
    <t>Purchase of IT Equipment for BM Famor Office use</t>
  </si>
  <si>
    <t>Construction of Multi-Purpose Building</t>
  </si>
  <si>
    <t>CONSTRUCTION OF FARM TO MARKET ROAD, PUROK 3, BARANGAY PACPACO, CITY OF SAN FERNANDO</t>
  </si>
  <si>
    <t>PROCUREMENT OF MATERIALS FOR ELECTRICAL TRANSMISSION OF ROAD NETWORK AT BALOBO RESETTLEMENT PHASE-1</t>
  </si>
  <si>
    <t>Rehabilitation of Purok Marker</t>
  </si>
  <si>
    <t>Procurement of Catering Services, Venue/Rental, Training Supplies &amp; Materials and Agricultural Supplies - Lot 3 - Training Supplies - PAGSO</t>
  </si>
  <si>
    <t>Supply and Delivery of Kitchen Supplies for HRM Laboratory of SDSSU Tagbina Campus</t>
  </si>
  <si>
    <t>Transformer</t>
  </si>
  <si>
    <t>Design and Build of 3-Storey Solar Powered Gender-Neutral Student Dormitory Building</t>
  </si>
  <si>
    <t>Purchase Office Supplies</t>
  </si>
  <si>
    <t>Gravelling of Road (Part of Villa Elena Subdivision)</t>
  </si>
  <si>
    <t>REQUEST FOR QUOTATION ON DRUGS AND MEDICINES</t>
  </si>
  <si>
    <t>Procurement of Office Equipment and supplies for Rural Health Unit, PNP and Office of the Educational Consultant</t>
  </si>
  <si>
    <t>Supply and delivery of  HARDWARE MATERIALS  re: For Improvement of Multi-Purpose Building @ Municipal Slaughter Compound, Brgy. Talaba, Atimonan, Quezon c/o Engineering Office.</t>
  </si>
  <si>
    <t>PROCUREMENT OF OFFICE SUPPLIES FOR LGU-DANAO, BOHOL 2ND QUARTER OF FY 2020</t>
  </si>
  <si>
    <t>Supply of fuel for the maintenance of InFRES FMR projects (Poblacion-San Jose FMR, Savoy-Sitio Tagaytay FMR and San Miguel-New Katipunan FMR)</t>
  </si>
  <si>
    <t>Fuel Consumption for Maasin LHIO</t>
  </si>
  <si>
    <t>SUPPLY AND DELIVERY OF IT EQUIPMENT AND ACCESSORIES FOR THE CITY HEALTH OFFICE – 2ND BIDDING</t>
  </si>
  <si>
    <t xml:space="preserve">Supply and Delivery of GNSS RTK System with Continuosly Operating Reference Station for the Faster Measurement of Surveying Data Collection of Complex Waterways, Rovers and Drainage Catchments within </t>
  </si>
  <si>
    <t>Construction of Bridge ( Phase I &amp; Phase II) at Antipolo Old, Nabua, Camarines Sur</t>
  </si>
  <si>
    <t>Supply and Delivery of Construction Materials and Supplies for the proposed OPSS Office and TSRU Redemption Center at the 2nd Flr. Engineering Building, OPSS-TSRU, Marikina City</t>
  </si>
  <si>
    <t>Supply and Delivery of various materials for the Fabrication of 30units Wooden Pallet L-8"  x W-4" x H-4", Sipalay City, Negros Occidental</t>
  </si>
  <si>
    <t>Procurement of Technical and Scientific Equipment (Lot 2. Science Laboratory Equipment)</t>
  </si>
  <si>
    <t>Training on Exploring Container Gardening Urban Gardening Organic Veg Production with extension support at Biliran on July 29-31, 2020(Services &amp; Starter kit)</t>
  </si>
  <si>
    <t>60	bags	PDP Feeds (50 kgs.), PR # 504-20</t>
  </si>
  <si>
    <t>Procurement of Various Catering Services [06-321(A)] PGO</t>
  </si>
  <si>
    <t>Support to various projects of Brgys. 1, 2, 6, 10, 18, 20, &amp; 23 snin</t>
  </si>
  <si>
    <t>Printing of Tarpaulins for Advocacy Materials of Senior High School</t>
  </si>
  <si>
    <t>4500 pc PARTICULATE RESPIRATOR &amp; SURGICAL MASK N-95</t>
  </si>
  <si>
    <t>Furnishing/Deliveries of Safety Gear and Equipment</t>
  </si>
  <si>
    <t>Purchase of Brochure for Kabankalan City use</t>
  </si>
  <si>
    <t>PRE-BID CONFERENCE 23/June/2020 - Procurement of Goods: Consolidated Office Supplies 2020 (2nd Quarter) (PR#100-20-05-0095, 100-20-05-0110, 100-20-05-0111, 100-20-05-0182)</t>
  </si>
  <si>
    <t>Supply/Delivery of Vermicast for STCBF Project</t>
  </si>
  <si>
    <t>Supply and Installation of 5 sets Tempered Frameless Glass Door</t>
  </si>
  <si>
    <t>Supply and Delivery of Office Equipment for City Administrators Office use.</t>
  </si>
  <si>
    <t>SUPPLY AND DELIVERY OF ICT OFFICE EQUIPMENT (CAPITAL OUTLAY) FOR MGB-X FOR FY 2020</t>
  </si>
  <si>
    <t>CONSTRUCTION OF SLOPE PROTECTION PUROK 1,2,3,4 &amp; 6, BARANGAY SANTIAGO NORTE</t>
  </si>
  <si>
    <t>PURCHASE OF DESKTOP COMPUTER ETC, CHO, CALBAYOG CITY</t>
  </si>
  <si>
    <t>MOOE 2020 2ND QUARTER OFFICE SUPPLIES</t>
  </si>
  <si>
    <t>SUPPLY OF LABOR &amp; MATERIALS FOR THE PRINTING OF NHA LETTERHEAD</t>
  </si>
  <si>
    <t>Backfilling (Near Municipal Trading Post)</t>
  </si>
  <si>
    <t>SERVICES FOR THE SHIPMENT OF MOTOR VEHICLE</t>
  </si>
  <si>
    <t>SUPPLY AND DELIVERY OF ONE (1) UNIT BRAND NEW GENERATOR SET FOR THE CITY HEALTH OFFICE – 2ND BIDDING</t>
  </si>
  <si>
    <t>SUPPLY AND DELIVERY OF GENERAL MERCHANDISE FOR VARIOUS PURCHASE REQUESTS OF THE CITY UNDER SMALL VALUE PROCUREMENT</t>
  </si>
  <si>
    <t>INF-ITB 20-003 - Supply and Installation of 1 lot Street Lights.</t>
  </si>
  <si>
    <t>Provision of Filing Cabinet, Printer and External Hard Drive</t>
  </si>
  <si>
    <t>Procurement of Catering Services, Venue/Rental, Training Supplies &amp; Materials and Agricultural Supplies - Lot 4 - Agricultural Supplies - PAGSO</t>
  </si>
  <si>
    <t>Construction of Fence at Evacuation Center</t>
  </si>
  <si>
    <t>Design and Build for the Construction of the Proposed Sewerage Treatment Plant of the Municipality of Coron.</t>
  </si>
  <si>
    <t>Procurement of Painting Materials and Supplies</t>
  </si>
  <si>
    <t>Purchase of BIOMETRIC MACHINE to be use of City Engineer's Office , City Hall and City Public Market., Silay City.</t>
  </si>
  <si>
    <t>Supply and Delivery of Other Supplies (M.O/MPOC)</t>
  </si>
  <si>
    <t>CONCRETING OF ACCESS ROAD @ SAN ROQUE ST., POBLACION, INFANTA, PANGASINAN</t>
  </si>
  <si>
    <t>REHABILITATION OF DAM, BARANGAY CALABUGAO</t>
  </si>
  <si>
    <t>Request for Quotation (Laptop, Etc.)</t>
  </si>
  <si>
    <t>RM Machinery Equip-ICT Equipment-OJ6-457,420.00</t>
  </si>
  <si>
    <t>Electrical installation of service entrance of San Antonio Barangay Hall at Brgy. San Antonio, Binan City, Laguna</t>
  </si>
  <si>
    <t>PROVISION FOR SUPPLIES AND MATERIALS FOR HOUSEKEEPING, FBS AND BARTENDING</t>
  </si>
  <si>
    <t>Supply and Delivery of Classmate Chair without Book Tray of SDSSU Tagbina Campus</t>
  </si>
  <si>
    <t>Supply and delivery of  HARDWARE MATERIALS  re: Fish Sanctuary &amp; Fishery Reserve Development  c/o  OMA</t>
  </si>
  <si>
    <t>1	unit	Water Tank, Capacity 10,000 L, Polyethelene, etc. PR # 512-20</t>
  </si>
  <si>
    <t>Purchase of One (1) Unit Computer Laptop</t>
  </si>
  <si>
    <t>Construction of Multi-Purpose Building (IT Building with Canopy)</t>
  </si>
  <si>
    <t>Periodic Preventive Maintenance of Aircon Units at DDB Offices</t>
  </si>
  <si>
    <t>Supply and Delivery of Materials for official use of SPUDMO</t>
  </si>
  <si>
    <t>Supply/Delivery of Wooden Chairs for Library</t>
  </si>
  <si>
    <t>Supply and Delivery of One (1) Unit Submersible Pump</t>
  </si>
  <si>
    <t>Supply and Delivery of Portland Cement</t>
  </si>
  <si>
    <t>Purchase of materials for INSET</t>
  </si>
  <si>
    <t>Supply and Delivery of Other Supplies (Mayor's Office)</t>
  </si>
  <si>
    <t>Purchase various tires for the use of Garbage Compactors and Mini Dumptrucks in the City of Talisay</t>
  </si>
  <si>
    <t>Improvement of Multi-Purpose Hall</t>
  </si>
  <si>
    <t>Supply and Delivery of Vehicle Parts and Accessories (consolidated PR's ) 00286-2020 / 00287-2020 / 00288-2020</t>
  </si>
  <si>
    <t>SUPPLY AND DELIVERY OF OFFICE FURNITURE AND EQUIPMENT FOR HRM OFFICE</t>
  </si>
  <si>
    <t>Purchase of Construction Materials for Construction of Hand Washing Don.E Hofileña Elementary School, Silay City.</t>
  </si>
  <si>
    <t>Concreting of Brgy Road</t>
  </si>
  <si>
    <t>REQUEST FOR QUOTATION SHOPPING OF (3 in 1) PHOTOCOPIER/SCANNER/PRINTER, LAPTOP, HARD DRIVE, FLASH DRIVE AND PRINTER</t>
  </si>
  <si>
    <t>Supply and Delivery of Construction Materials &amp; Supplies</t>
  </si>
  <si>
    <t>REHABILITATION OF FARM TO MARKET ROAD, PUROK 1, BARANGAY NAGYUBUYUBAN</t>
  </si>
  <si>
    <t>Supply and Delivery of Goods for Representation Expenses of 9IB,9ID,PA (95,000.00)</t>
  </si>
  <si>
    <t>1	unit	Motorcycle, PR # 518-20</t>
  </si>
  <si>
    <t>Supply and delivery of  MEDICAL, DENTAL &amp; LABORATORY SUPPLIES  re: For Rural Health Unit use</t>
  </si>
  <si>
    <t>Operation of Tourist Information Center - Tourism Office</t>
  </si>
  <si>
    <t>FITTINGS - ACRYLIC COUNTER SHIELDS</t>
  </si>
  <si>
    <t>Supply and Delivery of  Drugs and Medicines (M.O)</t>
  </si>
  <si>
    <t>IMPROVEMENT OF MPH II AT BALECBEC, NAGUILIAN, LA UNION.</t>
  </si>
  <si>
    <t>2020-03-0071 - PROCUREMENT OF VEHICLE PARTS AND ACCESSORIES FOR REPLACEMENT OF TIRES, BATTERY AND ACCESSORIES OF TOYOTA HILUX WITH PLATE NUMBER 102006 UNDER THE PLANNING AND DESIGN SECTION</t>
  </si>
  <si>
    <t>Procurement of Generator</t>
  </si>
  <si>
    <t>SUPPLY AND DELIVERY OF SUPPLIES AND MATERIALS  FOR BARANGAY ROAD CONCRETING-Ilihan Public Market</t>
  </si>
  <si>
    <t>Procurement of MEDICAL SUPPLIES for the Use of DOPH LUPON</t>
  </si>
  <si>
    <t>Delivery and Installation of 3 Units Split Type Aircon at MDRRMO Office</t>
  </si>
  <si>
    <t>20	Packs/Cans	Squash seeds(100 gms.), etc. PR # 520-20</t>
  </si>
  <si>
    <t>Procurement of  One (1) Lot Construction Materials</t>
  </si>
  <si>
    <t>HP 680</t>
  </si>
  <si>
    <t>Provision of School Electrical Supplies</t>
  </si>
  <si>
    <t>PR GULAYAN</t>
  </si>
  <si>
    <t>Supply/Delivery of Charging Counter for Library</t>
  </si>
  <si>
    <t>Supply Catering Services during the Conduct of Video Tele Conference Meeting w Local Executives at Tacloban City</t>
  </si>
  <si>
    <t>SUPPLY AND DELIVERY OF OFFICE SUPPLIES (2nd Bidding)</t>
  </si>
  <si>
    <t>Payment for Print out of POW,DUPA and DED (A3 size) of Rehabilitation of Seawall and Drainage Sytem</t>
  </si>
  <si>
    <t>Job Order-Labor and Materials Repair of Wooden main Gate and other facilities in support to Aquatourism Technology P{roject</t>
  </si>
  <si>
    <t>Supply and Delivery of 50 Reams Bond Paper Long and other various items.</t>
  </si>
  <si>
    <t>LOT Procurement of MATERIALS for Use in Urban Greening and Landscaping of the TOURISM PREMISES</t>
  </si>
  <si>
    <t>ITB 20-004 - Supply and Delivery of 1 lot Closed Circuit Television (CCTV).</t>
  </si>
  <si>
    <t>Purchase of Ink</t>
  </si>
  <si>
    <t>Supply and Delivery of Electrical Materials for Rewiring of Generator Set</t>
  </si>
  <si>
    <t>OFFICE SUPPLIES  (MBO 1ST &amp; 2ND QUARTER)</t>
  </si>
  <si>
    <t>Construction of Camaa Hanging Footbridge</t>
  </si>
  <si>
    <t>aircon for library</t>
  </si>
  <si>
    <t>Supply, Delivery and Installation of Electro-Mechanical Equipment and Design for Pump Station, Construction of Pump House and Installation of Medium/Voltage for Pumping Station Power Supply</t>
  </si>
  <si>
    <t>REHABILITATION OF BARANGAY ROAD, PUROK 2, BARANGAY PAO SUR</t>
  </si>
  <si>
    <t>SUPPLY AND DELIVERY OF HYGIENE DISINFECTANT SUPPLIES AND MEDICAL SUPPLIES FOR DEPED DIVISION OFFICE</t>
  </si>
  <si>
    <t>Rice bran D2</t>
  </si>
  <si>
    <t>Procurement of Fertilizers and Chemicals for Abaca Expansion under Coconut</t>
  </si>
  <si>
    <t>Med. Sup. COVID !9</t>
  </si>
  <si>
    <t>Construction of Reservoir</t>
  </si>
  <si>
    <t>INSTALLATION OF STREETLIGHTS</t>
  </si>
  <si>
    <t>Supply and delivery of  BIOMETRIC MACHINES  re:  For Various Offices use   c/o  HRMO.</t>
  </si>
  <si>
    <t>Supply of Labor &amp; Materials for Repair &amp; Maintenance of Two (2) Units Treated Water Pumps</t>
  </si>
  <si>
    <t>Procurement of TIRES for Use in Mitsubishi Estrada of the Provincial Engineer’s Office</t>
  </si>
  <si>
    <t>Supply and Delivery of  DENTAL EQUIPMENT/FACILITY</t>
  </si>
  <si>
    <t>Bantay Mangrove Outpost</t>
  </si>
  <si>
    <t>SUPPLY &amp; DELIVERY OF CONSTRUCTION MATERIALS FOR THE REPAIR &amp; MAINTENANCE OF BUILDING AND OTHER STRUCTURE</t>
  </si>
  <si>
    <t>Covid 19 Response Medical Supply</t>
  </si>
  <si>
    <t>Copra Meal</t>
  </si>
  <si>
    <t>Purchase of Construction Supplies and Materials</t>
  </si>
  <si>
    <t>MO Office Supplies</t>
  </si>
  <si>
    <t>Request for Quotation (SUPPLY OF LABOR AND MATERIALS FOR THE REPLACEMENT OF CARPET)</t>
  </si>
  <si>
    <t>AUTOMATED EXTERNAL DEFIBRILLATOR (AED)</t>
  </si>
  <si>
    <t>INSTALLATION OF LED STREET LIGHTS ALONG NATIONAL ROAD AT STA. CRUZ, ALITAGTAG, BATANGAS</t>
  </si>
  <si>
    <t>RFQ 06-03-2020 Item D</t>
  </si>
  <si>
    <t>REQUEST FOR QUOTATION       SHOPPING OF PORTABLE SOUND SYSTEM, SOUND SYSTEM, CAMERA,  REFRIGERATOR, TELEVISION &amp; ELECTRIC OVEN</t>
  </si>
  <si>
    <t>PROCUREMENT OF FOUR (4) UNITS OF LAPTOP</t>
  </si>
  <si>
    <t xml:space="preserve">INVITATION TO SUBMIT PRICE QUOTATION    PROCUREMENT OF   BRAND NEW ADMINISTRATIVE FACILITIES AND EQUIPMENT      FOR NFA EASTERN VISAYAS REGIONAL  OFFICE VIII AND NFA  PROVINCIAL OFFICES  (Small Value </t>
  </si>
  <si>
    <t>City Projects</t>
  </si>
  <si>
    <t>1 lot General Repair of Toyota Hi-Ace Van SGY 139 (Labor &amp; Materials), JSOR 64-20</t>
  </si>
  <si>
    <t>20PJ0053: Repair/ Rehabilitation of National Road along Nueva Vizcaya- Ifugao Mt. Province Boundary Road, K0335+550- K0351+187 (Intermitent Section)</t>
  </si>
  <si>
    <t>ITB NO. GOP/20-DSWD-041 - Provision of Multi-Year Contract for the Hiring of Service Provider for the Preventive Maintenance of the Passenger Elevator at DSWD - Central Office for CY 2020-2022</t>
  </si>
  <si>
    <t>Construction of Steel Footbridge at Brgy. Acle</t>
  </si>
  <si>
    <t>CONSTRUCTION OF CONCRETE FLUME TYPE DRAINAGE CANAL, PUROK 2 &amp; 3, BARANGAY DALLANGAYAN ESTE</t>
  </si>
  <si>
    <t>Procurement of Air-Conditioner (City Engineering Office)</t>
  </si>
  <si>
    <t>Supply and Delivery of One (1) Lot Vegetable Seeds.</t>
  </si>
  <si>
    <t>OFFICE SUPPLIES (2ND QUARTER MACCO)</t>
  </si>
  <si>
    <t>Supply and Delivery of Drugs and Biologics</t>
  </si>
  <si>
    <t>MO Office Supplies (2)</t>
  </si>
  <si>
    <t>PURCHASE OF CONSTRUCTION MATERIALS AND SUPPLIES FOR LUCENA CES</t>
  </si>
  <si>
    <t>CATERING SERVICES DURING THE 2020 MUNICIPAL DEVELOPMENT COUNCIL ANNUAL PLANNING CONFERENCE</t>
  </si>
  <si>
    <t>Purchase of Materials for Laur Water System at Laur, Nueva Ecija</t>
  </si>
  <si>
    <t>RFQ 2020-06-335 Procurement of Manila Banner</t>
  </si>
  <si>
    <t>Supply and Delivery of materials for Replacement of Roofing and Repair of SMAW Building</t>
  </si>
  <si>
    <t>Various Office Supplies</t>
  </si>
  <si>
    <t>2020-060, COMPLETION OF COVERED COURT AT BARANGAY NALIN, MIDSAYAP, COTABATO</t>
  </si>
  <si>
    <t>20PJ0054: Repair/ Rehabilitation of Damage Existing Portland Cement Concrete Pavement (PCCP) along Banaue- Mayoyao- Alfonso Lista- Isabela Boundary Road, K0430+400- K0431+500, (Intermittent Section)</t>
  </si>
  <si>
    <t>DREDGING OF CAYAPA RIVER</t>
  </si>
  <si>
    <t>OFFICE SUPPLIES (MEO 1ST &amp; 2ND QUARTER)</t>
  </si>
  <si>
    <t>RICE20-06-11-0763 Provide Catering Services good for 30 pax during the conduct of DA-RFO 8 Program Level 2nd Quarter Assessment CY 2020</t>
  </si>
  <si>
    <t>OTOP Production Building Extension Completion</t>
  </si>
  <si>
    <t>Construction of Slope Protection at SO. Bancalan, Brgy Magahis</t>
  </si>
  <si>
    <t>Construction of TB Dots</t>
  </si>
  <si>
    <t>Dumping of Aggregates on the ground of TESDA MIMAROPA Provincial Training Center</t>
  </si>
  <si>
    <t>REQUEST FOR QUOTATION SHOPPING OF WASHABLE FACEMASK, ALCOHOL, VITAMIN C, ORAL ANTISEPTIC, WET WIPES AND MOPBUCKET</t>
  </si>
  <si>
    <t>Supply and Delivery of 1 Bottle Ammonium Iron Citrate and other various Laboratory Supplies.</t>
  </si>
  <si>
    <t>MO Office Supplies (3)</t>
  </si>
  <si>
    <t>OFFICE SUPPLIES EXPENSE (CRSAFP-PHP65,630.00)</t>
  </si>
  <si>
    <t>Purchase of Monoblocks and Water Dispenser</t>
  </si>
  <si>
    <t>Supply and Delivery of  Animal Feeds &amp; Vitamins use for Organic Swine for 3rd Quarter 2020</t>
  </si>
  <si>
    <t>Supply and Delivery of various materials for the Replacement /Re-Wiring of Streetlights along Mercedez Blvd. Barangay II, Sipalay City, Negros Occidental</t>
  </si>
  <si>
    <t>Procurement of 456 Bags NP Compound (Multi-Functional Fertilizer) in Support to Rice Farmers of the Province in the Rainfed Rice Areas</t>
  </si>
  <si>
    <t>RFQ147 For use of TB Reference Laboratory Xpert Xpress SARSCoV2 Testing Laboratory</t>
  </si>
  <si>
    <t>Pump &amp; Engine Set for LSA - MG Mantilla's Farm</t>
  </si>
  <si>
    <t>For the Training Supplies of Housekeeping NC II</t>
  </si>
  <si>
    <t>Purchase of Vehicle Repair and Maintenance For DTN-04 MODEL CWB-459H	Under P.R. No. 30-20-03-034</t>
  </si>
  <si>
    <t>Purchase of various Medicine</t>
  </si>
  <si>
    <t>Purchase of office supplies for use in the Bids and Awards Committee (BAC) Office, LGU, Bato, Leyte</t>
  </si>
  <si>
    <t>IMPROVEMENT OF POB. EAST ACCESS ROAD</t>
  </si>
  <si>
    <t>Concreting of Barangay Road in Brgy. Rillo</t>
  </si>
  <si>
    <t>Supply and Delivery of Spare Parts for NIA Office Equipment</t>
  </si>
  <si>
    <t>LAPTOP AND PRINTER</t>
  </si>
  <si>
    <t>Hilux Maintenance</t>
  </si>
  <si>
    <t>Supply and Delivery of Item No. 1: 12 pcs. TN-3350 Toner Catridge, as per BSP Technical Specifications and Terms and Conditions</t>
  </si>
  <si>
    <t>20PJ0055: Repair/ Maintenance of DPWH Building, Alfonso Lista, Ifugao</t>
  </si>
  <si>
    <t>Provision for the Procurement and Refill of Fire Extinguisher for Senior High School</t>
  </si>
  <si>
    <t>Rehabilitation of  Barangay Road in Brgy. Talon</t>
  </si>
  <si>
    <t>2020-061, CONSTRUCTION OF 2 UNITS WATER SYSTEM LEVEL II AT PUROK 5 AND 10,   MALAMOTE, MIDSAYAP, COTABATO</t>
  </si>
  <si>
    <t>CONSTRUCTION OF DRAINAGE CANAL</t>
  </si>
  <si>
    <t>SUPPLY AND DELIVERY OF ELECTRICAL SUPPLIES</t>
  </si>
  <si>
    <t>MEALS AND SNACKS FOR MODULAR INSTRUCTION AS LEARNING DELIVERY FOR EFFECTIVE REMOTE EDUCATION (MILDER ED)</t>
  </si>
  <si>
    <t>Supply and Delivery of Medical &amp; Dental Equipment</t>
  </si>
  <si>
    <t>Procurement of Meals &amp; Snacks (MAO)</t>
  </si>
  <si>
    <t>OFFICE SUPPLIES (THIRD QUARTER MACCO)</t>
  </si>
  <si>
    <t>Emergency purchase of 100 sets Rapid Test Kits to be Used by the COVID-19 Task Force Frontliners in performing Rapid Test for Returning Locally Stranded Individuals at the borders of Ilocos Sur</t>
  </si>
  <si>
    <t>Provision of Black Hose</t>
  </si>
  <si>
    <t>Purchase of Construction Materials used for the Improvement of Pathwalk at Pag-asa Compound, Brgy. Ampid, San Mateo, Rizal</t>
  </si>
  <si>
    <t>Painting of Guinsiliban Covered Court Roofing</t>
  </si>
  <si>
    <t>LOT Procurement of MATERIALS for Use in the Improvement of Potable Water System at Brgy. Bobonao, Baganga, Davao Oriental</t>
  </si>
  <si>
    <t>Request for Quotation for the Provision of Veterinary Products and Supplies to be used as Extension support to LGUs providing AI Services.</t>
  </si>
  <si>
    <t>Supply &amp; delivery of Office, It &amp; Janitorial Supplies for use at the Sangguniang Panlungsod &amp; Office of the City Vice Mayor for the 2nd Quarter of 2020, Laoag City</t>
  </si>
  <si>
    <t>Cabinets</t>
  </si>
  <si>
    <t>Procurement of Materials for the Refurbishment of Study Park and Provision of Two(2) Handwashing Facilities (CIS)</t>
  </si>
  <si>
    <t>Repair And Repainting Of Runway, Taxiway and Apron Markings And Markers   At Virac Airport</t>
  </si>
  <si>
    <t>RFQ-OTHER SUPPLIES AND MATERIALS  FERD</t>
  </si>
  <si>
    <t>PURCHASE OF BOND PAPERS</t>
  </si>
  <si>
    <t>Repair of Communal CR at Municipal Gym and Municipal site</t>
  </si>
  <si>
    <t>Purchase of Office Supplies</t>
  </si>
  <si>
    <t>RM Buildings</t>
  </si>
  <si>
    <t>SUPPLY AND DELIVERY OF COMPUTER DESKTOP, ETC.</t>
  </si>
  <si>
    <t>Concreting of Barangay Road of Brgy. Bayudbud</t>
  </si>
  <si>
    <t>BAC Office Supplies</t>
  </si>
  <si>
    <t>CONSTRUCTION OF RUBBLE-MOUND SEAWALL</t>
  </si>
  <si>
    <t>Procurement of Various Catering Services - PAGSO</t>
  </si>
  <si>
    <t>Agricultural Supplies for Nursery @ NCD</t>
  </si>
  <si>
    <t>LOT Procurement of MATERIALS for Use in the Construction of Multi-Purpose Building (Fabrication of Paving Blocks &amp; Installation of Tiles) at Sitio Magay, Brgy. DMM, City of Mati, Davao Oriental</t>
  </si>
  <si>
    <t>Construction of Multi-Purpose Concrete Pavement (Solar Dryer)15.00m x 28.00 So. Calagmakan 2, Brgy. Camindangan, Sipalay City, Neg. Occ.</t>
  </si>
  <si>
    <t>SUPPLY AND DELIVERY OF ICT OFFICE SUPPLIES FOR MGB-X FOR FY 2020 - MOOE [069-2020 (3)]</t>
  </si>
  <si>
    <t>Repair &amp; Maintenance of Other Structure (OJ4-PhP432,036.04)</t>
  </si>
  <si>
    <t>SUPPLY &amp; DELIVERY OF MEDICAL SUPPLIES</t>
  </si>
  <si>
    <t>Supply and Delivery for the City Disaster Risk Reduction and Management Office (CDRRMO) under P.R.No. 0999-2020-Subject to Ordering Agreement Arrangement-2nd bidding</t>
  </si>
  <si>
    <t>20PJ0056: Repair/ Maintenance of DPWH Building Satellite Building, Gate and Perimeter Wall, Banaue, Ifugao</t>
  </si>
  <si>
    <t>CONTINUATION OF FARM TO MARKET ROAD, BARANGAY PAO NORTE LEADING TO SACYUD</t>
  </si>
  <si>
    <t>Supply and Delivery of Pest Control Equipment (Misting Machine)</t>
  </si>
  <si>
    <t>Purchase of Construction Materials used for the Construction of Multi-purpose Hall at Rafaela 2 Subd., Brgy. Ampid I, San Mateo, Rizal</t>
  </si>
  <si>
    <t>Procurement of Medical grade air purifier for Covid 19</t>
  </si>
  <si>
    <t>Procurement of Two (2) units Split Type Inverter Aircon</t>
  </si>
  <si>
    <t>CONSTRUCTION OF EXTENSION OF 2nd FLOOR OF THE MULTI -PURPOSE BUILDING LOCATED AT BRGY. SAN AURELIO 3rd, BALUNGAO, PANGASINAN</t>
  </si>
  <si>
    <t>Complete Set Fiber Glass Board for the Sports Activities of Lowland and Upland Barangays</t>
  </si>
  <si>
    <t>RFQ No. 2020-06-0067-B Termite Control Treatment for the use of Regional Rehabilitation Center for Youth, Nueva Valencia, Guimaras</t>
  </si>
  <si>
    <t>VARIOUS COMPUTER ACCESSORIES</t>
  </si>
  <si>
    <t>Supply and Delivery of Retirement Ring for the Retirees</t>
  </si>
  <si>
    <t>SUPPLY &amp; DELIVERY OF FITTINGS (18 ITEMS)</t>
  </si>
  <si>
    <t>RIPRAPPING OF FLOOD CONTROL @ SITIO KATAGBAKAN BRGY. GASANG, MABINI, BATANGAS</t>
  </si>
  <si>
    <t>Repair And Repainting Of Runway, Taxiway and Apron Markings And Markers   At Masbate Airport</t>
  </si>
  <si>
    <t>DRUGS AND MEDICINES/IB No. MM-2020-024(m)</t>
  </si>
  <si>
    <t>REQUEST FOR QUOTATION SHOPPING OF CONFERENCE TABLE WITH CLERICAL CHAIR, CLERICAL TABLE WITH CLERICAL CHAIR, CENTER TABLE, SOFA &amp; STEEL CABINET</t>
  </si>
  <si>
    <t>Rehabilitation of Barangay Road at Brgy. Lumbangan</t>
  </si>
  <si>
    <t>Procurement of Reagents for Laboratory Use of Rural Health Unit</t>
  </si>
  <si>
    <t>ROAD CONSTRUCTION WITH DRAINAGE CANAL AT PUROK 8A, BACACA, BARANGAY 19-B, POBLACION DISTRICT, DAVAO CITY</t>
  </si>
  <si>
    <t>20PL0104 - Construction of Pinukpuk-Balbalan Road (Bal - Aba-Aba Section), Brgy. Ballayangon, Pinukpuk, Kalinga</t>
  </si>
  <si>
    <t>CONTINUATION OF CONSTRUCTION OF BARANGAY HALL AT BARANGAY SAN JULIAN, BALUNGAO, PANGASINAN</t>
  </si>
  <si>
    <t>Procurement of Consulting Services for the Philippine International Dive Expo (PHIDEX) Virtual Platform</t>
  </si>
  <si>
    <t>Operation of Public Market - MTO</t>
  </si>
  <si>
    <t>Proc of 2 bxs Amoxicillin 500mg Cap and 41 L/I</t>
  </si>
  <si>
    <t>PROCUREMENT OF TWO (2) UNITS FLOOR MOUNTED AIRCON, SB OFFICE, TIGBAUAN, ILOILO</t>
  </si>
  <si>
    <t>Construction Supplies and Materials for LSA - MG Mantilla's Farm</t>
  </si>
  <si>
    <t>SUPPLY AND DELIVERY OF LAPTOP COMPUTER, PRINTER SWITCH, ETC. FOR SP SECRETARY</t>
  </si>
  <si>
    <t>CONCRETING OF 6INCHES X 4.0M X 50 LINEAR METER FARM TO MARKET ROAD AT SITIO CABARUAN KAKULIBANG - BANGAN AND CADAMPAYAN, BARANGAY ESMERALDA, BALUNGAO, PANGASINAN</t>
  </si>
  <si>
    <t>Purchase of Materials for the Stage Improvement/Construction</t>
  </si>
  <si>
    <t>PURCHASE OFFICE SUPPLY</t>
  </si>
  <si>
    <t>Rehabilitation of 10 Child Development Centers</t>
  </si>
  <si>
    <t>AUGMENTATION OF SSF FOR KALAMANSIG COFFEE INDUSTRY DEVELOPMENT COUNCIL, INC. FOR COFFEE PROCESSING</t>
  </si>
  <si>
    <t>PR OFFICE SUPPLIES</t>
  </si>
  <si>
    <t>IMPROVEMENT ALONG ILOCOS SUR-ABRA ROAD</t>
  </si>
  <si>
    <t>SUPPLY AND DELIVERY OF LAPTOP, PRINTER, ETC. FOR PROVINCIAL ADMINISTRATOR'S OFFICE</t>
  </si>
  <si>
    <t>Chairs &amp; Tables for LSA - JRS Diversified Agri-Farm</t>
  </si>
  <si>
    <t>Construction of MRF Expansion Perimeter Fence</t>
  </si>
  <si>
    <t>ESTABLISHMENT OF A CENTRALIZED EEM CCTV: AUXILIARY WET MARKET AND DRY MARKET</t>
  </si>
  <si>
    <t>TIRES 255/60 R16/SVP No. U-2020-06-001</t>
  </si>
  <si>
    <t>EVACUATED TUBES</t>
  </si>
  <si>
    <t>CATERING SERVICES/SVP No. T-2020-06-009</t>
  </si>
  <si>
    <t>Procurement of Fuel, Oil and Lubricants - PAGSO</t>
  </si>
  <si>
    <t>LIVESTOCK BREEDING PROGRAM</t>
  </si>
  <si>
    <t>20PL0116 - Concreting of Sitio Turod to Sitio Burubur (Phase II) FMR, Brgy. Bulo, Tabuk City, Kalinga</t>
  </si>
  <si>
    <t>CONTINUATION OF CONSTRUCTION OF BARANGAY MULTI - PURPOSE HALL OF ESMERALDA, BALUNGAO, PANGASINAN</t>
  </si>
  <si>
    <t>Supply and Delivery of Other Supplies (M.O/Cultural)</t>
  </si>
  <si>
    <t>Safemist Fog Machine</t>
  </si>
  <si>
    <t>Concreting of Barangay Road at Brgy. Dalima</t>
  </si>
  <si>
    <t>REHABILITATION OF MULTI-PURPOSE HALL @ BRGY. TALAGA PROPER, MABINI, BATANGAS</t>
  </si>
  <si>
    <t>Labor Charge for decoration including flowers used for Blessing Road Rehabilitation (Pasil) Poblacion, Talibon Bohol</t>
  </si>
  <si>
    <t>Rehabilitation of Barangay Road at Brgy. Dalima</t>
  </si>
  <si>
    <t>Proposed Construction of 120m Sidewalk with Curbes and Gutter at Barangay San Pedro, San Pablo City, Laguna</t>
  </si>
  <si>
    <t>LEASE RENTAL OF AIRCONDITIONING UNIT  (1)</t>
  </si>
  <si>
    <t>Ink (70ml) bottle for three (3) Epson L565 Printers (3 btls Epson T664 Black; 1 btl Epson T664 Yellow; 1 btl Epson T664 Magenta; 1 btl Epson T664 Cyan); Ink bottle (65ml) for Epson L5190 Printer (1 bt</t>
  </si>
  <si>
    <t>Concreting of Access Road at Brgy. Magahis (MRF)</t>
  </si>
  <si>
    <t>Provision Of Runway Markers And Markings At Bacon Airport</t>
  </si>
  <si>
    <t>RFQ</t>
  </si>
  <si>
    <t>CCTV for barangay @ Salaban II, Ibaan, Batangas</t>
  </si>
  <si>
    <t>Supply and Delivery of Facility Equipment for the use of City Mayor’s Office</t>
  </si>
  <si>
    <t>ICT Equipment for LSA - JRS Diversified Agri-Farm</t>
  </si>
  <si>
    <t>RPQ and PR FOR VARIOUS OFFICE SUPPLIES</t>
  </si>
  <si>
    <t>DETAILED ENGINEERING  STUDY/DESIGN  OF WARAS  SRIP,  IRIGA CITY, CAMARINES SUR</t>
  </si>
  <si>
    <t>SVP FOR THE SUPPLY AND DELIVERY OF 5-UNITS AIRCONDITIONING UNITS (REBIDDING)</t>
  </si>
  <si>
    <t>Health Kit &amp; Health Supplements for our Children, Children with Special Needs,Elderly</t>
  </si>
  <si>
    <t>Procurement of Internet Security Anti-Virus</t>
  </si>
  <si>
    <t>PROCUREMENT AND DELIVERY OF AGRICULTURAL PRODUCTS (Seedlings) for LSWMU, VSU-Main, Visca, Baybay City, Leyte (PSMO20-06-0268)</t>
  </si>
  <si>
    <t>Procurement of Digital Multi Function Copier</t>
  </si>
  <si>
    <t>20PL0117 - Construction/Concreting of the Tabuk City, Kalinga - Tuao, Cagayan Road via the Burayugan-San Francisco-Naruangan Section, Cagayan Road, Tabuk City, Kalinga</t>
  </si>
  <si>
    <t>Procurement of Various Medical Equipment for CY 2020</t>
  </si>
  <si>
    <t>Proposed Purchase of 3 Units CCTV Cameras and 3 Units Public Adress Speakers at Barangay San Pedro, San Pablo City, Laguna</t>
  </si>
  <si>
    <t>Incubator for LSA - DAJ Diversified Farm</t>
  </si>
  <si>
    <t>Provision Of Runway Markers And Markings At Bulan Airport</t>
  </si>
  <si>
    <t>PROCUREMENT OF BRAND NEW OF 10W DUMP TRUCK</t>
  </si>
  <si>
    <t>PROVISION OF LABOR AND MATERIALS FOR THE CONSTRUCTION OF  CONCRETE STEP LADDERS AND HAND RAILINGS IN CAPE ENGAÑO, PALAUI ISLAND PROTECTED LANDSCAPE AND SEASCAPE (PIPLS)</t>
  </si>
  <si>
    <t>MTO Operation of BPLS</t>
  </si>
  <si>
    <t>VARIOUS MEDICINE AND DENTAL MATERIALS</t>
  </si>
  <si>
    <t>DRRM Information Signage to be installed at LGU Compound</t>
  </si>
  <si>
    <t>supplying laptop, etc. for use in the Office of SP Secretariat, SP, Boac, Marinduque</t>
  </si>
  <si>
    <t>CONSTRUCTION OF MULTI-PURPOSE CENTER/EVACUATION CENTER IN BARANGAY BINANOGAN, VALDERRAMA (Brgy. Binanogan, Valderrama, Antique)/IB. NO. K-2020-023(SC)</t>
  </si>
  <si>
    <t>FINISHING OF BARANGAY HALL AT BARANGAY SAN MARCELINO, BALUNGAO, PANGASINAN</t>
  </si>
  <si>
    <t>PROCUREMENT OF CCTV  INSTALLATION</t>
  </si>
  <si>
    <t>INVITATION TO QUOTE FOR PRINTING SERVICES (Books and Publicationl) for DLABS, VSU-Main, Baybay City, Leyte (PSMO20-06-0277)</t>
  </si>
  <si>
    <t>Hammer Mill for LSA - DAJ Diversified Farm</t>
  </si>
  <si>
    <t>Construction of San Miguel Fire Station Building, San Miguel, Surigao del Norte, Caraga Region</t>
  </si>
  <si>
    <t>CONSTRUCTION OF MULTI-PURPOSE ALL WEATHER FACILITY</t>
  </si>
  <si>
    <t>Supply and Delivery of Various Grocery Items</t>
  </si>
  <si>
    <t>CONSTRUCTION OF MULTI-PURPOSE CENTER/EVACUATION CENTER IN BARANGAY MANLACBO, VALDERRAMA (Brgy. Manlacbo, Valderrama, Antique)/IB. NO. K-2020-024(SC)</t>
  </si>
  <si>
    <t>200 btls Alcohol 70% Solution 250ml; 50 pcs Battery AAA; 50 pcs Battery AA; 200 pcs Ballpen (100 Black/100 Blue); 100 pcs Correction Tape (Pro Tip); 100 rolls Scotch Tape (1”); 24 rolls Duct Tape (478</t>
  </si>
  <si>
    <t>printing of Identification Card (ID's) for distribution to the residents of Barangay in the six (6) municipalities, provincewide, PGO, Boac, Marinduque</t>
  </si>
  <si>
    <t>RFQ NO. 2020-029- WASTE WATER QUALITY MONITORING AND ANALYSIS</t>
  </si>
  <si>
    <t>Supply and Delivery of Office supplies of HHSBN (P77,143.00)</t>
  </si>
  <si>
    <t>Supply and delivery of 1 unit Heavy Duty Shredder to be used at the Office of the RTD for Research and Regulatory</t>
  </si>
  <si>
    <t>REHABILITATION OF CALANASAN SPORTS &amp; CULTURAL/EVACUATION CENTER</t>
  </si>
  <si>
    <t>10	box	Paper Clip, 33mm, 100 pieces, etc. PR # 509-20</t>
  </si>
  <si>
    <t>SO-OPD20-012 - Seven (7) New Areas in Bohol under the Off-Grid Electrification Project</t>
  </si>
  <si>
    <t>Procurement of Various Planting Materials and Fertilizers - Lot 1 - Planting Materials - PAGSO</t>
  </si>
  <si>
    <t>10 pcs Hydraulic Filter – BT359; 10 pcs Engine Oil Filter – W11102</t>
  </si>
  <si>
    <t>IMPROVEMENT OF MAYOR'S OFFICE (MUNICIPAL HALL)</t>
  </si>
  <si>
    <t>CONSTRUCTION OF MULTI-PURPOSE HALL (Brgy. Inabasan Sur, Hamtic, Antique )/IB. NO. K-2020-028(SC)</t>
  </si>
  <si>
    <t>Preventive Maintenance of GCMS RO-6</t>
  </si>
  <si>
    <t>FURNISHING AND DELIVERY OF TELCO CARDS FOR SB OFFICES</t>
  </si>
  <si>
    <t>CONTSRUCTION/IMPROVEMENT/REHABILITATION OF LINE CANAL &amp; PATHWA7Y @ BRGY. BULACAN, MABINI, BATANGAS</t>
  </si>
  <si>
    <t>Summer In Service Training 2020-2021</t>
  </si>
  <si>
    <t>Request for Quotation for the supply and delivery of HDPE (Sdr.11) - ½”Ø</t>
  </si>
  <si>
    <t>CONTINUATION ON OF 1st &amp; 2nd FLOOR OF BARANGAY MULTI - PURPOSE BUILDING LOCATED AT BARANGAY SAN LEON, BALUNGAO, PANGASINAN</t>
  </si>
  <si>
    <t>CONCRETING OF SITIO ALIGTUS-IGPALGE ROAD, BARBAZA (Barbaza, Antique)/IB. NO. K-2020-049(SC)</t>
  </si>
  <si>
    <t>SUPPLIES AND MATERIALS FOR SCHOOL-BASED INSET</t>
  </si>
  <si>
    <t>PROCUREMENT OF GOODS FOR THE VARIOUS LIVELIHOOD PROJECTS OF LGU-VALDERRAMA, ANTIQUE</t>
  </si>
  <si>
    <t>Replacement of Motor Inverter Compressor</t>
  </si>
  <si>
    <t>PROCUREMENT OF OFFICE SUPPLIES, IT SUPPLIES AND JANITORIAL SUPPLIES</t>
  </si>
  <si>
    <t>MESSENGERIAL SERVICES FOR THE YEAR 2020 OF SSS DAET</t>
  </si>
  <si>
    <t>Procurement of One (1) Unit Service Veicle for use of the City Government of Tarlac. B2020-075-A</t>
  </si>
  <si>
    <t>CONCRETING OF POJO-HATAY-HATAY ROAD (Bugasong, Antique)/IB. NO. K-2020-056(SC)</t>
  </si>
  <si>
    <t>IMPROVEMENT OF BRGY. BALAWEG-MAPISI CIS</t>
  </si>
  <si>
    <t>SUPPLY AND DELIVERY OF ICT OFFICE EQUIPMENT &amp; SOFTWARES - MOOE [069-2020 (2)]</t>
  </si>
  <si>
    <t>8 boxes Ink Advantage Black 678 Black Hitam; 15 boxes Advantage Black 678 Tri-Color</t>
  </si>
  <si>
    <t>SUPPLY &amp; DELIVERY OF PRINTING SUPPLIES</t>
  </si>
  <si>
    <t>Procurement of Bin Cards and Stock Cards</t>
  </si>
  <si>
    <t>Troubleshooting,Repair &amp; Cleaning of ACU</t>
  </si>
  <si>
    <t>the Procurement of Various Planting Materials and Fertilizers - Lot 2 - Fertilizers - PAGSO</t>
  </si>
  <si>
    <t>Module Survey Project 2020 New Lands</t>
  </si>
  <si>
    <t>Construction Supplies &amp; Materials for LSA - Basmayor Farm</t>
  </si>
  <si>
    <t>Janitorial Manpower Services</t>
  </si>
  <si>
    <t>MTO Operation of ITAX System</t>
  </si>
  <si>
    <t>6 Ink HP #85A Black Laserjet</t>
  </si>
  <si>
    <t>Request for Quotation for the supply and delivery of HDPE (Sdr.11) - 8”Ø P.E. Tube 8”x6meters</t>
  </si>
  <si>
    <t>PURCHASE OF MONOBLOC CHAIRS</t>
  </si>
  <si>
    <t>One (1) Lot Media Monitoring and Analysis of Print, Online, and Broadcast News Reports and Social Media Posts covering the Bangko Sentral ng Pilipinas (BSP) and Related Economic and Financial News, as</t>
  </si>
  <si>
    <t>SUPPLY, DELIVERY, INSTALLATION, CABLING, CONFIGURATION AND COMMISSIONING OF ICT EQUIPMENT FOR OPERATION CENTERS, REGION 2, 10, 12 AND CARAGA</t>
  </si>
  <si>
    <t>Supply and Delivery of Tire for various Municipal Equipment of LGU Matalam</t>
  </si>
  <si>
    <t>Printing Services of Tabloid in MinSCAT Main Campus</t>
  </si>
  <si>
    <t>Invitation to submit quotation for the repair of vehicle isuzu elf</t>
  </si>
  <si>
    <t>Request for Quotation for the supply and delivery of uPVC 4” &amp; 6”</t>
  </si>
  <si>
    <t>Procurement of Office Supplies and Cleaning Materials</t>
  </si>
  <si>
    <t>Purchase of 2 units Air Condition (Window Type) 2.5 HP (with installation) for use at the Laoag City General Hospital</t>
  </si>
  <si>
    <t>Service Maintenance for City Hall ACU System</t>
  </si>
  <si>
    <t>Supply and Delivery of Construction Supplies and Materials</t>
  </si>
  <si>
    <t>S3-B0820-002 - Supply of Labor, Special Tools, Consumable Materials and Equipment with Specialized Technicians/Mechanic for the On-site Restoration of Unit No.1 Daihatsu 6DK-32 Engine of PB 108</t>
  </si>
  <si>
    <t>Purchase of Auto Supplies &amp; Spareparts</t>
  </si>
  <si>
    <t>Improvement of Slaughter House</t>
  </si>
  <si>
    <t>Procurement of Various Textbooks for Reference Purposes of the College Library - Fortune Towne Campus</t>
  </si>
  <si>
    <t>Supply and Installation of Pipe Thermistor</t>
  </si>
  <si>
    <t>Procurement of Biosafety Cabinet Level 2</t>
  </si>
  <si>
    <t>Procurement of Digital Electric Microscope</t>
  </si>
  <si>
    <t>Procurement of Various Housekeeping Supplies  - PGO</t>
  </si>
  <si>
    <t>Supply and Delivery of One (1) unit of Environment Monitoring Tool at BSP Head Office, as per BSP Technical Specifications</t>
  </si>
  <si>
    <t>SO-SPU20-006 - Supply and Delivery of Various Personnel Protective Equipment (PPE) for SPUG Plant Personnel</t>
  </si>
  <si>
    <t>Purchase of Diesel Fuel for the Rehab of Sitio Kulog to Arakan Road</t>
  </si>
  <si>
    <t>REPAIR AND IMPROVEMENT OF BFP-NHQ MAIN BUILDING (Rehabilitation of Sanitary Line System)</t>
  </si>
  <si>
    <t>Procureemnt of UPS to be used for regulation and back up power source at the Server room, Alaminos City</t>
  </si>
  <si>
    <t>Request for Quotation for the supply and delivery of 1 unit of motorcycle</t>
  </si>
  <si>
    <t>Procurement of Digital Electric Stereomicroscope</t>
  </si>
  <si>
    <t>Procurement of Electric Stereo Zoom Microscope</t>
  </si>
  <si>
    <t>Purchase of Diesel Fuel for the Rehab of Sitio Kulog to Sitio Valdevieso Road</t>
  </si>
  <si>
    <t>Repair and Re-piping of Main and Existing Sewer Line System at NPO Building</t>
  </si>
  <si>
    <t>SUPPLY AND DELIVERY OF FACE MASK AND ALCOHOL</t>
  </si>
  <si>
    <t>Supply &amp; Delivery of Inks, Computer &amp; Accessories</t>
  </si>
  <si>
    <t>Supply and Delivery of UV Light</t>
  </si>
  <si>
    <t>Procurement of Gel Electrophoresis System</t>
  </si>
  <si>
    <t>Procurement of High-Speed Microcentrifuge</t>
  </si>
  <si>
    <t>Supply, Delivery and Installation of Window Blinds</t>
  </si>
  <si>
    <t>Procurement of Materials for Ligtas COVID Center Isolation Room for the Municipality of Lugait, Misamis Oriental.</t>
  </si>
  <si>
    <t>PRE-PRINTED ID CARDS (CY2020)</t>
  </si>
  <si>
    <t>Materials for Improvement of Multi-Purpose Building</t>
  </si>
  <si>
    <t>Procurement of Office Furniture and Equipment for SDO I use</t>
  </si>
  <si>
    <t>Procurement of Fuel and Lubricants' Fleet Card for Official use of BFAR-13 July-December CY 2020</t>
  </si>
  <si>
    <t>Loyalty Incentives - Memorabilia - City Human Resource Management Office</t>
  </si>
  <si>
    <t>Procurement of Laboratory Refrigerator</t>
  </si>
  <si>
    <t>Procurement of Materials and Equipment for DRRM use</t>
  </si>
  <si>
    <t>Procurement of Autoclave</t>
  </si>
  <si>
    <t>Procurement of Essential Materials</t>
  </si>
  <si>
    <t>Construction of Second Floor Food Court  Phase 2</t>
  </si>
  <si>
    <t>Environmental Health/Safety Equipment</t>
  </si>
  <si>
    <t>Procurement of Microplate Reader Ultra-Fast UV/Vis Spectrometer</t>
  </si>
  <si>
    <t>PURCHASE OF FIXTURES TO BE USED AT THE VISITOR'S INFORMATION CENTER OF PALAUI ISLAND PROTECTED LANDSCAPE AND SEASCAPE (PIPLS)</t>
  </si>
  <si>
    <t>Procurement of OR Equipment (HFEP)</t>
  </si>
  <si>
    <t>Procurement of Dehydrator</t>
  </si>
  <si>
    <t>PROCUREMENT OF DISPENSER, DIETARY EQUIPMENT, AND MEDICAL EQUIPMENT</t>
  </si>
  <si>
    <t>INVITATION TO BID FOR SUPPLY AND DELIVERY OF TEXTBOOKS AND REFERENCES FOR CY 2020 (REBIDDING)</t>
  </si>
  <si>
    <t>SUPPLY AND DELIVERY OF FISHING GEARS FOR THE USE OF AGTAS IN PALAUI ISLAND PROTECTED LANDSCAPE AND SEASCAPE (PIPLS) , SNA VICENTE, STA. ANA, CAGAYAN</t>
  </si>
  <si>
    <t>SUPPLY &amp; DELIVERY OF FITTINGS (26 ITEMS)</t>
  </si>
  <si>
    <t>Supply and Delivery of Desktop Computer</t>
  </si>
  <si>
    <t>Construction of Flood Control, Barangay San Jose (Additional Allocation)</t>
  </si>
  <si>
    <t>Procurement of Customized Standalone Table Shields</t>
  </si>
  <si>
    <t>Radio Airtime for Education Advocacy and Radio Modality of Teaching Learning for Elementary and Secondary Learners</t>
  </si>
  <si>
    <t>Procurement of DSLR Camera, Zoom Lens, &amp; Fisheye Lens</t>
  </si>
  <si>
    <t>12 UNITS AIR PURIFIER</t>
  </si>
  <si>
    <t>Procurement  of Tires</t>
  </si>
  <si>
    <t>Procurement of Eco Solvent Printer</t>
  </si>
  <si>
    <t>Supply and Delivery of ICT Office Supplies and Accessories for MGB-Region X for FY 2020 (MOOE)</t>
  </si>
  <si>
    <t>Supplies and delivery of Information Technology of Mis. Occ. National High School - Senior High School</t>
  </si>
  <si>
    <t>Supply and delivery of 2 units computer desktop, 2 units 3n1 printer, 2 pcs wifi, 1 external hard drive and 1 extension cord</t>
  </si>
  <si>
    <t>PURCHASE OF COMMUNICATION GADGETS FOR PALAUI ISLAND PROTECTED LANSCAPE AND SEASCAPE (PIPLS) PAMB</t>
  </si>
  <si>
    <t>Other Supplies/Janitorial Supplies - Various Offices</t>
  </si>
  <si>
    <t>Procurement of Sterilizer</t>
  </si>
  <si>
    <t>Supply and Delivery of Various construction Materials</t>
  </si>
  <si>
    <t>Procurement of Various Food Stuff - PHSO</t>
  </si>
  <si>
    <t>Procurement of Egg Incubator</t>
  </si>
  <si>
    <t>Purchase of printer</t>
  </si>
  <si>
    <t>Procurement of Infrastructure and Construction Supplies RFQ No. 411</t>
  </si>
  <si>
    <t>RFQ - Footbath Mat</t>
  </si>
  <si>
    <t>Office Supplies - Various Offices</t>
  </si>
  <si>
    <t>Procurement of Battery (12 Volts 9 Plates) - SOYMPH</t>
  </si>
  <si>
    <t>REHABILITATION OF BARANGAY HEALTH CENTER, STA. MONICA</t>
  </si>
  <si>
    <t>RB2020-06-199 Certificate for Day Care Recognition</t>
  </si>
  <si>
    <t>REGULAR MAINTENANCE, PURCHASE AND REPLACEMENT OF DAMAGED SPARE PARTS FOR THE SJP-806</t>
  </si>
  <si>
    <t>Office and Other Supplies - Office of the City Mayor - Tourism</t>
  </si>
  <si>
    <t>Supply and Delivery of Agricultural Supplies as Extension Support to be distributed to the participants of Gule King Pamigulut-gulut, Enaka Lumawut, Ekapa Dumanup: Training on Backyard Vegetable Produ</t>
  </si>
  <si>
    <t>CONSTRUCTION OF WATER PUMPING SYSTEM</t>
  </si>
  <si>
    <t>Supply and Delivery of Starter Kits for the Recovery Livelyhood Projects for the Micro Enterprises in Gregorio Del Pilar, Sugpon, Alilem and Sigay Ilocos Sur to be held on June 29 - 30, 2020</t>
  </si>
  <si>
    <t>FURNITURE LABOR AND MATERIAL</t>
  </si>
  <si>
    <t>Procurement of One (1) Unit Motor Service Vehicle - PHSO</t>
  </si>
  <si>
    <t>Procurement of Various Brand New Aircondition with Installation  - SOYMPH, PAIASO, SDH &amp; ADH</t>
  </si>
  <si>
    <t>Contract ID No. 20NC0126 - Construction of Satellite Materials Laboratory Building, Agusan del Sur 2nd District Engineering Office, San Francisco, Agusan del Sur</t>
  </si>
  <si>
    <t>Purchase of plumbing Supplies use for maintenance of water system</t>
  </si>
  <si>
    <t>Construction/ Repair/ Rehabilitation/ Improvement of Various Infrastructure Including Local Projects - Rehabilitation of Multi-Purpose Hall, Baguio City</t>
  </si>
  <si>
    <t>Supply and Delivery of Agricultural Supplies as Extension Support to be distributed to the participants of Tapat Ko, Tanim Ko. Gulayan sa Bakuran, Laban sa Kagutuman: Training on Household Vegetable P</t>
  </si>
  <si>
    <t xml:space="preserve">INVITATION TO BID FOR Supply, Delivery, Installation, Configuration, Documentation and User’s Training of Firewall Appliance with UTM Subscription and User’s Training of Classroom Management Solution </t>
  </si>
  <si>
    <t>Supply and Delivery of Piglets as Starter Kit for Back to Basics- Scientific and Sustainable Livestock Production Advocacy Seminar</t>
  </si>
  <si>
    <t>REPAIR AND MAINTENANCE OF VARIOUS AIRCONDITIONER</t>
  </si>
  <si>
    <t>Supply and Delivery of Hygiene Items to be used for the conduct of Activities, Training and Operation and Other Programs of the Center</t>
  </si>
  <si>
    <t>Contract ID No. 20NC0127 - Construction of Multi-Purpose Building, Brgy. San Isidro, San Francisco, Agusan del Sur</t>
  </si>
  <si>
    <t>Procurement of Various Catering Services, Venue &amp; Accommodation - Lot 1 - Catering Services - PVET</t>
  </si>
  <si>
    <t>Supply and Delivery of Agricultural Supplies as Extension Support for the conduct of Magaral at Matuto sa Organikong Paggugulayan under RBO</t>
  </si>
  <si>
    <t>Supply and Delivery of Free-Range Chicken  as Starter Kit for Back to Basics- Scientific and Sustainable Livestock Production Advocacy Seminar</t>
  </si>
  <si>
    <t>Construction/ Repair/ Rehabilitation/ Improvement of Various Infrastructure Including Local Projects – Rehabilitation of Road Teodora Alonzo, Baguio City</t>
  </si>
  <si>
    <t>Procurement of Various Catering Services, Venue &amp; Accommodation - Lot 2 - Venue - PVET</t>
  </si>
  <si>
    <t>Pag-IBIG Fund CHQ (SUPPLY AND DELIVERY OF  VARIOUS PREPAID CARDS)</t>
  </si>
  <si>
    <t>3 Passenger E-Bike</t>
  </si>
  <si>
    <t>Request for Quotation for the Supply and Delivery of various vegetable seeds</t>
  </si>
  <si>
    <t>CONTINUATION OF IMPROVEMENT OF MULTI PURPOSE HALL</t>
  </si>
  <si>
    <t>Brigada Eskwela</t>
  </si>
  <si>
    <t>Barangay Mascot</t>
  </si>
  <si>
    <t>Purchase of Various Seeds for Dispersal to Farmers in the Municipality of Santa Barbara</t>
  </si>
  <si>
    <t>RE-BIDDING FOR THE PROCUREMENT OF VARIOUS OFFICE SUPPLIES</t>
  </si>
  <si>
    <t>Gawad Parangal</t>
  </si>
  <si>
    <t>Local Infrastructure Program – Renovation of PFVR Building, Department of Education Division Office, Brgy. Military Cut Off, Baguio City, Benguet</t>
  </si>
  <si>
    <t>office supply</t>
  </si>
  <si>
    <t>Supplies and delivery of Information Technology of Mis. Occ. National High School - Junior High School</t>
  </si>
  <si>
    <t>Iwas Dengue</t>
  </si>
  <si>
    <t>Mobile Two Wheel Ambulance</t>
  </si>
  <si>
    <t>Construction/ Repair/ Rehabilitation/ Improvement of Various Infrastructure Including Local Projects - Rehabilitation of Road at Purok 2 and 3, Brgy. Sta. Escolastica Village, Baguio City</t>
  </si>
  <si>
    <t>Request for Quotation for the Supply and Delivery of various Garden Tools</t>
  </si>
  <si>
    <t>Procurement of Other Supplies &amp; Materials</t>
  </si>
  <si>
    <t>Procurement of Construction Materials for Temporary Learning Spaces for Mabunao ES, San Roque ES and Teofanis G. Gerona ES</t>
  </si>
  <si>
    <t>Purchase of 1 unit Printer at Barangay Banjo West, Tanauan City, Batangas</t>
  </si>
  <si>
    <t>Procurement of Various Catering Services, Venue &amp; Accommodation - Lot 3 - Accommodation - PVET</t>
  </si>
  <si>
    <t>CONSTRUCTION OF FLUE CURING BARN</t>
  </si>
  <si>
    <t>Purchase of electrical supplies at Barangay Banjo West, Tanauan City, Batangas</t>
  </si>
  <si>
    <t>2020-05-0881 Two Times Preventive Maintenance of Mammography</t>
  </si>
  <si>
    <t>Request for Quotation for the Supply and Delivery of various tokens</t>
  </si>
  <si>
    <t>SUPPLY AND DELIVERY OF MATERIALS - Improvement of Water System</t>
  </si>
  <si>
    <t>PROCUREMENT OF EDUCATIONAL EQUIPMENT/SUPPORT INSTRUCTIONAL EQUIPMENT</t>
  </si>
  <si>
    <t>Procurement of solar street lamp</t>
  </si>
  <si>
    <t>Office and Other Supplies</t>
  </si>
  <si>
    <t>FUEL FOR ROAD REHABILITATION (NP)</t>
  </si>
  <si>
    <t>Improvement of Designated Excavation Center</t>
  </si>
  <si>
    <t>20GD00003: PROVSION OF 14 SECURITY SERVICES AT DPWH REGIONAL OFFICE NO. IV-A, EDSA, QUEZON CITY FOR   SIX (6) MONTHS</t>
  </si>
  <si>
    <t>Fabrication of 4-Units Waste Management Segregation</t>
  </si>
  <si>
    <t>2020-05-0882 Two Times Preventive Maintenance of Flouroscopy &amp; Radiography X-Ray Machine</t>
  </si>
  <si>
    <t>Supply and Delivery of one (1) unit Projector and one (1) unit Laser Printer</t>
  </si>
  <si>
    <t>Improvement of Barangay Road (FTMR) ( Tomyong 1 &amp; 2 Sts.)</t>
  </si>
  <si>
    <t>Request for Quotation for the Supply and Delivery of various Garden Tools and Seeds</t>
  </si>
  <si>
    <t>REHAB.OF BULUA BRGY.WATER SYSTEM, Barangay Bulua,Cagayan de Oro City.</t>
  </si>
  <si>
    <t>SDRR EQUIPMENTS</t>
  </si>
  <si>
    <t>Supplies and Delivery of General Merchandise MOOE, BDF and BDRRMF (Electrical supplies, Clean and Green, Fabrication of covered canal, Other property, Plants and Equipment)</t>
  </si>
  <si>
    <t>Construction/Installation of 20 units Solar Pwer Streetlights</t>
  </si>
  <si>
    <t>CONSTRUCTION OF BANIWAS RCDG BRIDGE AT BARANGAY CABARUYAN</t>
  </si>
  <si>
    <t>20GMH047 - Supply/Delivery of Diesel Fuel and Engine Oil for use of service vehicle assigned at the Planning and Design Section, DPWH-Sultan Kudarat 2nd District Engineering Office</t>
  </si>
  <si>
    <t>ITDI-200004_REBID - SUPPLY OF LABOR AND MATERIALS FOR THE REPAIR OF AIRCONDITIONING UNITS</t>
  </si>
  <si>
    <t>Aircon</t>
  </si>
  <si>
    <t>2nd  Quarter MOOE 2020 - April June 2020  Pontevedra South ES</t>
  </si>
  <si>
    <t>PURCHASE OF MEDICINES AND MEDICAL SUPPLIES</t>
  </si>
  <si>
    <t>20GMH048 - Supply/Delivery of Diesel Tire and Battery for use of Service Vehicle assigned at the Planning and Design Section, DPWH-Sultan Kudarat 2nd District Engineering Office</t>
  </si>
  <si>
    <t>20MH0103 - Concreting Local Road, Purok Narra, Brgy.Poblacion, Sultan Kudarat</t>
  </si>
  <si>
    <t>PURCHASE OF ELECTRICAL SUPPLIES  USE FOR BRGY. BULUA CAGAYAN DE ORO CITY.</t>
  </si>
  <si>
    <t>IMPROVEMENT OF ACCESS ROAD LEADING TO SANITARY LANDFILL</t>
  </si>
  <si>
    <t>DISINFECTANTS</t>
  </si>
  <si>
    <t>Improvement of Dance Studio/Fitness Sports Center</t>
  </si>
  <si>
    <t>Procurement of Various Inks, Toners, Drum Kits for Printers</t>
  </si>
  <si>
    <t>IMPROVEMENT OF FARM TO MARKET ROAD AT PALINA BALINSAWANG</t>
  </si>
  <si>
    <t>PROCUREMENT OF AIR CONDITIONING UNITS FOR SCHOOL OFFICES (ADMIN &amp; FACULTY ROOMS) - SENIOR HIGH SCHOOL</t>
  </si>
  <si>
    <t>20MH0085 - Concreting of Upper Balayan to Kinadao, Barangay Badiangon, Palimbang, Sultan Kudarat</t>
  </si>
  <si>
    <t>CONSTRUCTION OF SEBIT-CAUCALAN WATER WORKS SYSTEM (PHASE 2)</t>
  </si>
  <si>
    <t>Request for Quotation for the Supply and Delivery of various Animal Feeds</t>
  </si>
  <si>
    <t>2nd Quarter MOOE 2020 - April-  June  2020  Pontevedra South ES</t>
  </si>
  <si>
    <t>Request for Quotation for the Supply and Delivery of 60 Heads of Female Piglet</t>
  </si>
  <si>
    <t>Filing Cabinet</t>
  </si>
  <si>
    <t>PROCUREMENT OF AIR CONDITIONING UNITS FOR SCHOOL OFFICES (ADMIN &amp; FACULTY ROOMS) - JUNIOR HIGH SCHOOL</t>
  </si>
  <si>
    <t>Procurement of Laptop</t>
  </si>
  <si>
    <t>laptop computer</t>
  </si>
  <si>
    <t>2020-06-0949 Source Emission Testing for Generator Set  Two (2) Generator Set (630 KW) (Single Stack) and 400 KW (Twin Stack) Three (3) Runs for 3 Stacks</t>
  </si>
  <si>
    <t>generator</t>
  </si>
  <si>
    <t>CONSTRUCTION OF MULTIPURPOSE HALL= TALOY SUR, TUBA, BENGUET</t>
  </si>
  <si>
    <t>Prepaide card</t>
  </si>
  <si>
    <t>Procurement of Various Supplies and Materials P.R. No. 604 - SAH</t>
  </si>
  <si>
    <t>Procurement of Materials for Live Streaming, Conferences and Online Meetings</t>
  </si>
  <si>
    <t>Procurement of Information Technology for Video Conferencing in Schools Division Office</t>
  </si>
  <si>
    <t>Procurement of Wireless Network</t>
  </si>
  <si>
    <t>Procurement of Various Construction Supplies and Materials P.R. No. 644 - SAH</t>
  </si>
  <si>
    <t>CONSTRUCTION OF SEAWALL WITH DRAINAGE CANAL &amp; EMBANKMENT</t>
  </si>
  <si>
    <t>Supply and Delivery of Dry Vitamin A Acetate and Riboflavin Fine Powder</t>
  </si>
  <si>
    <t>Procurement of Corrugated Boxes</t>
  </si>
  <si>
    <t>Supply of Services for the Conduct of Various In-House Trainings/Courses, as per BSP Terms of References:</t>
  </si>
  <si>
    <t>Supply and Delivery of WYD Iodine Checker</t>
  </si>
  <si>
    <t>Request for Quotation for the Supply and Delivery of various ILivestock Animals</t>
  </si>
  <si>
    <t>2nd Quarter MOOE 2020 - April - June 2020  Pontevedra South ES</t>
  </si>
  <si>
    <t>2020-02-0397 Supply of Labor and Materials for Repair of King Long Medic Ambulance Plate No. SLF 466</t>
  </si>
  <si>
    <t>Request for Quotation for the Supply and Delivery of various Livestock animal</t>
  </si>
  <si>
    <t>ROAD CONCRETING (NEAR MALABOG CREEK, HAMORAON)</t>
  </si>
  <si>
    <t>Purchase of Supplies and Materials</t>
  </si>
  <si>
    <t>Purchase of Reflectorized Sticker</t>
  </si>
  <si>
    <t>2020-06-0653 PURCHASE AND DELIVERY OF SERVER FOR LISTAHANAN 3 (ICT EQUIPMENT)</t>
  </si>
  <si>
    <t>BID BULLETIN 1 - ADDITIONAL SPECIFICATION FOR THE SUPPLY AND INSTALLATION OF STREET LIGHTS AT BISLIG CITY</t>
  </si>
  <si>
    <t>Request for Quotation for the Supply and Delivery of various Livestock Animals</t>
  </si>
  <si>
    <t>Construction of Masonry Drainage Structure along Bassig Street (Simangan Alley)</t>
  </si>
  <si>
    <t>Request for Quotation for the Supply and Delivery of various Livestock animals</t>
  </si>
  <si>
    <t>Procurement of other supplies and materials</t>
  </si>
  <si>
    <t>Barangay 659-A C.O. "AIRCON, COMPUTER W COMPLETE ACC., MOVABLE TENT, TROMPA" / BDF "CLEAN &amp; BEAUTIFICATION" 2020</t>
  </si>
  <si>
    <t>Printing of MELC Kinder to Grade 6</t>
  </si>
  <si>
    <t>PROCUREMENT OF VARIOUS INFRASTRUCTURE PROJECTS</t>
  </si>
  <si>
    <t>Procurement of Bond Paper</t>
  </si>
  <si>
    <t>Supply and Delivery of Heavy duty (HDPE) reusable 95kPa-Rated canisters</t>
  </si>
  <si>
    <t>Grocery food supplies</t>
  </si>
  <si>
    <t>Spray and Disinfection Services</t>
  </si>
  <si>
    <t>Supply and Delivery of Absolute Ethanol</t>
  </si>
  <si>
    <t>2020-06-0651 PURCHASE AND DELIVERY OF LISTAHANAN 3 SUPPLIES AND  CENTENARIAN SUPPLIES</t>
  </si>
  <si>
    <t>Construction of Masonry Drainage Structure along Bassig Street (Bangayan Alley)</t>
  </si>
  <si>
    <t>2nd Quarter MOOE  April - June  2020 of Pontevedra South ES</t>
  </si>
  <si>
    <t>Procurement of Information Technology for Battery Power System for Firewall, Routers and Access-points</t>
  </si>
  <si>
    <t>REPAIR AND IMPROVEMENT OF PERIMETER FENCE,SEPARATOR WALL,MAIN GATE AND PEDESTRIAN GATE</t>
  </si>
  <si>
    <t>2nd Quarter MOOE 2020 - April- June 2020  Pontevedra South ES</t>
  </si>
  <si>
    <t>Invitation to Bid for the Purchase of  Brand New Motor Vehicle for the use of SB Office</t>
  </si>
  <si>
    <t>For Annual Vaccination of Employees and  Personnel of DPWH  Quezon 1st District  Engineering Office, Lucban, Quezon</t>
  </si>
  <si>
    <t>Supply and Delivery of Portable Hygrometer and Anenometer</t>
  </si>
  <si>
    <t>2020-05-0931 Supply of Patient Monitor Accessories BRD: MINDRAY IMEC 10</t>
  </si>
  <si>
    <t>Labor and Materials for the Upgrade of Local Area Network</t>
  </si>
  <si>
    <t>Purchase of IT Equipment</t>
  </si>
  <si>
    <t>2nd  Quarter MOOE 2020 - April - June 2020  Pontevedra South ES</t>
  </si>
  <si>
    <t>PUBLIC ADDRESS SYSTEM REPAIR</t>
  </si>
  <si>
    <t>20BBG0030 - Furnishing of Construction Materials for the Repair of Damage Concrete Deck of Naddungan Br. No. 2 along Magapit Mission Road</t>
  </si>
  <si>
    <t>Supply and Delivery of Office device and Janitorial Consumables</t>
  </si>
  <si>
    <t>2020-GOODS-034_Modernization of Information Technology and Network Communication Laboratory Facility of College of Computing Sciences</t>
  </si>
  <si>
    <t>INSTALLATION OF CCTV CAMERAS</t>
  </si>
  <si>
    <t>Procurement of CTP Plate Gloss</t>
  </si>
  <si>
    <t>Drilling of One (1) Production Well</t>
  </si>
  <si>
    <t>PR-2020-06-008</t>
  </si>
  <si>
    <t>20BBG0022 (Re-advertised) - Furnishing of Construction Materials for the Repair/maintenance of Slope Protection (Abutment "A" and "B"), Bangan Br. No. 2, Lal-lo, Cagayan</t>
  </si>
  <si>
    <t>20BB0121 - Repair/Maintenance of DOJ Building Regional Trial Court (Bulwagan ng Katarungan) Centro, Aparri, Cagayan</t>
  </si>
  <si>
    <t>Preventive Maintenance of Hach DR2800 &amp; DR2400</t>
  </si>
  <si>
    <t>SOLAR POWER SYSTEM INSTALLATION</t>
  </si>
  <si>
    <t>Improvement of Multi-Purpose Hall, Purok Silangan, Barangay Ibabang Dupay, Lucena City</t>
  </si>
  <si>
    <t>Procurement of Process Black Ink</t>
  </si>
  <si>
    <t>20BB0122 - 65x Bridge Repainting (with Steel Members) Piggatan Bridge @ K0525+831 along Cagayan Valley Road, Gattaran, Cagayan</t>
  </si>
  <si>
    <t>2020-06-0975 Rubber Tubing 1/4 x 1/8 x 50 ft, 100% rubber, hypoallergenic</t>
  </si>
  <si>
    <t>2020-06-0968 C-Reactive Protein (CRP) 100 Test/ Kit</t>
  </si>
  <si>
    <t>20BB0123 - Repair/Maintenance of DPWH Building, DE &amp; ADE’s Office Building, Cagayan First District Engineering Office, Minanga, Aparri, Cagayan</t>
  </si>
  <si>
    <t>Invitation to Bid for the Improvement of School at Pagsanga-an Elementary School (Repair of Ceiling and Electrical Wiring in Library and Computer Room, Improvement of H.E. Room and Extension of School</t>
  </si>
  <si>
    <t>Purchase of Meals and Snacks for Orientation on Livelihood Assistance Grant (LAG) Implementation</t>
  </si>
  <si>
    <t>2020-GOODS-035_Upgrading of Engineering and Technology Laboratories of the Pangasinan State University</t>
  </si>
  <si>
    <t>Printing for Pre-Reading Assessment</t>
  </si>
  <si>
    <t>PROJECT # 20-053 - PROCUREMENT OF CCTV CAMERA WITH TV MONITOR SYSTEM AND NETWORK INFRASTRUCTURE – CITY SCHOOL DIVISION OFFICE</t>
  </si>
  <si>
    <t>Construction of Drainage/Open Canal, Purok Sariling Atin, Barangay Ibabang Dupay, Lucena City</t>
  </si>
  <si>
    <t>improvement of handwashing facilities, repair of footwalks,repair of drainage and EPP/TLE supplies</t>
  </si>
  <si>
    <t>PROJECT # 20-043 – PROCUREMENT OF MOTOR VEHICLE (RESCUE VEHICLE CUSTOMIZED PICK-UP) -LDRRMO</t>
  </si>
  <si>
    <t>Invitation to Bid for the Improvement of School at Aganan-Ungka Elementary School (Elevation of Classroom, Canteen and Pathways)</t>
  </si>
  <si>
    <t>Invitation to Bid for the Purchase of one (1) unit Fully Reconditioned Double Cab Fire Truck of the MDRRM Office</t>
  </si>
  <si>
    <t>PROJECT # 20-039 - PROCUREMENT OF ICT EQUIPMENT FOR TEACHING AND LEARNING PURPOSES – CITY SCHOOL DIVISION OFFICE</t>
  </si>
  <si>
    <t>PROJECT # 20-055 – PROCUREMENT OF RESPONSE / VEHICLE 4 WHEELER -LDRRMO</t>
  </si>
  <si>
    <t>Purchase of Fuel, Oil and Lubricants for the 3rd Quarter</t>
  </si>
  <si>
    <t>To support the procurement of services for the updating of two (2) ea Flight Management System (FMS) Navigational Data Base for use of NC-212i aircraft Nrs 2119 and 2120.</t>
  </si>
  <si>
    <t>Procurement of Annual Subscription Renewal for the NWRB Managed Cloud Services and Web Hosting with Back-up Server and Maintenance</t>
  </si>
  <si>
    <t>Construction of Footbridge at Brgy. Bularong, Margosatubig, ZDS.</t>
  </si>
  <si>
    <t>Procurement of Van Rental for Transportation Service of NCCA Employees</t>
  </si>
  <si>
    <t>To support the procurement of services for the updating of six (6) ea Global Positioning System (GPS) Navigational Data Base with PN: GPS-795 for use of C-130T aircraft Nrs 5011 and 5040.</t>
  </si>
  <si>
    <t>Small Value Value Procurement for Heavy Duty Printer</t>
  </si>
  <si>
    <t>PROJECT # 20-047 – PROCUREMENT OF DISASTER RESPONSE AND RESCUE EQUIPMENT - LDRRMO</t>
  </si>
  <si>
    <t>Invitation to Bid for the Improvement of School at Pandac Elementary School (Extension of Covered Court, Roofing and Ceiling of Classrooms)</t>
  </si>
  <si>
    <t>Office supplies,learning materials,reading materials,In-Service training materials, school sanitation supplies</t>
  </si>
  <si>
    <t>Invitation to Bid for the Catering Services for Various Activities of the HRM Office and Mayor’s Office</t>
  </si>
  <si>
    <t>medical supplies and thermal scanner</t>
  </si>
  <si>
    <t>SUPPLY AND DELIVERY OF VARIOUS MATERIALS FOR THE CONSTRUCTION OF ROOFING (MULTI-PURPOSE HALL EXPANSION)</t>
  </si>
  <si>
    <t>CATERING SERVICES AND ACCOMMODATION</t>
  </si>
  <si>
    <t>construction of drainage lined canal purok 4 and 6</t>
  </si>
  <si>
    <t>Invitation to Bid for the Purchase of Furniture and Fixtures for Mayor’s Office and MENR Office</t>
  </si>
  <si>
    <t>Procurement of Security Services (1 Year Contract)</t>
  </si>
  <si>
    <t>PROJECT # 20-050 - PROCUREMENT OF DISASTER RESPONSE AND RESCUE EQUIPMENT (GENERATOR) - LDRRMO</t>
  </si>
  <si>
    <t>SUPPLY AND DELIVERY OF MATERIALS FOR THE REGRAVELLING OF ROADS IN SITIOS CARLING, CADANGLAAN, AND PROPER</t>
  </si>
  <si>
    <t>IT Equipment (for the use of City Budget Office)/CBO</t>
  </si>
  <si>
    <t>rfq</t>
  </si>
  <si>
    <t>PROCUREMENT OF  FUEL FOR 3rd QUARTER OF 2020 , SAN ISIDRO, DAVAO ORIENTAL</t>
  </si>
  <si>
    <t>To support the procurement of Seventy (70) quarts Polyester Body Filler w/ Hardener and 17 other L/I for use in the 12th and 13th  PIP Inspection Scheduled Maintenance of C-130B aircraft Nr 4704.</t>
  </si>
  <si>
    <t>Supply and Delivery of various Agricultural Tools, Materials and Inputs for Extension Initiatives towards Marginalized Groups/Special Concern - Gen. Nakar, Quezon</t>
  </si>
  <si>
    <t>Motor Vehicle Maintenance - Mits. FB L300/SHG 273 (DepEd)</t>
  </si>
  <si>
    <t>RFQ-SUPPLY &amp; DELIVERY OF VARIOUS FITTINGS</t>
  </si>
  <si>
    <t>Supply and Delivery of PSHS-MRC's Smart Function Thermal Imaging Camera</t>
  </si>
  <si>
    <t>To support the procurement of 500 ea Washer Sealing NAS1523-3Y and 6 other L/I for use during the Phase Maintenance Inspection Intermediate (PMI) of UH-1D Nr 8230, 8330 and 8392 at 205THW</t>
  </si>
  <si>
    <t>REPAIR, IMPROVEMENT, OF SCHOOL CLINIC, AND 3 (THREE) WATER &amp; SANITATION (WATSAN)</t>
  </si>
  <si>
    <t>PROJECT # 20-054 – PROCUREMENT OF K TO 12 LEARNING MATERIALS DEVELOPED BG LCCAD FOR DEPED - DRRMO</t>
  </si>
  <si>
    <t>OFFICE &amp; OTHER SUPPLIES IN VIEW OF COVID-19 PANDEMIC</t>
  </si>
  <si>
    <t>PROJECT # 20-049 - SUPPLY AND DELIVERY OF OTHER SUPPLIES AND MATERIALS (PERSONAL PROTECTIVE GEAR/EQUIPMENT FOR RESPONDERS &amp; VOLUNTEERS) - DRRMO</t>
  </si>
  <si>
    <t>To support the procurement of 2 ea Connecting Link PN: 205-060-734-11 and 2 other L/I for use of Bell 412 nrs 36691 and 36693 assigned at 205THW.</t>
  </si>
  <si>
    <t>NORCACES - Supplies for June 2020</t>
  </si>
  <si>
    <t>Supply and Installation of Counter Desks, Cabinets and Drop Ceilings of Learning Resource Center</t>
  </si>
  <si>
    <t>Supply and Delivery of various Training Supplies and Materials for the conduct of Extension Initiatives in Marginalized Groups / Special Concern (Training on OA for Organization)</t>
  </si>
  <si>
    <t>PROJECT # 20-071 - PROCUREMENT OF OFFICE EQUIPMENT 2ND QUARTER (VARIOUS OFFICES) - GSO</t>
  </si>
  <si>
    <t>CNH-0520-045</t>
  </si>
  <si>
    <t>Multi purpose vehicle(surplus)</t>
  </si>
  <si>
    <t>Purchase of One (1) unit Ambulance for MDRRM use</t>
  </si>
  <si>
    <t>SHS OFFICE &amp; OTHER SUPPLIES IN VIEW OF COVID-19 PANDEMIC</t>
  </si>
  <si>
    <t>Purchase of Business Plates</t>
  </si>
  <si>
    <t>Supply and Delivery of One (1) unit Paper Shredder, Heavy Duty, as per BSP Technical Specifications and Terms and Conditions</t>
  </si>
  <si>
    <t>VARIOUS SUPPLIES AND MATERIALS FOR ANTI-VIRUS</t>
  </si>
  <si>
    <t>Supply and Delivery of various Agricultural Inputs and Materials for Adopt a Community - Starter Kit</t>
  </si>
  <si>
    <t>One (1) Lot – Subscription to e-Learning Program on Bankwide and Leadership &amp; Management (L&amp;M) Courseware, as per BSP Terms of Reference</t>
  </si>
  <si>
    <t>RE-BID FOR PROJECT # 20-062 - PROCUREMENT OF IT EQUIPMENT 2ND QUARTER NON-DBM (VARIOUS OFFICES) - GSO</t>
  </si>
  <si>
    <t>Supply and Delivery of various Agricultural Tools, Materials and Inputs for Adopt a Community - Community Garden</t>
  </si>
  <si>
    <t>Supply &amp; Delivery of Office Supplies and Materials, BNS</t>
  </si>
  <si>
    <t>NBC-0620-170</t>
  </si>
  <si>
    <t>Supply &amp; Delivery of Vehicle Parts and Accessories, BNS</t>
  </si>
  <si>
    <t>SUPPLY AND DELIVERY OF VARIOUS MATERIALS FOR THE FABRICATION AND INSTALLATION OF 2 SETS HANGING FIBERGLASS BASKETBALL BOARD</t>
  </si>
  <si>
    <t>Purchase of Furniture and Fixtures for Office Use</t>
  </si>
  <si>
    <t>CONSTRUCTION OF PESKONG DRAINAGE</t>
  </si>
  <si>
    <t>CONSTRUCTION OF SA-ONG COVERED DRAINAGE</t>
  </si>
  <si>
    <t>RFQ: PROVISION OF TRANSPORT SERVICE TO DENR MIMAROPA EMPLOYEES</t>
  </si>
  <si>
    <t>PROJECT # 20-072 - PROCUREMENT OF OFFICE EQUIPMENT – CITY CIVIL REGISTRY OFFICE</t>
  </si>
  <si>
    <t>RE-BID FOR PROJECT # 20-070 - PROCUREMENT OF FURNITURE AND FIXTURES 2ND QUARTER (VARIOUS OFFICES) - GSO</t>
  </si>
  <si>
    <t>RFQ-SUPPLY &amp; DELIVERY OF VARIOUS OFFICE SUPPLIES</t>
  </si>
  <si>
    <t>Purchase of tires for the maintenance of heavy equipment (Dumptruck)</t>
  </si>
  <si>
    <t>Purchase of Two (2) units Rescue Vehicle for the use of Emergency response</t>
  </si>
  <si>
    <t>Supply &amp; Delivery of Other Supplies and Materials, (TNCC), HPN</t>
  </si>
  <si>
    <t>CONSTRUCTION OF SAFIANGON-CHALLOS FOOTBRIDGE</t>
  </si>
  <si>
    <t>Concreting of tire path at Digon, Margosatubig, ZDS.</t>
  </si>
  <si>
    <t>Purchase of Cameras and Accessories for the use of Mayor's Office (MIS)</t>
  </si>
  <si>
    <t>RE-BID FOR PROJECT # 20-073 - PROCUREMENT OF ROBOTIC KITS - CITY SCHOOL DIVISION OFFICE</t>
  </si>
  <si>
    <t>Installation of Basketball Goal/Ring with tempered glass board</t>
  </si>
  <si>
    <t>Purchase of Toilet Bowls</t>
  </si>
  <si>
    <t>PROC of HARDWARE/SOFTWARE EQIPEMENTS FOR AUTOMATION OF PERMITS &amp; LICENSES (EASE OF DOIMG BUSINESS</t>
  </si>
  <si>
    <t>Purchase of Spareparts for the Maintenace of Municipal Vehicle (Toyota Hilux PO1650)</t>
  </si>
  <si>
    <t>SUPPLY AND DELIVERY OF VARIOUS MATERIALS FOR THE FABRICATION AND INSTALLATION OF FIBERGLASS/BASKETBALL BOARD STAND (1 PAIR)</t>
  </si>
  <si>
    <t xml:space="preserve">To support the procurement of 15 ea RF Power Transistor with PN: QSD2019-2 and two (2) other L/I for the repair of two (2) units VHF AM Aircraft Radio and two (2) units Dual Tach Indicator for use of </t>
  </si>
  <si>
    <t>Supply and Delivery of various Training Supplies and Materials for the conduct of Training on Organic Green Corn Production with provision of starter kits - Gen. Aguinaldo, Cavite</t>
  </si>
  <si>
    <t>RFPQ - PROCUREMENT OF CONSTRUCTION MATERIALS AND SUPPLIES FOR CONSTRUCTION OF SPILLWAY (CONT.)</t>
  </si>
  <si>
    <t>Small Value Procurement OF 2 SETS 18X20 CANOPY</t>
  </si>
  <si>
    <t>Re-Designing of the Official Website Template of the Municipality of Pavia</t>
  </si>
  <si>
    <t>Purchase of Materials for the Construction of Wooden Cabinet/shelves</t>
  </si>
  <si>
    <t>Supply &amp; Delivery of Other Structures supplies and Materials, (HPN&amp;HSG)</t>
  </si>
  <si>
    <t>Supply &amp; Delivery of Office Supplies and Materials, (O/N2), HPN</t>
  </si>
  <si>
    <t>EMERGENCY PURCHASE OF APPLIANCE AND FURNITURE TO BE USED IN QUARANTINE FACILITY/TRIAGE DURING COVID-19 PANDEMIC</t>
  </si>
  <si>
    <t>Supply and Delivery of various Training Supplies and Materials for the conduct of Training on Organic Green Corn Production with provision of starter kits - Tiaong, Quezon</t>
  </si>
  <si>
    <t>Supply and Delivery of various Training Supplies and Materials for the conduct of Training on Organic Free Range Chicken Production with provision of starter kits - Pila, Laguna</t>
  </si>
  <si>
    <t>Supply and Delivery of Commercial chicks and Inputs for the Training on Organic Free Range Chicken Production with provision of starter kits - Pila, Laguna</t>
  </si>
  <si>
    <t xml:space="preserve">To support the procurement of 15 ea Ball Bearing Assembly with PN: 14900079-4 and two (2) other L/I for the repair of two (2) units Fuel Quantity Indicator, one (1) unit Voltage Regulator and one (1) </t>
  </si>
  <si>
    <t>TPB-PR.2020.06.167 CAKES WITH DELIVERY SERVICES</t>
  </si>
  <si>
    <t>Supplies June 2020 B1</t>
  </si>
  <si>
    <t>Purchase of Office Equipment for Office Use</t>
  </si>
  <si>
    <t>Supply &amp; Delivery of Grocery Items, (O/N2), HPN</t>
  </si>
  <si>
    <t>To support the procurement of five (5) ea Rubber Boot with PN: 204-076-410-1 and four (4) other L/I for use during Phase Maintenance of UH-1 Aircraft Nrs 8308, 305, and 853</t>
  </si>
  <si>
    <t>Supply and Delivery of Various Supplies for Charter Day Celebration</t>
  </si>
  <si>
    <t>Supply and Delivery of Office Equipment Supplies</t>
  </si>
  <si>
    <t>Labor for the improvement of handwashing, repair of footwalk, repair of drainage and electrical connection</t>
  </si>
  <si>
    <t>Supplies June 2020 B2</t>
  </si>
  <si>
    <t>Procurement of  ICT Equipment and Geotagging Devicefor the Protected Area Management and Biodiversity Unit</t>
  </si>
  <si>
    <t>EMERGENCY PURCHASE OF VACCINE FOR ANIMAL BITE TREATMENT CENTER</t>
  </si>
  <si>
    <t>Procurement of Office Supplies-MO</t>
  </si>
  <si>
    <t>To support for the procurement of one (1) ea Starter Generator with PN: 205-075-443-5007 for use of UH-1D Nr 8478.</t>
  </si>
  <si>
    <t>Provision of Meals and Snacks for the conduct of 3 days Refresher Course for Farmers (Tanay, Rizal) - September 2020</t>
  </si>
  <si>
    <t>EMERGENCY PURCHASE OF FOLDING BEDS TO BE USED IN QUARANTINE AREA (MNHS-ALASASIN) DURING COVID-19 PANDEMIC</t>
  </si>
  <si>
    <t>Provision of Food, Accommodation and function amenities for the conduct of Refresher Course for Farmers/AEWs and others (NextGen Project) - August 24 to 28, 2020</t>
  </si>
  <si>
    <t>CLUSTER 13: CLUSTERED PROJECTS OF BARANGAY SEBANG - 1</t>
  </si>
  <si>
    <t>Procurement of IT Equipment -MPDO</t>
  </si>
  <si>
    <t>SUPPLY AND DELIVERY OF CONSTRUCTION MATERIALS FOR THE CONSTRUCTION VARIOUS FACILITY IN TULUNAN NATIONAL HIGH SCHOOL, TULUNAN, COTABATO</t>
  </si>
  <si>
    <t>Concreting of Road, Purok Sariling Atin, Barangay Ibabang Dupay, Lucena City</t>
  </si>
  <si>
    <t>SUPPLY, DELIVERY AND INSTALLATION OF MATERIALS - CLOSED CIRCUIT TELEVISION [CCTV]</t>
  </si>
  <si>
    <t>Procurement of IT Equipment -SBO</t>
  </si>
  <si>
    <t>Provision of Meals and Snacks for the conduct of Refresher Course for LFTs (Batch 1) - September 7 to 11, 2020</t>
  </si>
  <si>
    <t>Provision of Meals and Snacks for the conduct of 3 days Refresher Course for Farmers (Balayan, Batangas) - September 2020</t>
  </si>
  <si>
    <t>Request for Price Quotation-School and Office Supplies</t>
  </si>
  <si>
    <t>LABOR FOR CONSTRUCTION OF REBLOCKING OF BARANGAY ROAD</t>
  </si>
  <si>
    <t>SUPPLY AND DELIVEYR OF MATERIALS - REBLOCKING OF BARANGAY ROAD</t>
  </si>
  <si>
    <t>Barangay 809 MOOE "PEACE &amp; ORDER, REFILL OF FIRE EXTINGUISHER" / BDF "CLEAN &amp; BEAUTIFICATION" / RRMF "MEGAPHONE, PUBLIC ADDRESS SYSTEM" 2020</t>
  </si>
  <si>
    <t>Construction of IPED Center in Betwagan, Sadanga, Mountain Province</t>
  </si>
  <si>
    <t>Purchase of Materials for the Installation of Streetlights and Slope Protection for Creek</t>
  </si>
  <si>
    <t>EQUIPMENT RENTAL - CONCRETE MIXER</t>
  </si>
  <si>
    <t>CLUSTER 14: CLUSTERED PROJECTS OF BARANGAY SEBANG - 2</t>
  </si>
  <si>
    <t>SUPPLY AND DELIVERY OF ONE (1) UNIT ANESTHESIA MACHINE</t>
  </si>
  <si>
    <t>REPAIR AND REHABILITATION OF SCHOOL ENTRANCE GATE</t>
  </si>
  <si>
    <t>Supply and Delivery of meals, snacks, training supplies, materials and tarpaulin for the seminar-workshop on gender and development concepts, gender mainstreaming and gender analysis tools</t>
  </si>
  <si>
    <t>100-2020-02-390 Supply and delivery of ballpen (0.7, black, ordinary), ballpen (0.7, blue, ordinary), certificate holder, flash drive (32GB), ID holder, etc.</t>
  </si>
  <si>
    <t>PROCUREMENT OF THE CONSTRUCTION  OF DOH REGIONAL OFFICE VI BUILDING, PHASE 2 DOH-REGIONAL OFFICE VI BRGY. BOLONG OESTE, STA. BARBARA, ILOILO IB NO.2020-06-001I</t>
  </si>
  <si>
    <t>SUPPLY AND DELIVERY OF ONE (1) UNIT LED OR LIGHT</t>
  </si>
  <si>
    <t>100-2020-05-669 Supply and delivery of rice, sardines, noodles, misua, etc.</t>
  </si>
  <si>
    <t>Purchase of Hardware and Construction Supplies</t>
  </si>
  <si>
    <t>100-2020-05-713 Supply and delivery of fron tire (11.2x24), tire tube (11.2x24), Rim front tire (11x2.24), etc.</t>
  </si>
  <si>
    <t>2860-20 Construction of Convention Center, Phase 2, (Northern Quezon Auditorium), Brgy. Comon, Infanta, Quezon - PEO</t>
  </si>
  <si>
    <t>100-2020-05-665 Supply and delivery of laptop computer, 3-in-1 printer, external hard drive, etc.</t>
  </si>
  <si>
    <t>100-2020-03-504 Supply and delivery of meals and snacks</t>
  </si>
  <si>
    <t>Purchase of One (1) unit Computer Server with Complete Accessories – MASSO</t>
  </si>
  <si>
    <t>100-2020-05-705 Supply and delivery of multivitamins syrup 120ml</t>
  </si>
  <si>
    <t>SUPPLY AND DELIVERY OF TWO (2) UNITS EXAMINATION TABLE WITH STIRRUPS</t>
  </si>
  <si>
    <t>100-2020-05-715 Supply and delivery of top down (motorcycle with stainless steel carrier)</t>
  </si>
  <si>
    <t>Quezon National High School Supplies and Other Materials</t>
  </si>
  <si>
    <t>20GEB0064-R1: Procurement/Supply/Delivery of Office Equipment Supplies and Consumables for use in DPWH – Mindoro Occidental DEO  (Administrative Section – Property Unit)</t>
  </si>
  <si>
    <t>20GEB0005-R1: Procurement/Supply/Delivery of Spare Parts for use in the Repair/Replacement of worn-out parts of various Service Vehicles in DPWH – Mindoro Occidental DEO (Construction Section)</t>
  </si>
  <si>
    <t>20GEB0042-B-R1: Procurement/Supply/Delivery of Multi-Function Printer/ Copier/Scanner Heavy Duty with one (1) unit Colored Printer/ Copier for use of DPWH-Mindoro Occidental DEO (Office of the DE/ Pro</t>
  </si>
  <si>
    <t xml:space="preserve">20GEB0032-R1: Procurement/Supply/Delivery of Multi-Function Printer/ Copier/Scanner Heavy Duty with one (1) unit Colored Printer/ Copier for use of DPWH-Mindoro Occidental DEO (Administrative Section </t>
  </si>
  <si>
    <t>8918-20-017) CONCRETING AND SIDEWALK IMPROVEMENT AT M. H. DEL PILAR ST, BURNHAM-LEGARDA C/O CEO</t>
  </si>
  <si>
    <t>E-Konek mo Ako!</t>
  </si>
  <si>
    <t>100-2020-02-403 Supply and delivery of LED monitor 20", Bar chair, UPS 650VA, etc.</t>
  </si>
  <si>
    <t>20GEB0047-A-R1: Procurement/Supply/Delivery of Desktop Computer, Laptop Computer and IT Peripherals for use of DPWH – Mindoro Occidental DEO (Construction Section)</t>
  </si>
  <si>
    <t>IMPROVEMENT OF WATER SYSTEM</t>
  </si>
  <si>
    <t>CONSTRUCTION OF WATER SYSTEM FOR DOMESTIC USE</t>
  </si>
  <si>
    <t>RFQ for Construction Supplies and Materials</t>
  </si>
  <si>
    <t>20GEB0041-R1: Procurement/Supply/Delivery of Office Equipment Supplies and Consumables for use in DPWH – Mindoro Occidental DEO  (Office of the DE/ Procurement Unit)</t>
  </si>
  <si>
    <t>100-2020-05-657 Supply and delivery of foliar fertilizer, complete fertilizer, etc.</t>
  </si>
  <si>
    <t>IB Rebidding of Supply, Delivery &amp; Installation of Power Supply 3-Phase Line to Pozorrubio Musical Water Fountain at Public Plaza, Pozorrubio, Pangasinan</t>
  </si>
  <si>
    <t>CONSTRUCTION OF DAY CARE CENTER</t>
  </si>
  <si>
    <t>RPT-20-0296-B MEDICAL SUPPLIES</t>
  </si>
  <si>
    <t>RPT-20-0295-B DRUGS AND MEDICINES</t>
  </si>
  <si>
    <t>RPT-20-0397-B LABORATORY SUPPLIES</t>
  </si>
  <si>
    <t>RPT-20-0401-B LABORATORY SUPPLIES</t>
  </si>
  <si>
    <t>PRINTING &amp; PUBLICATION EXPENSE ( EBSO-PHP69,125.00)</t>
  </si>
  <si>
    <t>Proposed Asphalt overlay at Brgy. Sta. Ana, San Pablo City.</t>
  </si>
  <si>
    <t>RPT-20-0398-B LABORATORY SUPPLIES</t>
  </si>
  <si>
    <t>RPT-20-0431-B LABORATORY SUPPLIES</t>
  </si>
  <si>
    <t>100-2020-05-666 Supply and delivery of battery 4D, clutch disc and battery 3SMF.</t>
  </si>
  <si>
    <t>RPT-20-0357-B DRUGS AND MEDICINES</t>
  </si>
  <si>
    <t>Procurement of Supply and Delivery of Nine (9) units Rice Combine Harvester (Rebid)</t>
  </si>
  <si>
    <t>SUPPLY OF DIESOLINE AND SPL GAS FOR THE CONSUMPTION OF THE DIFFERENT VEHICLE/OFFICES OF LGU-MOLAVE, ZDS</t>
  </si>
  <si>
    <t>Supply &amp; delivery of (Lot 2) Eighty Five (85) bags Conventional Hybrid Yellow Corn Seeds for implementation under 2020 SAAD</t>
  </si>
  <si>
    <t>RPT-20-0400-B LABORATORY SUPPLIES</t>
  </si>
  <si>
    <t>Supply and Delivery of Lot 3-17 units Palay Seed Cleaner under 2020 Rice Program</t>
  </si>
  <si>
    <t>Other Supplies &amp; Materials Expenses (OTSG-PHP59,884.00)</t>
  </si>
  <si>
    <t>Supply and Delivery of Laptops for various Public Schools.</t>
  </si>
  <si>
    <t>RPT-20-0429-B LABORATORY SUPPLIES</t>
  </si>
  <si>
    <t>RPT-20-0399-B LABORATORY SUPPLIES</t>
  </si>
  <si>
    <t>R&amp;M Disaster Response &amp; Rescue Equip (OJ8-PHP57,000.00)</t>
  </si>
  <si>
    <t>OFFICE SUPPLIES (ETDC-PHP 51,605.00)</t>
  </si>
  <si>
    <t>Flat Latex</t>
  </si>
  <si>
    <t>SEMI-EXPENDABLE ICT EQUIPMENT (ODCOP-PHP58,500.00)</t>
  </si>
  <si>
    <t>Repair and Maintenance of Various Service Vehicles of Provincial Government of Tarlac</t>
  </si>
  <si>
    <t>8918-20-145/8918-20-144/8918-20-141/8918-20-146/8918-20-142/8918-20-147) A. INSTALLATION OF HAND RAILINGS ALONG THE PATHWAY FROM MASLAS RESIDENCE AT LOWER PUROK 3, B.  DRAINAGE CANAL, C. CONCRETING OF</t>
  </si>
  <si>
    <t>Procurement of Various Tires for the repair and maintenance of various trucks and Heavy Equipments used at the Provincial Equipment Pool Office</t>
  </si>
  <si>
    <t>PROCUREMENT OF 2 LOTS VEHICLE PARTS AND ACCESSORIES</t>
  </si>
  <si>
    <t>OFFICE SUPPLIES-ISAFP-(PHP198,135.00)</t>
  </si>
  <si>
    <t>PROCUREMENT OF 1 LOT INFORMATION TECHNOLOGY PARTS AND ACCESSORIES-COMPUTER SYSTEM</t>
  </si>
  <si>
    <t>PROCUREMENT OF 3 LOTS CATERING SERVICES</t>
  </si>
  <si>
    <t>Security Services for CTU Tuburan Campus</t>
  </si>
  <si>
    <t>Repair and Maintenance of Various Service Vehicles of PGT</t>
  </si>
  <si>
    <t>PROCUREMENT OF 5 LOTS FUEL, OIL, AND LUBRICANTS</t>
  </si>
  <si>
    <t>CY 2020 Quick Response Fund (QRF) Repair and Rehabilitation of School Building – Lot 1 – Repair and Rehabilitation of  Classrooms at Buruanga Elementary School, Buruanga, Aklan and Din-ut Elementary S</t>
  </si>
  <si>
    <t>Repair and Maintenance of Aircon services of (3) units Toyota Avanza/Innova with plate no. SKX 520, SJL 512, SJ: 584 and (1) unit Hyundai Grand Starex with plate no. SKM 221</t>
  </si>
  <si>
    <t>8918-20-155) CONSTRUCTION OF CANAL FROM LITENG SCHOOL GOING TO DONGAAS RESIDENCE AT PACDAL C/O CEO</t>
  </si>
  <si>
    <t>8918-20-154) CONSTRUCTION OF BOX CULVERT AT REGIDOR FRONTING DANGAWEN'S RESIDENCE TO COEDNO'S RESIDENCE AT PACDAL C/O CEO</t>
  </si>
  <si>
    <t>8918-20-157) CONTINUATION OF ROAD AT COMICHOS RESIDENCE TO MOLINTAS RESIDENCE AT PACDAL C/O CEO</t>
  </si>
  <si>
    <t>Concreting &amp; Drainage Rehabilitation of J.M. Ceniza St., Looc, Mandaue City (21-2020)</t>
  </si>
  <si>
    <t>Construction Projects - Completion of Health Center - Itum, Duero, Bohol</t>
  </si>
  <si>
    <t>8918-20-194) CONCRETING OF SPILLWAY CANAL AT PUROK 6, UPPER DAGSIAN C/O CEO</t>
  </si>
  <si>
    <t>SDH-20-0395-B HOUSEKEEPING SUPPLIES</t>
  </si>
  <si>
    <t>Supply and Delivery of Non-Accountable Forms, Waterworks Section, San Jose, Batangas</t>
  </si>
  <si>
    <t>Purchase of 2 Computer Units and 1 Computer Printer</t>
  </si>
  <si>
    <t>SDH-20-0363-B DRUGS AND MEDICINES</t>
  </si>
  <si>
    <t>Construction Projects - Improvement of Multi-Purpose Building - Taytay, Duero, Bohol</t>
  </si>
  <si>
    <t>Construction Projects - Completion of Multi-Purpose Building - Alejawan, Duero, Bohol</t>
  </si>
  <si>
    <t>Improvement of Women's Training Center</t>
  </si>
  <si>
    <t>Delivery of various materials for the construction of Handwhshing at Banaoang, Sta. Barbara,Pangasinan</t>
  </si>
  <si>
    <t>Supply of Water Supplies and Materials for the Repair of the Balilihan Waterworks System</t>
  </si>
  <si>
    <t>REPAIR AND REHABILITATION OF ROAD  AT SUGUIDAN NORTE-NAGSIDORISAN-AMBARACAO NORTE , NAGUILIAN, LA UNION.</t>
  </si>
  <si>
    <t>Supply and delivery of KITCHEN UTENSILS AND OTHER SUPPLIES</t>
  </si>
  <si>
    <t>SDH-20-0362-B DRUGS AND MEDICINES</t>
  </si>
  <si>
    <t>SDH-20-0273-B OFFICE SUPPLIES</t>
  </si>
  <si>
    <t>Purchase of motorcycle</t>
  </si>
  <si>
    <t>AGR-20-0668-B Purchase of Water Supply Accessories</t>
  </si>
  <si>
    <t>SDH-20-0446-B LABORATORY SUPPLIES</t>
  </si>
  <si>
    <t>Construction Projects - Agri and Fishery Terminal - Taytay, Duero, Bohol</t>
  </si>
  <si>
    <t>Supply and delivery of 10 heads Native Chicken male 1-2 kg./head and other items</t>
  </si>
  <si>
    <t>Construction Projects - Completion of Flood Control - Guinsularan, Duero, Bohol</t>
  </si>
  <si>
    <t>Repair and Maintenance of ICTE, Office of the Municipal Civil Registrar, San Jose, Batangas</t>
  </si>
  <si>
    <t>SDH-20-0449-B LABORATORY SUPPLIES</t>
  </si>
  <si>
    <t>REHAB./RESTORATION OF ARTC GREENHOUSE INSTALLATION OF NET COVER AND DRIP IRRIGATION (INST. OF SOLAR PUMP IRRIGATION SYSTEM) Located at Prov’l. Nursery, Magsaysay, Bay., Nueva Vizcaya</t>
  </si>
  <si>
    <t>Procurement of Air Conditioning unit</t>
  </si>
  <si>
    <t>Procurement of VTS Server</t>
  </si>
  <si>
    <t>SDH-20-0441-B MEDICAL SUPPLIES</t>
  </si>
  <si>
    <t>Construction Projects - Completion of Multi-Purpose Building - Mawi, Duero, Bohol</t>
  </si>
  <si>
    <t>SDH-20-0444-B LABORATORY SUPPLIES</t>
  </si>
  <si>
    <t>SDH-20-0445-B LABORATORY SUPPLIES</t>
  </si>
  <si>
    <t>REHAB./RESTORATION OF ARTC GREENHOUSE INSTALLATION OF NET COVER AND DRIP IRRIGATION (INST. OF NET COVER) Located at Prov’l. Nursery, Magsaysay, Bay., Nueva Vizcaya</t>
  </si>
  <si>
    <t>REHAB./RESTORATION OF ARTC GREENHOUSE INSTALLATION OF NET COVER AND DRIP IRRIGATION (CONST. OF ELEVATED CONC. WATER TANK) Located at Prov’l. Nursery, Magsaysay, Bay., Nueva Vizcaya</t>
  </si>
  <si>
    <t>2nd Invitation to Bid for the  CONSTRUCTION OF NAMANGEGAN ALLOY CIS PHASE III Located at Kasibu, Nueva Vizcaya</t>
  </si>
  <si>
    <t>2nd Invitation to Bid for the  CONSTRUCTION OF PANIKI UPPER TALLA, CORDON CIS Located at Cordon, Kasibu, Nueva Vizcaya</t>
  </si>
  <si>
    <t>Construction Projects - Completion of Road Concreting Leading To Municipal Cemetery - Mawi, Duero, Bohol</t>
  </si>
  <si>
    <t>Construction of Teen Activity Center at Poblacion, Nabunturan, Davao de Oro</t>
  </si>
  <si>
    <t>Installation of Sliding Glass Doors and Windows at the Municipal Agriculture Office Building, San Isidro St., Brgy. Sta. Cruz, Palo, Leyte  JR No. 20-06-111</t>
  </si>
  <si>
    <t>Office Supplies for  Mayor's Office</t>
  </si>
  <si>
    <t>EXTENSION OF NVPH SLOPE PROTECTION Located at Almaguer North, Bambang, Nueva Vizcaya</t>
  </si>
  <si>
    <t>Construction Projects - Completion of Road Concreting Leading to Lord of Pardon Hill - San Pedro, Duero, Bohol</t>
  </si>
  <si>
    <t>REHAB./RESTORATION OF ARTC GREENHOUSE INSTALLATION OF NET COVER AND DRIP IRRIGATION (INST. OF DRIP IRRIGATION SYSTEM) Located at Prov’l. Nursery, Magsaysay, Bay., Nueva Vizcaya</t>
  </si>
  <si>
    <t>Purchase of 12 Units Jetmatic Pump</t>
  </si>
  <si>
    <t>DIESEL 3231ltrs</t>
  </si>
  <si>
    <t>Supply &amp; Delivery of Construction Materials for the Improvement of OSCA Building at Sta. Cruz</t>
  </si>
  <si>
    <t>FLOOD LIGHTS FOR INSTALLATION AT FIESTAMALL PERIMETER FENCE</t>
  </si>
  <si>
    <t>Supply of Water Supplies and Materials for the Repair of the Balilihan Waterworks System Bugwak to Boyog Norte Pumping Station</t>
  </si>
  <si>
    <t>AGR-19-1448-B  Construction of Crab Hatchery</t>
  </si>
  <si>
    <t>20GBD0025 - PURCHASE OF CONSTRUCTION MATERIALS FOR USE IN THE REPAIR/REPLACEMENT OF DAMAGE DRAINAGE  CONCRETE CANAL COVERS ALONG NATIONAL ROADS WITHIN THE DISTRICT</t>
  </si>
  <si>
    <t>SDH-20-0443-B OFFICE SUPPLIES</t>
  </si>
  <si>
    <t>Procurement of fire extinguisher and refill</t>
  </si>
  <si>
    <t>SDH-20-0448-B LABORATORY SUPPLIES</t>
  </si>
  <si>
    <t>Procurement of alcohol, disinfectant solution &amp; face mask</t>
  </si>
  <si>
    <t>Procurement of CF281A Toner</t>
  </si>
  <si>
    <t>P.R. # 20-0043 (Rebid) - Supply &amp; delivery of Chemical Detergent for use in various washing/cleaning of vehicle engine and equipment spareparts/repair works at TOEMD and this office.</t>
  </si>
  <si>
    <t>Procurement of Various Equipment for The Upgrading of RSU-Sta. Fe Seaweed Postharvest and Processing Center (ABC: PhP2,250,000.00, QTY: 12)</t>
  </si>
  <si>
    <t>CAN - Various Sports Uniform and Supplies UDM PR No. 319</t>
  </si>
  <si>
    <t>Procurement of auto supplies</t>
  </si>
  <si>
    <t>2nd Invitation to Bid for the  CONSTRUCTION OF UBUN-PAPAYA-DOMANG CIS Located at Kasibu, Nueva Vizcaya</t>
  </si>
  <si>
    <t>Supply &amp; Delivery of 6 Sets Workstation 2 person w/o mobile &amp; Other items</t>
  </si>
  <si>
    <t>Procurement of Boiler with Complete Boiler Test and Steam or Gas Fueled Jacketed Kettle (ABC: PhP2,750,000.00, QTY: 3)</t>
  </si>
  <si>
    <t>Procurement of UPS battery</t>
  </si>
  <si>
    <t>Publication/Advertisement of Ordinance, Office of the Secretary to the Sangguniang Bayan, San Jose, Batangas</t>
  </si>
  <si>
    <t>PACKAGE I- CONSTRUCTION  &amp; RIPRAPPING OF BARANGAY ROAD  @ SITIO HULO WEST, RIPRAPPING OF BARANGAY ROAD AT SITIO LOOBAN, BRGY. SOLO, MABINI, BATANGAS&amp;</t>
  </si>
  <si>
    <t>SDH-20-0447-B LABORATORY SUPPLIES</t>
  </si>
  <si>
    <t>SDH-20-0442-B MEDICAL SUPPLIES</t>
  </si>
  <si>
    <t>PF-0320-237</t>
  </si>
  <si>
    <t>Construction of Rainwater Collection System for the Island of Banton, Romblon</t>
  </si>
  <si>
    <t>Procurement of Appliances</t>
  </si>
  <si>
    <t>Procurement of Events Equipment &amp; Information Desk</t>
  </si>
  <si>
    <t>REPAIR OF BARANGAY SERVICE VEHICLE @ BRGY. SOLO, MABINI, BATANGAS</t>
  </si>
  <si>
    <t>Procurement of Furniture</t>
  </si>
  <si>
    <t>Procurement of Sound system</t>
  </si>
  <si>
    <t>Purchase of Office Supplies/Equipment for use at the DepEd-Antequera District Office</t>
  </si>
  <si>
    <t>Supply and Delivery of Grocery Items (PMC)</t>
  </si>
  <si>
    <t>Procurement of Supply and Delivery of Eight (8) units Rice Transplanter (Ride-on) Rebid</t>
  </si>
  <si>
    <t>Procurement of Car Dashboard Camera</t>
  </si>
  <si>
    <t>Publication of Provincial Ordinances for Information Dissemination to Davao Oriental Constituents</t>
  </si>
  <si>
    <t>Rebidding of Concreting of Barangay Road at Brgy. Bignay 1, Sitio Aplaya, Sariaya, Quezon</t>
  </si>
  <si>
    <t>Repair &amp; Maintenance - Motor Vehicle (OTCN-PhP78,397.00)</t>
  </si>
  <si>
    <t>Other Supplies &amp; Materials Expenses (AFPRC-PHP55,805.00)</t>
  </si>
  <si>
    <t>Rebidding of Concreting of Barangay Road @Brgy Lutucan Malabag, Sitio Lagnas, Sariaya, Quezon</t>
  </si>
  <si>
    <t>FOR ENHANCEMENT OF CACAO PRODUCTION THRU PROVISION OF ACCREDITED VARIETY OF CACAO GRAFTED PLANTING MATERIALS AND FERTILIZER SUBSIDY</t>
  </si>
  <si>
    <t>Construction of Rainwater Collection System for the  Island of Tablas, Romblon</t>
  </si>
  <si>
    <t>CONSTRUCTION OF CONCRETE CANAL</t>
  </si>
  <si>
    <t>Rebidding of Concreting of Barangay Road @Brgy Bucal, Sariaya, Quezon</t>
  </si>
  <si>
    <t>Rebidding of Concreting of Barangay Road @Brgy Mamala 2, Sariaya Quezon</t>
  </si>
  <si>
    <t>r/m various mun.l roads mun of miagao (new payloader) july 1-31, 2020</t>
  </si>
  <si>
    <t>Construction of Rainwater Collection System for the  Island of San Jose, Romblon</t>
  </si>
  <si>
    <t>Construction of Rainwater Collection System for the Island of Sibuyan and Romblon, Romblon</t>
  </si>
  <si>
    <t>PROCUREMENT OF SPRAY PAINT FOR SSEN</t>
  </si>
  <si>
    <t>PROCUREMENT OF REPAIR AND MAINTENANCE EQUIPMENT</t>
  </si>
  <si>
    <t>Food for Work</t>
  </si>
  <si>
    <t>Office Supplies &amp; Devices</t>
  </si>
  <si>
    <t>Medals as per request of different Schools and Organizations for their Various Activities in this Municipality of Santa Cruz laguna</t>
  </si>
  <si>
    <t>FOR ENHANCEMENT OF CACAO PRODUCTION THRU PROVISION OF ACCREDITED VARIETY OF CACAO</t>
  </si>
  <si>
    <t>Procurement of PPEs (Protective Face Mask)</t>
  </si>
  <si>
    <t>PURCHASE OF JANITORIAL SUPPLIES</t>
  </si>
  <si>
    <t>PURCHASE OF MEDICAL EQUIPMENT - PWD's</t>
  </si>
  <si>
    <t>Repair &amp; Maintenance of Buildings (EBSO-PhP93,393.00)</t>
  </si>
  <si>
    <t>Purchase of Office &amp; Janitorial Supplies for the LGU</t>
  </si>
  <si>
    <t>Stockpiling Commodities</t>
  </si>
  <si>
    <t>20GJC0193 – 8 units Desktop Computer etc.</t>
  </si>
  <si>
    <t>Supplemental Feeding</t>
  </si>
  <si>
    <t>Supply and Installation of Air-Conditioning Units of Rural Health Unit</t>
  </si>
  <si>
    <t>Repair &amp; Maintenance of Other Structure (EBSO-PhP150,000.00)</t>
  </si>
  <si>
    <t>Procurement of Dressed chicken and Pork meat for the MMSU-Food Service Operation</t>
  </si>
  <si>
    <t>20GJC0191 – 100 liters UD Diesel Engine Oil Mega Multi 3 SAE 15W-40 etc.</t>
  </si>
  <si>
    <t>1 lot Supply of Electrical Panel with Circuit Breakers</t>
  </si>
  <si>
    <t>Supply and delivery of 500 bags Granular Complete Fertilizer to be used by OPV white corn farmers, as package with the existing project on regular seed distribution for CY 2020</t>
  </si>
  <si>
    <t>PROCUREMENT OF 5 GALS PURIFIED DRINKING WATER FOR CF-ILOILO</t>
  </si>
  <si>
    <t>Meals and Snacks at SB Office</t>
  </si>
  <si>
    <t>Purchase of Materials for the Repair of Municipal Dump Truck Compactor SKD 923 Gumaca, Quezon</t>
  </si>
  <si>
    <t>Supply and delivery of 500 bags Granular Urea to be used in the Cassava Model Farm for CY 2020</t>
  </si>
  <si>
    <t>20GJC0192 – 1 unit Laptop.</t>
  </si>
  <si>
    <t>Materials for Fabrication of 12 units Welding Table/ Positioner for SMAW Workshop</t>
  </si>
  <si>
    <t>For COVID-19 Preventive Measures</t>
  </si>
  <si>
    <t>Supply and delivery of various agricultural inputs to be used in the Sorghum Technology Demonstration</t>
  </si>
  <si>
    <t>Tools and Materials for Automotive NC I Trainees</t>
  </si>
  <si>
    <t>Supply and delivery of 2 units Mobile Electric Weighing Scale for Smal Ruminant and 1 unit Electric Weighing Scale with Cattle Squeezer to be used in monitoring and assessment of breeder stocks produc</t>
  </si>
  <si>
    <t>20GJC0190 – 2 pcs. Oil Filter 3831236 etc.</t>
  </si>
  <si>
    <t>To be used by Acting Vocational School Administrator's Secretary</t>
  </si>
  <si>
    <t>Construction of Multi-Purpose Pavement</t>
  </si>
  <si>
    <t>Office Equipment Supplies and Consumables</t>
  </si>
  <si>
    <t>FUELS/FUEL ADDITIVES &amp; LUBRICANT &amp; ANTI-CORROSIVE</t>
  </si>
  <si>
    <t>Supply and delivery of 501 reams Bond Paper (Legal) to be used in masterlisting of farmer beneficiary of the Rice Resiliency Project</t>
  </si>
  <si>
    <t>Procurement of IT Equipment for Various Offices</t>
  </si>
  <si>
    <t>Procurement of Laboratory Supplies and Equipment (1 unit Bio-Refrigerator, etc.)</t>
  </si>
  <si>
    <t>SUPPLY OF ONE (1) UNIT PORTABLE GENERATOR AND TWO (2) UNITS PORTABLE AIRCON under PR No. KMT-2003-005B and ITB No. 2005-025-04R</t>
  </si>
  <si>
    <t>Hiring of one (1) Research Assistant I for 3 months to assist in the Community-Based Participatory Action Research on Breeder Goat Production</t>
  </si>
  <si>
    <t>Supply of Labor and Materials for the Installation of New Cooling Coils for Air Handling Units at NAIA Terminal 3</t>
  </si>
  <si>
    <t>Supply and Delivery of DPD1 Tablets Palintest Free Chlorine and DPD Free Chlorine Reagent Powder Pillows</t>
  </si>
  <si>
    <t>Supply and delivery of various vehicle parts and accessories for the RP vehicle SJB-258 under HVCDP</t>
  </si>
  <si>
    <t>INFORMATION TECHNOLOGY</t>
  </si>
  <si>
    <t>Airconditioning and Airconditioning System</t>
  </si>
  <si>
    <t>SUPPLY, DELIVERY, INSTALLATION AND COMMISSIONING OF ONE (1) UNIT ENT-HNS DIGITAL VIDEO STROBOSCOPE</t>
  </si>
  <si>
    <t>Replacement of Server UPS Batteries and annual replacement of PABX and CCTV Batteries</t>
  </si>
  <si>
    <t>Installation of Ten (10) Units of Streetlights at RHU Compound, Brgy. Halang, Naic, Cavite</t>
  </si>
  <si>
    <t>Procurement of Switch Hub, Router, Access Point and Web Camera</t>
  </si>
  <si>
    <t>IB No. 2020-221 PROCUREMENT OF BEDAQUILINE FUMARATE</t>
  </si>
  <si>
    <t>VEHICLE REPAIR AND MAINTENANCE</t>
  </si>
  <si>
    <t>Delivery of various ICT Equipment needed for various offices (Consolidated) (ITB 20-072)</t>
  </si>
  <si>
    <t>SUPPLY &amp; DELIVERY OF VARIOUS MATERIALS OF BURIAS MINI GRID</t>
  </si>
  <si>
    <t>ITB - Supply and Delivery of Laboratory Supplies for CY 2020 (Supplemental)</t>
  </si>
  <si>
    <t>BLGU-ANIBONGON-01-2020 CONSTRUCTION OF TWO-STOREY EVACUATION CENTER PHASE III BRGY. ANIBONGON ABUYOG, LEYTE</t>
  </si>
  <si>
    <t>2020-06-665</t>
  </si>
  <si>
    <t>Construction of MRF Material Recovery Facilities</t>
  </si>
  <si>
    <t>REHABILITATION OF MULTI-PURPOSE BUILDING - CAMINDOROAN - SAN  JUAN, ILOCOS SUR</t>
  </si>
  <si>
    <t>P.R. # 20-0041 (Rebid) - Supply &amp; delivery of Concrete Cutter to be used by the Water Service Connection Installation Section (WSCIS) of the Customer Service Division.</t>
  </si>
  <si>
    <t>CONTRACT ID : 20GLF0031 - PROCUREMENT OF OFFICE SUPPLIES/CONSUMABLES FOR USE IN THE MAINTENANCE SECTION DPWH DAVAO ORIENTAL FIRST DEO, BAGANGA, DAVAO ORIENTAL (FOR 3RD QUARTER CY-2020) WITH PR NO.  20</t>
  </si>
  <si>
    <t>CONSTRUCTION PROJECT (LOCAL ACCESS ROADS, SO. LAKE DANAO, BGY. POBLACION, TAYTAY, PALAWAN)</t>
  </si>
  <si>
    <t>Job Order: Labor and Materials for the repair of Airconditioning Units located at Livestock Banner Program, Feed Laboratory and BAC Secretariat Office</t>
  </si>
  <si>
    <t>Re-Bidding for the Supply &amp; Delivery of Medical Supplies for MDRRMO use</t>
  </si>
  <si>
    <t>Purchase of various Equipment</t>
  </si>
  <si>
    <t>Equipment to be used for the TESDA Operation (CORE I-Install and Configure Computer System &amp; Core II - Set Up Computer Network)</t>
  </si>
  <si>
    <t>PURCHASE OF OFFICE, OTHER SUPPLIES AND MATERIALS</t>
  </si>
  <si>
    <t>20% BDF &amp; RRMF 2020</t>
  </si>
  <si>
    <t>Procurement of Various Drugs and Medicines</t>
  </si>
  <si>
    <t>SUPPLY &amp; DELIVERY OF VARIOUS MATERIALS OF CATANDUANES SS &amp; 69KVTL</t>
  </si>
  <si>
    <t>Purchase of various Office Supplies</t>
  </si>
  <si>
    <t>REPAIR/REWINDING OF VARIOUS MOTORS OF MARINAWA DPP</t>
  </si>
  <si>
    <t>R.I.S. No.: 20-93-017 MEDICAL EQUIPMENTS</t>
  </si>
  <si>
    <t>Drugs &amp; Medicines (PR No. 100-2020-0588 &amp; 0695) - BJMP &amp; ADH</t>
  </si>
  <si>
    <t>LPG Refill (50kgs &amp; 11kg) (PR No. 100-2020-0683, 0750a-b &amp; 0810) - WCPMH, OMH &amp; ZSPH</t>
  </si>
  <si>
    <t>LGU-AL-28-2020 REHABILITATION/IMPROVEMENT OF BARANGAY ROAD BRGY. MATAGNAO ABUYOG, LEYTE</t>
  </si>
  <si>
    <t>16 Units UPS (PR No. 100-2020-0634, 0723 &amp; 0761) - PEO &amp; PACCO</t>
  </si>
  <si>
    <t>Commercial Rice &amp; Sardines (PR No. 100-2020-0662, 0785 &amp; 0786) - BJMP</t>
  </si>
  <si>
    <t>CALIBRATION OF INJECTION PUMP</t>
  </si>
  <si>
    <t>Repair &amp; Maintenance of Aircondition (PR No. 100-2020-0130, 0132, 0289, 0570, 0581, 0711, 0713 &amp; 0826) - Various Offices</t>
  </si>
  <si>
    <t>20BF0060: Construction of Rainwater Collection System (RWCS)</t>
  </si>
  <si>
    <t>SUPPLY &amp; DELIVERY OF VARIOUS MATERIALS(DAY TO DAY MAINT.) of VIGA DPP</t>
  </si>
  <si>
    <t>LGU-AL-29-2020 CONSTRUCTION OF EVACUATION CENTER PHASE II BRGY. KIKILO ABUYOG, LEYTE</t>
  </si>
  <si>
    <t>Barangay Office Supplies and Devices</t>
  </si>
  <si>
    <t>Supply and Delivery of 165 m.t. Bituminous Concrete Surface Course (FD-Sandmix) 416 m.t. Bituminous Concrete  Surface Course (FD) to be used in the repair  and maintenance of various national roads in</t>
  </si>
  <si>
    <t>Completion of Brgy. Guadalupe Health Station</t>
  </si>
  <si>
    <t>Construction of Access Road From Brgy. Poblacion to Brgy. Guadalupe</t>
  </si>
  <si>
    <t>Other Supplies &amp; Materials Expenses (OTSM-PHP59,373.00)</t>
  </si>
  <si>
    <t>Procurement of supply and delivery of Agricultural Supplies and Materials</t>
  </si>
  <si>
    <t>1 Unit Floor Mounted Aircon (PR No. 100-2020-0730) - PPDO</t>
  </si>
  <si>
    <t>REHABILITATION OF SOLAR DRYER</t>
  </si>
  <si>
    <t>Purchase of other Supplies and Materials</t>
  </si>
  <si>
    <t>Supply and Delivery of Disinfect Solution for City Government of Tarlac use</t>
  </si>
  <si>
    <t>To be used at the SB Office.</t>
  </si>
  <si>
    <t>14 Units Printer (PR No. 100-2020-0714, 0716 &amp; 0760) - PEO &amp; PACCO</t>
  </si>
  <si>
    <t>1 Unit Risograph Machine Photocopier (PR No.100-2020-0725) - PEO</t>
  </si>
  <si>
    <t>Supply and Delivery of Hardware and Construction Supplies (PR 20-06-0243)</t>
  </si>
  <si>
    <t>1 Unit Motorcycle (PR No. 100-2020-0707) - BM Rillera</t>
  </si>
  <si>
    <t>Brass Cutter (PR No. 100-2020-0766) - PGO</t>
  </si>
  <si>
    <t>Semi Expendable Machinery &amp; Equip-Furniture &amp; Fixture-OSPS-PhP156,000.00)</t>
  </si>
  <si>
    <t>Supply and Delivery of Thermoplastic Paint to be used in Lane Markings in Various national roads in Quezon City (Dist. III &amp; IV)</t>
  </si>
  <si>
    <t>Assorted Tires, Batteries, Oil and Fuel Filter, and Other Supplies and Materials for the Maintenance of Vehicles (PR No. 100-2020-0733a-b) - PGO</t>
  </si>
  <si>
    <t>CONTRACT ID: 20GLF0032 - PROCUREMENT OF OFFICE SUPPLIES/CONSUMABLES FOR USE IN THE  DPWH DAVAO ORIENTAL FIRST DEO, BAGANGA, DAVAO ORIENTAL (CONSOLIDATED PR FOR 3RD QUARTER CY-2020) WITH PR NO.  2020-0</t>
  </si>
  <si>
    <t>3 Units Aircon, 3 Tons Inverter (PR No. 100-2020-0769) - PGO</t>
  </si>
  <si>
    <t>CONTRACT ID: 20-06-085 - PROCUREMENT OF POLYETHYLENE NET / SCREEN</t>
  </si>
  <si>
    <t>Purchase of CCTV Camera</t>
  </si>
  <si>
    <t>Non-Prod Infrastructure Technology Refresh</t>
  </si>
  <si>
    <t>Purchase and installation of CCTV</t>
  </si>
  <si>
    <t>For the Clearing of Barangay Road at Barangay Portic, Bugallon, Pangasinan</t>
  </si>
  <si>
    <t>Supply and Delivery of Flower Wreaths for the departed Constituents in Tarlac City</t>
  </si>
  <si>
    <t>Other Supplies &amp; Materials Expenses (OSPS-PHP93,500.00)</t>
  </si>
  <si>
    <t>2020-03-0091-Supply and Delivery of ICT &amp; Office Equipment, Supplies and Consumables</t>
  </si>
  <si>
    <t>CONTRACT ID: 20-06-084 - SUPPLY, DELIVERY,INSTALLATION, TESTING AND COMMISSIONING OF VARIOUS MEDICAL EQUIPMENT</t>
  </si>
  <si>
    <t xml:space="preserve">20CSKG01 :Sub-Surface Exploration for the 1) Construction of New SINDIG Bridge (35 Lin.m.) Chainage 3700  along LDNICR (S0097MN), 2) Construction of 1-NEW Concrete Bridge, Chainage 22054 of S00963MN, </t>
  </si>
  <si>
    <t>Supply and Delivery of Photo Papers for IATF Travel Pass and ID's for City Government of Tarlac use</t>
  </si>
  <si>
    <t>Supply and Delivery of Toners for City Government of Tarlac use</t>
  </si>
  <si>
    <t>CONTRACT ID: 20GLF0033 - Procurement of Various Spare Parts for use in the Repair of Double Cab. KIA Bongo H1-7299/MAE-6368, Double Cab KIA Bongo H1-7298 and HINO Mini Dumptruck H3-6787 for use in the</t>
  </si>
  <si>
    <t>2020-03-0090-Supply and Delivery of Limestones and Fuels for Road Opening at Brgy. Tamiao, Bantayan, Cebu</t>
  </si>
  <si>
    <t>Purchase of Xerox Machine</t>
  </si>
  <si>
    <t>Supply and Delivery of Sticker Papers for Tarlac City Mayor's Office use</t>
  </si>
  <si>
    <t>eMail Infrastructure Technology Refresh</t>
  </si>
  <si>
    <t>Request for Quotation of Medical Oxygen</t>
  </si>
  <si>
    <t>Procurement of Anti-Rabies Vaccines (MHO)</t>
  </si>
  <si>
    <t>Catering Services for the Conduct of Legislative Sessions Hearings Consultations - Jul. 2020, Aug. 2020, Sept. 2020 (PR No. 100-2020-0809a-c) - PVGO</t>
  </si>
  <si>
    <t>SUPPLY AND DELIVERY OF PSHS-MRCs LOAD CARD</t>
  </si>
  <si>
    <t>Agricultural Supplies (PR No.100-2020-0770) - OPAG</t>
  </si>
  <si>
    <t>20GG0042-G - Procurement of On Ground Equipment and Survey Tools for the use of Planning and Design Section, DPWH Iloilo 2nd DEO, Balabag, Dumangas, Iloilo</t>
  </si>
  <si>
    <t>Supply and Delivery of Odor Eliminator for City Government of Tarlac use</t>
  </si>
  <si>
    <t>Procurement of Medical Supplies (MHO)</t>
  </si>
  <si>
    <t>6 set Surgical Instruments for NSD</t>
  </si>
  <si>
    <t>Printing and Delivery of Advocacy Stickers for City Government of Tarlac use</t>
  </si>
  <si>
    <t xml:space="preserve">20GG0043-G - Procurement of 1 Unit Double Tank Thermoplastic Paint Preheater for Use in the Painting/Repainting of Thermoplastic Pavement Markings along Various National Roads of DPWH Iloilo 2nd DEO, </t>
  </si>
  <si>
    <t>Delivery and Installation of Roof</t>
  </si>
  <si>
    <t>PROCUREMENT FOR THE SUPPLY AND DELIVERY OF VARIOUS LABORATORY EQUIPMENT FOR USE OF CENTRAL POST ENTRY QUARANTINE STATION OF NATIONAL PLANT QUARANTINE SERVICES DIVISION (NPQSD)</t>
  </si>
  <si>
    <t>8 sets Surgical Instruments for Caesarian Section</t>
  </si>
  <si>
    <t>BNLSL-LCB-30-2020 – Construction of Diversion Works, Canal, Farm Level and Drainage System of Buli SIP, Bato, Leyte</t>
  </si>
  <si>
    <t>Request for Quotation of IV Fluids</t>
  </si>
  <si>
    <t>SUPPLY AND DELIVERY OF ONE (1) UNIT PULMONARY FUNCTION TEST MACHINE</t>
  </si>
  <si>
    <t>BNLSL-LCB-31-2020 – Construction of Pump Works (Package I) of Bahay SIP, San Miguel, Leyte</t>
  </si>
  <si>
    <t>Delivery of Children's Outdoor Playground Equipment</t>
  </si>
  <si>
    <t>BNLSL-LCB-31A-2020 – Construction of Canal, Farm Level, Drainage and Road System (Package II) of Bahay SIP, San Miguel, Leyte</t>
  </si>
  <si>
    <t>Procurement of High Speed Drill System for Neuro and ENT Surgery (HFEP)</t>
  </si>
  <si>
    <t>diesel 900ltrs</t>
  </si>
  <si>
    <t>4 set Surgical Instruments for Gynecology Minor</t>
  </si>
  <si>
    <t>Procurement of Ultrasonic Assisted Generators and Debridement thru low frequency ultrasound cavitation (25kHz and 35kHz) (HFEP)</t>
  </si>
  <si>
    <t>4 set Surgical Instruments for Gynecology Major</t>
  </si>
  <si>
    <t>Supply and Delivery of Office Supplies (MHO)</t>
  </si>
  <si>
    <t>Installation of Integrated Solar Streetlights</t>
  </si>
  <si>
    <t>Request for Quotation of Drugs and Medicines (Dangerous Drugs)</t>
  </si>
  <si>
    <t>Procurement of Hygiene Supplies Precautionary Measures to COVID-19</t>
  </si>
  <si>
    <t>Supply and Delivery of Various Forms for City Government of Tarlac use</t>
  </si>
  <si>
    <t>Procurement of Brigada Eskwela T-Shirt and Facemask</t>
  </si>
  <si>
    <t>IB No. 2006-320 Proc. of Infra (Road Concreting of F. Dagohoy Circumferential Road (J.A. Clarin St. – C. Darunday St.)</t>
  </si>
  <si>
    <t>SUPPLY AND DELIVERY OF POLO SHIRT</t>
  </si>
  <si>
    <t>PROVISION OF STREET LIGHTINGS (at Brgy. Pandacan)</t>
  </si>
  <si>
    <t>SUPPLY AND DELIVERY OF AIRCONDITIONER</t>
  </si>
  <si>
    <t>IMPROVEMENT OF MUNICIPAL PLAZA (Supply of Painting Materials &amp; Supplies)</t>
  </si>
  <si>
    <t>Supply and Delivery of Aggregates at bataan SIP</t>
  </si>
  <si>
    <t>SUPPLY AND DELIVERY OF OFFICE SUPPLIES SECOND QUARTER CY 2020 REBID</t>
  </si>
  <si>
    <t>CAREER DAY FOR POBLACION KIDS</t>
  </si>
  <si>
    <t>FEELING PASKO SA POBLACION</t>
  </si>
  <si>
    <t>SLOPE PROTECTION  (Purok Caimito, Brgy. Camugao)</t>
  </si>
  <si>
    <t>RFQ - Procurement of Tablets for Use in Computerized Queuing System in SDO</t>
  </si>
  <si>
    <t>DELIVERY OF MATERIALS FOR THE IMPROVEMENT OF BRGY. MULTI PURPOSE BUILDING</t>
  </si>
  <si>
    <t>SAMPIRO LIVELIHOOD FESTIVAL</t>
  </si>
  <si>
    <t>HELP:HONING AND EDUCATING LEADERS OF POBLACION</t>
  </si>
  <si>
    <t>Supply and Delivery of Anti-Dengue Solution for City Government of Tarlac use</t>
  </si>
  <si>
    <t>RFQ - Supply and Delivery of Various Office Supplies for Division Office Use</t>
  </si>
  <si>
    <t>Supply and Delivery of Aggregates at Simulao RIS</t>
  </si>
  <si>
    <t>PROCUREMENT FOR THE SUPPLY AND DELIVERY OF GC COLUMNS FOR USE IN LABORATORIES OF PLANT PRODUCT SAFETY SERVICES DIVISION (PPSSD)</t>
  </si>
  <si>
    <t>General Cleaning of 22 Air-Conditioning units of SSS Bacoor Branch for the 3rd and 4th quarter of 2020</t>
  </si>
  <si>
    <t>DALOY NG KASAYSAYAN POBLACION RIVER CRUISE</t>
  </si>
  <si>
    <t>SUPPLY OF LABOR AND MATERIALS FOR INSTALLATION OF TOP ROOFING OF NPQSD-CENTRAL OFFICE BUILDING (NPQSD)</t>
  </si>
  <si>
    <t>Request for Quotation of Medical and Laboratory Supplies</t>
  </si>
  <si>
    <t>GIVING IN FAMILY TOGETHER (GIFT)</t>
  </si>
  <si>
    <t>Construction of Basketball Post, Board, and Ring</t>
  </si>
  <si>
    <t>Printing of Tarpaulin for School Announcements</t>
  </si>
  <si>
    <t>MUSIK LABAN</t>
  </si>
  <si>
    <t>Repair of Sitio Sinongtan Bridge Brgy. Lanas, San Jose, Romblon</t>
  </si>
  <si>
    <t>REQUEST FOR QUOTATION SHOPPING OF 40 UNITS OF MONOBLOC CHAIRS</t>
  </si>
  <si>
    <t>Completion of Cajidiocan Sports Complex Concrete Bleacher Cajidiocan, Romblon</t>
  </si>
  <si>
    <t>Construction of Perimeter Fence (Phase I) for the Bureau of Jail Management and Penology (BJMP) Facility at Barangay Lonos (Sitio Wireless) Romblon, Romblon</t>
  </si>
  <si>
    <t>ENVIRONMENTAL AWARENESS AND EDUCATION REPUBLIC ACT 9512 OF 2008</t>
  </si>
  <si>
    <t>EDUCATION SUMMIT</t>
  </si>
  <si>
    <t>Concrete Paving of Provincial Road to Public Cemetery (Additional Fund), Looc, Romblon</t>
  </si>
  <si>
    <t>Repair of Sitio Tinap-an Bridge Brgy. Lanas, San Jose, Romblon</t>
  </si>
  <si>
    <t>REPAIR &amp; IMPROVEMENT OF ADMIN BUILDING</t>
  </si>
  <si>
    <t>invitation to Bid</t>
  </si>
  <si>
    <t>Concrete Paving of Farm to Market Road, Cambalo, Cajidiocan, Romblon</t>
  </si>
  <si>
    <t>Provision of 160 pax Meals, Snacks and Accommodation for the conduct of Business Plan Preparation and Business Management Training in Region 1</t>
  </si>
  <si>
    <t>Drainage Construction along Gen. Luna St.</t>
  </si>
  <si>
    <t>Completion of Food Court    Poblacion, Cajidiocan, Romblon</t>
  </si>
  <si>
    <t>Invitation to Bid for the Construction of Multi-Purpose Drying Pavement (MPDP) @ Brgy. Bato, Cabugao, Ilocos Sur</t>
  </si>
  <si>
    <t>Improvement of Municipal Waterworks System</t>
  </si>
  <si>
    <t>Purchase of 2 unit  2HP  window type   Air conditioning</t>
  </si>
  <si>
    <t>Purchase of Construction Supplies</t>
  </si>
  <si>
    <t>Concrete Paving of Poblacion-Jao-asan Provincial Road, Magdiwang, Romblon</t>
  </si>
  <si>
    <t>Concrete Paving of Farm to Market Road, Gutivan, Cajidiocan, Romblon</t>
  </si>
  <si>
    <t>Invitation to Bid for the Construction of Multi-Purpose Building @ Brgy. Carusipan (Proper), Cabugao, Ilocos Sur</t>
  </si>
  <si>
    <t>Invitation to Bid for the Construction of Multi-Purpose Drying Pavement (MPDP) @ Brgy. Quezon, Cabugao, Ilocos Sur</t>
  </si>
  <si>
    <t>Construction of Maternity Half-Way House, San Jose District Hospital, Poblacion, San Jose, Romblon</t>
  </si>
  <si>
    <t>Invitation to Bid for the Concreting of Farm to Market Road @ Brgy. Pug-os (Balay-oac), Cabugao, Ilocos Sur</t>
  </si>
  <si>
    <t>Invitation to Bid for the Improvement of Water System @ Cabugao, Ilocos Sur</t>
  </si>
  <si>
    <t>CP 2020-38 BIDDING FOR THE SUPPLY, DELIVERY, INSTALLATION AND MAINTENANCE OF ENERGY EFFICIENT SOLID STATE LUMINAIRES C/O CEO</t>
  </si>
  <si>
    <t>Purchase of School Supplies</t>
  </si>
  <si>
    <t>Invitation to Bid for the Construction of Slope Protection @ Brgy. Quezon, Cabugao, Ilocos Sur</t>
  </si>
  <si>
    <t>CONSTRUCTION OF STREETLIGHTS (PHASE II) BARANGAY TIGBANGAGAN</t>
  </si>
  <si>
    <t>Construction of Concrete Pavement at Public Market Area, R. T. Lim, Zamboanga Sibugay.</t>
  </si>
  <si>
    <t>Purchase of Garden Tools and DRRM Materials</t>
  </si>
  <si>
    <t>Concreting of Rerouting Road From Legislative to In Front of MSWD Office - Phase I, Municipal Site, R. T. Lim, Zamboanga Sibugay.</t>
  </si>
  <si>
    <t>JSTOR Archival Collection Subscription</t>
  </si>
  <si>
    <t>Purchase of Janitorial Supplies</t>
  </si>
  <si>
    <t>Purchase of Massage Therapy Machine</t>
  </si>
  <si>
    <t>CP 2020-37 BIDDING FOR THE SUPPLY AND DELIVERY OF ANTI-RABIES VACCINES C/O HSO</t>
  </si>
  <si>
    <t>Invitation to Bid for the Concreting of Farm to Market Road @ Brgy. Pug-os (Inanama Sur), Cabugao, Ilocos Sur</t>
  </si>
  <si>
    <t>Invitation to Bid for the Concreting of Farm to Market Road @ Brgy. Pug-os (Inanama Norte), Cabugao, Ilocos Sur</t>
  </si>
  <si>
    <t>Purchase of Various Supplies and Materials for the Repair and Maintenance of Barangay MV</t>
  </si>
  <si>
    <t>INSTALLATION OF PIPES AND FITTINGS (BARANGAY TIGBANGAGAN)</t>
  </si>
  <si>
    <t>Vehicles Parts for the Maintenance of Municipal Dump truck no. 120</t>
  </si>
  <si>
    <t>Purchase of Office Furniture and Fixtures</t>
  </si>
  <si>
    <t>Purchase of Street Lights</t>
  </si>
  <si>
    <t>RFQ 2020-06-328 Procurement of various supplies and materials for OM</t>
  </si>
  <si>
    <t>Purchase of Technical and Scientific Equipment</t>
  </si>
  <si>
    <t>Lanyard/ID Cord (sky blue)</t>
  </si>
  <si>
    <t>Purchase of ICT Equipment</t>
  </si>
  <si>
    <t>Purchase of Additional CCTV Cameras</t>
  </si>
  <si>
    <t>Purchase of Office Supplies and Materials</t>
  </si>
  <si>
    <t>Purchase of Various Supplies and Materials for Health ang Sanitation Program</t>
  </si>
  <si>
    <t>RFQ 2020-06-329 Procurement of various janitorial supplies for OM</t>
  </si>
  <si>
    <t>Purchase of Solid Wast Management Supplies and Materials</t>
  </si>
  <si>
    <t>Purchase of Various Essential Supplies and Materials for Peace and Order Program</t>
  </si>
  <si>
    <t>RFQ 2020-06-307 Procurement of various office supplies for CPDO</t>
  </si>
  <si>
    <t>Developing the Handicraft Industry of the Agayap Agriculture and Livelihood Organization – Lot 2</t>
  </si>
  <si>
    <t>DEVELOPING THE FOOD PROCESSING INDUSTRY OF THE BAANG WOMEN’S ORGANIZATION AND RURAL IMPROVEMENT CLUB – LOT 1</t>
  </si>
  <si>
    <t>Developing the Food Processing Industry of the Baang Women’s Organization and Rural Improvement Club – Lot 2</t>
  </si>
  <si>
    <t>Purchase of Portable Toilet</t>
  </si>
  <si>
    <t>COFFEE PROCESSING PROJECT OF THE LUBU-ONG BIMMOBLE ORGANIZATION – LOT 1</t>
  </si>
  <si>
    <t>DEVELOPING THE HANDICRAFT INDUSTRY OF THE AGAYAP AGRICULTURE AND LIVELIHOOD ORGANIZATION – LOT 1</t>
  </si>
  <si>
    <t>Purchase of Supplies and Materials for Livelihood Program</t>
  </si>
  <si>
    <t>RFQ 2020-06-330 Procurement of 380 pcs. Planner for DTCAM</t>
  </si>
  <si>
    <t>DEVELOPING THE HANDICRAFT INDUSTRY OF THE AGAYAP AGRICULTURE AND LIVELIHOOD ORGANIZATION – LOT 3</t>
  </si>
  <si>
    <t>STRENGTHENING OF THE WEAVING PROJECT OF HUNGDUAN WEAVER’S ASSOCIATION – LOT 2</t>
  </si>
  <si>
    <t>RFQ 2020-06-331 Procurement of various supplies and materials for DTCAM</t>
  </si>
  <si>
    <t>JANITORIAL SUPPLIES</t>
  </si>
  <si>
    <t>STRENGTHENING OF THE WEAVING PROJECT OF HUNGDUAN WEAVER’S ASSOCIATION – LOT 1</t>
  </si>
  <si>
    <t>PURCHASE OF 2 UNITS AIRCONDITIONER</t>
  </si>
  <si>
    <t>Purchase of Drug Testing Kits</t>
  </si>
  <si>
    <t>COFFEE PROCESSING PROJECT OF THE LUBU-ONG BIMMOBLE ORGANIZATION – LOT 2</t>
  </si>
  <si>
    <t>COFFEE PROCESSING PROJECT OF THE LUBU-ONG BIMMOBLE ORGANIZATION – LOT 3</t>
  </si>
  <si>
    <t>Asphalt overlay of road in front of the Provincial Capitol including part of Iba-Sta. Barbara Road</t>
  </si>
  <si>
    <t>RFQ 2020-06-333 Procurement of various office supplies for DTCAM</t>
  </si>
  <si>
    <t>Embankment of Earth Dike at Sitio Liki Section</t>
  </si>
  <si>
    <t>Completion of Brgy. Poblacion Fitness Center</t>
  </si>
  <si>
    <t>Various Gardening Supplies</t>
  </si>
  <si>
    <t>Supply and delivery of office supplies and devices for Malatungtong Ext. school/Admin. Office</t>
  </si>
  <si>
    <t>Computer Consumables</t>
  </si>
  <si>
    <t>Riprapping of Provincial Road Poblacion, Sta. Fe, Romblon</t>
  </si>
  <si>
    <t>PROJECT HEALTHA</t>
  </si>
  <si>
    <t>Improvement of Water System</t>
  </si>
  <si>
    <t>Heavy Equipment Maintenance - 10W Nissan DT/SHG-279 and 6W Nissan DT/SFY-351</t>
  </si>
  <si>
    <t>Heavy Equipment Maintenance - Nissan 10W DT/SHG-280, Isuzu Firework / SGR-968 &amp; Man Rosenbauer FT Eng., JCB Backhoe Loader &amp; Menzi Muck Excavator</t>
  </si>
  <si>
    <t>Tarpaulin Printing for Barangay Assembly</t>
  </si>
  <si>
    <t>Motor Vehicle Maintenance - Isuzu Crosswind/SKP-997 (DepEd), Isuzu Crosswind/SKP-969 and Toyota Revo/SGN-728</t>
  </si>
  <si>
    <t>Heavy Equipment Maintenance - Nissan 10W DT/SHG-276 and 6W Isuzu DT/DT #12</t>
  </si>
  <si>
    <t>Heavy Equipment Maintenance - Nissan 10W/SFY-352 and Isuzu Manlift Room Truck/CS-0301</t>
  </si>
  <si>
    <t>Improvement/Repair of Bobon Integrated Food and Transport Terminal (Damaged by Typoon Tisoy)</t>
  </si>
  <si>
    <t>Heavy Equipment Maintenance - Nissan 10W DT/SFY-353, HBM Motor Grader/ BG 110T - 5 # 2 and Nissan DT/SFY-351</t>
  </si>
  <si>
    <t>Flood Control</t>
  </si>
  <si>
    <t>Repair/Rehabilitation of Main Building and Completion of Wards at Tablas Island District Hospital (TIDH) San Agustin, Romblon</t>
  </si>
  <si>
    <t>8918-19-206) REHABILITATION OF MULTI-PURPOSE HALL (FEDERATION OF BAGUIO SENIOR CITIZENS ASSOCIATION, FBASECA-FCCAP BAGUIO CHAPTER AT UPPER SESSION ROAD, SALUD MITRA C/O CBAO</t>
  </si>
  <si>
    <t>8918-20-002)CONSTRUCTION OF SEWERLINE FROM PORTA VAGA AREA TO POST OFFICE AT KABAYANIHAN C/O CEPMO</t>
  </si>
  <si>
    <t>Procurement of Electrical Supplies</t>
  </si>
  <si>
    <t>20GNE0025-Supplies/Deliveries for the Procurement of various Common Office Supplies to be used in Administrative Section, Maintenance Section, Construction Section, Planning &amp; Design Section, and Qual</t>
  </si>
  <si>
    <t>Stone Masonry - Entrance going to P/Dona Eming &amp; Balabag-bato</t>
  </si>
  <si>
    <t>Inviration to Bid - Infrastructure Project for Construction of Evacuation Center at Barangay Sabang, Danao City</t>
  </si>
  <si>
    <t>4411-19-022) IMPROVEMENT AND EXTENSION OF THE EXISTING SCOUT BARRIO HEALTH CENTER AT SCOUT BARRIO C/O CBAO</t>
  </si>
  <si>
    <t>Procurement &amp; Distribution of 576 Head Chicken to the TD-Usman affected Farmers in Bobon, Northern Samar</t>
  </si>
  <si>
    <t>8918-19-216)  REHABILITATION OF THE MULTI-PURPOSE HALL-REWIRING OF ELECTRICAL LINES, PLUMBING WORKS, REPAINTING AND TILING WORKS AT DAY CARE CENTER, STA. ESCOLASTICA VILLAGE C/O CBAO</t>
  </si>
  <si>
    <t>8918-20-003)  CONSTRUCTION OF SEWERLINE AT PUROK 2, DPS COMPOUND C/O CEPMO</t>
  </si>
  <si>
    <t>Concreting of Barangay Road Station 2 going to P/Dona Eming &amp; Balabag-bato</t>
  </si>
  <si>
    <t>Request for Quotation - Consultant on Barangay Taxation and Economic Enterprises Operation (CMO)</t>
  </si>
  <si>
    <t>Materials for repair &amp; maintenance of different hospitals &amp; quarantine facilities during COVID-19</t>
  </si>
  <si>
    <t>INVITATION TO BID FOR CONSTRUCTION OF PIGKALAGAN – MATENGEN ROAD</t>
  </si>
  <si>
    <t>8918-19-228)  CONTINUATION OF THE REHABILITATION OF THE MULTI-PURPOSE HALL AT UPPER GEN. LUNA C/O CBAO</t>
  </si>
  <si>
    <t>8918-20-136)  CONSTRUCTION AND INSTALLATION OF A PROTECTIVE GATE AND CANOPY AND TILING OF THE STAIRS, MULTI-PURPOSE HALL AT MIDDLE ROCK QUARRY C/O CBAO</t>
  </si>
  <si>
    <t>8918-19-182)  CONSTRUCTION OF SEWERLINE AT PUROK 2, PADRE ZAMORA C/O CEPMO</t>
  </si>
  <si>
    <t>20GNE0026-Supplies/Deliveries for the Procurement of various Inks and Accessories to be used in Construction Section, Finance Section, Planning &amp; Design Section of this office for the 1st and 2nd Quar</t>
  </si>
  <si>
    <t>COVID 19 RESPONSE ITEMS</t>
  </si>
  <si>
    <t>Enhancing the Livelihood of Ay-aywanan Organization Incorporated Through the Provision of Food Processing Facilities and Equipment</t>
  </si>
  <si>
    <t>DEVELOPING THE ROOT CROPS INDUSTRY OF THE AHIN FARMERS DEVELOPMENT ORGANIZATION INCORPORATED – LOT 4</t>
  </si>
  <si>
    <t>Procurement of meals and snacks for frontliners, responders and monitoring team during GCQ</t>
  </si>
  <si>
    <t>REHABILITATION OF MULTI-PURPOSE HALL (PHASE V)</t>
  </si>
  <si>
    <t>PROVISION OF CITRUS PROCESSING EQUIPMENT AND FACILITIES</t>
  </si>
  <si>
    <t>PROVISION OF VEGETABLE BREAD PROCESSING FACILITIES</t>
  </si>
  <si>
    <t>DEVELOPING THE ROOT CROPS INDUSTRY OF THE AHIN FARMERS DEVELOPMENT ORGANIZATION INCORPORATED – LOT 1</t>
  </si>
  <si>
    <t>Provision of Coffee Processing Center and Facilities</t>
  </si>
  <si>
    <t>PROVISION OF COFFEE PRE-PROCESSING FACILITIES</t>
  </si>
  <si>
    <t>Procurement of Medical, Dental and Laboratory Supplies</t>
  </si>
  <si>
    <t>Slope/Shore Protection of Barangay Pandan, Sta. Fe, Romblon</t>
  </si>
  <si>
    <t>Procurement of 4pcs. Tire with alignment, 2pcs. 1oz clip type and 1 pc. 3/4 clip type for Municipal Ambulance (A8-P809)</t>
  </si>
  <si>
    <t>COVID19 Essential Materials in School</t>
  </si>
  <si>
    <t>Purchase of Generator</t>
  </si>
  <si>
    <t>DEVELOPING THE ROOT CROPS INDUSTRY OF THE AHIN FARMERS DEVELOPMENT ORGANIZATION INCORPORATED – LOT 3</t>
  </si>
  <si>
    <t>Slope Protection at Sitio Bagulayag, Tubigon, Ferrol, Romblon</t>
  </si>
  <si>
    <t>Pag-IBIG Fund TAS NCR South (SUPPLY AND DELIVERY OF VARIOUS COMPUTER SUPPLIES OF MAKATI CBD GROUP AND OVP'S FOR 1ST QUARTER OF 2020)</t>
  </si>
  <si>
    <t>Procurement of office Supplies and Consumables</t>
  </si>
  <si>
    <t>INVITATION TO BID FOR OPENING/REHABILITATION OF FARM TO MARKET ROAD</t>
  </si>
  <si>
    <t>DEVELOPING THE ROOT CROPS INDUSTRY OF THE AHIN FARMERS DEVELOPMENT ORGANIZATION INCORPORATED – LOT 2</t>
  </si>
  <si>
    <t>Provision of Coffee Pre-Processing Facilities</t>
  </si>
  <si>
    <t>INVITATION TO BID FOR CONCRETING OF REBUKEN ROAD – TESDA ROAD</t>
  </si>
  <si>
    <t>Construction of River Walk/Promenade, Poblacion, Madiwang, Romblon</t>
  </si>
  <si>
    <t>INVITATION TO BID FOR CONSTRUCTION OF MAGNO – BRGY. RENTI ROAD</t>
  </si>
  <si>
    <t>Completion of Educ’l Facilities (Completion of Stage) at Tampayan Elementary School Magdiwang, Romblon</t>
  </si>
  <si>
    <t>supply &amp; delivery of agricultural supplies used for Plant Plant Plant Program &amp; establishment of urban gardening at CLIARC Upland PR#2020-06-04-61 w/ ABC of P 53,461.00</t>
  </si>
  <si>
    <t>Repair/Improvement of Brgy. Water System Bachawan, San Agustin, Romblon</t>
  </si>
  <si>
    <t>Procurement of Office Supplies for Different Offices</t>
  </si>
  <si>
    <t>CONSTRUCTION OF WATER SYSTEM LEVEL III WITH RESERVOIR AND DISTRIBUTION LINE CONNECTS TO CENTRAL MAGUJNDANAO INTEGRATED WATER SYSTEM</t>
  </si>
  <si>
    <t>Supply and Delivery of Spare Part for Loader/Backhoe Case 480F (RFQ20-21)</t>
  </si>
  <si>
    <t>One (1) Lot – Hardware and Software Maintenance and Technical Support Services for the Endpoint Data Leakage Protection, as per BSP Terms of Reference and Service Level Agreement</t>
  </si>
  <si>
    <t>One (1) Lot – Software Subscription for the existing 3,560 HCL Domino Enterprise Processor Value Unit (PVU) licenses, as per BSP Terms of Reference</t>
  </si>
  <si>
    <t>office supplies</t>
  </si>
  <si>
    <t>INVITATION TO BID FOR CONSTRUCTION OF SENDITAN - SAMBOLAWAN ROAD</t>
  </si>
  <si>
    <t>Mahaba ES Supplies for June</t>
  </si>
  <si>
    <t>supply &amp; delivery of equipment to be used in Metarizhuim &amp; Trichogramma laboratory PR#2020-06-09-958 w/ ABC of P141,590.00</t>
  </si>
  <si>
    <t>Site Development for Municipal Housing Project at Brgy. Poblacion San Agustin, Romblon</t>
  </si>
  <si>
    <t>Procurement of Cordless Phone</t>
  </si>
  <si>
    <t>INVITATION TO BID FOR CONSTRUCTION OF TUDOK - PALAO ROAD</t>
  </si>
  <si>
    <t>supply &amp; delivery of other supplies to be used in mass production of Metarhizium PR#2020-06-09-359 w/ ABC of P220,000.00</t>
  </si>
  <si>
    <t>supply &amp; delivery of agricultural supplies used for the mass production of various vegetable seedlings in support to the Plant Plant Plant Program PR#2020-06-09-360 w/ ABC of P 199,994.00</t>
  </si>
  <si>
    <t>20-01-0101 SAAD 2020 Seaweeds Production in Southern Leyte</t>
  </si>
  <si>
    <t>Supply and Delivery of Spare Part for Loader/Backhoe Case 480F (RFQ20-22)</t>
  </si>
  <si>
    <t>Construction of Roofing in the Parking Area</t>
  </si>
  <si>
    <t>Purchase of Teachers Supplies</t>
  </si>
  <si>
    <t>Supply and Delivery of MDRRM Tents and Materials for Repair</t>
  </si>
  <si>
    <t>Fabrication and Installation of  Accordion Gate at the Stairway, Window and Door Grills at the SHS Building</t>
  </si>
  <si>
    <t>Supply and Delivery of Spare Part for UD Nissan Dump Truck (RFQ20-23)</t>
  </si>
  <si>
    <t>RFQ No. 20-0549 Shopping B  (Supply and Delivery of HP Ink Cartridge for PSAMD Stockpile)</t>
  </si>
  <si>
    <t>supply &amp; delivery of other supplies to be distributed to IPM Coordinators, technicians &amp; farmer leaders for Bantay Peste Brigade Project in 7 prov of Region III PR#2020-06-09-361 w/ ABC of P221,400.00</t>
  </si>
  <si>
    <t>supply &amp; delivery of other supplies to be used in rehabilitation and upgrade of Electrical System at RCPC, Maligaya Munoz, Nueva Ecija PR#2020-06-09-362 w/ ABC of P652,351.35</t>
  </si>
  <si>
    <t>8918-20-014)  REHABILITATION OF DRAINAGE AT EAST QUIRINO HILL TOWARDS MAGSAYSAY AVENUE, EAST QUIRINO HILL C/O CEO</t>
  </si>
  <si>
    <t>20-05-0579 Supplies/materials for ICT maintenance and upgrade</t>
  </si>
  <si>
    <t>supply &amp; delivery of agricultural supplies used for Plant Plant Plant Program PR#2020-06-04-60 w/ ABC of P 75,000.00</t>
  </si>
  <si>
    <t>construction of storage facility for confiscated forest products of DENR PENRO Biliran</t>
  </si>
  <si>
    <t>Procurement and Delivery of Android Tablets</t>
  </si>
  <si>
    <t>supply and delivery of two(2)motor vehicle</t>
  </si>
  <si>
    <t>School Supplies and Instructional Materials of Pangantucan National High School</t>
  </si>
  <si>
    <t>supply &amp; delivery of agricultural supplies used for Plant Plant Plant Program PR#2020-06-04-63 w/ ABC of P 120,360.75</t>
  </si>
  <si>
    <t>SHS SUPPLIES FOR REPRODUCTION OF MODULES</t>
  </si>
  <si>
    <t>Procurement of Internet Service Provider (PMO Main Office)</t>
  </si>
  <si>
    <t>LOT 7 - CY2020 Repair and Rehabilitation Program</t>
  </si>
  <si>
    <t>LOT 6 - CY2020 Repair and Rehabilitation Program</t>
  </si>
  <si>
    <t>SUPPLIES FOR REPRODUCTION OF LEARNING MODULES</t>
  </si>
  <si>
    <t>Office Supplies and Devices - Purchase of Office Supplies</t>
  </si>
  <si>
    <t>LOT 8 - CY2020 Repair and Rehabilitation Program</t>
  </si>
  <si>
    <t>LOT 9 - CY2020 Repair and Rehabilitation Program</t>
  </si>
  <si>
    <t>LOT 5 - CY2020 Repair and Rehabilitation Program</t>
  </si>
  <si>
    <t>Procurement of Laptop with Accessories</t>
  </si>
  <si>
    <t>LOT 1 - CY2020 Repair and Rehabilitation Program</t>
  </si>
  <si>
    <t>LOT 4 - CY2020 Repair and Rehabilitation Program</t>
  </si>
  <si>
    <t>LOT 2 - CY2020 Repair and Rehabilitation Program</t>
  </si>
  <si>
    <t>Purchase of Office Supplies as requested by LCDRRMO (PR#199)</t>
  </si>
  <si>
    <t>Repair of Pathway</t>
  </si>
  <si>
    <t>Construction of Drainage Canal</t>
  </si>
  <si>
    <t>LOT 3 - CY2020 Repair and Rehabilitation Program</t>
  </si>
  <si>
    <t>Purchase of assistive devices for municipal use in Calumpit, Bulacan</t>
  </si>
  <si>
    <t>Purchase of Fire Extinguisher refill as requested by BFP (PR#209)</t>
  </si>
  <si>
    <t>Purchase of office equipments for municipal use in Calumpit, Bulacan</t>
  </si>
  <si>
    <t>SUPPLY OF ONE (1) UNIT HEAVY DUTY COPIER/PRINTER</t>
  </si>
  <si>
    <t>SUPPLY INSTALLATION AND ACTIVATION  OF THE  CCTV LINE FOR THE CITY DISASTER RISK REDUCTION MANAGEMENT OFFICE</t>
  </si>
  <si>
    <t>Purchase of Office Supplies as requested by COMELEC (PR#212)</t>
  </si>
  <si>
    <t>TV Flat Screen 32" (Smart Share/Smart Phone Support)</t>
  </si>
  <si>
    <t>Purchase of Office Supplies as requested by PNP (PR#210)</t>
  </si>
  <si>
    <t>CONSTRUCTION OF MAKESHIFT ELEVEN (11) – CLASSROOM TEMPORARY LEARNING SHELTER FOR BURABOD ELEMENTARY SCHOOL, LIBON, ALBAY (RE-BID)</t>
  </si>
  <si>
    <t>Purchase of Janitorial Supplies as requested by COMELEC (PR#211)</t>
  </si>
  <si>
    <t>Delivery of Office Equipment Supplies and Consumables</t>
  </si>
  <si>
    <t>Laptops/Printers/Printer Ink</t>
  </si>
  <si>
    <t>Purchase of 17 sacks Rice  and Plastic bag</t>
  </si>
  <si>
    <t>Procurement of construction materials and supplies for the completion of MUSHROOM BOX of Centro 8, Claveria, Cagayan</t>
  </si>
  <si>
    <t>CONTRACT OF SERVICE FURNISHING LABOR AND MATERIALS FOR THE ELIMINATION OF RODENTS AT OTON MUNICIPAL HALL</t>
  </si>
  <si>
    <t>Purchase of ambulance supplies for use in medical emergency response as requested by LCDRRMO (PR#216)</t>
  </si>
  <si>
    <t>SUPPLY AND DELIVERY OF GENERAL MDSE- EMS DUTY VEST WITH REFLECTORIZED PRINT</t>
  </si>
  <si>
    <t>SUPPLY DELIVERY AND INSTALLATION OF INVERTER 2 HP SPLIT TYPE AIRCONDITIONING UNIT FOR THE CITY HEALTH OFFICE</t>
  </si>
  <si>
    <t>SUPPLY AND DELIVERY OF VARIOUS VEHICLE PARTS AND ACCESSORIES</t>
  </si>
  <si>
    <t>PURCHASE AND INSTALLATION OF ADDITIONAL CCTV’S AT TERMINAL AREA AND MARKET PERMITS OF OTON PUBLIC MARKET</t>
  </si>
  <si>
    <t>PURCHASE OF VARIOUS ELECTRICAL LIGHTING FIXTURES FOR THE MAINTENANCE OF OTON PUBLIC MARKET.</t>
  </si>
  <si>
    <t>Purchase of Janitorial Supplies as requested by City Slaughterhouse (PR#244)</t>
  </si>
  <si>
    <t>Purchase of Megaphone, Flashlight and Fire extinguisher as requested by PNP (PR#228)</t>
  </si>
  <si>
    <t>Supply &amp; Delivery of other supplies and materials 01D Aux &amp; HES F24-2020</t>
  </si>
  <si>
    <t>PURCHASE OF VARIOUS CONSTRUCTION MATERIALS FOR REPAIR AND MAINTENANCE OF GOVERNMENT FACILITIES</t>
  </si>
  <si>
    <t>Purchase of Two (2) units Power Sprayer and Four (4) rolls of Hose as requested by City Agriculturist Office (PR# 177)</t>
  </si>
  <si>
    <t>Supply and Delivery of Low Bed Truck</t>
  </si>
  <si>
    <t>CY 2020 Quick Response Fund (QRF) Repair and Rehabilitation of School Building – Lot 2 – Repair and Rehabilitation of  Classrooms at Cayangwan Elementary School, Makato, Aklan and Rosal Elementary Sch</t>
  </si>
  <si>
    <t>Supply and Installation of CCTV Fiber Optic</t>
  </si>
  <si>
    <t>Purchase of Janitorial supplies as requested by CHO (PR#242)</t>
  </si>
  <si>
    <t>Purchase of Two (2) units Projector as requested by Dalubhasaan ng Lungsod ng Lucena (PR# 63)</t>
  </si>
  <si>
    <t>ITDI-200323_REBID - SUPPLY AND DELIVERY OF EXTERNAL HARD DRIVE</t>
  </si>
  <si>
    <t>Purchase of Food/Meals to be served during Oplan Ligtas na Pamayanan as requested by BFP (PR#233)</t>
  </si>
  <si>
    <t>Supply and Delivery of 10pcs Water Resistant 2-way Radio</t>
  </si>
  <si>
    <t>Printing of Various forms as requested by CHO (PR# 162)</t>
  </si>
  <si>
    <t>Provision of Security Services for eleven (11) Security Guards  within DENR-PENRO Quezon for six months starting July-December for CY-2020</t>
  </si>
  <si>
    <t>Purchase of Food/meals to be served at ICS Training Level 4 as requested by LCDRRMO (PR#246)</t>
  </si>
  <si>
    <t>Purchase of Hygiene Kit and Foodpacks for In-house Reformation Program (Kanlungan ng Pagbabago Balay Silangan) as requested by CADAC (PR#250)</t>
  </si>
  <si>
    <t>ITDI-200288_REBID - SUPPLY AND DELIVERY OF 95% ETHYL ALCOHOL</t>
  </si>
  <si>
    <t>Construction of Slope Protection at Bone South Elementary School, Bone South, Nueva Vizcaya</t>
  </si>
  <si>
    <t>Provision of Janitorial  Services for seven (7)  Utility men/women  within DENR-PENRO Quezon for six months starting July-December for CY-2020</t>
  </si>
  <si>
    <t>ITDI-200233_REBID - MICRO ANALYSIS FOR SIOPAO AND EMPANADA</t>
  </si>
  <si>
    <t>CY 2020 Quick Response Fund (QRF) Repair and Rehabilitation of School Building – Lot 5 – Repair and Rehabilitation of  Classrooms at Gibon Elementary School, Nabas, Aklan and Jose F. Meñez Memorial Na</t>
  </si>
  <si>
    <t>CY 2020 Quick Response Fund (QRF) Repair and Rehabilitation of School Building – Lot 4 – Repair and Rehabilitation of  Classrooms at Bakhaw Norte Integrated School, Kalibo, Aklan and Naile Elementary</t>
  </si>
  <si>
    <t>ITDI-200227_REBID - SUPPLY AND DELIVERY OF LEVER ARCH FILE AND FILE FOLDERS</t>
  </si>
  <si>
    <t>ITDI-200216_REBID - SUPPLY AND DELIVERY OF VARIOUS OFFICE SUPPLIES</t>
  </si>
  <si>
    <t>ITDI-200220_REBID- SUPPLY AND DELIVERY OF VARIOUS OFFICE SUPPLIES</t>
  </si>
  <si>
    <t>payments under the contract for the project CY 2020 Quick Response Fund (QRF) Repair and Rehabilitation of School Building – Lot 10 – Repair and Rehabilitation of Classrooms at Tayhawan Elementary Sch</t>
  </si>
  <si>
    <t>ITDI-200191_REBID - SUPPLY AND DELIVERY OF CONCENTRATED NITRIC ACID AND HYDROGEN PEROXIDE</t>
  </si>
  <si>
    <t>ITDI-200218_REBID - SUPPLY AND DELIVERY OF VARIOUS OFFICE SUPPLIES</t>
  </si>
  <si>
    <t>ITDI-200231_REBID - SUPPLY AND DELIVERY OF SHORT BOND PAPER</t>
  </si>
  <si>
    <t>CY 2020 Quick Response Fund (QRF) Repair and Rehabilitation of School Building – Lot 6 – Repair and Rehabilitation of  Classrooms at Rizal Elementary School, Ibajay, Aklan and Muguing Elementary Schoo</t>
  </si>
  <si>
    <t>CY 2020 Quick Response Fund (QRF) Repair and Rehabilitation of School Building – Lot 9 – Repair and Rehabilitation of  Classrooms at Unidos Elementary School, Nabas, Aklan</t>
  </si>
  <si>
    <t>ITDI-200208_REBID - SUPPLY AND DELIVERY OF PORTABLE AIRCOOLER AND STAND FAN</t>
  </si>
  <si>
    <t>CY 2020 Quick Response Fund (QRF) Repair and Rehabilitation of School Building – Lot 8 – Repair and Rehabilitation of  Classrooms at Batan Elementary School, Batan, Aklan, Mina-a Elementary School, Ib</t>
  </si>
  <si>
    <t>CY 2020 Quick Response Fund (QRF) Repair and Rehabilitation of School Building – Lot 3 – Repair and Rehabilitation of  Classrooms at Tangalan National High School, Tangalan, Aklan</t>
  </si>
  <si>
    <t>CY 2020 Quick Response Fund (QRF) Repair and Rehabilitation of School Building – Lot 7 – Repair and Rehabilitation of  Classrooms at Guanko Elementary School, Balete, Aklan, Pepe Elementary School, Bu</t>
  </si>
  <si>
    <t>CY 2020 Quick Response Fund (QRF) Repair and Rehabilitation of School Building – Lot 18 – Repair and Rehabilitation of Classrooms at Mantiguib Elementary School, Makato, Aklan, Argao Elementary School</t>
  </si>
  <si>
    <t>PROCUREMENT OF HARDWARE MATERIALS FOR CONSTRUCTION OF 83.95 LM. OPEN CANAL ALONG THE NATIONAL HIGHWAY AT ZONE II, LANUZA SURIGAO DEL SUR</t>
  </si>
  <si>
    <t>CY 2020 Quick Response Fund (QRF) Repair and Rehabilitation of School Building – Lot 11 – Repair and Rehabilitation of Classrooms at Cabugao Primary School, Buruanga, Aklan, Katipunan Elementary Schoo</t>
  </si>
  <si>
    <t>CY 2020 Quick Response Fund (QRF) Repair and Rehabilitation of School Building – Lot 17 – Repair and Rehabilitation of Classrooms at Cabatanga Elementary School, Makato, Aklan, Castillo Elementary Sch</t>
  </si>
  <si>
    <t>Supply and Delivery of Diesel at NIA PRIS, Peñablanca, Cagayan</t>
  </si>
  <si>
    <t>CY 2020 Quick Response Fund (QRF) Repair and Rehabilitation of School Building – Lot 15 – Repair and Rehabilitation of Classrooms at San Isidro Elementary School, Ibajay, Aklan, New Buswang Elementary</t>
  </si>
  <si>
    <t>PURCHASE OF ENVIRONMENTAL HEALTH/SAFETY EQUIPMENTS</t>
  </si>
  <si>
    <t>Other machineries and Equipment</t>
  </si>
  <si>
    <t>payments under the contract for the project CY 2020 Quick Response Fund (QRF) Repair and Rehabilitation of School Building – Lot 12 – Repair and Rehabilitation of Classrooms at Agbago Elementary Schoo</t>
  </si>
  <si>
    <t>CY 2020 Quick Response Fund (QRF) Repair and Rehabilitation of School Building – Lot 13 – Repair and Rehabilitation of Classrooms at Maloco Elementary School, Ibajay, Aklan, Ondoy Elementary School, I</t>
  </si>
  <si>
    <t>CY 2020 Quick Response Fund (QRF) Repair and Rehabilitation of School Building – Lot 16 – Repair and Rehabilitation of Classrooms at Catabana Primary School, Madalag, Aklan, Banay Banay Elementary Sch</t>
  </si>
  <si>
    <t>CY 2020 Quick Response Fund (QRF) Repair and Rehabilitation of School Building – Lot 21 – Repair and Rehabilitation of Classrooms at Rizal Elementary School, Nabas, Aklan, Badio Elementary School, Num</t>
  </si>
  <si>
    <t>ITDI-200259_REBID - SUPPLY AND DELIVERY OF LAPTOP</t>
  </si>
  <si>
    <t>CY 2020 Quick Response Fund (QRF) Repair and Rehabilitation of School Building – Lot 14 – Repair and Rehabilitation of Classrooms at Cabugao Primary School, Ibajay, Aklan, Naisud Central School, Ibaja</t>
  </si>
  <si>
    <t>ITDI-200300_REBID - SUPPLY AND DELIVERY OF STRIP-CUT SHREDDER AND PRINTER</t>
  </si>
  <si>
    <t>CY 2020 Quick Response Fund (QRF) Repair and Rehabilitation of School Building – Lot 20 – Repair and Rehabilitation of Classrooms at Libertad Elementary School, Nabas, Aklan, Nagustan Elementary Schoo</t>
  </si>
  <si>
    <t>ITDI-200217_REBID - SUPPLY AND DELIVERY OF VARIOUS OFFICE SUPPLIES</t>
  </si>
  <si>
    <t>PROCUREMENT OF HARDWARE MATERIALS FOR PROPOSED NURSERY ESTABLISHMENT</t>
  </si>
  <si>
    <t>SVP PUR20-05-0391 Procurement of Acryclic emulsion clear, etc. for DPPS</t>
  </si>
  <si>
    <t xml:space="preserve">CY 2020 Quick Response Fund (QRF) Repair and Rehabilitation of School Building – Lot 19 – Repair and Rehabilitation of Classrooms at Caticlan Elementary School, Malay, Aklan, Malay Elementary School, </t>
  </si>
  <si>
    <t>CY 2020 Quick Response Fund (QRF) Repair and Rehabilitation of School Building – Lot 22 – Repair and Rehabilitation of Classrooms at Solido Elementary School, Nabas, Aklan, Union Elementary School, Na</t>
  </si>
  <si>
    <t>ITDI-200240_REBID - SUPPLY AND DELIVERY OF HP 680 INK CARTRIDGE</t>
  </si>
  <si>
    <t>CY 2020 Quick Response Fund (QRF) Repair and Rehabilitation of School Building – Lot 27 – Repair and Rehabilitation of Classrooms at Tamalagon Integrated School, Tangalan, Aklan and San Roque Integrat</t>
  </si>
  <si>
    <t>CY 2020 Quick Response Fund (QRF) Repair and Rehabilitation of School Building – Lot 24 – Repair and Rehabilitation of Classrooms at New Washington Elementary School, New Washington, Aklan, Habana Int</t>
  </si>
  <si>
    <t>CY 2020 Quick Response Fund (QRF) Repair and Rehabilitation of School Building – Lot 26 – Repair and Rehabilitation of Classrooms at Union National High School, Nabas, Aklan</t>
  </si>
  <si>
    <t>INSTALLATION OF STREET LIGHTS</t>
  </si>
  <si>
    <t>CY 2020 Quick Response Fund (QRF) Repair and Rehabilitation of School Building – Lot 25 – Repair and Rehabilitation of Classrooms at Malinao School for Phlippine Craftsmen, Malinao, Aklan, Toledo Nati</t>
  </si>
  <si>
    <t>PROCUREMENT OF HABAL-HABAL MINI SPAREPARTS STORE WITH CARWASH WELDING AND VULCANIZING SHOP AT BARANGAY MAMPI, LANUZA, SURIGAO DEL SUR</t>
  </si>
  <si>
    <t>CY 2020 Quick Response Fund (QRF) Repair and Rehabilitation of School Building – Lot 23 – Repair and Rehabilitation of Classrooms at Guinbaliwan Elementary School, New Washington, Aklan, Sergio L. Tal</t>
  </si>
  <si>
    <t>SVP PUR20-03-0248 Procurement of Alcohol ethyl 70% for DPPS, PGH</t>
  </si>
  <si>
    <t>Purchase of Medical Supplies</t>
  </si>
  <si>
    <t>S  PUR20-05-0443 Procurement of Alcohol 69-72% ethanol for PSD</t>
  </si>
  <si>
    <t>Repair and Maintenance of Fire Truck</t>
  </si>
  <si>
    <t>REHABILITATION OF WATER SYSTEM</t>
  </si>
  <si>
    <t>SVP PUR20-06-0456 Procurement of Pre-Disinfectant for ORMAT-ORSA, PGH</t>
  </si>
  <si>
    <t>LAMINATING POUCH FILM/ID CORD</t>
  </si>
  <si>
    <t>Furnishing of Construction Materials for Carol-an Dagyangaw SIP, Ayungon, Neg. Or.</t>
  </si>
  <si>
    <t>NP2020-03-176B Procurement of Various Printed Forms and Other Supplies GABMMC</t>
  </si>
  <si>
    <t>Procurement (alcohol, liquid bleach, liquid hand soap,etc.)</t>
  </si>
  <si>
    <t>PB BAC1-20-013 SUPPLY AND DELIVERY OF CHEMICALS AND REAGENTS FOR 2020</t>
  </si>
  <si>
    <t>NP2020-02-116B Procurement of Various Printed Forms and Other Supplies CTO SAH</t>
  </si>
  <si>
    <t>PB PUR20-03-0341  SUPPLY AND DELIVERY OF VARIOUS COMPUTERS AND PRINTERS</t>
  </si>
  <si>
    <t>20GAA0072: Procurement of Gasoline Extra for use of various Service Vehicles at Maintenance Section, DPWH-INFDEO, Laoag City</t>
  </si>
  <si>
    <t>NP2020-06 Procurement of Various Appliances GABMMC</t>
  </si>
  <si>
    <t>20GAA0073: Procurement of Turbo Diesel for use of various Service Vehicles and Equipment at Maintenance Section, DPWH-INFDEO, Laoag City</t>
  </si>
  <si>
    <t>Furnishing of Construction Materials for Carol-an Dagyangaw SIP (CY 2019), Ayungon, Neg. Or.</t>
  </si>
  <si>
    <t>TFB 19-304C Office Equipment and  Furniture</t>
  </si>
  <si>
    <t>LIVELIHOOD SEEDING PROGRAM NSB (Bakery, Carpentry, Coffee Processing, Coffee shop, Eatery starter kit, handicrafts, Processed foods, and Store starter kits</t>
  </si>
  <si>
    <t>NP2020-06-313 Procurement of Various Food and Drinks OVM</t>
  </si>
  <si>
    <t>PROCUREMENT OF CONSTRUCTION MATERIALS FOR ADDITIONAL GUARDHOUSE FOR SECURITY (OCM – BARMM)</t>
  </si>
  <si>
    <t>20GAA0074: Procurement of Diesel for use of various Vehicles and Equipment at Maintenance Section, DPWH-INFDEO, Laoag City</t>
  </si>
  <si>
    <t>NP2020-06-321 Procurement of Digital Duplicator, Copier with Printer and Scanner GABMMC</t>
  </si>
  <si>
    <t>PB PUR20-04-0356 SUPPLY AND DELIVERY OF STEEL CABINET, BOOK SHELF TYPE for Medical Records Div., PGH</t>
  </si>
  <si>
    <t>Request for Quotation - Supply and Delivery of One (1) Set Laptop Computer (SP)</t>
  </si>
  <si>
    <t>COMPLETION OF MULTI-PURPOSE HALL (CES), CAMBALO, CAJIDIOCAN, ROMBLON</t>
  </si>
  <si>
    <t>Request for Quotation - Supply and Delivery of One (1) Unit Desktop Computer (CPDO)</t>
  </si>
  <si>
    <t>20GAA0071: Procurement of Unleaded Gasoline for use of Grasscutters and Chainsaw of Maintenance Section, DPWH-INFDEO, Laoag City</t>
  </si>
  <si>
    <t>PROCUREMENT OF CONSTRUCTION MATERIALS FOR OLD BARRACKS</t>
  </si>
  <si>
    <t>NP2020-06-314 Procuerment of Various Office Supplies OVM</t>
  </si>
  <si>
    <t>PB BAC1-20-003 MANNING OF EXISTING CCTV MONITORING STATION – ONE (1) YEAR CONTRACT</t>
  </si>
  <si>
    <t>Request for Quotation - Supply and Delivery of Hardware Materials for Construction of Multi-purpose Hall at Baliang (20% EDF)</t>
  </si>
  <si>
    <t>NP2020-02-120 Procurement of Various Office Supplies CBO</t>
  </si>
  <si>
    <t>PROCUREMENT OF ADDITIONAL PAINTING MATERIALS FOR OFFICE OF THE CHIEF MINISTER</t>
  </si>
  <si>
    <t>NP2020-02-117B Procurement of Various Janitorial Supplies and Materials ONT, MHD, YDWB</t>
  </si>
  <si>
    <t>20HA0131 - REPAIR/MAINTENANCE OF MACAAS FLOOD CONTROL</t>
  </si>
  <si>
    <t>Request for Quotation - Supply and Delivery of Hardware Materials for Construction of Sabang Marine Sanctuary Boardwalk (CAgSO)</t>
  </si>
  <si>
    <t>Request for Quotation - Supply and Delivery of Ten (10) Cylinders Oxygen Tank (CDRRMO)</t>
  </si>
  <si>
    <t>NP2020-06-317 Procurement of Air Conditioning Unit CBO</t>
  </si>
  <si>
    <t>PROCUREMENT OF ADDITIONAL MATERIALS FOR SKCC</t>
  </si>
  <si>
    <t>PROCUREMENT OF ADDITIONAL CONST MATERIALS FOR THE OCM CONCRETE AND MASONRY WORKS PHASE 1</t>
  </si>
  <si>
    <t>REHABILITATION OF MULTI-PURPOSE HALL, LICO, CAJIDIOCAN, ROMBLON</t>
  </si>
  <si>
    <t>NP2020-02-123 Procurement of Various Office Supplies CLO</t>
  </si>
  <si>
    <t>PROCUREMENT OF ADDITIONAL CONST MATERIALS FOR THE OCM FENCE REPAIR &amp; REHAB STEEL &amp; PAINTING WORKS PHASE 1</t>
  </si>
  <si>
    <t>PB PUE20-03-0274 SUPPLY, DELIVERY, INSTALLATION AND TESTING OF ELECTROCARDIOGRAPH MACHINE, DIGITAL, MULTI- CHANNEL FOR ADULT AND  PEDIATRIC PATIENTS</t>
  </si>
  <si>
    <t>Reques for Quotation - Supply and Delivery of Medical Supplies (CDRRMO)</t>
  </si>
  <si>
    <t>SUPPLY &amp; DELIVERY OF MATERIALS FOR THE CONSTUCTION FLOOD CONTROL, P-1 AT BRGY. BAGONG SIKAT</t>
  </si>
  <si>
    <t>Request for Quotation - Supply and Delivery of Medical Equipment (CDRRMO)</t>
  </si>
  <si>
    <t>Purchase of various grocery items for the use of Brgy. Pinagbuhatan, Pasig City</t>
  </si>
  <si>
    <t>REHABILITATION OF MULTI-PURPOSE HALL LUMBANG ESTE, CAJIDIOCAN, ROMBLON</t>
  </si>
  <si>
    <t>Installation of Steel Grills and Gate, Grade 1 Building, along Capulong St.</t>
  </si>
  <si>
    <t>CONSTRUCTION FOR COCONUT PROCESSING CENTER FOR LIVELIHOOD PHASE II, LUMBANG ESTE, CAJIDIOCAN, ROMBLON</t>
  </si>
  <si>
    <t>Request for Quotation - Printing of Newsletter (19th Issue) (PIO)</t>
  </si>
  <si>
    <t>SUPPLY &amp; DELIVERY OF MATERIALS FOR THE CONSTRUCTION OF OF 2 STOREY MULTI PURPOSE BUILDING AT ESTRELLA VILLAGE</t>
  </si>
  <si>
    <t>Request for Quotation - Supply and Delivery of Thirty (30) Units Bed Camp COT (CDRRMO)</t>
  </si>
  <si>
    <t>Purchase of sacks of rice for the use of Brgy. Pinagbuhatan, Pasig City</t>
  </si>
  <si>
    <t>REHABILITATION OF WATER SUPPLY SYSTEM LUMBANG WESTE, CAJIDIOCAN, ROMBLON</t>
  </si>
  <si>
    <t>Procurement of 12000 pieces Packaging Materials with Prints for Mango Project</t>
  </si>
  <si>
    <t>Request for Quotation - Supply and Delivery of Spare Parts for Repair and Maint. of Traffic Patrol Truck (CMO/Traffic Office)</t>
  </si>
  <si>
    <t>PB PUR20-03-0308 SUPPLY, DELIVERY, COMMISSIONING AND INSTALLATION OF TELEPHONE VOICE AND DATA, VOICE BACKBONE AND NEW MAIN DISTRIBUTION FRAME (MDF) AT P-01 OBAS-ER AND DRUG TESTING FACILITY</t>
  </si>
  <si>
    <t>SUPPLY &amp; DELIVERY OF MATERIALS FOR THE CONSTRUCTION OF WAREHOUSE AT MUNICIPAL AGRICULTURE OFFICE</t>
  </si>
  <si>
    <t>SUPPLY &amp; DELIVERY OF MATERIALS FOR THE CONSTRUCTION FENCE AT BRGY. IPILAN</t>
  </si>
  <si>
    <t>REHABILITATION OF MULTI-PURPOSE HALL LUMBANG WESTE, CAJIDIOCAN, ROMBLON</t>
  </si>
  <si>
    <t>PB PM20-010 COMPREHENSIVE PREVENTIVE MAINTENANCE SUPPORT SERVICES OF THE PGH SIEMENS HI-PATH 4000 IP-PBX EQUIPMENT</t>
  </si>
  <si>
    <t>SUPPLY &amp; DELIVERY OF MATERIALS FOR THE CONSTUCTION PRINCESS URDUJA WTP’S STAFF HOUSE</t>
  </si>
  <si>
    <t>Request for Quotation - Supply and Delivery of (500) Bags Fertilizer (CAgSO)</t>
  </si>
  <si>
    <t>SUPPLY &amp; DELIVERY OF MATERIALS FOR THE CONSTRUCTION OF MPDP AT BRGY. ANTIPULUAN</t>
  </si>
  <si>
    <t>Supply and delivery of culvert for septic vault</t>
  </si>
  <si>
    <t>supply and delivery of materials for the construction of culverts and box culverts</t>
  </si>
  <si>
    <t>REHABILITATION OF CAMBICANG MULTI-PURPOSE HALL, MARIGONDON, CAJIDIOCAN, ROMBLON</t>
  </si>
  <si>
    <t>Supply and delivery of materials for the construction of drainage canal at Purok 9 Poblacion</t>
  </si>
  <si>
    <t>Request for Quotation - Supply and Delivery of Spare Parts for Repair and Maint. of Fire Truck (BFP Danao City)</t>
  </si>
  <si>
    <t>Procurement of various Laboratory Supplies and Materials for Mango Project</t>
  </si>
  <si>
    <t>SUPPLY &amp; DELIVERY OF MATERIALS FOR THE CONSTRUCTION CALATEGAS WTP’S STAFF HOUSE</t>
  </si>
  <si>
    <t>Request for Quotation - Supply and Delivery of Electrical Supplies for Bulk Water (CEO)</t>
  </si>
  <si>
    <t>Procurement of various Supplies and Materials for Mango Processing Project</t>
  </si>
  <si>
    <t>Request for Quotation - Supply and Delivery of Eight (8) pcs Tires (CDRRMO)</t>
  </si>
  <si>
    <t>Supply and delivery of materials for the concreting of Km 80. Kiblagon road</t>
  </si>
  <si>
    <t>Labor and Materials for the repair and installation of Built In Cabinet</t>
  </si>
  <si>
    <t>CONSTRUCTION OF FMR-ILAYA MARIGONDON, CAJIDIOCAN, ROMBLON</t>
  </si>
  <si>
    <t>Supply and delivery of materials for the construction of Sulop Municipal library</t>
  </si>
  <si>
    <t>Request for Quotation - Supply and Delivery of Foldable Tent (CDRRMO)</t>
  </si>
  <si>
    <t>Request for Quotation - Supply and Delivery of Fifty (50) pcs Particulate Filter Mask (CDRRMO)</t>
  </si>
  <si>
    <t>IMPROVEMENT OF MULTI-PURPOSE HALL PHASE II- MUNICIPAL BUILDING, POBLACION, CAJIDIOCAN, ROMBLON</t>
  </si>
  <si>
    <t>Supply and delivery of materials for the partial landscaping of municipal ground</t>
  </si>
  <si>
    <t>Supply of Gasoline and Diesel through Fleet Card Technology System for Two (2) Years under ITB NO. PB20-01-015CORa-06</t>
  </si>
  <si>
    <t>Supply &amp; Delivery of Materials ABC:884,533.12</t>
  </si>
  <si>
    <t>CONSTRUCTION OF FMR- SITIO SAED, TAGUILOS, CAJIDIOCAN, ROMBLON</t>
  </si>
  <si>
    <t>Request for Quotation - Supply and Delivery of One (1) Unit Transformer (City Admin./Waterworks Division)</t>
  </si>
  <si>
    <t>Procurement of Services of DENR-EMB Recognized/Registered PCB Laboratory to Perform Oil Sampling and Analysis of Polychlorinated Biphenyls (PCBs) of Six (6) units of Unserviceable Transformers</t>
  </si>
  <si>
    <t>Request for Quotation - Supply and Delivery of Six (6) pcs Tires (CDRRMO)</t>
  </si>
  <si>
    <t>Request for Quotation - Supply and Delivery of Plumbing Materials for Repair the Secondary Mainline Pipe at MPH, Looc,   Danao City (City Admin./Waterworks Division)</t>
  </si>
  <si>
    <t>Request for Quotation - Supply and Delivery of Fertilizer for City Agriculture Services Office</t>
  </si>
  <si>
    <t>Supply and delivery of sybmersible pump and motor with complete accessories</t>
  </si>
  <si>
    <t>PURCHASE OF OFFICE SUPPLIES LGU, CAJIDIOCAN, ROMBLON</t>
  </si>
  <si>
    <t>Procurement of HEPA Filter</t>
  </si>
  <si>
    <t>Request for Quotation - Supply and Delivery of Plumbing Materials for Repair and Maint. of Main Line Leaks (City Admin./Waterworks Division)</t>
  </si>
  <si>
    <t>Request for Quotation - Supply and Delivery of Personal Protective Equipment (CHO)</t>
  </si>
  <si>
    <t>Materials for Clean and Green</t>
  </si>
  <si>
    <t>20GPF0011: Supply and delivery of Thermoplastic Paints and mixtures for repair and maintenance of Reflective Thermoplastic Pavement Markings along National Road by the Maintenance Section within DPWH-</t>
  </si>
  <si>
    <t>Materials for Rehabilitation of St. Lights, Rehabilitation of Manhole Cover, CCTV Camera, Public Address System, CCTV Camera</t>
  </si>
  <si>
    <t>Request for Quotation - Supply and Delivery of Gate Valve to Control and Regulate the Water at Cambanay Pump Station (City Admin./Waterworks Division)</t>
  </si>
  <si>
    <t>furnishing/delivery of fuel, oil and lubricants</t>
  </si>
  <si>
    <t>Procurement of 18mm Screw Cap</t>
  </si>
  <si>
    <t>Supply and Delivery of Office Equipment for MDRRM  Office</t>
  </si>
  <si>
    <t>Request for Quotation - Supply and Delivery of Hardware Materials for Danao City Bulk Water (Phase 2) (20% EDF Current Appropriation)</t>
  </si>
  <si>
    <t>PURCHASE/DELIVERY OF PLASTIC DENSIFIER/MELTER MACHINE FOR RESIDUAL WASTES</t>
  </si>
  <si>
    <t>to purchase various repair/maintenance, office,health and other supplies</t>
  </si>
  <si>
    <t>Request for Quotation - Supply and Delivery of Plumbing Materials (City Admin./Waterworks Division)</t>
  </si>
  <si>
    <t>One (1) Lot – Maintenance Support for Enterprise Storage Systems and Storage Area Network Devices, as per BSP Terms of Reference and Service Level Agreement (Multi-Year Contract)</t>
  </si>
  <si>
    <t>FURNISIHNG/DELIVERY OF ASSORTED MEDICINES AND SUPPLIES</t>
  </si>
  <si>
    <t>Supply and Delivery of SHS School Supplies</t>
  </si>
  <si>
    <t>Procurement of Janitorial Services</t>
  </si>
  <si>
    <t>SUPPLY AND DELIVERY OF MEDICAL EQUIPMENT</t>
  </si>
  <si>
    <t>Supply and Delivery of Disaster Equipment</t>
  </si>
  <si>
    <t>INSTALLATION OF SOLAR STREETLIGHT @ BRGY. MINANTOK EAST, AMADEO, CAVITE</t>
  </si>
  <si>
    <t>20GFG0017 - Procurement of Automatic Traffic Classifier</t>
  </si>
  <si>
    <t>20GFG0016 - Procurement of Tree Seedlings for use in the Tree Cutting and Replacement along Tigaon-Goa-San Jose-Lagonoy-Guijalo via San Vicente Road, Goa-San Jose Section Goa/San Jose, Camarines Sur</t>
  </si>
  <si>
    <t>SUPPLY AND DELIVERY OF COMPUTER EQUIPMENT</t>
  </si>
  <si>
    <t>ITB - PURCHASE OF CONSTRUCTION MATERIALS FOR THE EXPANSION OF STREETLIGHT PROJECT</t>
  </si>
  <si>
    <t>BONDPAPER, POWER SUPPLY, MONIOTR, PRINTER, INK</t>
  </si>
  <si>
    <t>Procurement of Security Services (For the Energy regulatory Commission's Main Office, Visayas Area Operations Service and Mindanao Area Operations Service)</t>
  </si>
  <si>
    <t>Supply and Delivery of MATH School Supplies</t>
  </si>
  <si>
    <t>SUPPLY AND DELIVERY OF MOTORCYCLE VEHICLES</t>
  </si>
  <si>
    <t>SUPPLY AND DELIVERY OF TIRES</t>
  </si>
  <si>
    <t>ITB - PURCHASE OF CONSTRUCTION MATERIALS FOR THE CEILING AND PAINTING OF MULTIPURPOSE HALL PROJECT</t>
  </si>
  <si>
    <t>PROCUREMENT OF TWO (2) UNITS BRAND NEW DESKTOP COMPUTER</t>
  </si>
  <si>
    <t>ITB- PURCHASE OF CONSTRUCTION MATERIALS FOR THE IMPROVEMENT OF SENIOR CITIZEN HALL PROJECT</t>
  </si>
  <si>
    <t>CONST. OF SK BUILDING</t>
  </si>
  <si>
    <t>ITB - PURCHASE OF CONSTRUCTION MATERIALS FOR THE TILES OF FLOORING OF MULTIPURPOSE HALL PROJECT</t>
  </si>
  <si>
    <t>Supply and Delivery of IT Equipment for RHU</t>
  </si>
  <si>
    <t>Supply and Delivery of TLE School Supplies</t>
  </si>
  <si>
    <t>Supply and Delivery of Filipino School Supplies</t>
  </si>
  <si>
    <t>Supply and Delivery of SCIENCE School Supplies</t>
  </si>
  <si>
    <t>Reconstruction of Frontline Offices (Registrar, School Health Facility and Principal's Office) for health precautionary measures</t>
  </si>
  <si>
    <t>Supply and Delivery of Spare Part for UD Nissan Dump Truck (RFQ20-24)</t>
  </si>
  <si>
    <t>Supply and Delivery of AP School Supplies</t>
  </si>
  <si>
    <t>Supply and Delivery of Admin Office Supplies</t>
  </si>
  <si>
    <t>Supply and Delivery of English School Supplies</t>
  </si>
  <si>
    <t>SUPPLY AND DELIVERY OF OFFICE EQUIPMENT</t>
  </si>
  <si>
    <t>Supply and Delivery of MAPEH School Supplies</t>
  </si>
  <si>
    <t>Procurement, Delivery and Installation of 6 unit Split Type Air Conditioner</t>
  </si>
  <si>
    <t>Supply and Delivery of Spare Part for Hino Dump Truck (RFQ20-25)</t>
  </si>
  <si>
    <t>Concreting of line canal</t>
  </si>
  <si>
    <t>Rehabilitation of FMR- (Cudiamat Section), Bagbagotot</t>
  </si>
  <si>
    <t>Procurement of 1 Lot Const. Materials (for AFP Training Cum Production)</t>
  </si>
  <si>
    <t>Construction of Slope Protection - (Balot Section) Pila</t>
  </si>
  <si>
    <t>Completion/Expansion of Vinegar Processing Center, Maragayap, Bacnotan</t>
  </si>
  <si>
    <t>Supply and Delivery of Spare Part for Hino Dump Truck (RFQ20-26)</t>
  </si>
  <si>
    <t>Improvement of Barangay I Farm to Market Road, San Fernando City</t>
  </si>
  <si>
    <t>Rehabilitation and Improvement of Pagbennecan - Tallaoen Road, Luna</t>
  </si>
  <si>
    <t>Construction of Farmers' Multi-Purpose Hall-Naguimba</t>
  </si>
  <si>
    <t>Construction of Ambaracao Farmers Multi-Purpose Center, Naguilian</t>
  </si>
  <si>
    <t>Construction of Payocpoc Sur Slope Protection, Bauang</t>
  </si>
  <si>
    <t>ROAD REHABILITATION</t>
  </si>
  <si>
    <t>Supply and Delivery of Materials for Installation of Municipal Streetlighting System</t>
  </si>
  <si>
    <t>Continuation of Farmers' Multi-Purpose Hall-Lintic</t>
  </si>
  <si>
    <t>Purchase of 1 Unit Emergency/Rescue Respond Vehicle, LGU-Culaba, Biliran</t>
  </si>
  <si>
    <t>Supply and Installation of Toyota Hilux Accessories</t>
  </si>
  <si>
    <t>Supply and Delivery of Spare Part for Mitsubishi Pajero Jeep  (RFQ20-27)</t>
  </si>
  <si>
    <t>Retrofitting/Strengthening of Bridge 1 and Bridge 4, Caba and Naguilian</t>
  </si>
  <si>
    <t>Supply &amp; Delivery of Materials for Completion of Multi-purpose Tribal Hall</t>
  </si>
  <si>
    <t>SUPPLY &amp; DELIVERY OF CONSTRUCTION MATERIALS @  DUGSANGON CIP,SURIGAO DEL NORTE.</t>
  </si>
  <si>
    <t>RFQ-006-2020 - PROCUREMENT OF MATERIALS FOR USE IN THE REPAINTING OF EDGELINE, CENTERLINE, BROKEN LINES, AND PEDESTRIAN LANES IN CONNECTION WITH THE REPAIR/MAINTENANCE OF NATIONAL ROADS AND BRIDGES (D</t>
  </si>
  <si>
    <t>Brgy Hall water system</t>
  </si>
  <si>
    <t>Supply and Delivery of Air Conditioner  for Sangguniang Bayan Office and Session Hall</t>
  </si>
  <si>
    <t>Supply &amp; Delivery of Materials for Concreting of Drainage Canal of Tigabong Elementary School</t>
  </si>
  <si>
    <t>Supply &amp; Delivery of Materials for Completion of Magosilom Day Care Center</t>
  </si>
  <si>
    <t>One (1) Lot – BSP Web Security and Content Filtering System Enhancement Project, consisting of Supply, Delivery, Installation, Configuration, Testing and Commissioning of Blue Coat Secure Gateway (PRO</t>
  </si>
  <si>
    <t>Supply &amp; Delivery of Materials for Construction of Sitio Ayoke Multi-purpose Hall</t>
  </si>
  <si>
    <t>Purchase of chlorine and powdered soap for Tabunok Public Market Disinfectant</t>
  </si>
  <si>
    <t>SH-006-2020 - PROCUREMENT OF SPARE PARTS FOR USE OF MITSUBISHI STRADA PICK-UP WITH PLATE NUMBER 062008 ASSIGNED IN THE OFFICE OF THE ASSISTANT DISTRICT ENGINEER.</t>
  </si>
  <si>
    <t>Supply &amp; Delivery of Materials for Rehabilitation of Foot Road and Bridge at Purok 6 Barangay Calagdaan</t>
  </si>
  <si>
    <t>Supply &amp; Delivery of Materials for Rehab/Repair of Cantilan Pioneer Jaycess School Building at Cantilan</t>
  </si>
  <si>
    <t>Procurement of medical Supplies</t>
  </si>
  <si>
    <t>Supply &amp; Delivery of Materials for Rehabilitation of Malinawa Tourism Cool Spring Phase 1</t>
  </si>
  <si>
    <t>Procurement of Various Laboratory Gases for Alcohol Analysis</t>
  </si>
  <si>
    <t>Supply &amp; Delivery of Materials for Construction of Drainage Canal at Ortega Street, Cantilan</t>
  </si>
  <si>
    <t>RFQ-007-2020 - PROCUREMENT OF OFFICE SUPPLIES TO BE USED FOR DPWH, CAPIZ 1ST DEO COMPOUND.</t>
  </si>
  <si>
    <t>Supply and Delivery of Materials for Repair of Agriculture Office</t>
  </si>
  <si>
    <t>PB-20-294, Procurement of Food and Accommodation for the conduct of various training activities of PDRRMO - Cotabato Province</t>
  </si>
  <si>
    <t>Road Concreting @ Sitio Sta. Ana Barangay Fatima Davao City</t>
  </si>
  <si>
    <t>PB-20-295, Supply &amp; Delivery of Emergency Go Bag to be given to high-risk learners in the province</t>
  </si>
  <si>
    <t>Lot 6-Medicines</t>
  </si>
  <si>
    <t>Subscription to Acrobat Pro DC and Adobe Creative Cloud for Teams for 12 Months</t>
  </si>
  <si>
    <t>Supply and Delivery of Business Permits and Stickers</t>
  </si>
  <si>
    <t>PB-20-324, Supply &amp; Delivery of Hardware Supplies for distribution to different barangay/recipients of the Province of Cotabato</t>
  </si>
  <si>
    <t>Teachers' cubicle</t>
  </si>
  <si>
    <t>PB-20-317, Supply &amp; Delivery of Drone for Provincial Engineer’s Office, Amas, Kidapawan City</t>
  </si>
  <si>
    <t>PB-20-322, Supply &amp; Delivery of Basketball Boards with Ring to be given to various barangay recipients in the Province of Cotabato</t>
  </si>
  <si>
    <t>20-06-446 Consolidated Meals and Snacks of the Different Offices of LGU Alamada 3rd Quarter 2020</t>
  </si>
  <si>
    <t>MES Office Equipment Supplies and Consumables</t>
  </si>
  <si>
    <t>PB-20-323, Supply &amp; Delivery of Hardware Supplies to be given to various clients in Aleosan and Pikit, Province of Cotabato</t>
  </si>
  <si>
    <t>PB-20-319, Supply &amp; Delivery of Electrical Supplies for Asphalt Plant, Pag-asa, Mlang, Cotabato</t>
  </si>
  <si>
    <t>PB-20-296, Supply &amp; Delivery of Forestry Seedlings for flood control and watershed protection on Ancestral Domain areas</t>
  </si>
  <si>
    <t>PURCHASE OF DIESEL FUEL FOR THE MUNICIPAL TREASURER'S OFFICE - 3RD QUARTER CY 2020</t>
  </si>
  <si>
    <t>Provision of Catering Services for the conduct of ATI-RTC MIMAROPA FY 2020 Midyear and Planning Workshop</t>
  </si>
  <si>
    <t>PB-20-320, Supply &amp; Delivery of Vibrating Screen for Asphalt Plant, Pag-asa, Mlang, Cotabato</t>
  </si>
  <si>
    <t>PB-20-318, Supply &amp; Delivery of Automotive Parts and Supplies for Motorpool shop of Provincial Engineer’s Office, Amas, Kidapawan City</t>
  </si>
  <si>
    <t>PB-20-321, Supply &amp; Delivery of Hardware Supplies to be given to various clients in municipalities of Matalam, Carmen, Kabacan &amp; Mlang, Province of Cotabato</t>
  </si>
  <si>
    <t>SUPPLY AND DELIVERY OF CONSTRUCTION MATERIALS FOR THE CONSTRUCTION VARIOUS FACILITY IN LA ESPERANZA ELEMENTARY SCHOOL, TULUNAN, COTABATO</t>
  </si>
  <si>
    <t>Lot 14- School Equipment (for modules)</t>
  </si>
  <si>
    <t>ACQUISITION OF FORENSIC TOOLS AND EQUIPMENT FOR CYBERCRIME DIVISION (CCD)</t>
  </si>
  <si>
    <t>Lot 12-School Supplies</t>
  </si>
  <si>
    <t>SUPPLY AND DELIVERY OF SUPPLIES FOR INTERNET CONNECTIVITY UPGRADING</t>
  </si>
  <si>
    <t>Lot 13-School Equipment</t>
  </si>
  <si>
    <t>Laboratory supplies and equiipment</t>
  </si>
  <si>
    <t>20M0026 - Purchase of Materials for use in the Repainting of Centerline and Guardrails</t>
  </si>
  <si>
    <t>2583-20 Purchase of Assorted Palay Seeds</t>
  </si>
  <si>
    <t>20M0027 - Purchase of Tire for use of Ford Fiera HI-2489, Mits. Canter H3-6253, Payloader L2-1234  and L2-1228 assigned in the Maintenance Section</t>
  </si>
  <si>
    <t>LAPTOP</t>
  </si>
  <si>
    <t>2265-20 Purchase of Transformer, etc.</t>
  </si>
  <si>
    <t>Rehabilitation of Roads and Bridges</t>
  </si>
  <si>
    <t>FOOD COMMODITIES</t>
  </si>
  <si>
    <t>INVITATION TO BID FOR Drugs and Medicines 01-2020-06</t>
  </si>
  <si>
    <t>2484-20 Procurement of Other Suppplies and Materials</t>
  </si>
  <si>
    <t>PROCUREMENT OF VARIOUS ICT</t>
  </si>
  <si>
    <t>Provision of Corn Mill with Storage Facility</t>
  </si>
  <si>
    <t>REQUESTFOR QUOTATION FOR THE PROCUREMENT OF CAMERA (DSLR) AND DESKTOP BARCODE PRINTER WITH BARTENDER</t>
  </si>
  <si>
    <t>JHS Construction Materials and Supplies</t>
  </si>
  <si>
    <t>Supply and Delivery of Diesel Fuel and Oil Lubricants for Farm to MArket Road - Purok 9</t>
  </si>
  <si>
    <t xml:space="preserve">20DF0188 - 20DF0190 (By Contract) - Local Program – Local Infrastructure Program, Buildings and Other Structure,  Multipurpose/Facilities, Construction of Multipurpose Building Tierra El Pueblo Phase </t>
  </si>
  <si>
    <t>2020-06: ITB - Proposed Drainage at Zone 2, Happy Homes to Outfall, Concepcion Pequeña, Naga City</t>
  </si>
  <si>
    <t>PURCHASING OF OFFICE SUPPLIES FOR THE USED OF BARANGAY SAGAD</t>
  </si>
  <si>
    <t>SUPPLY &amp; DELIVERY OF FOOD STUFF (RICE)</t>
  </si>
  <si>
    <t>RFQ 20-06-032SHS</t>
  </si>
  <si>
    <t>Repair and Maintenance of various Government Office</t>
  </si>
  <si>
    <t>SUPPLY,DELIVERY,INSTALLATION, TESTING AND COMMISSIONING OF 75KVA DIESEL GENERATOR SET</t>
  </si>
  <si>
    <t>Supply and Delivery of IT Equipment</t>
  </si>
  <si>
    <t>2020-05: ITB - Proposed Drainage at Zone 2, Canuto Village, Concepcion Pequeña, Naga City</t>
  </si>
  <si>
    <t>Repair and Maintenance of Various Government Vehicle</t>
  </si>
  <si>
    <t>Supplies and Equipment used in School Operations</t>
  </si>
  <si>
    <t>CONSTRUCTION OF CANAL LINING WITH PATHWAY AT P.BURGOS ST KANLURAN KROSARIO, CAVITE (PHASE 2)</t>
  </si>
  <si>
    <t>Repair and maintenance of Government vehicle with Plate No. SAA3733 under IBULAO SW (ELF)</t>
  </si>
  <si>
    <t>PURCHASE OF DRUGS AND MEDICINE AND VITAMINS</t>
  </si>
  <si>
    <t>Procurement of Catering Services for the conduct of the 3rd Level Training for the 2020 CPH Enumeration</t>
  </si>
  <si>
    <t>Procurement of Office Supplies for the 3rd Quarter of CY 2020 (Outside DBM-PS)</t>
  </si>
  <si>
    <t>Supply and Delivery of Supplies for Covid Response in School</t>
  </si>
  <si>
    <t>Purchase of School Forms and ID's</t>
  </si>
  <si>
    <t>SUPPLY AND INSTALLATION OF AIRCON 2.5HP INVERTER SPLIT TYPE</t>
  </si>
  <si>
    <t>REHABILITATION OF BASKETBALL COURT</t>
  </si>
  <si>
    <t>PR# 20-0844- FOR NEW LEGISLATIVE BLDG</t>
  </si>
  <si>
    <t>Procurement of Office Supplies, Consumables and Equipment</t>
  </si>
  <si>
    <t>IMPROVEMENT OF MULTI-PURPOSE HALL</t>
  </si>
  <si>
    <t>SUPPLY &amp; DELIVERY OF MATERIALS TO BE USED IN THE REPAINTING OF VARIOUS SPPF OFFICES (1 LOT)</t>
  </si>
  <si>
    <t>Purchase of Hand Tractor</t>
  </si>
  <si>
    <t>Procurement of Anti-flu vaccines for the Oplan Bantay-Kalusugan : Immunization Program 2020</t>
  </si>
  <si>
    <t>Purchase of School Sports materials</t>
  </si>
  <si>
    <t>PR# 20-1433- FOR HYUNDAI EXCAVATOR</t>
  </si>
  <si>
    <t>Supply and delivery of Integrated Library System (lifetime) (University Library 2020)</t>
  </si>
  <si>
    <t>PURCHASE OF SCHOOL SUPPLIES</t>
  </si>
  <si>
    <t>REHABILITATION OF SIXTEEN (16) UNITS CCTV CAMERAS AND REPLACEMENT OF VARIOUS MATERIALS AT BRGY. STA. ELENA, SAN PABLO CITY</t>
  </si>
  <si>
    <t>PURCHASE OF SCHOOL GARDEN TOOLS AND OTHER MATERIALS</t>
  </si>
  <si>
    <t>Office Equipment, Supplies and Consumables</t>
  </si>
  <si>
    <t>Procurement of Janitorial Supplies for Barangay Magallanes use</t>
  </si>
  <si>
    <t>C20202950 Agricultural Supplies  for PRODUCTION OF TISSUE CULTURE SEEDLINGS</t>
  </si>
  <si>
    <t>C20202953 Drugs &amp; Medicines for  THREE DDN HOSPITALS KAPALONG, IGACOS AND CARMEN ZONE</t>
  </si>
  <si>
    <t>PURCHASE OF MEDICAL AND DENTAL SUPPLIES</t>
  </si>
  <si>
    <t>C20202941 Camera for use of PROVINCIAL VETERINARIAN'S OFFICE</t>
  </si>
  <si>
    <t>C20202949 IT Equipment for  official use of Provincial ELCAC Office</t>
  </si>
  <si>
    <t>PR000094_FTAD_Shopping-B_Laptops</t>
  </si>
  <si>
    <t>Procurement of Barangay ID Printer colored for Barangay Magallanes use</t>
  </si>
  <si>
    <t>Subscription to a Video Conferencing and Online Meeting Software</t>
  </si>
  <si>
    <t>Repair of OMLAB 2</t>
  </si>
  <si>
    <t>CONSTRUCTION OF SOLID WASTE MANAGEMENT FACILITIES @ BRGY. TABUC, MOBO, MASBATE</t>
  </si>
  <si>
    <t>Catering Services for the MILDER Ed</t>
  </si>
  <si>
    <t>Procurement of Cooling fans for Barangay Magallanes use</t>
  </si>
  <si>
    <t>Reproduction of Modules for MILDER Ed</t>
  </si>
  <si>
    <t>Repair of COMLAB 1</t>
  </si>
  <si>
    <t>Procurement of Waste Segregation Program para sa Barangay Magallanes</t>
  </si>
  <si>
    <t>Procurement of Supplies and Materials for Barangay Traffic Enforcers</t>
  </si>
  <si>
    <t>Concreting of Paayas-Bobon-Bayog Linking Road</t>
  </si>
  <si>
    <t>PROCUREMENT OF MEDICAL SUPPLIES FOR USE OF THE RHU BEMONC FACILITY</t>
  </si>
  <si>
    <t>Procurement of Motor vehicle for Barangay Peace and Order use</t>
  </si>
  <si>
    <t>PROCUREMENT AND DELIVERY OF STORAGE DEVICES</t>
  </si>
  <si>
    <t>C20202955  MEDICAL EQUIPMENT FOR THE USE OF DDNH-CARMEN ZONE</t>
  </si>
  <si>
    <t>PROVISION OF SCHOOL WATCHMAN FOR THE MONTH MARCH TO DECEMBER 2020</t>
  </si>
  <si>
    <t>office supplies  &amp; consumables</t>
  </si>
  <si>
    <t>Concreting of 100 Linear Meter Soriano Street</t>
  </si>
  <si>
    <t>7 Units Utility Cart</t>
  </si>
  <si>
    <t>Procurement of Medical equipment for Barangay Clinic use</t>
  </si>
  <si>
    <t>CONSTRUCTION OF BAYAOAS SRIP – IRRIGATION FACILITIES (PHASE I)</t>
  </si>
  <si>
    <t>Communication Equipment for DMPD-2020-0052</t>
  </si>
  <si>
    <t>Procurement of Office Equipment for Barangay use</t>
  </si>
  <si>
    <t>CONSTRUCTION OF BRGY. HALL/MULTI-PURPOSE BUILDING (PHASE I)</t>
  </si>
  <si>
    <t>Concreting of 100 Linear Meter Brgy. Buenavista Farm to Market Road</t>
  </si>
  <si>
    <t>PROCUREMENT AND DELIVERY OF STORAGE RACK AND LOCKER</t>
  </si>
  <si>
    <t>ALCOHOL/DISINFECTANT SOL/GLOVES</t>
  </si>
  <si>
    <t>Purchase of Baby Cereals and Other Complementary Food for Supplemental Feeding</t>
  </si>
  <si>
    <t>IMPROVEMENT OF HEALTH CENTER AT BARANGAY BALUAN PROPER</t>
  </si>
  <si>
    <t>2 Sets Desktop</t>
  </si>
  <si>
    <t>C20202966 FUEL, OIL &amp; LUBRICANTS FOR THE PERIOD OF APRIL TO JUNE 2020</t>
  </si>
  <si>
    <t>18 UNITS SOLAR STREET LIGHTS 30 WATTS WITH FREE INSTALLATION</t>
  </si>
  <si>
    <t>Concreting of 700 Linear Meter Barangay Sigayan Farm to Market Road</t>
  </si>
  <si>
    <t>C20202960 Hardware Materials for Installation of 20 Units Isolation Room, Sports Academy Dormitory, DNSTC, Mankilam, Tagum City, DDN</t>
  </si>
  <si>
    <t>Public Bidding for the Supply and Delivery of Construction Materials for the Repair/Rehab of Board Member’s Office at 3rd Floor Annex Building, Capiz Provincial Capitol, under ITB No. 2020-011R</t>
  </si>
  <si>
    <t>80 box Metfromin (Fornidd XR 500mg tabs, 100's)</t>
  </si>
  <si>
    <t>20DL0209 - 	LOCAL PROGRAM, CONST. / REPAIR / REHAB. / IMPROVEMENT OF VARIOUS INFRASTRUCTURE INCLUDING LOCAL PROJECTS, NATIONAL ROADS AND BRIDGES, NATIONAL ROADS, CONSTRUCTION OF SLOPE PROTECTION ALONG</t>
  </si>
  <si>
    <t>Procurement of Security Services for Division Use</t>
  </si>
  <si>
    <t>SUPPLY AND DELIVERY OF FOUR (4) PIECES BRONZE SPIDER GUIDE</t>
  </si>
  <si>
    <t>Supply &amp; Delivery of Audio Equipment for Division Office Use under DepEd Cebu Province</t>
  </si>
  <si>
    <t>336 vial Iopromide (Ultravist 370 50ml)</t>
  </si>
  <si>
    <t>20DL0217 - C. CONVERGENCE AND SPECIAL SUPPORT PROGRAM 1. CONSTRUCTION / IMPROVEMENT OF ACCESS ROADS LEADING TO DECLARED TOURISM DESTINATIONS 4. ACCESS ROAD LEADING TO LAMESANG BATO, CALAUAG, QUEZON</t>
  </si>
  <si>
    <t>20DL0216 - CONVERGENCE AND SPECIAL SUPPORT PROGRAM, CONSTRUCTION / IMPROVEMENT OF VARIOUS INFRASTRUCTURE IN SUPPORT OF NATIONAL SECURITY 1. ACCESS ROAD LEADING TO 85TH INFANTRY BATTALION BRGY. VILLA P</t>
  </si>
  <si>
    <t>20DL0214 - ORGANIZATIONAL OUTCOME 2 : PROTECT LIVES AND PROPERTIES AGAINST MAJOR FLOODS, FLOOD MANAGEMENT PROGRAM, CONSTRUCTION/ MAINTENANCE OF FLOOD MITIGATION STRUCTURES AND DRAINAGE SYSTEMS 6. CONS</t>
  </si>
  <si>
    <t>PROCUREMENT OF VARIOUS OFFICE SUPPLIES</t>
  </si>
  <si>
    <t>20DL0213 - LOCAL PROGRAM, CONST. / REPAIR / REHAB. / IMPROVEMENT OF VARIOUS INFRASTRUCTURE INCLUDING LOCAL PROJECTS, NATIONAL ROADS AND BRIDGES, NATIONAL ROADS, CONSTRUCTION OF SLOPE PROTECTION ALONG</t>
  </si>
  <si>
    <t>20DL0215 - ORGANIZATIONAL OUTCOME 2 : PROTECT LIVES AND PROPERTIES AGAINST MAJOR FLOODS, FLOOD MANAGEMENT PROGRAM, CONSTRUCTION/ MAINTENANCE OF FLOOD MITIGATION STRUCTURES AND DRAINAGE SYSTEMS 13. REH</t>
  </si>
  <si>
    <t>CONSTRUCTION/IMPROVEMENT OF MULTI-PURPOSE BUILDING (PHASE I)</t>
  </si>
  <si>
    <t>Procurement of Materials for  Repair and Maintenance of Infrastructure Assets - MEO</t>
  </si>
  <si>
    <t>20DL0212 - LOCAL PROGRAM, CONST. / REPAIR / REHAB. / IMPROVEMENT OF VARIOUS INFRASTRUCTURE INCLUDING LOCAL PROJECTS, NATIONAL ROADS AND BRIDGES, NATIONAL ROADS, CONSTRUCTION OF SLOPE PROTECTION ALONG</t>
  </si>
  <si>
    <t>Purchase of one unit tablet (FICS)</t>
  </si>
  <si>
    <t>Procurement of Janitorial Services for Division Use</t>
  </si>
  <si>
    <t>Request for Quotation for the Supply and Delivery of Diploma Holder for URS</t>
  </si>
  <si>
    <t>Supply and Delivery of various medicines for URS</t>
  </si>
  <si>
    <t>20DL0211 - LOCAL PROGRAM, CONST. / REPAIR / REHAB. / IMPROVEMENT OF VARIOUS INFRASTRUCTURE INCLUDING LOCAL PROJECTS, NATIONAL ROADS AND BRIDGES, NATIONAL ROADS, CONSTRUCTION OF SLOPE PROTECTION ALONG</t>
  </si>
  <si>
    <t>Purchase of emergency lights and fire exit signage (CDMO)</t>
  </si>
  <si>
    <t>Contract Package 7: Preventive Maintenance: a. Abanao Ext. – Chainage 008 – Chainage 111 (SO5052LZ) b. Major Mane Rd. – Chainage 057 – Chainage 112 (SO0489LZ) c. Quezon Hill Drive – Chainage 000 – Cha</t>
  </si>
  <si>
    <t>Improvement of Slaughter Building at Barangay Sto Nino 1st</t>
  </si>
  <si>
    <t>20DL0208 - LOCAL PROGRAM, CONST. / REPAIR / REHAB. / IMPROVEMENT OF VARIOUS INFRASTRUCTURE INCLUDING LOCAL PROJECTS, NATIONAL ROADS AND BRIDGES, NATIONAL ROADS, CONSTRUCTION OF SLOPE PROTECTION ALONG</t>
  </si>
  <si>
    <t>Repair of Division Office (SDS and Supervisor Office)</t>
  </si>
  <si>
    <t>Construction/ Improvement of Access Roads leading to Declared Tourism Destinations, Caglayan-Paddig-Cupis Road leading to Nabuangan River, Banselan Cave, Cupis Loomweaving, Conner, Apayao</t>
  </si>
  <si>
    <t>REHABILITATION OF GYMNASIUM PHASE IV</t>
  </si>
  <si>
    <t>Concreting of Road at Zone 5 Barangay Tondod</t>
  </si>
  <si>
    <t>20DL0210 - LOCAL PROGRAM, CONST. / REPAIR / REHAB. / IMPROVEMENT OF VARIOUS INFRASTRUCTURE INCLUDING LOCAL PROJECTS, NATIONAL ROADS AND BRIDGES, NATIONAL ROADS, CONSTRUCTION OF SLOPE PROTECTION ALONG</t>
  </si>
  <si>
    <t>Procurement of LDRRM IT Equipment (1 lot CCTV Supply and Installation)</t>
  </si>
  <si>
    <t>HIRING OF RESEARCH BOAT AND MOTOR LAUNCH FOR OFFICIAL USE OF TUBBATAHA REEFS NATURAL PARK – MANAGEMENT OFFICE</t>
  </si>
  <si>
    <t>Construction / Rehabilitation of Water Supply / Septage and Sewerage / Rain Water Collector Systems - Rain Water Collectors in Public Facilities - CAR</t>
  </si>
  <si>
    <t>CONSTRUCTION OF MULTI-PURPOSE SOLAR DRIER</t>
  </si>
  <si>
    <t>Supply and Delivery of Laptop for URS</t>
  </si>
  <si>
    <t>Rehabilitation/ Reconstruction of Roads with Slips, Slope Collapse, and Landslide – Quezon Hill Rd #1 – K0308+153 – K0308+175, K0308+428 – K0308+447</t>
  </si>
  <si>
    <t>SUPPLY AND DELIVERY OF TWO (2) UNITS 1/2” NPT TUBING CHLORINATOR SERIES 100</t>
  </si>
  <si>
    <t>Reproduction of Detailed lesson Plan (Secondary)</t>
  </si>
  <si>
    <t>Procurement of Fuel, Oil &amp; Lubricants for Road Rehabilitation (Guiron Creek,Brgy. Lagnas,Victoria, Tagumpay Ilvita)</t>
  </si>
  <si>
    <t>Construction/ Improvement of Access Roads leading to Declared Tourism Destinations, Manag-Liwan Road leading to Purag River, Purag Cave and Bellang Cave, Conner, Apayao</t>
  </si>
  <si>
    <t>PURCHASE AND INSTALLATION OF ONE (1) SET OF PUBLIC ADDRESS</t>
  </si>
  <si>
    <t>Asset Preservation - Rehabilitation/Reconstruction of National Roads with Slips, Slope Collapse, and Landslide - Secondary Roads, Abbut-Conner Road, K0558+(-282) - K0558+ (-247)</t>
  </si>
  <si>
    <t>Request for Quotation for the supply and printing of Diploma with security features and internet validation for URS</t>
  </si>
  <si>
    <t>REHABILITATION OF FENCE (BARANGAY SITE)</t>
  </si>
  <si>
    <t>Procurement of Aircondition unit for MENRO Office</t>
  </si>
  <si>
    <t>Comfort Rooms Repair and Floor Tiling Of Library Hub (TCES)</t>
  </si>
  <si>
    <t>2020-058, CONSTRUCTION OF MULTI-PURPOSE HALL AT PUROK 6, BARANGAY NALIN, MIDSAYAP, COTABATO</t>
  </si>
  <si>
    <t>PURCHASE OF CCTV CAMERA</t>
  </si>
  <si>
    <t>RFQ NO. J2020-06-0401 Gasoline Consumption for FO8</t>
  </si>
  <si>
    <t>Repair &amp; Maintenance of Brgy.Facilities (Jetmatic Pump)</t>
  </si>
  <si>
    <t>2020-057, COMPLETION OF COVERED COURT AT BARANGAY SAN ISIDRO, MIDSAYAP, COTABATO</t>
  </si>
  <si>
    <t>INVITATION TO BID NO. UPRIIS-DI-CW-2020-04</t>
  </si>
  <si>
    <t>HO-TFM20-036 - Supply and Delivery of Acoustic Board</t>
  </si>
  <si>
    <t>PURCHASE OF 1SET OF  DESKTOP COMPUTER</t>
  </si>
  <si>
    <t>Request for Quotation of AMPE - Physical Examination</t>
  </si>
  <si>
    <t>Supply and Delivery of Office Supplies</t>
  </si>
  <si>
    <t>Paper Shredder</t>
  </si>
  <si>
    <t>PURCHASE OF FOODS FOR FEEDING</t>
  </si>
  <si>
    <t>Repair &amp; Maintenance of Brgy.Facilities (Brgy.Hall Electric Wirings)</t>
  </si>
  <si>
    <t>HO-MSD20-005 - Supply and Delivery of Heat Treatment Equipment</t>
  </si>
  <si>
    <t>PURCHASE OF SACKS</t>
  </si>
  <si>
    <t>PREVENTIVE MAINTENANCE OF DOOR ACCES CONTROL AND BIOMETRICS SYSTEM</t>
  </si>
  <si>
    <t>HO-CRT20-005 - Supply and Delivery of Large Format Printer, 44 inch / AO+size</t>
  </si>
  <si>
    <t>PURCHASE OF METAL PUSH CART FOR GARBAGE TRUCK</t>
  </si>
  <si>
    <t>PURCHASE OF TANOD SUPPLIES</t>
  </si>
  <si>
    <t>RFQ No. 2020-041: Procurement of supplies and materials for hazardous waste management</t>
  </si>
  <si>
    <t>Minor Repair of 3 Classrooms In Brgy. San Isidro</t>
  </si>
  <si>
    <t>PROCUREMENT OF OFFICE SUPPLIES FROM 2ND TO 4TH QUARTER</t>
  </si>
  <si>
    <t>Establishment/Provision of Three unit Isolation Facilities in the Barangay in Relation to COVID-19 Situation</t>
  </si>
  <si>
    <t>Audio and Visual Equipments for SPJ Room and other supplies</t>
  </si>
  <si>
    <t>Purchase of 3pcs T.V Monitor, 1pc. Refrigerator, 2pcs Sprayer</t>
  </si>
  <si>
    <t>Supply and delivery of shirts for Info IEC on MMK School on the Air Program</t>
  </si>
  <si>
    <t>Supply, Delivery and Installation of Firewall License Subscription Sofware for Basic Network Traffic Controller and Security (RMSC)</t>
  </si>
  <si>
    <t>HO-TFM20-055 &amp; HO-TFM20-059 - Supply and Delivery of Pressure Transducer &amp; Urinal Cartridge</t>
  </si>
  <si>
    <t>Repair of Roof Taliba St. Near Brgy. Hall, Brgy. SRV. Navotas City</t>
  </si>
  <si>
    <t>Supply and delivery of various materials for the use of ABMATC station for blue crab and ulang hatchery operation for CY 2020</t>
  </si>
  <si>
    <t>Supply and delivery of communication materials as additional fishing material/equipment in the commercial fishing boat for the Municipality of Casiguran, Aurora</t>
  </si>
  <si>
    <t>RFQ No. 20-0552 NP-SV Various Networking Materials and Equipment for NTSSD Technical Staff</t>
  </si>
  <si>
    <t>Supply and delivery of various materials for repair and maintenance of all BFAR3 Patrol Boats</t>
  </si>
  <si>
    <t>PREVENTIVE MAINTENANCE OF FM 200 FIRE SUPPRESSION SYSTEMS (CHEMETRON)</t>
  </si>
  <si>
    <t>GENERAL MERCHANDISE</t>
  </si>
  <si>
    <t>Supply and Delivery of Furniture for Operation Center (2020-398)</t>
  </si>
  <si>
    <t>2020-059, EXPANSION OF RURAL HEALTH UNIT(RHU) BUILDING, POBLACION 3, MIDSAYAP, COTABATO</t>
  </si>
  <si>
    <t>Construction of PCCP at Sitio Arinaar Road, Brgy. Magsaysay</t>
  </si>
  <si>
    <t>IMPROVEMENT OF HE BUILDING (REPLACEMENT AND REPAINTING OF CEILING AND ROOFING)</t>
  </si>
  <si>
    <t>Construction of Box Culvert at Barangay Patar</t>
  </si>
  <si>
    <t>Supply, Delivery and Installation of Prefab Container House for OpCen (2020-397)</t>
  </si>
  <si>
    <t>Improvement of Barangay Hall</t>
  </si>
  <si>
    <t>Construction of Public Market Roofing, Poblacion East</t>
  </si>
  <si>
    <t>Procurement of 1 Lot Repair and Maintenance of Office Equipment (Desktop Computer) for the 3rd Quarter of 2020</t>
  </si>
  <si>
    <t>RIPRAPPING OF DRAINAGE CANAL AT BALUAN PROPER</t>
  </si>
  <si>
    <t>Construction of PCCP at Sitio Barsak Road, Brgy. Gayusan</t>
  </si>
  <si>
    <t>IMPROVEMENT OF BARANGAY HALL</t>
  </si>
  <si>
    <t>Supply and Delivery of Real Time Kinematics (RTK) Survey Instruments for K2MIPP</t>
  </si>
  <si>
    <t>Procurement of 1 Lot Repair and Maintenance of Office Equipment (Air-condition) for the 3rd Quarter of 2020</t>
  </si>
  <si>
    <t>REHABILITATION OF THE SCHOOL FEEDING CENTER</t>
  </si>
  <si>
    <t>REPAIR, IMPROVEMENT OF COVERED COURT.</t>
  </si>
  <si>
    <t>Procurement of 1 Lot Repair and Maintenance of Office Equipment (Printers) for the 3rd Quarter of 2020</t>
  </si>
  <si>
    <t>REPAIR, IMPROVEMENT OF 2 (TWO) STOCK ROOMS (REPAIR OF STEEL DOORS, STEEL WINDOWS, ELECTRICAL WIRES, CEILING &amp; ROOF).</t>
  </si>
  <si>
    <t>Purchase and delivery of 3 units Split type Airconditioner with Installation to be used in the Municipality of Concepcion, Tarlac</t>
  </si>
  <si>
    <t>REHABILITATION OF DRAINAGE IN FRONT OF GRADE 5 BLDG. 1 - 15 METERS</t>
  </si>
  <si>
    <t>Purchase and delivery of Materials for the Repair and Maintenance of 11 heavy equipment used in the Municipality of Concepcion, Tarlac</t>
  </si>
  <si>
    <t>PROCUREMENT OF OFFICE SUPPLIES (2nd Qtr)</t>
  </si>
  <si>
    <t>Construction of Evacuation Center P2 at Centro 5, Claveria, Cagayan</t>
  </si>
  <si>
    <t>REPAIR, IMPROVEMENT, OF WATER &amp; SANITATION (WATSAN) IN VIEW OF COVID-19 PANDEMIC.</t>
  </si>
  <si>
    <t>Construction of Evacuation Center P1 at Centro 3, Claveria, Cagayan</t>
  </si>
  <si>
    <t>REPAIR, IMPROVEMENT, OF HAND WASHING IN VIEW OF COVID-19 PANDEMIC FOR SHS BUDGET.</t>
  </si>
  <si>
    <t>REHABILITATION OF SCHOOL COMFORT ROOMS BLDG. 4, 5 &amp; 26</t>
  </si>
  <si>
    <t>PROCUREMENT OF SPORTS/PE AND MUSICAL INSTRUMENTS</t>
  </si>
  <si>
    <t>Procurement of 1 Lot Repair and Maintenance of Office Equipment (Photocopier) for the 3rd Quarter of 2020</t>
  </si>
  <si>
    <t>PROCUREMENT OF TOILETRIES</t>
  </si>
  <si>
    <t>REHABILITATION OF MULTI PURPOSED BUILDING (GYM) THRU REPAIR AND WATER COLLECTION FOR ENVIRONMENT PROTECTION</t>
  </si>
  <si>
    <t>Construction of Evacuation Center P3 at Centro 2, Claveria, Cagayan</t>
  </si>
  <si>
    <t>OODS 2020-013(NP) Supply and Delivery of  2 units Tires and Starter Motor</t>
  </si>
  <si>
    <t>PROCUREMENT OF EXTERNAL HARD DRIVE FOR LIS, LRMDS &amp; ICT ROOM</t>
  </si>
  <si>
    <t>AMP SVP 20-06-0348: Carillon Magazine Printing</t>
  </si>
  <si>
    <t>REPAIR OF MULTI PURPOSE BUILDING (GYM)</t>
  </si>
  <si>
    <t>G-2020-293 Supply and Delivery of Meals &amp; Snacks, Office of the City Mayor</t>
  </si>
  <si>
    <t>Supply, Delivery, Testing and Commissioning of Brand New Land Ambulance (17 units)</t>
  </si>
  <si>
    <t>Supply and delivery of materials for stage repair and roof replacement</t>
  </si>
  <si>
    <t>Construction of Breast Feeding Room</t>
  </si>
  <si>
    <t>G-2020-332 Supply and Delivery of Meals &amp; Snacks, Gender and Development</t>
  </si>
  <si>
    <t>G-2020-311 Supply and Delivery of Office &amp; Janitorial Supplies, Office of the City Mayor</t>
  </si>
  <si>
    <t>Supply and delivery of materials for the repair of Science Laboratory</t>
  </si>
  <si>
    <t>Materials for COVID 19 Protection and Surveillance.</t>
  </si>
  <si>
    <t>CONSTRUCTION OF DRAINAGE CANAL AT LOWER BATO</t>
  </si>
  <si>
    <t>procurement of construction materials for handwashing facility of manuel regalado es</t>
  </si>
  <si>
    <t>VoIP Phones</t>
  </si>
  <si>
    <t>Procurement of Medical Supplies</t>
  </si>
  <si>
    <t>20CSA004: LIDAR DATA MAPPING AND PARCELLARY/ UTILITIES, FACILITIES/ TOPOGRAPHIC SURVEY FOR THE PROPOSED CONSTRUCTION OF MISSING LINK/NEW ROADS, SAN MANUEL (PANGASINAN)- ITOGON (BENGUET) ROAD</t>
  </si>
  <si>
    <t>20CSA003: LIDAR DATA MAPPING AND PARCELLARY/ UTILITIES, FACILITIES/ TOPOGRAPHIC SURVEY FOR THE PROPOSED CONSTRUCTION OF MISSING LINK/NEW ROADS, BOLINAO-DASOL COASTAL ROAD, PANGASINAN</t>
  </si>
  <si>
    <t>invitation to bid</t>
  </si>
  <si>
    <t>Supply and Delivery of Raw Materials/Ingredients (Foodstuff) for the Livelihood Program-Meat Processing of Salaknib Farmers Association</t>
  </si>
  <si>
    <t>Improvement of Covered Court Phase 2</t>
  </si>
  <si>
    <t>20CSDM03 – Conduct of Preliminary Detailed Engineering (Parcellary Survey) along San Francisco-San Andres-San Narciso Road, Quezon Province</t>
  </si>
  <si>
    <t>Invitation to Bid Purchase of IT Equipments</t>
  </si>
  <si>
    <t>20CSAD03 : Sub-surface Exploration of Bridges, Ilocos Sur 2nd LD For FY 2021 (Bayugao Bridge, Sta. Cruz Bridge, Tulay Bridge, Alambique Bridge, Caterman Bridge, Bajung Bridge, Amosting Bridge, Brgy. L</t>
  </si>
  <si>
    <t>Labor and Fuel for Mowing of School Grounds</t>
  </si>
  <si>
    <t>Installation of Solar Streetlights</t>
  </si>
  <si>
    <t>Request for Quotation for Air Conditioners 20-05-0319</t>
  </si>
  <si>
    <t>20EB0125: Cluster 2020OPB-01: Repair/Maintenance of various DPWH Buildings: 1.	DPWH-Office Building (used by PNP Admin/Officer's Quarter/Male Barracks, Airport Road, Brgy. 9, Mamburao, Occ. Mindoro 2.</t>
  </si>
  <si>
    <t>Production / Printing of Security Paper</t>
  </si>
  <si>
    <t>Vitamins</t>
  </si>
  <si>
    <t>SUPPLY AND DELIVERY OF VARIOUS OFFICE SUPPLIES FOR OFFICIAL USE OF PENRO ORIENTAL MINDORO</t>
  </si>
  <si>
    <t>Concreting of Road at Juan Ambat Road, Barangay Parang, Bagac, Bataan</t>
  </si>
  <si>
    <t>Supply and Delivery of Security Padlock &amp; Electric Security Meter Seal</t>
  </si>
  <si>
    <t>Purchase of Vehicle</t>
  </si>
  <si>
    <t>Covered Court Improvement</t>
  </si>
  <si>
    <t>Rehabilitation of various road</t>
  </si>
  <si>
    <t>Printing of Unified Numeracy, Pre/Post Test Papers</t>
  </si>
  <si>
    <t>Headset and Laptop Cooling Pad 20 units</t>
  </si>
  <si>
    <t>Construction of Multi- Purpose Hall at Barangay Santiago, Naujan, Oriental Mindoro</t>
  </si>
  <si>
    <t>INSTALLATION OF MISTING TENT,HANDWASHING STAND, FOOT BATH -Municipal Ground, Pob. 3</t>
  </si>
  <si>
    <t>20II0061, Repair and Maintenance of Road Safety Facilities (Supply, Delivery and Installation of Danger, Hazard, Warning, Regulatory and Informative Signages) along Catarman Laoang Road, Laoang –Catub</t>
  </si>
  <si>
    <t>PROCUREMENT AND DELIVERY OF OFFICE AND IT EQUIPMENT</t>
  </si>
  <si>
    <t>IB-01-0186-20 COE-CE SUPPLY AND DELIVERY OF LABORATORY EQUIPMENT</t>
  </si>
  <si>
    <t>PROCUREMENT AND DELIVERY OF MEDICINE</t>
  </si>
  <si>
    <t>Rehab/Maintenance of Manlin-Pamintayan &amp; Delmonte Road</t>
  </si>
  <si>
    <t>IB-01-0206-20 VPAFEA SUPPLY, DELIVERY AND INSTALLATION OF GENERATOR SET</t>
  </si>
  <si>
    <t>Supply and Delivery of Pre-Mix Asphalt and Emulsified Asphalt</t>
  </si>
  <si>
    <t>20GEB0006: Procurement/Supply of Diesel Fuel for use in the operation of DPWH Service Vehicles for Mindoro Occidental DEO Construction Section</t>
  </si>
  <si>
    <t>Construction of Covered Court at Gayusan Integrated School</t>
  </si>
  <si>
    <t>PROCUREMENT AND DELIVERY OF NUTRITIONAL FOODS</t>
  </si>
  <si>
    <t>P.R 2020-02-048</t>
  </si>
  <si>
    <t>Construction of Breakwater for Storm Surge Mitigation</t>
  </si>
  <si>
    <t>Procurement of PRDP Vehicle Tires Intended for Year 2020</t>
  </si>
  <si>
    <t>IMPROVEMENT OF LEVEL III WATER SYSTEM</t>
  </si>
  <si>
    <t>Roofing of Existing Bleachers at Longos E/S, Calasiao, Pangasinan</t>
  </si>
  <si>
    <t>PROPOSED IMPROVEMENT/REHABILITATION OF THE CITY PEOPLE’S ASTRODOME (INTERIOR AND INCLUDING FAÇADE) AT BARANGAY TAPUAC, DAGUPAN CITY</t>
  </si>
  <si>
    <t>40 pcs. Correction marker (tape)</t>
  </si>
  <si>
    <t>Repair of One (1) unit, Three (3) Classroom School Building at Mangatarem II Central E/S</t>
  </si>
  <si>
    <t>Bid No. 20-0274 - PROCUREMENT OF CONSTRUCTION MATERIALS - MEO (CONSTRUCTION OF COVERED COURT - BRGY. TUPAS, MARAGUSAN, DAVAO DE ORO)</t>
  </si>
  <si>
    <t>Procurement of Supplies and Materials for the Construction of Garage</t>
  </si>
  <si>
    <t>PURCHASE OF ONE(1)UNIT MINI-DUMP TRUCK SURPLUS</t>
  </si>
  <si>
    <t>Procurement of Supplies and Materials for the Improvement of Water System</t>
  </si>
  <si>
    <t>Rehabilitation of Health Center</t>
  </si>
  <si>
    <t>Purchase and Delivery of Automated External Defibrillator (AED) Complete Set - MO-MDRRMO</t>
  </si>
  <si>
    <t>Supply and Delivery of 160 MT Asphalt Pre-Mix and 8 drums Emulsified Asphalt</t>
  </si>
  <si>
    <t>Const of Deped</t>
  </si>
  <si>
    <t>Supply and Delivery of 577 MT Asphalt Pre-Mix</t>
  </si>
  <si>
    <t>janitorial Supplies</t>
  </si>
  <si>
    <t>Construction of Open Canal - Zone 1</t>
  </si>
  <si>
    <t>Procurement of Supplies and Materials for the Improvement of Multi-Purpose Center</t>
  </si>
  <si>
    <t>Rehabilitation of Water System</t>
  </si>
  <si>
    <t>Procurement of Fluids</t>
  </si>
  <si>
    <t>Procurement of Niches</t>
  </si>
  <si>
    <t>Construction of Pathway - Zone 1</t>
  </si>
  <si>
    <t>Procurement of IT Server</t>
  </si>
  <si>
    <t>Tagumpay St</t>
  </si>
  <si>
    <t>Supply and Delivery of Brand New Tires</t>
  </si>
  <si>
    <t>Supply and Delivery of Fogging Machine (Rebidding)</t>
  </si>
  <si>
    <t>Procurement of One (1) unit Motorcycle</t>
  </si>
  <si>
    <t>CONSTRUCTION OF MULTI PURPOSE HALL</t>
  </si>
  <si>
    <t>For School / Office Supplies and other materials</t>
  </si>
  <si>
    <t>OFFICE SUPPLIES AND DEVICES</t>
  </si>
  <si>
    <t>Procurement of Educational Materials and Supplies (Rebidding)</t>
  </si>
  <si>
    <t>Purchase and Delivery of Medical, Dental and Laboratory Supplies - MHO</t>
  </si>
  <si>
    <t>Concreting of Farm-to Market Road w/ Drainage Canal</t>
  </si>
  <si>
    <t>Improvement of Water Supply System @ Brgy. Dalipit East, Cuenca, Batangas (Re- post)</t>
  </si>
  <si>
    <t>IMPROVEMENT OF HEALTH CENTER</t>
  </si>
  <si>
    <t>Supply and Delivery of Automation Equipment</t>
  </si>
  <si>
    <t>purchase of medical supplies</t>
  </si>
  <si>
    <t>MG-PAS20-010 - SAFETY SHOES &amp; WORK PROTECTION SHOES</t>
  </si>
  <si>
    <t>Purchase of Internet Service</t>
  </si>
  <si>
    <t>Ink Printer</t>
  </si>
  <si>
    <t>PURCHASE OF 75" LED TV, AIRCON, OFFICE TABLES AND CHAIRS</t>
  </si>
  <si>
    <t>Bouldering with Railing @ Brgy. Poblacion VII, Cuenca, Batangas</t>
  </si>
  <si>
    <t>SUPPLY &amp; DELIVERY OF COMMUNICATION EQUIPMENT (CELLPHONES)</t>
  </si>
  <si>
    <t>Bouldering with Railing @ Brgy. Labac, Cuenca, Batangas</t>
  </si>
  <si>
    <t>Purchase of Materials for the Construction of Vermi Beds with Vermi Shed</t>
  </si>
  <si>
    <t>Purchase of Solar Lights</t>
  </si>
  <si>
    <t>PURCHASE OF TIRES</t>
  </si>
  <si>
    <t>PROCUREMENT OF ONE (1) LOT SURVEY INSTRUMENT PARTS &amp; ACCESSORIES</t>
  </si>
  <si>
    <t>Acrylic Sandwich Board</t>
  </si>
  <si>
    <t>Procurement of Office Equipment for the Office of TSP-SPM Maria Lourdes Kharin C. Momo</t>
  </si>
  <si>
    <t>PROCUREMENT OF ASSORTED ITEMS FOR MEALS AND SNACKS DURING THE REGULAR MEETING OF THE MUNICIPAL OFFICIALS AND DEPUTY MAYORS</t>
  </si>
  <si>
    <t>Irex Toner Cyan, Yellow, Magenta &amp; Black</t>
  </si>
  <si>
    <t>PROCUREMENT OF ONE HUNDRED SIXTY (160) BAGS OF RICE (25 KILOS)</t>
  </si>
  <si>
    <t>Purchase of Meals, Snacks and other Supplies to be used during the conduct of Revenue Generation Planning Workshop</t>
  </si>
  <si>
    <t>FURNISHING AND DELIVERY OF LABOR, MATERIALS AND EQUIPMENT FOR THE CONSTRUCTION OF MULTI-PURPOSE COVERED COURT PAHSE 2 AT BARANGAY, BACOLOD, JUBAN, SORSOGON</t>
  </si>
  <si>
    <t>Procurement of Vegetable Seeds for the Vegetable Production and Demonstration Site - HVCDP of MAGRO Laak, Davao De Oro</t>
  </si>
  <si>
    <t>Supply and Delivery of uPVC Pipes #100mm dia (4" dia) x 6m (S-10)</t>
  </si>
  <si>
    <t>GOODS-OE-18-2020</t>
  </si>
  <si>
    <t>PURCHASE OF MESH NETS TO BE USED IN THE CONSTRUCTION OF NETHOUSES FOR THE DA-ACEF PROJECT</t>
  </si>
  <si>
    <t>Crude/Diesel Oil</t>
  </si>
  <si>
    <t>Purchase of construction materials for the Rehabilitation of Barangay Roads @ Purok 7</t>
  </si>
  <si>
    <t>Installation of Solar Streetlights @ Napapanayan, Brgy. Don Juan, Cuenca, Batangas</t>
  </si>
  <si>
    <t>PR. 20-02-085 (2020-02-086 3RD QUOTE) PROCUREMENT OF UPVC BEND</t>
  </si>
  <si>
    <t>Procurement of Hardwares</t>
  </si>
  <si>
    <t>Computer Table &amp; Computer Chair</t>
  </si>
  <si>
    <t>Improvement of Executive Building</t>
  </si>
  <si>
    <t>Bid No. 20-0275 - PROCUREMENT OF OFFICE SUPPLIES - MCR (MUNICIPAL CIVIL REGISTRAR</t>
  </si>
  <si>
    <t>PROCUREMENT OF ENGINE FOR FOTON AMBULANCE</t>
  </si>
  <si>
    <t>SUPPLY AND DELIVERY OF VARIOUS CI AND MECHANICAL FITTINGS FOR POTABLE WATER</t>
  </si>
  <si>
    <t>Completion of Damilag Public Market (Construction of Waste Water Treatment Facilty)</t>
  </si>
  <si>
    <t>20JBG0040 with PR No. 20-03-23 - For use in the operation of Heavy Equipments, Service Vehicles and other Equipments assigned n the Maintenance Section for  the repair and maintenance of bridges, this</t>
  </si>
  <si>
    <t>Procurement of One (1) unit Airconditioning for the Vice Governors Office.</t>
  </si>
  <si>
    <t>Procurement of Office Supplies for 1st &amp; 2nd Qtr. to be use in Different Offices at LGU Sigma for day to day operation</t>
  </si>
  <si>
    <t>Purchase and delivery of tornado box fan to be used be different offices of the CGC</t>
  </si>
  <si>
    <t>Construction of New Road at Sitio Pakiling</t>
  </si>
  <si>
    <t>Repair and maintenance of different airconditioning units in various offices in CGC</t>
  </si>
  <si>
    <t>Installation of Street Lights (20 UNITS)</t>
  </si>
  <si>
    <t>Repair and maintenance of dump truck assigned to CEPWD</t>
  </si>
  <si>
    <t>Purchase and delivery of janitorial supplies for City Public Market</t>
  </si>
  <si>
    <t>PROCUREMENT OF TECHNICAL SURVEY &amp; DRAFTING SERVICES</t>
  </si>
  <si>
    <t>Installation of Street Lighting System</t>
  </si>
  <si>
    <t>Printing of Gold Card ID's of Socialized Medical Health Care Program of the CGC</t>
  </si>
  <si>
    <t>Purchase and delivery of equipment and consumables to be used by BPLS</t>
  </si>
  <si>
    <t>CONSTRUCTION OF ISOLATION FACILITY, POBLACION, KITAOTAO, BUKIDNON</t>
  </si>
  <si>
    <t>Procurement of Office Equipment to be use in Different Offices at LGU Sigma for day to day Operation</t>
  </si>
  <si>
    <t>PROVISION OF WATCHMAN SERVICES FROM MARCH 1-DECEMBER 31, 2020</t>
  </si>
  <si>
    <t>Chemical Products</t>
  </si>
  <si>
    <t>COMPLETION OF SENIOR CITIZEN'S BUILDING - MATERIALS ONLY</t>
  </si>
  <si>
    <t>RFQ for Security Services</t>
  </si>
  <si>
    <t>PURCHASE OF MANNEQUINS FOR TRAINING - MO-MDRRMO</t>
  </si>
  <si>
    <t>Supply and Delivery of Agricultural Products for the Support to Purok System (2nd posting)</t>
  </si>
  <si>
    <t>CONCRETING OF ROAD/ CONCRETING OF MPP IN BARANGAY. PROPER</t>
  </si>
  <si>
    <t>Supply and Delivery of Materials for the Repair and Maintenance of Truck MRF Vehicle (Rescue) Hyundai</t>
  </si>
  <si>
    <t>Improvement of Barangay Health Station at Mabasa</t>
  </si>
  <si>
    <t>Bid No. 20-0276 - PROCUREMENT OF OFFICE SUPPLIES - MHO OPERATIONS</t>
  </si>
  <si>
    <t>AIR CONDITIONER</t>
  </si>
  <si>
    <t>Procurement for Repair and Maintenance of Vehicle</t>
  </si>
  <si>
    <t>Purchase of Medical Oxygen Gas for the use of Ospital ng Lungsod ng San Jose Del Monte</t>
  </si>
  <si>
    <t>Procurement of 1 Unit of Truck to be use for Transportation, Hauling and Towing Combine Harvester</t>
  </si>
  <si>
    <t>Procurement of Various Materials, Fuel and Lubricants for the Implementation of Road Rehabilitation Program.</t>
  </si>
  <si>
    <t>CONSTRUCTION AND IMPROVEMENT OF WATER SYSTEM</t>
  </si>
  <si>
    <t>Provision of Vehicle Rentals ABC:472,500.00</t>
  </si>
  <si>
    <t>Procurement of 1 Unit of Mini-Truck for the Implementation of Solid Waste Management and Environmental Program</t>
  </si>
  <si>
    <t>Printing of various Letterhead for the use of the Office of the City Mayor</t>
  </si>
  <si>
    <t>FLU VACCINE</t>
  </si>
  <si>
    <t>Supply and Delivery of Reagents used in Rural Health Unit Laboratory</t>
  </si>
  <si>
    <t>Purchase of X-ray Supplies for the use of Ospital ng Lungsod ng San Jose Del Monte</t>
  </si>
  <si>
    <t>CONCRETING OF ROAD WITH DRAINAGE</t>
  </si>
  <si>
    <t>Improvement of Barangay Health Station at Belance</t>
  </si>
  <si>
    <t>4 bags pre-starter feeds, etc.</t>
  </si>
  <si>
    <t>Supply and Delivery of Education Supplies for BALIK ESKWELA PROGRAM (2nd posting)</t>
  </si>
  <si>
    <t>Agricultural Supplies Expenses (Organic Fertilizer)</t>
  </si>
  <si>
    <t>Cost of labor and materials for the maintenance for 2 units Generator Set for use at the Laoag City General Hospital</t>
  </si>
  <si>
    <t>INSTALLATION OF 4 UNITS FLOOR MOUNTED INVERTER TYPE AIRCONDITIONING UNITS</t>
  </si>
  <si>
    <t>CONSTRUCTION OF MULTIPURPOSE BUILDING PHASE II, TAWAS, KITAOTAO, BUKIDNON</t>
  </si>
  <si>
    <t>PURCHASE OF HIGH SPEED FULL COLOR INKJET PRINTER</t>
  </si>
  <si>
    <t>Improvement of Barangay Health Station at Bulala</t>
  </si>
  <si>
    <t>Purchase of NBS Collection Kit for the use of Ospital ng Lungsod ng San Jose Del Monte</t>
  </si>
  <si>
    <t>security services</t>
  </si>
  <si>
    <t>Supply and Delivery of Meals and Snacks Regular  for the 2nd Semester of 2020</t>
  </si>
  <si>
    <t>Supply and Delivery of Meals and Snacks Buffet for VIP Guests and Visitors for the 2nd Semester of 2020</t>
  </si>
  <si>
    <t>Procurement of 1 Unit of Trailer to be use for Transportation of Combine Harvester</t>
  </si>
  <si>
    <t>Supply &amp; Delivery of Materials ABC:138,000.00</t>
  </si>
  <si>
    <t>Bid No. 20-0277 - PROCUREMENT OF OFFICE SUPPLIES - MAGRO/FYD</t>
  </si>
  <si>
    <t>Purchase of Fuel for the Second Quarter</t>
  </si>
  <si>
    <t>Purchase of 1 unit Rescue Vehicle</t>
  </si>
  <si>
    <t>PROCUREMENT OF 50 DRUMS OF CHLORINE GRANULES (CALCIUM HYPOCHLORITE) FOR WATER TREATMENT OF ACWD PUMPHOUSES</t>
  </si>
  <si>
    <t>20CN0149 - Retrofitting/Strengthening of Permanent Bridge – Aguang Br. (B03015LZ) along Baler – Casiguran Rd (Baler – Dinadiawan)</t>
  </si>
  <si>
    <t>Face Shield</t>
  </si>
  <si>
    <t>PURCHASE OF HARDWARE MATERIALS FOR BARANGAY ACCESS ROAD CONSTRUCTION</t>
  </si>
  <si>
    <t>INVITATION TO BID USED FOR THE MAINTENANCE OF MUNICIPAL VEHICLES &amp; HEAVY EQUIPMENT (MINI DUMP TRUCK, WATER TRUCK, CANTER TRUCK, FORWARD GARBAGE TRUCK, FORWARD WATER TRUCK, HOWO TRACK, TRACTOR, LOADER.</t>
  </si>
  <si>
    <t>Purchase of Various Vitamins for Underweight Children</t>
  </si>
  <si>
    <t>bangus fingerlings</t>
  </si>
  <si>
    <t>PURCHASE OF ONE MOTOR VEHICLE (AUV-BRAND NEW) FOR CITY MAYOR’S OFFICE USE</t>
  </si>
  <si>
    <t>Improvement of Barangay Health Station at New Gumiad</t>
  </si>
  <si>
    <t>fishing gears</t>
  </si>
  <si>
    <t>animal feeds</t>
  </si>
  <si>
    <t>Acquisition of Brand New Garbage Truck</t>
  </si>
  <si>
    <t>Supply &amp; Delivery of Tire/Spare Parts ABC:94,080.00</t>
  </si>
  <si>
    <t>Acquisition of Brand New Ambulance</t>
  </si>
  <si>
    <t>REHABILITATION OF RAILINGS PUROK TANGKE</t>
  </si>
  <si>
    <t>SPECIALIZED FABRICATED GONGS FOR MANKAYAN FOUNDING ANNIVERSARY</t>
  </si>
  <si>
    <t>Provision of Consultancy Services (July-December 2019) ABC:756,000.00</t>
  </si>
  <si>
    <t>INSTALLATION OF SOLAR STREETLIGHT-NAPNAPAN, PANTUKAN</t>
  </si>
  <si>
    <t>Purchase of Construction Materials for the Construction Truss and Roof System with Retro Fit for Covert Court of Rizal, San Guillermo, Isabela</t>
  </si>
  <si>
    <t>RFQ - Supply of labor and consumable materials for complete reconditioning (Stator rewinding, replacement of bearing, lubrication, alignment, balancing, etc.) of induction motors of the Centralized Ai</t>
  </si>
  <si>
    <t>GOODS-OE-19-2020</t>
  </si>
  <si>
    <t>PURCHASE AND DELIVERY OF FEMALE GOATS AND BUCKS</t>
  </si>
  <si>
    <t>Supply of 1 unit Pick up type Vehicle 4x4</t>
  </si>
  <si>
    <t>PURCHASE OF 4 WHEELER-TRUCK FOR SOCIO ECONOMIC ENTERPRISE UNIT-MARKETS USE</t>
  </si>
  <si>
    <t>Supply and Delivery of Various Equipment for different offices in the Municipality of Liliw</t>
  </si>
  <si>
    <t>PURCHASE OF MOTOR VEHICLE FOR CITY ADMINISTRATOR'S OFFICE USE</t>
  </si>
  <si>
    <t>Road Opening at Brgy. Odlot, Bogo City, Cebu</t>
  </si>
  <si>
    <t>INVITATION TO BID FOR THE IMPROVEMENT OF PROPER LANGCANGAN WATER SYSTEM, PUROK 6, BARANGAY PROPER LANGCANGAN, OROQUIETA CITY</t>
  </si>
  <si>
    <t>LBRDC Most Commonly Used Materials (Supply of Construction Materials)-Fire Rated Steel Door</t>
  </si>
  <si>
    <t>CONSTRUCTION OF FACILITY (FUNCTION HALL) in Suhoton Cave, Brgy. Agcagay, Jamindan, Capiz</t>
  </si>
  <si>
    <t>Purchase and Deliver of Materials for the Construction of Water System Level II Phase III</t>
  </si>
  <si>
    <t>MUNICIPAL BUILDING FACADE &amp; RELOCATION OF FLAGPOLE at Brgy. Poblacion, Jamindan, Capiz</t>
  </si>
  <si>
    <t>Tomato (Diamante/Red Gold), etc.</t>
  </si>
  <si>
    <t>PURCHASE OF BRAND NEW SERVICE VEHICLE FOR USE AS SERVICE VEHICLE OF PUBLIC WORK DIVISION, CEO</t>
  </si>
  <si>
    <t>Procurement of One (1) Unit CACAO GRINDER in Support to Cacao/Coffee Village Plantation</t>
  </si>
  <si>
    <t>REHABILITATION OF PUBLIC ALLEY CENTRO 1</t>
  </si>
  <si>
    <t>Supply &amp; Delivery of Agricultural  Equipment ABC:100,000.00</t>
  </si>
  <si>
    <t>CONCRETING OF FMR(PUROK 3) MANLUCUGAN AND CONSTRUCTION OF TEMPORARY CONTAINMENT FACILITY WITH MTLS. RECOVERY FACILITY - BRGY. MANGCAWAYAN ISLAND</t>
  </si>
  <si>
    <t>Acquisition of Brand New Mini Dump Truck</t>
  </si>
  <si>
    <t>PR NO/ 2020-06-141 PURCHASE OF  CCTV EQUIPMENT FOR USE IN THE DPWH SDS-I DEO BUILDING</t>
  </si>
  <si>
    <t>Telecommunications Provider</t>
  </si>
  <si>
    <t>DRUGS AND MEDICINES</t>
  </si>
  <si>
    <t>Supply &amp; Delivery of Various Agri Supplies ABC:101,500.00</t>
  </si>
  <si>
    <t>PURCHASE OF HARDWARE MATERIALS FOR BASBETBALL COURT</t>
  </si>
  <si>
    <t>Supply &amp; Delivery of Various Supplies ABC:50,050.00</t>
  </si>
  <si>
    <t>Road Rehabilitation/Improvement of Various Brgy. Roads</t>
  </si>
  <si>
    <t>PURCHASE OF MANUAL BP APPARATUS</t>
  </si>
  <si>
    <t>CONSTRUCTION MATERIALS AND SUPPLIES FOR THE COMPLETION OF LITEN MULTI-PURPOSE HALL, SUYOC, MANKAYAN</t>
  </si>
  <si>
    <t>PURCHASE OF DRUGS &amp; MEDICINES</t>
  </si>
  <si>
    <t>Acquisition of Close Circuit Television (CCTV)</t>
  </si>
  <si>
    <t>Supply and Delivery of Siren</t>
  </si>
  <si>
    <t>Supply &amp; Delivery of Cacao Seedlings ABC:510,000.00</t>
  </si>
  <si>
    <t>UPLB-RQ-6-124-20-RES SUPPLY AND DELIVERY OF CHEMICALS &amp; CHEMICAL PRODUCTS FOR BIOTECH</t>
  </si>
  <si>
    <t>PURCHASE OF LAPTOP COMPUTER</t>
  </si>
  <si>
    <t>CONSTRUCTION OF RIPRAP ALONG FARM TO MARKET ROADS (FMR)</t>
  </si>
  <si>
    <t>Supply of 153 boxes Plain Continous Form 279mm x 241mm, Single Ply (2,000 sheets/box)</t>
  </si>
  <si>
    <t>INVITATION TO BID FOR THE IMPROVEMENT OF VICTORIA  WATER SYSTEM, BARANGAY VICTORIA, OROQUIETA CITY</t>
  </si>
  <si>
    <t>PURCHASE OF VARIOUS CONSTRUCTION MATERIALS AND SUPPLY FOR THE PROPOSED CONSTRUCTION OF LINING CANAL APPROXIMATELY 100m</t>
  </si>
  <si>
    <t>Supply &amp; Delivery of Laboratory Supplies ABC:57,000.00</t>
  </si>
  <si>
    <t>REHABILITATION OF MUNICIPAL BUILDING (TILE WORKS AND OTHER RELATED STRUCTURAL WORKS)</t>
  </si>
  <si>
    <t>RFQ-NP-SVP-245-2020-Procurement of Windows License Software for Balubal Campus.</t>
  </si>
  <si>
    <t>Supply &amp; Delivery of Planting Materials ABC:542,000.00</t>
  </si>
  <si>
    <t>UPLB-RQ-6-123-20-RES SUPPLY AND DELIVERY OF LABORATORY SUPPLIES &amp; EQUIPMENT FOR BIOTECH</t>
  </si>
  <si>
    <t>Concreting of Capayawan Alley Road (Phase II), Botolan, Zambales</t>
  </si>
  <si>
    <t>PROCUREMENT OF JANITORIAL SERVICES FOR BFAR-NMC PANABO</t>
  </si>
  <si>
    <t>Soil Covering of the Existing Open Dumpsite</t>
  </si>
  <si>
    <t>LBRDC Most Commonly Used Materials (Supply of Glass and Stainless Materials)</t>
  </si>
  <si>
    <t>CONSTRUCTION OF DRAINAGE SYSTEM WITH COVER @ZONE 2 (RALS SELIBIO AREA)</t>
  </si>
  <si>
    <t>MATERIALS FOR THE INSTALLATION OF SOLAR LIGHTS - SABANG AND PURCHASE/DEL. OF MEDICAL AND LABORATORY SUPPLIES</t>
  </si>
  <si>
    <t>MG-PLM20-074 - WRENCH, TORQUE S-WRENCH TORQUE</t>
  </si>
  <si>
    <t>Supply &amp; Delivery of IT Supplies ABC:55,500.00</t>
  </si>
  <si>
    <t>CONSTRUCTION MATERIALS AND SUPPLIES FOR THE IMPROVEMENT OF KAMANUKOB-NAKAWA WWS, GUINAOANG</t>
  </si>
  <si>
    <t>PURCHASE OF INFANT WEIGHING SCALE</t>
  </si>
  <si>
    <t>MG-PLM20-071 - CALIBRATION OF SURVEY INSTRUMENT: SOKKIA GRS2, REAL TIME KINEMATIC (RTK) GLOBAL NAVIGATION SATELLITE SYSTEM (GNSS) RECEIVER</t>
  </si>
  <si>
    <t>MG-PLM20-084 - REPAIR AND RECONDITIONING OF SLURRY PUMP ROTOR OF THE DREDGING MACHINE</t>
  </si>
  <si>
    <t>MG-PLM20-082 - TO SUPPLY HYDRAULIC OIL FOR THE DREDGING MACHINE CONSUMPTION</t>
  </si>
  <si>
    <t>Supply and Delivery of Incubator for the ATI-Learning Sites in Datu Abdullah Sangki and Sultan sa Barongis , Maguindanao for ATI-RTC XII</t>
  </si>
  <si>
    <t>PROCUREMENT OF SERVICE VEHICLE FOR MAYOR’S OFFICE</t>
  </si>
  <si>
    <t>Supply of Plain Continous Form 140mm x 241mm, Single Ply (4,000 sheets/box)</t>
  </si>
  <si>
    <t>MG-PLM20-081 - FABRICATION AND INSTALLATION OF WOODEN CABINET AT NEW DREDGING OFFICE AND OTHER ACTIVITIES</t>
  </si>
  <si>
    <t>MG-PLM20-079 - MAINTAINING A WATER LILY FREE AT THE SURGE POOL AREA, WHOLE YEAR ROUND WITHIN THE WHOLE BODY OF WATER</t>
  </si>
  <si>
    <t>Replacement/Supply, Delivery, Installation, Testing and Commissioning of One (1) Unit 3.0 TR Ceiling Mounted Inverter Type Air-conditioner of UCPB Clearing Center in Palm Towers Condominium</t>
  </si>
  <si>
    <t>REHABILITATION OF FOOTBRIDGE @ ZONE 2 (RELOCATION SITE) PUNONG 2</t>
  </si>
  <si>
    <t>IMPROVEMENT/DEVELOPMENT OF MULTI-PURPOSE PUBLIC AUDITORIUM</t>
  </si>
  <si>
    <t>MG-PLM20-085 - TO SUPPLY DIESEL &amp; 1 OTHER ITEM</t>
  </si>
  <si>
    <t>RFQ - Assorted Information Technology Equipment &amp; Supplies for use in the Consolidation of Information Technology Equipment &amp; Supplies of DPWH-BCDEO</t>
  </si>
  <si>
    <t>Covid Protection Supplies</t>
  </si>
  <si>
    <t>ITB NO. 2020-0014N Supply, Delivery, Testing, Integration, Training and  Commissioning of News Production Editing System with  Complete Accessories for the Mindanao Media Hub of the People’s Televisio</t>
  </si>
  <si>
    <t>Supply &amp; Delivery of Laboratory Supplies ABC: 327,000.00</t>
  </si>
  <si>
    <t>HARDWARE MATERIALS FOR THE CONSTRUCTION OF LOW COST HOUSING PHASE II -GAWAD KALINGA AND PURCHASE OF EXPANDED NBS TESTING KITS</t>
  </si>
  <si>
    <t>MG-PLM20-096 - VACUUM INDUSTRIAL, 230 VOLTS POWER SUPPLY, WET &amp; SUPPLY</t>
  </si>
  <si>
    <t>Procurement of Diesel Fuel for TSP-SPM Rainera M. Nazareno service vehicle.</t>
  </si>
  <si>
    <t>MGB XI - PROVISION OF ROOFING CANOPY AND REPAIR OF OFFICE AMENITIES</t>
  </si>
  <si>
    <t>Supply of 12 pieces Pressure Gauge 2-1/2" dial</t>
  </si>
  <si>
    <t>Purchase of Various Office Supplies (DepEd-Elem)</t>
  </si>
  <si>
    <t>CO - Breeding Stocks</t>
  </si>
  <si>
    <t>Construction/ Concreting of Provincial Roads, Highways and Bridges (Panhutungan Feeder Road Slope Protection)</t>
  </si>
  <si>
    <t>Construction of Canal Lining at Marsellia St. Silangan I, Rosario, Cavite</t>
  </si>
  <si>
    <t>CONST. OF TIAONG MUN. HOSPITAL (HOSPITAL LIFT ELEVATOR/RESTRUCTURING/ROOFING)-MUNICIPAL GROUND, BRGY.POB.3</t>
  </si>
  <si>
    <t>PURCHASE OF AIR CONDITION FOR REGIONAL OFFICE USE</t>
  </si>
  <si>
    <t>Supply and Delivery of IEC  Printing Materials Trifold (A4-size) of Rice Program for ATI-RTC XII.</t>
  </si>
  <si>
    <t>Hiring of Consultancy services for the Development of Product Labelling Designs for 24 Start-up Food Processors of Ilocos Sur ( 24 product @ three design concepts )</t>
  </si>
  <si>
    <t>INVITATION TO BID ON DRILLING ONE (1) EXPLORATION/PRODUCTION WELL</t>
  </si>
  <si>
    <t>Cont. Ref. No. 061-20: Improvement and Rehabilitation of Waterworks System at Pacalso Elementary School, AMPMNHS and itogon Training Center (ITC), Bua at Tuding, Itogon, Benguet</t>
  </si>
  <si>
    <t>CONCRETING OF ROAD/ CONCRETING OF MPP</t>
  </si>
  <si>
    <t>INSTALLATION OF SOLAR STREETLIGHTS AT BARANGAY POBLACION, ROSARIO, CAVITE</t>
  </si>
  <si>
    <t>Request for Quotation (FPMD-2020-06-0289 Water Dispenser)</t>
  </si>
  <si>
    <t>Various Hardware, Electrical &amp; Industrial Supplies</t>
  </si>
  <si>
    <t>Supply of three (3) units Tool Box</t>
  </si>
  <si>
    <t>IMPROVEMENT OF PUROK HOUSES</t>
  </si>
  <si>
    <t>Procurement of One (1) unit Motorcycle for Provincial Governors Office Sport Activities.</t>
  </si>
  <si>
    <t>Improvements/Rehab of Water System</t>
  </si>
  <si>
    <t>INVITATION TO BID FOR THE PROCUREMENT OF MATERIALS FOR REPAIR AND MAINTENANCE OF SCHOOL BUILDINGS</t>
  </si>
  <si>
    <t>COMPUTER PRINTERS FOR IMS</t>
  </si>
  <si>
    <t>Supply and Delivery of Spareparts for Various Heavy Equipment Machineries</t>
  </si>
  <si>
    <t>CONSTRUCTION OF CANAL LINING WITH COVER AND PATHWAYS AT BLOCK 6,BRGY.WAWA II,ROSARIO,CAVITE</t>
  </si>
  <si>
    <t>Supply and Delivery of Printing Supplies for different departments (Non-PS) (PR No. 2020-06-0560)</t>
  </si>
  <si>
    <t>Procurement of IT Equipment (Laptop)</t>
  </si>
  <si>
    <t>Supply, Delivery and Installation of CCTV Based Video Surveillance System at Municipal Annex Building at Poblacion, Dauis, Bohol.</t>
  </si>
  <si>
    <t>SUPPLY AND DELIVERY OF ONE (1) UNIT RING NET (2nd Publication</t>
  </si>
  <si>
    <t>Procurement of Diesel Fuel for Provincial General Services Office service vehicle.</t>
  </si>
  <si>
    <t>Supply &amp; Delivery of  Various Laboratory Supplies ABC:230,100.00</t>
  </si>
  <si>
    <t>Purchasing of ICT Supplies and Accessories for the support in teleconferencing in office and work from home employees</t>
  </si>
  <si>
    <t>INVITATION TO BID FOR SUPPLY AND DELIVERY OF MATERIALS FOR THE Improvement of Water System at Barangay Tagpopongan, Babak District, IGaCoS under PR No. 004</t>
  </si>
  <si>
    <t>JHS  Instructional Materials BONDPAPER TO BALLPEN</t>
  </si>
  <si>
    <t>repair of economic enterprise office/meo</t>
  </si>
  <si>
    <t>Bid No. 20-0278 - PROCUREMENT OF OFFICE SUPPLIES - MAGSO</t>
  </si>
  <si>
    <t>RENOVATION OF STORAGE AND DISTRIBUTION DEPARTMENT (RE-BID) (BAC-IB NO. 2020-31)</t>
  </si>
  <si>
    <t>LBRDC Most Commonly Used Materials (Supply of Electrical Materials)</t>
  </si>
  <si>
    <t>LABORATORY SUPPLIES AND EQUIPMENT</t>
  </si>
  <si>
    <t>Supply &amp; Delivery of Fertilizers and Seeds to be distributed to Corn and Rice Farmers</t>
  </si>
  <si>
    <t>consultancy services</t>
  </si>
  <si>
    <t>Repair and Improvement of Electrical System at Masunurin Building 1 &amp; 2</t>
  </si>
  <si>
    <t>REPAIR OF FARMERS TRAINING CENTER - CACANDONGAN, SAN JUAN, ILOCOS SUR</t>
  </si>
  <si>
    <t>Supply &amp; Delivery of Seeds to be distributed to Vegetable Farmers Association</t>
  </si>
  <si>
    <t>PURCHASE OF INFORMATION TECHNOLOGY FOR PEACE AND ORDER</t>
  </si>
  <si>
    <t>Procurement of Construction Materials &amp; Supplies for Line Canal at Barangay Luzon, Claveria, Cagayan Valley</t>
  </si>
  <si>
    <t>Procurement of Construction Materials &amp; Spplies of Slope Protection of Barangay Luzon, Claveria, Cagayan Valley</t>
  </si>
  <si>
    <t>CONSTRUCTION MATERIALS FOR INSTALLATION OF HAND WASH STAND</t>
  </si>
  <si>
    <t>Supply and Delivery of One (1) lot Sealed Lead Acid Battery</t>
  </si>
  <si>
    <t>REGRAVELLING OF BARANGAY ROAD- Brgy. Behia</t>
  </si>
  <si>
    <t>General Cleaning of Airconditioning Units</t>
  </si>
  <si>
    <t>Supply &amp; Delivery of Airconditioning Unit</t>
  </si>
  <si>
    <t>20KB0165   Road Widening along Sayre Highway (Jct. Bukidnon – Davao City Rd – Cotabato Bdry) – K1586+100 – K1586+515  :	Spring, Kibawe, Bukidnon</t>
  </si>
  <si>
    <t>Rehabilitation of Barangay Outpost and extension of VAWC Desk</t>
  </si>
  <si>
    <t>Procurement of traffic violation receipts (triplicate)</t>
  </si>
  <si>
    <t>MEDICAL SUPPLIES AND LABORATORY INSTRUMENTS</t>
  </si>
  <si>
    <t>Procurement of Medical Equipment</t>
  </si>
  <si>
    <t>Riprap Protection at Parang High School, Barangay Parang, Bagac, Bataan</t>
  </si>
  <si>
    <t>PROCUREMENT OF THREE (3) UNITS BRAND NEW MOTORCYCLE</t>
  </si>
  <si>
    <t>Supply and Delivery of Chicken (Rhode Island Red  3 months old) for ATI-Learning Sites in Datu Abdullah Sangki and Sultan sa Barongis, Maguindanao for ATI-RTC XII.</t>
  </si>
  <si>
    <t>Bid No. 20-0279 - PROCUREMENT OF OFFICE SUPPLIES - MAGRO/RIC</t>
  </si>
  <si>
    <t>PR 2020-03-038 Supply and Delivery of Materials for the use of Activity 303 (Guardrails Maintenance) along Daang Maharlika Road, Nabunturan – Maragusan Road and Nabunturan – Mainit Park road Daang Mah</t>
  </si>
  <si>
    <t>SUPPLY,DELIVERY AND INSTALLATION OF 24 UNITS STEEL RACK</t>
  </si>
  <si>
    <t>Purchase of several items for the repair of the NRO2 Pamegafanan Hall damaged tiles and door</t>
  </si>
  <si>
    <t>PR 2020-03-044 Leasing of One (1) Unit Service Vehicle Chargeable to Preliminary and Detailed Engineering (PDE)/ Validation and Reconnaissance Survey of Project: *4 project under FY 2021 Regular Infra</t>
  </si>
  <si>
    <t>PR 2020-03-043 Leasing of One (1) Unit Service Vehicle Chargeable to Preliminary and Detailed Engineering (PDE)/ Rocond Survey: *Daang Maharlika (Soo126MN) 69.494.km Davao De Oro</t>
  </si>
  <si>
    <t>Supply and Delivery of IT Equipment for Advance Research and Environmental Monitoring Laboratory of SDSSU Cantilan Campus</t>
  </si>
  <si>
    <t>PROCUREMENT OF CONSTRUCTION MATERIALS FOR BACK STREET DRAINAGE CANAL, POBLACION, MANKAYAN, BENGUET</t>
  </si>
  <si>
    <t>SGOD Supplies 2020</t>
  </si>
  <si>
    <t>20PI0096 - Maint, Repair and Rehab of Infrastructure Facilities and Other Related Activities 2. Calacaban Bridge Abutment Support, Sta. 0+000 - Sta. 0+150 (I.S.), Tadian, Mt. Province</t>
  </si>
  <si>
    <t>CO - Vehicles (Motor)</t>
  </si>
  <si>
    <t>PROCUREMENT OF APPLIANCES FOR EMERGENCY OPERATIONS CENTER</t>
  </si>
  <si>
    <t>PR 2020-03-042 Leasing of One (1) Unit Service Vehicle Chargeable to Preliminary and Detailed Engineering (PDE)/ use for Survey Works *3 Projects under FY 2021 Convergence (DOT) 1.) Magnaga Road Circu</t>
  </si>
  <si>
    <t>PRODUCTION OF DLP'S FOR THE NEW NORMAL</t>
  </si>
  <si>
    <t>REHABILITATION OF SLAUGHTER HOUSE</t>
  </si>
  <si>
    <t>Procurement of canned corned beef for augmentation support to LGUs to respond to the impact of COVID-19</t>
  </si>
  <si>
    <t>CONSTRUCTION OF FRUIT STAND</t>
  </si>
  <si>
    <t>Purchase of Medicines</t>
  </si>
  <si>
    <t>Supply &amp; Delivery of Various Laboratory Chemicals ABC:92,090.00</t>
  </si>
  <si>
    <t>PURCHASE OF WASH SUPPLIES</t>
  </si>
  <si>
    <t>CONSTRUCTION OF BAHAY SILANGAN</t>
  </si>
  <si>
    <t>Bid No. 20-0280 - PROCUREMENT OF OFFICE SUPPLIES - MAGRO/MCDC</t>
  </si>
  <si>
    <t>CO - Technical and Scientific Equipment</t>
  </si>
  <si>
    <t>Purchasing of Printing and scanning equipment for the regional office and PSTCs MITHI 2020</t>
  </si>
  <si>
    <t>Procurement of canned sardines for augmentation support to LGUs to respond to the impact of COVID-19</t>
  </si>
  <si>
    <t>CONSTRUCTION MATERIALS AND SUPPLIES FOR LOWER PROPER COLALO GRAVELING, COLALO, MANKAYAN, BENGUET</t>
  </si>
  <si>
    <t>PROCUREMENT OF FACEMASK FOR SENIOR CITIZEN FOR THE MENACE OF N-COVID 19</t>
  </si>
  <si>
    <t>20KB0166   Road Widening along Sayre Highway (Jct. Bukidnon – Davao City Rd – Cotabato Bdry) – K1586+515 – k1588+100  :	Spring, Kibawe, Bukidnon</t>
  </si>
  <si>
    <t>SHALLOW  WELL</t>
  </si>
  <si>
    <t>Furnishing/Delivery of Labor, Materials and Equipment</t>
  </si>
  <si>
    <t>Purchase of Assorted Agricultural Seeds</t>
  </si>
  <si>
    <t>RFQ No. 2006-321 Proc. of Goods (Office Supplies)</t>
  </si>
  <si>
    <t>Supplies and Delivery of General Merchandise MOOE, BDRRMF (Office Supplies, Drugs and Medicince, Peace and Order, Electrical supplies, R-M CCTV CAMERA, Other property, Plant and Equipment, Refill Fire</t>
  </si>
  <si>
    <t>RFQ - Second (2nd) Appraiser for Properties located in Sta Rosa, Laguna</t>
  </si>
  <si>
    <t>Procurement of e-Scan Corporate Edition (with Hybrid Network Support) 2 years license</t>
  </si>
  <si>
    <t>PROCUREMENT OF COMPUTER CPU</t>
  </si>
  <si>
    <t>Supply &amp; Delivery  of Proficiency Testing &amp; Certified Reference Materials ABC:77,000.00</t>
  </si>
  <si>
    <t>Supplies and Delivery of General Merchandise BDF, Capital Outlay and BDRRMF (Other property, Plant and Equipment), Clean and Green and IT equipments</t>
  </si>
  <si>
    <t>PURCHASE OF VARIOUS MEDICINES</t>
  </si>
  <si>
    <t>Provision of Catering Services to be served during the CY 2020 Partnerships and Accreditation Division (PAD) Mid-year Review, Planning Workshop and Budget Execution</t>
  </si>
  <si>
    <t>Electrical Systems and Lighting Components</t>
  </si>
  <si>
    <t>Supply &amp; Delivery  of Various Supplies ABC:51,000.00</t>
  </si>
  <si>
    <t>Procurement of Statistical Analysis System (SAS) License</t>
  </si>
  <si>
    <t>Procurement of RF Explorer Combo Spectrum Analyzer for Electronics Engineering Laboratory</t>
  </si>
  <si>
    <t>Supply and Delivery of Assistant Director's supplies</t>
  </si>
  <si>
    <t>Supply &amp; Delivery of Microtubes ABC:73,400.00</t>
  </si>
  <si>
    <t>General cleaning of Indoor and Outdoor ACUs</t>
  </si>
  <si>
    <t>Programmable Function Generator for Electronics Engineering Laboratory</t>
  </si>
  <si>
    <t>CONDUCT OF ALTERNATIVE LIVELIHOOD TRAINING</t>
  </si>
  <si>
    <t>Purchase of Drugs and Medicines</t>
  </si>
  <si>
    <t>Construction of Concrete Footbridge</t>
  </si>
  <si>
    <t>Supply &amp; Delivery of Steel Cabinet ABC:60,000.00</t>
  </si>
  <si>
    <t>Supply &amp; Delivery of  other Supplies ABC:92,858.00</t>
  </si>
  <si>
    <t>ESTABLISHMENT OF WEAVING FACILITY</t>
  </si>
  <si>
    <t>SUPPLY AND DELIVERY OF LABORATORY SUPPLIES (MICROPIPETTOR)</t>
  </si>
  <si>
    <t>POROPOSED CONSTRUCTION OF CANAL AT BRGY II-B, SAN PABLO CITY</t>
  </si>
  <si>
    <t>Supply &amp;  Delivery of Various Rice Seeds ABC:403,200.00</t>
  </si>
  <si>
    <t>SUBM#2020 -06 - 15 - To purchase fuel for use of H1-7456, H1-7483, 6FA-213, JDJ-706, SDK-391, SDK-421, SDK-487, SKS-150, H3-6643, Road Grader NI-1517 and Road Grader NI-1960,  Asphalt Kettle,  Road Ro</t>
  </si>
  <si>
    <t>Request for Quotation - Face Mask</t>
  </si>
  <si>
    <t>Certification Audit for ISO 9001:2015 (Quality Management System)</t>
  </si>
  <si>
    <t>CONSTRUCITON MATERIALS FOR THE  REHAB AND CONSTRUCTION OF AMBABAG WWS AT GUINAONANG, MANKAYAN, BENGUET</t>
  </si>
  <si>
    <t>Cluster XXXX</t>
  </si>
  <si>
    <t>PR 2020-03-048 Supply and Delivery of Materials for Activity 71X – Special Maintenance of Reflective Thermoplastic Stripping Materials (Solid Form) along Asuncion – San Isidro – Laak – Veruela Road K1</t>
  </si>
  <si>
    <t>Supply and delivery of printers for official use of ATI Directorate and AFU-OD Offices</t>
  </si>
  <si>
    <t>PR 2020-03-045 Leasing of One (1) Unit Service Vehicle Chargeable to Preliminary and Detailed Engineering (PDE)/ Use For Parcellary Survey - *Projects under FY 2021 Regular Infra/ DND Projects FY 2021</t>
  </si>
  <si>
    <t>Rehabilitation/Improvement of Brgy. Bagacay-Concord Road</t>
  </si>
  <si>
    <t>2020-MS-101 Compressed Air (Rebid)</t>
  </si>
  <si>
    <t>Procurement of Materials to be used for the 13rh World Skills ASEAN Competition 2020, Singapore</t>
  </si>
  <si>
    <t>CONDUCT OF SUBDIVISION SURVEY FOR NEW LANDS/COLLECTIVE CLOA UNDER RSS 44,45,46&amp; 47 (2nd posting)</t>
  </si>
  <si>
    <t>Supply and delivery of training tables and chairs for Training Hall 3, Left Wing</t>
  </si>
  <si>
    <t>Procurement of Variable Power Supply for Electronics Engineering Laboratory Use</t>
  </si>
  <si>
    <t>PR 2020-03-052 Supply and Delivery of Materials for Activity 71x – Special Maintenance of Reflective Thermoplastic Stripping Materials (Solid Form) along Montevista – DNAS Road 1413±602 – K1432+966 w/</t>
  </si>
  <si>
    <t>Request for Quotation (Air Freshener, Etc.)</t>
  </si>
  <si>
    <t>Construction of PCO/VIP Lounge at SAF Museum, HSAF, Camp Bagong Diwa, Bicutan, Taguig City</t>
  </si>
  <si>
    <t>Drugs and Medicines</t>
  </si>
  <si>
    <t>Procurement of Analogue Electronics System Lab Kit for Electronics Engineering Laboratory</t>
  </si>
  <si>
    <t>PR 2020-03-053 Supply and Delivery of Materials for the use of Activity 302 (Centerline and Lane Line Repainting) for Road Pavement Markings Maintenance along Daang Maharlika Road. (K1377+(-)201 – K14</t>
  </si>
  <si>
    <t>Furnishing and Delivery of Various Construction Materials for use in the Routine/ Maintenance Activities along Calapan South Road, CSR Jct. Pola Road &amp; CSR Jct. Minas Road, Calapan North Road and Repa</t>
  </si>
  <si>
    <t>ANNUAL SUBSCRIPTION OF SOPHOS (rfq#2020-02-1,312)-(pgo-pictd)</t>
  </si>
  <si>
    <t>Procurement of One (1) unit Aircon  for Provincial Treasurer's Office.</t>
  </si>
  <si>
    <t>Supply and Delivery of Various I.T. Equipment for UTDC</t>
  </si>
  <si>
    <t>PR 2020-04-059 Supply and Delivery of Furnitures and Fixtures for use in the Planning and Design Section (EAO) DEO, Nabunturan, Davao De Oro</t>
  </si>
  <si>
    <t>Supply and Delivery of Various I.T. and Office Equipment for IMEAS</t>
  </si>
  <si>
    <t>Rehabilitation/Improvement of Brgy. Malino, Jiabong, Samar</t>
  </si>
  <si>
    <t>PR-OE-2020-06-09/Surveillance Equipment</t>
  </si>
  <si>
    <t>SUPPLY AND DELIVERY OF MEALS AND SNACKS (rfq#2020-03-1,611)-(provl agriculture office)</t>
  </si>
  <si>
    <t>PROCUREMENT OF GENUINE HP TONER CARTRIDGES (For Existing units of HP Printers) (ITB # M20-06-01)</t>
  </si>
  <si>
    <t>Supply and Delivery of One (1) Unit Brand New 4x4 Pickup Vehicle</t>
  </si>
  <si>
    <t>IMPROVEMENT / BEAUTIFICATION PHASE II OF SCHOOL STAGE</t>
  </si>
  <si>
    <t>PERSONAL PROTECTIVE EQUIPMENT</t>
  </si>
  <si>
    <t>Hiring of Individual Consultant for the Development of Demographic Dividend Estimate</t>
  </si>
  <si>
    <t>PR 2020-04-060 Supply and Delivery of Inventory / Common Electrical Equipment for use in the Planning and Design Section DEO, Nabunturan, Davao De Oro</t>
  </si>
  <si>
    <t>SPORTING GOODS</t>
  </si>
  <si>
    <t>Cluster XXXXI</t>
  </si>
  <si>
    <t>RFQ - 1pc. Engine Harness,8982605350 (Lot 1), 1 job Re-Harness (all engine wiring) for use for AAU-5242/6480 Isuzu Pick-up Dmax (Maintenance Section)</t>
  </si>
  <si>
    <t>CONSTRUCTION OF OUTDOOR WAITING AREA</t>
  </si>
  <si>
    <t>Cluster XXXXII</t>
  </si>
  <si>
    <t>PR 2020-05-068 Supply and Delivery of Inventory Office Equipment and Accessories for use in the Office of the District Engineer Planning and Design Section DEO, Nabunturan, Davao De Oro</t>
  </si>
  <si>
    <t>Supply and Delivery of Drying Oven for Advanced Research and Environmental Monitoring Laboratory of SDSSU Cantilan Campus</t>
  </si>
  <si>
    <t>RFQ-NP-SVP-243-2020- Procurement of ICT Supplies for Balubal Campus.</t>
  </si>
  <si>
    <t>PR 2020-04-064 Supply and Delivery of Materials for the use in 71x – (Special Maintenance – Kilometer Post) along Surigao – Davao Coastal Rd, Asuncion – San Isidro – Laak – Veruela RD, Benigno S. Aqui</t>
  </si>
  <si>
    <t>Continuation of CIT Building (Remaining Portion)</t>
  </si>
  <si>
    <t>PR 2020-05-069 Supply and Delivery of Consumables for use in the Planning and Design Section (PDE) DEO, Nabunturan, Davao De Oro</t>
  </si>
  <si>
    <t>REHABILITATION OF BARANGAY ROADS PUROK 1-12</t>
  </si>
  <si>
    <t>Procurement of Security Services</t>
  </si>
  <si>
    <t>SUPPLY AND DELIVERY OF OUTDOOR SUPPLIES (rfq#2020-05-2,530)-(pgo-inremp-ptas)</t>
  </si>
  <si>
    <t>SUPPLY AND DELIVERY OF OFFICE EQUIPMENT (rfq#2020-05-2,499)-(pswdo)</t>
  </si>
  <si>
    <t>Procurement of IT Equipment</t>
  </si>
  <si>
    <t>PROCUREMENT OF ONE (1) UNIT LIFTING PLATFORM FOR MAINTENANCE OF SPORTS COMPLEX AND OTHER SCHOOL FACILITIES</t>
  </si>
  <si>
    <t>Procurement of Labor, Materials and Spare Parts for the Repair of Various Office Air Conditions</t>
  </si>
  <si>
    <t>procurement of 1 unit telescope for Barangay Semirara, Caluya, Antique</t>
  </si>
  <si>
    <t>Supply and Delivery of Materials for the Repair and Improvement of Warehouse no. 3</t>
  </si>
  <si>
    <t>Cluster XXXXIII</t>
  </si>
  <si>
    <t>REPAIR AND MAINTENANCE OF TRANSPORTATION EQUIPMENT</t>
  </si>
  <si>
    <t>Supply &amp; Delivery of Gasoline Rice Paddy Field Weeder ABC:62,500.00</t>
  </si>
  <si>
    <t>PROCUREMENT OF  INK FOR DESKTOP  COMPUTER FOR LGU OFFICES</t>
  </si>
  <si>
    <t>RFQ-NP-SVP-242-2020- Procurement of   Furnitures and Fixtures for Balubal Campus.</t>
  </si>
  <si>
    <t>Development of Cold Spring Resort</t>
  </si>
  <si>
    <t>Procurement of 1 Unit of Hammer Mill/Bottle Crusher/Pulverizer for the Implementation of Solid Waste Management Program</t>
  </si>
  <si>
    <t>Infrastructure Project: Renovation of stage ceiling , barangay Semirara, Caluya, Antique</t>
  </si>
  <si>
    <t>PR 2020-05-084 Supply and Delivery of Electrical &amp; Plumbing Supplies, for use in the Office of the District Engineer Nabunturan, Davao De Oro (for the 3rd quarter of 2020)</t>
  </si>
  <si>
    <t>PR 2020-05-083 Supply and Delivery of Materials for the use in Sanitation and Gantry Facility Davao De Oro</t>
  </si>
  <si>
    <t>PROCUREMENT OF ONE (1) BRAND NEW VACUUM EXCAVATION TRUCK</t>
  </si>
  <si>
    <t>Supply/Delivery of  Rice for Provision of Support to Auxilliary Army Group  (PR# 20-06-0604)</t>
  </si>
  <si>
    <t>Purchase &amp; Delivery of Office Supplies &amp; Consumables for the Office of SPM Ronnie R. Rapanut</t>
  </si>
  <si>
    <t>Supply Delivery and Installation of One (1) Lot Air Quality Monitoring System and COMS</t>
  </si>
  <si>
    <t xml:space="preserve">PR 2020-05-078 Supply and Delivery of Consolidated Fuel (Gasoline) for use in Activity 509 (Foreman Supervision): A.) along DNAS Road and Montevista – Compostela – New Bataan – Maragusan – Mati Bdry. </t>
  </si>
  <si>
    <t>Repair and Rehabilitation of Tarangnan Community Hospital</t>
  </si>
  <si>
    <t>RFQ-NP-SVP-244-2020- Procurement of   Other Supplies and Materials for Balubal Campus.</t>
  </si>
  <si>
    <t>Purchase &amp; Delivery of Janitorial &amp; Other Supplies for the Office of SPM Janina Joyce Tabios</t>
  </si>
  <si>
    <t>PR 2020-05-081 Supply and Delivery of Printer Consumables and I.T. Supplies/ Equipments, for use in the Office of the Construction Section DEO, Nabunturan, Davao De Oro</t>
  </si>
  <si>
    <t>20FK0054-Network Development-Const. of By-Pass and Diversion Roads-Barcelona-Casiguran Diversion Road, Casiguran Section, (Package 2) Casiguran, Sorsogon</t>
  </si>
  <si>
    <t>Supply &amp; Delivery of  Office Equipment ABC:76,000.00</t>
  </si>
  <si>
    <t>Procurement of Vehicle Parts and Repair ( services &amp; parts)</t>
  </si>
  <si>
    <t>CONCRETING OF JOSE SAGUIN AND FLORENTINO SAGUIN STREETS AT POBLACION SOUTH, PIÑAN, Z.N.</t>
  </si>
  <si>
    <t>Supply &amp; Delivery of  Purified Drinking Water ABC:84,000.00</t>
  </si>
  <si>
    <t>RFQ-NP-SVP-1re-135-2020-Procurement of ICT Equipment and Office Equipment</t>
  </si>
  <si>
    <t>PURCHASE OF OFFICE EQUIPMENT FOR BAC OFFICE USE</t>
  </si>
  <si>
    <t>Completion of Livelihood Center</t>
  </si>
  <si>
    <t>PURCHASE OF DISASTER RESPONSE/RESCUE VEHICLE</t>
  </si>
  <si>
    <t>Procurement of Hand Sprayer use for Barangay and Municipal Facilities to Stop the Spread of COVID'19</t>
  </si>
  <si>
    <t>Rehab of Stage (Purok Malinawon) at Barangay Esperanza, Santo Tomas, Davao del Norte</t>
  </si>
  <si>
    <t>RFQ-NP-SVP-re135-2020-Procurement of ICT Equipment and Office Equipment</t>
  </si>
  <si>
    <t>PR 2020-05-093 Supply and Delivery of Office Supplies, for use in the ISO Requirements DEO, Nabunturan, Davao De Oro</t>
  </si>
  <si>
    <t>PR 2020-05-090 Supply and Delivery of Materials for the use in Isolation Tent (Quarantine Tent) DEO, Nabunturan, Davao De Oro</t>
  </si>
  <si>
    <t>Supply &amp; Delivery of  Agri marine and Supplies ABC:95,200.00</t>
  </si>
  <si>
    <t>MATLS FOR THE INSTALLATION OF DIVIDER FOR QUARANTINE FACILITY (9 ROOMS) AT MALUID</t>
  </si>
  <si>
    <t>Purchase &amp; Delivery of Office Supplies &amp; Consumables  for the Office of SPM Mildred Elaydo</t>
  </si>
  <si>
    <t>CHEMICALS AND CHEMICAL PRODUCTS</t>
  </si>
  <si>
    <t>RFQ - Assorted Office Supplies (Lot 1), Assorted Janitorial Supplies (Lot 2) for use of Office Maintenance of Lower Agusan Development Project (LADP)</t>
  </si>
  <si>
    <t>PR 2020-05-092 Supply and Delivery of Printer Consumables, for use in the Office of the Maintenance Section DEO, Nabunturan, Davao De Oro</t>
  </si>
  <si>
    <t>PR 2020-05-094 Supply and Delivery of Materials for the use in Activity 303 (Guardrails Maintenance) along Benigno S. Aquino Jr. National Highway, Asuncion – San Isidro – Laak – Veruela Road and Monte</t>
  </si>
  <si>
    <t>EMBANKMENT/EARTFILLING OF SITE FOR NATIONAL LINE AGENCY BUILDING</t>
  </si>
  <si>
    <t>COUNTERPART FOR THE CONSTRUCTION OF BASILISA TOURISM INN</t>
  </si>
  <si>
    <t>Female Native Carabao</t>
  </si>
  <si>
    <t>Procurement of Surveying services</t>
  </si>
  <si>
    <t>Supply and Delivery of IT Equipment for the BS in Criminology Computer Laboratory of SDSSU Cantilan Campus</t>
  </si>
  <si>
    <t>PR 2020-06-097 Supply and Delivery of Fuel, Additives, Lubricants &amp; Anti-corrosive for the use in Construction Section DEO, Nabunturan, Davao De Oro in the Implementation of Projects</t>
  </si>
  <si>
    <t>Procurement of Office Supplies (1st and 2nd Quarter of 2020)</t>
  </si>
  <si>
    <t>Infrastructure Project: Renovation of Treasurer's Office ceiling, Barangay Semirara, Caluya, Antique</t>
  </si>
  <si>
    <t>Procurement of Tote Bag: To be distributed as part of Mental Health and Psychosocial Support (MHPSS) kits</t>
  </si>
  <si>
    <t>Stock Room, Concoction Center, Vermi Compositing and Plant Nursery</t>
  </si>
  <si>
    <t>PR 2020-05-095 Supply and Delivery of Materials for the use in Activity 303 (Guardrails Maintenance) along Benigno S. Aquino Jr. National Highway, Asuncion – San Isidro – Laak – Veruela Road and Monte</t>
  </si>
  <si>
    <t>INVITATION TO APPLY FOR ELIGIBILITY AND TO BID FOR THE SCIENCE RESEARCH FACILITY UNDER DESIGN AND BUILD SCHEME (REBIDDING)</t>
  </si>
  <si>
    <t>Re- Bidding for Supply, Delivery, Installation and Commissioning of Various Medical Equipment - II</t>
  </si>
  <si>
    <t>Procurement of Motorcycle of PENRO Albay &amp; CENRO Guinobatan</t>
  </si>
  <si>
    <t>Bidding for Supply, Delivery, Installation and Commissioning of Various Medical Equipment - III</t>
  </si>
  <si>
    <t>Supply &amp; Delivery of other Supplies ABC:102,500.00</t>
  </si>
  <si>
    <t>Adolescent Health and Development (AHD) Film Festival Virtual Awarding</t>
  </si>
  <si>
    <t>Construction of Vermi Culture Facility and Wood Vinegar Facility</t>
  </si>
  <si>
    <t>Supply &amp; Delivery of ICT Equipment (Line 1 -2) ABC:489,000.00</t>
  </si>
  <si>
    <t>REPAIR &amp; MAINTENACE ICT EQUIP (CEISS-PH59,495.01)</t>
  </si>
  <si>
    <t>Supply &amp; Delivery of  Materials for (repair &amp; maintenance of farm Machineries) ABC:105,900.00</t>
  </si>
  <si>
    <t>Re-Bidding for Lot Bid Supply, Delivery, Installation and Commissioning for Central Monitor (2 units)  with Cardiac Monitor (16 units)</t>
  </si>
  <si>
    <t>20FK0055-Network Development-Const. of By-Pass and Diversion Roads-Barcelona-Casiguran Diversion Road, Casiguran Section, (Package 2-B) Casiguran, Sorsogon</t>
  </si>
  <si>
    <t>PROCUREMENT OF ONE (1) UNIT BRAND NEW 6-WHEELER WATER TRUCK</t>
  </si>
  <si>
    <t>Construction  of (Phase 1 of) 2 Storey Multi-purpose Building and Construction of Slope Protection</t>
  </si>
  <si>
    <t>Use for Division Personnel IT equipments, webinars and video conferencing</t>
  </si>
  <si>
    <t>Supply, Delivery, and Installation of Enterprise Database Management Software for Linux Platform</t>
  </si>
  <si>
    <t>CONSTRUCTION, SUPPLY &amp; INSTALLATION OF TWO (2) ATM SUNSHADE</t>
  </si>
  <si>
    <t>CDRRMO- MEALS FOR ACTIVATION OF INCIDENT MANAGEMENT TEAM (SAN AGUSTIN FESTIVITY 2020)</t>
  </si>
  <si>
    <t>Supply and Delivery of Plastic Pallets</t>
  </si>
  <si>
    <t>Repair/Improvement of Office</t>
  </si>
  <si>
    <t>Rice Subsidy</t>
  </si>
  <si>
    <t>Procurement of Construction materials and supplies</t>
  </si>
  <si>
    <t>Procurement of Vehicle parts and accessories</t>
  </si>
  <si>
    <t>Supply &amp; Delivery of Steel Cabinet ABC:64,000.00</t>
  </si>
  <si>
    <t>Supply &amp; Delivery of Agricultural Supplies ABC:327,500.00</t>
  </si>
  <si>
    <t>PR-OE-2020-06-08/Tobtobob PIS &amp; Alfonso Lista, Ifugao PUMPSET</t>
  </si>
  <si>
    <t>Regular Bidding 23/June/2020 - Procurement of Goods: Machinery &amp; Heavy Equipment's Spareparts for the use of CEO-Motorpool Repair &amp; Maintenance (PR#100-20-06-0087)</t>
  </si>
  <si>
    <t>CONSTRUCTION / IMPROVEMENT OF GOVERNMENT BUILDINGS: Repair/Rehab &amp; Improvement of Government Building</t>
  </si>
  <si>
    <t>Supply and Delivery of Furniture for Gymnasium Male and Female CR of SDSSU Cantilan</t>
  </si>
  <si>
    <t>Supply &amp; Delivery of  Rotary Weeder ABC:70,000.00</t>
  </si>
  <si>
    <t>Lease Contract for 32 units of Digital Copier Machines for SEC Head Office and Extension Offices for a period of one (1) year.</t>
  </si>
  <si>
    <t>Supply &amp; Delivery of other Supplies ABC:240,000.00</t>
  </si>
  <si>
    <t>Supply / Delivery of Vehicle Parts &amp; Accessories</t>
  </si>
  <si>
    <t>PROCUREMENT OF MEDICINES AND SUPPLIES</t>
  </si>
  <si>
    <t>Procurement of Supply &amp; Delivery of Farm Inputs (Typhoon Ursula)</t>
  </si>
  <si>
    <t>FURNISHING &amp; DELIVERY OF VARIOUS  MATERIALS FOR CONCRETING OF BARANGAY ROAD AT MINANGA, CAMALANIUGAN, CAGAYAN - 1ST POSTING</t>
  </si>
  <si>
    <t>Supply and Delivery of BFAR Computer Hardware for the Office Productivity Project</t>
  </si>
  <si>
    <t>BPSU Abucay Campus: Supply, Delivery and Installation of Laboratory Equipment for the Rehabilitation of BSA/BTVTE Building at BPSU Abucay Campus</t>
  </si>
  <si>
    <t>Supply / Delivery of 700 liters Diesel</t>
  </si>
  <si>
    <t>Supply and Delivery of Branded Brand New SLR/DSL Camera</t>
  </si>
  <si>
    <t>PR 2020-03-049 Supply and Delivery of Materials for the use in 71X – (Special Maintenance – Kilometer Post) along Daang Maharlika Road, Surigao – Davao Coastal Road, Nabunturan – Mainit Park Road, and</t>
  </si>
  <si>
    <t>CGSO- OFFICE SUPPLIES (BULK ORDER) 2ND QUARTER (2ND BATCH)</t>
  </si>
  <si>
    <t>Regular Bidding 23/June/2020 - Procurement of Goods: Machinery &amp; Heavy Equipment's Spareparts for the use of CEO-Motorpool Repair &amp; Maintenance (PR#100-20-06-0086)</t>
  </si>
  <si>
    <t>Supply &amp; Delivery of Construction Materials (Const. Multi-Purposed Building)</t>
  </si>
  <si>
    <t>Procurement of Battery, Dry Cell, AAA</t>
  </si>
  <si>
    <t>Capital Outlay</t>
  </si>
  <si>
    <t>Purchase of Office Supplies for Various Offices</t>
  </si>
  <si>
    <t>CMO- MATERIALS FOR CITY GYMNASIUM WATERPROOFING AT POBLACION, VALENCIA CITY, BUKIDNON</t>
  </si>
  <si>
    <t>Supply / Delivery of 22 pcs. Cell Cards (300’s) &amp; 10 pcs. Cell Cards (100’s)</t>
  </si>
  <si>
    <t>Provision of Vehicle Rentals	ABC:153,000.00</t>
  </si>
  <si>
    <t>Procurement of Vehicle Repair and Maintenance</t>
  </si>
  <si>
    <t>Maintenance/Technical Support Service for Fujitsu Primergy RX2540 M2 File Server (for 1 Year)</t>
  </si>
  <si>
    <t>Procurement of Veterinary Supplies</t>
  </si>
  <si>
    <t>Repair of Overflow Bridge, Phase II (near GIS Building to CAS Building)</t>
  </si>
  <si>
    <t>Supply and Delivery of Various Chairs for SEC Head Office and Extension Offices.</t>
  </si>
  <si>
    <t>Supply &amp; Delivery of Various Spareparts (Motorpool Maintenance)</t>
  </si>
  <si>
    <t>Package 48: Supply and Delivery of Laboratory Equipment</t>
  </si>
  <si>
    <t>Peace and order</t>
  </si>
  <si>
    <t>Purchase of 55 pcs Plaque 7" for use during the Charter day of the City Government of Laoag</t>
  </si>
  <si>
    <t>2 Lots Adobe Creative Cloud Complete &amp; 19 Lots Windows 10 Pro (64 Bit)</t>
  </si>
  <si>
    <t>Procurement of Veterinary Products and Supplies</t>
  </si>
  <si>
    <t>Regular Bidding 23/June/2020 - Procurement of Goods: Machinery &amp; Heavy Equipment's Spareparts for the use of CEO-Motorpool Repair &amp; Maintenance (PR#100-20-06-0085)</t>
  </si>
  <si>
    <t>RFQ 2020-TFB-007 PROCUREMENT OF MEDICAL AND LABORATORY SUPPLIES</t>
  </si>
  <si>
    <t>Health Information Technology Provider</t>
  </si>
  <si>
    <t>PR 2020-04-061 Supply and Delivery of Materials for use in 71X – (Special Maintenance – Road Signages) along Daang Maharlika Road and Surigao – Davao Coastal Road w/ Exception. (Daang Maharlika (K1377</t>
  </si>
  <si>
    <t>ITB - Vehicles (SIDA)</t>
  </si>
  <si>
    <t>Regular Bidding 23/June/2020 - Procurement of Goods: Assistive Device for the use of CMO-GAD (Operationalization of the City Advisory Board of the Persons w/ Disablility Office) (PR#100-20-06-0084)</t>
  </si>
  <si>
    <t>Repair and Maintenance of PRA Service Vehicle (2007 Toyota Super Grandia)</t>
  </si>
  <si>
    <t>HEALTH INFORMATION TECHNOLOGY PROVIDER</t>
  </si>
  <si>
    <t>Local Infrastructure Program; Building and other Structures; Multi-Purpose/ Facilities: Improvement/Rehabilitation of City Hall, Brgy. Tabon, Mabalacat City, Pampanga</t>
  </si>
  <si>
    <t>Procurement of Kitchenwares</t>
  </si>
  <si>
    <t>Supply and Delivery of Compact  Digital Camera</t>
  </si>
  <si>
    <t>Procurement of Tire</t>
  </si>
  <si>
    <t>CVMO- MEDICAL SUPPLIES FOR MEDICAL MISSION (OPERATION TULI &amp; SURGICAL MISSION) 3RD QUARTER 2020</t>
  </si>
  <si>
    <t>General cleaning of Indoor and Outdoor ACUs - 2ND POSTING</t>
  </si>
  <si>
    <t>2,000 pcs. - Printing of Tarpaulin for Tricycle with singlet to promote Family Planning</t>
  </si>
  <si>
    <t>RFQ 3-0620-021</t>
  </si>
  <si>
    <t>PROCUREMENT OF ACRYLIC DIVIDERS WITH INSTALLATION</t>
  </si>
  <si>
    <t>Local Infrastructure Program; Building and other Structures; Multi-Purpose/ Facilities: Construction and/or Repair/ Rehabilitation of Multi-Purpose Building, Brgy. Balibago, Angeles City, Pampanga</t>
  </si>
  <si>
    <t>2FB)N20-06-035 PURCHASE OF HORMONES ANTAGONISTS MEDICINES</t>
  </si>
  <si>
    <t>(Cluster IX) Local Program; Construction/ Repair/ Rehabilitation/ Improvement of Building and other Structures; Multi-Purpose/ Facilities: Construction of Multi-Purpose Building in Various Barangays a</t>
  </si>
  <si>
    <t>Package 49: Supply and Delivery of Medical Equipment</t>
  </si>
  <si>
    <t>(2FB)N20-06-034 FURNITURES AND FIXTURES</t>
  </si>
  <si>
    <t>Supply And Delivery of Unmanned Aerial Vehicle (UAV) “Drone” and Accessories</t>
  </si>
  <si>
    <t>Procurement of Vehicle Spare Parts and Accessories</t>
  </si>
  <si>
    <t>INVITATION TO BID FOR THE PROCUREMENT OF FUEL FOR MOBILIZATION OF VARIOUS OFFICES</t>
  </si>
  <si>
    <t>shipping permit20</t>
  </si>
  <si>
    <t>COMPRESSOR &amp; CONTROL BOARD FOR 5 TONNER ACU</t>
  </si>
  <si>
    <t>SPO- DIESEL AND GASOLINE FOR 3RD QUARTER 2020</t>
  </si>
  <si>
    <t>PURCHASE OF COMPLETE SET DESKTOP AND LAPTOP COMPUTERS FOR OFFICIAL USE OF DENR-PENRO PALAWAN</t>
  </si>
  <si>
    <t>CVMO- MEALS AND SNACKS FOR SPECIAL/REGULAR SESSION, COMMITTEE HEARING/MEETINGS (3RD QUARTER 2020)</t>
  </si>
  <si>
    <t>Invitation to Bid for Improvement of Ramp, Building, Canopy &amp; Pavement at PCF Caoayan, Sual, Pangasinan</t>
  </si>
  <si>
    <t>XENON LAMP</t>
  </si>
  <si>
    <t>20PA0134 : CONCRETING OF BARANGAY TABACDA FMR, Barangay Tabacda, Tubo, Abra</t>
  </si>
  <si>
    <t>Improvement of Line Canal @ Brgy. Poblacion VIII, Cuenca, Batangas (Re- post)</t>
  </si>
  <si>
    <t>RFQ 3-0620-022</t>
  </si>
  <si>
    <t>Supply and Delivery of Drugs and Medicines</t>
  </si>
  <si>
    <t>CW-MP-13-2020/CALAOCAN PIP svp</t>
  </si>
  <si>
    <t>PURCHASE OF FIVE (5) UNITS STEEL FILING CABINET (LATERAL WITH THREE (3) DRAWERS</t>
  </si>
  <si>
    <t>2,040 pcs. - Printing of Progestin Sub-Dermal Implant (PSI) Box Sticker Label</t>
  </si>
  <si>
    <t>2020-06-004 (SHOP): Office Supplies for the Anti-Truck Overloading Activities (ATOME) within LPMDEO Area of Jurisdiction CY-2020</t>
  </si>
  <si>
    <t>INVITATION TO BID FOR THE PROCUREMENT OF FUEL FOR MAYOR’S OFFICE USE</t>
  </si>
  <si>
    <t>CVMO- DIESEL AND GASOLINE FOR 3RD QUARTER 2020</t>
  </si>
  <si>
    <t>PROCUREMENT OF IT EQUIPMENTS FOR PRC REGIONAL OFFICE I</t>
  </si>
  <si>
    <t>2020-06-006 (SHOP): Materials, Uniforms &amp; Safety Gadgets for the Anti-Truck Overloading Activities (ATOME) within LPMDEO Area of Jurisdiction</t>
  </si>
  <si>
    <t>Procurement of Information Technology equipment</t>
  </si>
  <si>
    <t>2020-06-007 (SHOP): Annual Routine Maintenance of various National Roads &amp; Bridges, Asphalt Sealant for the (2nd Quarter of CY-2020)</t>
  </si>
  <si>
    <t>Prcourement of Heavy Duty Scanner for Different Branch and Regional Office of National Telecommunications Commission</t>
  </si>
  <si>
    <t>20DI0129- Repair of Road, Brgy. Langgam, San Pedro City, Laguna</t>
  </si>
  <si>
    <t>Supply, delivery and installation of sunscreen rollershade for SSS Kalookan Branch Office</t>
  </si>
  <si>
    <t>Procurement of Biometric</t>
  </si>
  <si>
    <t>DESIGN AND BUILD FOR THE CONSTRUCTION OF 2-STOREY PASSENGER TERMINAL BUILDING AT MALATAPAY, BARANGAY MALUAY, ZAMBOANGUITA, NEGROS ORIENTAL</t>
  </si>
  <si>
    <t>20GAF0028SVP – SUPPLY/PURCHASE OF FUELS FOR  THE OPERATION OF HYUNDAI STA FE, SKA-722, DPWH-LUSDEO, NATIVIDAD, NAGUILIAN, LA UNION</t>
  </si>
  <si>
    <t>20DI0130- Rehabilitation of Drainage Canal, Brgy. Mayapa, Calamba City, Laguna</t>
  </si>
  <si>
    <t>2020-06-008 (SHOP): Annual Routine Maintenance of various National Roads &amp; Bridges, Thermoplastic for the (2nd Quarter of CY-2020)</t>
  </si>
  <si>
    <t>PROCUREMENT OF VARIOUS OFFICE SUPPLIES FOR PRC REGIONAL OFFICE I</t>
  </si>
  <si>
    <t>Package 50: Supply and Delivery of Small Ticket Medical Equipment</t>
  </si>
  <si>
    <t>Technical Assistance in the Preparation for QMS 1st year Surveillance (Consultancy Fee)</t>
  </si>
  <si>
    <t>2020-06-005 (SHOP): Office &amp; Janitorial Supplies for the use of Planning &amp; Design Section (2nd Qtr. Of CY-2020) charged to Preliminary Detailed Engineering Activities (PDE) FY 2020</t>
  </si>
  <si>
    <t>Procurement Air Conditioning System</t>
  </si>
  <si>
    <t>20DI0131- Construction and/or Repair/Rehabilitation of Multi-Purpose Building, Brgy. Magsaysay, San Pedro City, Laguna</t>
  </si>
  <si>
    <t>50 HP Submersible Pump and Motor and Submersible Cable</t>
  </si>
  <si>
    <t>20CSPA001 NOTICE OF SHORT LIST AND REQUEST FOR PROPOSALS (RFP) : DETAILED ENGINEERING DESIGN OF ABRA COLISEUM AND CONVENTION CENTER, La Paz, Abra</t>
  </si>
  <si>
    <t>20DI0128- Construction of Multi-Purpose Building (Livelihood Training Center), Brgy. Maharlika, San Pedro City, Laguna</t>
  </si>
  <si>
    <t>INFRASTRUCTURE WORKS FOR THE CONSTRUCTION OF LINE CANAL AT BARANGAY CALANGO, ZAMBOANGUITA, NEGROS ORIENTAL</t>
  </si>
  <si>
    <t>CVMO- MEALS AND SNACKS FOR SPECIAL/REGULAR SESSION, COMMITTEE HEARING/MEETINGS (BUFFET) (3RD QUARTER 2020)</t>
  </si>
  <si>
    <t>Renovation of Market offices , Poblacion, Lapu-Lapu City</t>
  </si>
  <si>
    <t>Procurement of Janitorial Supplies</t>
  </si>
  <si>
    <t>Labor only for the IMPROVEMENT OF MULTI-PURPOSE BUILDING AT PUROK 4, BRGY. CABURACANAN, MALAYBALAY CITY</t>
  </si>
  <si>
    <t>PROCUREMENT OF SUPPLIES AND MATERIALS TO BE USED IN THE PREPARATION FOR SKILLS COMPETITION</t>
  </si>
  <si>
    <t>20GAF0029SVP – SUPPLY/PURCHASE OF FUELS FOR  THE OPERATION OF HYUNDAI STAREX PRI-105, DPWH-LUSDEO, NATIVIDAD, NAGUILIAN, LA UNION</t>
  </si>
  <si>
    <t>HO-LVD20-002 - Supply of Labor, Tools &amp; Equipment for Accuracy Testing of 21 IPP Revenue Meters</t>
  </si>
  <si>
    <t>SUPPLY AND DELIVERY OF VITAMIN C FOR THE PREVENTION/TREATMENT AMONG THE AFFECTED POPULATION OF THE CALAMITY</t>
  </si>
  <si>
    <t>20DI0132- Construction of Multi-Purpose Building, Brgy. Caingin, Sta. Rosa City, Laguna</t>
  </si>
  <si>
    <t>Supply and Delivery of Robotics Kit (Re-Post)</t>
  </si>
  <si>
    <t>Procurement of Medicine and Medical Supplies</t>
  </si>
  <si>
    <t>PROCUREMENT OF VARIOUS TONERS FOR PRC REGIONAL OFFICE I</t>
  </si>
  <si>
    <t>PURCHASED OF COMPUTER SET</t>
  </si>
  <si>
    <t>Request for Quotation for Chillers and Trash bins 20-04-0288</t>
  </si>
  <si>
    <t>Supply and Delivery of Materials for the Repair and Improvement of Concepcion GID Warehouse</t>
  </si>
  <si>
    <t>RFQ No.: 2020-06-0470 For use during the conduct of  Training on Mental Health Psychosocial Support for Pantawid Pamilya Frontline Service Provides in Response to Covid19 on July 2020 in Iloilo City</t>
  </si>
  <si>
    <t>Construction of Barangay Buaya Health Center (Phase I) , Buaya, Lapu-Lapu City</t>
  </si>
  <si>
    <t>20FN0099 Construction/Repair/Rehabilitation/ Improvement of Various Infrastructure including Local Projects – Flood Control Structures/Facilities – Construction of Flood Control Structure along Anolin</t>
  </si>
  <si>
    <t>20DI0133- Construction/ Rehabilitation of Multi-Purpose Building, Brgy. Dita, Santa Rosa, Laguna</t>
  </si>
  <si>
    <t>1 lot Hauling of 4(Four) sets Motor Controls from Stage 2 to Stage 1</t>
  </si>
  <si>
    <t>SUPPLY AND INSTALLATION OF HAND WASH</t>
  </si>
  <si>
    <t>Procurement of Office Supplies, Materials, &amp; Equipment</t>
  </si>
  <si>
    <t>Bid No. 20-0281 - PROCUREMENT OF CONSTRUCTION MATERIALS - MEO (CONSTRUCTION OF COVERED COURT - BRGY. TALIAN, MARAGUSAN, DAVAO DE ORO</t>
  </si>
  <si>
    <t>PURCHASE OF RICE DURING STATE OF PUBLIC HEALTH EMERGENCY (COVID-19) ADDITIONAL</t>
  </si>
  <si>
    <t>PURCHASE OF VARIOUS COMMON USE OFFICE SUPPLIES FOR REGIONAL OFFICE USE</t>
  </si>
  <si>
    <t>20FN0098 Construction/Repair/Rehabilitation/ Improvement of Various Infrastructure including Local Projects – Flood Control Structures/Facilities – Construction and Improvement of River Waterways alon</t>
  </si>
  <si>
    <t>Package 51: Supply and Delivery of Surgical Equipment</t>
  </si>
  <si>
    <t>Request for Quotation for Industrial Fans and Sando Bag 20-04-0287</t>
  </si>
  <si>
    <t>INVITATION TO BID FOR THE PROCUREMENT OF MATERIALS FOR CONSTRUCTION OF GOAT HOUSE</t>
  </si>
  <si>
    <t>Purchase and Delivery of Animal Feeds and Veterinary Medicines</t>
  </si>
  <si>
    <t>Purchase of IT Equipment as Subsidy to PNP by the Provincial Government of Zamboanga del Sur</t>
  </si>
  <si>
    <t>Advertisement Spots</t>
  </si>
  <si>
    <t>SUPPLY AND DELIVERY OF FOOD PROCESSING EQUIPMENT FOR THE LIVELIHOOD PROGRAM-MEAT PROCESSING OF SALAKNIB FARMERS ASSOCIATION</t>
  </si>
  <si>
    <t>Procurement of Plumbing and Hardware Supplies</t>
  </si>
  <si>
    <t xml:space="preserve">20FN0100 Construction/Repair/Rehabilitation/Improvement of Various Infrastructure including Local Projects – Construction of Flood Control (Slope Protection, Rip-Rap) Project, Brgy. La Medalla, Baao, </t>
  </si>
  <si>
    <t>RFQ No.: 2020-06-0471 For use during the conduct of  Training on Mental Health Psychosocial Support for Pantawid Pamilya Frontline Service Provides in Response to Covid19 on July 2020 in Negros Occide</t>
  </si>
  <si>
    <t>Medical Oxygen Tank-Refill</t>
  </si>
  <si>
    <t>PURCHASE MEALS AND SNACKS</t>
  </si>
  <si>
    <t>RFQ 3-0620-023</t>
  </si>
  <si>
    <t>Purchase of Furniture’s and Fixtures for Various Offices</t>
  </si>
  <si>
    <t>Supply and Delivery of Construction Materials and Supplies for the Improvement of Multi-Purpose Building</t>
  </si>
  <si>
    <t>Package 52: Supply and Delivery of Medical Instruments</t>
  </si>
  <si>
    <t>20FN0101 Local Program – Local Infrastructure Program-Local Roads Concreting of Laganac - Tomatarayo - Cayogcog Road, Balatan, Camarines Sur Section A: Sta. 0+000.00 – Sta. 0+365.15 Sta. 0+650.00 – St</t>
  </si>
  <si>
    <t>Purchase of HDPE pipe 2" &amp; 1-1/2" SDR-11</t>
  </si>
  <si>
    <t>Supply and Delivery of Stainless Steel Water Tank</t>
  </si>
  <si>
    <t>Supply and Delivery of  Construction materials and supplies for the Construction of MDRRMO Parking Garrage &amp; Storage Room</t>
  </si>
  <si>
    <t>Purchase of Business Plates/Stickers</t>
  </si>
  <si>
    <t>Assisting Professional for Enterprise Development</t>
  </si>
  <si>
    <t>Supply and Delivery of 4WD 90Hp Farm Tractor</t>
  </si>
  <si>
    <t>Construction of Brgy. Road at Sitio Dating Daan</t>
  </si>
  <si>
    <t>RFQ 3-0620-024</t>
  </si>
  <si>
    <t>COMPLETION OF AGRICULTURAL TRADING CENTER (BAGSAKAN CENTER)</t>
  </si>
  <si>
    <t>Package 53: Supply and Delivery of Pediatric Equipment</t>
  </si>
  <si>
    <t>Purchase and Installation of Airconditioning Units</t>
  </si>
  <si>
    <t>20FN0102 Local Program – Building and Other Structures – Multipurpose/Facilities – Local Infrastructure Program Construction of Multi-Purpose Covered Court at San Ramon Elementary School Compound, San</t>
  </si>
  <si>
    <t>TV Blocktime Program</t>
  </si>
  <si>
    <t>Supply and Delivery of  Construction materials and supplies for the Construction of Multi-Purpose Building at San Mateo, Aleosan, Cotabato</t>
  </si>
  <si>
    <t>HO-CCD20-002 - Supply and Delivery of Camera Mirrorless &amp; Piano Digital</t>
  </si>
  <si>
    <t>LCWD-2020-050 Various Fittings</t>
  </si>
  <si>
    <t>Package 54: Supply and delivery of Medical and Laboratory Supplies and Materials</t>
  </si>
  <si>
    <t>Request for Quotation for Procurement of Goods: Airconditioning Units for Subspecialty Clinic SVP 2020-119</t>
  </si>
  <si>
    <t>INVITATION TO BID FOR THE PROCUREMENT OF MATERIALS FOR REPAIR AND MAINTENANCE OF STREETLIGHTS</t>
  </si>
  <si>
    <t>Supply,  and Delivery of Water Pump Motor, Sub Meter; Door Pull Handle and Foldable Platform Push Cart for Use of University Project c/o FMSS &amp; AUX</t>
  </si>
  <si>
    <t>Procurement of Grocery Items</t>
  </si>
  <si>
    <t>RFQ 3-0620-025</t>
  </si>
  <si>
    <t>INVITATION TO BID FOR THE SUPPLY OF FUEL &amp; OIL LUBRICANTS.</t>
  </si>
  <si>
    <t>Invitation to Bid for Construction of Two (2) Units Potable Water Supply System Level 3 Baybay Norte &amp; Baybay Sur, Sual, Pangasinan</t>
  </si>
  <si>
    <t>PROCUREMENT OF IT EQUIPMENT AND ACCESSORIES FOR LEASE - THREE (3) MONTHS FOR DARAB, LEGAL AND OFFICE OF THE PARPO USE CY 2020</t>
  </si>
  <si>
    <t>Purchase of IT, Common and Other  Supplies</t>
  </si>
  <si>
    <t>20DI0135- Construction/ Repair/ Rehab of Multi-Purpose Building, Bayshore Ville Phase II, Brgy. Sinalhan, Santa Rosa Laguna</t>
  </si>
  <si>
    <t>PURCHASE OF PRINTER</t>
  </si>
  <si>
    <t>Procurement for HP Toner Cartridges</t>
  </si>
  <si>
    <t>20DI0134- Construction/ Rehabilitation of Multi-Purpose Building,Brgy. Pulong, Santa Cruz, Laguna</t>
  </si>
  <si>
    <t>MBO &amp; MACCO Budgeting and Recording System</t>
  </si>
  <si>
    <t>IMPROVEMENT/CONCRETING OF MACABAKLE BRGY. ROAD</t>
  </si>
  <si>
    <t>Procurement of Diesel Fuel for PNP</t>
  </si>
  <si>
    <t>Television for Agriculture Clasroom-Agri Crop NCI/NCII, AP-Poutlry Chicken NCII, Organic Agriculture Prod. NCII</t>
  </si>
  <si>
    <t>HO-FAU20-003 - Supply and Delivery of Scanner/Printer, Camera Digital &amp; Shredder Paper</t>
  </si>
  <si>
    <t>Procurement of Professional and Technical Services for Transfer of Serviceable Airconditioning Units</t>
  </si>
  <si>
    <t>Purchase of Various Materials for the Cacao Nursery Program of the Provincial Government of Zamboanga del Sur</t>
  </si>
  <si>
    <t>Package 55: Supply and delivery of Testing Kit</t>
  </si>
  <si>
    <t>CONSTRUCTION OF THREE (3) STOREY, NINE (9) CLASSROOMS BUILDING AT PETRON SCHOOL</t>
  </si>
  <si>
    <t>Purchase of IT Equipment for Various Offices</t>
  </si>
  <si>
    <t>20DI0137- Construction of Multipurpose Building, Brgy. San Nicolas, Municipality of Bay, Laguna</t>
  </si>
  <si>
    <t>HO-CCS20-001 - Supply and Delivery of Scanner, Over-ear Headphone &amp; Bluetooth Earphones</t>
  </si>
  <si>
    <t>20DI0138- Concreting of Access Road and Improvement of Drainage, Brgy. Santo Nino and Canlalay, Biñan, Laguna</t>
  </si>
  <si>
    <t>20DI0136- Construction/ Repair/ Rehab of Multi-Purpose Building, Brgy. Tagapo, Santa Rosa, Laguna</t>
  </si>
  <si>
    <t>S4-NPB20-002 - Supply and Delivery of Speaker, Table/PV, Shredder, Earphone &amp; Wireless Presenter Laser Pointer</t>
  </si>
  <si>
    <t>Procurement of Inkjet Printer, CISS, All in One Printer, Print / Scan / Copy / WIFI for National Telecommunications Commission</t>
  </si>
  <si>
    <t>Package 56: Supply and delivery of Blood Bags</t>
  </si>
  <si>
    <t>Supply &amp; Delivery of One (1) Unit Motor Vehicle for Mass Transportation</t>
  </si>
  <si>
    <t>Concreting of Lupang Tagalog Farm to Market Road (217 meters)</t>
  </si>
  <si>
    <t>Procurement of Oil Lubricants</t>
  </si>
  <si>
    <t>20DI0139- Construction of Multi-Purpose Building, Women's Development Center, Cabuyao, Laguna</t>
  </si>
  <si>
    <t>CONSTRUCTION OF WATER SYSTEM PROJECT AT BRGY. CAPUTIAN, MALALAG, DAVAO DEL SUR all in accordance to plans, specifications and scope of work and the Green Procurement Policy as adopted by SBAC Resoluti</t>
  </si>
  <si>
    <t>PURCHASE OF VARIOUS ICT EQUIPMENT FOR DARRO 02</t>
  </si>
  <si>
    <t>(20NH0089(RE-AD))Construction/ Rehabilitation of Water Supply/ Septage and Sewerage/ Rain Water Collectors with Handwashing</t>
  </si>
  <si>
    <t>Construction/Rehabilitation of Water Supply/ Septage and Sewerage/Rainwater Collectors 	  in Tayabas City, Pagbilao &amp; Mauban, Quezon</t>
  </si>
  <si>
    <t>Supply &amp; Delivery of One (1) Unit Diesel Power Generator Set, 75KVA, Silent Type</t>
  </si>
  <si>
    <t>Package 57: Supply and delivery of Insecticides</t>
  </si>
  <si>
    <t>INSTALLATION OF LINED CANALS AND SLOPE PROTECTION AT SITIO UPPER CABACUNGAN TO BOUNDARY SITIO WALO, BARANGAY BULACAN, MALALAG, DAVAO DEL SUR all in accordance to plans, specifications and scope of wor</t>
  </si>
  <si>
    <t>20DI0142- Construction/ Repair/ Rehab of Multi-Purpose Building, Brgy. Don Jose, Santa Rosa, Laguna</t>
  </si>
  <si>
    <t>Repair and Maintenance of Multicab.</t>
  </si>
  <si>
    <t>Construction of Slope Protection @ Brgy. Calumayin, Cuenca, Batangas</t>
  </si>
  <si>
    <t>Procurement of Batteries</t>
  </si>
  <si>
    <t>20DI0141- Construction of Multi - purpose Building, San Pedro City, Laguna</t>
  </si>
  <si>
    <t>Invitation to Bid and Bidding Documents</t>
  </si>
  <si>
    <t>Purchase of Air Conditioning Units as Subsidy to PNP by the Provincial Government of Zamboanga del Sur.</t>
  </si>
  <si>
    <t>CONSTRUCTION/CONCRETING OF PROVINCIAL ROADS, HIGHWAYS AND BRIDGES (PATAG-SAN MATEO ROAD)</t>
  </si>
  <si>
    <t>Procurement of Travel Pump Assy.</t>
  </si>
  <si>
    <t>SUPPLY &amp; DELIVERY OF FUEL, OIL &amp; LUBRICANTS(MEO)</t>
  </si>
  <si>
    <t>20DI0140-Construction of Multi-Purpose Building (Welness Center), Brgy. San Nicolas, Bay, Laguna</t>
  </si>
  <si>
    <t>CONCRETING OF BAYATAKAN ROAD PHASE II</t>
  </si>
  <si>
    <t>Purchase of 1 set Submersible Pump for the Rehabilitation of Sevilla Level III Mun. Waterworks System</t>
  </si>
  <si>
    <t>Construction/Rehabilitation of Water Supply                                              /Septage and Sewerage/Rainwater Collectors/      in General Nakar, Infanta, Polillo     and  Burdeos, Quezon Sc</t>
  </si>
  <si>
    <t>Provision of Office Supplies, Equipment and Other Supplies</t>
  </si>
  <si>
    <t>Construction of City Fire Hydrants &amp; Accessories @ City Proper,  Cadiz City</t>
  </si>
  <si>
    <t>CONSTRUCTION OF MULTI PURPOSE BUILDING (WAREHOUSE) AT SIARGAO DISTRICT HOSPITAL</t>
  </si>
  <si>
    <t>To be used in MLWD New Wells &amp; defective VFD of wells - PR # 2020-11952</t>
  </si>
  <si>
    <t>Procurement of Plumbing Materials &amp; Supplies</t>
  </si>
  <si>
    <t>For Fabrication of GI Nipple - PR # 2019-12066</t>
  </si>
  <si>
    <t>20DI0143- Construction of Drainage System, Brgy. Dela Paz,Biñan, Laguna</t>
  </si>
  <si>
    <t>CONSULTANCY SERVICES FOR THE CONDUCT OF FEASIBILITY STUDY, PLANNING AND STRUCTURAL DESIGN FOR THE CONSTRUCTION OF GABION DAM IN MOGPOG RIVER, BRGY. BOCBOC MARINDUQUE</t>
  </si>
  <si>
    <t xml:space="preserve">CONSTRUCTION OF JUNCTIONS FOR THE REHABILITATION OF SAN ISIDRO, HAGONOY TO KM. 67, MATANAO FMR all in accordance to plans, specifications and scope of work and the Green Procurement Policy as adopted </t>
  </si>
  <si>
    <t>Supply of Tissue Paper, Paper Towel and Facial Tissue</t>
  </si>
  <si>
    <t>Supply and delivery of 72,000 pcs of Shipping cartons for NDA-SMD, Davao City</t>
  </si>
  <si>
    <t>PROCUREMENT OF ONE (1) UNIT BRAND NEW DUPLICATING MACHINE WITH PROVISION OF EXTRA INKS AND MASTER ROLLER</t>
  </si>
  <si>
    <t>SUPPLY &amp; DELIVERY OF FUEL, OIL &amp; LUBRICANTS(SBO)</t>
  </si>
  <si>
    <t>PROCUREMENT OF 1ST AND 2ND SEMESTER 2018-2019 OFFICE SUPPLIES/ MATERIALS AND EQUIPMENT FOR SCHOLARSHIP AND FINANCIAL ASSISTANCE OFFICE</t>
  </si>
  <si>
    <t>SUPPLY &amp; DELIVERY OF FUEL, OIL &amp; LUBRICANTS(MEO#2)</t>
  </si>
  <si>
    <t>20DI0144- Rehabilitation of Drainage, Old National Highway Brgy. Sto. Niño and Brgy. Vicente, Biñan City, Laguna</t>
  </si>
  <si>
    <t>PURCHASE OF 165 PCS FLU VACCINE WITH ADMINISTRATION</t>
  </si>
  <si>
    <t>RFQ 3-0620-026</t>
  </si>
  <si>
    <t>TO BE USED FOR REPLACEMENT OF PUMP &amp; MOTOR MLWD AREA - PR # 2020-12035</t>
  </si>
  <si>
    <t>Labor and Materials for the Fabrication and Installation of 31 Units of Oyster Plot Hanging Method under SAAD 2020 Livelihood Assistance for the Province of Sorsogon</t>
  </si>
  <si>
    <t>Construction of One (1) Storey, 1-Classroom School Building @ San Andres Elementary School, Brgy. Banquerohan, Cadiz City</t>
  </si>
  <si>
    <t>construction of fence</t>
  </si>
  <si>
    <t>Supply/Delivery of Office Equipment for RIM Quarter &amp;  RO V Conference Room  of  NIA RO V, Naga City</t>
  </si>
  <si>
    <t>SUPPLY AND DELIVERY OF THIRTY FOUR (34) UNITS BRAND NEW TRACTOR WITH IMPLEMENTS</t>
  </si>
  <si>
    <t>INVITATION TO BID FOR  THE CONCRETING OF ROAD AT BARANGAY MINANG WITH PR#2020-20%-03-011 FOR MEO AND ABC OF P 998,241.05</t>
  </si>
  <si>
    <t>RFQ - COPIER</t>
  </si>
  <si>
    <t>Procurement for various Audio Visual Equipment</t>
  </si>
  <si>
    <t>Procurement of Const. &amp; Plumbing Supplies</t>
  </si>
  <si>
    <t>Supply / Delivery of Catering Services</t>
  </si>
  <si>
    <t>MG-PLM20-083 - GALVANIZED STEEL CABLE WIRE</t>
  </si>
  <si>
    <t>INVITATION TO BID FOR THE CONCRETING OF ROAD AT GALLEMIT STREET, BARANGAY LANGATIAN WITH PR#2020-20%-06-016 FOR MEO AND ABC OF P 999,872.30</t>
  </si>
  <si>
    <t>Production/Printing OF 2019 NAPOLCOM Annual Report</t>
  </si>
  <si>
    <t>Supply, Delivery and Installation of 4 Units High Volume Low Speed Fan</t>
  </si>
  <si>
    <t>Supply and delivery of various materials for official use on BAR funded project on the Performance Evaluation of Red Tilapia in Freshwater and Marine Cages in Central Luzon</t>
  </si>
  <si>
    <t>Radio Blocktime Program</t>
  </si>
  <si>
    <t>Procurement of Const. Materials for Shoreline Protection</t>
  </si>
  <si>
    <t>Purchase of  Construction Materials for the Rehabilitation/Repair of BEMONC Building - MHO, Municipal Site, Katipunan, R. T. Lim, Zamboanga Sibugay</t>
  </si>
  <si>
    <t>INVITATION TO BID FOR THE CONCRETING OF ROAD AT SERGIO OSMEÑA ST., BRGY.LANGATIAN WITH PR#2020-20%-03-010 FOR MEO AND ABC OF P 999,329.49</t>
  </si>
  <si>
    <t>Purchase of 1 set 3hp Submersible Pump and Accessories</t>
  </si>
  <si>
    <t>Supply &amp; Delivery of Materials for the Repair &amp; Improvement of Brgy. Road @ Eusebio Subdivision, Brgy. Zone II, Cadiz City</t>
  </si>
  <si>
    <t>For Replacement of Defective Units - PR # 12055</t>
  </si>
  <si>
    <t>SUPPLY &amp; DELIVERY OF DRUGS &amp; MEDICINES(RHU)</t>
  </si>
  <si>
    <t>RFQ146 Procurment of Alcohol For use in response to COVID-19 in Region 02</t>
  </si>
  <si>
    <t>Invitation to Rebid for Supply, and Delivery of Materials for Replacement and Expansions of Pipelines</t>
  </si>
  <si>
    <t>Supply and Delivery of Two (2) Units Brand New Mini Bus, 4x2 M/T Diesel</t>
  </si>
  <si>
    <t>REHABILITATION OF MULTI-PURPOSE HALL – CAPITAN BAYONG – BARANGAY PROPER, IMPASUGONG, BUKIDNON</t>
  </si>
  <si>
    <t>Supply and Delivery of DMMMSU-OUS IT Equipment</t>
  </si>
  <si>
    <t>Supply and Delivery of One (1) Unit Brand New Big Bus, 6 Wheeler, Completely Build Unit (CBU)</t>
  </si>
  <si>
    <t>RFQ-GS-20200605-01 - 6 Units Portable Exhaust Fan</t>
  </si>
  <si>
    <t>Organic for Agriculture NC II for Practical Work Area</t>
  </si>
  <si>
    <t>20GEF009 (Re-bid 1) Cluster IV – 1. Supply and Delivery of Office Equipment for use of Maintenance Section 2. Supply and Delivery of I.T. Equipment for use of Maintenance Section Palawan 2nd DEO, Narr</t>
  </si>
  <si>
    <t>REPAIR AND MAINTENANCE OF CCTV SYSTEM AT  LEGAZPI AIRPORT – 2ND SVP</t>
  </si>
  <si>
    <t>Supply and Delivery of I.T. Equipment</t>
  </si>
  <si>
    <t>Supply and delivery of Alcohol Sprayer Wall Mounted for official use in BFAR 3 Regional Office, TOSES and PFOs to avoid spreading of COVID 19 Pandemic</t>
  </si>
  <si>
    <t>Procurement of 313, 150 Liters Diesel Fuel</t>
  </si>
  <si>
    <t>Construction of Comfort Rooms (Oval &amp; Park), DMMMSU-NLUC, Sapilang, Bacnotan, La Union</t>
  </si>
  <si>
    <t>MG-PLM20-103 - DESKTOP COMPUTER i5 INTEL PROCESSOR</t>
  </si>
  <si>
    <t>Purchase of Ground Engaging Tools, Under Chassis and Tires for the Repair of Various Heavy Equipment of PEO.</t>
  </si>
  <si>
    <t>Supply and Delivery of Plastic School Tablet Armchair of SDSSU Tagbina Campus</t>
  </si>
  <si>
    <t>2LSSM2020A-133 Office Supplies</t>
  </si>
  <si>
    <t>Tools and Equipment for Agriculture</t>
  </si>
  <si>
    <t>20HH0135-Local Program: Local Infrastructure Program – Buildings and other Structure – Multi Purpose / Facilities – Construction and / or Repair / Rehabilitation of Multi Purpose Building, Brgy. Laban</t>
  </si>
  <si>
    <t>Procurement of Materials for Improvement of Multi-Purpose Hall</t>
  </si>
  <si>
    <t>SLOPE PROTECTION</t>
  </si>
  <si>
    <t>20HC0180- CONSTRUCTION OF LEVEL III  WATER SUPPLY SYSTEM, BUENAVISTA, BOHOL</t>
  </si>
  <si>
    <t>2LSSM2020A-132 Office Supplies</t>
  </si>
  <si>
    <t>HFEP ITB 2020-002 Infrastructure</t>
  </si>
  <si>
    <t>COMPLETION OF INSTALLATION OF STREETLIGHTING SYSTEM @ BANGQUEROHAN AREA</t>
  </si>
  <si>
    <t>Supply/Delivery of Office Supplies</t>
  </si>
  <si>
    <t>Procurement of Const. Materials for Rehab. Brgy. Dos, Local Road</t>
  </si>
  <si>
    <t>PURCHASE OF BRAND NEW MULTI-PURPOSE STAINLESS WATER TANKER FOR THE MUNICIPALITY OF ALEGRIA USE</t>
  </si>
  <si>
    <t>RFQ-GS-20200605-02 - Subscription and Installation of Wireless IP VPN Lines as Emergency/Back-up Links for 35 LANDBANK Branches &amp; Offsite ATMs</t>
  </si>
  <si>
    <t>Supply and delivery of various furnitures to Planning, Monitoring and Evaluation Section</t>
  </si>
  <si>
    <t>2LSSM2020A-135 Office Supplies</t>
  </si>
  <si>
    <t>PRINTING OF STATEMENT OF ACCOUNT</t>
  </si>
  <si>
    <t>SUPPLY AND DELIVERY OF FURNITURE AND FIXTURES, DMMMSU-OUS, City of San Fernando, La Union</t>
  </si>
  <si>
    <t>REHABILITATION OF EXISTING MUNICIPAL ROADS</t>
  </si>
  <si>
    <t>CONCRETING OF ROAD AND CONSTRUCTION OF DRAINAGE CANAL Z-2</t>
  </si>
  <si>
    <t>2LSSM2020A-134 Office Supplies</t>
  </si>
  <si>
    <t>20EF0119 Cluster II – 1. Construction of Rain Water Collection System (RWCS) El Salvador Elementary School 2. Construction of Rain Water Collection System (RWCS) Olympic Elementary School 3. Construct</t>
  </si>
  <si>
    <t>20HH0136-Local Program: Local Infrastructure Program – Buildings and other Structure – Multi Purpose / Facilities – Construction of Multi – Purpose Building, Barangay Labangon, Cebu City</t>
  </si>
  <si>
    <t>For use of Various light and heavy equipment detailed at DPWH, Quezon 1st District Engineering Office, Lucban, Quezon</t>
  </si>
  <si>
    <t>Purchase of Purchase of cleaner blade for the maintenance of the photocopying machine at MCR</t>
  </si>
  <si>
    <t>Construction of Waiting Shed</t>
  </si>
  <si>
    <t>For use of Service Vehicle NISSAN NAVARRA (H1-5189/OV-5862)</t>
  </si>
  <si>
    <t>Procurement for Subscription of Photo and Video Editing Software</t>
  </si>
  <si>
    <t>Purchase of construction materials and supplies</t>
  </si>
  <si>
    <t>SUPPLY AND DELIVERY OF IT EQUIPMENT, DMMMSU-CA, Sapilang, Bacnotan, La Union</t>
  </si>
  <si>
    <t>SUPPLY AND DELIVERY OF LABORATORY EQUIPMENT-C, DMMMSU-SRDI, Sapilang, Bacnotan, La Union</t>
  </si>
  <si>
    <t>Purchase of spareparts for the repair of heavy equipment of the Municipality</t>
  </si>
  <si>
    <t>20EF0118 Cluster I – 1. Construction of Rain Water Collection System (RWCS) Batang-Batang Beach Elementary School 2. Construction of Rain Water Collection System (RWCS) Cabuluan Elementary School 3. C</t>
  </si>
  <si>
    <t>Proposed Purchase of Split Type 2.5 Hp. Aircondition with accessories</t>
  </si>
  <si>
    <t>IMPROVEMENT OF PANGANIBAN MUNICIPAL WATER SYSTEM</t>
  </si>
  <si>
    <t>2LSSM2020A-136 Other Supplies and Materials</t>
  </si>
  <si>
    <t>2nd Quarter Supplies for PO DCDS</t>
  </si>
  <si>
    <t>Procurement of Consulting Services - Preparation of EIS and Facilitation of ECC Application</t>
  </si>
  <si>
    <t>20HH0138-Repair / Maintenance of Drainage System along Old Cadre Rd. (S00037CB) Chainage 330 – Chainage 539, Brgy. Kasambagan, Cebu City</t>
  </si>
  <si>
    <t>REI_20CSE008: Consulting Services for the Conduct of Feasibility Study of the Proposed Coron-Culion Bridge, Palawan</t>
  </si>
  <si>
    <t>2LSSM2020A-141 Other Supplies and Materials</t>
  </si>
  <si>
    <t>CID No. 20OD0191 - Repair/Maintenance of DPWH Building, Building I &amp; II, Metro Manila III District Engineering Office, APDC Compound, Valenzuela City</t>
  </si>
  <si>
    <t>2LSSM2020A-138 Other Supplies and Materials</t>
  </si>
  <si>
    <t>2LSSM2020A-139 Other Supplies and Materials</t>
  </si>
  <si>
    <t>2LSSM2020A-140 Other Supplies and Materials</t>
  </si>
  <si>
    <t>PROJ. 838 - YDP 2020</t>
  </si>
  <si>
    <t>20HH0139-Repair and Maintenance of Road Safety Facilities (Installation of Road Safety Devices) along Cebu South Properties (Tunnel), Cebu South Road Properties and Gov. Cuenco Avenue, Cebu City</t>
  </si>
  <si>
    <t>2LSSM2020A-137 Other Supplies and Materials</t>
  </si>
  <si>
    <t>2LSSM2020A-142 Food Supplies</t>
  </si>
  <si>
    <t>PR 2020-05-086 Supply and Delivery of Consolidated I.T. Consumables, for use in the Office of the District Engineer DEO, Nabunturan, Davao De Oro (for the 3rd quarter of 2020)</t>
  </si>
  <si>
    <t>Improvement of Water System Brgy. Malire to Brgy. Poblacion Proper, Antipas, Cotabato</t>
  </si>
  <si>
    <t>Supply and Delivery of DMMMSU-OUS Office Supplies and Consumables</t>
  </si>
  <si>
    <t>Supply and Delivery of Consumables</t>
  </si>
  <si>
    <t>G-2020-268 Supply and Delivery of Laying Cages for Egg Production, Gender and Development</t>
  </si>
  <si>
    <t>CONSTRUCTION OF DRAINAGE CANAL – SEWER SYSTEM 690 Lm</t>
  </si>
  <si>
    <t>Procurement for Professional Video Conferencing Platform Subscription</t>
  </si>
  <si>
    <t xml:space="preserve">20EF0121 Cluster IV – 1. Construction of Rain Water Collection System (RWCS) Mangkongon Elementary School 2. Construction of Rain Water Collection System (RWCS) Amas Elementary School 3. Construction </t>
  </si>
  <si>
    <t>CONSTRUCTION OF TWO STOREY MULTI-PURPOSE BUILDING PHASE 2</t>
  </si>
  <si>
    <t>PR 2020-05-087 Supply and Delivery of Materials for the use in Activity 112 (Penetration Patching Bituminous Pavement) along Daang Maharlika Road and Surigao – Davao Coastal Road (Intermittent Section</t>
  </si>
  <si>
    <t>2LSSM2020A-170 Office Supplies</t>
  </si>
  <si>
    <t>COMPLETION OF  BAGSAKAN VEGETABLE CENTER-OTHER STRUCTURE</t>
  </si>
  <si>
    <t>Procurement of Consulting Services - Conduct of Geo-technical (Soil) Investigation</t>
  </si>
  <si>
    <t>20EF0120 Cluster III – 1. Construction of Rain Water Collection System (RWCS) New Panay Elementary School 2. Construction of Rain Water Collection System (RWCS) Irader Elementary School 3. Constructio</t>
  </si>
  <si>
    <t>2LSSM2020A-171 Office Supplies</t>
  </si>
  <si>
    <t>2LSSM2020B-169 Office Supplies</t>
  </si>
  <si>
    <t>RFQ-GS-20200323-02 - One (1) Year Printing, Mail Envelope Processing and Delivery of Credit Card Statement of Accounts (6,300 Accounts)</t>
  </si>
  <si>
    <t>Repair and Maintenance of OCDRO5 Generator- FG Wilson</t>
  </si>
  <si>
    <t>REPAIR AND MAINTENANCE OF THE OCDRO5 BUILDING</t>
  </si>
  <si>
    <t>SUPPLY AND DELIVERY OF 2ND QRT OFFICE SUPPLIES OF CAVITE AREA</t>
  </si>
  <si>
    <t>SUPPLY AND DELIVERY OF LOT 1 AND LOT 3 10 BAGS OF SORGHUM SEEDS FOR OCCIDENTAL MINDORO AND PALAWAN</t>
  </si>
  <si>
    <t>20HH0140-Repair and Maintenance of Road Safety Facilities (Installation of Road Safety Devices) along Cebu Balamban Transcentral Highway, Cebu City</t>
  </si>
  <si>
    <t>G-2020-341 Supply and Delivery of Customized Pin Badge Buttons &amp; Glass Plaque, Gender and Development</t>
  </si>
  <si>
    <t>SUPPLY AND DELIVERY OF 2 UNITS LED TELEVISION</t>
  </si>
  <si>
    <t>Procurement for the Repair of PCB Prototyping Machine</t>
  </si>
  <si>
    <t>RFQ - Procurement of COVID Essential Supplies for Division Office use</t>
  </si>
  <si>
    <t>G-2020-344 Supply and Delivery of Surveillance Camera, City Schools Division</t>
  </si>
  <si>
    <t>2LSSM2020A-143 Food Supplies</t>
  </si>
  <si>
    <t>REPOSTING: PURCHASE OF TECHNICAL &amp; SCIENTIFIC EQUIPMENT FOR FIRST QUARTER 2020</t>
  </si>
  <si>
    <t>20DQ0112 - LOCAL PROGRAM - Local Infrastructure Program - Flood Control and Drainage - Drainage / Protection Works – Rehabilitation of Drainage, Brgy. Zapote IV, Bacoor City, Cavite; Rehabilitation of</t>
  </si>
  <si>
    <t>2LSSM2020A-176 Food Supplies</t>
  </si>
  <si>
    <t>improvement of evacuation center (2nd floor)</t>
  </si>
  <si>
    <t>SUPPLY AND DELIVERY OF HEAVY EQUIPMENT</t>
  </si>
  <si>
    <t>Purchase of medicine fluids for sale in the Pharmacy of Bauan General Hospital, Bauan, Batangas</t>
  </si>
  <si>
    <t>Purchase of injectable medicines for sale in the Pharmacy of Bauan General Hospital, Bauan, Batangas</t>
  </si>
  <si>
    <t>I-2020-015 Improvement of City Health Office, Barangay VII</t>
  </si>
  <si>
    <t>G-2020-345 Supply and Delivery of Assorted Supplies, Publoc Order and Safety Office - LDRRMD</t>
  </si>
  <si>
    <t>20CSBG002: Geotechnical Investigation for Proposed Bridge Project – (2) Saraga Bridge, San Mariano, Isabela, (2) Bigao Bridge, San Mariano, Isabela, (2) Tinabukolan Bridge, San Mariano, Isabela, (2) V</t>
  </si>
  <si>
    <t xml:space="preserve">PR 2020-05-088 Supply and Delivery of Materials for the use in Activity 121 (Patching Concrete Pavement) along Daang Maharlika Road and Surigao – Davao Coastal Road (intermittent section) K1377±203 – </t>
  </si>
  <si>
    <t>2LSSM2020A-175 Food Supplies</t>
  </si>
  <si>
    <t>20DQ0113 - ORGANIZATIONAL OUTCOME 2: Protect Lives and Properties Against Major Floods - Flood Management Program - Construction/ Maintenance of Flood Mitigation Structures and Drainage Systems - Cons</t>
  </si>
  <si>
    <t>2LSSM2020A-172 Office Supplies</t>
  </si>
  <si>
    <t>2LSSM2020A-173 Office Supplies</t>
  </si>
  <si>
    <t>2LSSM2020A-174 Office Supplies</t>
  </si>
  <si>
    <t>20DQ0115 - LOCAL PROGRAM – Local Infrastructure Program – Buildings and Other Structures- Multi-Purpose /Facilities – Rehabilitation (Completion) of Multi-Purpose Building, Brgy. Francisco Reyes, Gen.</t>
  </si>
  <si>
    <t>G-2020-346 Supply and Installation of Airconditioning Unit, Office of the City Mayor</t>
  </si>
  <si>
    <t>20CSBG003: Geotechnical Investigation for Proposed Bridge Project – (2) Nueva Era Bridge, Cabatuan, Isabela</t>
  </si>
  <si>
    <t>2LSSM2020A-177 Food Supplies</t>
  </si>
  <si>
    <t>Procurement of 1 Lot Fuel, Oil and Lubricant Expenses for the 3rd Quarter of 2020</t>
  </si>
  <si>
    <t>20DQ0114 - LOCAL PROGRAM – Local Infrastructure Program – Local Roads and Bridges – Local Roads – Rehabilitation of road and reblocking at Springville Heights, Bacoor, Cavite and Rehabilitation of Roa</t>
  </si>
  <si>
    <t>20CSJ002 - Consulting Services for the Sub-Surface Exploration Thru Calyx Drilling and Laboratory Works/Analysis for Widening of Five Bridges for Sulu 2nd, BARMM</t>
  </si>
  <si>
    <t>Procurement of 1 Lot Various Office Supplies for the 3rd Quarter of 2020</t>
  </si>
  <si>
    <t>Procurement of 1 Lot Rehabilitation Supplies for the 3rd Quarter of 2020</t>
  </si>
  <si>
    <t>CONSTRUCTION OF DRAINAGE SYSTEM COVER - PROCUREMENT OF MATERIALS</t>
  </si>
  <si>
    <t xml:space="preserve">20BG0147: Local Program - Construction/Repair/Rehabilitation/Improvement of Various Infrastructure including Local Projects –Local Roads and Bridges – Local Bridges – Construction of Over-pass (Phase </t>
  </si>
  <si>
    <t>2LSSM2020A-178 Food Supplies</t>
  </si>
  <si>
    <t>20CSJ003 - Consulting Services for the Sub-Surface Exploration Thru Calyx Drilling and Laboratory Works/Analysis for Replacement of Nine (9) Bridges for Sulu 1st BARMM</t>
  </si>
  <si>
    <t>20DQ0116 - ORGANIZATIONAL OUTCOME 2: Protect Lives and Properties Against Major Floods - Flood Management Program - Construction/ Maintenance of Flood Mitigation Structures and Drainage Systems - Cons</t>
  </si>
  <si>
    <t>Procurement of 1 Lot Various Drugs and Medicines for the 3rd Quarter of 2020</t>
  </si>
  <si>
    <t>2LSSM2020A-179 Other Supplies and Materials</t>
  </si>
  <si>
    <t>20CSBG004: Geotechnical Investigation for Proposed Flood Control Project – Approaches of Ganano Bridge (Revetment), Alicia, Isabela</t>
  </si>
  <si>
    <t>20E00084 - LIP - Construction of Odiongan By-pass Road (Phase 4), Odiongan, Romblon</t>
  </si>
  <si>
    <t>2LSSM2020A-180 Other Supplies and Materials</t>
  </si>
  <si>
    <t>GENERATOR SET INSTALLATION AND RE-WIRING</t>
  </si>
  <si>
    <t>Purchase of medical supplies to be used at Bauan General Hospital, Bauan, Batangas</t>
  </si>
  <si>
    <t>2LSSM2020A-181 Other Supplies and Materials</t>
  </si>
  <si>
    <t xml:space="preserve">20DQ0117 - LOCAL PROGRAM – Local Infrastructure Program – Buildings and Other Structures – Multipurpose/Facilities – Rehabilitation/Improvement of Multi-Purpose Building, Brgy. Talaba V, Bacoor City, </t>
  </si>
  <si>
    <t>Supply &amp; Delivery of Construction Materials for  DONGOS SIP PHASE III: PACKAGE II – GOODS (2nd Call)</t>
  </si>
  <si>
    <t>CONSTRUCTION OF WATER SYSTEM - PROCUREMENT OF MATERIALS</t>
  </si>
  <si>
    <t>Procurement of 1 Lot Printing and Publication for the 3rd Quarter of 2020</t>
  </si>
  <si>
    <t>Improvement of Barangay Multipurpose Hall</t>
  </si>
  <si>
    <t>Development  and Deployment of the Philippines Anti-Illegal Drugs Strategy – Agency Reporting and Monitoring System (PADS-ARMS)</t>
  </si>
  <si>
    <t>Procurement of 1 Lot Military Supplies (Ammunition) for the 3rd Quarter of 2020</t>
  </si>
  <si>
    <t>CONSTRUCTION OF CANAL STRUCTURES AND INSTALLATION OF STEEL PIPE SIPHON: CANIPAY SIP PHASE VI (2nd Call)</t>
  </si>
  <si>
    <t>Construction of concrete pavement road section in Barangay De Guzman, Mabini, Pangasinan</t>
  </si>
  <si>
    <t>Proposed Barangay Street Lighting Phase I</t>
  </si>
  <si>
    <t>Reproduction of Detailed Lesson Plan</t>
  </si>
  <si>
    <t>Supply and delivery of various construction materials for the rehabilitation of  Barangay Health Center at Cabanaetan, Mabini, Pangasinan</t>
  </si>
  <si>
    <t>Supply and Delivery of Laboratory Supplies ID of Gram Negative Bacteria</t>
  </si>
  <si>
    <t>Drinking Water</t>
  </si>
  <si>
    <t>Delivery of Supplies -Electrical Supplies</t>
  </si>
  <si>
    <t>2020-06-0102 - PROCUREMENT OF VEHICLE PARTS AND ACCESSORIES FOR USE IN  KIA HSPUR K2700 W/ PLATE #AD0-7915 UNDER PLANNING AND DESIGN SECTION.</t>
  </si>
  <si>
    <t>Delivery of Supplies - Electrical Supplies</t>
  </si>
  <si>
    <t>CONSTRUCTION OF CANAL &amp; CANAL STRUCTURES, SUPPLY &amp; INSTALLATION OF STEEL PIPE SIPHON &amp; uPVC PIPE SIPHON AT DONGOS SIP PHASE III CY 2018 (INFRA)  (2nd Call)</t>
  </si>
  <si>
    <t>Procurement for ICT Supplies and Peripherals</t>
  </si>
  <si>
    <t>Supply and Installation of Surveillance Cameras</t>
  </si>
  <si>
    <t>20GKC0007 - PROCUREMENT OF COMMON OFFICE SUPPLIES AND CONSUMABLE FOR USE IN THE OPERATION OF BUKIDNON 3RD DEO, (1ST QUARTER, CY 2020)</t>
  </si>
  <si>
    <t>Supply and Delivery of KN95 Face Mask and Rubber Gloves</t>
  </si>
  <si>
    <t>2 lots Card Production and Personalization for the PhilID Cards Project</t>
  </si>
  <si>
    <t>PROCUREMENT OF 1 COMBO SET OF CCTV</t>
  </si>
  <si>
    <t>2020-06 0101 - PROCUREMENT OF CONSTRUCTION MATERIALS AND SUPPLIES FOR REPLACEMENT/REHABILITATION OF DAMAGED CONCRETE PAVEMENT ALONG KALILANGAN-LAMPANUSAN ROAD, K1603+148 - K1603+958 (INTERMITTENT SECT</t>
  </si>
  <si>
    <t>Procurement of One (1) Lot Cremation Equipment for Small Animals and One (1) Lot Individually Ventilated Caging (IVC) System for Mice</t>
  </si>
  <si>
    <t>Publication of Ordinance No. 003-2020, 004-2020,005-2020 and 006-2020</t>
  </si>
  <si>
    <t>Delivery of Supplies : Electrical Supplies</t>
  </si>
  <si>
    <t>2020-GOODS-030_Procurement and Installation of Radio Station Equipment</t>
  </si>
  <si>
    <t>2020-GOODS-031_Procurement and Installation of Various Aircondition Units for the Different Campuses of the University</t>
  </si>
  <si>
    <t>2020-06-0096 - PROCUREMENT OF FUEL/FUEL LUBRICANTS AND ANTI-CORROSIVE FOR USE AT PLANNING AND DESIGN SECTION</t>
  </si>
  <si>
    <t>Additional Construction of Multi Purpose Hall - Buao</t>
  </si>
  <si>
    <t>Internet Connection for the Terminal Port of Benoni</t>
  </si>
  <si>
    <t>Repair of Brgy Hall - Carmona</t>
  </si>
  <si>
    <t>Internet Connection for the Terminal Port of Balingoan</t>
  </si>
  <si>
    <t>NEGOTIATED PROCUREMENT OF SUPPLY, DELIVERY, INSTALLATION AND CONFIGURATION OF VARIOUS ICT EQUIPMENT, OFFICE EQUIPMENT AND COMPUTER SOFTWARE IN SUPPORT TO OPERATIONS AND RESEARCH DIVISION</t>
  </si>
  <si>
    <t>Internet Connection for the Terminal Port of Opol</t>
  </si>
  <si>
    <t>Construction / Rehabilitation of Damawato Bridge</t>
  </si>
  <si>
    <t>Construction / Completion / Rehabilitation of Multi-Purpose Building in Brgy. Manubuan, Matalam, North Cotabato</t>
  </si>
  <si>
    <t>Provision of Livelihood Projects (Starter Kits) for the Local Communist Armed Conflict (LCAC) Affected Barangays of Suyo, Ilocos Sur to be held on June 29-30, 2020 at Brgy. Poblacion, Suyo, Ilocos Sur</t>
  </si>
  <si>
    <t>2020-GOODS-032_One (1) Year Subscription of Electronic Books for the University</t>
  </si>
  <si>
    <t>Repair and Improvement of Multi-Purpose Hall - San Jose</t>
  </si>
  <si>
    <t>Provision of Recovery Livelihood Projects  for the Micro Entrepreneurs and Potential Entrepreneurs in Nagbukel, Ilocos Sur:  Sari-Sari Store Package to be held on June 29-30, 2020 at Brgy. Pob. East,</t>
  </si>
  <si>
    <t>20GM00148 – Rental of Service Vehicle for Road Slope and Survey Investigation Activities for DPWH Projects (1-Unit 4x4 Pick-Up) (July 1-15, 2020) (Equipment Rental Only)</t>
  </si>
  <si>
    <t>Construction of Tulunan Public Cemetery</t>
  </si>
  <si>
    <t>20GM00146 – Provision of 4x4 Pick UP Type Service Vehicle for the Engineer for July 1-15, 2020   (Equipment Rental Only)</t>
  </si>
  <si>
    <t>CONSTRUCTION OF MATERIAL RECOVERY FACILITY</t>
  </si>
  <si>
    <t>Procurement for various Computer Software</t>
  </si>
  <si>
    <t>Renovation of Multi-purpose Pavement - Ngoso</t>
  </si>
  <si>
    <t>Repair of Street Light - Carmona</t>
  </si>
  <si>
    <t>Procurement of JHS materials for repair and refurbishment of school buildings</t>
  </si>
  <si>
    <t>2020-17 “SUPPLY, DELIVERY AND INSTALLATION OF MARINE SPARE PARTS AND AIR-CONDITIONING SYSTEM TO BFAR VESSELS”</t>
  </si>
  <si>
    <t>Installation of Pathwalk at the Back of TLE Building</t>
  </si>
  <si>
    <t>20GM00147 – Rental of Service Vehicle Chargeable to CY 2020 Annual Maintenance Work Program (AMWP) for Inspection and Supervision of Routine / Periodic Maintenance for Roads and Bridge Projects (July</t>
  </si>
  <si>
    <t>20GM00149 – Provision of 4X4 Pick Up Type Service Vehicle for the Engineer for July 1-15, 2020  (Equipment Rental Only)</t>
  </si>
  <si>
    <t>IB 2020-07-007 PVSV Procurement of Passenger Van Service Vehicle  2020-07</t>
  </si>
  <si>
    <t>Completion/Rehabilitation of Multi-Purpose Building in Brgy. Manubuan, Matalam, North Cotabato</t>
  </si>
  <si>
    <t>Fabrication of Stair Railings, Wooden Steps, Tables, Chairs and Electrical Fixtures in LGU Multi- Purpose Hall at Brgy. San Pedro, Tumauini, Isabela</t>
  </si>
  <si>
    <t>Improvement of Water System (Phase 2)</t>
  </si>
  <si>
    <t>FOD-L-20-0295(R2): Procurement of 2 Units Egg Incubator with Hatcher to be distributed to Farmer Associations in Ubay, Bohol in support to the Poultry Production in the Province under PEAF sub-program</t>
  </si>
  <si>
    <t>Construction of LGU Multi-Purpose Hall- Phase VII at Brgy. San Pedro, Tumauini, Isabela</t>
  </si>
  <si>
    <t>20CW-GSC-022 ESTABLISHMENT OF ORGANIC TRADING POST CITY OF GENERAL SANTOS CITY</t>
  </si>
  <si>
    <t>construction of water reservoir(Macatcatud)</t>
  </si>
  <si>
    <t>Purchase and Delivery of Construction Materials for the Construction of Water System in Brgy. Poblacion Zone 1, Tubungan, Iloilo</t>
  </si>
  <si>
    <t>SUPPLY AND DELIVERY OF FAMILY PLANNING COMMODITIES</t>
  </si>
  <si>
    <t>FOD-L-20-1271(R2): Procurement of One (1) unit Generator to be used as alternative and emergency power supply source for continuous operations of Livestock projects at NORDC Siaton, Negros Oriental</t>
  </si>
  <si>
    <t>SUPPLY AND DELIVERY OF MEDICAL SUPPLIES</t>
  </si>
  <si>
    <t>Purchase and Delivery of Construction Materials for the Construction of Elevated Concrete Water Tank in Brgy. Igang, Pototan, Iloilo</t>
  </si>
  <si>
    <t>Purchase of various goods and supplies intended for COVID-19 response for the use of Barangay San Antonio.</t>
  </si>
  <si>
    <t>PURCHASE OF HARDWARE MATERIALS FOR THE CONSTRUCTION OF MUNICIPAL HALL COMPOUND PERIMETER FENCE OR GATES &amp; INSTALLATION OF SLIDING WINDOWS &amp; RE-PAINTING OF MUNICIPAL HALL BUILDING</t>
  </si>
  <si>
    <t>SAAD-20-0981(R2): Procurement of Seedling Tray to be used for the Vegetable Production Project in Negros Oriental</t>
  </si>
  <si>
    <t>Supply and Delivery of  various medicines (3rd Quarter) for use in Municipal Health Office, Villasis, Pangasinan</t>
  </si>
  <si>
    <t>Request for Expression of Interest</t>
  </si>
  <si>
    <t>Construction of Dome Shape Gymnasium for Senior High School at San Nicolas 3 (Greenvalley) City of Bacoor (Repost)</t>
  </si>
  <si>
    <t>Purchase of materials for the improvement of farm to market road (canal lining) at Ibulo,  Baggao, Cagayan</t>
  </si>
  <si>
    <t>PURCHASE OF MATERIALS FOR THE CONSTRUCTION/INSTALLATION OF STREETLIGHTS (SOLAR) AT SAN JOSE, BAGGAO, CAGAYAN</t>
  </si>
  <si>
    <t>Supply and Delivery of Various Materials Needed for the Repair of Roofing for OSCA, LIGA, LEGISLATIVE, EXECUTIVE, D.A., MRF and EVACUATION Building Damage for Typhoon</t>
  </si>
  <si>
    <t>Pakyaw Labor etc. (03-0411) CEO</t>
  </si>
  <si>
    <t>SUPPLY AND DELIVERY OF MEDICINES &amp; PSYCHOTROPIC DRUGS</t>
  </si>
  <si>
    <t>20GM00150 – Rental of Service Vehicle for Roads and Bridges Investigation Activities for DPWH Projects (July 1-15, 2020) (Equipment Rental Only)</t>
  </si>
  <si>
    <t>Procurement of one (1) lot Laboratory Examinations and Diagnostic Procedures Send Out for 2020</t>
  </si>
  <si>
    <t>Procurement of two (2) units BRAND NEW DRR VEHICLE</t>
  </si>
  <si>
    <t>Installation and Implementation of Pre-Developed and customized Application Systems-Phase II(05-0496)CMO</t>
  </si>
  <si>
    <t>Multiple Long Line etc. - REBID (03-0312) Agriculture</t>
  </si>
  <si>
    <t>Poblacion - Dicklum Water System Phase I</t>
  </si>
  <si>
    <t>Upgrading of Electrical Installation at Talaba Elementary School (repost)</t>
  </si>
  <si>
    <t>Construction of School Building Digman Elementary School at Digman Bacoor City, Cavite (Repost)</t>
  </si>
  <si>
    <t>Installation of Lighting Phase I, Municipal Compound, Brgy. Anoling,  General Nakar, Quezon</t>
  </si>
  <si>
    <t>PURCHASE OF MATERIALS FOR THE CONSTRUCTION OF BDRRM OFFICE AT SAN JOSE, BAGGAO, CAGAYAN</t>
  </si>
  <si>
    <t>Concreting of Road,  Brgy. Pisa. General Nakar, Quezon</t>
  </si>
  <si>
    <t>Improvement of Early Childhood Care  Development (EECD) Center,  Brgy. Minahan Norte,  General Nakar, Quezon</t>
  </si>
  <si>
    <t>Procurement of CCTV</t>
  </si>
  <si>
    <t>SUPPLY AND DELIVERY OF MOTORIZED FISHING BOAT</t>
  </si>
  <si>
    <t>Construction of MPP at Lower Collog, Junction, Pinukpuk</t>
  </si>
  <si>
    <t>CONCRETING OF FARM TO MARKET ROAD- BRGY. ABUNG</t>
  </si>
  <si>
    <t>Construction of Multi-Purpose Hall / Building Brgy. Banglos, General Nakar, Quezon</t>
  </si>
  <si>
    <t>Supply and Delivery of One (1) Unit Dropside Truck; PR No. 20-1367 dated 01 April 2020; SN 127 - 2020</t>
  </si>
  <si>
    <t>Purchase of materials for the fabrication/installation of Solar Streetlights at Asinga-Via, Baggao, Cagayan</t>
  </si>
  <si>
    <t>SUPPLY AND DELIVERY OF CONSTRUCTION MATERIALS FOR THE CONSTRUCTION OF CONCRETE BRIDGE LOCATED AT PUROK 2, SUPON, ALEGRIA, SAN FRANCISCO, AGUSAN DEL SUR</t>
  </si>
  <si>
    <t>Construction of Three (3) Storey 6 Classroom with Demolition at A. Mirasol Elementary School, mandurriao, Iloilo City (Bid No. 20-062)</t>
  </si>
  <si>
    <t>Installation of Street Lighting System at Brgy. Punong, Lapuz, Iloilo City (Bid No. 20-111)</t>
  </si>
  <si>
    <t xml:space="preserve">PEO-19-1503-B Construction of the Various Water Systems in the 2nd District of Iloilo: 1) Construction of Water System:      a. Sitio Bitin, Brgy. Jelicuon Oeste, New Lucena, Iloilo 2) Improvement of </t>
  </si>
  <si>
    <t>Installation of Street Lighting System at Brgy. Ingore, Lapaz, Iloilo City (Bid No. 20-120)</t>
  </si>
  <si>
    <t>CONCRETING OF FARM TO MARKET ROAD- BRGY. CALUBCUB 1.0</t>
  </si>
  <si>
    <t>SUPPLY AND DELIVERY OF VARIOUS OFFICE SUPPLIES FOR OFFICIAL USE OF CENRO SOCORRO</t>
  </si>
  <si>
    <t>Improvement of Multi-purpose Building</t>
  </si>
  <si>
    <t>INSTALLATION OF BOOKSHELVES FOR BUB FUNDED SCHOOL LIBRARY @ SAN NARCISO CENTRAL ELEMENTARY SCHOOL</t>
  </si>
  <si>
    <t>Construction/Rehabilitation of Existing Drainage System at Brgy. Loboc, lapuz, Iloilo City (Bid No. 20-116)</t>
  </si>
  <si>
    <t>Construction/Rehabilitation of Existing Drainage System at Brgy. Don Esteban, Lapuz, Iloilo City (Bid No. 20-108)</t>
  </si>
  <si>
    <t>Rehabilitation/Construction of Public Alley at Brgy. Concepcion, City Proper, Iloilo City (Bid No. 20-115)</t>
  </si>
  <si>
    <t>SUPPLY AND DELIVERY OF MATERIALS FOR THE REHABILITATION OF PIPE LINE @ BRGY. BUENAVISTA AND POBLACION</t>
  </si>
  <si>
    <t>Fabrication and Installation of Grills in Classrooms of Four (4) Storey Building at Fort San Pedro National High School, Iloilo City (Bid No. 20-112)</t>
  </si>
  <si>
    <t>Repair of Classrooms at Sambag Elementary School, Jaro, Iloilo City (Bid No. 20-109)</t>
  </si>
  <si>
    <t>Construction/Rehabilitation of Existing Drainage System at Brgy. Tabuc Suba, Jaro, Iloilo City (Bid No. 20-113)</t>
  </si>
  <si>
    <t>Rehabilitation of All Gabaldon Building at Iloilo Central Elementary School, City Proper, Iloilo City (Bid No. 20-110)</t>
  </si>
  <si>
    <t>To Provide Security Services for Silay City Water District (Office) for the period July 1 to December 31, 2020</t>
  </si>
  <si>
    <t>Construction/Rehabilitation of Existing Drainage System at Brgy. San Isidro, Lapaz, Iloilo City (Bid No. 20-114)</t>
  </si>
  <si>
    <t>Construction of ICARE Center at Time Square Gaisano, Gaisano Time Square Center Compound, B. Aquino Ave. Mandurriao, Iloilo City (Bid No. 20-123)</t>
  </si>
  <si>
    <t>Construction/Rehabilitation/Repair/Widening of Roads at Brgy. Claudio Castilla, EL-98, Jaro, Iloilo City (Bid No. 20-119)</t>
  </si>
  <si>
    <t>Supply and Delivery of Construction Supplies and Materials for the various projects of Brgy. Anao</t>
  </si>
  <si>
    <t>Purchase of One (1) Unit 1.5 HP Air Condition for DILG Office:</t>
  </si>
  <si>
    <t>Construction of Two (2) Storey Eight (8) Classrooms Building at N.J. Elementary School, Lapaz, Iloilo City (Bid No. 20-121)</t>
  </si>
  <si>
    <t>Purchase of IT Equipments for HRMO:</t>
  </si>
  <si>
    <t>Completion of Two (2) Storey Building Six (6) Classrooms at Uswag San Isidro Elementary School, Jaro, Iloilo City (Bid No. 20-122)</t>
  </si>
  <si>
    <t>To Provide Security Services for Silay City Water District (NHA 1/Yolanda Pumping Station) for the period July 1 to December 31, 2020</t>
  </si>
  <si>
    <t>To Provide Security Services for Silay City Water District (Bon-Bon Pumping Station) for the period July 1 to December 31, 2020</t>
  </si>
  <si>
    <t>Construction/Rehabilitation/Repair/Widening of Roads at Brgy. Tabuc Suba (Urban Poor Village Petals Ville) Jaro, Iloilo City (Bid No. 20-117)</t>
  </si>
  <si>
    <t>20FO0100 - Construction of Water Supply Systems Level II within the 3rd District of Albay (10 sites)</t>
  </si>
  <si>
    <t>Proposed Additional Floor and its completion of Dormitory Type Hotel at Brgy. San Jose, San Pablo City.</t>
  </si>
  <si>
    <t>To Provide Security Services for Silay City Water District (St. Francis Villa Rosario Pumping Station) for the period July 1 to December 31, 2020</t>
  </si>
  <si>
    <t>20CSKK0004 -  Conduct of Relocation Survey of Road-Right-of-Way (RROW) of Municipalities of Kinoguitan, Balingoan and Talisayan, All Barangays along Butuan-Cagayan de Oro-Iligan Road (BCIR) within Mun</t>
  </si>
  <si>
    <t>ITB 2020-06-65A Procurement of Various Office Supplies for OM</t>
  </si>
  <si>
    <t>SUPPLY AND DELIVERY OF HARDWARE SUPPLIES FOR THE COMPLETION OF AUXILIARY BUILDING (3RD FLOOR)</t>
  </si>
  <si>
    <t>ITB 2020-06-55A Procurement of Various I.T. Equipment for MCL</t>
  </si>
  <si>
    <t>Construction/Rehabilitation/Repair/Widening of Roads at ICAG Road, Molo, Iloilo City (Bid No. 20-118)</t>
  </si>
  <si>
    <t>Ugrading of Poblacion-Dananao Local Access Road</t>
  </si>
  <si>
    <t>Completion of City Hospital - Lumbia (Phase II); SN 128 - 2020</t>
  </si>
  <si>
    <t>ITB 2020-06-56A Procurement of Food and Drinks for OM</t>
  </si>
  <si>
    <t>ITB 2020-06-51A Procurement of Thirty-One (31) Air Conditioning Units for MCL</t>
  </si>
  <si>
    <t>Printing Services for NOTD-2020-0137</t>
  </si>
  <si>
    <t>Packaging Supplies for VET-2020-0098</t>
  </si>
  <si>
    <t>PRINTING AND PUBLISHING OF WORKBOOK (MATHEMATICS IN THE MODERN WORLD</t>
  </si>
  <si>
    <t>INSTALLATION OF VARIOUS SOLAR STREET LIGHTS, BRGY. BALITE, BUGA,BUGA, POBLACION DEL NORTE, POBLACION DEL SUR, CALBUGOS, CAPINAHAN, HIBULANGAN, JALAS, JORDAN, SAN FRANCISCO, ABIJAO, STA. CRUZ, SULPA, T</t>
  </si>
  <si>
    <t>AVRC-MEDICAL SUPPLIES FOR AVRC III</t>
  </si>
  <si>
    <t>Supply and Delivery of Other Supplies and Materials (5020399000-06-20-03)</t>
  </si>
  <si>
    <t>Improvement of Canal Service Road (2019-DII-ICSR#3-ALICIA-SAVINGS POW)</t>
  </si>
  <si>
    <t>Insurance Services for PAFF-2020-0080 &amp; 0081</t>
  </si>
  <si>
    <t>Information Technology Equipment for PESO-2020-0010</t>
  </si>
  <si>
    <t>Supply and Delivery of DOLE KABUHAYAN PROGRAM for Native Chicken and Egg Production</t>
  </si>
  <si>
    <t>Information Technology Equipment for GOV-2020-0092</t>
  </si>
  <si>
    <t>Improvement of Canal Service Road (2019-DII-ICSR#3-ANGADANAN-SAVINGS POW)</t>
  </si>
  <si>
    <t>Industrial Shredder for HOD-2020-0386</t>
  </si>
  <si>
    <t>PPE SUIT WITH HOOD</t>
  </si>
  <si>
    <t>20BF0059: Renovation of Planning and Design Section Office, Isabela Second District Engineering Office, San Antonio, Roxas, Isabela</t>
  </si>
  <si>
    <t>20BF0058: Repair/Maintenance of Mallig River Flood Control Structure at Brgy. San Pedro, Roxas, Isabela Sta. 0+000-Sta. 0+120, Roxas, Isabela</t>
  </si>
  <si>
    <t>Repair and Maintenance of Breastfeeding Room</t>
  </si>
  <si>
    <t>Purchase of Various Office Supplies for the use of LGU Laua-an</t>
  </si>
  <si>
    <t>Purchase of office supplies and consumables</t>
  </si>
  <si>
    <t>Veterinary Drugs &amp; Supplies for VET-2020-0140</t>
  </si>
  <si>
    <t>SUPPLY AND DELIVERY OF LOT 4: ASSORTED AGRICULTURAL SUPPLIES FOR ESTABLISHMENT OF SORGHUM MODEL FARM IN PALAWAN</t>
  </si>
  <si>
    <t>CONSTRUCTION OF LOCAL ROAD AND LINE CANAL</t>
  </si>
  <si>
    <t>WATER SOURCE DEVELOPMENT (SOURCE 2)</t>
  </si>
  <si>
    <t>Rehabilitation of Barangay Roads</t>
  </si>
  <si>
    <t>SUPPLY AND DELIVERY OF LOT 2: ASSORTED AGRICULTURAL SUPPLIES FOR ESTABLISHMENT OF SORGHUM MODEL FARM IN OCCIDENTAL MINDORO</t>
  </si>
  <si>
    <t>Airconditioning System for PEO-2020-0856</t>
  </si>
  <si>
    <t>Procurement of Hygiene and Sanitation Supplies</t>
  </si>
  <si>
    <t>CONSTRUCTION/IMPROVEMENT OF MULTI PURPOSE BUILDING (PHASE1)</t>
  </si>
  <si>
    <t>Concreting of Almojuela St. (Phase 2)</t>
  </si>
  <si>
    <t>IT Equipments for the Use of LGU-Cabatuan, Iloilo</t>
  </si>
  <si>
    <t>Construction of Flood Control Project (Gabion Type) Along Paliwan River at Brgy. Guinbanga-an, Laua-an, Antique</t>
  </si>
  <si>
    <t>PROCUREMENT OF 1 UNIT AMBULANCE FOR LGU-MAPANAS, NORTHERN SAMAR</t>
  </si>
  <si>
    <t>CONCRETE FENCING FOR EVACUATION CENTER - 2ND BIDDING</t>
  </si>
  <si>
    <t>REHABILITATION OF HEALTH CENTER</t>
  </si>
  <si>
    <t>DRUGS AND MEDICINES/RE-IB No. MM-2020-017(m)</t>
  </si>
  <si>
    <t>PROCUREMENT FOR THE SUPPLY, DELIVERY, INSTALLATION, TESTING AND COMMISSIONING OF TWO (2) UNITS OF PUMPING EQUIPMENT FOR THE IGACOS WATER DISTRICT’S WATER SUPPLY SYSTEM AND IMPROVEMENT PROJECT</t>
  </si>
  <si>
    <t>Information Technology Equipment for ADMI-2020-0021</t>
  </si>
  <si>
    <t>PURCHASE OF MOTORCYCLE (2 UNITS) - 2nd Bidding</t>
  </si>
  <si>
    <t>BNLSL-LCB-05A-2019 Construction of Canal System of Labiranan CIP, Dulag, Leyte</t>
  </si>
  <si>
    <t>Repair of Brgy. Mambog Multi-purpose School Building (District Office)</t>
  </si>
  <si>
    <t>MEDICAL AND DENTAL SUPPLIES/RE-IB No. MM-2020-011(m)</t>
  </si>
  <si>
    <t>CONSTRUCTION MATERIALS FOR THE REHABILITATION OF BRG. WHARF AT MAHANAY , TALIBON, BOHOL</t>
  </si>
  <si>
    <t>DRUGS AND MEDICINES/NEG. PROC. No. MM-2020-005(m)</t>
  </si>
  <si>
    <t>MEDICAL SUPPLIES/RE-IB No. MM-2020-013(m)</t>
  </si>
  <si>
    <t>SUPPLY AND DELIVERY OF BRAND NEW SERVICE VEHICLES, INCLUDING PREVENTIVE MAINTENANCE SERVICE (2 LOTS)</t>
  </si>
  <si>
    <t>SUPPLY AND DELIVERY OF  ICT EQUIPMENT</t>
  </si>
  <si>
    <t>MEDICAL SUPPLIES/RE-IB No. MM-2020-014(m)</t>
  </si>
  <si>
    <t>MEDICINES/RE-IB No. MM-2020-018(m)</t>
  </si>
  <si>
    <t>Safety and Occupational Products</t>
  </si>
  <si>
    <t>Improvement of Barangay Hall ( Installation of sliding Window)</t>
  </si>
  <si>
    <t>SUPPLY AND DELIVERY OF  FILLING CABINET AND SOFA SET</t>
  </si>
  <si>
    <t>TIRES 255/60 R18/SVP No. M-2020-04-006</t>
  </si>
  <si>
    <t>SUPPLY AND DELIVERY OF LED SMART TV</t>
  </si>
  <si>
    <t>Procurement of Civil Works-Construction of 2 storey building to accommodate PUIs/PUMs</t>
  </si>
  <si>
    <t>MG-A5M20-102 ( ELECTRODE, BRONZE )</t>
  </si>
  <si>
    <t>PURCHASE OF MICRONUTRIENT POWDER FOR COMPREHENSIVE NUTRITION PROGRAM</t>
  </si>
  <si>
    <t>SUPPLY AND DELIVERY OF BRAND NEW MOTORCYCLE WITH SINGLE PASSENGER SIDE CAR</t>
  </si>
  <si>
    <t>MEDICAL, DENTAL AND LABORATORY SUPPLIES/SVP No. DD-2020-02-011(m)</t>
  </si>
  <si>
    <t>SUPPLY AND DELIVERY OF JANITORIAL AND CLEANING SUPPLIES FOR VARIOUS DEPARTMENTS/OFFICES IN THE CITY GOVERNMENT OF MAKATI</t>
  </si>
  <si>
    <t>SUPPLY AND DELIVERY OF VARIOUS INSTRUMENTS/EQUIPMENT FOR MAKATI HEALTH DEPARTMENT</t>
  </si>
  <si>
    <t>SUPPLY AND DELIVERY OF GROCERY SUPPLIES FOR VARIOUS OFFICES OF THE CITY GOVERNMENT OF MAKATI</t>
  </si>
  <si>
    <t>100	BOX	Allopurinol 100mg, tablet, 100's, etc. PR # 288-20</t>
  </si>
  <si>
    <t>CONCRETING OF ROAD @ PAJAYON STREET, BRGY. IRIRON, CALINTAAN OCCIDENTAL MINDORO</t>
  </si>
  <si>
    <t>10	boxes	Aciclovir 400mg tablet, 100's, etc. PR # 231-20</t>
  </si>
  <si>
    <t>SPARE PARTS/SVP No. K-2020-06-002</t>
  </si>
  <si>
    <t>18	pieces	Wheelchair, PR # 345-20</t>
  </si>
  <si>
    <t>CONSTRUCTION OF CONCRETE PAVEMENT AT SITIO 5</t>
  </si>
  <si>
    <t>Purchased of Motorcycle</t>
  </si>
  <si>
    <t>SUPPLY AND DELIVERY OF APPLIANCES AND OTHER EQUIPMENT FOR VARIOUS DEPARTMENTS/OFFICES OF THE CITY GOVERNMENT OF MAKATI</t>
  </si>
  <si>
    <t>Heavy Duty Storage Tub (Small, Medium &amp; Large)</t>
  </si>
  <si>
    <t>Procurement of Materials for Construction/Rehab of WWS for san francisco de asis</t>
  </si>
  <si>
    <t>procurement of diesel fuel</t>
  </si>
  <si>
    <t>Supply &amp; Delivery of Construction Materials for the Repair of Public Market (Fish Section)</t>
  </si>
  <si>
    <t>2020-06-662</t>
  </si>
  <si>
    <t>TIRES TUBELESS/SVP No. K-2020-06-006</t>
  </si>
  <si>
    <t>SUPPLY AND DELIVERY OF OFFICE EQUIPMENT AND SUPPLIES FOR VARIOUS DEPARTMENTS/OFFICES OF THE CITY GOVERNMENT OF MAKATI</t>
  </si>
  <si>
    <t>150	BOX	Metformin HCL 500 mg, 100 tab/box, etc. PR # 492-20</t>
  </si>
  <si>
    <t>TIRES/SVP No. K-2020-06-003</t>
  </si>
  <si>
    <t>Rental of Vehicle for the Validation of Listahanan 3</t>
  </si>
  <si>
    <t>Procurement of Materials for the Construction of Multi-Purpose Building (Phase 3)</t>
  </si>
  <si>
    <t>20CN0151 - A. Repair/Maintenance of Pingit Creek Revetment 2 &amp; 3 Flood Control, Brgy. Pingit, Baler, Aurora and B. Repair/Maintenance of Cabatangan River Revetment 2 Flood Control, Brgy. Dikildit, Mar</t>
  </si>
  <si>
    <t>Procurement of Courier Services for PSO Bukidnon 12months (1year) PR NO. 2020-06-037</t>
  </si>
  <si>
    <t>IT Supplies and Devices (FDA-CSL-DTQAL)</t>
  </si>
  <si>
    <t>OUTSOURCING OF BASIC CLINICAL AND DIAGNOSTIC LABORATORY SUPPLIES AND SERVICES THROUGH AN ORDERING AGREEMENT</t>
  </si>
  <si>
    <t>Purchased of Multi-Cab/Barangay Patrol Car</t>
  </si>
  <si>
    <t>Partition of Session Hal</t>
  </si>
  <si>
    <t>OUTSOURCING OF IMAGING SERVICES FOR VULNERABLE GROUPS THROUGH AN ORDERING AGREEMENT</t>
  </si>
  <si>
    <t>Solid Waste Management (Hauling), Office of the Municipal Agriculturist, San Jose, Batangas</t>
  </si>
  <si>
    <t>Installation of Street Light(Solar)</t>
  </si>
  <si>
    <t>Procurement of Materials for Installation of Deep Well Hand Pumps</t>
  </si>
  <si>
    <t>100	UNITS	Modular Tent w/ mosquito net, PR # 496-20</t>
  </si>
  <si>
    <t>20CN0152 - Repair/Rehabilitation of Slope Protection along National Roads, A. Castañeda – Ma. Aurora San Luis Road, K0226+375, K0202+850, Dimasalang Bridge</t>
  </si>
  <si>
    <t>20CSPH01 - Geotechnical Investigation for Slope Protection Projects along Various Road Sections in Mountain Province for FY 2020</t>
  </si>
  <si>
    <t>CONSTRUCTION OF DAY CARE CENTER @ SO. MALATIKWANG, BRGY. NEW DAGUPAN, CALINTAAN OCCIDENTAL MINDORO</t>
  </si>
  <si>
    <t>20CN0150 -Construction of Multi-Purpose Building, Brgy. Dibaraybay, Dinalungan, Aurora</t>
  </si>
  <si>
    <t>Reagents and Consummables (FDA-CSL-DTQAL)</t>
  </si>
  <si>
    <t>Construction/ Improvement of Access Roads leading to Airports - Guicadale Road Network to International Airport (Sitio Bugit Road Section), Imalnod, Legazpi City, Albay</t>
  </si>
  <si>
    <t>Supply of Labor, Materials and Equipment for Riprapping, Brgy. Pinagtung-Ulan, San Jose, Batangas</t>
  </si>
  <si>
    <t>REPLACEMENT OF DEFECTIVE EMERGENCY AND EXIT LIGHTS AT MAIN, ANNEX I &amp; 2, DIAGNOSTIC CENTER BUILDING</t>
  </si>
  <si>
    <t>Training Supplies for the use of NHTU to the Post Assessment of Field Staff</t>
  </si>
  <si>
    <t>Rehabilitation of Farm-to-Market Road - Lubing (Arsadanan)</t>
  </si>
  <si>
    <t>Purchase of Water Meters (SFWSS)</t>
  </si>
  <si>
    <t>Supply and Delivery of Construction Materials for Water System Project</t>
  </si>
  <si>
    <t>Supply of Labor, Materials and Equipment for Riprapping, Brgy. Galamay Amo, San Jose, Batangas</t>
  </si>
  <si>
    <t>CONSTRUCTION OF LINE CANAL, BRGY. HINABUYAN, ILIGAY, SAN VICENTE, VILLABA, LEYTE SOURCE OF FUND: 20% AIP 2020</t>
  </si>
  <si>
    <t>Supply and Delivery of  5.56MM Ammunition (SS109/M855) for JUNE 2020</t>
  </si>
  <si>
    <t>procurement of Laptop</t>
  </si>
  <si>
    <t>MPBRIS-LCB-08A-2019 Construction of Canal System of Mainit RIS, Alangalang, Leyte</t>
  </si>
  <si>
    <t>SUPPLY &amp; DELIVERY OF ASSORTED VEGETABLE SEEDS UNDER DA YRRP-ESETS PROGRAM</t>
  </si>
  <si>
    <t>Procurement of Various Paints, Paint Thinners and Painting Tools and Materials to be Used in Brigada Eskwela 2020</t>
  </si>
  <si>
    <t>Office Supplies for the use of Social Pension staff in the implementation of the program</t>
  </si>
  <si>
    <t>Procurement of Diesel for Light and Heavy Equipment</t>
  </si>
  <si>
    <t>Supply of Labor, Materials and Equipment for the Purchase and Installation of Street Lights, Various Barangay, San Jose, Batangas</t>
  </si>
  <si>
    <t>PW-2020-08</t>
  </si>
  <si>
    <t>CONCRETING OF BARANGAY ROAD (Brgy. Palingowak)</t>
  </si>
  <si>
    <t>Supply of Labor, Materials and Equipment for the Construction of Pathways, Brgy. Pinagtung-Ulan, San Jose, Batangas</t>
  </si>
  <si>
    <t>BARANGAY RESCUE VEHICLE(BONGGO DOUBLE CAB)</t>
  </si>
  <si>
    <t>Second Quarter Various Office Supplies</t>
  </si>
  <si>
    <t>Purchase of Diesel and Lubricant for Road Graveling of Barangay Villakapa, San Pablo, ZDS.</t>
  </si>
  <si>
    <t>CONSTRUCTION OF PATHWAY</t>
  </si>
  <si>
    <t>Vehicle Spare Parts and Accessories</t>
  </si>
  <si>
    <t>REPAIR/IMPROVEMENT OF BRGY. RECREATION CENTER, BRGY. SAN VICENTE, VILLABA, LEYTE SOURCE OF FUND: BRGY. SAN VICENTE FUND</t>
  </si>
  <si>
    <t>Purchase of Office Accessories and Supplies under SEF (2nd Bid Opening)</t>
  </si>
  <si>
    <t>Construction of Multi-Purpose Hall</t>
  </si>
  <si>
    <t>SLEEPING GEARS TO BE USED IN THE COVID-19 MUNICIPAL TEMPORARY TREATMENT AND ISOLATION FACILITY</t>
  </si>
  <si>
    <t>OFFICE SUPPLIES FOR STOD 1st &amp; 2nd QUARTER</t>
  </si>
  <si>
    <t>Supply and Delivery of Fuel, Oil and Lubricants use for the Construction/Rehab. of Local Roads.</t>
  </si>
  <si>
    <t>Supply and Delivery of Service Card Cabinet</t>
  </si>
  <si>
    <t>Supply and Delivery of Multi-Purpose Vehicles</t>
  </si>
  <si>
    <t>Bid No. 20-0266 - PROCUREMENT OF AGRICULTURAL EQUIPMENT - MENRO (DEVELOPMENT AND OPERATIONS OF ESWM-PARK</t>
  </si>
  <si>
    <t>Improvement of BDRRM (Covered Court)</t>
  </si>
  <si>
    <t>Purchase of One (1) Unit 4x4 Pick up Vehicle</t>
  </si>
  <si>
    <t>MICROBIAL INOCULANT HW 2101 (FOR THE WASTE WATER INFLUENT PRETREATMENT USE)</t>
  </si>
  <si>
    <t>Procurement of Various Office and IT Equipment of Different Offices - LGU Laak, Davao De Oro</t>
  </si>
  <si>
    <t>Machinery and Equipment Repair and Maintenance</t>
  </si>
  <si>
    <t>Veterinary Equipment for VET-2020-0123 &amp; 0124</t>
  </si>
  <si>
    <t>Medical, Laboratory and Birthing Facility Supplies for the 1st and 2nd Quarter 2020</t>
  </si>
  <si>
    <t>TO BE USED IN THE COVID-19 MUNICIPAL TEMPORARY TREATMENT AND ISOLATION FACILITY.</t>
  </si>
  <si>
    <t>P.R No. 2020-AS-06-019(PPE &amp; Automatic Dispenser) Administrative Section</t>
  </si>
  <si>
    <t>PURCHASE OF IT EQUIPMENT FOR GIS MAPPING</t>
  </si>
  <si>
    <t>1 lot supply and delivery of various computer consumables for Brother Printers</t>
  </si>
  <si>
    <t>AGRICULTURAL PRODUCTS</t>
  </si>
  <si>
    <t>Spare Parts for OPA-2020-0277, 0280, 0281, 0282</t>
  </si>
  <si>
    <t>Outside labor and materials for cleaning and disinfecting 1 unit elevated concrete tank - 10,000 gals 1 unit elevated steel tanks - 8,000 gals 1 unit cistern concrete tank - 40,000 gals 1 unit cistern</t>
  </si>
  <si>
    <t>PR NO. 2020-06-014 PURCHASE OF MATERIALS FOR REHABILITATION OF DAMAGED SLOPE PROTECTION ALONG SAN FERNANDO NORTH ROAD (K0026+700), TICAO ISLAND, MASBATE</t>
  </si>
  <si>
    <t>Military Cot Bed, Heavy Duty</t>
  </si>
  <si>
    <t>Electronic Components</t>
  </si>
  <si>
    <t>IT CONSUMABLES</t>
  </si>
  <si>
    <t>AGRICULTURAL MACHINERY &amp; EQUIPMENT</t>
  </si>
  <si>
    <t>20GFD0007 – Supply and Delivery of Materials for Repair and Maintenance of Road Safety Facilities along Daang Maharlika  (selected station limits) K0394+000 - K0396+000 and Rolando R. Andaya Highway K</t>
  </si>
  <si>
    <t>REHABILITATION/IMPROVEMENT OF THE MUNICIPAL BUILDING, MAGALLANES, CAVITE</t>
  </si>
  <si>
    <t>Procurement of TRAFFIC CONTROL SYSTEM</t>
  </si>
  <si>
    <t>Supply and Delivery of Spare Parts use for the repair and Maintenance of Backhoe Loader.</t>
  </si>
  <si>
    <t>REPAIR &amp; IMPROVEMENT OF SCHOOL PATHWAY FOR SENIOR HS 2ND PHASE</t>
  </si>
  <si>
    <t>IT Equipment</t>
  </si>
  <si>
    <t>Procurement for the Supply and Delivery of Pipeline Materials for Operation &amp; Maintenance of 3rd &amp; 4th Quarter of CY 2020</t>
  </si>
  <si>
    <t>SOIL/ GEOTECHNICAL INVESTIGATION FOR THE PROPOSED CONSTRUCTION OF VARIOUS FLOOD CONTROL PROJECTS AND PROPOSED CONSTRUCTION OF BUILDING PROJECT WITHIN 5TH AND 6TH DISTRICT OF PANGASINAN</t>
  </si>
  <si>
    <t>20GFD0008 – Supply and Delivery of Materials for the Repair and Maintenance of National Roads and Bridges along Rolando R. Andaya Highway K0282+(-916) to K0312+000  &amp; Sipocot-Cabusao Road K0394+(-816)</t>
  </si>
  <si>
    <t>Purchase of Office Equipment</t>
  </si>
  <si>
    <t>Procurement of 100w Solar Powered LED Streetlights for Brgys. San Jose and San Agustin, all of Bula, Camarines Sur</t>
  </si>
  <si>
    <t>Improvement of Covered Court Facilities</t>
  </si>
  <si>
    <t>Construction of Stone Masonry Riverwall Along Creek at Antipolo Hills Subdivision, Brgy. San Luis, Antipolo City</t>
  </si>
  <si>
    <t>AGRICULTURAL PRODUCTS (SEEDS)</t>
  </si>
  <si>
    <t>Purchase of Equipment for Media &amp; Content Production for Information, Education &amp; Communication</t>
  </si>
  <si>
    <t>PR NO. 2020-06-015 PURCHASE OF MATERIALS FOR RESURFACING OF UNPAVED ROADS &amp; SHOULDERS, TICAO &amp; BURIAS ISLAND, MASBATE</t>
  </si>
  <si>
    <t>IB-GOODS-2020-09 Procurement of Drugs and Medicines</t>
  </si>
  <si>
    <t>SUPPLY AND INSTALLATION OF 1-UNIT SPLIT WALL MOUNTED INVERTER TYPE AIRCONDITIONER FOR LABORATORY CLINICAL CHEMISTRY</t>
  </si>
  <si>
    <t>Construction of Drainage Canal along Magbanua Street</t>
  </si>
  <si>
    <t>cleaning/Declogging of all the drainage and manhole</t>
  </si>
  <si>
    <t>CONCRETING OF FARM-TO-MARKET ROAD AT SITIO KAY-APAS, BRGY. MEDINA, MAGALLANES, CAVITE</t>
  </si>
  <si>
    <t>PR #06-013-20 MATERIALS FOR THE REPAIR OF OPEN HALL OF DORMITORY (DA-SCRC)</t>
  </si>
  <si>
    <t>Subscription to Fortinet Firewall (FG500d) for Head Office and SEC Co-location (FG501E) with FortiAnalyzer</t>
  </si>
  <si>
    <t>Fishing Nets for OPA-2020-0251</t>
  </si>
  <si>
    <t>BARANGAY GARBAGE TRUCK (BONGGO SINGLE CAB)</t>
  </si>
  <si>
    <t>IMPROVEMENT OF COVERED COURT @ CALINTAAN CENTRAL SCHOOL, CALINTAAN OCCIDENTAL MINDORO</t>
  </si>
  <si>
    <t>INF ITB 20-028 Spring Development at Sitio Blit, Brgy. Ned, Lake Sebu, South Cotabato</t>
  </si>
  <si>
    <t>Purchase of Laptop and Extension Cords</t>
  </si>
  <si>
    <t>Supply and Delivery for the City Disaster Risk Reduction and Management Office (CDRRMO) under P.R.No. 0693-2020-Subject to Ordering Agreement Arrangement</t>
  </si>
  <si>
    <t>Construction of Stone Masonry Riverwall (Portion) Along Labahan Creek at Palemon Street, Crestview Subdivision, Brgy. Cupang, Antipolo City</t>
  </si>
  <si>
    <t>Spring/Well Development</t>
  </si>
  <si>
    <t>Repair/Rehabilitation Works of Three (3) Storey Six (6) Rooms PLED Building at San Isidro National High School Brgy San Isidro, Antipolo City</t>
  </si>
  <si>
    <t>Procurement of supply and delivery of Training Supplies</t>
  </si>
  <si>
    <t>Fabrication &amp; Installation of Street Lights</t>
  </si>
  <si>
    <t>SUPPLY AND DELIVERY OF VARIOUS MATERIALS/FITTINGS FOR OFFICE STOCKS</t>
  </si>
  <si>
    <t>Payment of Fuel for Barangay Roads Rehabilitation</t>
  </si>
  <si>
    <t>PURCHASE OF COVID19 TEST KITS (RAPID DIAGNOSTIC TEST)</t>
  </si>
  <si>
    <t>Supply and delivery of training supplies and  materials</t>
  </si>
  <si>
    <t>Supply and Delivery of Office and IT Equipment</t>
  </si>
  <si>
    <t>Supply and Delivery of 249 sacks RICE to be given to DA Skeletal Workforce with an ABC of P323,700.00 &amp; PR#DA3-2020-6-5-73</t>
  </si>
  <si>
    <t>Purchase of Goods (Fixtures)</t>
  </si>
  <si>
    <t>PR NO. 2020-06-013 PURCHASE OF MATERIALS FOR DAMAGED MANHOLE AND SLOPE PROTECTION ALONG SAN FERNANDO NORTH ROAD &amp; SAN FERNANDO TALISAY ROAD, TICAO ISLAND, MASBATE</t>
  </si>
  <si>
    <t>Supply and Delivery of Tire w/Interior use for the repair and maintenance of Backhoe Loader.</t>
  </si>
  <si>
    <t>Concreting of Road 1 and Construction of Drainage Canal at Bayugo-Padi Heights Subd., Brgy. San Luis, Antipolo City</t>
  </si>
  <si>
    <t>Repair/ Repainting of Covered Court and Rewiring of School Building at Brgy. Sta. Cruz and Brgy. San Isidro, Antipolo City (2020 – Package 19)</t>
  </si>
  <si>
    <t>Concrerting of Brgy. Road @ Brgy. Bucal, Concepcion 1, Concepcion Banahaw, Concepecion Pinagbakuran, Guis-guis Talon, Lutucan 1, Lutucan Malabag, Manggalang 1, Manggalang Tulo-tulo and Mamala 2, Saria</t>
  </si>
  <si>
    <t>Concreting of Ilang-Ilang St. at Bermuda Heights Subd., Brgy. San Luis, Antipolo City</t>
  </si>
  <si>
    <t>Various Infrastructure Projects (Infra-20-08), Kabankalan City, Negros Occidental</t>
  </si>
  <si>
    <t>Purchase of Goods (Citation Ticket and Sticker)</t>
  </si>
  <si>
    <t>SUPPLY AND DELIVERY OF MATERIALS TO USED FOR INSTALLATION OF STREET LIGHTS</t>
  </si>
  <si>
    <t>Procurement and Delivery of Various Goods</t>
  </si>
  <si>
    <t>SUPPLY AND DELIVERY OF VARIOUS OFFICE SUPPLIES FOR OFFICE STOCKS</t>
  </si>
  <si>
    <t>Repair/Repainting of School Canteen at Bagong Nayon II National Highschool - Annex, Brgy. San Isidro, Antipolo City</t>
  </si>
  <si>
    <t>Purchase of Construction Materials for use in the Construction of Seventy (70) units Socialized Housing (Phase 2) at DonVictor Ville, Brgy. Silangang Mayao, Lucena City as requested by City Engineerin</t>
  </si>
  <si>
    <t>Office Supplies for the use of RRCY Residents and Staff intended for the 1st Semester 2020</t>
  </si>
  <si>
    <t>FABRICATION OF SCHOOL WINDOW GRILLS FOR SENIOR HS</t>
  </si>
  <si>
    <t>Repair/ Improvement of Two(2) Storey, Four(4) Classrooms AUS-AID Building at Old Boso-Boso Elementary School, Sitio Boso-Boso Brgy. San Jose, Antipolo City</t>
  </si>
  <si>
    <t>Delivery of one (1) unit Dump truck</t>
  </si>
  <si>
    <t>Rebidding: 35 cu.m Coarse Aggregates (2” max. size) and other items for Barangay Balugo-road concreting of Carolina P. Umbac street.</t>
  </si>
  <si>
    <t>Improvement/ Replacement/ Repair/ Repainting at Various Schools, Brgy. Cupang, Antipolo City  (2020 – Package 20)</t>
  </si>
  <si>
    <t>MODULAR TENT FOR EVACUATION CENTER (MDRRMO)</t>
  </si>
  <si>
    <t xml:space="preserve">RFQ - 3 guards Security Services: One year services with the following requirements : 9mm Pistol 12GA shotgun with basic load ammunication, Nigntstick (Batuta), First Aid Kit, Hand Cuffs, Flushlight, </t>
  </si>
  <si>
    <t>Bid No. 20-0267 - PROCUREMENT OF FOOD SUPPLIES - MO/MPOC (CAFGU) FOR THE MONTH OF SEPTEMBER 2020</t>
  </si>
  <si>
    <t>Purchase of Construction Materials for use in the Repairs and Maintenance of various Barangay Facilities in Lucena City as requested by CMO(PR# 155)REBID</t>
  </si>
  <si>
    <t>Concreting of Brgy. Road @ Brgy. Antipolo, Janagdong 2, Manggalang Bantilan, Manggalang Kiling, Sampaloc Bogon, and Tumabaga 2, Sariaya, Quezon</t>
  </si>
  <si>
    <t>Concreting of Brgy. Road @ Brgy. Balubal, Gibanga, Lutucan Bata, Mamala 1, Montecillo, Morong, Pili, Sampaloc 2, Tumbaga 1 and Talaan Pantoc, Sariaya, Quezon</t>
  </si>
  <si>
    <t>Procurement for the Supply and Delivery of Plumbing Fixtures &amp; Fitting Materials for the 3rd and 4th Quarter Operation and Maintenance Requirement</t>
  </si>
  <si>
    <t>Construction &amp; Improvement of Various Infrastructure Projects</t>
  </si>
  <si>
    <t>Delivery of one (1) unit Payloader</t>
  </si>
  <si>
    <t>Concreting of Barangay Road @ Brgy. Bignay 1, Bignay 2, Canda, Castañas, Concepcion Palasan, Janagdong 1, Guis-guis San Roque, Sampaloc 1, Sto. Cristo and Talaan Aplaya, Sariaya, Quezon</t>
  </si>
  <si>
    <t>Improvement of Covered Pathwalk at Bagong Nayon II Elementary School, Brgy. San Isidro, Antipolo City</t>
  </si>
  <si>
    <t>Purchase of Construction Materials for use in the Repairs and Maintenance of various Barangay Facilities in Lucena City as requested by CMO(PR# 154)REBID</t>
  </si>
  <si>
    <t>Procurement of One (1) Unit of Desktop and One (1) Unit Laptop</t>
  </si>
  <si>
    <t>Construction of Covered Pathwalk  and Repair/ Improvement of Sitio Hall at Brgy. San Jose, Antipolo City (2020 – Package 21)</t>
  </si>
  <si>
    <t>Improvement of internet</t>
  </si>
  <si>
    <t>IMPROVEMENT OF PUBLIC COMFORT ROOM @ MUNICIPAL COMPOUND, BRGY. POBLACION, CALINTAAN OCCIDENAL MINDORO</t>
  </si>
  <si>
    <t>Construction of Brgy. Water Supply System @ Purok 3, Brgy. Sto. Cristo, Sariaya, Quezon</t>
  </si>
  <si>
    <t>Invitation to bid for the major repair of community fish landing center at Sitio Impapanan, Armenia, Uson, Masbate</t>
  </si>
  <si>
    <t>Waterworks Materials</t>
  </si>
  <si>
    <t>Four (4) Units Transparent Double Top Stainless Table</t>
  </si>
  <si>
    <t>HOSPITAL WATER FILTRATION USE</t>
  </si>
  <si>
    <t>Procurement of Various Projects (Package 3)</t>
  </si>
  <si>
    <t>SUPPLY AND DELIVERY OF MATERIALS TO BE USED IN CONCRETING OF BARANGAY ROAD, SITIO 2, BARANGAY ARANGIN</t>
  </si>
  <si>
    <t>Utility Supplies 2020</t>
  </si>
  <si>
    <t>Procurement of Catering Services-06-052(M)OPAG</t>
  </si>
  <si>
    <t>Completion of Tabo-an Center at Bgy. San Jose De Oro</t>
  </si>
  <si>
    <t>Purchase of Materials for use in the Repair of Water System at Dalubhasaan ng Lungsod ng Lucena(PR# 160)REBID</t>
  </si>
  <si>
    <t>CATERING SERVICES</t>
  </si>
  <si>
    <t>Procurement and Delivery of Technical and Scientific Equipment</t>
  </si>
  <si>
    <t>Purchase of Sound System with Complete Accessories for use in the various programs, events and activities of the City Government as requested by CGSO(PR# 158)REBID</t>
  </si>
  <si>
    <t>Invitation to bid for the construction of 200 sq. meters reinforced concrete solar dryer pavement at Del Carmen, Uson, Masbate</t>
  </si>
  <si>
    <t>Construction of Drainage Canal along Panes-Laud Street</t>
  </si>
  <si>
    <t>Procurement of Catering Services-06-053(M)OPAG</t>
  </si>
  <si>
    <t>PURCHASE OF EXTERNAL HARD DRIVE</t>
  </si>
  <si>
    <t xml:space="preserve">Public Bidding of 3 Lots for the Supply and Delivery of Office Supplies, Computer Inks &amp; Cartridges and Janitorial Supplies for the use of Various Offices in the Roxas City Government (2nd Qtr) under </t>
  </si>
  <si>
    <t>Rebidding: 345 cu.m concrete premix (3000 psi @ 28 days) cf: 9 bags/cu.m  for Barangay Balugo-road concreting of Carolina P. Umbac street.</t>
  </si>
  <si>
    <t>Construction Materials and Supply</t>
  </si>
  <si>
    <t>RFQ - Assorted Construction Materials for use in Maintenance Activities (2nd Quarter) (Maintenance Section)</t>
  </si>
  <si>
    <t>Construction of Bleacher, Canopy and Perimeter Fence at Sierra Vista Subdivision, Brgy. Cupang, Antipolo City</t>
  </si>
  <si>
    <t>Contract ID No. 20K00349 - Const. of By-Pass and Diversion Road Jct. CDO Talakag Road/ Macapagal Drive-Upper Carmen-Patag-Jct. BCIR/ Kauswagan, Cagayan de Oro City</t>
  </si>
  <si>
    <t>Procurement of Farm Implements and Equipments</t>
  </si>
  <si>
    <t>2,485 cu.m. Loose Earth Soil for Vegetation and other items for site grading, stabilization and final cover of Dumpsite (Closure Plan) Phase I, Barangay Candau-ay.</t>
  </si>
  <si>
    <t>Purchase of Painting and Construction Materials for use in the Rehabilitation of Old City Accounting Office at Brgy. V, Lucena City as requested by CMO(PR# 166)REBID</t>
  </si>
  <si>
    <t>PROCUREMENT OF PAYROLL SYSTEM</t>
  </si>
  <si>
    <t>Pocket Colorimeter</t>
  </si>
  <si>
    <t>Purchase of Construction Materials for use in the Improvement of Livelihood Building at Brgy. Marketview, Lucena City as requested by City Engineering Office(PR# 167)REBID</t>
  </si>
  <si>
    <t>Procurement of Catering Services-06-054(M)OPAG</t>
  </si>
  <si>
    <t>Feeds</t>
  </si>
  <si>
    <t>Procurement of Submersible Pump &amp; Accessories for Barangay Poblacion</t>
  </si>
  <si>
    <t>Construction of Foundation of Niches at City Public Cemetery No. 2, Sto. Niño St., Barangay San Jose, Antipolo  City</t>
  </si>
  <si>
    <t>Outsourcing of Ten (10) Personnel to Perform the Distribution of Water Bills within the Service Areas of the District (Rebidding)</t>
  </si>
  <si>
    <t>Purchase of materials for the construction of Drainage Canal, Purok Kapitan Andres-Mabini, Barangay I, Pob. Ilog, Neg. Occ</t>
  </si>
  <si>
    <t>Purchase of Painting Materials for use in support for the Brigada Eskwela of Different Public Elementary Schools in Lucena City as requested by DepEd - Lucena(PR# 171)REBID</t>
  </si>
  <si>
    <t>Contract ID No. 20K00350 - Const. of By-Pass and Diversion Roads Cagayan de Oro Diversion Road, (Jct. Balubal Sayre Highway-Pueblo de Oro, CDO-Old Airport Road Diversion Road (Pueblo de Oro/ Jct. CDO-</t>
  </si>
  <si>
    <t>Purchase of 1 unit municipal ambulance</t>
  </si>
  <si>
    <t>ILD-20-1946(R1): Procurement of Other Supplies to be used in the ILD Office of the Division Chief and Laboratories</t>
  </si>
  <si>
    <t>Purchase of Painting Materials for use in support for the Brigada Eskwela of Different Public Elementary Schools in Lucena City as requested by DepEd - Lucena(PR# 172)REBID</t>
  </si>
  <si>
    <t>20GLD0035-Procurement of Freight &amp; Handling of various Documents-For shipment and deliveries of mail matters &amp; logistics</t>
  </si>
  <si>
    <t>EXTENSION OF MULTIPURPOSE HALL(18m x 12m ) Marawer Kapatagan Digos City</t>
  </si>
  <si>
    <t>ink</t>
  </si>
  <si>
    <t>PR. 20-05-170 (2020-05-174 2ND QUOTE) PROCUREMENT OF SUPPLY OF ENGINE COUPLED WITH TRANSMISSION FOR REPLACEMENT OF MINI DUMPTRUCK</t>
  </si>
  <si>
    <t>Procurement of Sacks for the operation of Municipal Reaper Machine</t>
  </si>
  <si>
    <t>Contract ID No. 20K00351 - Const. of By-Pass and Diversion Roads, Claveria-Balingoan By-Pass Road, (Kabangasan-Mapua Section), Misamis Oriental</t>
  </si>
  <si>
    <t>PROCUREMENT OF HONDA XR150L MOTORCYCLE</t>
  </si>
  <si>
    <t>One (1) Unit Dehumidifier</t>
  </si>
  <si>
    <t>Common Use Supplies 2020 (Fund 164)</t>
  </si>
  <si>
    <t>Construction of Drainage System Phase IV at Maguey Road, Barangay San Luis, Antipolo City</t>
  </si>
  <si>
    <t>Purchase of Multi-Purpose Vehicle for the use of Ilog Rural Health Unit. Ilog, Negros Occidental</t>
  </si>
  <si>
    <t>Construction of Drainage System Phase III at Maguey Road, Barangay San Isidro, Antipolo City</t>
  </si>
  <si>
    <t>Purchase of Printers, Desktop and Laptop Computers for use in the Office of the Schools Superintendent, Supply Office and Division Office of DepEd - Lucena(PR# 173)REBID</t>
  </si>
  <si>
    <t>RFQ - Assorted Construction Materials for use in Maintenance Activities (2nd Quarter)</t>
  </si>
  <si>
    <t>Invitation to bid for the purchase of 1 unit garbage truck</t>
  </si>
  <si>
    <t>Supply and Delivery of Cooking Tools and Materials</t>
  </si>
  <si>
    <t>Concreting of Barangay Road - Sto. Nino Street, Baybay, Caramoran</t>
  </si>
  <si>
    <t>Supply and Delivery of 2 Months Old Muscovy Ducklings for the Livestock Livelihood Program on Duck Production in Support to National Livestock Program  (NLP) for ATI-RTC XII.</t>
  </si>
  <si>
    <t>Livestocks</t>
  </si>
  <si>
    <t>Rubber Gloves etc. - REBID (03-0353)CGSO</t>
  </si>
  <si>
    <t>SUPPLY AND INSTALLATION OF 1-UNIT 1.5 HP SPLIT WALL MOUNTED INVERTER TYPE AIRCONDITIONER FOR LABORATORY HISTOPATHOLOGY ROOM, GROUND FLOOR PAYWARD BUILDING</t>
  </si>
  <si>
    <t>Fertilizer</t>
  </si>
  <si>
    <t>PR NO. 2020-06-012 PURCHASE OF TIRES FOR USE IN SERVICE VEHICLE NISSAN NAVARRA (FON334)</t>
  </si>
  <si>
    <t>Maintenance and Rehabilitation of CCTV Fiber Optic System  Iba O'este, Calumpit, Bulacan</t>
  </si>
  <si>
    <t>TRANSPORTATION AND DELIVERY EXPENSES (WATER TRUCK DELIVERY)</t>
  </si>
  <si>
    <t>Invitation to bid for the purchase of 165 pails paint and 1,000 sacks cement</t>
  </si>
  <si>
    <t>P.R. No. X1-20-03-187 - Supply and Delivery for the Replacement of two (2) defective units at Information and Communication Technology Unit-Command Center, Network Room. End-user: Command Center Staff</t>
  </si>
  <si>
    <t>DAY CARE CENTER SUPPLIES FOR 2020 (MSWDO Office)</t>
  </si>
  <si>
    <t>20GLD0036-Procurement of 1,000 liters Gasoline Premium-For use in Maintenance Section</t>
  </si>
  <si>
    <t>Purchase of Laboratory Equipments</t>
  </si>
  <si>
    <t>Printing of Two Thousand Five Hundred (2500) pieces of Student Handbook for the use of Dalubhasaan ng Lungsod ng Lucena(PR# 178)REBID</t>
  </si>
  <si>
    <t>Public Bidding of 3 Lots for the Supply and Delivery of Diesel and Motor Oil for Roxas City PNP, City Assessor’s Office and Roxas City Disaster Risk Reduction and Management Office under ITB No. 2020-</t>
  </si>
  <si>
    <t>ISUZU CROSSWIND BATTERY</t>
  </si>
  <si>
    <t>Supply and Delivery of Various Medicines for 2nd Quarter 2020</t>
  </si>
  <si>
    <t>CONSTRUCTION OF LINE CANAL WITH STEEL COVER</t>
  </si>
  <si>
    <t>20GE024G – P.R. No. R06.14- 025 - Purchase of assorted materials for use on Maintenance Activities.</t>
  </si>
  <si>
    <t>Purchase of Ten (10) sets of Double Deck Beds with Foam, One (1) unit Massage Bed and Sewing Machine for use in the Recovery Wellness Center as requested by CADAC(PR# 192)REBID</t>
  </si>
  <si>
    <t>Repair/ Repainting of Various School Buildings at Brgy. Sta. Cruz, Antipolo City (2020 – Package 22)</t>
  </si>
  <si>
    <t>Invitation to bid for the purchase of 20 units seafood stall</t>
  </si>
  <si>
    <t>Three (3) Units Air Purifier and Ionizer</t>
  </si>
  <si>
    <t>Purchase of materials for the construction of drainage canal, Barangay Dancalan, Ilog, neg. Occ.</t>
  </si>
  <si>
    <t>Purchase of One (1) unit Multi - Purpose Vehicle for the use of Frontline Services of the City Government of Lucena as requested by City Mayor's Office(PR# 180)REBID</t>
  </si>
  <si>
    <t>MATERIALS, IMPROVEMENT OF MULTI-PURPOSE CENTER, BRGY. CAPAY-CAPAY, DUENAS, ILOILO</t>
  </si>
  <si>
    <t>Maintenance and Rehabilitation of Public Address System in Iba O'este, Calumpit, Bulacan</t>
  </si>
  <si>
    <t>Purchase of materials for the improvement of Farm to Market Roads at Siito Toril, Purok Patino and Purok Cordova, Barangay Bocana, Ilog, Neg. Occ.</t>
  </si>
  <si>
    <t>Procurement of One (1) Unit of Motorcyle</t>
  </si>
  <si>
    <t>Repair/ Repainting of Two (2) Storey, Six (6) Rooms Pled School Building 4 at Antipolo National High School, Brgy. Sta. Cruz, Antipolo City</t>
  </si>
  <si>
    <t>PROCUREMENT OF SUPPLIES AND MATERIALS FOR THE CONCRETING OF BARANGAY ROAD AT MAYSALAY, GOA, CAMARINES SUR.</t>
  </si>
  <si>
    <t>Purchase of Construction Materials for use in the Repair of Barangay Facilities in Lucena City as requested by CMO(PR# 184)REBID</t>
  </si>
  <si>
    <t>Purchase of Construction and Electrical Materials for use in the Repairs and Maintenance of various Barangay Facilities in Lucena City as requested by CMO(PR# 185)REBID</t>
  </si>
  <si>
    <t>Concreting of Joaquin Orpilla FMR</t>
  </si>
  <si>
    <t>BTVTEd Foods and Services Management Technology Shop Laboratory.</t>
  </si>
  <si>
    <t>20GLD0037-Procurement of 3,000 liters Gasoline, Regular-For use in Maintenance Section</t>
  </si>
  <si>
    <t>Repair/ Improvement of Two (2) Storey Six(6) Classrooms Sumulong Building at San Juan National High School, Brgy. San Juan, Antipolo City</t>
  </si>
  <si>
    <t>BTVTEd Garments and Fashion Design Technology Shop Laboratory.</t>
  </si>
  <si>
    <t>Purchase of materials for the concrete pavement BRgy. Balicotoc, Ilog, Neg. Occ.</t>
  </si>
  <si>
    <t>Labor &amp; Materials for the Proposed Construction of 1 Unit Deepwell</t>
  </si>
  <si>
    <t>Purchase of Handheld Radio</t>
  </si>
  <si>
    <t>Rebidding: 10 lgths Deformed Steel Bar (16mmØ x 6.0m) and other items for Barangay Balugo-road concreting of Carolina P. Umbac street.</t>
  </si>
  <si>
    <t>(JAE-SEPS) TOKEN FOR RESPONDENTS FOR THE IMPACT ASSESSEMENT OF COVID-19 ON CARAPRENEURS' LIVELIHOOD AND FOOD SECURITY</t>
  </si>
  <si>
    <t>20GLD0038--Procurement of 2,000 liters Kerosene-For use in Maintenance Section</t>
  </si>
  <si>
    <t>Purchase of Drugs and Medicines for the use of City Health Office(PR# 195)REBID</t>
  </si>
  <si>
    <t>Invitation to bid for the barangay road concreting at Candelaria, Uson, Masbate</t>
  </si>
  <si>
    <t>Purchase of materials for the road concreting, Purok Santan, BRgy. Vista Alegre, Ilog, Neg. Occ.</t>
  </si>
  <si>
    <t>RFQ - 9,200ltrs. Diesel, 8,000ltrs. Extra Gasoline for use for All Service Vehicles and Equipments (Maintenance Section) 2nd Quarter</t>
  </si>
  <si>
    <t>Rehabilitation/Gravelling of Afusing Bato FMR</t>
  </si>
  <si>
    <t>Purchase of One (1) unit Multi - Purpose Vehicle for use in the operations at City Agriculture Office (Slaughterhouse) as requested by City Agriculturist's Office(PR# 197)REBID</t>
  </si>
  <si>
    <t>20HG0174 - Repair/Maintenance of Slope Protection along Santander-Barili-Toledo Road, Looc Malabuyoc, K0160+800</t>
  </si>
  <si>
    <t>Construction of Material Recovery Facility (MRF) at Brgy. Calawis, Antipolo City</t>
  </si>
  <si>
    <t>RFQ - 100pcs. Sweatshirt for use in Maintenance Field Personnel (2nd Quarter)</t>
  </si>
  <si>
    <t>20GLD0039-Procurement of 10,000 liters Automotive Diesel-For use in Maintenance Section</t>
  </si>
  <si>
    <t>PR NO. 2020-06-017 PURCHASE OF MATERIALS FOR REHABILITATION OF ROADS (REBLOCKING) AT TICAO ISLAND, MASBATE</t>
  </si>
  <si>
    <t>DDN GDSI 2020-15</t>
  </si>
  <si>
    <t>Dismantling / Transfer / Erection of Elevated Steel Tank from San Juan Water Service Multi - Purpose Cooperative (SJWSMC), Sitio Buntong Palay, Brgy. San Juan to Kaysakat National High School, Brgy. S</t>
  </si>
  <si>
    <t>Invitation to bid for the construction of circumferential concrete pathway at Campana, Uson, Masbate</t>
  </si>
  <si>
    <t>Purchase of 6 units Multicab and 3 Units Prisoner’s Van Province of Northern Samar</t>
  </si>
  <si>
    <t>20CSHN08 -Appraisal Services for Road-Right-of-Way Acquisition – Road Widening - Secondary Roads - Terminal Bldg. Access Road - Chainage 000 - Chainage 1295, Lapu-Lapu City</t>
  </si>
  <si>
    <t>Improvement of Drainage Canal at Dela Paz St. (Portion), Brgy. Dela Paz, Antipolo City</t>
  </si>
  <si>
    <t>LGU's Community Development Information,Radio/TV Broadcasting for 6(Six)Months January to June(1st &amp; 2nd Quarter).(NP 53.6)</t>
  </si>
  <si>
    <t>RE-BIDDING FOR THE COMPLETION OF ROXAS RURAL HEALTH UNIT (TB DOTS AND BIRTHING FACILITY) &amp; SAN VICENTE RURAL HEALTH UNIT (TB DOTS BUILDING) IN ROXAS AND SAN VICENTE, PALAWAN - PHASE 2 (LOT 2)</t>
  </si>
  <si>
    <t>20GE025G – P.R. No. R06.14-026 Purchase of assorted materials for use in Maintenance Service Vehicles</t>
  </si>
  <si>
    <t>INF ITB 20-029 Construction of Lying-in Center, Brgy. Lumakil, Polomolok, South Cotabato</t>
  </si>
  <si>
    <t>20GLD0040-Procurement of 1 pc Tire (6.40 x 13;8PR Miler Type) w/ Tube for H1-2203, Ford Fierra, etc.</t>
  </si>
  <si>
    <t>20HG0175 - Repair/Maintenance of Flood Control Structure along Lengigon Bridge, Argao, Cebu</t>
  </si>
  <si>
    <t>RENEWAL OF SOPHOS XG230 ENTERPRISE GUARD</t>
  </si>
  <si>
    <t>Purchase of Construction Materials for use in the Construction of Three (3) Makeshift Classroom at Lucena East II Elementary School as requested by DepEd - Lucena(PR# 103)</t>
  </si>
  <si>
    <t>1 set coring machine</t>
  </si>
  <si>
    <t>CONCRETING OF BARANGAY ROADS AT SITIO DUHAT BACAO, TAYSAN BATANGAS</t>
  </si>
  <si>
    <t>UPLB-RQ-6-121-20-RES SUPPLY AND DELIVERY OF CHEMICALS &amp; CHEMICAL PRODUCTS FOR ASI</t>
  </si>
  <si>
    <t>PROVISION OF THE CONTRACT FOR TARPAULIN PRINTING SERVICES FOR SIX (6) MONTHS JULY - DECEMBER 2020</t>
  </si>
  <si>
    <t>Two (2) Units Bills Trunk</t>
  </si>
  <si>
    <t>INSTALLATION OF SOLAR STREET LIGHTS</t>
  </si>
  <si>
    <t>Purchase of Emergency Medical Service for Rural Health Unit Use</t>
  </si>
  <si>
    <t>MATERIALS FOR ENGINEERING FACILITIES MANAGEMENT STOCKS FOR PLUMBING MAINTENANCE USE</t>
  </si>
  <si>
    <t>INF ITB 20-030 Completion of Stage and Additional 2-Span Gym, Brgy. Polonuling, Tupi, South Cotabato</t>
  </si>
  <si>
    <t>SSF for Mini Food Processing Center for the LGU of Island Garden City of Samal</t>
  </si>
  <si>
    <t>PROVISION OF THE CONTRACT FOR GASOLINE AND DIESEL SUPPLY FOR SIX (6) MONTHS JULY-DECEMBER 2020</t>
  </si>
  <si>
    <t>Supply and Delivery of Animal Feeds for the Livestock Livelihood Program on Duck Production in Support to National Livestock Program (NLP) for ATI-RTC XII.</t>
  </si>
  <si>
    <t>20CSHN09 -Appraisal Services for Road-Right-of-Way Acquisition – Road Widening - Secondary Roads - Consolacion-Tayud-Liloan  Road - Chainage 1920 - Chainage 2823, Consolacion, Cebu</t>
  </si>
  <si>
    <t>Bid No. 20-0268 - PROCUREMENT OF FOOD SUPPLIES - MO/MPOC (CAFGU) FOR THE MONTH OF OCTOBER 2020</t>
  </si>
  <si>
    <t>PR 040 -02-2020 OFFICE SUPPLIES AND DEVICES 1ST QTR 2020</t>
  </si>
  <si>
    <t>Construction/ Improvement of Access Roads leading to Airports - Guicadale Road Network to International Airport (Sitio Tagongtong-Sitio Burabod Road), Taysan, Legazpi City, Albay</t>
  </si>
  <si>
    <t>Construction of River/Flood Control - Hitoma, Caramoran</t>
  </si>
  <si>
    <t>CONSTRUCTION OF CONCRETE WATER SHED</t>
  </si>
  <si>
    <t>Procurement of 3 unit Computer Desktop,etc. under P.R.No. 2173-2020-5% City Disaster Risk Reduction and Management Fund(Continuing).</t>
  </si>
  <si>
    <t>REQUEST FOR QUOTATION -One Year Lease of Network Performance monitoring System</t>
  </si>
  <si>
    <t>Procurement of Flags</t>
  </si>
  <si>
    <t>Invitation to bid for the barangay road concreting at Arado, Uson, Masbate</t>
  </si>
  <si>
    <t>Purchase of Electrical Materials for use in the Rehabilitation of Electrical Facilities at Zaballero Elementary School as requested  by CMO(PR# 107)</t>
  </si>
  <si>
    <t>SVP 20-007 - Construction of Multi-Purpose Drying Pavement (MPDP), Sitio Villa Ellaga, Brgy. Colongulo, Surallah, South Cotabato</t>
  </si>
  <si>
    <t>One (1) Unit Coin Counting and Sorting Machine</t>
  </si>
  <si>
    <t>Purchase of Emergency Medical Service for MDRR Use</t>
  </si>
  <si>
    <t>PR NO. 2020-06-016 PURCHASE OF MATERIALS FOR PAVEMENT MARKINGS, TICAO AND BURIAS ISLAND, MASBATE (CENTERLINE &amp; LANE LINE REPAINTING ALONG NATL. ROADS, 1ST LEG. DISTRICT OF MASBATE)</t>
  </si>
  <si>
    <t>PRAS NO. 2020-06-038 CATERING SERVICES</t>
  </si>
  <si>
    <t>SUPPLY , DELIVERY, INSTALLATION &amp; TESTING OF THRE (3) UNITS OF INVERTER AIRCON 3 TONNER CEILING CASSETTE</t>
  </si>
  <si>
    <t>Purchase of rapid testing kit supplies intended for COVID-19 response for the use of Barangay San Antonio.</t>
  </si>
  <si>
    <t>INSTALLATION OF GUARDRAILS (Procuring Entity: BLGU-Guinhadap)</t>
  </si>
  <si>
    <t>PROCUREMENT OF ROTARY COMPOSTER</t>
  </si>
  <si>
    <t>Supply and Delivery of 60 rolls Shrink Film Polyolefin</t>
  </si>
  <si>
    <t>PURCHASE OF WEBCAM, MICROPHONE AND MICROPHONE STAND WITH RING LIGHT</t>
  </si>
  <si>
    <t>Invitation to bid for the barangay road concreting at Purok 4, Buenavista, Uson, Masbate</t>
  </si>
  <si>
    <t>P.R. NO. 20-05-0622: 10 UNITS ALL-IN-ONE PERSONAL COMPUTER</t>
  </si>
  <si>
    <t>Purchase of Filing Cabinets, Tall Cabinet, Flat Cart and Steel Metal Storage for the use of City Accounting Office(PR# 126)</t>
  </si>
  <si>
    <t>IMPROVEMENT OF BASKETBALL COURT (S.K FUND)</t>
  </si>
  <si>
    <t>ENGINEERING FACILITIES MANAGEMENT STOCKS FOR ELECTRICAL MAINTENANCE USE</t>
  </si>
  <si>
    <t>EMBANKMENT AND CEMENTING OF PROPOSED BASKETBALL COURT AND PARKING AREA (Phase I)</t>
  </si>
  <si>
    <t>Invitation to bid for the construction of 130 meters concrete pathway at Purok 1, Buenavista, Uson, Masbate</t>
  </si>
  <si>
    <t>Installation of Automatic Fire Sprinkler System (with Automatic Fire Detection, Automatic Fire Alarm, Water Tank, Pump House and Power Supply) @ Cadiz City Hall Building 1, Cabahug Street, Cadiz City”</t>
  </si>
  <si>
    <t>Construction of Footbridge - Purok 1</t>
  </si>
  <si>
    <t>Invitation to bid for the barangay road concreting at Purok 5 to 6, Armenia, Uson, Masbate</t>
  </si>
  <si>
    <t>PR NO. 1400 FREE RANGE CHICKEN LAYER TYPE</t>
  </si>
  <si>
    <t>20FK0051-Bridge-Refrofitting/Strenthening of Permanent Bridges-Mauhang Bridge (B04697LZ) along Daan Maharlika (LZ) Casiguran Sorsogon</t>
  </si>
  <si>
    <t>SVP 20-008 - Construction of Multi-Purpose Drying Pavement (MPDP), Sitio El Niño, Brgy. Lamcade, Lake Sebu, South Cotabato</t>
  </si>
  <si>
    <t>Construction of Barangay Stage - Tubli, Caramoran, Catanduanes</t>
  </si>
  <si>
    <t>14cs Floorwax, Complete 5L (2pcs/cs)</t>
  </si>
  <si>
    <t>PACKAGE 10-LDF20</t>
  </si>
  <si>
    <t>Purchase of Office Supplies for the use of City Mayor's Office(PR# 127)</t>
  </si>
  <si>
    <t>Purchase of Janitorial Supplies as requested by City Mayor's Office (PR#131)</t>
  </si>
  <si>
    <t>RFQ-2020-06-0035-Furnishing  of Reflectorized Thermoplastic Pavement Marking along Pangasinan-Zambales Road, KO275+000 to KO301+000 with exception and along Alaminos-Bolinao Road, KO358+000 to 361+000</t>
  </si>
  <si>
    <t>One (1) Unit Working Desk, Transparent</t>
  </si>
  <si>
    <t>Procurement of Rice</t>
  </si>
  <si>
    <t>canvass sheet for office accessories</t>
  </si>
  <si>
    <t>Request for Quotation (HMD-2020-06-0283 Disinfectant Aerosol)</t>
  </si>
  <si>
    <t>SUPPLY AND DELIVERY OF CONSTRUCTION MATERIALS OF VARIOUS INFRA-PROJECTS</t>
  </si>
  <si>
    <t>Purchase of Medical supplies</t>
  </si>
  <si>
    <t>Supply and Delivery of Construction Materials - ITB 031-2020 GQ</t>
  </si>
  <si>
    <t>Purchase and Installation of Twelve (12) units of Solar Lights, Lam-an, Ozamiz City</t>
  </si>
  <si>
    <t>RFQ-2020-06-0036-Provision &amp; Installation of Road Signs along Pangasinan-Zambales Road, KO268+(-814) to KO340+154 with exception</t>
  </si>
  <si>
    <t>CONSTRUCTION OF CONCRETE CANAL @ PUROK 03</t>
  </si>
  <si>
    <t>Publication of CSC Resolution No. 2000359, PRIME-HRM: Revised Guidelines on the Conferment of HR Recognition and Award</t>
  </si>
  <si>
    <t>RFQ-2020-06-0038-Provision &amp; Installation of Road Signs along Alaminos-Bolinao  Road, KO321+(-204) to KO361+327 with exception</t>
  </si>
  <si>
    <t>Tobacco Farmers/Cooperatives' Farm Mechanization and Post-Harvest Facility Assistance Project</t>
  </si>
  <si>
    <t>Improvement/Repair of Roads (Repair of Binaliw Access Road Dikes)</t>
  </si>
  <si>
    <t>20FK0052-Local Program-Local Infrastructure-Concreting of Sitio Cagbalod Road Pilar, Sorogon</t>
  </si>
  <si>
    <t>Improvement/Repair of Roads (Repair of Boulevard Access Road Dikes)</t>
  </si>
  <si>
    <t>SUPPLY AND DELIVERY OF CONSTRUCTION MATERIALS FOR THE CONCRETING OF ROADWAY IN-FRONT OF COMMERCIAL STALLS ALONG PROVINCIAL ROAD AT BARANGAY ROXAS, NAGUILIAN, ISABELA</t>
  </si>
  <si>
    <t>School supplies</t>
  </si>
  <si>
    <t>Rehabilitation of Multi-Purpose Hall (phase 2), located at Barangay Mallorga, Talalora, Samar</t>
  </si>
  <si>
    <t>RFQ-2020-06-0040-Furnishing of Reflectorized Thermoplastic Pavement Marking along Bani-Agno, KO336+(-775) to KO350+134 with exception and along Burgos-Agno Road, KO303+(961) to KO310+702 with exceptio</t>
  </si>
  <si>
    <t>RFQ-2020-06-0037-Provision &amp; Installation of Road Signs along Bani-Agno Road, KO336+(-775) to KO350+134 with exception and Burgos-Agno, KO303(-961) to KO310+702</t>
  </si>
  <si>
    <t>20FK0053-Cluster XIV 1.) Asset Preservation Program-Rehab./Reconstruction/ Upgrading of Damaged Paved Roads-Secondary Roads-Salvador H. Escudero III Diversion Road -K0577+(-013)-k0577+424, K0583+245-K</t>
  </si>
  <si>
    <t>Concreting of NRJ (Sibagat) San Vicente-Esperanza Road</t>
  </si>
  <si>
    <t>Concreting of NRJ (Bayugan City) Sta. Teresita-Mt. Carmel-Osmeña Circumferential Road</t>
  </si>
  <si>
    <t>Rehabilitation of Techno Demo Farm</t>
  </si>
  <si>
    <t>Concreting of NRJ (Rosario) Poblacion-Novele-Sta. Cruz Circumferential Road</t>
  </si>
  <si>
    <t>Construction of Dike 2 Purok 3 at Barangay Pto. Rivas Lote, City of Balanga, Bataan (Rebidding)</t>
  </si>
  <si>
    <t>9 UNITS LAPTOP COMPUTER</t>
  </si>
  <si>
    <t>20DD0326 Local Program, Construction/ Repair/ Rehabilitation/ Improvement of Various Infrastructure Including Local Projects, Flood Control and Drainage, Drainage / Protection Works, Construction/ Reh</t>
  </si>
  <si>
    <t>20DD0327 Local Program, Local Infrastructure Program, Buildings and Other Structures, Multipurpose/ Facilities, Completion of Multi-Purpose Building, Brgy. Poblacion, San Juan, Batangas</t>
  </si>
  <si>
    <t>Rehabilitation/Improvement of EMCH Building Phase II for Non-COVID-19 Patients</t>
  </si>
  <si>
    <t>Materials for the Concreting of Farm to Market Road, Brgy. Ito Sur, Cabatuan, Iloilo</t>
  </si>
  <si>
    <t>RFQ-2020-06-0039-Supply and Installation of Single Armpost with Solar Powered Street LED Light along the Burgos-Agno Road, KO303+(-961) to KO310+702 with exception</t>
  </si>
  <si>
    <t>Purchase of various Agricultural Equipment for use in the Implementation of Farm Mechanization Program of the City Agriculturist's Office(PR# 153)</t>
  </si>
  <si>
    <t>Purchase of educational materials</t>
  </si>
  <si>
    <t>CONSTRUCTION AND INSTALLATION OF MUNICIPAL SOLAR STREET LIGHTING Poblacion, Tubod, Lanao del Norte</t>
  </si>
  <si>
    <t>Completion of Sea Wall @ Brgy. Proper, Brgy. Cadiz Viejo, Cadiz City</t>
  </si>
  <si>
    <t>Rehabilitation of water  system</t>
  </si>
  <si>
    <t>Construction of Power House</t>
  </si>
  <si>
    <t>Construction of Poblacion Drainage System (Magsaysay Street)</t>
  </si>
  <si>
    <t>Purchase of Twenty Five (25) sets Desktop Computer and One (1) unit External Hard Drive for the use of Dalubhasaan ng Lungsod ng Lucena(PR# 174)</t>
  </si>
  <si>
    <t>Improvement of All Nurses Station</t>
  </si>
  <si>
    <t>Construction of Outpatient Department Building for Non-COVID-19 Patients</t>
  </si>
  <si>
    <t>UPLB-RQ-6-122-20-RES SUPPLY AND DELIVERY OF INFORMATION TECHNOLOGY FOR ASI</t>
  </si>
  <si>
    <t>RFQ-2020-06-0041-Supply &amp; Installation Road Overhead Sign along Alaminos By-Pass Road, KO320+(-269)-KO321+172</t>
  </si>
  <si>
    <t>20DD0325 Local Program, Construction/ Repair/ Rehabilitation/ Improvement of Various Infrastructure Including Local Projects, Buildings and Other Structures, Multipurpose/ Facilities, Construction of</t>
  </si>
  <si>
    <t>Negotiated Lease of Office Space for PRO XI LHIO Tagum through MYOA</t>
  </si>
  <si>
    <t>20DD0328 Local Program, Construction/ Repair/ Rehabilitation/ Improvement of Various Infrastructure Including Local Projects, Buildings and Other Structures, Multipurpose/ Facilities, Rehabilitation/</t>
  </si>
  <si>
    <t>Installation and Purchase of ‭28.032‬ sq.m Wall Partition for use in the Business One Stop Shop (BOSS) as requested by CMO(PR# 183)</t>
  </si>
  <si>
    <t>Purchase of One (1) unit Passenger Van for the use of Executive Department of the Lucena City Government as requested by City Mayor's Office(PR# 181)</t>
  </si>
  <si>
    <t>Purchase of Goods (Food and Non-Food) for Stockpile of LCDRRMO(PR# 198)</t>
  </si>
  <si>
    <t>20DD0330 Local Program, Construction/ Repair/ Rehabilitation/ Improvement of Various Infrastructure Including Local Projects, Local Roads and Bridges, Local Roads, Rehabilitation of Road including Dra</t>
  </si>
  <si>
    <t>Rehab of Mappit Water System</t>
  </si>
  <si>
    <t>Purchase of various Disposable Kitchenware and Plastic Bags for the use of Medical Emergency Response as requested by LCDRRMO(PR# 219)</t>
  </si>
  <si>
    <t>SCHOOL SUPPLIES FOR STA. CRUZ HIGH INTEGRATED JR HR</t>
  </si>
  <si>
    <t>20DD0331 Local Program, Construction/ Repair/ Rehabilitation/ Improvement of Various Infrastructure Including Local Projects, Local Roads and Bridges, Local Roads, Construction/Rehabilitation/Improvem</t>
  </si>
  <si>
    <t>Purchase of Goods (Food and Non-Food) for Stockpile of LCDRRMO(PR# 200)</t>
  </si>
  <si>
    <t>Purchase of Materials for use in the establishment of Hydroponic Rooftop Gardening Project as requested by City Agriculturist's Office(PR# 203)</t>
  </si>
  <si>
    <t>Rehab of Changhoy CIS</t>
  </si>
  <si>
    <t>20DD0332 Local Program, Local Infrastructure Program, Buildings and Other Structures, Multipurpose/ Facilities, Rehabilitation/ Improvement of Multi-Purpose Facilities at Duhatan Elementary School, Br</t>
  </si>
  <si>
    <t>Purchase of Two (2) units Dump Truck for use in Disaster and Solid Waste Management Operations as requested by CGSO(PR# 165)</t>
  </si>
  <si>
    <t>INSTALLATION OF ELECTRICAL LINES FOR WATER WORKS SYSTEM AT SITIO CENTRO, BRGY. MAPULO -001</t>
  </si>
  <si>
    <t>Procurement of 1 Pakyaw Remote Sensing Services for Groundwater Availability Exploration(GEO-Resistivity Survey) under 0700-2020-OCA-Support to Quality Corn Development(Trust Fund)</t>
  </si>
  <si>
    <t>Public Bidding for the Supply and Delivery of Medical Supplies for the use of Roxas City Disaster Risk Reduction Management Office under ITB No. 2020-010</t>
  </si>
  <si>
    <t>PERIMETER FENCE AT SAN NICOLAS</t>
  </si>
  <si>
    <t>Purchase of Medical Supplies and Vitamins for Emergency and Disaster Response Use</t>
  </si>
  <si>
    <t>20DD0329 Local Program, Local Infrastructure Program, Buildings and Other Structures, Multipurpose/ Facilities, Construction/ Improvement of Multi-Purpose Building in various Barangays, San Juan, Bata</t>
  </si>
  <si>
    <t>Purchase of One (1) set Planetary Gear Assy. for use in the Repair and Maintenance of CGSO Backhoe Loader as requested by CGSO(PR# 245)</t>
  </si>
  <si>
    <t>20DD0334 Local Program, Local Infrastructure Program, Buildings and Other Structures, Multipurpose/ Facilities, Rehabilitation/ Improvement of Multi-Purpose Facilities at Tambo Elementary School, Brgy</t>
  </si>
  <si>
    <t>NP 083-20: FOLDABLE FAN WITH PRINT "MASAGANANG ANI, MATAAS NA KITAAND PLANT, PLANT, PLANT</t>
  </si>
  <si>
    <t>Rehabilitation of San Isidro RHU (Phase I)</t>
  </si>
  <si>
    <t>Installation of Forty (40) units Solar Streetlights</t>
  </si>
  <si>
    <t>Construction of Gymnatorium with State-of-the-Art Facilities (Phase II) MMSU, City of Batac</t>
  </si>
  <si>
    <t>SCHOOL SUPPLIES FOR STA. CRUZ HIGH INTEGRATED SR HS</t>
  </si>
  <si>
    <t>Purchase and Installation of 2 Units Wall Mounted &amp; 1 Unit Floor Mounted Air conditioned &amp; Accessories</t>
  </si>
  <si>
    <t>DRAINAGE CANAL - SAN AGUSTIN</t>
  </si>
  <si>
    <t>Procurement of Furniture for Mayor's Office</t>
  </si>
  <si>
    <t>20DD0335 Local Program, Construction/ Repair/ Rehabilitation/ Improvement of Various Infrastructure Including Local Projects, Water Management Facilities, Water Supply, Rehabilitation of Water Supply</t>
  </si>
  <si>
    <t>Purchase of School Supplies for Balik-Eskwela (ALS) in support for the educational services program of the City Government as requested by CMO(PR# 249)</t>
  </si>
  <si>
    <t>Purchase of Food/Meals to be served during In-House Reformation Program (Kanlungan ng Pagbabago - Balay Silangan) as requested by CADAC(PR# 251)</t>
  </si>
  <si>
    <t>20DD0333 Local Program, Local Infrastructure Program, Local Roads and Bridges, Local Roads, Construction of Brgy. Road at Brgy. Halang, Lipa City, Batangas</t>
  </si>
  <si>
    <t>Installation and Purchase of Venetian Blinds for use in the Recovery Wellness Center of CADAC(PR# 234)</t>
  </si>
  <si>
    <t>Procurement of Office Supplies for CSWDO</t>
  </si>
  <si>
    <t>Procurement of Rescue Vehicle (Re-Conditioned) for LDRRMO use</t>
  </si>
  <si>
    <t>REHABILITATION/IMPROVEMENT OF LAWIS TO TALISAY WATER PIPELINES (MATERIALS ONLY)- CALAPE, BOHOL</t>
  </si>
  <si>
    <t>P.R. No. 2020-06-0026 - Procurement of supplies for office sanitation and prevention against the COVID-19, Camarines Sur 3rd District</t>
  </si>
  <si>
    <t>PR 9-20-05-0601, FOR THE USE OF SAN CARLOS CITY HOSPITAL, THIS CITY.</t>
  </si>
  <si>
    <t>20DD0336 Local Program, Construction/ Repair/ Rehabilitation/ Improvement of Various Infrastructure Including Local Projects, Buildings and Other Structures, Multipurpose/ Facilities, Rehabilitation/I</t>
  </si>
  <si>
    <t>20DD0337 Local Program, Local Infrastructure Program, Buildings and Other Structures, Multipurpose/ Facilities, Construction and/or Repair/Rehabilitation of Multi-Purpose Building, Brgy. Banay-Banay,</t>
  </si>
  <si>
    <t>B20200209 - CATARACT AND OPERATING ROOM SUPPLIES FOR DDNH-CARMEN ZONE (1ST QTR.)</t>
  </si>
  <si>
    <t>Supply and Delivery of 2 units Mechanical Ventilator, Digital</t>
  </si>
  <si>
    <t>Procurement of Rimo Blends and Curls for the Supplemental Feeding Program to Malnourished Children of CHO</t>
  </si>
  <si>
    <t>Supply and Delivery of Spare Parts for Service Vehicle</t>
  </si>
  <si>
    <t>Supply and delivery of Office Supplies for official use of DOLE RO5</t>
  </si>
  <si>
    <t>B20200210 - IT EQUIPMENT FOR PEO USE</t>
  </si>
  <si>
    <t>Improvement of Barangay Road(FTMR)(Purok 2)</t>
  </si>
  <si>
    <t>PERIMITER FENCE - SAN MIGUEL</t>
  </si>
  <si>
    <t>PR 9-20-05-0588, FOR THE USE OF SAN CARLOS CITY HOSPITAL, THIS CITY.</t>
  </si>
  <si>
    <t>Supply/Delivery of Grocery Item for Relief Packs to be given to Senior Citizen. (PR # 20-06-0603)</t>
  </si>
  <si>
    <t>Purchase of Oil and Lubricants for the maint. of govt.vehicles (1st &amp; 2nd qrtr. - 2020)</t>
  </si>
  <si>
    <t>Supply and Delivery of Materials for Fabrication of Coffins</t>
  </si>
  <si>
    <t>Desilting of Cataning Sibacan River Malabia Section at Barangay Malabia, City of Balanga, Bataan (Rebidding)</t>
  </si>
  <si>
    <t>Procurement of Meals, Snacks and Hall Rental to be served during the Conduct of Orientation and Planning of MFR Operation of CENRO</t>
  </si>
  <si>
    <t>FURNISHING OF LABOR AND MATERIALS FOR THE CONSTRUCTION OF WATER SYSTEM</t>
  </si>
  <si>
    <t>INFRA 2K20-39 CONSTRUCTION OF DAGUM-MATALANG ROAD</t>
  </si>
  <si>
    <t>NP 092-20: DATA CENTER SERVICES: Network Facility Maintenance (PACU and UPS)</t>
  </si>
  <si>
    <t>Purchase of One (1) Unit Road Roller.</t>
  </si>
  <si>
    <t>Completion of Meat Processing Project</t>
  </si>
  <si>
    <t>Reconstruction of Box Culvert San Rafael at Barangay Tuyo, City of Balanga, Bataan (Rebidding)</t>
  </si>
  <si>
    <t>Installation of WIFI Facility (Procurement of Amenities for the Training &amp; Production Center)</t>
  </si>
  <si>
    <t>Office &amp; Housekeeping Supplies for BACC-2020-0019</t>
  </si>
  <si>
    <t>Office Furniture for 18 Negosyo Center sa Barangay</t>
  </si>
  <si>
    <t>PROCUREMENT OF CONSTRUCTION SUPPLIES &amp; MATERIALS</t>
  </si>
  <si>
    <t>CONSTRUCTION OF GUARD HOUSE AND REPLACEMENT OF MAIN GATE INCLUDING CANAL DE-CLOGGING AT SF2 ELEMENTARY SCHOOL</t>
  </si>
  <si>
    <t>Bid No. 20-0269 - PROCUREMENT OF OFFICE SUPPLIES - MO/RADIO ROOM SECTION</t>
  </si>
  <si>
    <t>Negotiated Lease of Office Space for PRO XI LHIO Nabunturan through MYOA</t>
  </si>
  <si>
    <t>Purchase of School Supplies for Balik-Eskwela (Grade 4) in support for the educational services program of the City Government as requested by CMO(PR# 221)</t>
  </si>
  <si>
    <t>IMPROVEMENT OF ROAD AT THE BOUNDARY OF PUROK 21 AND PUROK 22, BAGUIO CITY</t>
  </si>
  <si>
    <t>20DD0338 Local Program, Construction/ Repair/ Rehabilitation/ Improvement of Various Infrastructure Including Local Projects, Water Management Facilities, Water Supply, Rehabilitation of Water Supply</t>
  </si>
  <si>
    <t>SUPPLY AND DELIVERY OF 4 PCS HEAVY DUTY GRASS CUTTER</t>
  </si>
  <si>
    <t>Purchase of School Supplies for Balik-Eskwela (Grade 3) in support for the educational services program of the City Government as requested by CMO(PR# 220)</t>
  </si>
  <si>
    <t>Drugs, Medicines, Medical &amp; LAboratory Supplies for CDH-2020-0036-0038,0040,0048-0050,0056,0057,0059-0063, HOD-2020-0061, LZDH-2020-0037,0043,0045,0061, NFBC-2020-0014,  TJPH-2020-0050, 0103, 0106, 01</t>
  </si>
  <si>
    <t>Purchase of School Supplies for Balik-Eskwela (Grade 5) in support for the educational services program of the City Government as requested by CMO(PR# 222)</t>
  </si>
  <si>
    <t>B20200211 - HARDWARE MATERIALS FOR INSTALLATION OF SHALLOW TUBE WELL &amp; CONST. OF MACHINERY SHED AT PAGRO COMPOUND</t>
  </si>
  <si>
    <t>Construction of Slope Protection (Riprapping) at Sitio Singat, Barangay Patar, Mabini, Pangasinan</t>
  </si>
  <si>
    <t>SUPPLY AND DELIVERY OF FOOD ITEMS (NUTRIPACKS) FOR THE IMPLEMENTATION OF SUPPLEMENTARY FEEDING PROGRAM DURING COMMUNITY QUARANTINE (9TH CYCLE - TWICE A DAY FEEDING)</t>
  </si>
  <si>
    <t>Construction of Concrete Revetment Sitio Sampaloc at Barangay Central, City of Balanga, Bataan (Rebidding)</t>
  </si>
  <si>
    <t>SUPPLY, DELIVERY, POSITIONING, COMMISSIONING AND TESTING OF ONE (1) UNIT BRAND NEW AND COMPLETE SOUNDPROOF ELECTRIC GENERATING SET 15 KVA WITH BUILT-IN AUTOMATIC TRANSFER SWITCH (ATS), SOLENOID CHANGE</t>
  </si>
  <si>
    <t>Purchase of Fourteen Thousand Two Hundred (14,200) pieces of Binder Notebook in support for the educational services program of the City Government as requested by CMO(PR# 224)</t>
  </si>
  <si>
    <t>Completion of Hanging Bridge(Sitio NumNum)</t>
  </si>
  <si>
    <t>DRUGS &amp; MEDICINES (PR#20-06-70448)</t>
  </si>
  <si>
    <t>Procurement of Medals and Certificate Holder of Mayor's Office</t>
  </si>
  <si>
    <t>EXPANSION / IMPROVEMENT OF BARANGAY HALL</t>
  </si>
  <si>
    <t>Public Bidding for the Supply and Delivery of Construction Materials for the Repair and Maintenance of various City streets, Roxas City (2nd Qtr.) under ITB No. 2020-012</t>
  </si>
  <si>
    <t>Purchase of School Supplies for Balik-Eskwela (Grade 6) in support for the educational services program of the City Government as requested by CMO(PR# 223)</t>
  </si>
  <si>
    <t>( PR NO. 20-06-09-0017 SUPPLY AND DELIVERY OF 150 bags Cement Portland)</t>
  </si>
  <si>
    <t>Purchase of Office Supplies (CIO).</t>
  </si>
  <si>
    <t>Purchase of Construction Materials for the Repair of Roads at Kambal Road, Brgy. Guitnangbayan II, San Mateo, Rizal</t>
  </si>
  <si>
    <t>PROCUREMENT OF SOPHOS ENDPOINT PROTECTION ADVANCE HEARTBEAT</t>
  </si>
  <si>
    <t>Improvement of Multi-purpose Pavement (Goal and Chairs) at Sitio Abadilla II, Barangay CAWAYAN II</t>
  </si>
  <si>
    <t>Procurement of Materials for 64 Units Wooden Stalls</t>
  </si>
  <si>
    <t>REOI Solicitation No. SIC-007-006-2020 Hiring of Consultancy Services</t>
  </si>
  <si>
    <t>Purchase of School Supplies for Balik-Eskwela (Kinder) in support for the educational services program of the City Government as requested by CMO(PR# 225)</t>
  </si>
  <si>
    <t>Desilting of Creek Monark and Jacoba Ville at Barangay Tuyo, City of Balanga, Bataan (Rebidding)</t>
  </si>
  <si>
    <t>Delivery of Other Supplies and Materials for City Sanitation Services for the 2nd Quarter 2020 (SVP 20-0693).</t>
  </si>
  <si>
    <t>PURCHASE OF ONE (1) UNIT AIR CONDITION</t>
  </si>
  <si>
    <t>BPSU Main Campus:Supply, delivery and installation of equipment, instruments and software for the research project entitled “Improving Productivity of Philippine Carabao Mango through Introduction of</t>
  </si>
  <si>
    <t>Concreting of  Public market road</t>
  </si>
  <si>
    <t>For reference use in the Library.</t>
  </si>
  <si>
    <t>Procurement of Meals and Snacks of POSO</t>
  </si>
  <si>
    <t>Procurement of Various Office Supplies-06-327(O)PEO</t>
  </si>
  <si>
    <t>Public Bidding for the Supply and Delivery of Diesel for Solid Waste Management Unit under ITB No. 2020-013</t>
  </si>
  <si>
    <t>SUPPLY AND DELIVERY OF ARGRO FARM INPUTS FOR 3RD AND 4TH QUARTER OF 2020</t>
  </si>
  <si>
    <t>Purchase of School Supplies for Balik-Eskwela (Grade 1) in support for the educational services program of the City Government as requested by CMO(PR# 227)</t>
  </si>
  <si>
    <t>Negotiated Lease of Office Space for PRO XI Annex Building 1 through MYOA</t>
  </si>
  <si>
    <t>Purchase of Family Planning Commodoties.</t>
  </si>
  <si>
    <t>20CSPH02 - Geotechnical Investigation for Slope Protection Projects along Various Road Sections and Construction of Bridge in Mountain Province for FY 2021</t>
  </si>
  <si>
    <t>Purchase of School Supplies for Balik-Eskwela (Grade 2) in support for the educational services program of the City Government as requested by CMO(PR# 226)</t>
  </si>
  <si>
    <t>CONSTRUCTION OF FARM TO MARKET ROAD AT ZONE II</t>
  </si>
  <si>
    <t>P.R. No. X1-20-04-192 - Supply and Delivery for the use of DPWH X ARD Conference Room</t>
  </si>
  <si>
    <t>5020301000-273-2020</t>
  </si>
  <si>
    <t>5020399000-274-2020</t>
  </si>
  <si>
    <t>Construction of Ramp, Open Parking, Open Canal and Perimeter Fence for the DRRM Facility in  Fort Ramon Magsaysay (OCDRO III)</t>
  </si>
  <si>
    <t>Request for Proposal for the Supply and Delivery of Engineer’s Report for Application for Permit to Operate Generator Sets</t>
  </si>
  <si>
    <t>Supply and Delivery of Various Plumbing Materials (5 items), as per BSP Technical Specifications and Terms and Conditions</t>
  </si>
  <si>
    <t>Procurement of Various IT Equipment-06-310(A)PGO</t>
  </si>
  <si>
    <t>OFFICE EQUIPMENT</t>
  </si>
  <si>
    <t>Purchase of Back Pack Bags and Pens for Balik-Eskwela (Junior/Senior High School) in support for the educational services program of the City Government as requested by CMO(PR# 248)</t>
  </si>
  <si>
    <t>NUTRITION &amp; DIETETICS SUPPLIES (PR#20-06-70560)</t>
  </si>
  <si>
    <t>FUEL STORAGE TANK CALIBRATION OF BURIAS DPP</t>
  </si>
  <si>
    <t>PROCUREMENT OF  FOOD PROCESSING EQUIPMENT</t>
  </si>
  <si>
    <t>5020301000-276-2020</t>
  </si>
  <si>
    <t>PURCHASE OF CONSTRUCTION SUPPLIES AND MATERIALS FOR THE ASPHALTING OF VARIOUS ROADS</t>
  </si>
  <si>
    <t>REPLACEMENT/REPAIR OF LED STREETLIGHTS/BULBS</t>
  </si>
  <si>
    <t>Public Bidding of 3 Lots for the Supply and Delivery of Office Supplies, Computer Inks &amp; Cartridges and Janitorial Supplies for the use of City Civil Registrar’s Office and City Engineer’s Office in t</t>
  </si>
  <si>
    <t>Procurement of Various Water Service Connection Materials and Fittings-06-326(O)PEO</t>
  </si>
  <si>
    <t>Bid No. 20-0270 - PROCUREMENT OF OFFICE SUPPLIES - MHO (USE FOR HIV/AIDS/STD PROGRAM)</t>
  </si>
  <si>
    <t>5020305000-275-2020</t>
  </si>
  <si>
    <t>Water treatment facility Dapdap</t>
  </si>
  <si>
    <t>Bidding 13, 2020</t>
  </si>
  <si>
    <t>Procurement of Various Hardware Supplies-05-007(K)PWO</t>
  </si>
  <si>
    <t>Procurement of Televison set with Cable (Procurement of Amenities for the Training &amp; Production Center)</t>
  </si>
  <si>
    <t>SUPPLY &amp; DELIVERY OF COMPUTER SET</t>
  </si>
  <si>
    <t>CID No. 20IC0076: Const. of Rain Water Collection System (RWCS) at (22) Various Locations in Alangalang, Babatngon, San Miguel, Sta. Fe, Tanauan, Tolosa and Palo, Leyte; ABC: P4,378,687.50; 90 CD</t>
  </si>
  <si>
    <t>PROCUREMENT OF COMMON-USED OFFICE SUPPLIES</t>
  </si>
  <si>
    <t>Procurement of Meals and Snacks to be served during the PUV and PUJ Drivers Education Program on Road Safety and Traffic Related Ordinance of POSO</t>
  </si>
  <si>
    <t>Installation of Solar Power for Water System at San Quintin, Abra</t>
  </si>
  <si>
    <t>Procurement of Furniture &amp; Fixtures for PRO XI CY 2020</t>
  </si>
  <si>
    <t>INFRA 2K20-41 REHAB. &amp; IMPROVEMENT OF ZAMBO. DEL SUR PROVINCIAL COLLEGE</t>
  </si>
  <si>
    <t>CONCRETING OF PARKING AREA AS COUNTERPART FOR DBM GREEN PROJECT RE: DEVELOPMENT OF LAMITAN CITY PUBLIC PARK</t>
  </si>
  <si>
    <t>Supply And Delivery of Construction Materials in connection with the Repai &amp; Maintenance of Alpha Barracks for the use of 544ECB, 52EBde, PA</t>
  </si>
  <si>
    <t>5020399000-277-2020</t>
  </si>
  <si>
    <t>CONSTRUCTION OF SECOND FLOOR OF EXISTING BUILDING AT BLISS ELEMENTARY SCHOOL</t>
  </si>
  <si>
    <t>Supply and Delivery of Office Supplies &amp; I.T. Equipment</t>
  </si>
  <si>
    <t>Procurement of Various Hardware Supplies-06-311(A)PGO</t>
  </si>
  <si>
    <t>Supply and Delivery of Fifteen (15) heads Carabao</t>
  </si>
  <si>
    <t>FURNISHING OF LABOR AND MATERIALS FOR THE CONSTRUCTION/REHABILITATION OF LOCAL ROAD</t>
  </si>
  <si>
    <t>PACOL ELEM. SCHOOL MOOE 2ND QUARTER SY 2020-2021</t>
  </si>
  <si>
    <t>Purchase of CONAHS Books for BatStateU-ARASOF Nasugbu</t>
  </si>
  <si>
    <t>PROCUREMENT OF ONE (1) LOT SUPPLY LABOR AND MATERIALS FOR THE CONSTRUCTION OF HEALTH CENTER, BRGY. MARIBI, TANAUAN, LEYTE</t>
  </si>
  <si>
    <t>NUTRITION &amp; DIETETICS SUPPLIES (PR#20-06-70561)</t>
  </si>
  <si>
    <t>Public Bidding for the Supply and Delivery of Detachable Tablet Laptop, Printer and Heavy-Duty Shredder for City Administrator’s Office under ITB No. 2020-015</t>
  </si>
  <si>
    <t>20DB0134 Repair/Maintenance of Talisay Bridge Revetment (K0116+846), Brgy. Talisay, Calatagan, Batangas</t>
  </si>
  <si>
    <t>HO-FFW20-003 - Supply and Delivery of Hard Hat, Rope and Chaleco Vest</t>
  </si>
  <si>
    <t>PROCUREMENT OF LABORATORY EQUIPMENT</t>
  </si>
  <si>
    <t>Concreting of road Mun. compound</t>
  </si>
  <si>
    <t>SUPPLY &amp; DELIVERY OF BIO METRIC MACHINE</t>
  </si>
  <si>
    <t>DDN GDSI 2020-07</t>
  </si>
  <si>
    <t>1 LOT DESIGN/LAY-OUT AND PRINTING OF BROCHURE &amp; OTHER ITEMS</t>
  </si>
  <si>
    <t>5020301000-278-2020</t>
  </si>
  <si>
    <t>Purchase of vehicle parts used for SGD 431 &amp; new ambulance.</t>
  </si>
  <si>
    <t>For the continuing of certificate of Airworthiness of RP - 2200</t>
  </si>
  <si>
    <t>SUPPLY AND DELIVERY OF FOOD SUPPLIES AND MATERIALS FOR 2ND QUARTER FOOD SUBSIDY</t>
  </si>
  <si>
    <t>DDN GDSI 2020-08</t>
  </si>
  <si>
    <t>Supply and Delivery of Chicks (2-3 months old) for the Livestock Livelihood Program in Support to NLP Free Range Chicken for ATI-RTC XII.</t>
  </si>
  <si>
    <t>PROCUREMENT OF OFFICE EQUIPMENT</t>
  </si>
  <si>
    <t>SUPPLY &amp; DELIVERY OF 3-IN-1 PHOTOCOPIER</t>
  </si>
  <si>
    <t>HO-QAS20-001 &amp; HO-TMD20-003 - Supply and Delivery of Jacket, Hiking Shoes, Disposable Gloves and Mask</t>
  </si>
  <si>
    <t>5020399000-279-2020</t>
  </si>
  <si>
    <t>Chlorine</t>
  </si>
  <si>
    <t>Supply and Delivery of Office Supplies &amp; Consumables</t>
  </si>
  <si>
    <t>HIRING OF MOTOR LAUNCH INTENDED FOR MOBILIZATION OF CONSTRUCTION MATERIALS FOR CONSTRUCTION OF WOMEN’S CRISIS UNIT (TRANSIENT HOUSE) PHASE II BOUND TO PAG-ASA ISLAND</t>
  </si>
  <si>
    <t>PROCUREMENT OF SUPPLIES AND MATERIALS FOR AGRICULTURAL AND MARINE PROJECTS OF THE MAO</t>
  </si>
  <si>
    <t>REBIDDING OF SECURITY SERVICES FOR DSWD REGION 10 OFFICE, CENTERS AND SUB OFFICES 2020</t>
  </si>
  <si>
    <t>DDN GDSI 2020-09</t>
  </si>
  <si>
    <t>MG-PLM20-089 - MAINTENANCE OF BRAKE RUNNER PLATE OF GENERATING UNIT</t>
  </si>
  <si>
    <t>MG-PLM20-090 - TEN (10) DAYS MAINTENANCE TO CONTINUOUS PREVENTIVE MAINTENANCE FOR GENERATING UNIT NO. 2 AND ITS RELATED AUXILIARIES (48 MAINTENANCE HELPERS)</t>
  </si>
  <si>
    <t>Supply and Delivery of 10 units of Stanchion with Retractable Belt Barrier for SSS Lipa Branch</t>
  </si>
  <si>
    <t>RFQ MEALS OF PERSONNEL AT THE COVID WARD AND QUARANTINE AREA FOR THE PERIOD OF JUNE 23 – JULY 7, 2020</t>
  </si>
  <si>
    <t>SUPPLY AND DELIVERY OF GASOLINE,OIL AND LUBRICANTS FOR THE PRE-POSITIONING AND OPERATIONS OF TRANSPORT ASSETS OF MDRRM</t>
  </si>
  <si>
    <t>5020305000-280-2020</t>
  </si>
  <si>
    <t>Fabrication of Two (2) units Sidecars</t>
  </si>
  <si>
    <t>SUPPLY AND DELIVERY OF ASSORTED SUPPLIES AND MATERIALS INTENDED FOR DRYDOCKING OF M/L QUEEN SEAGULL</t>
  </si>
  <si>
    <t>Purchase of office supplies used for different offices (bulk bidding)</t>
  </si>
  <si>
    <t>DDN GDSI 2020-12</t>
  </si>
  <si>
    <t>S3-DIN20-004 - Lease of 3.5 MW Modular Diesel Gensets for Dinagat DPP, Dinagat Island, Surigao Del Norte</t>
  </si>
  <si>
    <t>MG-PLM20-091 - FIFTEEN (15) DAYS IN MAINTENANCE ACTIVITIES FOR GENERATING UNIT NO. 3 AND ITS RELATED AUXILIARIES (19 MECHANICAL &amp; ELECTRICAL HELPERS)</t>
  </si>
  <si>
    <t>PR NO: 2020-06-021: SUPPLY AND DELIVERY OF HEALTH SANITIZER AND EQUIPMENT FOR COVID-19 PREVENTION</t>
  </si>
  <si>
    <t>DDN GDSI 2020-11</t>
  </si>
  <si>
    <t>CONSTRUCTION OF INFIRMARY HOSPITAL (Roof framing &amp; Roofing)</t>
  </si>
  <si>
    <t>Supply &amp; Delivery of Office Equipment for MHO, Rodriguez, Rizal</t>
  </si>
  <si>
    <t>DDN GDSI 2020-10</t>
  </si>
  <si>
    <t>Purchase of printer used for different offices (bulk bidding)</t>
  </si>
  <si>
    <t>PURCHASE OF SWIVEL CHAIRS</t>
  </si>
  <si>
    <t>Procurement of Meals and Snacks to be served during the First Semester BHW Congress of CHO</t>
  </si>
  <si>
    <t>20CB-GSC-312 PURCHASE OF TARPAULIN AND TOKENS</t>
  </si>
  <si>
    <t>5020399000-281-2020</t>
  </si>
  <si>
    <t>PURCHASE OF SPARE PARTS</t>
  </si>
  <si>
    <t>Materials for the Improvement of Stage (Phase 2) Dolores E/S-Brgy. Dolores</t>
  </si>
  <si>
    <t>B20200212 - FERTILIZERS FOR PAGRO USE</t>
  </si>
  <si>
    <t>Purchase of office equipment used for DILG office.</t>
  </si>
  <si>
    <t>Procurement of Signages to be Installed at Bulanao and Dagupan of POSO</t>
  </si>
  <si>
    <t>Procurement of BP APP with Stethoscope of RHU 2</t>
  </si>
  <si>
    <t>Supply and Installation of one (1) unit 50KVA Generator Set of Poblacion, Pumping Station</t>
  </si>
  <si>
    <t>SAAD-20-1979: Procurement of Office Supplies to be used in the DA SAAD Implementation in Region 7</t>
  </si>
  <si>
    <t>SUPPLY, DELIVERY &amp; INSTALLATION OF AIRCONDITIONERS AND AIRCONDITIONING SYSTEM</t>
  </si>
  <si>
    <t>Supply &amp; Delivery of Mattress for MSWDO, Rodriguez, Rizal</t>
  </si>
  <si>
    <t>Procurement of One Hundred Twelve (112) Sacks Fertilizers</t>
  </si>
  <si>
    <t>Catering services for MDC meeting.</t>
  </si>
  <si>
    <t>PR No. 20030903 – Supply and Delivery of Two (2) units Truck Dropside 6 Wheeler</t>
  </si>
  <si>
    <t>20CB-GSC-313 PURCHASE OF SPARE PARTS FOR HINO EQUIPEMENTS</t>
  </si>
  <si>
    <t>Video Recording &amp; Audio Equipment (2 sets)</t>
  </si>
  <si>
    <t>SUPPLY AND DELIVERY OF MEDICAL EQUIPMENT FOR BARANGAY VISITATION</t>
  </si>
  <si>
    <t>20CB-GSC-314 PURCHASE OF SPARE PARTS FOR VOLVO EQUIPEMENTS</t>
  </si>
  <si>
    <t>B20200213 - PAINT FOR DEPED USE</t>
  </si>
  <si>
    <t>Supply &amp; Delivery of Various Electrical Supplies fr the Installation of Street lighting Fixtures (12 sets) NHA Housing in Ormoc City</t>
  </si>
  <si>
    <t>PROCUREMENT OF MENTAL MEDICINE SUPPLIES FOR RHU I &amp; II - 2ND QUARTER OF 2020</t>
  </si>
  <si>
    <t>Various Parts for Bill Counter</t>
  </si>
  <si>
    <t>20PA0131 (PACKAGE) : REPAIR/MAINTENANCE OF DPWH BUILDINGS, a.) Multi-Purpose Building, Zone 7, Bangued, Abra b.) Canteen, Zone 7, Bangued, Abra</t>
  </si>
  <si>
    <t>20GKG0027 (PR No. 20-04-069)- Procurement of 76 Drums Hot Asphalt 60/70 for use in the Patching of Potholes along National Roads, DPWH-Lanao del Norte 1st Engineering District</t>
  </si>
  <si>
    <t>Concreting of Fulay Farm to Market Road</t>
  </si>
  <si>
    <t>Construction Projects</t>
  </si>
  <si>
    <t>Repair of T.H.E Building at ESSU Main Campus</t>
  </si>
  <si>
    <t>PURCHASE OF IT EQUIPMENTS</t>
  </si>
  <si>
    <t>Supply &amp; Delivery of Portable Booth for Rapid Testing @ MHO, Rodriguez, Rizal</t>
  </si>
  <si>
    <t>Maintenance &amp; Improvement of Day Care Center</t>
  </si>
  <si>
    <t>Supply and Delivery of Animal Feeds for the Livestock Livelihood Program on Free Range Chicken in Support to National Livestock Program (NLP) for ATI-RTC XII.</t>
  </si>
  <si>
    <t>52 bags Portland Cement 40 kgs and other items for improvement of Barangay 8 Lupa Day Care Center at Barangay 8.</t>
  </si>
  <si>
    <t>Purchase of vehicle parts used for new &amp; old ambulance.</t>
  </si>
  <si>
    <t>Materials for the Improvement of Stage Plaza- Brgy. Lanipe</t>
  </si>
  <si>
    <t>For powder room and isolation room.</t>
  </si>
  <si>
    <t>Supply &amp; Delivery of Various Information Technology Peripherals for Tax Mapping use, City Assessor's Office, Ormoc City</t>
  </si>
  <si>
    <t>Purchase of Equipments, Furniture and Fixtures for the Teen Center of Luca National High Schoo</t>
  </si>
  <si>
    <t>B20200214 - HARDWARE MATERIALS FOR RCPC AND CHB FABRICATION AT PEEDO</t>
  </si>
  <si>
    <t>Materials for the Construction of CR- Calaya NHS, Brgy. Calaya</t>
  </si>
  <si>
    <t>20CB-GSC-320 PURCHASE OF COMMERCIAL RICE</t>
  </si>
  <si>
    <t>P.R. No. X2-20-03-181 - Supply and Delivery for the use in the Supply and Property Management Section</t>
  </si>
  <si>
    <t>20LA0337 Construction of Water System, Poblacion, Nabunturan, Compostela Valley</t>
  </si>
  <si>
    <t>SUPPLY, DELIVERY &amp; INSTALLATION OF IT EQUIPMENT</t>
  </si>
  <si>
    <t>Delivery of Integrated Water Supply (Pipes) needed for Construction of Tayawan-Minaba Water System (ITB 20-070)</t>
  </si>
  <si>
    <t>APPLIANCES</t>
  </si>
  <si>
    <t>Construction of Line Canal @ Barangay. Poblacion 6, Sariaya, Quezon</t>
  </si>
  <si>
    <t>Repair of Comfort Room in College of Education at ESSU Main Campus</t>
  </si>
  <si>
    <t>20LA0338 Construction of Water System, Purok Nagas, Tambongon, Pantukan, Compostela Valley</t>
  </si>
  <si>
    <t>DEVELOPMENT/EMBANKMENT OF BAYWALK</t>
  </si>
  <si>
    <t>Supply &amp; Delivery of Tent for GSO, Rodriguez, Rizal</t>
  </si>
  <si>
    <t>PROCUREMENT OF  CAR VEHICLE</t>
  </si>
  <si>
    <t>Procurement of Insecticides of CENRO</t>
  </si>
  <si>
    <t>Supply &amp; Delivery of 1 unit Server for Tax Mapping use, City Assessor's Office, Ormoc City</t>
  </si>
  <si>
    <t>Re-painting for interiors rooms of h-building</t>
  </si>
  <si>
    <t>Supply of Printing Services (High Speed Printers capable of printing at least 55ppm and 75ppm) for a period of one (1) year</t>
  </si>
  <si>
    <t>Supply &amp; Delivery of Various Information Technology Peripherals for Accounting use, City Planning &amp; Development Office, Ormoc City</t>
  </si>
  <si>
    <t>Supply &amp; Delivery of Office Supplies Library Custodian, Rodriguez, Rizal</t>
  </si>
  <si>
    <t>RFQ / 20-05-1393 / PROCUREMENT OF CAMERA LENSES AND CAMERA FLASH</t>
  </si>
  <si>
    <t>20LA0339 Construction of Level III Water Supply System, Brgy. Poblacion, Nabunturan, Compostela Valley</t>
  </si>
  <si>
    <t>Procurement of Meals and Snacks to be served during the Oral Health Month Celebration of CHO</t>
  </si>
  <si>
    <t>20GBD0024 - Purchase of Office Supplies not available in the PS-DBM for use in the operations of DPWH-CTDEO</t>
  </si>
  <si>
    <t>Supply &amp; Delivery of Office Supplies for Procurement Office, Rodriguez, Rizal</t>
  </si>
  <si>
    <t>Construction/Repair/Improvement of Multi-Purpose Center/BDRRCC @ Brgy. Zone 6, Cadiz City</t>
  </si>
  <si>
    <t>One (1) Unit Aerial Work Platform</t>
  </si>
  <si>
    <t>20LA0340 Construction of Level II Water Supply System, Purok Maitom, Brgy. Tambongon, Pantukan, Compostela Valley</t>
  </si>
  <si>
    <t>S1-END20-011 - Lease of 1.0 MW Modular Diesel Gensets for El Nido DPP, El Nido, Palawan</t>
  </si>
  <si>
    <t>20CSAJ03-CONSULTING SERVICES FOR THE CONDUCT OF GEOTECHNICAL AND GEOLOGICAL SURVEY/INVESTIGATION FOR THE PROPOSED FLOOD CONTROL PROJECTS WITH 3RD CONGRESSIONAL DISTRICT OF PANGASINAN</t>
  </si>
  <si>
    <t>CONSTRUCTION OF SINGLE BARREL RCBC (2mx3mx6m)</t>
  </si>
  <si>
    <t>Bid No. 20-0271 - PROCUREMENT OF OFFICE SUPPLIES - MO/MTC</t>
  </si>
  <si>
    <t>P.R. No. X7-20-02-047 - Supply and Delivery for field use in the conduct of various Planning Applications Surveys for Road and Bridge Information Application (RBIA), Planning and Design Division, 1st</t>
  </si>
  <si>
    <t>Rebidding for Construction of Reinforced Concrete Slope Protection for CY 2020</t>
  </si>
  <si>
    <t>Supply and installation of Read and Bill Software including five(5) sets of Handheld Read and Bill Gadgets with portable Bluetooth Printer for Binalonan Water District</t>
  </si>
  <si>
    <t>S1-LDP20-013 - Lease of 0.5 MW Modular Diesel Gensets for Lubang DPP, Lubang, Occidental Mindoro</t>
  </si>
  <si>
    <t>Supply and Delivery of LED TV (2)</t>
  </si>
  <si>
    <t>Medicine</t>
  </si>
  <si>
    <t>The Procurement and Installation of 3-Unit Aircondition</t>
  </si>
  <si>
    <t>IB-2020-VI-30-01 RE-EGENTS (DIAGNOSTIC LABORATORY) 499,247.00</t>
  </si>
  <si>
    <t>Procurement of 650 Pad Traffic Citation Ticket under P.R.No. 2041-2020-Enforcement of Traffic Laws</t>
  </si>
  <si>
    <t>Supply &amp; Delivery of Various Information Technology Peripherals for SP use, Sangguniang Panlungsod, Ormoc City</t>
  </si>
  <si>
    <t>ACQUISITION OF MOTOR VEHICLE BPSO (RESCUE)</t>
  </si>
  <si>
    <t>Contract ID 2020-IG-020 - Purchase of Various Laboratory Testing Equipment &amp; Apparatus for use in the Quality Assurance Section, DPWH, Leyte 5th Engineering District, Baybay City, Leyte</t>
  </si>
  <si>
    <t>Repair of Nursing Building at ESSU Main Campus</t>
  </si>
  <si>
    <t>20LA0341 Rehabilitation/Major Repair of Soop Br. (B01566MN) along Asuncion – San Isidro – Laak – Veruela Rd., Laak, Compostela Valley</t>
  </si>
  <si>
    <t>Trash Bins, Transparent</t>
  </si>
  <si>
    <t>Supply and Delivery of Agricultural Equipment for OVRPE-CHED-IDIG Project</t>
  </si>
  <si>
    <t>P.R. No. X7-20-02-124 - Supply and Delivery for the field use of Road Right of Way, Planning and Design Division</t>
  </si>
  <si>
    <t>S1-MAM20-010 - Lease of 4.0 MW Modular Diesel Gensets for Mamburao DPP, Mamburao, Occidental Mindoro</t>
  </si>
  <si>
    <t>20GME0043 - Supply &amp; Delivery of Spare Parts for use of Develop Ineo 215 at Procurement Unit, Alabel, Sarangani Province</t>
  </si>
  <si>
    <t>Repair of Library Building at ESSU Main Campus</t>
  </si>
  <si>
    <t>Supply &amp; Delivery of 1 unit of Laptop for SP use, Sangguniang Panlungsod, Ormoc City</t>
  </si>
  <si>
    <t>SUPPLY AND DELIVERY OF MOTORPOOL AND CONSTRUCTION TOOLS</t>
  </si>
  <si>
    <t>Repair of Engineering Building at ESSU Main Campus</t>
  </si>
  <si>
    <t>Printing of the Updated Central Visayas Regional Development Plan 2017-2022</t>
  </si>
  <si>
    <t>20CB-GSC-321 PURCHASE OF DIESEL AND GASOLINE</t>
  </si>
  <si>
    <t>Procurement of Labor for Drilling of Production Wells</t>
  </si>
  <si>
    <t>PROCUREMENT OF MEDICINE SUPPLIES FOR RHU I, II &amp; III - 2ND QUARTER OF 2020</t>
  </si>
  <si>
    <t>S1-SVD20-007 - Lease of 0.6 MW Modular Diesel Gensets for San Vicente DPP, San Vicente, Palawan</t>
  </si>
  <si>
    <t>Procurement of Water Service Connection Materials/Fittings</t>
  </si>
  <si>
    <t>INVITATION TO BID FOR Supply and Delivery of  ONE (1) UNIT BRAND NEW MOTOR VEHICLE  FOR UP BAGUIO Bid Reference No.: UPB-BID-2020-04A</t>
  </si>
  <si>
    <t>Supply and Delivery of 2 sets Particle Board Office Cubicles with 2 shelves and Drawer lock and (10) other items under Purchase Request No. 896-20</t>
  </si>
  <si>
    <t>298 PCS Ceramic Floor Tiles 400mm x 400mm and other items for improvement of Candau-ay Habitat Day Care Center at Barangay Candau-ay.</t>
  </si>
  <si>
    <t>20NA0073 (CLUSTER) Construction of Rainwater Collection System (RWCS), Agusan del Norte</t>
  </si>
  <si>
    <t>Medical Equipment</t>
  </si>
  <si>
    <t>S1-TIN20-010 - Lease of 0.6 MW Modular Diesel Gensets for Tingloy DPP, Tingloy, Batangas</t>
  </si>
  <si>
    <t>Bid No. 20-0272 - PROCUREMENT OF CONSTRUCTION MATERIALS - MEO (CONSTRUCTION OF COVERED COURT - BRGY. TALIAN, MARAGUSAN, DAVAO DE ORO)</t>
  </si>
  <si>
    <t>Supply &amp; Delivery of Various Laboratory Supplies for CHD-Responsible Parenting &amp; Reproductive Health Program use, City Health Office, Ormoc City</t>
  </si>
  <si>
    <t>Concreting of Road Alley @ So. Capayas, Brgy. Sicaba, Cadiz City</t>
  </si>
  <si>
    <t>Public Bidding for the Supply and Delivery of Motorcycles for the use of City Mayor’s Office under ITB No. 2020-011</t>
  </si>
  <si>
    <t>Procurement of Various Combi-Roller Blinds</t>
  </si>
  <si>
    <t>PURCHASE OF RIZO AND XEROX MACHINE TONER USED AT MUNICIPAL HEALTH OFFICE</t>
  </si>
  <si>
    <t>Supply &amp; Delivery of Various Drugs &amp; Medicines for CHD-OPD Section &amp; 6 District Health Center use, City Health Office, Ormoc City</t>
  </si>
  <si>
    <t>Invitation to Bid for the Procurement of Rescue Equipment (Manlift) for the use in this municipality,  Aringay, La Union.</t>
  </si>
  <si>
    <t>Rebidding of 3 Projects Construction Materials (B-82-2020)</t>
  </si>
  <si>
    <t>Construction of Concrete Water Tank @ Burgos Elementary School, Brgy. Burgos, Cadiz City</t>
  </si>
  <si>
    <t>MATERIALS, IMPROVEMENT OF MULTI-PURPOSE CENTER, BRGY. MARIBUYONG, DUENAS, ILOILO</t>
  </si>
  <si>
    <t>Installation of Motor Pump &amp; Water Supply Pipelines @ Yee-on Elementary School, Brgy. Cabahug, Cadiz City</t>
  </si>
  <si>
    <t>Pag-IBIG Fund CHQ (SUPPLY AND DELIVERY OF LTO-5 ULTRIUM TAPE CARTRIDGE)</t>
  </si>
  <si>
    <t>Invitation to Bid for the Procurement of Common-Use Supplies not available from the PS-DBM to be used by various offices/departments, Aringay, La Union.</t>
  </si>
  <si>
    <t>SUPPLY AND DELIVERY OF VARIOUS MECHANICAL FITTINGS</t>
  </si>
  <si>
    <t>S3-KDP20-001 - Lease of 3.0 MW Modular Diesel Gensets for Kalamansig DPP, Kalamansig, Sultan Kudarat</t>
  </si>
  <si>
    <t>S3-JOL20-030 - Lease of 1.0 Mw Modular Diesel Gensets for Jolo DPP, Jolo, Sulu</t>
  </si>
  <si>
    <t>20CB-GSC-317 CATERING SERVICES</t>
  </si>
  <si>
    <t>P.R. No. X7-20-02-091 -  Supply and Delivery for the use in the Conduct of Bridge Condition Inspection on July 6-10, 2020. (Pantar Br. &amp; Balo-I Steel Br., LDN 1st) Planning and Design Division</t>
  </si>
  <si>
    <t>PURCHASE OF OFFICE EQUIPMENT  					(2.5hp Split Type Air Conditioning Unit)</t>
  </si>
  <si>
    <t>Supply &amp; Delivery of Oil &amp; Lubricants for the use of Different Government Vehicles, City General Services Office, Ormoc City</t>
  </si>
  <si>
    <t>Labor and Materials for Rehabilitation of Iriga City Hall</t>
  </si>
  <si>
    <t>ITB- PROVISION OF MEALS AND DRINKING WATER FOR PROJECT SAGIP BATANG SOLVENT (PSBS)</t>
  </si>
  <si>
    <t>procurement/delivery of supplies &amp; materials</t>
  </si>
  <si>
    <t>Procurement of Various Electrical Materials, Mayors Office</t>
  </si>
  <si>
    <t>Rehabilitation of Municipal Streets (L. Garcia St., Perucho St., F. Garcia St.)</t>
  </si>
  <si>
    <t>5 cu.m Sand std. and specs and other items for improvement of Barangay 8 Lupa Day Care Center at Barangay 8.</t>
  </si>
  <si>
    <t>SUPPLY AND DELIVERY OF FERTILIZER</t>
  </si>
  <si>
    <t>RFQ2020-02-131-other supplies</t>
  </si>
  <si>
    <t>P.R. No. X7-20-04-190 - Supply and Delivery for the use in the Repair and Maintenance of 2008/Hillux 3.0L 4x4 DSL M/T-BM-008/EMD 100/TEMP 100810, Planning and Design Division</t>
  </si>
  <si>
    <t>Upgrading of the Tissue Culture Laboratory, Area: 315.0 Sq.M. at  Isabela State University, Cabagan, Isabela</t>
  </si>
  <si>
    <t>Procurement of Office Supplies (COMMERCIAL)</t>
  </si>
  <si>
    <t>2020-055, CONSTRUCTION OF DAY CARE CENTER HALL AT LOMOPOG, MIDSAYAP, COTABATO</t>
  </si>
  <si>
    <t>MG-A5M20-103 ( STAINLESS STEEL COATING )</t>
  </si>
  <si>
    <t>Food Assistance</t>
  </si>
  <si>
    <t>Invitation to Bid for the Construction of Slope Protection along Dulao Creek, Dulao, Aringay, La Union.</t>
  </si>
  <si>
    <t>procurement/delivery of construction supplies &amp; materials</t>
  </si>
  <si>
    <t>Purchase of Medical, Dental, Laboratory Supplies and other logistics. (CHO)</t>
  </si>
  <si>
    <t>Service Contract for the Janitorial and Utility Manpower Services for SEC Head Office and Extension Offices for a period of one (1) year</t>
  </si>
  <si>
    <t>SUPPLY AND DELIVERY OF SEEDLINGS AND VEGETABLE SEEDS</t>
  </si>
  <si>
    <t>20GKG0028 (PR No. 20-05-070)- Procurement of Construction Materials and Supplies for use in the Repair/Maintenance of Drainage along Tagoloan-Baloi Road (Tagoloan Section), Tagoloan, Lanao del Norte,</t>
  </si>
  <si>
    <t>Rehabilitation of Municipal Streets (Perucho St., Judge De Luna St., Street Leading to Tanap)</t>
  </si>
  <si>
    <t>Procurement of 1 UNIT COMPUTER DESKTOP</t>
  </si>
  <si>
    <t>Construction of Flood Control Dike (Binyadora Creek)</t>
  </si>
  <si>
    <t>2020-06-318 Procurement of Various Office and Other Supplies</t>
  </si>
  <si>
    <t>Office Furnitures</t>
  </si>
  <si>
    <t>20BA0054: CONSTRUCTION OF MULTI-PURPOSE BUILDING (COVERED COURT), BRGY. SAN ANTONIO, BASCO, BATANES</t>
  </si>
  <si>
    <t>SUPPLY AND DELIVERY OF VARIOUS PLASTIC FITTINGS</t>
  </si>
  <si>
    <t>Invitation to Bid for the Construction of Farmers Multi-Purpose Hall at Brgy. Samara, Aringay, La Union.</t>
  </si>
  <si>
    <t>PROCUREMENT OF APPLIANCES</t>
  </si>
  <si>
    <t>SUPPLY AND DELIVERY OF MATERIALS FOR PROPOSED BRGY. ROAD CONCRETING AT SITIO CABCAO, BRGY. BUCAO, GUIUAN, EASTERN SAMAR</t>
  </si>
  <si>
    <t>Procurement of Fruit Tree Seedlings, Municipal Agriculture Office</t>
  </si>
  <si>
    <t>Supply and Delivery of Personalized CFO Anniversary Polo Shirt</t>
  </si>
  <si>
    <t>Repair of the SSF Equipments</t>
  </si>
  <si>
    <t>20CB-GSC-322 PURCHASE OF JANITORIAL SUPPLIES</t>
  </si>
  <si>
    <t>Rehabilitation of Drainage Canals (E. Fermin St., Macadaeg St.)</t>
  </si>
  <si>
    <t>INFRA 2K20-46 REHABILITATION OF POB. LAKEWOOD – BAKING – DAGUM ROAD</t>
  </si>
  <si>
    <t>SUPPLY AND DELIVERY OF BRASS AND G.I. FITTINGS</t>
  </si>
  <si>
    <t>Rental/Lease of Real Time Kinematic  (RTK) with complete accessories and installer</t>
  </si>
  <si>
    <t>15 units desktop computer</t>
  </si>
  <si>
    <t>Improvement/Rehabilitation of Water System</t>
  </si>
  <si>
    <t>2020-056, CONSTRUCTION OF COVERED COURT AT SITIO BULOD, BARANGAY TUGAL, MIDSAYAP, COTABATO</t>
  </si>
  <si>
    <t>Supply and delivery of laboratory equipment (RFQ 2020-079 AFV)</t>
  </si>
  <si>
    <t>PR No. 2020-02-0384-MAIN-Supply and Delivery of Cheque Paper for Registrar’s Office</t>
  </si>
  <si>
    <t>Supply/Delivery of Spare Parts and Tools for use at NIA-THIRIS, Sta. Lucia, Magarao, Camarines Sur</t>
  </si>
  <si>
    <t>PROCUREMENT OF GENERATOR SET</t>
  </si>
  <si>
    <t>Construction of Multi-Purpose Shed</t>
  </si>
  <si>
    <t>Supply/Delivery of Office Supplies and Materials for use of NIA-CAMSUR IMO Office, Naga City (REBID)</t>
  </si>
  <si>
    <t>Rehabilitation of Sanitary Land Fill, Inabaan Norte</t>
  </si>
  <si>
    <t>SUPPLY AND DELIVERY OF WASHABLE FACE MASK</t>
  </si>
  <si>
    <t>SUPPLY AND DELIVERY OF 3 UNITS AIR CONDITION 3TR (FLOOR MOUNTED), GUIUAN E. SAMAR</t>
  </si>
  <si>
    <t>P.R. No. X7-20-04-191 - Supply and Delivery for tge in Maintenance Montero with plate no. B5G-549, Planning and Design Division</t>
  </si>
  <si>
    <t>Supply and Delivery of  One (1) Lot Anti-Virus  Software</t>
  </si>
  <si>
    <t>ITB No. 2020-I-01-01:Construction of Baccugon to Guinawa road</t>
  </si>
  <si>
    <t>Construction of Satellite Market</t>
  </si>
  <si>
    <t>Supply/Delivery of Construction Materials for use of NIA-THIRIS for SAN FRANCISCO PIS (FAW), Canaman, Camarines Sur</t>
  </si>
  <si>
    <t>CONSTRUCTION OF 8.00 BOX CULVERT</t>
  </si>
  <si>
    <t>20% EDF CY 2020 Projects</t>
  </si>
  <si>
    <t>Construction Apartment-Type Niches, Municipal Cemetery</t>
  </si>
  <si>
    <t>Additional Materials for ATS NC II car lifter area use</t>
  </si>
  <si>
    <t>5 pcs 7.50 x 154x14 PR tires with flap &amp; tube, rough</t>
  </si>
  <si>
    <t>PR No. 2020-02-0293-MAIN-Supply, Delivery and Installation of Laboratory Equipment for Garments Technology Instruction for the College of Teacher Education</t>
  </si>
  <si>
    <t>IB-2020-VI-30-02 CONSTRUCTION MATERIALS (TORDESILLAS &amp; LUNA)- P216,400.00</t>
  </si>
  <si>
    <t>Procurement for the Renewal of DOH Blade Chassis and Blade Servers Maintenance Agreement – Rebid</t>
  </si>
  <si>
    <t>Supply and Delivery of Piglets for the Livestock Livelihood Program on Swine Production in Support to NLP for ATI-RTC XII.</t>
  </si>
  <si>
    <t>Pakyaw Labor etc. (04-0430) CEO</t>
  </si>
  <si>
    <t>Procurement of One (1) Lot Information and Communications Technology (ICT) Equipment for the Philippine National Police Anti- Kidnapping Group (PNP AKG) - PNPTR-AKG-DP-20-03</t>
  </si>
  <si>
    <t>Request for Quotation for the Supply and Delivery of DPD Reagent for Chlorine Dioxide</t>
  </si>
  <si>
    <t>IB-2020-VI-30-04 TRAFFIC SIGN WITH STAND</t>
  </si>
  <si>
    <t>STRUCTURED CABLING SYSTEM SYSTEM FOR MINDANAO STATION</t>
  </si>
  <si>
    <t>P.R. No. X7-20-03-184 - Supply and Delivery for the use of Axle Load Survey and Traffic Survey of the Planning and Design Division</t>
  </si>
  <si>
    <t>Bus Hire (Sweeper Team)</t>
  </si>
  <si>
    <t>20CB-GSC-318 PURCHASE OF IPMR UNIFORM</t>
  </si>
  <si>
    <t>INFRA 2K20-49 CONCRETING OF BINUAY TO BALUNO ROAD SECTION</t>
  </si>
  <si>
    <t>Supply and Delivery of Auto Supplies and Equipment</t>
  </si>
  <si>
    <t>Construction of Sidewalk and Gutter</t>
  </si>
  <si>
    <t>PURCHASE OF MATERIALS FOR THE CONSTRUCTION OF MULTI-PURPOSE BLDG./EVACUATION CENTER</t>
  </si>
  <si>
    <t>IB-2020-VI-30-03 FARM TO MARKET ROAD</t>
  </si>
  <si>
    <t>Supply/Delivery of Construction Materials for use of NIA-THIRIS for SAN NICOLAS PIS (FAW), Canaman, Camarines Sur</t>
  </si>
  <si>
    <t>REPAIR/REPAINTING OF OFFICE &amp; OPERATORS QUARTER OF BATAN DPP</t>
  </si>
  <si>
    <t>ITB No. 2020-I-P2-01: Construction/ Improveent/ Concreting of Various Infra Projects</t>
  </si>
  <si>
    <t>PR No. 2020-02-0192-MAIN-Supply and Delivery of Audio and Visual Equipment (TV Sets) for Instructional Purposes of CTAS</t>
  </si>
  <si>
    <t>SUPPLY AND DELIVERY OF MATERIALS FOR RENOVATION OF ACCOUNTING OFFICE</t>
  </si>
  <si>
    <t>ITB No. 2020-I-P3-01: Riprapping/Rehab/Iprovement/Installation of Various Infra Projects</t>
  </si>
  <si>
    <t>20NA0072 Completion of Conference/Seminar Building, Brgy. Poblacion, Jabonga, Agusan del Norte</t>
  </si>
  <si>
    <t>Supply/Delivery of Advertising Materials for use of Institutional Unit NIA-CSIMO, Naga City</t>
  </si>
  <si>
    <t>Construction of Pavements</t>
  </si>
  <si>
    <t>20CB-GSC-323 PURCHASE OF HARDWARE SUPPLIES</t>
  </si>
  <si>
    <t>PR No. 2020-02-0190-MAIN-Supply and Delivery of Hotel Housekeeping Instructional and Laboratory Materials for the College of Business Arts and Sciences</t>
  </si>
  <si>
    <t>REPAIR/IMPROVEMENT OF PNP HEADQUARTERS, LA CARLOTA CITY</t>
  </si>
  <si>
    <t>For BWD Vehicle SDA 225</t>
  </si>
  <si>
    <t>IB-2020-VI-30-05 CONSTRUCTION OF bRGY HEALTH STATION (CUBAY NAPULTAN)</t>
  </si>
  <si>
    <t>Supply and Delivery of 1 unit Photocopier Machine</t>
  </si>
  <si>
    <t>4 units diamond core, drill bit</t>
  </si>
  <si>
    <t>Information Technology for the Digitization of Listahanan Household Assessment Forms and other NHTS Activities</t>
  </si>
  <si>
    <t>ITB No. 2020-I-P4-01: Rehab./Construction/Iprovement/Concreting of Various Infra Projects</t>
  </si>
  <si>
    <t>Delivery of various construction materials needed for Brgy. Multi-Purpose Gym and Evacuation Center - Brgy. San Miguel, Bayawan City (ITB 20-071)</t>
  </si>
  <si>
    <t>3 lots Strapping and Bundling Materials and Band Rolls</t>
  </si>
  <si>
    <t>Concreting of Sitio Baccugon, Barangay Pullaan FMR, Lagawe, Ifugao</t>
  </si>
  <si>
    <t>Office Equipment for Isolation Unit</t>
  </si>
  <si>
    <t>Procurement of Piglets</t>
  </si>
  <si>
    <t>Procurement of HARDWARE SUPPLIES</t>
  </si>
  <si>
    <t>P.R. No. X11-19-11-609 - Supply and Delivery for the repair and maintenance of Mitsubishi Montero, H1-N/A (B5G 491) assigned at EMD</t>
  </si>
  <si>
    <t>INSTALLATION OF TWO (2) UNITS ARTESIAN WELL FOR IRRIGATION SYSTEM (LABOR SERVICES) - 2ND BIDDING</t>
  </si>
  <si>
    <t>Supply and Delivery of Spare Parts for the Repair of Backhoe Loader, Mogpog</t>
  </si>
  <si>
    <t>Road Asphalting</t>
  </si>
  <si>
    <t>20CB-GSC-319 PURCHASE OF HOSPITAL SUPPLIES</t>
  </si>
  <si>
    <t>Bid No. 20-0273 - PROCUREMENT OF CONSTRUCTION MATERIALS - MEO (CONSTRUCTION OF COVERED COURT - BRGY. TUPAS, MARAGUSAN, DAVAO DE ORO)</t>
  </si>
  <si>
    <t>Construction and Rehab of All Drainage Canal/Ditches at 100cm width with Cover to Climate Variability Design Standards</t>
  </si>
  <si>
    <t>Procurement of One (1) Lot Information and Communications Technology (ICT) Equipment for the Philippine National Police Directorate for Logistics (PNP DL)- PNPTR-DL-DP-20-04</t>
  </si>
  <si>
    <t>2OCB-GSC-315 PURCHASE OF DESKTOP COMPUTERS (RE-BID)</t>
  </si>
  <si>
    <t xml:space="preserve">20NA0074 ACT NO. 71X (Special Maintenance) Selective Replacement of Damaged Concrete Slabs along National Primary, Secondary &amp; Tertiary Roads (Concrete Reblocking), with Pavement Markings 1st Quarter </t>
  </si>
  <si>
    <t>PROCUREMENT OF ONE (1) UNIT MOTOR VEHICLE</t>
  </si>
  <si>
    <t>Procurement of Multifunction Inkjet Printer</t>
  </si>
  <si>
    <t>RFQ - 200 bags Reflectorized Thermoplastic Pavement Markings Yellow, 300 bags Reflectorized Thermoplastic Pavement Markings White for use in Maintenance Activities (2nd Quarter)</t>
  </si>
  <si>
    <t>Request for Quotation (HMD-2020-03-0211 Portable Label Printer)</t>
  </si>
  <si>
    <t>To Support the Logistical Requirements of 0G4,1ID,PA</t>
  </si>
  <si>
    <t>IB-2020-VI-30-06-CONSTRUCTION OF BARANGAY HEALTH STATION (ODIONG)</t>
  </si>
  <si>
    <t>Lease of Processing Plant and Warehouse for the Production of Sterilized Milk for Six Months</t>
  </si>
  <si>
    <t>Request for quotations</t>
  </si>
  <si>
    <t>INSTALLATION OF STREET LIGHTS ALONG SANGHAN - ANTONIO LUNA PROVINCIAL ROAD IN BARANGAY SANGHAN, CABADBARAN CITY - 2ND BIDDING</t>
  </si>
  <si>
    <t>UPGRADING OF SCHOOL EDUCATIONAL BROADCAST STATION EQUIPMENT</t>
  </si>
  <si>
    <t>20OI0121: CONSTRUCTION OF SLOPE PROTECTION AT ALMIRANTE CREEK AT BRGY. TALON 4, LAS PINAS CITY</t>
  </si>
  <si>
    <t>Supply and Delivery of Materials for Fabrication of Pipe Supports in connection with the Waterline Extension Project in Imbang Bridge Crossing Pipeline, Brgy. E. Lopez for Silay City Water District</t>
  </si>
  <si>
    <t>Invitation to Bid for Supply, Delivery and Installation of Digital Speech Laboratory</t>
  </si>
  <si>
    <t>2nd Quarter 2020 MOOE - Medical, Dental &amp; Laboratory Supplies</t>
  </si>
  <si>
    <t>for the repair of outside ceiling of Admin. building</t>
  </si>
  <si>
    <t>To Support the Logistical Requirements of 554EBN,55EBDE,PA</t>
  </si>
  <si>
    <t>20OI0122: Construction of Flood Control Structures along Zapote River and its Tributaries (Upstream), Las Pinas City</t>
  </si>
  <si>
    <t>Re-Bidding of Supply and Delivery of One (1) Lot Various Engineering and Maintenance Materials for January 1 to December 31, 2020</t>
  </si>
  <si>
    <t>Concreting of Sitio Mabuyucan to Sitio Pun-Ayagan, Barangay Umalbong FMR, Barangay Umalbong, Hingyon, Ifugao</t>
  </si>
  <si>
    <t>SUPPLY AND DELIVERY OF ASSORTED uPVC PIPES</t>
  </si>
  <si>
    <t>IB-2020-VI-30-07 CONSTRUCTION OF BARANGAY HEALTH STATION (IGCOCOC)</t>
  </si>
  <si>
    <t>SUPPLY AND DELIVERY OF TWO (2) UNITS DESKTOP COMPUTER W/ ACCESSORIES - TWO FAILED BIDDING</t>
  </si>
  <si>
    <t>Supply, Delivery and Installation of Kitchenwares and Equipment for SIP Hub Kitchen of the Univertsity</t>
  </si>
  <si>
    <t>1 set CCTV</t>
  </si>
  <si>
    <t>ITB No. 2020-G-03-02: Purchase of LGU-Lagawe Office Supplies</t>
  </si>
  <si>
    <t>Supply and Delivery of Construction Materials and Supplies for Improvement of Yook Health Center</t>
  </si>
  <si>
    <t>INFRA 2K20-50 CONCRETING OF ROAD FROM JOSEFINA TO BALINTAWAK, MARGOSATUBIG (PHASE I)</t>
  </si>
  <si>
    <t>Construction of Laundry Area with Placenta Pit, Vault Slab and Drainage of Birthing and New Calasiao Mun. Health Clinic at Calasiao, Pangasinan</t>
  </si>
  <si>
    <t>20CB-GSC-324 PURCHASE OF OFFICE EQUIPMENT</t>
  </si>
  <si>
    <t>P.R No. 2020-AS-05-017(Steel Cabinet &amp; Printer) Administrative Section</t>
  </si>
  <si>
    <t>UPGRADING OF SCHOOL EDUCATIONAL BROADCAST STATION ANTENNA</t>
  </si>
  <si>
    <t>Procurement of Vaccine: Vero Cell (Purified)</t>
  </si>
  <si>
    <t>CONSTRUCTION/CONCRETING OF 270 LN. M. LOCAL ACCESS ROAD   Purok 5, TCES, Poblacion, Tubod, Lanao del Norte</t>
  </si>
  <si>
    <t>20GGM0011 - Procurement of furnitures for use in various offices, DPWH, Negros Occidental 3rd District Engineering Office, Kabankalan City.</t>
  </si>
  <si>
    <t>SUPPLY AND DELIVERY OF FUEL (DIESEL AND GASOLINE) FOR VARIOUS OFFICES - TWO FAILED BIDDING</t>
  </si>
  <si>
    <t>Supply and Delivery of Medicines for RHU, BEMONC and Philhealth</t>
  </si>
  <si>
    <t>Information Technology for the Digitization of Listahanan 3 Household Assessment Forms and other NHTS-LAMA Activities</t>
  </si>
  <si>
    <t>Supply &amp; Delivery of 6 UNITS GEOTAGGING DEVICE for use of Regional AFC Members with PR#DA3-2020-06-08-92 &amp; ABC of P89,400.00</t>
  </si>
  <si>
    <t>EXTENSION OF KALASAG</t>
  </si>
  <si>
    <t>Purchase of 1-Unit Brand New Vehicle (AMBULANCE TYPE) for the Municipal Healht of LGU Lugait, Misamis Oriental.</t>
  </si>
  <si>
    <t>20CB-GSC-316 PURCHASE OF SPARE PARTS FOR MOTOR VEHICLE</t>
  </si>
  <si>
    <t>Repair and Maintenance of BWD Vehicle SDA225</t>
  </si>
  <si>
    <t>Supply and Delivery of Diesel Fuel</t>
  </si>
  <si>
    <t>20BA0056: CONCRETING OF BRGY. LIPTAN TO BRGY. KARWARWAY FMR, BRGY. STA. LUCIA, ITBAYAT, BATANES</t>
  </si>
  <si>
    <t>Supply &amp; Installation of Airconditioning Units for City Legal Office, City General Services Office, Ormoc City</t>
  </si>
  <si>
    <t>IB-2020-VI-30-08 CONSTRUCTION BARANGAY HEALTH STATION (TABONGTABONG)</t>
  </si>
  <si>
    <t>Supply and Delivery of Medical Supplies for RHU, BEMONC and Philhealth</t>
  </si>
  <si>
    <t>Repair and Maintenance of LGU Service Vehicles</t>
  </si>
  <si>
    <t>Vehicle Parts for Repair and Maintenance of Light Vehicle</t>
  </si>
  <si>
    <t>Concrete Pavement of Municipal Road to Climate Resilient Design Standards Located in Subdivision Area Poblacion</t>
  </si>
  <si>
    <t>Concreting of Pal-ew-Sto. Niño Road, Barangay Pal-ew (Additional Allocation) and Concreting of Sto. Niño-Pal-ew Road, Barangay Sto. Niño (Additional Allocation)</t>
  </si>
  <si>
    <t>PROCUREMENT OF MOTORCYCLE FOR ENFORCEMENT</t>
  </si>
  <si>
    <t>PURCHASE OF SOLAR PANEL AT BARANGAY MUZON I, ROSARIO, CAVITE</t>
  </si>
  <si>
    <t>Additional Facilities for the SSF for Waterlily/ Water Hyacinth Making Facilities for the WOW Carmen Handicrafts Makers</t>
  </si>
  <si>
    <t>PUBLIC BIDDING / PR 19-11-1126 RE-BID / REHABILITATION/RESTORATION OF KALAYAAN HALL EXTERIOR</t>
  </si>
  <si>
    <t>Procurement of Consumables/Ink/Toner Intended for 3rd Quarter of CY 2020</t>
  </si>
  <si>
    <t>Supply and Delivery of Construction Materials for Slope Protection @ Star Village</t>
  </si>
  <si>
    <t>EXPANSION OF PIER AT BRGY. AMOTAG</t>
  </si>
  <si>
    <t>Internet Installation</t>
  </si>
  <si>
    <t>Purchase of Construction Materials for the Improvement of ECCD at Brgy. Dulongbayan II, San Mateo, Rizal</t>
  </si>
  <si>
    <t>PUBLIC BIDDING / PR 20-03-0161 /  125 BRAND NEW MULTI-FUNCTION PRINTERS (MFP)</t>
  </si>
  <si>
    <t>Supply and Delivery of Office Supplies and Computer Supplies for BUGS Registrar’s Office</t>
  </si>
  <si>
    <t>supply and delivery of 10 unit smartphone, android</t>
  </si>
  <si>
    <t>Re-Blocking and Upgrading of Existing Streets of Poblacion Las Navas, N. Samar</t>
  </si>
  <si>
    <t>SUPPLY AND DELIVERY OF  SUPPLIES / MATERIALS FOR LIVELIHOOD PROGRAM FOR FISHERFOLK (FISHING GEARS)</t>
  </si>
  <si>
    <t>Procurement of OFFICE FURNITURE ADDITIONAL (Office Tables, Cabinet &amp; Chairs) Delivery &amp; Installation for the use of LGU Lugait, Misamis Oriental.</t>
  </si>
  <si>
    <t>Information Technology to be used by DSWD Regional Field Office 12 for additional and upgrading of ICT Equipment</t>
  </si>
  <si>
    <t>CONSTRUCTION OF MULTIPURPOSE BUILDING ( PHASE III) LAWIN DAY CARE</t>
  </si>
  <si>
    <t>IB-2020-VI-30-10 CONSTRUCTION MATERIALS (EGANA &amp;SALVACION)</t>
  </si>
  <si>
    <t>Repair/ Rehabilitation of Classroom Damaged by Typhoon Ursula under Quick Response Fund (QRF) CY 2020 Batch 1 Lot 1 at Bacolod PS, Balasan CES, Batuan ES, Gimamanay ES, Quisan ES and Mamhut PS at Bala</t>
  </si>
  <si>
    <t>Concreting of Road Leading to Jacinto Aguilar M/S Barangay Tugas, Concreting of Road Leading to Buyao-Tugas and Concreting of Road Sito Canlibot, Barangay Tugas</t>
  </si>
  <si>
    <t>06-2020 RFQ-Hygiene Kit</t>
  </si>
  <si>
    <t>CONSTRUCTION OF PERIMETER FENCE OF NATIONAL CHILD DEVELOPMENT CENTER</t>
  </si>
  <si>
    <t>supply and delivery of one unit dosing pump</t>
  </si>
  <si>
    <t>CONSTRUCTION OF CHECK STRUCTURE</t>
  </si>
  <si>
    <t>Procurement of Various Medical Supplies (TFB-2020-004Recanvass) BAC EP 2020-003</t>
  </si>
  <si>
    <t>Plastic, Transparent, 40x40</t>
  </si>
  <si>
    <t>Procurement of Various Drugs and Medicines (TFB-2020-003Recanvass) BAC EP 2020-001</t>
  </si>
  <si>
    <t>SUPPLY &amp; DELIVERY OF VARIOUS MATERIALS (OFFICE EQPT) OF OM-BOD</t>
  </si>
  <si>
    <t>Procurement of Various Drugs and Medicines (TFB-2020-005) BAC EP 2020-001</t>
  </si>
  <si>
    <t>ICT Equipment - LAPTOP</t>
  </si>
  <si>
    <t>LOT Procurement of AIR CONDITIONERS for the Use of DOPH Gov. Generoso</t>
  </si>
  <si>
    <t>supply and delivery of computer printers</t>
  </si>
  <si>
    <t>PURCHASE OF MINI DUMP TRUCK AT BARANGAY MUZON I, ROSARIO, CAVITE</t>
  </si>
  <si>
    <t>CY 2020 Basic Educational Facilities Fund (BEFF)- Electrification of Un-Energized Schools and  Modernization of Electrical Systems On-Grid Schools Batch 2  (Repost)</t>
  </si>
  <si>
    <t>Construction Materials(Construction of Drainage Canal(Gamuton Continuation))</t>
  </si>
  <si>
    <t>Procurement for the Supply and Delivery of 11,653 Sets Educational School Supplies for Public School Grades 4-6 Students of the City.</t>
  </si>
  <si>
    <t>Fabrication of Classroom (Container Van) Brgy. Caturay, Gerona, Tarlac</t>
  </si>
  <si>
    <t>Local Access Road in Poblacion to Guadalupe</t>
  </si>
  <si>
    <t>Invitation to Bid for Supply and Delivery of Agricultural Supplies at Mun. Agriculture Office, Calaca, Batangas</t>
  </si>
  <si>
    <t>SUPPLY AND DELIVERY OF SUBMERSIBLE PUMP, MOTOR, THERMAL OVERLOAD RELAY AND #10 Submersible Cable, 3C</t>
  </si>
  <si>
    <t>Water Service Connection Materials/Fittings - Brgy. Baringin Sur</t>
  </si>
  <si>
    <t>Repair/ Rehabilitation of Classroom Damaged by Typhoon Ursula under Quick Response Fund (QRF) CY 2020 Batch 1 Lot 2 at Kinalkalan ES and Mamhut ES at Balasan, Iloilo.</t>
  </si>
  <si>
    <t>Supply &amp; Delivery of Various Medicines</t>
  </si>
  <si>
    <t>20PA0132 : CONCRETING OF BARANGAY GUINGUINABANG FMR, Barangay Guinguinabang, Lacub, Abra</t>
  </si>
  <si>
    <t>PROCUREMENT FOR THE SUPPLY, DELIVERY AND INSTALLATION OF VARIOUS LABORATORY EQUIPMENT FOR USE OF NATIONAL PLANT QUARANTINE SERVICES DIVISION (NPQSD)</t>
  </si>
  <si>
    <t>Supply and Delivery of furnitures for use of Engineering and Operations Head</t>
  </si>
  <si>
    <t>Meals</t>
  </si>
  <si>
    <t>Procurement for the Supply and Delivery of 11,100 Sets Educational School Supplies for Public School Grades 1-3 Students of the City</t>
  </si>
  <si>
    <t>LOT Procurement of MATERIALS for Use of Brgy. Lucatan, Tarragona, Davao Oriental</t>
  </si>
  <si>
    <t>20PA0133 : CONCRETING OF BARANGAY NAGCANASAN FMR, Barangay Nagcanasan, Pilar, Abra</t>
  </si>
  <si>
    <t>CONSTRUCTION OF MULTI-PURPOSE BUILDING (PHANSE II) ADARNA DAY CARE</t>
  </si>
  <si>
    <t>Concreting of Barangay Road, Purok 6, Brgy. Rizal, Gerona, Tarlac</t>
  </si>
  <si>
    <t>Purchase and Installation of Public Address System for COVID-19 Operation</t>
  </si>
  <si>
    <t>Bidding for the Supply &amp; Delivery of Medical Equipment for COVID-19 Operation</t>
  </si>
  <si>
    <t>Repair/ Rehabilitation of Classroom Damaged by Typhoon Ursula under Quick Response Fund (QRF) CY 2020 Batch 1 Lot 6 at Asluman ES, Granada ES, Piagao PS and Granada NHS Carles, Iloilo.</t>
  </si>
  <si>
    <t>LOT Procurement of MATERIALS for Use of Brgy. Sto. Rosario, San Isidro, Davao Oriental</t>
  </si>
  <si>
    <t>CONCRETING OF ROAD AT PUROK 4 STA. MARINA</t>
  </si>
  <si>
    <t>PURCHASE OF MEDICAL SUPPLIES AT MHO</t>
  </si>
  <si>
    <t>REPAIR OF BARANGAY HALL (BRGY LULUGAYAN) Jiabong, Samar</t>
  </si>
  <si>
    <t>LOT Procurement of MATERIALS for Use in the Construction of Staff House at Tourism Complex, Brgy. Don Martin Marundan, City of Mati, Davao Oriental</t>
  </si>
  <si>
    <t>Construction of Bulacon Barangay Multi-Purpose Building, Concreting of Lapu Lapu St (140.00 m) and Concreting of Aguinaldo St, 200.00m</t>
  </si>
  <si>
    <t>Purchase of Fuel  (3rd Quarter 2020) Rebid</t>
  </si>
  <si>
    <t>Supply and Delivery of Animal Feeds for the Livestock Livelihood Program on Swine Production in Support to National Livestock Program (NLP) for ATI-RTC XII.</t>
  </si>
  <si>
    <t>Repair/ Rehabilitation of Classroom Damaged by Typhoon Ursula under Quick Response Fund (QRF) CY 2020 Batch 1 Lot 4 at Binon-an ES, Jose Gonzaludo ES, Malico Es and Pasayan ES Batad, Iloilo.</t>
  </si>
  <si>
    <t>CID No. 19IO0159: Rehabilitation of DENR-EMB RO 8 Laboratory Building, Baras, Palo, (Phase III), Government Center, Baras, Palo, Leyte</t>
  </si>
  <si>
    <t>Water Service Connection Materials/Fittings - Brgy. Turayong Extension</t>
  </si>
  <si>
    <t>Publication No. 28-2020-G (First Publication) Office Equipment</t>
  </si>
  <si>
    <t>LOT Procurement of MATERIALS for Use of Brgy. Taguibo, City of Mati, Davao Oriental</t>
  </si>
  <si>
    <t>20GGJ0050 REQUEST FOR QUOTATION</t>
  </si>
  <si>
    <t>Procurement for the Supply and Delivery of 3,700 Pieces School Bags for Public School Grade – 1 Pupils of the City</t>
  </si>
  <si>
    <t>Supply and Delivery of Monthly Security Services for Various Government Buildings</t>
  </si>
  <si>
    <t>Purchase of chlorine dioxide A &amp; B</t>
  </si>
  <si>
    <t>Procurement of 2,500 Kilos RED PEANUT WITH SHELL in Support to Rice Farmers of the Province (Planting of Peanut after Rice Cropping Season)</t>
  </si>
  <si>
    <t>Publication No. 30-2020-G (First Publication) Heavy Equipments</t>
  </si>
  <si>
    <t>Repair/ Rehabilitation of Classroom Damaged by Typhoon Ursula under Quick Response Fund (QRF) CY 2020 Batch 1 Lot 5 at Abong ES, Alipata ES. Bito-on ES and Cana PS Carles, Iloilo.</t>
  </si>
  <si>
    <t>Invitation to Bid for Supply and Delivery of Back Pack for Day Care Children to Senior High School Students at DepEd Calaca District, Calaca, Batangas</t>
  </si>
  <si>
    <t>Repair/ Rehabilitation of Classroom Damaged by Typhoon Ursula under Quick Response Fund (QRF) CY 2020 Batch 1 Lot 8 at Bolo ES and Tupaz ES, Carles, Iloilo.</t>
  </si>
  <si>
    <t>Hiring of Assisting Professional for establishment of 2 hectares PBMA and conduct of Baseline Data Assessment</t>
  </si>
  <si>
    <t>Invitation to Bid for Supply and Delivery of Pencil with Eraser, Ballpen, Pentel Pen and Colored Paper for Day Care Children to Senior High School Students at DepEd Calaca District, Calaca, Batangas</t>
  </si>
  <si>
    <t>20GHF0006 - Supply and Delivery of Construction Materials and Supplies for use in office repair purposes and in the Repaint of National Bridges, Concrete Parapet and Informative Road Safety Signages a</t>
  </si>
  <si>
    <t>Publication No. 31-2020-G (First Publication) Two (2) units Brandnew Dump Truck (5 cu.m capacity) and Two (2) units Brandnew Dump Truck (20 cu.m capacity)</t>
  </si>
  <si>
    <t>PSD-2020-06-0187 (FOR THE USE OF AGENCY OPERATION CENTER AND FO9 STAFF IN ITS DAY TO DAY OPERATION)</t>
  </si>
  <si>
    <t>Supply and Delivery of Insecticide</t>
  </si>
  <si>
    <t>Procurement for the Supply and Delivery of One Unit Mobile Patrol Vehicle with Complete Accessories, City of Koronadal</t>
  </si>
  <si>
    <t>OFFICE SUPPLIES, EQUIPMENT, AND CONSUMABLES</t>
  </si>
  <si>
    <t>Publication No. 29-2020-G (First Publication) IT Equipment</t>
  </si>
  <si>
    <t>Supply and Delivery of Fertilizers</t>
  </si>
  <si>
    <t>P.R. No. X11-20-02-084 - Supply and Delivery for the use in Equipment Management Division Office</t>
  </si>
  <si>
    <t>Repair/ Rehabilitation of Classroom Damaged by Typhoon Ursula under Quick Response Fund (QRF) CY 2020 Batch 1 Lot 7 at Cawayan ES, Cawayan NHS, Carles, Iloilo and Balasan NHS, Balasan, Iloilo.</t>
  </si>
  <si>
    <t>Procurement of Various Medical Equipment (HFEP)</t>
  </si>
  <si>
    <t>Procurement for the Supply and Delivery of One (1) Unit Four Wheeled Vehicle (Pick-Up) for CSU Operations, City of Koronadal</t>
  </si>
  <si>
    <t>Supply and Delivery of Two (2) units of Motor Vehicle Convertible to Ambulance</t>
  </si>
  <si>
    <t>Procurement of 200 Pieces Toilet Bowl for Use of Various Household in Different Municipalities of Davao Oriental</t>
  </si>
  <si>
    <t>Electrical Distribution for Sinalhan Senior High School, Brgy. Sinalhan</t>
  </si>
  <si>
    <t>CID No. 19CSOD26- Procurement for the Conduct of Preliminary Detailed Engineering (PDE) Activities for Soil Testing (Soil and Sub-Surface Exploration and Dynamic Cone Penetration Test) for the Various</t>
  </si>
  <si>
    <t>Proposed Construction of Evacuation Center/Multi-Purpose Building at Purok 3, Brgy. Sinalhan</t>
  </si>
  <si>
    <t>Supply and Delivery of Three (3) units of Desktop Computer and Three (3) units of Laptop</t>
  </si>
  <si>
    <t>Repair/ Rehabilitation of Classroom Damaged by Typhoon Ursula under Quick Response Fund (QRF) CY 2020 Batch 1 Lot 12 at Bagotao ES, Manlot IS and Barangcalan IS, Carles, Iloilo.</t>
  </si>
  <si>
    <t>Procurement for the Supply and Delivery of One (1) Unit Six (6) Wheeler Reconditioned Water Truck for CENRO, City of Koronadal</t>
  </si>
  <si>
    <t>RFQ, Ink and Toners</t>
  </si>
  <si>
    <t>Supply and Delivery of Various Agricultural Supplies and Materials</t>
  </si>
  <si>
    <t>Publication No. 32-2020-G (First Publication) Computer Server</t>
  </si>
  <si>
    <t>Procurement of Laparoscopy Tower</t>
  </si>
  <si>
    <t>Repair/ Rehabilitation of Classroom Damaged by Typhoon Ursula under Quick Response Fund (QRF) CY 2020 Batch 1 Lot 9 at Naborot ES and Pantalan IS, Carles, Iloilo</t>
  </si>
  <si>
    <t>Repair/ Rehabilitation of Classroom Damaged by Typhoon Ursula under Quick Response Fund (QRF) CY 2020 Batch 1 Lot 3 at Pedro Bedez ES and Zaragosa ES at Balasan, Iloilo.</t>
  </si>
  <si>
    <t>Supply and Delivery of Farm Machineries and Equipment</t>
  </si>
  <si>
    <t>Invitation to Bid for Supply and Delivery of Notebook, Writing Pad and Bond Paper for Day Care Children to Senior High School Students at DepEd Calaca District, Calaca, Batangas</t>
  </si>
  <si>
    <t>Repair/ Rehabilitation of Classroom Damaged by Typhoon Ursula under Quick Response Fund (QRF) CY 2020 Batch 1 Lot 10 at San Fernando ES and Talingting ES, Carles, Iloilo.</t>
  </si>
  <si>
    <t>SUPPLY AND DELIVERY OF WIRINGS AND CABLES FOR GENERATOR SET (RFQ# 144-2020), Port of Dapitan, Dapitan City, Zamboanga del Norte</t>
  </si>
  <si>
    <t>Repair/ Rehabilitation of Classroom Damaged by Typhoon Ursula under Quick Response Fund (QRF) CY 2020 Batch 1 Lot 13 at Buenavista IS and Tabugon IS, Carles, Iloilo.</t>
  </si>
  <si>
    <t>Repair/ Rehabilitation of Classroom Damaged by Typhoon Ursula under Quick Response Fund (QRF) CY 2020 Batch 1 Lot 16 at Bayas ES, Longuingot ES, and Bayas NHS, Estancia, Iloilo.</t>
  </si>
  <si>
    <t>Supply and Delivery of Tricycle Plate Stickers</t>
  </si>
  <si>
    <t>Additional Supply and Delivery of Printers for Distribution to Various Elementary and Secondary Schools</t>
  </si>
  <si>
    <t>Repair/ Rehabilitation of Classroom Damaged by Typhoon Ursula under Quick Response Fund (QRF) CY 2020 Batch 1 Lot 11 at Talingting NHS, Carles, Iloilo.</t>
  </si>
  <si>
    <t>Proposed Installation of 10 Passenger Elevator at LCA Building, Brgy. Tagapo</t>
  </si>
  <si>
    <t>Repair/ Rehabilitation of Classroom Damaged by Typhoon Ursula under Quick Response Fund (QRF) CY 2020 Batch 1 Lot 14 at Tarong ES and Martin Azuelo MS, Carles, Iloilo.</t>
  </si>
  <si>
    <t>request for quotation</t>
  </si>
  <si>
    <t>Supply and Delivery of Animal Feeds</t>
  </si>
  <si>
    <t>CID No. 19CSOD27- Procurement for the Conduct of Preliminary Detailed Engineering (PDE) Activities for Soil Testing (Soil and Sub-Surface Exploration) for the Various Flood Control Projects in Valenzu</t>
  </si>
  <si>
    <t>CID No. 19CSOD28- Procurement for the Conduct of Preliminary Detailed Engineering (PDE) Activities for Soil Testing (Soil and Sub-Surface Exploration) for the Various Flood Control Projects in Valenzu</t>
  </si>
  <si>
    <t>Supply and Delivery of Poultry Animal</t>
  </si>
  <si>
    <t>PROPOSED REPAIR, MAINTENANCE , REHABILITATION OF LINE CANAL AT BRGY. III-C, SAN PABLO CITY</t>
  </si>
  <si>
    <t>Repair/ Rehabilitation of Classroom Damaged by Typhoon Ursula under Quick Response Fund (QRF) CY 2020 Batch 1 Lot 18 at Botongon ES and Estancia CES, Estancia, Iloilo</t>
  </si>
  <si>
    <t>Repair/ Rehabilitation of Classroom Damaged by Typhoon Ursula under Quick Response Fund (QRF) CY 2020 Batch 1 Lot 15 at Lantangan ES, Carles, Iloilo.</t>
  </si>
  <si>
    <t>Supply and Delivery of Various Seedlings</t>
  </si>
  <si>
    <t>Invitation to Bid for Supply and Delivery of Plastic Protractor, ID Lace and Holder, Plastic Envelope, Calculator, Pencil Sharpener &amp; Crayons for Day Care Children to Senior High School Students at De</t>
  </si>
  <si>
    <t>Repair/ Rehabilitation of Classroom Damaged by Typhoon Ursula under Quick Response Fund (QRF) CY 2020 Batch 1 Lot 17 at Taloto-an Es, Concepcion, Iloilo, Amayong PS, Madanlog Es, Malunoy ES, San Dioni</t>
  </si>
  <si>
    <t>Repair/ Rehabilitation of Classroom Damaged by Typhoon Ursula under Quick Response Fund (QRF) CY 2020 Batch 1 Lot 19 at San Roque Es and Tanza ES, Estancia, Iloilo. B</t>
  </si>
  <si>
    <t>Other General Services</t>
  </si>
  <si>
    <t>Request for Quotation for Information Technology Scanner</t>
  </si>
  <si>
    <t>Procurement of External Hard Disk</t>
  </si>
  <si>
    <t>Hauling of New and Old Concrete Pole, Excavation and Erection of New Concrete Pole, and Uprooting of Old Concrete Pole, 50 ft.</t>
  </si>
  <si>
    <t>Procurement of Medical, Dental &amp; Laboratory Supplies</t>
  </si>
  <si>
    <t>Repair/ Rehabilitation of Classroom Damaged by Typhoon Ursula under Quick Response Fund (QRF) CY 2020 Batch 1 Lot 23 at Tinigban IS, Toong ES, and Batuan IS, Carles, Iloilo. B</t>
  </si>
  <si>
    <t>CID No. 19CSOD30- Procurement for the Conduct of Preliminary Detailed Engineering (PDE) Activities for Soil Testing (Soil and Sub-Surface Exploration) for the Various Flood Control Projects in Valenzu</t>
  </si>
  <si>
    <t>Request for Quotation for Smartphone</t>
  </si>
  <si>
    <t>Repair/ Rehabilitation of Classroom Damaged by Typhoon Ursula under Quick Response Fund (QRF) CY 2020 Batch 1 Lot 22 at Don Casimero Andrada NHS, Carles, Iloilo and Estancia NHS, Estancia, Iloilo.</t>
  </si>
  <si>
    <t>Request for Quotation for Information Technology Items  (Anti Virus and MS Office)</t>
  </si>
  <si>
    <t>CID No. 19CSOD32- Procurement for the Conduct of Preliminary Detailed Engineering (PDE) Activities for Soil Testing (Soil and Sub-Surface Exploration) for the Various Flood Control Projects in Calooca</t>
  </si>
  <si>
    <t>CID No. 19CSOD29- Procurement for the Conduct of Preliminary Detailed Engineering (PDE) Activities for Soil Testing (Soil and Sub-Surface Exploration) for the Various Flood Control Projects in Valenzu</t>
  </si>
  <si>
    <t>Repair/ Rehabilitation of Classroom Damaged by Typhoon Ursula under Quick Response Fund (QRF) CY 2020 Batch 1 Lot 21 at Binuluangan IS, Carles, Iloilo.</t>
  </si>
  <si>
    <t>Repair/ Rehabilitation of Classroom Damaged by Typhoon Ursula under Quick Response Fund (QRF) CY 2020 Batch 1 Lot 20 at Granada NHS - Ballesteros Campus, Carles, Iloilo.</t>
  </si>
  <si>
    <t>REPAIR AND MAINTENANCE OF COMPUTER LABORATORY BUILDING</t>
  </si>
  <si>
    <t>CID No. 19CSOD31- Procurement for the Conduct of Preliminary Detailed Engineering (PDE) Activities for Soil Testing (Soil and Sub-Surface Exploration) for the Various Flood Control Projects in Calooca</t>
  </si>
  <si>
    <t>Request for Quotation for CCTV System</t>
  </si>
  <si>
    <t>Supply of 1 unit Plastic Shredder Machine</t>
  </si>
  <si>
    <t>Purchase of Aircon w/Installation</t>
  </si>
  <si>
    <t>CLEAR GLASS</t>
  </si>
  <si>
    <t>Purchase of Desktop Computer &amp; Other Supplies</t>
  </si>
  <si>
    <t>NET BOOK</t>
  </si>
  <si>
    <t>Request for Quotation for Laptop</t>
  </si>
  <si>
    <t>CID No. 19CSOD33- Procurement for the Conduct of Preliminary Detailed Engineering (PDE) Activities for Soil Testing (Soil and Sub-Surface Exploration) for the Various Flood Control Projects in Calooca</t>
  </si>
  <si>
    <t>Purchase Tanod Uniform &amp; Supplies</t>
  </si>
  <si>
    <t>Supply and Delivery of Office Equipment (Lot 1), ICT Equipment (Lot 2), Furnitures and Fixtures (Lot 3) and MOOE (Lot 4) for use of Provincial Engineer's Office (PEO), Iba</t>
  </si>
  <si>
    <t>REHABILITATION OF LEVEL II WATER SYSTEM OF BARANGAY ANONANG WITH PROVISION FOR LEVEL III BURAUEN, LEYTE (RE-BIDDING)</t>
  </si>
  <si>
    <t>CYCLONE WIRE</t>
  </si>
  <si>
    <t>YERO</t>
  </si>
  <si>
    <t>PROCUREMENT OF ONE (1) UNIT MULTI-CAB FOR ENGINEERING OFFICE LGU- BURAUEN, LEYTE</t>
  </si>
  <si>
    <t>C-2020-01: ENGAGEMENT OF AN ADVERTSING /DESIGN AGENCY FOR THE DESIGN, CONTENT DEVELOPMENT, PRINTING AND DELIVERY OF THE 2019 ANNUAL REPORT OF THE DEVELOPMENT BANK OF THE PHILIPPINES (DBP)</t>
  </si>
  <si>
    <t>Printing &amp; binding supplies &amp; materials</t>
  </si>
  <si>
    <t>PROCUREMENT OF MEDICINES AND SUPPLY FOR RURAL HEALTH UNIT BURAUEN, LEYTE</t>
  </si>
  <si>
    <t>PURCHASE OF DISINFECTANT AND RELATED SUPPLIES NECESSARY IN THE IMPLEMENTATION OF ACTIVITIES FOR THE CONTROL OF AFRICAN SWINE FEVER</t>
  </si>
  <si>
    <t>PROCUREMENT OF OTHER SUPPLIES</t>
  </si>
  <si>
    <t>Supply and Delivery of Materials and Labor for the Improvement/Rehabilitation of Public Market</t>
  </si>
  <si>
    <t>SCHOOL SUPPLIES</t>
  </si>
  <si>
    <t>HO-GRF20-001 - Split Type Metal Enclosure (STME) and Other Accessories Needed for the Reinforcement of the Buckle Anomaly and Damaged Flange Connection of Ilijan Natural Gas Pipeline</t>
  </si>
  <si>
    <t>MG-A5M20-101 ( ELECTRODE, CAST IRON )</t>
  </si>
  <si>
    <t>Supply and Delivery of Materials and Labor for the Construction/Improvement/ Rehabilitation of Local Access Road in Brgy. Duhat</t>
  </si>
  <si>
    <t>Various supplies &amp; materials for uniform</t>
  </si>
  <si>
    <t>S1-B1420-001 (PB2) - Furnishing Labor and Materials for Dry Docking and Ship Repair of PB 114</t>
  </si>
  <si>
    <t>Cluster I: A. IMPROVEMENT OF ROAD AT WOODSGATE NEAR MBCA SCHOOL AT WOODSGATE CAMP 7 BARANGAY BAGUIO CITY; B. IMPROVEMENT OF DRAINAGE CANAL NEAR BANTASAN RESIDENCE AT WOODSGATE CAMP 7 BARANGAY BAGUIO C</t>
  </si>
  <si>
    <t>PURCHASE OF OFFICE SUPPLIES FOR PRINTING OF LEARNING MATERIALS</t>
  </si>
  <si>
    <t>Motor Vehicle spare parts</t>
  </si>
  <si>
    <t>20GFE0011 – SUPPLY OF MATERIALS FOR EROSION CONTROL, TRAFFIC SERVICES, PAVEMENT, PAVEMENT AND BRIDGE MAINTENANCE ALONG NATIONAL ROADS – 2ND QUARTER</t>
  </si>
  <si>
    <t>Repair and Rehabilitation of HR Room</t>
  </si>
  <si>
    <t>PROVISION OF NEW ELECTRICAL INSTALLATION AT BISLIG AIRPORT PTB</t>
  </si>
  <si>
    <t>installation of street lights</t>
  </si>
  <si>
    <t>Rehabilitation of Multi-purpose Hall</t>
  </si>
  <si>
    <t>20GEE0021-Supply and Delivery of Kyocera Toner TK-8349 for the use of Planning &amp; Design Section, Roxas, Palawan</t>
  </si>
  <si>
    <t>Repair and Rehabilitation of Classrooms in Various School Sites in the Division of Quezon</t>
  </si>
  <si>
    <t>Cluster II: A.  IMPROVEMENT OF DRAINAGE AT PARISAS CAMP 7 BARANGAY BAGUIO CITY: B. ROAD IMPROVEMENT NEAR CLARITO CORPUZ RESIDENCE CAMP 7 BARANGAY BAGUIO CITY</t>
  </si>
  <si>
    <t>MG-A5A20-003  ( PRINTER SCANNER AND DEVELOPER, COLOR, HIGH SPEED MAXIMUM OF PAPER )</t>
  </si>
  <si>
    <t>Cluster III: A. REHABILITATION AND IMPROVEMENT OF ERODED RIPRAP NEAR NORMAN BINAYAN RESIDENCE AT PIAS CAMP 7 BARANGAY BAGUIO CITY; B. CONTINUATION OF DRAINAGE CANAL AT AMISTAD CAMP 7 BARANGAY BAGUIO C</t>
  </si>
  <si>
    <t>Supplies &amp; materials for Urban greening</t>
  </si>
  <si>
    <t>PURCHASE OF IN-ORGANIC FERTILIZER FOR RICE ENHANCEMENT PROGRAM (NEGOTIATED PROCUREMENT)</t>
  </si>
  <si>
    <t>Design, Layout and Setup of Audio/Video production Floor Inclusive of Customized Studio Set/Editing Space and Lighting Setup</t>
  </si>
  <si>
    <t>MG-A5M20-056  ( DIESEL, FUEL )</t>
  </si>
  <si>
    <t>PIKCO-002020-011 (CONSTRUCTION OF GSO OFFICE BUILDING- PHASE III)</t>
  </si>
  <si>
    <t>Construction of Material Recovery Facility &amp; Vermi Compost Box</t>
  </si>
  <si>
    <t>IMPROVEMENT OF ROAD WITH DRAINAGE CANAL NEAR MRS. MASING TO LACAP RESIDENCE CAMP 7 BARANGAY BAGUIO CITY</t>
  </si>
  <si>
    <t>Rehabilitation of Public Market at Brgy. Poblacion, President Roxas, Cotabato (Re-Published)</t>
  </si>
  <si>
    <t>City Project</t>
  </si>
  <si>
    <t>Purchase of Materials in the Installation of grills for the New Building (R&amp;M-SCHOOL BUILDINGS)"</t>
  </si>
  <si>
    <t>Supply and Delivery of Furniture and Fixture</t>
  </si>
  <si>
    <t>Construction/Opening of Junction Balono Road Bayugan 3 - Sitio Narra Junction Wasian, RADS (Phase II)</t>
  </si>
  <si>
    <t>Provision of Office Equipment intended for students’ documents</t>
  </si>
  <si>
    <t>Materials for the rehabilitation of Foot walk &amp; pathways to the new building</t>
  </si>
  <si>
    <t>Supply &amp; Delivery of Drugs, Medicines and Laboratory Supplies</t>
  </si>
  <si>
    <t>PIKCOT-002020-012 (CONSTRUCTION OF MINI VETERINARY CLINIC)</t>
  </si>
  <si>
    <t>PBD 20-061A DRYDOCKING AND HULL SERVICES</t>
  </si>
  <si>
    <t>PURCHASE OF CLEANING SUPPLIES and MATERIALS</t>
  </si>
  <si>
    <t>SUPPLY &amp; INSTALLATION OF CCTV CAMERA FOR PUBLIC MARKET, DIST 9, BURAUEN BUS TERMINAL, DISTRICT II, STO NIÑO ST, COR. STA ANA, BURAUEN SPORT COMPLEX BURAUEN, LEYTE</t>
  </si>
  <si>
    <t>Completion of Multi-Purpose Building located at Palibu, Novele, Rosario, Agusan del Sur</t>
  </si>
  <si>
    <t>20GEE0022-Supply and Delivery of Inventory Common Supplies for the use of Planning &amp; Design Section, Roxas, Palawan</t>
  </si>
  <si>
    <t>REHABILITATION OF ROADS</t>
  </si>
  <si>
    <t>2-WAY RADIO</t>
  </si>
  <si>
    <t>Provision Of Office Supplies for INSET MAY 2020</t>
  </si>
  <si>
    <t>2020-144-I PROCUREMENT AND DELIVERY OF 901 BAGS OF GM HYBRID YELLOW CORN SEEDS @ 9KG/ BAG</t>
  </si>
  <si>
    <t>RFQ2020-05-026_SUPPLY AND DELIVERY OF VARIOUS WATER SERVICE CONNECTION MATERIALS FOR REPAIR/MAINTENANCE OF DISTRIBUTION LINES_2nd PUBLICATION</t>
  </si>
  <si>
    <t>20HI0071 - Construction of Multi-Purpose Building (Multi-purpose Building) at Brgy. Jubay, Liloan, Cebu</t>
  </si>
  <si>
    <t>20HI0072 - Construction of Multi-Purpose Building/Brgy. Hall, Brgy. Villahermosa, Tudela, Cebu</t>
  </si>
  <si>
    <t>Improvement of Multi-Purpose Hall / Construction of Day Care Center at Brgy. San Teodoro, Bauan, Batangas</t>
  </si>
  <si>
    <t>2020-145-I PROCUREMENT AND DELIVERY OF  834 BAGS OF GM HYBRID YELLOW CORN SEEDS FOR HIGH ELEVATION  CORN AREAS @ 9KG/ BAG</t>
  </si>
  <si>
    <t>Maintenance and Other Operating Expenses(MOOE) Supplies and Materials of MANUTO ES, QUEZON I DISTRICT</t>
  </si>
  <si>
    <t>Office Supplies for Senior High  office use</t>
  </si>
  <si>
    <t>PIKCOT-002020-013 (CONSTRUCTION OF MUNICIPAL NURSERY)</t>
  </si>
  <si>
    <t>SUPPLY AND DELIVERY OF VARIOUS CI FITTINGS AND uPVC BEND</t>
  </si>
  <si>
    <t>SUPPLY AND DELIVERY OF SUBMERSIBLE MOTOR 7.5HP</t>
  </si>
  <si>
    <t>Contract ID No.: 20OB0044 Contract Name: Construction of Multi-Purpose Building including Site Development of Mandaluyong City Jail at Barangay Plainview, Mandaluyong City</t>
  </si>
  <si>
    <t>Supply &amp; Delivery of White Bookpaper_July 7, 2020</t>
  </si>
  <si>
    <t>20HI0075 - Construction of Multi-Purpose Building, Brgy. Jubay, Liloan, Cebu</t>
  </si>
  <si>
    <t>Procurement of Tractor Implement (Disc Harrow), Spare Parts and Accessories</t>
  </si>
  <si>
    <t>RFPQ - PROCUREMENT OF WATER MATERIALS PIPES &amp; FITTINGS FOR CONST OF WATER SYSTEM</t>
  </si>
  <si>
    <t>20-DO-0083: Repair/Maintenance of Flood Control &amp; Drainage Structures along Manila East Road, Halayhayin Bridge, Pililla, Rizal</t>
  </si>
  <si>
    <t>ITB - CONSTRUCTION OF WATER SYSTEM (Procurement of Water Materials Pipes &amp; Fittings)</t>
  </si>
  <si>
    <t>20HI0080 - Construction and/or Repair/Rehabilitation of Multi-Purpose Building, Brgy. Yati, Liloan, Cebu</t>
  </si>
  <si>
    <t>Contract ID No.: 20OB0278 Contract Name: Construction of Multi-Purpose Building at Barangay Vergara, Mandaluyong City</t>
  </si>
  <si>
    <t>Improvement and Istallation of 2 pcs Culvert Purok 3</t>
  </si>
  <si>
    <t>PIKCOT-002020-015(SUPPLY AND DELIVERY OF NET)</t>
  </si>
  <si>
    <t>Consulting Services for the Detailed Architectural And Engineering Design for the Proposed Construction of the Multi-Purpose Building (Barangay Hall and Fire and Rescue Brigade Headquarters) for Baran</t>
  </si>
  <si>
    <t>Other Supply and Materials;  Tools and Equipment for DomRAC Students</t>
  </si>
  <si>
    <t>Contract ID No.: 20OB0237 Contract Name: Construction of 9-Classroom School Building at Senate President Neptali A. Gonzales Integrated School, Brgy. Mauway, Mandaluyong City, Metro Manila</t>
  </si>
  <si>
    <t>SUPPLY AND DELIVERY OF VARIOUS WATER CONNECTION MATERIALS</t>
  </si>
  <si>
    <t>Contract ID No.: 20OB0082 Contract Name: Rehabilitation of Multi-Purpose Building, Mandaluyong Justice Hall, Mandaluyong City</t>
  </si>
  <si>
    <t>PIKCOT-002020-014 (SUPPLY AND DELIVERY OF MUSCOVY DUCK)</t>
  </si>
  <si>
    <t>Various Consumables for Drinking Fountain</t>
  </si>
  <si>
    <t>Completion of Motorpool- Bulanao Campus</t>
  </si>
  <si>
    <t>Construction of CVO Outpost Phase II</t>
  </si>
  <si>
    <t>Procurement of FY 2020 2nd Quarter Common-Use Supplies</t>
  </si>
  <si>
    <t>SUPPLY AND DELIVERY OF VARIOUS G.I. FITTINGS</t>
  </si>
  <si>
    <t>PROCUREMENT OF BOND PAPER FOR DIFFERENT SCHOOLS</t>
  </si>
  <si>
    <t>Proposed installation of 12 units integrated solar streetlights at Barangay San Diego</t>
  </si>
  <si>
    <t>Procurement of Medicines &amp; Medical Supplies-2nd Quarter (GAD Fund)</t>
  </si>
  <si>
    <t>SUPPLY OF LABOR AND MATERIALS FOR THE ESTABLISHMENT MULTI-PURPOSE R&amp;D BUILDING LOCATED AT CLIARCUD MAGALANG, PAMPANGA FOR THE YEAR 2020(REBID)</t>
  </si>
  <si>
    <t>Contract ID No.: 20OB0288 Contract Name: Rehabilitation of Multi-Purpose Building (Covered Court), Brgy. Ilaya, Mandaluyong City</t>
  </si>
  <si>
    <t>Contract ID No.: 20OB0292 Contract Name: Rehabilitation of Multi-Purpose Building at Filemon Javier Elementary School, Mandaluyong City</t>
  </si>
  <si>
    <t>Repair, improvement, of Students' comfort room &amp; hand washing.</t>
  </si>
  <si>
    <t>RFQ-Supply and Delivery of Anti-Psychotic Medicines</t>
  </si>
  <si>
    <t>Various Lights and Lighting Fixtures</t>
  </si>
  <si>
    <t>Contract ID No.: 20OB0297 Contract Name: Rehabilitation of Multi-Purpose Building at Mandaluyong Elementary School, Mandaluyong City</t>
  </si>
  <si>
    <t>RE-BID FOR THE PURCHASE OF SERVICE BUS FOR OFFICIAL TRANSACTIONS OF THE COLLEGE</t>
  </si>
  <si>
    <t>Procurement of Risograph Ink and Maintenance Supplies</t>
  </si>
  <si>
    <t>Improvement of Visitor’s Center- (Ogod)</t>
  </si>
  <si>
    <t>Contract ID No.: 20OB0409 Contract Name: Rehabilitation of Road Network including Laterals, 2nd District,   Marikina City</t>
  </si>
  <si>
    <t>Supply and Delivery of Medical UV Lights and Air Purifier</t>
  </si>
  <si>
    <t>Procurement of Hardware and Industrial Supplies</t>
  </si>
  <si>
    <t>Contract ID No.: 20OB0432 Contract Name: Repair and Maintenance of National Government Owned Building at Commission on Population, Mandaluyong City</t>
  </si>
  <si>
    <t>PROCUREMENT OF PRINTER AND INK FOR DIFFERENT SCHOOLS</t>
  </si>
  <si>
    <t>Procurement of Medicines &amp; Medical Supplies-2nd Quarter (General Fund)</t>
  </si>
  <si>
    <t>Opening of Barangay Access Road (Revised)</t>
  </si>
  <si>
    <t>2nd Public Bidding for the Procurement of Consulting Services for the Review and Updating of the Study on the Fluctuation Factors (K) and Parametric Formula under the Revised Contract Price Escalation</t>
  </si>
  <si>
    <t>One (1) Lot Preventive Maintenance of Integrated Electronic Security System for BSP Head Office 2020, as per BSP Terms of Reference and Service Level Agreement</t>
  </si>
  <si>
    <t>Procurement of Amikacn</t>
  </si>
  <si>
    <t>Papsmear</t>
  </si>
  <si>
    <t>Procurement of Office, Computer and Maintenance Supplies</t>
  </si>
  <si>
    <t>PROCUREMENT FOR THE EXPANSION OF EXISTING SOLID STATE DRIVE (SSD) IB NO. 2020-222</t>
  </si>
  <si>
    <t>Purchase of food packs</t>
  </si>
  <si>
    <t>SUPPLIES ,IT EQUIPTMENT AND MATERIALS</t>
  </si>
  <si>
    <t>Construction of Perimeter Fence</t>
  </si>
  <si>
    <t>Bale Angeleno</t>
  </si>
  <si>
    <t>Improvement of Tourism Building (Governor’s Guest House)</t>
  </si>
  <si>
    <t>20CSA002: CONSULTANCY SERVICES FOR THE CONDUCT OF FEASIBILITY STUDY OF PROPOSED CONSTRUCTION OF MISSING LINKS AND NEW ROADS NAGUILIAN-BAGULIN (LA UNION) - KAPANGAN (BENGUET) ROAD (REGION I)</t>
  </si>
  <si>
    <t>Procurement of Ink for Printers</t>
  </si>
  <si>
    <t>RRMF &amp; MOOE</t>
  </si>
  <si>
    <t>ELECTRIFICATION PROJECTS-20% EDF 2019</t>
  </si>
  <si>
    <t>Fabrication and installation of Six (6) Trash Trap  along San Cristobal River, San Juan River, Cabuyao River and Binan River in the Province of Laguna</t>
  </si>
  <si>
    <t>Installation of Street Lights</t>
  </si>
  <si>
    <t>SUPPLY AND DELIVERY OF PIPES AND FITTINGS FOR LGU RUN WATER SYSTEM</t>
  </si>
  <si>
    <t>Regional Office Employees protection against Covid-19</t>
  </si>
  <si>
    <t>One (1) lot Procurement of Supply and Delivery of Fifty-One (51) units of Desktop PC intended for DOBS (Front-end) for LANDBANK (Laguna, Quezon and Marinduque Branches)</t>
  </si>
  <si>
    <t>PROCUREMENT OF CONSULTING SERVICES TO STRENGTHEN PUBLIC RELATIONS AND MEDIA VISIBILITY OF DOH HEALTH EVENTS REI NO. 2020-013</t>
  </si>
  <si>
    <t>Purchase and delivery of IT Equipments</t>
  </si>
  <si>
    <t>Establishment of 1,000 cu.m. Gabions</t>
  </si>
  <si>
    <t>Procurement of Blood Typing Sera</t>
  </si>
  <si>
    <t>Improvement of New Public Building</t>
  </si>
  <si>
    <t>Procurement of Acetylcisteine</t>
  </si>
  <si>
    <t>Construction Extension of Street Lights</t>
  </si>
  <si>
    <t>AGR-20-0610-B Purchase of Janitorial Supplies</t>
  </si>
  <si>
    <t>AGR-20-0581-B Purchase of Agricultural Seeds and Supplies</t>
  </si>
  <si>
    <t>Construction of Purok Stage</t>
  </si>
  <si>
    <t>Procurement of Medical Equipment for the official use of the Gov. Roque B. Ablan Sr. Memorial Hospital</t>
  </si>
  <si>
    <t>AGR-20-0349-B Purchase of Agricultural Seeds and Materials</t>
  </si>
  <si>
    <t>Supply and Delivery of 4,000 Pcs. Coffee Seedlings &amp; Other Items; PR No. 20-1268 dated April 24, 2020</t>
  </si>
  <si>
    <t>Various Infrastructure Projects</t>
  </si>
  <si>
    <t>Supply and Delivery of 37 Pack Eye Drape &amp; Other Items; PR No. 20-0946 dated March 30, 2020</t>
  </si>
  <si>
    <t>PEN-20-0488-NP(SV) Delivery Receipt Printing</t>
  </si>
  <si>
    <t>PEN-20-0312-B OFFICE SUPPLIES</t>
  </si>
  <si>
    <t>Procurement of 1 Unit Ambulance to provide immediate, reliable and efficient Emergency medical response to calls for urgent ambulance service</t>
  </si>
  <si>
    <t>PEN-20-0130-B Office Supplies</t>
  </si>
  <si>
    <t>ROAD OPENING AT PUROK 5 TO SITIO SICUPET, CATUNGI, BOLINAO, PANGASINAN</t>
  </si>
  <si>
    <t>Supply and Delivery of 6 Units UPS 650VA &amp; Other Items; PR No. 20-1263 dated May 6, 2020</t>
  </si>
  <si>
    <t>AGR-20-0339-B Purchase of Furniture and Fixtures</t>
  </si>
  <si>
    <t>20GPC0018 RE-INVITATION PROCUREMENT OF HEAVY EQUIPMENT &amp; TRUCK ( 1 PAYLOADER &amp; 1 DUMP TRUCK)</t>
  </si>
  <si>
    <t>Purchase of Various Medical Equipment</t>
  </si>
  <si>
    <t>One (1) lot Supply of Labor, Tools, Materials, Chemicals and Equipment for the Two (2) Years Preventive Maintenance of Air Conditioning Units (ACUs) and Components at LANDBANK Laguna Branches</t>
  </si>
  <si>
    <t>One (1) lot Supply of Labor, Tools, Materials, Chemicals and Equipment for the Two (2) Years Preventive Maintenance of Air Conditioning Units (ACUs) and Components at LANDBANK Quezon Branches</t>
  </si>
  <si>
    <t>Supply and Delivery of 150 Pcs. Gemelina 2x2x8 &amp; Other Items; PR No. 20-1108 dated April 8, 2020</t>
  </si>
  <si>
    <t>Purchase of Spare Parts for Vehicles for MMO</t>
  </si>
  <si>
    <t>AGR-20-0477-B Purchase of Office Equipment</t>
  </si>
  <si>
    <t>20GSDG0011: Furnishing and Delivery of various Materials for the Repainting of Pavement Markings along Tanza-Trece Martirez City-Indang Road, K0052+000 – K0055+000 with exceptions; K0057+200 – K0057+5</t>
  </si>
  <si>
    <t>Office Supplies and Devices/Other Supplies for use of PGOM Office Supplies 3rd Quarter Based on the  Consolidated Annual Procurement Plan for the year 2020</t>
  </si>
  <si>
    <t>Purchase of Supplies, Commodities, Meals &amp; Snacks for CLUP Updating</t>
  </si>
  <si>
    <t>S &amp; D of Motorcycle and Side Car (PEO)</t>
  </si>
  <si>
    <t>CONSTRUCTION OF FLOOD CONTROL -DARDARAT, SAN  JUAN, ILOCOS SUR</t>
  </si>
  <si>
    <t>S &amp; D of Const. Mat. - Const. of Concrete Storage House w/ Solar Lighting and Rain Collector Tank at Pasto Vatu, Itbayat (P. Agri.)</t>
  </si>
  <si>
    <t>AGR-20-0594-B Purchase of Construction Supplies and Materials</t>
  </si>
  <si>
    <t>S &amp; D of Const. Mat. - Construction of Multi-Purpose Facility (Kaychanarianan) (PEO)</t>
  </si>
  <si>
    <t>20GSDG0013: Furnishing and Delivery of various Materials for the Repainting of Pavement Markings along Juanito R. Remulla Sr. Road (SO5892LZ), K0054+843 – K0057+159 with exceptions; Juanito R. Remulla</t>
  </si>
  <si>
    <t>S &amp; D of Const. Mat. - Improvement of Dipsupuan FMR (PEO)</t>
  </si>
  <si>
    <t>S &amp; D of Const. Mat. - Improvement of Kalasina-Ahtak Access Road (PEO)</t>
  </si>
  <si>
    <t>S &amp; D of Vegetable Seeds (P. Agri.)</t>
  </si>
  <si>
    <t>S &amp; D of Const. Mat. - Replacement and Installation of Street Lights (PEO)</t>
  </si>
  <si>
    <t>S &amp; D of Construction Materials - Construction of Access Road/Foot Path with Drainage Canal at Babat-Tunga (PEO)</t>
  </si>
  <si>
    <t>20GSDG0012: Furnishing and Delivery of 120 m.t. Hot Mix Asphalt and 5 Drums of SS-1 for use in the Repair and Maintenance of Concrete and Asphalt  Pavement along Noveleta-Naic-Tagaytay Road, K0063+4</t>
  </si>
  <si>
    <t>S &amp; D of Construction Materials for the Improvement of Savich-Karwayway Access Road (PEO)</t>
  </si>
  <si>
    <t>20GSDG0014: Furnishing and Delivery of 120 m.t. Hot Asphalt Mix and 5 Drums of SS-1 for use in the Repair and Maintenance of Concrete and Asphalt Pavement along Tagaytay-Manila via Silang Road, K0054+</t>
  </si>
  <si>
    <t>S &amp; D of Tires with Tube (PEO)</t>
  </si>
  <si>
    <t>Invitation to Bid for Local Access Road, Concreting of C.M. Recto, C. Cajumban St., C. Mila., and A. Caguin Sr. St. Barangay Ermita and Quinale</t>
  </si>
  <si>
    <t>Invitation to Bid for Improvement of Drainage Canal at San Rafael St., Kapt Aguinaldo St., &amp; E. Cagayan St., Barangay 1 Ibaba Del Sur Paete, Laguna</t>
  </si>
  <si>
    <t>Concreting of Farm to Market Road at Brgy. Pong-oy</t>
  </si>
  <si>
    <t>Supply and delivery of Materials for Water Sampling and Analysis</t>
  </si>
  <si>
    <t>Supply and delivery of Farm Tools Equipment</t>
  </si>
  <si>
    <t>Supply &amp; delivery of 11 Gallons Engine Oil &amp; other items; PR No. 20-0898 dated April 1, 2020</t>
  </si>
  <si>
    <t>S &amp; D of Multi-Purpose Crusher-Grinder-Cutter-Pulverizer (PDRRMO)</t>
  </si>
  <si>
    <t>Supply &amp; delivery of 500 Pcs. Single Monobloc Chairs; PR No. 20-0901 dated March 26, 2020</t>
  </si>
  <si>
    <t>ISC-20-0546-B Proposed Toilet Improvement of Iloilo Sports Complex Magsaysay Village, La Paz, Iloilo City</t>
  </si>
  <si>
    <t>Improvement (Provision of Tiles) of School Buildings at San Vicente Elem.School, Brgy. San Vicente, Angono, Rizal</t>
  </si>
  <si>
    <t>Replacement of CHB Wall &amp; Steel Matting Fence at Rotary Day Care Center Southville 9 Phase 1, Brgy. Pinugay, Baras, Rizal</t>
  </si>
  <si>
    <t>S &amp; D of Const. Mat. - Development and Maintenance of Farm Tourism Sites (P. Agri.)</t>
  </si>
  <si>
    <t>Repair/Improvement of Ynares Multi-Purpose Covered Court &amp; Repair of Comfort Room at Brgy. San Jose, Brgy. Dalig &amp; Brgy. Mayamot, Antipolo City; a) Repair/Improvement of Ynares Multi-Purpose Covered C</t>
  </si>
  <si>
    <t>Supply and Delivery of Materials for the Establishment of Municipal Demonstration Farm at Poblacion, Patnanungan, Quezon</t>
  </si>
  <si>
    <t>Construction of 4-storey, 8-rooms Ynares School Building at Rosario Ocampo Elem.School, Brgy. San Juan, Taytay, Rizal</t>
  </si>
  <si>
    <t>One Job Supply of Materials and  Labor for Improvement of Covered Gym at REV-SAN LORENZO NHS (Construction of Stage Phase I), San Lorenzo withg the following with equipment and technical personnel req</t>
  </si>
  <si>
    <t>Construction of 2-Units Artesian Well, Brgy. Bagumbong, Jalajala, Rizal</t>
  </si>
  <si>
    <t>S &amp; D of Const. Mat. - Rehabilitation of Sunget-Pakatayatuan Road Pavement (PEO)</t>
  </si>
  <si>
    <t>Asphalt Overlaying/Concrete Reblocking (portion) of Serafin Reyes St., Brgy. Punta, Jalajala, Rizal</t>
  </si>
  <si>
    <t>Rehabilitation / Concreting of Bayanihan Street, Brgy. 3rd District, Jalajala, Rizal</t>
  </si>
  <si>
    <t>Concreting (portion) of Road at Pililla GK Village, Pililla, Rizal</t>
  </si>
  <si>
    <t>Asphalt Overlaying of A. Kalaw St., Sitio Sambungan, Brgy. Bagumbong, Jalajala, Rizal</t>
  </si>
  <si>
    <t>Construction of 2-storey, 8-rooms Ynares School Building at Looc Elem. School, Brgy. Looc, Cardona, Rizal</t>
  </si>
  <si>
    <t>Improvement / Concreting of Burbank Street (Area 10 &amp; 11) at Brookside Hills Subd., Brgy. San Isidro, Cainta, Rizal</t>
  </si>
  <si>
    <t>Construction of Perimeter Fence of Rural Health Unit at Southville 9 Phase 2, Brgy. Pinugay, Baras, Rizal</t>
  </si>
  <si>
    <t>Rehabilitation / Improvement of Road at Sitio Pinagkitran, Brgy. Boor, Cardona, Rizal</t>
  </si>
  <si>
    <t>Improvement/Repair of Ynares Multi-Purpose Covered Court, Brgy. Pilapila, Binangonan, Rizal</t>
  </si>
  <si>
    <t>Construction/Provision of Wash Facilities (Water, Sanitation &amp; Hygiene) at Casimiro A. Ynares Sr. Elem. School, Brgy. Mambog, Binangonan, Rizal</t>
  </si>
  <si>
    <t>Repainting/Improvement of Ynares Multi-Purpose Covered Court &amp; Const. of Comfort Room at Rainbow Village 1, Brgy. Kalayaan, Angono, Rizal</t>
  </si>
  <si>
    <t>Improvement of School building, Concreting of Ground &amp; Construction of Gate at Darangan Elem. School, Brgy. Darangan, Binangonan, Rizal</t>
  </si>
  <si>
    <t>Construction of 2-storey, 10-rooms Ynares School Building Don Jose Ynares Sr. Mem. School, Brgy. San Carlos, Binangonan, Rizal</t>
  </si>
  <si>
    <t>Concreting / Construction of Drainage Canal of Road at Daang Tubo East, Brgy. Guitnang Bayan I, San Mateo, Rizal</t>
  </si>
  <si>
    <t>Improvement / Construction of Stone Masonry for Slope Protection and Concreting of Creek bed, Brgy. Malakaban, Binangonan, Rizal</t>
  </si>
  <si>
    <t>Construction/Provision of Wash Facilities (Water, Sanitation &amp; Hygiene) at Bangad Elem. School, Brgy. Bangad, Binangonan, Rizal</t>
  </si>
  <si>
    <t>Installation of Electrical Lighting System of Ynares Multi-Purpose Covered Courts at Brgy. Dalig, Teresa, Rizal; a) 	Installation of Electrical Lighting System of Ynares Multi-Purpose Covered Court at</t>
  </si>
  <si>
    <t>Construction of 2-storey, 6-rooms Ynares School Building at Abuyod Elem. School, Brgy. Dalig, Teresa, Rizal</t>
  </si>
  <si>
    <t>Procurement of One (1) Lot Firewall Software Subscription Support</t>
  </si>
  <si>
    <t>Repair of Various Ynares School Building at Tanay National High School, Brgy. Plaza Aldea, Tanay, Rizal</t>
  </si>
  <si>
    <t>Const. of Ynares Stage at Phase 2 Eastwood Greenview Subd., Brgy. San Isidro, Rodriguez, Rizal</t>
  </si>
  <si>
    <t>Procurement of One (1) Lot Back-up as a Service (BaAs) and Disaster Recovery as a Service (DrAs) Solution</t>
  </si>
  <si>
    <t>DIESEL FUEL</t>
  </si>
  <si>
    <t>Transportation Rental for PPDO-2020-1023</t>
  </si>
  <si>
    <t>Supply and Delivery of 21 Units 2.5HP Non-Inverter iCool Green with Remote and other various appliances.</t>
  </si>
  <si>
    <t>Procurement of Construction Materials for the Construction of Perimeter Niches, Brgy. Dajay, Surallah</t>
  </si>
  <si>
    <t>Supply/Delivery of Materials for the Repair/Replacement Installation of LED Street Lights along the National Highway at  Brgy. Salvacion, San Miguel, Cavite East, Cavite West and Arado, Palo, Leyte</t>
  </si>
  <si>
    <t>Procurement of Various Office Supplies and Devices</t>
  </si>
  <si>
    <t>Procurement of Full Rebranding Effort for Cebu City Tourism and other items.REBID</t>
  </si>
  <si>
    <t>COO-20-0650-B PURCHASE OF PRINTING AND PUBLICATION MATERIALS</t>
  </si>
  <si>
    <t>CONSTRUCTION OF CONCRETE PAVEMENT ANS ROAD SHOULDERING AT SITIO QUILATOT AND MAGAT SALAMAT ST.</t>
  </si>
  <si>
    <t>Procurement of Construction Materials for the Construction of Perimeter Fence, New PNP Bldg.</t>
  </si>
  <si>
    <t>Invitation to Bid for the Contract for Supply and Delivery ot Two (2) Units Brand New Office Vehicles-Rebid</t>
  </si>
  <si>
    <t>Supply and Delivery of 1 Lot 5 Units Floor Standing Type 3.0 tons Inverter Air Conditioner and 10 units window type aircon.</t>
  </si>
  <si>
    <t>20CSHN03 -Geotechnical/Sub-Surface Soil Investigation at (1) Tipolo Creek, Brgy. Mantuyong, (2) Mahiga Creek, Sitio Orel to Sitio Rosal, Brgy. Banilad, (3) Basak Creek,  all in Mandaue City, Cebu</t>
  </si>
  <si>
    <t>Purchase of Paint for GEBS Brigada skwela for Dep-ed</t>
  </si>
  <si>
    <t>Various Contraceptives for use at the City Health Office (Family Planning Program).</t>
  </si>
  <si>
    <t>Supply and delivery of Plumbing Materials for the Proposed Replacement of Old and Broken P.E Pipe Water Distribution Line at Purok 4 and 5, Barangay Ginatilan, Kidapawan City</t>
  </si>
  <si>
    <t>Supply &amp; Delivery 100 reams Paper Multicopy &amp; other items; PR No. 20-0589-A dated January 24, 2020</t>
  </si>
  <si>
    <t>Purchase of Various Medicines</t>
  </si>
  <si>
    <t>Construction of Side Walk with Benches and Streetlights in Enverga Blvd., Brgy. Sadsaran (Gat-Uban to Regidor St.) Mauban, Quezon</t>
  </si>
  <si>
    <t>20GGM0010 - Procurement of various construction materials for use in the Repair and Maintenance of National Roads and Bridges within the district, DPWH, Negros Occidental 3rd District Engineering Offi</t>
  </si>
  <si>
    <t>20CSHN06 -Geotechnical/Sub-Surface Soil Investigation at  (1) Cansaga River, Brgy. Cansaga, (2) Cansaga River along Garing-Danglag-Polog Road &amp; (3) Cansaga River along Polog-Pulpogan-Cansaga Road, all</t>
  </si>
  <si>
    <t>Supply and delivery of Laboratory Supplies for RHU Laboratory</t>
  </si>
  <si>
    <t>Construction of Masonry Wall in Enverga Blvd., Brgy. Sadsaran (Near Gat-Uban Park), Mauban, Quezon</t>
  </si>
  <si>
    <t>CLI-20-0355-B DRUGS AND MEDICINES</t>
  </si>
  <si>
    <t>20CSHN04 -Geotechnical/Sub-Surface Soil Investigation at (1) Butuanon River, Brgy. Pakna-an, (2) Butuanon River, Brgy. Canduman, (3) Butuanon River, Brgy. Umapad, all in Mandaue City, Cebu</t>
  </si>
  <si>
    <t>20CSHN05 -Geotechnical/Sub-Surface Soil Investigation at  (1) Jagobiao Creek, Brgy. Nangka, Consolacion, Cebu,  (2) Jagobiao Creek, Brgy. Poblacion Oriental, Consolacion, Cebu &amp; (3) Cordova-RoRo Port,</t>
  </si>
  <si>
    <t>20CSHN07 -Parcellary Survey for the Widening of Canduman-Cebu North Road, K0012+193 - K0013+195, Mandaue City, Cebu</t>
  </si>
  <si>
    <t>Office Supplies for use at BAC Office</t>
  </si>
  <si>
    <t>AGR-20-0348-B Purchase of Animal Feeds</t>
  </si>
  <si>
    <t>Pakyaw Labor for the Proposed Replacement of Old and Broken P.E Pipe Water Distribution Line at Purok 4 and 5, Barangay Ginatilan, Kidapawan City</t>
  </si>
  <si>
    <t>Package 002- Proc. of Drugs, Medicine, Medical,Dental &amp; Laboratory Supplies &amp; MicroNutrient Supplementation (Reposting)</t>
  </si>
  <si>
    <t>AGR-20-0346-B Purchase of Agricultural Supplies and Materials</t>
  </si>
  <si>
    <t>Contract ID No. 19CSK00052 - Real Property Appraisal Services for Properties Affected by the following projects: 1. 19K00072-Construction of Puerto-Claveria By-pass Road, (Claveria Section) Package 4,</t>
  </si>
  <si>
    <t>CONTRACT ID : 20GLF0025 - PROCUREMENT OF VARIOUS SPARE PARTS FOR USE IN THE REPAIR OF H1-7298, H1-7299, H1-7300, H1-7301 AND F17-73 WITH PR NO. 2020-03-012 DATED 3/06/2020.</t>
  </si>
  <si>
    <t>Rebidding of Supplies for Water Purification and Testing,  IB No. SB-2020-006</t>
  </si>
  <si>
    <t>RFQ No. 2006-316 Proc. of Goods (Colored Copier/Printer/Scanner/Banner)</t>
  </si>
  <si>
    <t>RFQ No. 2006-312 Proc. of Goods (Submersible Pumpset)</t>
  </si>
  <si>
    <t>Construction Materials to be given to various Barangays.</t>
  </si>
  <si>
    <t>Purchase of Drugs and Medicines for the Health Office</t>
  </si>
  <si>
    <t>Request for Quotation (HMD-2020-06-0284 UPS Battery)</t>
  </si>
  <si>
    <t>CONTRACT ID: 20GLF0022 - PROCUREMENT OF VARIOUS SPARE PARTS OF VARIOUS MAINT. EQUIPMENT FOR THE REPAIR OF  H1-7298   KIA BONGO W.O.#R11-BB-CM-07-021, H1-7299  KIA BONGO  W.O.# R11-BB-19-CM-07-018, H1-</t>
  </si>
  <si>
    <t>Request for Quotation (AD-2020-06-0285 Calcium Hypocholoride)</t>
  </si>
  <si>
    <t>Purchase of K to 12 books to be given to the Department of Education, Kabankalan City (various Elementary Schools)</t>
  </si>
  <si>
    <t>Purchase and Delivery of Drugs and Medical Supplies for 2nd Quarter 2020</t>
  </si>
  <si>
    <t>RFQ No. 2006-315 Proc. of Goods (All Interior Upholstery)</t>
  </si>
  <si>
    <t>INFRA-REHABILITATION OF DRAINAGE CANAL, ST. FRANCIS SUBDIVISION, BAYOG, LOS BANOS, LAGUNA</t>
  </si>
  <si>
    <t>RFQ No. 2006-311 Proc. of Goods (Tools for Transportation and Motorpool Use)</t>
  </si>
  <si>
    <t>20CB-GSC-302	PURCHASE OF COMMUNICATION EQUIPMENT (RE-BID)</t>
  </si>
  <si>
    <t>Supply, Installation and Testing of Wall Mounted  Air Conditioning Units (Inverter)</t>
  </si>
  <si>
    <t>20CB-GSC-303	REPAIR OF MOTOR VEHICLE  (RE-BID)</t>
  </si>
  <si>
    <t>10607010-235-2020</t>
  </si>
  <si>
    <t>ICT Equipment for Accounting Office use</t>
  </si>
  <si>
    <t>Construction of Drainage Canal Purok 1, Barangay Parian, City of San Fernando</t>
  </si>
  <si>
    <t>5020399000-239-2020</t>
  </si>
  <si>
    <t>5020301000-237-2020</t>
  </si>
  <si>
    <t>Procurement of Hardware Materials for Improvement of Bridges along Purok 9 to Purok 6 Mangayon</t>
  </si>
  <si>
    <t>5020305000-240-2020</t>
  </si>
  <si>
    <t>10605020-236-2020</t>
  </si>
  <si>
    <t>5020305000-238-2020</t>
  </si>
  <si>
    <t>Road Network at Brgy. Luna, Ormoc City</t>
  </si>
  <si>
    <t>Procurement of Seaweeds Cutting Seedstocks</t>
  </si>
  <si>
    <t>10604010-242-2020</t>
  </si>
  <si>
    <t>Rebidding of Laboratory Supplies for STI, HIV and AIDS Program,  IB No. SB-2020-012</t>
  </si>
  <si>
    <t>Repair &amp; Maintenance: Infrastructure Assets - Road Network along Milagro-Cabintan Brgy. Road At Brgy. Cabintan, Ormoc City</t>
  </si>
  <si>
    <t>Rebidding of TB Drugs,  IB No. SB-2020-009</t>
  </si>
  <si>
    <t>Source Development in Ressettlement Areas (Drilling of Water Well) at Brgy. Cagbuhangin, Ormoc City</t>
  </si>
  <si>
    <t>Procurement of Various Office Supplies-A</t>
  </si>
  <si>
    <t>Purchase, Distribution and Construction of Sanitary Toilets (Procuring Entity: BLGU-Morocborocan)</t>
  </si>
  <si>
    <t>5020399000-241-2020</t>
  </si>
  <si>
    <t>5020301000-247-2020</t>
  </si>
  <si>
    <t>5029905003-244-2020</t>
  </si>
  <si>
    <t>PURCHASE OF MEDICINES, 2ND &amp; 3RD QUARTER 2020</t>
  </si>
  <si>
    <t>IMPROVEMENT OF MULTI-PURPOSE GYMNASIUM AT BARANGAY SAN GREGORIO, MALVAR BATANGAS</t>
  </si>
  <si>
    <t>IMPROVEMENT OF SENIOR CITIZEN BUILDING AT BARANGAY SANTIAGO, MALVAR BATANGAS</t>
  </si>
  <si>
    <t>CONSTRUCTION OF DRAINAGE SYSTEM AT BARANGAY SAN PIOQUINTO, MALVAR BATANGAS</t>
  </si>
  <si>
    <t>PROCUREMENT OF VARIOUS OFFICE SUPPLIES &amp; CONSUMABLES FOR 2020 SECOND QUARTER</t>
  </si>
  <si>
    <t>IMPROVEMENT OF MULTI-PURPOSE GYMNASIUM AT BARANGAY SAN JUAN, MALVAR BATANGAS</t>
  </si>
  <si>
    <t>ITB-SUPPLY AND DELIVERY OF VARIOUS MEDICINE SUPPLIES FOR 1ST 2020, LOS BANOS, LAGUNA</t>
  </si>
  <si>
    <t>5020399000-245-2020</t>
  </si>
  <si>
    <t>CONSTRUCTION/IMPROVEMENT OF MULTI-PURPOSE BUILDING AT BARANGAY BAGONG POOK, MALVAR BATANGAS</t>
  </si>
  <si>
    <t>FURNISHING OF LABOR AND MATERIALS FOR THE INSTALLATION OF DISTRIBUTION LINE AT ZONE 1 BARAS, CANAMAN, CAMARINES SUR (INFRA 2020-009)</t>
  </si>
  <si>
    <t>Concreting of Pathwalk at Core Shelter Project(Pabahay)</t>
  </si>
  <si>
    <t>5020201000-246-2020</t>
  </si>
  <si>
    <t>IMPROVEMENT OF MULTI-PURPOSE BUILDING AT BARANGAY SAN JUAN, MALVAR, BATANGAS</t>
  </si>
  <si>
    <t>Aviation Oil and Lubricants</t>
  </si>
  <si>
    <t>CONSTRUCTION OF CANAL AT BARANGAY SANTIAGO, MALVAR, BATANGAS</t>
  </si>
  <si>
    <t>IMPROVEMENT OF MULTI-PURPOSE BUILDING AT BARANGAY SAN ISIDRO, MALVAR, BATANGAS</t>
  </si>
  <si>
    <t>Supply/Installation of Isolation Facility Accessories</t>
  </si>
  <si>
    <t>PURCHASE OF CONSTRUCTION SUPPLIES AND MATERIALS</t>
  </si>
  <si>
    <t>10604010-243-2020</t>
  </si>
  <si>
    <t>G-2020-200 Supply and Installation of Dry Container Van with Pedestal, Office of the City Mayor</t>
  </si>
  <si>
    <t>Purchase of 2HP Submersible Pump Set</t>
  </si>
  <si>
    <t>G-2020-277 Supply and Delivery of Nebulizer, Office of the City Mayor</t>
  </si>
  <si>
    <t>5020301000-248-2020</t>
  </si>
  <si>
    <t>G-2020-209 Supply and Installation of CCTV, Various Schools</t>
  </si>
  <si>
    <t>G-2020-284 Supply and Delivery of Agricultural Inputs: Broiler Production, Gender and Development</t>
  </si>
  <si>
    <t>Labor Cost (Pakyaw System) for the Fabrication and Installation of Concrete Blocks at Cabusao Wetlands Critical Habitat, Pandan/Biong, Cabusao, Camarines Sur</t>
  </si>
  <si>
    <t>I-2020-008 Construction of Two Storey Canteen Bldg. with Roof Deck (Additional), Calamba City Hall Complex, Barangay Real</t>
  </si>
  <si>
    <t>I-2020-010 Construction of Retaining Wall, Barangay Barandal (Calamba Hills)</t>
  </si>
  <si>
    <t>G-2020-278 Supply and Delivery of Hearing Aid, Office of the City Mayor</t>
  </si>
  <si>
    <t>G-2020-324 Supply and Delivery of Rabies Vaccine, City Health Services Department</t>
  </si>
  <si>
    <t>G-2020-279 Supply and Delivery of Monoblock Chairs, Office of the City Mayor</t>
  </si>
  <si>
    <t>PROCUREMENT OF MEDICINE</t>
  </si>
  <si>
    <t>Purchase of Materials and Installation of Solar Lights</t>
  </si>
  <si>
    <t>I-2020-013 Construction of Drainage Facility, E. Barretto Sr. ES, Barangay Pansol</t>
  </si>
  <si>
    <t>INSTALLATION OF SOLAR STREET LIGHT</t>
  </si>
  <si>
    <t>20HI0092 - Concreting of Brgy. Easter Poblacion to Brgy. Altavista FMR, Poro, Cebu</t>
  </si>
  <si>
    <t>Improvement of Barangay Hall, Palanay</t>
  </si>
  <si>
    <t>20HI0073 (re-ad) - Construction of Multi-Purpose Building, Brgy. Poblacion, Borbon, Cebu</t>
  </si>
  <si>
    <t>Rehabilitation of Day Care Center</t>
  </si>
  <si>
    <t>Supply and Delivery of Furniture and Fixture for Bacnotan Farmer’s Agri-Tourism Center, Baroro, Bacnotan, La Union</t>
  </si>
  <si>
    <t>20HI0093 - Construction/Rehabilitation of Water Supply/Septage and Sewerage/Rainwater Collectors – Rain Water Collectors in Public Facilities</t>
  </si>
  <si>
    <t>Purchase of various materials for Improvement of Drainage Canal, Brgy. South Poblacion</t>
  </si>
  <si>
    <t>One (1) lot Labor and Materials for the Replacement of Injection Pump of the Armored Vehicle of Landbank UP Los Banos Branch</t>
  </si>
  <si>
    <t>Purchase of Aircon, Brgy. South Poblacion.</t>
  </si>
  <si>
    <t>Construction of Drainage Canal - East</t>
  </si>
  <si>
    <t>Rehabilitation &amp; Construction of Drainage Canal - West</t>
  </si>
  <si>
    <t>Invitation to Bid For Construction of Road Shouldering</t>
  </si>
  <si>
    <t>GSO-20-0576-NP(SV) PURCHASE OF PLUMBING SUPPLIES</t>
  </si>
  <si>
    <t>SUPPLY AND DELIVERY OF DRUGS AND MEDICINES, BACNOTAN, LA UNION</t>
  </si>
  <si>
    <t>ITB-SUPPLY AND DELIVERY OF 1ST QTR, LABORATORY AND DENTAL SUPPLIES, LOS BANOS, LAGUNA</t>
  </si>
  <si>
    <t>ISC-20-0468-B PURCHASE OF OFFICE SUPPLIES</t>
  </si>
  <si>
    <t>Installation of Jetmatic Pump (3sets)</t>
  </si>
  <si>
    <t>MEDICAL SUPPLIES-JCH-20-0226-B</t>
  </si>
  <si>
    <t>ITB-SUPPLY AND DELIVERY OF OFFICE EQUIPMENT FOR HEALTH FACILITY ENHANCEMENT</t>
  </si>
  <si>
    <t>Aircon w/complete Accessories</t>
  </si>
  <si>
    <t>Various Spareparts</t>
  </si>
  <si>
    <t>Diesel Fuel</t>
  </si>
  <si>
    <t>GSO-20-0498-NP(SV) PURCHASE OF ELECTRICAL SUPPLIES</t>
  </si>
  <si>
    <t>COMPUTER PARTS AND ACCESSORIES-JCH-20-0171-B</t>
  </si>
  <si>
    <t>PAPALLASEN 01-2020 - Repair &amp; impvt. of perimeter fence &amp; installation of gate</t>
  </si>
  <si>
    <t>Supply and Delivery of Genuine Consumables for Javelin J800i Card Printer</t>
  </si>
  <si>
    <t>Supply and Delivery of Various Information and Communication Technology Equipment, Bacnotan, La Union</t>
  </si>
  <si>
    <t>Supply and Delivery of various Seeds intended for Vegetable Seeds Distribution of the Mun. Agriculture Office</t>
  </si>
  <si>
    <t>FRT-19-1689-B(rebid) - PURCHASE OF DEFIBRILLATOR</t>
  </si>
  <si>
    <t>FURNISHING OF LABOR AND MATERIALS FOR THE REPAIR OF A6 NATURE'S PARK LANDMARK.</t>
  </si>
  <si>
    <t>Equipment for Banana Tissue Culture Laboratory</t>
  </si>
  <si>
    <t>DENTAL SUPPLIES-RTH-20-0183-B(RE-BID)</t>
  </si>
  <si>
    <t>ENVIRONMENTAL SIGNAGES, MATERIALS AND LABOR</t>
  </si>
  <si>
    <t>Construction and Rehabilitation of Drainage System</t>
  </si>
  <si>
    <t>5029905003-249-2020</t>
  </si>
  <si>
    <t>SITE DEVELOPMENT/ CONSTRUCTION/ EXTENSION OF BARANGAY ROAD ALONG SHORE PROTECTION, BRGY. POBLACION 1, ZUMARRAGA, SAMAR</t>
  </si>
  <si>
    <t>Construction of Drainage Canal (0.60m x 0.60m x170.0m)</t>
  </si>
  <si>
    <t>DUPLICATOR MACHINE-JCH-20-0225-B</t>
  </si>
  <si>
    <t>DDH-19-2097-B - Purchase of Medical Equipment(Serological Centrifuge)</t>
  </si>
  <si>
    <t>SUPPLY OF MATERIALS FOR THE REPAIR &amp; MAINTENANCE OF MOTOR VEHICLES REPAIR &amp; INSTALLATION &amp; MAINTENANCE AND SUPPLY OF MATERIALS FOR SJA 587</t>
  </si>
  <si>
    <t>Improvement of Barangay Multi-Purpose Hall (Extension of Health Center)</t>
  </si>
  <si>
    <t>ABATEMENT FOR AGUS 6 &amp; 7 HEPC</t>
  </si>
  <si>
    <t>5020201000-251-2020</t>
  </si>
  <si>
    <t>Construction of Seventy (70) Spans-Concrete Fence</t>
  </si>
  <si>
    <t>PAPALLASEN 02-2020 - Repair &amp; impvt. of multi-purpose hall</t>
  </si>
  <si>
    <t>20LC0155 - Tanglaw Bridge 2 (B00187MN) along Tagum －Panabo Circumferential Road</t>
  </si>
  <si>
    <t>20PL0113 - Concreting of Brgy. Sandara FMR, Brgy. Sandara, Rizal, Kalinga</t>
  </si>
  <si>
    <t>20LC0154 - Tanglaw Bridge 2 (B00187MN) along Tagum －Panabo Circumferential Road</t>
  </si>
  <si>
    <t>Agricultural Supplies Expenses (Vegetable Seeds)</t>
  </si>
  <si>
    <t>Construction Projects-Concreting of Access Road (Rizal,Lopez Jaena)-MEO,Lopez Jaena</t>
  </si>
  <si>
    <t>Supply/Delivery of Motorcycle</t>
  </si>
  <si>
    <t>5020399000-252-2020</t>
  </si>
  <si>
    <t>Upgrading of Paulba-Maburi Road (Phase III)</t>
  </si>
  <si>
    <t>Proposed Renovation of Barangay Health Center</t>
  </si>
  <si>
    <t>Supply and Delivery of Construction Materials for Grouted Riprap @ Masungil, Pinayagan Sur, Tubigon, Bohol (Re-Bid)</t>
  </si>
  <si>
    <t>Agricultural Supplies Expenses (Farm Materials)</t>
  </si>
  <si>
    <t>Concreting of Rafael Lacson Street</t>
  </si>
  <si>
    <t>ROAD IMPROVEMENT AT BARANGAY HAGNAYA, CARMEN, CEBU</t>
  </si>
  <si>
    <t>Concreting of Pathway (0.10m x 1.00m x 3650.0m)</t>
  </si>
  <si>
    <t>Supply and Delivery of Pump and Motors</t>
  </si>
  <si>
    <t>5020305000-253-2020</t>
  </si>
  <si>
    <t>Construction of Barangay Concrete Roads at Barangay Palanas</t>
  </si>
  <si>
    <t>5021306001-254-2020</t>
  </si>
  <si>
    <t>LOT 1 Supply and Delivery of Materials for the Sustainment of Unit/Office Daily Operations of BRP TARLAC (LD601) and BRP DAVAO DEL SUR (LD602) LOT 2 Supply and Delivery of Materials for the Sustainmen</t>
  </si>
  <si>
    <t>5020399000-250-2020</t>
  </si>
  <si>
    <t>Other Maintenance and Other Operating Expenses (MTOCS)</t>
  </si>
  <si>
    <t xml:space="preserve">20PL0112 - Package 2: A.) Repair/Maintenance of Kintoy Kasabaan Flood Control, Bulanao, Tabuk City, Kalinga, B.) Repair/Maintenance of Wakki Creek Flood Control, Sagpat, Bulanao, Tabuk City, Kalinga, </t>
  </si>
  <si>
    <t>LABORATORY SUPPLIES AND CONSUMABLES</t>
  </si>
  <si>
    <t>5021306001-255-2020</t>
  </si>
  <si>
    <t>UTILITY VEHICLE - CEEMDO</t>
  </si>
  <si>
    <t>Purchase and Delivery of Office Equipment</t>
  </si>
  <si>
    <t>CONSTRUCTION OF MULTI-PURPOSE HALL (PHASE 1) BRGY. SAN ISIDRO, ZUMARRAGA, SAMAR</t>
  </si>
  <si>
    <t>cLUSTER bC6-2020</t>
  </si>
  <si>
    <t>HARDWARE MATERIALS</t>
  </si>
  <si>
    <t>20PL0114 - Concreting of Brgy. Ballayangon FMR, Brgy. Ballayangon, Pinukpuk, Kalinga</t>
  </si>
  <si>
    <t>LABORATORY REAGENTS-JCH-20-0175-B</t>
  </si>
  <si>
    <t>LABORATORY SUPPLIES-JCH-20-0172-B</t>
  </si>
  <si>
    <t>5021305002-258-2020</t>
  </si>
  <si>
    <t>PURCHASE OF CONSTRUCTION MATERIALS FOR INDIVIDUAL LATRINES, ASSISTANCE TO BARANGAY PROJECTS AND MENRO OFFICE, LGU ZUMARRAGA, SAMAR</t>
  </si>
  <si>
    <t>Construction/ Rehabilitation of Kitchen and Improvement of Main Day Care Center</t>
  </si>
  <si>
    <t>1,360 PCS. OSCA I.D</t>
  </si>
  <si>
    <t>MG-A5M20-116 ( PAINT, ENAMEL, STEEL INSULATING RUBBER + 2 ITEMS )</t>
  </si>
  <si>
    <t>Purchase and Delivery of Information and Communication Technology Equipment</t>
  </si>
  <si>
    <t>Rehabilitation of Water Piping ( Fittings)</t>
  </si>
  <si>
    <t>Completion of multi Purpose Building / Evacuation Center at Barangay Candabong</t>
  </si>
  <si>
    <t>PURCHASE OF VAW DESK ROOM EQUIPMENT</t>
  </si>
  <si>
    <t>IMPROVEMENT OF MULTI-PURPOSE BUILDING (LGU PERIMETER FENCE AND GATE) BRGY. POBLACION 1, ZUMARRAGA, SAMAR</t>
  </si>
  <si>
    <t>Office Supplies for Treasury</t>
  </si>
  <si>
    <t>20IB0142 - Construction of Shelves Commission on Audit Office ESDEO-DPWH Brgy. Alang-Alang, Borongan City, Eastern Samar</t>
  </si>
  <si>
    <t>5021305002-257-2020</t>
  </si>
  <si>
    <t>PURCHASE OF ORGANIC BASED DEODORIZER FOR THE CONTROLLED DUMPSITE OF THE CITY OF DASMARIÑAS</t>
  </si>
  <si>
    <t>CONSTRUCTION OF BARANGAY HEALTH STATION AT CAURASAN, CARMEN, CEBU</t>
  </si>
  <si>
    <t>5021305002-256-2020</t>
  </si>
  <si>
    <t>Construction of Sanitary Toilet (Plastic Purifying Septic Tank)</t>
  </si>
  <si>
    <t>PEO-20-0665 B- Procurement of Batteries for use in the replacement of Defective Batteries of various service vehicles (PU-20, 21, 22, 23, 24, 25) assigned at PEP/Motorpool, Sta. Barbara, Iloilo</t>
  </si>
  <si>
    <t>Procurement of Janitorial Supplies - 2020-04-0046</t>
  </si>
  <si>
    <t>Supply and Delivery of Dental Supplies and Materials for use of 1301st PNDD</t>
  </si>
  <si>
    <t>Pasalubong Center</t>
  </si>
  <si>
    <t>Supply/Delivery of Office Equipment</t>
  </si>
  <si>
    <t>Supply/Delivery of Drugs and Medicines</t>
  </si>
  <si>
    <t>Re Bidding - Rehabilitation of Apolinario dela Cruz Waterworks System Improvement of Main Water Source and Intake Box, Installation of additional pipelines and fittings, Replacement of dilapidated pip</t>
  </si>
  <si>
    <t>5021305002-263-2020</t>
  </si>
  <si>
    <t>Supply and Delivery of Construction Materials and Supplies for the Construction of Canal Near Public Market</t>
  </si>
  <si>
    <t>Supply and delivery  of materials for the const'n of 3 phase line at Hinaplanan Cassava Dryer &amp; Installation of sec. metering</t>
  </si>
  <si>
    <t>5 LITERS DIESEL ENGINE OIL, FUEL FILTER CARTRIDGE AND OTHER MATERIALS - CHANGE OIL</t>
  </si>
  <si>
    <t>5021305002-262-2020</t>
  </si>
  <si>
    <t>5021305002-261-2020</t>
  </si>
  <si>
    <t>ROAD IMPROVEMENT AT CANTIPAY, CARMEN, CEBU</t>
  </si>
  <si>
    <t>Purchase of Construction Materials and Electrical Supplies for use in Street Lighting Installation, Prk Mahinangpanon and Techer's Ville ( Suga Kontra Krimen), Barangay V, Silay City.(Rebid)</t>
  </si>
  <si>
    <t>Procurement of Professional Technical Support Services for Repairs (minor) and Maintenance Cleaning of Airconditioning Units of LHIO Tandag City, CY 2020</t>
  </si>
  <si>
    <t>Road Opening &amp; Gravelling of Pananacpan Road</t>
  </si>
  <si>
    <t>Procurement of Heavy Equipment</t>
  </si>
  <si>
    <t>5021305002-260-2020</t>
  </si>
  <si>
    <t>5021305002-259-2020</t>
  </si>
  <si>
    <t>37 SETS JETMATIC PUMP</t>
  </si>
  <si>
    <t>JANITORIAL SUPPLIES/MATERIALS</t>
  </si>
  <si>
    <t>Supply/Delivery of Furniture and Fixtures</t>
  </si>
  <si>
    <t>2  KGS. FREON 4-41</t>
  </si>
  <si>
    <t>Purchase of Electrical Materials and Supplies for use in Street Lighting Installation, Purok Lagaw (SUGA KONTRA KRIMEN),  Brgy. Guinhalaran, Silay City.(Rebid)</t>
  </si>
  <si>
    <t>5021305003-264-2020</t>
  </si>
  <si>
    <t>PBD Const.Improvement of Lake Wood Ecological Park 3</t>
  </si>
  <si>
    <t>PURCHASE OF MOTORCYLE (PNP)</t>
  </si>
  <si>
    <t>Cont. Ref. No. 058-20: Rehabilitation of Flood Control at L1300 at Poblacion, Itogon, Benguet</t>
  </si>
  <si>
    <t>SUPPLY AND DELIVERY OF ANTI-RABIES VACCINES (P.R. NO. 300-20-02-0073)</t>
  </si>
  <si>
    <t>Supply and delivery  of materials  for  transformer  installation (water system) at  Sitio Janopolan, Pob, Brgy. Rizal &amp; Luna</t>
  </si>
  <si>
    <t>5021305003-268-2020</t>
  </si>
  <si>
    <t>Establishment of Three Units Isolation Facilities in the Brgy. in Ralation to COVID-19 Situation</t>
  </si>
  <si>
    <t>Purchase of Materials for the Construction of Health Center of Brgy. Esperanza</t>
  </si>
  <si>
    <t>PROCUREMENT OF PHOTOCOPYING MACHINE</t>
  </si>
  <si>
    <t>5021305003-266-2020</t>
  </si>
  <si>
    <t>AUTO SPARE PARTS</t>
  </si>
  <si>
    <t>2020-0170-PR2020-0403 Procurement of Chicken Breeder, Chicken Booster Crumble and Chicken Starter Crumble for the use at the Office of the Provincial Veterinarian, New Capitol Building, Tagbilaran Cit</t>
  </si>
  <si>
    <t>Supply and Delivery of Construction Materials and Supplies for the Construction of Canal Near Health Center</t>
  </si>
  <si>
    <t>5021305003-267-2020</t>
  </si>
  <si>
    <t>New Acquisition of One (1) Unit of Network Firewall w/ Three (3) Years Subscription</t>
  </si>
  <si>
    <t>Procurement of Hardware &amp; Electrical Materials</t>
  </si>
  <si>
    <t>5021305003-265-2020</t>
  </si>
  <si>
    <t>MEALS AND SNACKS</t>
  </si>
  <si>
    <t>Improvement of Barangay Road (FTMR)(Gella)(Phase 1)</t>
  </si>
  <si>
    <t>1 PC TARPAULIN 4X5</t>
  </si>
  <si>
    <t>ITDI-200318 - DIAGNOSTIC LABORATORY SERVICES FOR SMALL LABORATORY ANIMALS</t>
  </si>
  <si>
    <t>Job Order: 1 unit floor mounted aircon for City Council (Conference Room) use.</t>
  </si>
  <si>
    <t>COMPUTERIZATION OF INTEGRATED FINANCIAL MANAGEMENT INFORMATION AND OPERATIONS LINKED WITH REVENUE SYSTEM, BACNOTAN, LA UNION</t>
  </si>
  <si>
    <t>5021305003-270-2020</t>
  </si>
  <si>
    <t>ITDI-200316 - SUPPLY OF LABOR AND MATERIALS FOR THE CALIBRATION OF GRADE K RECTANGULAR GAUGE BLOCKS</t>
  </si>
  <si>
    <t>ITB - Supply and Delivery of Foodstuff for July-December 2020</t>
  </si>
  <si>
    <t>Construction of Multi-Pupose Pavement at Brgy. Abuanan Relocation Site, Bago City</t>
  </si>
  <si>
    <t>HAHLUL-CAMILING COMMUNAL IRRIGATION SYSTEM IMPROVEMENT</t>
  </si>
  <si>
    <t>Supplies of Materials for Training Requirements of Sailors Basic Course CY 2020</t>
  </si>
  <si>
    <t>ITDI-200335 - SUPPLY AND DELIVERY OF VARIOUS OFFICE SUPPLIES</t>
  </si>
  <si>
    <t>For Deployment of bouys as Permanent Markers of Marine Protected Area (MPA) for Irrawaddy Dolphins, Bago City</t>
  </si>
  <si>
    <t>BDRRM Program</t>
  </si>
  <si>
    <t>Supply and Delivery of Fertilizer for the Banana Production</t>
  </si>
  <si>
    <t>5021305003-269-2020</t>
  </si>
  <si>
    <t>COMPLETION OF BARANGAY CLINIC (PABAHAY)-PHASE 1</t>
  </si>
  <si>
    <t>ITDI-200353 - SUPPLY OF LABOR AND MATERIALS FOR THE CLEANING AND DIAGNOSTICS OF ITDI AIRCONDITIONING UNITS</t>
  </si>
  <si>
    <t>5021305002-272-2020</t>
  </si>
  <si>
    <t>ITDI-200352 - SUPPLY AND DELIVERY OF COPPER STANDARD</t>
  </si>
  <si>
    <t>5021305003-271-2020</t>
  </si>
  <si>
    <t>Request for the maintenance of Bago City College Scholastech System, Bago City</t>
  </si>
  <si>
    <t>Cont. Ref. No. 059-20: Completion of Flood Control at Binaldian Creek (Near Cuyahon Res.) at Poblacion, Itogon, Benguet</t>
  </si>
  <si>
    <t>Supply and Delivery of Tables and Chairs</t>
  </si>
  <si>
    <t>Elderly Program</t>
  </si>
  <si>
    <t>Invitation to Bid for PROCUREMENT OF FISHING BOATS  (BANGKA PARA SA MANGINGISDA)</t>
  </si>
  <si>
    <t>For use of different vehicles for the months of July 2020 and suceeding month(s)</t>
  </si>
  <si>
    <t>Construction of MPB (Temporary shelter for CICL &amp; VAWC Cases and Rehabilitation Center) Phase II</t>
  </si>
  <si>
    <t>Purchase and Delivery of Furnitures and Fixtures</t>
  </si>
  <si>
    <t>For use at Bago City Hospital, Bago City (Office Supplies)</t>
  </si>
  <si>
    <t>ITDI-200354 - SUPPLY AND DELIVERY OF VARIOUS FOOD CHEMICAL ANALYSIS</t>
  </si>
  <si>
    <t>CONFIRMATORY DRILLING AT EL SALVADOR CITY RESETTLEMENT PHASE I, LINABO, COGON, EL SALVADOR CITY</t>
  </si>
  <si>
    <t>Supply of labor and materials for rerouting and rehabilitation of Dietary Exhaust Hood</t>
  </si>
  <si>
    <t>Procurement of Vitamins and Hygiene Items for assistance to BPAs and other similar facilities</t>
  </si>
  <si>
    <t>Water Service Connection Materials / Fittings</t>
  </si>
  <si>
    <t>PROPOSED CONSTRUCTION OF FABRICATED MOVABLE BENCHES, BASKETBALL POST, BOARD AND RING AT BRGY. III-C, SAN PABLO CITY</t>
  </si>
  <si>
    <t>Cont. Ref. No. 060-20: Rehabilitation of Protection Wall and Canal below Barangay Hall at Virac, Itogon, Benguet</t>
  </si>
  <si>
    <t>PURCHASE OF ONE (1) UNIT MOBILE CORN MILL FOR MUNICIPAL AGRICULTURE’S OFFICE, AITC, POBLACION, IMPASUGONG, BUKIDNON</t>
  </si>
  <si>
    <t>FURNISHING AND DELIVERY OF MOBILE/DESKTOP APPLICATION AND IT EQUIPMENT FOR THE JUBAN WATER SYSTEM READ AND BILL SYSTEM</t>
  </si>
  <si>
    <t>FURNISHING AND DELIVERY OF COMPUTER SUPPLIES AND IT EQUIPMENT 1ST &amp; 2ND QUARTER</t>
  </si>
  <si>
    <t>Procurement of Construction of Two (2) Units Steel Basketball Goal (Construction Materials)</t>
  </si>
  <si>
    <t>FUEL</t>
  </si>
  <si>
    <t>PCADG-1058-2020	Renovation of FJGADD Office, DPCR</t>
  </si>
  <si>
    <t>GEOTECHNICAL SUB SURFACE EXPLORATION: PACKAGE No. 2020-01, MLANG AND TULUNAN, NORTH COTABATO</t>
  </si>
  <si>
    <t>NC#2020-0273-PR2020-0382 Procurement of Various Office and Janitorial Supplies for the use at the Provincial Accounting Office, New Capitol Building, Tagbilaran City</t>
  </si>
  <si>
    <t>Construction of Drainage System of Barangay Road at Brgy. San Agustin, Ibaan, Batangas</t>
  </si>
  <si>
    <t>SUPPLY &amp; DELIVERY OF AIR CONDITIONING UNIT</t>
  </si>
  <si>
    <t>ITDI-200365 - SUPPLY AND DELIVERY OF ETHOXYQUIN HYDROCHLORIDE</t>
  </si>
  <si>
    <t>ROAD OPENING AT SITIO KALAG-ITAN, PANGHAGBAN, BUENAVISTA, BOHOL</t>
  </si>
  <si>
    <t>ITDI-200350 - SUPPLY AND DELIVERY OF NITRIC ACID</t>
  </si>
  <si>
    <t>ITDI-200351 -SUPPLY AND DELIVERY OF COPPER SULPHATE</t>
  </si>
  <si>
    <t>REHABILITATION OF MULTI-PURPOSE HALL – KIUDTO (PHASE 2), SITIO KIUDTO, HAGPA, IMPASUGONG, BUKIDNON</t>
  </si>
  <si>
    <t>BATOG-MATALANAK COMMUNAL IRRIGATION SYSTEM IMPROVEMENT</t>
  </si>
  <si>
    <t>ITDI-200347 - SUPPLY OF LABOR AND MATERIALS FOR THE PRINTING OF ITDI TECHNO-BULLETIN</t>
  </si>
  <si>
    <t>Construction of Sto. Domingo Fire Station, Nueva Ecija</t>
  </si>
  <si>
    <t>Invitation to Bid Completion of 1-Unit 2-CL Elem. School Building</t>
  </si>
  <si>
    <t>June Procurement</t>
  </si>
  <si>
    <t>REHABILITATION OF MULTI-PURPOSE BRGY. HALL PHASE 2 (BARANGAY CALAPUGAN, NATIVIDAD, PANGASINAN</t>
  </si>
  <si>
    <t>Installation of Ili-ilihon Water System Distribution Pipes</t>
  </si>
  <si>
    <t>PROPOSED MUNICIPAL BUILDING FRONT YARD LANDSCAPING (PHASE 1) &amp; REHABILITATION OF STREET LIGTH</t>
  </si>
  <si>
    <t>Construction of Bleacher @ Covered Court</t>
  </si>
  <si>
    <t>ITDI-200345 - SUPPLY AND DELIVERY OF FILING CABINET AND 3 LAYER LATERAL CABINET</t>
  </si>
  <si>
    <t>PCADG-5020399000-1057-2020 Other Supplies &amp; Materials Expenses (DPCR)</t>
  </si>
  <si>
    <t>PCADG-5020399000-1059-2020 Other Supplies &amp; Materials Expenses (DPCR)</t>
  </si>
  <si>
    <t>Improvement of Alvaniz Potable Water Supply System</t>
  </si>
  <si>
    <t>Construction of Prks. Lopues Michelle and Prk. Lacson Water Supply System, Level III, Brgy Dulao, Bago City  (RE-BID)</t>
  </si>
  <si>
    <t>Procurement of 16,000 liters of Diesel</t>
  </si>
  <si>
    <t>Purchase of Generator Set</t>
  </si>
  <si>
    <t>CAN - Various Supplies and Materials PR No. 476 UDM</t>
  </si>
  <si>
    <t>PBD Const/Improvement of Solar Type Street Lighting System-2</t>
  </si>
  <si>
    <t>Purchase of One (1) Unit Mini Dump Truck</t>
  </si>
  <si>
    <t>FURNITURES AND FIXTURES</t>
  </si>
  <si>
    <t>REHABILITATION OF HANGING BRIDGE AT AMOROS, EL SALVADOR CITY</t>
  </si>
  <si>
    <t>Concreting of Sihi - Daat FMR</t>
  </si>
  <si>
    <t>20PK0070 - Repair/Maintenance of DPWH Building, Quality Assurance Section Office Building, P-6, Bulanao, Tabuk City, Kalinga</t>
  </si>
  <si>
    <t>Procurement of Improvement of Health Center - Barangay Batungan</t>
  </si>
  <si>
    <t>PURCHASE OF ONE (1) UNIT MOBILE RICE MILL FOR MUNICIPAL AGRICULTURE’S OFFICE, AITC, POBLACION, IMPASUGONG, BUKIDNON</t>
  </si>
  <si>
    <t>PURCHASE OF FUEL, OIL AND LUBRICANTS</t>
  </si>
  <si>
    <t>ITDI-200344 - SUPPLY OF LABOR AND MATERIALS FOR THE REPAIR AND CALIBRATION OF JENWAY FLAME PHOTOMETER</t>
  </si>
  <si>
    <t>RELOCATION OF THREE LOCAL HEROES MONUMENT</t>
  </si>
  <si>
    <t>Purchase of One Unit Photo Copier Machine for Assessor's Office of this Local Unit</t>
  </si>
  <si>
    <t>Procurement of One (1) unit Service Vehicle  Pick-up</t>
  </si>
  <si>
    <t>1 set Diesel Tractor L5018  for Brgy. Equipment Project @ San Agustin, Talibon, Bohol</t>
  </si>
  <si>
    <t>PCADG-1060-2020 Procurement of Audio Equipment for PNP Media Center (Last Phase) (PIO)</t>
  </si>
  <si>
    <t>Purchase of Motorboat Service</t>
  </si>
  <si>
    <t>Cont. Ref. No. 062-20:Restoration of Riprap along Kumashang Municipal Road (Near M. Sebiano Res.)  at Tuding, Itogon, Benguet</t>
  </si>
  <si>
    <t>ITDI-200341 - SUPPLY AND DELIVERY OF 3 LAYER GLASS SLIDING DOOR CABINET, SLIDING DOOR CABINET, AND LABORATORY CHAIR</t>
  </si>
  <si>
    <t>Procurement of office supplies of INREMP Kalinga for the First Semester CY-2020</t>
  </si>
  <si>
    <t>SUPPLY &amp; DELIVERY OF 5 KVA UPS</t>
  </si>
  <si>
    <t>Procurement for the Supply, Delivery and Installation of Window Blinds and Office Furniture and Fixtures for Improvement of Government Building</t>
  </si>
  <si>
    <t>PRINTER</t>
  </si>
  <si>
    <t>CONSTRUCTION OF BS IN ENTREPRENEURSHIP DISPLAY AND PRODUCTION ROOM</t>
  </si>
  <si>
    <t>Construction of Prk. Paghidaet and Prk. Mabuhay Water Supply System, Level III, Brgu Sagasa, Bago City (RE-BID)</t>
  </si>
  <si>
    <t>SUBM#2020 -06 - 14 - To purchase Office Supplies to be used in the Quality Assurance Section, DPWH, Negros Occidental 2nd District Engineering Office, Binalbagan, Negros Occidental</t>
  </si>
  <si>
    <t>Supply and Delivery of Assorted Medicines for Municipal Health Office of Cuyo</t>
  </si>
  <si>
    <t>Construction of Humayan Water Supply System, Level III, Brgy Tabunan, Bago City (RE-BID)</t>
  </si>
  <si>
    <t>Concreting of Malbog-Haynon FMR</t>
  </si>
  <si>
    <t>ELECTRICAL</t>
  </si>
  <si>
    <t>Purchase of Supplies</t>
  </si>
  <si>
    <t>20DC0207 - LOCAL PROGRAM, Local Infrastructure Program, Buildings  			and Other Structures, Multipurpose/Facilities,  			Construction (Completion)/Repair/Rehab/Improvement of Multi-Purpose Building, B</t>
  </si>
  <si>
    <t>Procurement of Infrastructure - Rehabilitation of Barangay Road from Diversion Road to Sitio Paopagon</t>
  </si>
  <si>
    <t>Procurement of One (1) unit Brand New MPV</t>
  </si>
  <si>
    <t>PREVENTIVE MAINTENANCE P.R. 0482 SERIES OF 2020</t>
  </si>
  <si>
    <t>Cluster N14-2020</t>
  </si>
  <si>
    <t>IMPROVEMENT OF THE GUANG-GUANG MANGROVE PARK</t>
  </si>
  <si>
    <t>Purchase of Office Equipment used in the Office of Municipal Mayor</t>
  </si>
  <si>
    <t>Continuous Construction/Rehabilitation of Farm to Market Road in Sitio Pulao-Pulao, Brgy. Paagahan, Mabitac, Laguna</t>
  </si>
  <si>
    <t>SUPPLY &amp; DELIVERY OF HOSPITAL/MEDICAL EQUIPMENT</t>
  </si>
  <si>
    <t>5020305000-177-2020</t>
  </si>
  <si>
    <t>Purchase of One (1) Unit Wheeled Backhoe</t>
  </si>
  <si>
    <t>SUPPLY AND DELIVERY OF MATERIALS AND TOOLS FOR USE IN THE REPAIR/MAINTENANCE OF VARIOUS NATIONAL ROADS AND BRIDGES</t>
  </si>
  <si>
    <t>Construction of Prk. Bantolino Water Supply System, Brgy Ma-ao, Bago City (RE-BID)</t>
  </si>
  <si>
    <t>Construction of Limay Fire Station, Bataan</t>
  </si>
  <si>
    <t>For Construction/Extension of Prks. Gabi, Saging, Kawayan and Tuburan Water Supply System, Level III, Brgy. Malingin, Bago City (RE-BID)</t>
  </si>
  <si>
    <t>Concreting of Jct. Recodo Road to Sitio Panorama, Cawayan, Masbate</t>
  </si>
  <si>
    <t>Purchase of Footbaths</t>
  </si>
  <si>
    <t>Continuous Construction/Rehabilitation of Local Roads in Sitio Babar, Brgy. San Miguel, Mabitac, Laguna</t>
  </si>
  <si>
    <t>Procurement of Infrastructure - Rehabilitation of Barangay Road from Proper San Victor to Sitio Heni</t>
  </si>
  <si>
    <t>REGISTRAR</t>
  </si>
  <si>
    <t>5029905003-203-2020</t>
  </si>
  <si>
    <t>Purchase of 1 Unit Laptop for Assessor's Office</t>
  </si>
  <si>
    <t>20GII0009 Repair and Maintenance of Defective Roadways under D.O. 41 s2016 along Catarman-Laoang Road and Rawis-Catubig Road, Northern Samar Second District</t>
  </si>
  <si>
    <t>Construction of Pathwalk - Purok 1</t>
  </si>
  <si>
    <t>ITDI-200340 - SUPPLY AND DELIVERY OF ISOPROPYL ALCOHOL</t>
  </si>
  <si>
    <t>30 cylinders Gass Chlorine, 99% Purity</t>
  </si>
  <si>
    <t>PROCUREMENT OF KOREAN COMBI BLINDS TO BE USED IN THE ADMINISTRATIVE, ACCOUNTING &amp; BUDGET OFFICE</t>
  </si>
  <si>
    <t>Improvement of Day Care Center</t>
  </si>
  <si>
    <t>Procurement on Delivery of Materials for Concreting of Farm to Market Road</t>
  </si>
  <si>
    <t>DRRM</t>
  </si>
  <si>
    <t>Supply and Delivery of 1000 Amperes Circuit Breaker for MCC2</t>
  </si>
  <si>
    <t>REHABILITATION OF MULTI-PURPOSE HALL (OLD MUNICIPAL BUILDING)</t>
  </si>
  <si>
    <t>PR-2020-06-01</t>
  </si>
  <si>
    <t>Procurement of Infrastructure - Installation of Solar LED Street Light at Barangay Salingcomot</t>
  </si>
  <si>
    <t>For use of the City Agriculture Office, Bago City (RE-BID)</t>
  </si>
  <si>
    <t>MED</t>
  </si>
  <si>
    <t>CCTV</t>
  </si>
  <si>
    <t>For Construction of Prk. Masinadyahon Water Supply System, Brgy. Atipuluan, Bago City (RE-BID)</t>
  </si>
  <si>
    <t>CONSTRUCTION OF STREETLIGHTS ALONG TANZA-TRECE ROAD</t>
  </si>
  <si>
    <t>ITDI-200339 - SUPPLY OF LABOR AND MATERIALS FOR THE COMPREHENSIVE PREVENTIVE MAINTENANCE SERVICE FOR ADMATEL AIR HANDLING UNIT</t>
  </si>
  <si>
    <t>OS</t>
  </si>
  <si>
    <t>Supply and delivery of 2 units Motorcycle use at Engineering Office as Service for Inspection of Projects, Mauban, Quezon.</t>
  </si>
  <si>
    <t>Procurement of Infrastructure - Construction of 2 units Single Detached Commercial Hometel at Sunrise Boulevard</t>
  </si>
  <si>
    <t>Procurement on Delivery of Materials for the Installation of Submersible Pump &amp; Distribution Line of Tanza Water Works (TAWA)</t>
  </si>
  <si>
    <t>R&amp;DR-20-1216(R1): Procurement of Prepaid Cellphone Cards to be used for encoding of RCM Interview, ME &amp; L, Farming Monitor, Research Trial Implementation and Communication purpose for RCM Activities..</t>
  </si>
  <si>
    <t>FIRE</t>
  </si>
  <si>
    <t>Improvement of Public Bus Terminal (Building), Brgy. Triangulo</t>
  </si>
  <si>
    <t>PURCHASE OF OFFICE EQUIPMENT</t>
  </si>
  <si>
    <t>For use at Bago City Hospital, Bago City (Laboratory Supplies) (RE-BID)</t>
  </si>
  <si>
    <t>Procurement of Infrastructure - Installation of Solar LED Street Light at Barangay San Isidro</t>
  </si>
  <si>
    <t>CO - CONSTRUCTION MATERIAL INVENTORY</t>
  </si>
  <si>
    <t>20KL007 (Goods)</t>
  </si>
  <si>
    <t>Supply and Delivery of ICT Equipment and Furniture &amp; Fixtures to be used in Different Offices, Naujan, Oriental Mindoro</t>
  </si>
  <si>
    <t>Purchase of Medicines and Dental Equipment</t>
  </si>
  <si>
    <t>SUPPLY AND DELIVERY</t>
  </si>
  <si>
    <t>Construction Of Prk. Hibong Water Supply System, Level III, Brgy. Don Jorge Araneta, Bago City (RE-BID)</t>
  </si>
  <si>
    <t>Procurement of Infrastructure - Rehabilitation of Barangay Road from Sitio Cabanbanan, Barangay Dapnan to Sitio Lapaz &amp; Sitio Calinaban, Barangay San Isidro</t>
  </si>
  <si>
    <t>Construction of 1 unit Health Station at Barangay Cambayobo, Calatrava Negros Occidental</t>
  </si>
  <si>
    <t>For use at Bago City Hospital, Bago City (Medical Supply) (RE-BID)</t>
  </si>
  <si>
    <t>For pump stations treatment (1,2,3,4,6,7,8, &amp; 9)</t>
  </si>
  <si>
    <t>Repost:  DISPOSAL BY SALE OF VARIOUS UNSERVICEABLE PROPERTIES, SCRAP AND VARIOUS VEHICLES AND HEAVY EQUIPMENT ON AN "AS-IS AND WHERE- IS" BASIS.</t>
  </si>
  <si>
    <t>20CB-GSC-304	PURCHASE OF FUEL &amp; LUBRICANTS (RE-BID)</t>
  </si>
  <si>
    <t>For  Widening of Road &amp; Construction of Drainage System along Sarmiento Street (Sarmiento St. Extension), Brgy. Poblacion, Bago City (RE-BID)</t>
  </si>
  <si>
    <t>Fencing of Multi-Purpose Hall</t>
  </si>
  <si>
    <t>IMPROVEMENT OF BASKETBALL COURT (PHASE II) AT PARADAHAN II</t>
  </si>
  <si>
    <t>Repair of Submersible Motor Pump</t>
  </si>
  <si>
    <t>Construction of Orani Fire Station, Bataan</t>
  </si>
  <si>
    <t>PBG-2020-04-10 PROCUREMENT OF OFFICE SUPPLIES FOR 1ST QUARTER CY 2020.</t>
  </si>
  <si>
    <t>Procurement on Delivery of Materials for the Improvement of Multi Purpose Building</t>
  </si>
  <si>
    <t>Concreting of Barangay Agpangi - Barangay Bagacay, Farm to Market Road</t>
  </si>
  <si>
    <t>20CB-GSC-305	REPAIR OF MOTOR VEHICLE (RE-BID)</t>
  </si>
  <si>
    <t>Supply and Delivery of Fuel and Lubricants</t>
  </si>
  <si>
    <t>Package 1: Various MPP, Taggay &amp; Ballayangon, Pinukpuk</t>
  </si>
  <si>
    <t>For use of the City Agriculturist Office Palay Seed Subsidy Project (RE-BID)</t>
  </si>
  <si>
    <t>For Bago City PNP use, Bago City (RE-BID)</t>
  </si>
  <si>
    <t>Procurement of Infrastructure - Road Opening at Ikog Buaya, Sitio Nonocan</t>
  </si>
  <si>
    <t>COMPLETION OF PLARIDEL COMMUNITY HOSPITAL BLDG.(PHASE VII)</t>
  </si>
  <si>
    <t>Construction of 1.2m width x 18m length Steel Footbridge at Prk. Balatong, Brgy Ilijan, Bago City (RE-BID)</t>
  </si>
  <si>
    <t>Package 2: Various Concrete Pathway, Taggay &amp; Limos, Pinukpuk</t>
  </si>
  <si>
    <t>Road Opening of Brgy. Maitom – Maticdum Farm to Market Road (Tandag City, Surigao del Sur   ).</t>
  </si>
  <si>
    <t>Renovation of Capitol Multi-purpose building 1 and building 2 (Capitol Hills, Brgy. Telaje, Tandag City, Surigao del Sur  ).</t>
  </si>
  <si>
    <t>Supply and Installation of Streetlights</t>
  </si>
  <si>
    <t>Training package of Security, body guard and traffic enforcers of Mauban, Quezon.</t>
  </si>
  <si>
    <t>CONSTRUCTION OF 24 UNITS STREETLIGHTS AT TANAUAN</t>
  </si>
  <si>
    <t>Rehabilitation of Covered Court at Inocencio Lucasan Elementary School, Brgy Abuanan, Bago City (RE-BID)</t>
  </si>
  <si>
    <t>RFQ / 20-06-0274 / PROCUREMENT OF MARINE PLYWOOD AND 8 OTHER LINE ITEMS</t>
  </si>
  <si>
    <t>FURNISHING OF LABOR AND MATERIALS FOR THE CLEANING/CLEARING OF WATERLILIES, LOGS, WASTES AND OTHER DEBRIS AT AGUS 7  HEP DAM, SPILLWAY &amp; INTAKE</t>
  </si>
  <si>
    <t>Procurement on Delivery of Materials for Improvement of Day Care Center</t>
  </si>
  <si>
    <t>Supply and delivery of labor and materials for Various Security Uniforms and Shirts</t>
  </si>
  <si>
    <t>Completion of Halfway House Building (Dayuan, Tago, Surigao del Sur  ).</t>
  </si>
  <si>
    <t>Construction of Bantayan Park Water Supply System, Brgy Poblacion, Bago City (RE-BID)</t>
  </si>
  <si>
    <t>Concreting of Barangay Malatas - Barangay Telim, Farm to Market Road</t>
  </si>
  <si>
    <t>purchase aircon</t>
  </si>
  <si>
    <t>Supply and delivery of Materials for Improvement of Multi-Purpose Hall in Brgy. Bato, Mauban, Quezon</t>
  </si>
  <si>
    <t>SENIOR'S WALKATHON 2020</t>
  </si>
  <si>
    <t>Construction of 1 unit Day Care Center at Barangay Cambayobo, Calatrava Negros Occidental</t>
  </si>
  <si>
    <t>20CB-GSC-307-PURCHASE OF IMAGE SCANNER (RE-BID)</t>
  </si>
  <si>
    <t>CONSTRUCTION OF EVACUATION CENTER</t>
  </si>
  <si>
    <t>FABRICATION OF ELEVATED WATER TANK</t>
  </si>
  <si>
    <t>20CB-GSC-306	PURCHASE OF OFFICE EQUIPMENT (RE-BID)</t>
  </si>
  <si>
    <t>Supply and Delivery of Desktop Computer, AVR and Colored Printer ( F-008-0373-20 )</t>
  </si>
  <si>
    <t>IMPROVEMENT &amp; REPAIR OF CANAL LINING AT DAANG AMAYA I</t>
  </si>
  <si>
    <t>Procurement of  CCTV Camera</t>
  </si>
  <si>
    <t>ITDI-200337 - SUPPLY AND DELIVERY OF VITAMIN C WITH ZINC</t>
  </si>
  <si>
    <t>PROCUREMENT OF EMERGENCY RESCUE MOTOR VEHICLE</t>
  </si>
  <si>
    <t>AMAD-20-1302(R1): Procurement of Office Supplies to be used at AMAD Office</t>
  </si>
  <si>
    <t>Supply of Materials, Tailoring and delivery of COD Working Uniforms</t>
  </si>
  <si>
    <t>ITDI-200338 - SUPPLY OF LABOR AND MATERIALS FOR THE COMPREHENSIVE PREVENTIVE MAINTENANCE SERVICE FOR ADMATEL GENERATOR SET</t>
  </si>
  <si>
    <t>various water connection fittings</t>
  </si>
  <si>
    <t>ITDI-200336 - SUPPLY AND DELIVERY OF VARIOUS LABORATORY SUPPLIES</t>
  </si>
  <si>
    <t>Purchase of Blood Chemistry Supplies for Diagnostic Center of this municipality</t>
  </si>
  <si>
    <t>CONSTRUCTION OF MONUMENT PEDESTAL AT BIWAS AND JULUGAN I</t>
  </si>
  <si>
    <t>Purchase and Delivery of Office Equipment and Materials</t>
  </si>
  <si>
    <t>Supply and Delivery of Various size of Ci Butterfly Valve and Various Pumps ( D-032-0284-20 )</t>
  </si>
  <si>
    <t>ITDI-200326 - SUPPLY AND DELIVERY OF HPLC COLUMN</t>
  </si>
  <si>
    <t>PR-2020-06-04</t>
  </si>
  <si>
    <t>Improvement of Hummaning-Puulen Pathway</t>
  </si>
  <si>
    <t>Procurement of  CCTV Camera Procurement of  supplies fo Clean &amp; Beautification</t>
  </si>
  <si>
    <t>RFQ-SeniorHS JUNE2020 Office Supplies</t>
  </si>
  <si>
    <t>ITDI-200325 - SUPPLY AND DELIVERY OF TELEVISION</t>
  </si>
  <si>
    <t>WIDENING OF MUNICIPAL STREETS  AT PUROK RIVERSIDE, BRGY. ROBLES</t>
  </si>
  <si>
    <t>BARANGAY DAY</t>
  </si>
  <si>
    <t>Concreting of Roads (Shoulders), Along Highway Road, Caritan Centro, Tuguegarao City</t>
  </si>
  <si>
    <t>ITDI-200206 - SUPPLY AND DELIVERY OF VARIOUS LABORATORY SUPPLIES</t>
  </si>
  <si>
    <t>AIR CONDITIONING UNIT</t>
  </si>
  <si>
    <t>PR-2020-06-03</t>
  </si>
  <si>
    <t>Procurement of electrical wirings and water system materials for use of the 5 SUSIMO Buildings of DENR-INREMP Kalinga</t>
  </si>
  <si>
    <t>Procurement of Electrical Supplies &amp; St.Lights Procurement of  CCTV Camera</t>
  </si>
  <si>
    <t>RFQ-2020-06-01-SH</t>
  </si>
  <si>
    <t>Strengthening of Existing 100MMØ PVC pipe Distribution Main along Burgos St., Dagupan City</t>
  </si>
  <si>
    <t>Repair/Improvement of Slaughterhouse at Barangay Boclod, San Jose, Camarines Sur</t>
  </si>
  <si>
    <t>ITDI-200314 - SUPPLY AND DELIVERY OF CONTINUOUS FORMS</t>
  </si>
  <si>
    <t>ITDI-200294 - SUPPLY AND DELIVERY OF LF38 OFFICE DESK</t>
  </si>
  <si>
    <t>RFQ-2020-06-04</t>
  </si>
  <si>
    <t>PR-2020-06-02-SH</t>
  </si>
  <si>
    <t>ITB No. 20-23 Procurement of Drugs and Medicines</t>
  </si>
  <si>
    <t>KAINANG BAYAN</t>
  </si>
  <si>
    <t>SANITARY EQUIPMENT</t>
  </si>
  <si>
    <t>DISASTER REHABILITATION AND RECOVERY, PURCHASE OF RESCUE VEHICLE</t>
  </si>
  <si>
    <t>Procurement of Government Vehicle</t>
  </si>
  <si>
    <t>RFQ-2020-06-03-SH</t>
  </si>
  <si>
    <t>ITDI-200297 - SUPPLY AND DELIVERY OF N-HEPTANE</t>
  </si>
  <si>
    <t>ITDI-200296 - SUPPLY AND DELIVERY OF VARIOUS OFFICE SUPPLIES</t>
  </si>
  <si>
    <t>SUPPORT TO ECO-TOURISM PROMOTION FOR SUSTAINABLE LIVELIHOOD &amp; EMPLOYMENT</t>
  </si>
  <si>
    <t>SAYAWAN SA KALYE</t>
  </si>
  <si>
    <t>SANITARY AND CLEANING SUPPLIES</t>
  </si>
  <si>
    <t>Construction of Masonry Drainage Structure, Along Highway Road, Caritan Centro, Tuguegarao City</t>
  </si>
  <si>
    <t>WATER METER 1/2</t>
  </si>
  <si>
    <t>PASEO NG MGA BANDA</t>
  </si>
  <si>
    <t>additional CCTV</t>
  </si>
  <si>
    <t>Construction of Multi-Purpose Building, Centro 10, Tuguegarao City, Cagayan</t>
  </si>
  <si>
    <t>Procurement of Polo Shirts and T-Shirts with Print for LGU-Naga</t>
  </si>
  <si>
    <t>(JAE-CEDS) LABORATORY/ANALYTICAL SERVICES</t>
  </si>
  <si>
    <t>CLEANING MATERIALS</t>
  </si>
  <si>
    <t>PURCHASE OF MEDALS</t>
  </si>
  <si>
    <t>AB-2020-0012: Supply and Delivery of   Personal Protective Equipment (PPE) for use of Ilocos Norte 2nd District Engineering Office</t>
  </si>
  <si>
    <t>Repair/Maintenance of DPWH Building Bolo Field Office, Bokod, Benguet</t>
  </si>
  <si>
    <t>Supply &amp; delivery of 60 Pcs. Stapler w/ remover &amp; other items;PR No. 20-1235 dated April 16, 2020</t>
  </si>
  <si>
    <t>Construction of Masonry Drainage Structure, Along Reyno Street, Caritan Centro, Tuguegarao City</t>
  </si>
  <si>
    <t>20PC0052 RE-CONSTRUCTION OF THE APAYAO LIVELIHOOD TRAINING CENTER LOCATED AT APAYAO NATIONAL GOVERNMENT CENTER, LUNA, APAYAO</t>
  </si>
  <si>
    <t>Concreting of Local Roads at Barangay Tipan, Naga, Zamboanga Sibugay</t>
  </si>
  <si>
    <t>BARANGAY DAY PARADE</t>
  </si>
  <si>
    <t>20GAB0003: Supply and Delivery of Thermoplastic Paint (White) and Thermoplastic Paint (Yellow)  for use Along National Roads Within Ilocos Norte 2nd District Engineering Office</t>
  </si>
  <si>
    <t>Clustered Repair/Maintenance of DPWH Building, (Poyopoy Marcos Highway Public Restroom, Taloy Sur and Baguio city Limit - Sto. Tomas Field Office), Tuba, Benguet</t>
  </si>
  <si>
    <t>REPAIR AND REHAB OF TABBAC (SLOPE PROTECTION AND REINFORCED CANAL), BULALACAO, MANKAYAN</t>
  </si>
  <si>
    <t>Clustered Repair/Maintenance of DOST Building, (Regional Office - CAR, Provincial Science &amp; Technology, Sericulture Building, and Training Center), Km. 6, La Trinidad, Benguet</t>
  </si>
  <si>
    <t>Clustered Repair/Maintenance of DPWH Building, (AES - Annex Building, AES - Planning and Repair Bay Building, AES - Utility Building, and Materials Quality Control Lab. Building Benguet I District Eng</t>
  </si>
  <si>
    <t>Supply &amp; Delivery of Materials to be used in the Rehabilitation of Evacuation Center in Different Barangays, Naujan, Oriental Mindoro</t>
  </si>
  <si>
    <t>Improvement/Rehabilitation of Barangay Bita Norte Child Development Center</t>
  </si>
  <si>
    <t>20NF0077: CLUSTER: A. INSTALLATION/APPLICATION OF ROAD SIGN AND ROAD SAFETY DEVICES ALONG ALL NATIONAL ROAD, SIARGAO ISLAND, SURIGAO DEL NORTE B. REPAIR/MAINTENANCE OF MAASIN BRIDGE AT JCT. OSMENA-PIL</t>
  </si>
  <si>
    <t>Repair/Maintenance of Flood Control along Kennon Road, K0216+120, Camp 1, Tuba, Benguet</t>
  </si>
  <si>
    <t>improvement of multi purpose building</t>
  </si>
  <si>
    <t>PROCUREMENT OF LAN ADAPTER TYPE-C</t>
  </si>
  <si>
    <t>CONSTRUCTION/IMPROVEMENT OF REINFORCED BOX CULVERT @ SO. NAGSIMBAWAAN BARANGAY CACABUGAOAN</t>
  </si>
  <si>
    <t>Rebidding: 10 lgths Deformed Steel Bars (16mmØ x 6.0m) and other items for 1st Revision-Continuance concreting of Dumaguete Balugo road from existing PCCP near Buling”s Residence connecting existing P</t>
  </si>
  <si>
    <t>CONSTRUCTION/REHABILITATION/IMPROVEMENT OF ROAD- SO. TALINGKAPOR BRGY. STA MARIA EAST, SNP.</t>
  </si>
  <si>
    <t>20NF0078: INSTALLATION OF ROAD SAFETY DEVICES AND ROAD SIGNAGES ALONG DAPA-UNION-GENERAL LUNA ROAD (S00366SG)</t>
  </si>
  <si>
    <t>RFQ (20-06-028) Enteral Nutrition-Semi Elemental Nutrition 227 g Modular protein Formula</t>
  </si>
  <si>
    <t>SUPPLY AND DELIVERY OF DRUGS &amp; MEDICINES 2ND POSTING</t>
  </si>
  <si>
    <t>20CB-GSC-308	PURCHASE OF NOTEBOOK AND DESKTOP COMPUTERS</t>
  </si>
  <si>
    <t>Purchase of Materials for the Construction of Multi-Purpose Hall of Brgy. Pula</t>
  </si>
  <si>
    <t>SUPPLY AND DELIVERY OF CONSOLIDATED MEDICAL, DENTAL &amp; LAB. SUPPLIES  2ND POSTING</t>
  </si>
  <si>
    <t>RFQ (20-06-029) Various Medical Supplies</t>
  </si>
  <si>
    <t>Quotation - Provision of consultancy services of Physician</t>
  </si>
  <si>
    <t>RFQ (20-05-097) Various Laboratory Reagents</t>
  </si>
  <si>
    <t>MG-A5M20-091 ( UPGRADING OF PC HIGH BAY LIGHTING SYSTEM )</t>
  </si>
  <si>
    <t>PROCUREMENT OF FIRST AND SECOND QUARTER VARIOUS OFFICE SUPPLIES</t>
  </si>
  <si>
    <t>20PC0059 CONSTRUCTION/REHABILITATION OF WATER SUPPLY /SEPTAGE AND SEWERAGE/RAIN WATER COLLECTORS-RAIN WATER COLLECTORS IN PUBLIC FACILITIES</t>
  </si>
  <si>
    <t>procurement of motorcycle 125 cc</t>
  </si>
  <si>
    <t>20CB-GSC-311 PURCHASE OF DRUGS AND MEDICINES FOR BARANGAYAN PROGRAM (RE-BID)</t>
  </si>
  <si>
    <t>Procurement of Hospital Beds 3 Cranks Panel Type Complete Set w/6  “Bed Mattress, side rails for the use of Dr. Rafael S. Tumbokon Memorial Hospital-EEDD, Kalibo, Aklan/ITB no: 2020-335</t>
  </si>
  <si>
    <t>CONSTRUCTION OF DRAINAGE SYSTEM @ ZONE 6-8, BRGY. ABAR 1ST, SAN JOSE CITY</t>
  </si>
  <si>
    <t>Purchase of Fixed glass Analogue, Sliding doors and Hanging Cabinet for Brgy. Salay Mangaldan,Pangasinan</t>
  </si>
  <si>
    <t>Purchase of office Equipment, Computer Set and Printer Machine with Scanner for Brgy. Salay Mangaldan,Pangasinan</t>
  </si>
  <si>
    <t>20CB-GSC-310	PURCHASE OF DIESEL AND GASOLINE FOR CVMO</t>
  </si>
  <si>
    <t>RFQ / 20-06-0273 / PROCUREMENT OF CERAMIC FLOOR TILES, 30 X 60CM AND 7 OTHER LINE ITEMS</t>
  </si>
  <si>
    <t>IMPROVEMENT OF ST. LIGHTS AT BRGY. CABUGAO, BACUAG, SDN</t>
  </si>
  <si>
    <t>RFQ / 20-06-0269 / PROCUREMENT OF DWARF SANTAN MEDIUM SIZE AND 14 OTHER LINE ITEMS</t>
  </si>
  <si>
    <t>Rebidding: 45 cu.m concrete premix (3000 psi @ 28 days) cf: 9 bags/cu.m for Barangay Junob-Continuance of road concreting Babajuba road (from end of concrete road to Babajuba Elementary School.</t>
  </si>
  <si>
    <t>Continuation of Balangbang Evacuation Gym</t>
  </si>
  <si>
    <t>Cluster H8-2020</t>
  </si>
  <si>
    <t>supply and delivery of construction materials</t>
  </si>
  <si>
    <t>REHAB AND IMPROVEMENT OF GADAGAD-GUIWENG BRGY ROAD (GROUTED RIPRAP), SAPID, MANKAYAN</t>
  </si>
  <si>
    <t>20CB-GSC-309	PURCHASE OF OFFICE EQUIPMENT</t>
  </si>
  <si>
    <t>RFQ (20-06-023) Opthalmology Supplies</t>
  </si>
  <si>
    <t>Siganid (Buras) Production (DOLE-DILEEP), Brgy. Ipil, Surigao City</t>
  </si>
  <si>
    <t>SUPPLY AND DELIVERY OF MEDICAL, DENTAL &amp; LAB. SUPPLIES 2ND POSTING</t>
  </si>
  <si>
    <t>Purchase of Electrical Materials for Barangay Alitaya Mangaldan,Pangasinan</t>
  </si>
  <si>
    <t>Rehab of Amayao CIS</t>
  </si>
  <si>
    <t>IMPROVEMENT OF ROAD, SAN JUAN</t>
  </si>
  <si>
    <t>BPSU:AC-DEAN Laboratory Supplies(Food) BSA &amp; BTVTE Aca Bldg.</t>
  </si>
  <si>
    <t>PROJ. 595 - C.O 2020</t>
  </si>
  <si>
    <t>Labor and Materials for Construction of 18 units Streetlights  at Brgy Guesang Mangaldan, Pangasinan</t>
  </si>
  <si>
    <t>Supply and Delivery of One Lot Kitchen Wares and Appliances ITB # 2020-153</t>
  </si>
  <si>
    <t>PROCUREMENT OF LABORATORY SUPPLIES FOR PANTALEON G.GOTLADERA MEMORIAL HOSPITAL</t>
  </si>
  <si>
    <t>Supply and Delivery of Various Laboratory Supplies, PR# 2020-06-0315 et al.</t>
  </si>
  <si>
    <t>Continuation of Pangngad-Malibo Pathway</t>
  </si>
  <si>
    <t>Office Supplies, Consumables, Janitorial Supplies, Electrical Supplies and PPE Supplies for the 2nd Quarter</t>
  </si>
  <si>
    <t>REHAB/IMPROVEMENT AND CONSTRUCTION OF SLOPE PROTECTION AND DRAINAGE CANAL (PHASE I)</t>
  </si>
  <si>
    <t>Supply and Delivery of One Lot Office Supplies ITB # 2020-152</t>
  </si>
  <si>
    <t>Cluster P17-2020</t>
  </si>
  <si>
    <t>Lot 1 (Lucio Vivero CS)-Bid Docs_2020 QRF-Repair - Tacloban City</t>
  </si>
  <si>
    <t>Construction of Day Care Center Phase 1</t>
  </si>
  <si>
    <t>procurement of double cab truck (garbage truck)</t>
  </si>
  <si>
    <t>Bid No. 20-0254 - PROCUREMENT OF FOOD SUPPLIES - USE FOR MEO/MOTORPOOL (H.E OPERATORS AT CARAGAN AREA)</t>
  </si>
  <si>
    <t>Procurement of Various Agricultural Inputs and Post-Harvest Facilities for Technology Demonstration and Post-Harvest Projects Implementation under the National Fisheries Program for CY 2020</t>
  </si>
  <si>
    <t>Repair of Three (3) C.R. at Ospital ng Tagaytay, Brgy. Kaybagal South, Tagaytay City</t>
  </si>
  <si>
    <t>Rehab of Arjub-Aggihaw CIS</t>
  </si>
  <si>
    <t>Procurement of Various USB Flash Drive under IB No. 2020-210</t>
  </si>
  <si>
    <t>Rebidding: 36 cu.m Coarse Aggregates (2” max. size) and other items for continuance concreting of Vicinal road in Makugihon at Barangay Talay.</t>
  </si>
  <si>
    <t>Rebidding: 11 lgths Deformed Steel Bar (16mmØ x 6.0m) and other items for Barangay Junob-continuance of road concreting Babajuba road (from end of concrete road to Babajuba Elementary School.</t>
  </si>
  <si>
    <t>CONSTRUCTION OF DRAINAGE SYSTEM @ ZONE 9, BRGY. ABAR 1ST, SAN JOSE CITY</t>
  </si>
  <si>
    <t>Construction of Fujajagi Footbridge</t>
  </si>
  <si>
    <t>Supply of Materials for the Repair Parts of M &amp; R: Communication Equipment of LMSs</t>
  </si>
  <si>
    <t>Cluster P16-2020</t>
  </si>
  <si>
    <t>20DI0115-Construction of Multi – Purpose Building (Barangay Hall Annex), Brgy. Canlubang, Calamba City, Laguna</t>
  </si>
  <si>
    <t>Rehab. of Irrigation Canals w/ Transfer Pump - Ambugat-Bangbangar-Subadi Sur</t>
  </si>
  <si>
    <t>ELECTRICAL SUPPLIES</t>
  </si>
  <si>
    <t>IMPROVEMENT OF FARM TO MARKET ROAD, LUCOG</t>
  </si>
  <si>
    <t>Improvement of Cadaver Holding Area at Ospital ng Tagaytay, Brgy. Kaybagal South, Tagaytay City</t>
  </si>
  <si>
    <t>Purchase of construction materials used for the construction of two storey PWD &amp; seniior citizens training center (phase-1)</t>
  </si>
  <si>
    <t>supply  and delivery of construction materials</t>
  </si>
  <si>
    <t>Construction of Flood Control (Stone Masonry) - Cadacad</t>
  </si>
  <si>
    <t>Continuation of Mongol Potable Water System</t>
  </si>
  <si>
    <t>Rehab. of Water System - Lucaban</t>
  </si>
  <si>
    <t>Bid No. 20-0255 - PROCUREMENT OF FURNITURE &amp; FIXTURES - RADIO COMMUNICATION SERVICES OFFICE</t>
  </si>
  <si>
    <t>Procurement of Thermal Printer Card &amp; Printer Ribbon for F+M Family Medical Card for Indigents Project, Province of Aklan/ITB no: 2020-333</t>
  </si>
  <si>
    <t>SUPPLY &amp; DELIVERY OF VARIOUS MATERIALS OF CALAGUAS DPP</t>
  </si>
  <si>
    <t>REPAIR AND REHAB OF TABBAC (SLOPE PROTECTION AND REINFORCED CANAL), MANKAYAN , BENGUET</t>
  </si>
  <si>
    <t>Rehab of Holang Water system</t>
  </si>
  <si>
    <t>Continuation of the Construction Loob-Liwo FMR</t>
  </si>
  <si>
    <t>Concreting of Farm to Market Road (Roma Norte-Batu Road)</t>
  </si>
  <si>
    <t>Purchase of Police Stations Ammunition for Proficiency Firing</t>
  </si>
  <si>
    <t>IMPROVEMENT OF WATERWORKS SYSTEM, BALANI, LUCOG</t>
  </si>
  <si>
    <t>Retaining Wall with Fence and Stairs Access at Tagaytay City National High School, Brgy. Mendez Crossing East, Tagaytay City</t>
  </si>
  <si>
    <t>Construction of Barangay Hand Washing Counter for Covid-19</t>
  </si>
  <si>
    <t>Installation of Office Divider/Cubicle-Glass &amp; Aluminum at City Planning &amp; Development Office, Tagaytay City Hall</t>
  </si>
  <si>
    <t>Cluster H9-2020</t>
  </si>
  <si>
    <t>Supply and Delivery of 6X6 Saddam Truck Rescue Vehicle (Surplus)</t>
  </si>
  <si>
    <t>2LSSM2020A-144 Office Supplies</t>
  </si>
  <si>
    <t>Purchase of good commodities used for different offices (bulk bidding)</t>
  </si>
  <si>
    <t>CONSTRUCTION OF AM-AM, EVACUATION CENTER (PHASE I), BALILI, MANKAYAN, BENGUET</t>
  </si>
  <si>
    <t>Procurement of Brand New Passenger Van</t>
  </si>
  <si>
    <t>Acquisition Of Supplies</t>
  </si>
  <si>
    <t>Procurement of Brgy. Disaster Vehicle</t>
  </si>
  <si>
    <t>Supply and Delivery of Handset Radio Transceiver</t>
  </si>
  <si>
    <t>Contract ID No. 20NC0121 - Repair/Maintenance of Bank Protection along Butuan City-Talacogon-La Paz-Loreto-Sta. Josefa Road, Ihawan Bridge (B01631MN), k1401+126 – k1401+240, Loreto, Agusan del Sur</t>
  </si>
  <si>
    <t>2LSSM2020A-146 Office Supplies</t>
  </si>
  <si>
    <t>Improvement of Multi-Purpose Hall - Lucaban</t>
  </si>
  <si>
    <t>Rebidding: 24 cu.m Sand (Std. specs) and other items for road Concreting at Purok Kalubihan fronting the residence of Nemesio Larena towards palm and pines street at Barangay Daro.</t>
  </si>
  <si>
    <t>Procurement of IT Equipment for the use of Dr. Rafael S. Tumbokon Memorial Hospital-EEDD, Kalibo, Aklan/ITB no: 2020-336</t>
  </si>
  <si>
    <t>PROCUREMENT OF SNACKS</t>
  </si>
  <si>
    <t>Supply of Materials for the Repair Parts of M &amp; R: Power System of LMSs</t>
  </si>
  <si>
    <t>20DI0116- Repair/ Rehabilitation/ Improvement of Multi – Purpose Building, Brgy. Masaya, Bay, Laguna</t>
  </si>
  <si>
    <t>Purchase of construction materials used for the improvement of bongga mountain resort</t>
  </si>
  <si>
    <t>SAAD-20-1708(R1): Procurement of One Unit (1) Branded Smart TV to be used in SAAD presentation of reports, meetings, orientation, consultations and other related activities</t>
  </si>
  <si>
    <t>SECURITY SERVICES REQUIREMENT</t>
  </si>
  <si>
    <t>B20200206 - REHAB. OF FLORIDA-SUAON-GUPITAN PROVINCIAL ROAD</t>
  </si>
  <si>
    <t>Construction of Livelihood &amp; Enterpreneur Center (Pasalubong Center)</t>
  </si>
  <si>
    <t>Rebidding: 30 cu.m Coarse Aggregates (2” max. size) and other items for Barangay Junob-continuance of road concreting Babajuba road (from end of concrete road to Babajuba Elementary School.</t>
  </si>
  <si>
    <t>INVITATION TO BID FOR THE PROPOSED CONSTRUCTION OF MULTI-PURPOSE BUILDING PHASE I AT BARANGAY SAN ISIDRO, VALENCIA CITY, BUKIDNON</t>
  </si>
  <si>
    <t>Rehab of Poblacion Water System</t>
  </si>
  <si>
    <t>VEHICLES</t>
  </si>
  <si>
    <t>2LSSM2020A-145 Office Supplies</t>
  </si>
  <si>
    <t>Rehab of Pinnang Mini-dam and CIS</t>
  </si>
  <si>
    <t>Purchase of Various Construction Materials and Supplies to be Used for the Expansion of School Canteen at MRPS South Regular, Molave East District</t>
  </si>
  <si>
    <t>PURCHASE OF ADDITIONAL RICE (25 KLS./BAG) FOR COVID-19 RELIEF GOODS.</t>
  </si>
  <si>
    <t>Supply and Delivery of Plastic Bag and Sacks, PR# 2020-03-0187 &amp; 0168</t>
  </si>
  <si>
    <t>Completion of Tanod Outpost</t>
  </si>
  <si>
    <t>Construction of Butubut Sur Civic Center</t>
  </si>
  <si>
    <t>3 sets Multistage Submersible Pump and Motor</t>
  </si>
  <si>
    <t>Improvement health Center/Extention of RHU</t>
  </si>
  <si>
    <t>Pag-IBIG Fund CHQ (Supply and Delivery of One (1) Unit Passenger Van Vehicle (PV))</t>
  </si>
  <si>
    <t>20JG0051 - rebid - Construction / Improvement of Access Roads leading to Seaports - Construction of Concrete Road Rebokon-Palaran-Tubopait-Sacbulan-Senior-Sagasan Road leading to San Pablo Port, Dumal</t>
  </si>
  <si>
    <t>B20200207 - CONST. OF 100 HOUSING UNITS AT BALAI PIG IMMIMANAN SITIO MASULONG, STO. NINO, TALAINGOD</t>
  </si>
  <si>
    <t>2LSSM2020A-147 Office Supplies</t>
  </si>
  <si>
    <t>JANITORIAL SERVICES REQUIREMENT</t>
  </si>
  <si>
    <t>2LSSM2020A-148 Office Supplies</t>
  </si>
  <si>
    <t>IMPROVEMENT/ REHABILITATION / UPGRADING OF SANITARY TOILET AND HYGIENE FACILITY FOR PUBLIC PLACES,PUBLIC MARKET, POBLACION, BACNOTAN, LA UNION</t>
  </si>
  <si>
    <t>20DI0117- Construction and/or Repair/ Rehabilitation of Multi – Purpose Building, Brgy. Tuntungin – Putho, Los Baños, Laguna</t>
  </si>
  <si>
    <t>Construction of Amoclang Water System</t>
  </si>
  <si>
    <t>PROJ. 838 - RRMF 2020</t>
  </si>
  <si>
    <t>Supply and Delivery of Fuel Tanker Truck Spare Parts</t>
  </si>
  <si>
    <t>2LSSM2020A-149 Office Supplies</t>
  </si>
  <si>
    <t>Supply and Delivery of Office and Housekeeping Supplies for Stock at GSO</t>
  </si>
  <si>
    <t>Improvement of Bet-ang Farmers Multi-purpose Pavement</t>
  </si>
  <si>
    <t>Construction of Ihob Footbridge</t>
  </si>
  <si>
    <t>Supply and Delivery of Electrical Wire and Eye Terminal</t>
  </si>
  <si>
    <t>Procurement of IT Equipment, Supplies, Peripherals &amp; Devices</t>
  </si>
  <si>
    <t>Rehab of Alla' Attaban CIS</t>
  </si>
  <si>
    <t>BALLPEN, RED AND 5 LINE ITEMS</t>
  </si>
  <si>
    <t>20H00061 - Cluster Project: Construction of Rain Water Supply/Septage and Sewerage/Rain Water Collectors-Rain Water Collectors in Public Facilities-19 Units</t>
  </si>
  <si>
    <t>Improvement of Almeida Farmers Multi-purpose Pavement</t>
  </si>
  <si>
    <t>Improvement of Bet-ang Farmers Multi-purpose Building</t>
  </si>
  <si>
    <t>Construction of Pang-ot View Deck</t>
  </si>
  <si>
    <t>2LSSM2020A-150 Other Supplies and Materials</t>
  </si>
  <si>
    <t>SUPPLY &amp; DELIVERY OF VARIOUS MATERIALS(CONTAINMENT BASIN) OF MASBATE MINI GRID</t>
  </si>
  <si>
    <t>Construction of Two (2) Storey Men’s Dormitory Building at ESSU Salcedo Campus Re-Bidding</t>
  </si>
  <si>
    <t>REPAIR &amp; MAINTENANCE MOTOR VEHICLE (CEISSAFP-PHP70,200.00)</t>
  </si>
  <si>
    <t>Purchase of ICT equipment used for different offices (bulk bidding)</t>
  </si>
  <si>
    <t>YDF 2020</t>
  </si>
  <si>
    <t>PURCHASE OF FUEL FOR PACIFIC INTERLOCAL HEALTH ZONE</t>
  </si>
  <si>
    <t>Construction Materials  for BRIGADA Skwela 2020</t>
  </si>
  <si>
    <t>Procurement of Information Technology and Accessories under P.R.Nos. 1593-2020(Sangguniang Panlungsod) and 1637-2020(Sangguniang Panlungsod-Augmentation for Legislative  Services)-1Lot</t>
  </si>
  <si>
    <t>Invitation to bid for Rehabilitation of Manpower Development &amp; Multi-Purpose Center</t>
  </si>
  <si>
    <t>Rehabilitation of Multi-Purpose Building</t>
  </si>
  <si>
    <t>Improvement of Sector 07 Camiling Farm to Market Road</t>
  </si>
  <si>
    <t>Provision of seeds and fertilizers for the conduct of Farmer-Scientists Training Program Phase II or the On-Farm Experimentation and Technology Adoption</t>
  </si>
  <si>
    <t>2LSSM2020A-151 Other Supplies and Materials</t>
  </si>
  <si>
    <t>Improvement of Pa-o Farmers Multi-purpose Building</t>
  </si>
  <si>
    <t>Supply and Installation of Renewable, Clear Solar Powered Streetlights (50 watts LED-Integrated Solar Streetlights) Along  Brgys. San Juan &amp; San Andres Road,, Alaminos, Laguna</t>
  </si>
  <si>
    <t>PROCUREMENT OF DIESEL</t>
  </si>
  <si>
    <t>PROCUREMENT OF MEDICAL/SURGICAL/LABORATORY/DENTAL &amp; X-RAY SUPPLIES FOR USE AT KALINGA PROVINCIAL HOSPITAL, 20-05-940</t>
  </si>
  <si>
    <t>ADDITIONAL SUPPLIES FOR COVID-19 LIGTAS CENTER</t>
  </si>
  <si>
    <t>Improvement of Municipal Mini Museum</t>
  </si>
  <si>
    <t>INVITATION TO BID FOR THE SUPPLY AND DELIVERY OF 2 UNITS BRANDNEW UTILITY VAN FOR EFFICIENT DELIVERY OF SERVICES TO THE CONSTITUENT OF THE CITY GOVERNMENT OF VALENCIA, BUKIDNON</t>
  </si>
  <si>
    <t>2LSSM2020A-152 Other Supplies and Materials</t>
  </si>
  <si>
    <t>Procurement of Clothes and Supplies</t>
  </si>
  <si>
    <t>Purchase of fixtures used for different offices (bulk bidding)</t>
  </si>
  <si>
    <t>PROCUREMENT OF INFORMATION AND COMMUNICATION TECHNOLOGY EQUIPMENT</t>
  </si>
  <si>
    <t>B20200208 - CONST. OF 100 HOUSING UNITS AT BALAI LUPOWANAN AT SITIO NASILABAN, PALMA GIL, TALAINGOD, DDN</t>
  </si>
  <si>
    <t>Procurement for the Supply and Delivery of Forty Four (44) units Pedicab and One (1) unit Fabricated Side Car with Signage, Public Employment Service Office, Barugo, Leyte</t>
  </si>
  <si>
    <t>Improvement of Sector 7 Calungbuyan Farm to Market Road</t>
  </si>
  <si>
    <t>CONSTRUCTION OF LOCAL ROAD</t>
  </si>
  <si>
    <t>20DI0120- Replacement of Cambantoc Bridge, Brgy. Paciano Rizal,  Bay, Laguna</t>
  </si>
  <si>
    <t>IMPROVEMENT/ REHABILITATION / UPGRADING OF SANITARY TOILET AND HYGIENE FACILITY FOR PUBLIC PLACES, PUBLIC MARKET NORTH, POBLACION, BACNOTAN, LA UNION</t>
  </si>
  <si>
    <t>INSTALLATION OF SOLAR STREET LIGHTS, JUNCTION NATIONAL ROAD, FATIMA, POBACION DEL NORTE, TERMINAL, POBLACION DEL SUR, VILLABA, LEYTE SOURCE OF FUND: 20% EDF 2020</t>
  </si>
  <si>
    <t>2020-100 Clearing and Widening of Road Brgy Diaz</t>
  </si>
  <si>
    <t>Improvement of Sector 4&amp;5 Bungol Farm to Market Road</t>
  </si>
  <si>
    <t>RENT SERVICES</t>
  </si>
  <si>
    <t>PROCUREMENT OF DRUGS AND MEDICINES FOR USE AT KALINGA PROVINCIAL HOSPITAL, 20-05-804</t>
  </si>
  <si>
    <t>One (1) Unit 20KVA Uninterruptible Power Suply (UPS)</t>
  </si>
  <si>
    <t>Construction of Pa-o Farmers Multi-purpose Pavement</t>
  </si>
  <si>
    <t>PROCUREMENT OF TIRES FOR THE REPAIR AND MAINTENANCE OF TRANSPORTATION EQUIPMENT</t>
  </si>
  <si>
    <t>Purchase of office equipment used for different offices (bulk bidding)</t>
  </si>
  <si>
    <t>Purchase of office supplies for repair &amp; maintenance ICT used for different offices (bulk bidding)</t>
  </si>
  <si>
    <t>TELEPHONE MOBILE EXPENSE  (OJ7-PHP57,300.00)</t>
  </si>
  <si>
    <t>Procurement of Disinfectants,  IB No. SB-2020-020</t>
  </si>
  <si>
    <t>Procurement of Agricultural Animals</t>
  </si>
  <si>
    <t>One (1) Lot High Energy Ball Mill Mixer</t>
  </si>
  <si>
    <t>REBIDDING ON THE PROVISION OF LABOR, MATERIALS, EQUIPMENT AND OTHER INCIDENTALS NEEDED FOR THE REHABILITATION OF BUNGAD DIVERSION DAM (DD) AT BRGY. ANGSET, CARASI, ILOCOS NORTE</t>
  </si>
  <si>
    <t>Improvement of Cemetery Road</t>
  </si>
  <si>
    <t>20CSAH01 Conduct of Soil Exploration and/or Geotechnical Investigation for Various Bridge Projects in the 2nd and 4th Legislative Districts of Pangasinan</t>
  </si>
  <si>
    <t>REPAIR AND IMPROVEMENT OF BARANGAY BINONGA-AN HEALTH STATION (BHS), BARANGAY BULI (BHS), BARANGAY CAWAYAN (BHS),BARANGAY DONA JUANA (BHS) AND BARANGAY MA-BAYBAY (BHS) (PACKAGE A)</t>
  </si>
  <si>
    <t>Procurement of Live Animals</t>
  </si>
  <si>
    <t>2LSSM2020A-154 Other Supplies and Materials</t>
  </si>
  <si>
    <t>PURCHASE OF SPARE PARTS WITH LABOR OF MUN. VEHICLE (NISSAN URVAN OV 9314)</t>
  </si>
  <si>
    <t>20GGI0033 - Installation of Nozzle Diesel Injector and Diagnostic System of Service Vehicle Ford Trekker Ranger H1-5788 w/ Plate No. SGF-634 assigned at the Quality Assurance Section, DPWH, Iloilo 4th</t>
  </si>
  <si>
    <t>2LSSM2020A-153 Other Supplies and Materials</t>
  </si>
  <si>
    <t>CawExt2020-001 Supply and Delivery of Materials for the Construction of Water System</t>
  </si>
  <si>
    <t>Drug &amp; Medicines</t>
  </si>
  <si>
    <t>PURCHASE OF PROPERTY, PLANT &amp; EQUIPMENT (PPE), SEMI-EXPENDABLE EQUIPMENT (ICT EQUIPMENT) AND FURNITURE AND FIXTURES TO BE USED BY VARIOUS OFFICES/PROGRAMS OF DSWD FO III FOR THE 1ST SEMESTER OF 2020</t>
  </si>
  <si>
    <t>Construction of Teacher Education Building, NIPSC, Estancia, Iloilo</t>
  </si>
  <si>
    <t>20DI0118- Rehabilitation of Multi – Purpose Building, Camp Vicente Lim, Brgy. Mayapa, Calamba, Laguna</t>
  </si>
  <si>
    <t>20CSA001: CCONSULTANCY SERVICES FOR THE CONDUCT OF FEASIBILITY STUDY OF PROPOSED CONSTRUCTION OF MISSING LINKS AND NEW ROADS CERVANTES (ILOCOS SUR) - BESAO-SAGADA (MT. PROVINCE) ROAD VIA LAYLAYA (REGI</t>
  </si>
  <si>
    <t>Materials for the Construction of Comfort Room (Phase 3)</t>
  </si>
  <si>
    <t>Ref. No. 2020-010 Proposed Repair and Refurbishment of HTREX Building Located at NHA Main Compound, Elliptical Road, Diliman, Quezon City</t>
  </si>
  <si>
    <t>Purchase of plumbing materials used for Rm water system.</t>
  </si>
  <si>
    <t>20DI0119- Construction/ Completion of Covered Court, Brgy. Aplaya, Sta. Rosa City, Laguna</t>
  </si>
  <si>
    <t>INSTALLATION OF GLASS PANELS FOR WINDOW TRANSACTION</t>
  </si>
  <si>
    <t>Supply and Delivery of Customized Polo Shorts, Long Sleeves, Notebook and Certificate Holder as per PR No. 2020-03-0221</t>
  </si>
  <si>
    <t>IMPROVEMENT/ REHABILITATION / UPGRADING OF SANITARY TOILET AND HYGIENE FACILITY FOR PUBLIC PLACES, PUBLIC MARKET SOUTH, BACNOTAN, LA UNION</t>
  </si>
  <si>
    <t>20DI0121- Construction of Flood Control Structure, Brgy. San Francisco, Biñan, Laguna</t>
  </si>
  <si>
    <t>Construction and Installation of Solar Street Lighting System in Barangays Poblacion, Luna and Caranglaan, Mabini, Pangasinan</t>
  </si>
  <si>
    <t>REBIDDING ON THE PROVISION OF LABOR, MATERIALS, EQUIPMENT AND OTHER INCIDENTALS NEEDED FOR THE REHABILITATION/IMPROVEMENT OF BIMOYAYONG DIVERSION DAM (DD) AT BRGY. VIRBIRA, CARASI, ILOCOS NORTE</t>
  </si>
  <si>
    <t>Bid No. 20-0262 - PROCUREMENT OF OFFICE SUPPLIES - MBO (MUNICIPAL BUDGET OFFICE)</t>
  </si>
  <si>
    <t>Construction of Pathway</t>
  </si>
  <si>
    <t>20DI0122- Construction of Flood Control Structure, Brgy. Loma, Biñan, Laguna</t>
  </si>
  <si>
    <t>Procurement of Construction Materials for the Construction of Multi-purpose Building</t>
  </si>
  <si>
    <t>REBIDDING ON THE PROVISION OF LABOR, MATERIALS, EQUIPMENT AND OTHER INCIDENTALS NEEDED FOR THE REHABILITATION/IMPROVEMENT OF PIMENTEL SMALL WATER IMPOUNDING PROJECT (SWIP) CANAL LINING AT BRGY. PIMENT</t>
  </si>
  <si>
    <t>PROCUREMENT OF TIRES, SPARE PARTS AND OIL FILTER FOR THE REPAIR AND MAINTENANCE OF TRANSPORTATION EQUIPMENT</t>
  </si>
  <si>
    <t>Repair of Public Market (5 Units Roll UP and Canal Gretings)</t>
  </si>
  <si>
    <t>Procurement of N95 Mask,  IB No. SB-2020-021</t>
  </si>
  <si>
    <t>ITDI-200367 - SUPPLY OF LABOR AND MATERIALS FOR THE REPAIR OF CENTRALIZED AIRCONDITIONING SYSTEM</t>
  </si>
  <si>
    <t>Negotiation of Supply &amp; Delivery of Various Drugs &amp; Medicine for January 1 to December 31, 2020</t>
  </si>
  <si>
    <t>Rehabilitation/ Improvement of Barangay Road</t>
  </si>
  <si>
    <t>PROCUREMENT OF OTHER SUPPLIES  AND MATERIALS</t>
  </si>
  <si>
    <t>Procurement of Preventive Maintenance Service (PMS) of one (1) Fuji Elevator (1 Year)</t>
  </si>
  <si>
    <t>CONSTRUCTION OF PERIMETER FENCE (MINI PLAYGROUND)</t>
  </si>
  <si>
    <t>IMPROVEMENT / REHABILITION OF EVACUATION CENTER, AGTIPAL, BACNOTAN, LA UNION</t>
  </si>
  <si>
    <t>CONSTRUCTION OF MULTI-PURPOSE PAVEMENT - BRGY. A. TUMAMAK, CABUNGAHAN, BANGKAL, CAMPUROG, CANQUIASON, CASILION, CATAGBACAN, FATIMA, LIBAGONG, NEW BALANAC, PAYAO, SAMBULAWAN, SUBA, TINGHUB, VILLABA, LE</t>
  </si>
  <si>
    <t>PROCUREMENT OF OTHER SUPPLIES AND MATERIALS</t>
  </si>
  <si>
    <t>SUPPLY AND DELIVERY OF ADDITIONAL CCTV CAMERA, CABLES &amp; OTHER MATERIALS</t>
  </si>
  <si>
    <t>2020-053, CONCRETING OF BARANGAY ROAD AT PUROK 3-PUROK 5, LAGUMBINGAN, MIDSAYAP, COTABATO</t>
  </si>
  <si>
    <t>Purchase of vehicle parts used for light &amp; heavy equipment.</t>
  </si>
  <si>
    <t>PROCUREMENT OF SOUND SYSTEM</t>
  </si>
  <si>
    <t>CONCRETING OF FMR located at KIMLAWIS, KIBLAWAN, DAVAO DEL SUR all in accordance to plans, specifications and scope of work and the Green Procurement Policy as adopted by Executive Order No. 30 series</t>
  </si>
  <si>
    <t>ITDI-200295 - SUPPLY AND DELIVERY OF ANALYTICAL BALANCE (DIGITAL)</t>
  </si>
  <si>
    <t>CONSTRUCTION OF PATHWALK AT BRGY. LANGKAAN II, CITY OF DASMARÑAS, CAVITE</t>
  </si>
  <si>
    <t>Construction/Concreting of Barangay Road Section in Barangays  Bacnit, Barlo, Cabanaetan, Luna, Patar and Tagudin</t>
  </si>
  <si>
    <t>REBIDDING ON THE PROVISION OF LABOR, MATERIALS, EQUIPMENT AND OTHER INCIDENTALS NEEDED FOR THE IMPROVEMENT OF TANGAOAN SMALL WATER IMPOUNDING PROJECT (SWIP) CANAL LINING AT BRGY. TANGAOAN, PIDDIG, ILO</t>
  </si>
  <si>
    <t>ITDI-200343 - SUPPLY AND DELIVERY OF LAPTOP</t>
  </si>
  <si>
    <t>GOV-20-0593-B Purchase of Diesel Fuel</t>
  </si>
  <si>
    <t>Installation of Solar Powered Street Lights</t>
  </si>
  <si>
    <t>Lot 2 (Tagpuro ES)-Bid Docs_2020 QRF-Repair - Tacloban City-compressed</t>
  </si>
  <si>
    <t>20GKG0023 (PR No. 23-03-061)- Procurement of Construction Materials and Supplies (102 cu.m. Crushed Aggregates and 34.00 cu.m. Fined Aggregates)  Intended for Transition/Over Lay along Linamon-Zamboan</t>
  </si>
  <si>
    <t>REBIDDING ON THE PROVISION OF LABOR, MATERIALS, EQUIPMENT AND OTHER INCIDENTALS NEEDED FOR THE REHABILITATION/IMPROVEMENT OF SARICAO SMALL WATER IMPOUNDING PROJECT (SWIP) AT BRGY. SARICAO, VINTAR, ILO</t>
  </si>
  <si>
    <t>20GKG0024 (PR No. 20-04-065)- Procurement of  Materials and Supplies for use in the Activity # 503-Installation of 10 (ten) sets of decontamination/sanitation tent along Iligan City-Marawi City Road,</t>
  </si>
  <si>
    <t>ITDI-200293 - SUPPLY AND DELIVERY OF METALS IN SOIL CRM</t>
  </si>
  <si>
    <t>Procurement of Various Chemical Products-06-324(O)PEO</t>
  </si>
  <si>
    <t>20DI0123- Improvement/ Repair/ Rehabilitation of Roads, NIA Road, Brgy. Mamatid to Brgy. Sala,Cabuyao City, Laguna</t>
  </si>
  <si>
    <t>Procurement of Various Spare Parts-06-325(O)PEO</t>
  </si>
  <si>
    <t>CONSTRUCTION OF FOOT BRIDGE LOCATED AT BRGY. ABNATE, KIBLAWAN, DAVAO DEL SUR all in accordance to plans, specifications and scope of work and the Green Procurement Policy as adopted by Executive Order</t>
  </si>
  <si>
    <t>Fifteen (15) PIeces HAnd Dryer, Electric</t>
  </si>
  <si>
    <t>Installation of Water Supply to Community Fish Landing Center</t>
  </si>
  <si>
    <t>Rebidding: 14 lgths Deformed Steel Bar (16mmØ x 6.0m) and other items for continuance concreting of Vicinal road in Makugihon at Barangay Talay.</t>
  </si>
  <si>
    <t>2020-052, CONCRETING OF ROAD FROM PUROK 5-PUROK 9, SAN ISIDRO, MIDSAYAP, COTABATO</t>
  </si>
  <si>
    <t>20DI0124- Construction of Tagumpay Bridge, Brgy. Tagumpay, Bay, Laguna</t>
  </si>
  <si>
    <t>Purchase of 3,571 bags Fertilizer (50 kg./bag) Triple 14 (N14-P14-K14). 50/50 Scheme Fertilizer Subsidy for Rice production under Food Security Program.</t>
  </si>
  <si>
    <t>ITDI-200368 - SUPPLY AND DELIVERY OF AERIAL DRONE LAPTOP WORKSTATION</t>
  </si>
  <si>
    <t>STACK EMISSION OF 1x560KW VOLVO GENSET OF BURIAS DPP</t>
  </si>
  <si>
    <t>Lot 3 (Cabalawan ES)-Bid Docs_2020 QRF-Repair - Tacloban City-compressed</t>
  </si>
  <si>
    <t>2020-054, CONCRETING OF BARANGAY ROAD FROM BARANGAY HALL TO PUROK 6, MALAMOTE, MIDSAYAP, COTABATO</t>
  </si>
  <si>
    <t>Rebidding: 304 bags Portland Cement (40 kgs/bag) and other items for road Concreting at Purok Kalubihan fronting the residence of Nemesio Larena towards palm and pines street at Barangay Daro.</t>
  </si>
  <si>
    <t>20DI0125- Construction of San Jose – Bucal Bypass Road, Calamba City, Laguna</t>
  </si>
  <si>
    <t>CONSTRUCTION OF PERIMETER FENCE WITH PERGOLA OF EARLY CHILDHOOD CARE AND DEVELOPMENT CENTER AT POBLACION ZONE II, JAVIER LEYTE</t>
  </si>
  <si>
    <t>20GGI0034 - Supply/Delivery of Oil Filters, tires and Oil &amp; Lubricants for use of Various Service Vehicle of  DPWH Iloilo 4th District Engineering Office, Sta. Barbara, Iloilo</t>
  </si>
  <si>
    <t>Road Concreting - Dirdirig</t>
  </si>
  <si>
    <t>INVITATION TO BID FOR IMPROVEMENT OF BULALACAO BAY PARK FOR URBAN GREENING/EXPANSION OF FISH LANDING PORT</t>
  </si>
  <si>
    <t>20DI0126- Concreting of Road with Drainage, Barangays Casile and Malaban,</t>
  </si>
  <si>
    <t>Supply and Delivery of Ci Gate Valve 6" and Check Valve 10" ( E-018-0318-20 )</t>
  </si>
  <si>
    <t>ITB-GS-20200313-01 - Supply and Delivery of 11,360 bundles Clear Plastic Jacket for Savings, Signature Card  and 10,400 reams Whitewove Paper Mimeo</t>
  </si>
  <si>
    <t>Completion of Covered Court of VSU Isabel</t>
  </si>
  <si>
    <t>20GKG0025 (PR No. 20-05-071)- Procurement of Construction Materials and Supplies for use in the Repair/Maintenance of Drainage along Tagoloan-Baloi Road (Tagoloan Section), Tagoloan, Lanao del Norte,</t>
  </si>
  <si>
    <t>ITB - PROCUREMENT OF CONST MATERIALS AND SUPPLY FOR CONCRETING OF PRES GARCIA BRGY ROAD PHASE III</t>
  </si>
  <si>
    <t>Purchase of Construction Materials for the Rehabilitation of Movable Stage</t>
  </si>
  <si>
    <t>Installation of Solar streetlights</t>
  </si>
  <si>
    <t>REPAIR &amp; MAINTENANCE OF TRANSPORTATION EQUIPMENT</t>
  </si>
  <si>
    <t>Rental of Equipment</t>
  </si>
  <si>
    <t>One (1) Lot recabling of CCTV Perimeter Backbone</t>
  </si>
  <si>
    <t>Solar Lights - Dirdirig</t>
  </si>
  <si>
    <t>Purchase of IT supplies</t>
  </si>
  <si>
    <t>20DI0127- Construction of Multi-Purpose Building, Brgy. Macabling, Santa Rosa, Laguna</t>
  </si>
  <si>
    <t>Supply and Delivery of Laptop</t>
  </si>
  <si>
    <t>Rebidding: 43 cu.m concrete premix (3000 psi @ 28 days) CF: 9 bags/cu.m for continuance concreting of Vicinal road in Makugihon at Barangay Talay</t>
  </si>
  <si>
    <t>20PL0115 - Upgrading/Improvement of Local Road from Employees Village-Upper CARAA Ground-NIA Access Road, Bulanao, Tabuk City, Kalinga</t>
  </si>
  <si>
    <t>20GKG0026 (PR No. 20-05-073)- Procurement of Paint Materials and Supplies for use in the repainting of concrete birdges along National Roads Balili Br. 1 &amp; Balili Br. 2 along Linamon-Zamboanga Road, B</t>
  </si>
  <si>
    <t>Supply of Office Furniture andFixtures for barangay @ Palindan, Ibaan, Batangas</t>
  </si>
  <si>
    <t>INVITATION TO BID FOR PROCUREMENT OF ONE (1) CROSSOVER UTILITY VEHICLE AND ONE (1) PASSENGER VAN</t>
  </si>
  <si>
    <t>Supply and Delivery of Laboratory Accessories</t>
  </si>
  <si>
    <t>Procurement of Link Load Balancer under IB No. 2020-219</t>
  </si>
  <si>
    <t>ROAD REHABILITATION - KM 5 SARMIENTO, NEW BATAAN, DAVAO DE ORO</t>
  </si>
  <si>
    <t>Procurement of various Medical Equipment</t>
  </si>
  <si>
    <t>PURCHASE OF ASSISTED DEVICE</t>
  </si>
  <si>
    <t>Purchase of vehicle parts used for ambulance &amp; service vehicle.</t>
  </si>
  <si>
    <t>CONSTRUCTION OF  0.20M X 4.00M X  90.00M CLIMATE  PROOFED CONCRETE  PAVEMENT,  POBLACION 3</t>
  </si>
  <si>
    <t>AGRICULTURAL PRODUCT (SEEDS, SEEDLINGS, PLANTS)</t>
  </si>
  <si>
    <t>Supply and Delivery of Half-Face Respirator</t>
  </si>
  <si>
    <t>Cont. Ref. No. 065-20: Improvement along Carantes Road at Poblacion, Itogon, Benguet</t>
  </si>
  <si>
    <t>PURCHASE OF 3 UNITS AIRCONDITION</t>
  </si>
  <si>
    <t>Supply and Delivery of Laboratory Equipment and Accessories</t>
  </si>
  <si>
    <t>Purchase of Construction Materials for the Improvement/Rehabilitation of Water System at LGU-Binuangan, Misamis Oriental</t>
  </si>
  <si>
    <t>Purchase of 2 units Laptop for SP Office use (Mae B. Piojo &amp; Ma. Luisa T. Tronco)</t>
  </si>
  <si>
    <t>Purchase plumbing materials used for Bobongan/Gapasan water system.</t>
  </si>
  <si>
    <t>Cont. Ref. No. 064-20: Improvement of Saddle – Heartwell Feeder Road at Ampucao, Itogon, Benguet</t>
  </si>
  <si>
    <t>ITB - PROCUREMENT OF CONSTRUCTION MATERIALS AND SUPPLY FOR CONCRETING OF PRES GARCIA BRGY ROAD</t>
  </si>
  <si>
    <t>Procurement of Infrastructure - Installation of Solar LED Street Light at Barangay Dapnan</t>
  </si>
  <si>
    <t>Lot 4 (Sta. Elena ES)-Bid Docs_2020 QRF-Repair - Tacloban City_compressed</t>
  </si>
  <si>
    <t>20NE0089 - Construction/Rehabilitation of Water Supply/Rain Water Collector, Office of the Governor, Office of the Vice-Governor, GSO Building of the Provincial Capitol, Provincial Police Office Build</t>
  </si>
  <si>
    <t>PR2020-05-015 - Purchase and delivery of Vehicle Parts and Accessories</t>
  </si>
  <si>
    <t>20KL008 (Goods)</t>
  </si>
  <si>
    <t>20KL009 (Goods)</t>
  </si>
  <si>
    <t>CONSTRUCTION OF DRAINAGE CANAL, CM RECTO STREET, BRGY. CABINUANGAN</t>
  </si>
  <si>
    <t>SUPPLY AND DELIVERY OF ONE (1) UNIT UTILITY VEHICLE (PICK UP)</t>
  </si>
  <si>
    <t>Procurement of Infrastructure - Construction of PDAO Office Extension Building</t>
  </si>
  <si>
    <t>AGRICULTURAL MACHINERY AND EQUIPMENT</t>
  </si>
  <si>
    <t>20PA0129 : CONCRETING OF BARANGAY ALANGTIN FMR, Barangay Alangtin, Tubo, Abra</t>
  </si>
  <si>
    <t>Purchase of medical supplies used for  RHU.</t>
  </si>
  <si>
    <t>UPGRADING OF ELECTRICAL SERVICE/SYSTEM-RECTO MEM. NATIONAL H/S, BRGY.QUIPOT</t>
  </si>
  <si>
    <t>Purchase of 3 units Computer (All in one) and 2 units Printer for SP Office use.</t>
  </si>
  <si>
    <t>Cont. Ref. No. 063-20: Construction of Veteran’s Multi-Purpose Building and Freedom Park at Virac, Itogon, Benguet</t>
  </si>
  <si>
    <t>Purchase of various Office Supplies for SP Office use.</t>
  </si>
  <si>
    <t>Procurement of Infrastructure - Construction of 1 unit Multi-Purpose Pavement</t>
  </si>
  <si>
    <t>Purchase of construction materials used for the concreting of BJMP basketball court.</t>
  </si>
  <si>
    <t>Improvement of Public Bus Terminal (Road Concreting of the Rear Portion of Bus Terminal) and Construction of Public Bus Terminal Drainage System, Brgy. Triangulo</t>
  </si>
  <si>
    <t>REPAIR AND  MAINTENANCE OF  PUBLIC  INFRASTRUCTURE</t>
  </si>
  <si>
    <t>20PA0130 : CONCRETING OF BARANGAY TUBTUBA FMR, Barangay Tubtuba, Tubo, Abra</t>
  </si>
  <si>
    <t>Barangay 378 BITS Project 2020</t>
  </si>
  <si>
    <t>CONSTRUCTION OF  “MABUHAY SILVINO  LUBOS” SIGNAGE</t>
  </si>
  <si>
    <t>PURCHASE OF OFFICE EQUIPMENT-PNP</t>
  </si>
  <si>
    <t>B-005-2020 SUPPLY AND DELIVERY OF 1 LOT RACK-MOUNTED SERVER, SERVER CABINET AND UNINTERRUPTED POWER SUPPLY (UPS) - NEGOTIATED</t>
  </si>
  <si>
    <t>Office Devices for Isolation Unit</t>
  </si>
  <si>
    <t>GAD Information Dissemination Campaign</t>
  </si>
  <si>
    <t>Supply &amp; Delivery of MEDICAL, DENTAL &amp; LABORATORY SUPPLIES (1st Quarter-2020)</t>
  </si>
  <si>
    <t>PROCUREMENT OF JANITORIAL SERVICES 2020 FOR NORSU CAMPUSES</t>
  </si>
  <si>
    <t>Procurement of Infrastructure - Barangay Road Opening</t>
  </si>
  <si>
    <t>Purchase of rapid test used for rapid testing (COVID - 19).</t>
  </si>
  <si>
    <t>CONSTRUCTION OF LOCAL  ROAD -Sitio Alvarez, Brgy. Lusacan</t>
  </si>
  <si>
    <t>GO-2020-0149 Rebidding INVITATION TO BID FOR THE PROCUREMENT OF FUEL (DIESEL)</t>
  </si>
  <si>
    <t>Lot 5 (Sagkahan NHS)-Bid Docs_2020 QRF-Repair - Tacloban City</t>
  </si>
  <si>
    <t>PROCUREMENT OF PHOTOCOPIER</t>
  </si>
  <si>
    <t>supply and delivery of various laboratory reagents for the official use in the conduct of laboratory tests in the RADDL with PR#45 dated 6/03/2020</t>
  </si>
  <si>
    <t>BNLSL-LCB-24-2020 – Construction of Diversion Works, Canal, Farm Level and Road System of Montebello SIP, Kananga, Leyte</t>
  </si>
  <si>
    <t>Construction of Proposed Monreal Municipal Port</t>
  </si>
  <si>
    <t>Purchase of Drug Testing kits used for BJMP Quarterly Drug Test use.</t>
  </si>
  <si>
    <t>Supply &amp; Delivery of BRAND NEW FIRE TRUCK (400 Gallons) with Complete Accessories</t>
  </si>
  <si>
    <t>SUPPLY &amp; DELIVERY OF FIRE EXTINGUISHER &amp; LADDER OF OM-BOD</t>
  </si>
  <si>
    <t>MHO-Medicines for Mental Health Program (Philhealth Capitation)</t>
  </si>
  <si>
    <t>B-006-2020 SUPPLY AND DELIVERY OF 1 LOT IT EQUIPMENT, ACCESSORIES AND PERIPHERALS - NEGOTIATED</t>
  </si>
  <si>
    <t>2LSSM2020C-156 Other Supplies and Materials</t>
  </si>
  <si>
    <t>Procurement of One (1) unit Brand New Van (for Mobile Blood Donation)</t>
  </si>
  <si>
    <t>SOLAR PANEL STREET LIGHTS-BARANGAY BASIRANG</t>
  </si>
  <si>
    <t>2LSSM2020A-155 Other Supplies and Materials</t>
  </si>
  <si>
    <t>Supply and delivery of Plumbing Materials for Brgy. San Francisco, Nagcarlan, Laguna</t>
  </si>
  <si>
    <t>Lot 6 (NTCNHS)-Bid Docs_2020 QRF-Repair - Tacloban City_compressed</t>
  </si>
  <si>
    <t>Procurement of Infrastructure - Rehabilitation of Sunrise Boulevard</t>
  </si>
  <si>
    <t>Proposed Spring Development Rehabilitation</t>
  </si>
  <si>
    <t>BNLSL-LCB-28-2020 – Construction of Diversion Works, Canal and Farm Level System of Cambalading SIP, Albuera, Leyte (Package I)</t>
  </si>
  <si>
    <t>ITB and Bid Docs for Procurement ID/Contract ID:    20C00046 -Construction of the DENR – Environmental Management Bureau Region 3 Building (Completion)</t>
  </si>
  <si>
    <t>Purchase of spareparts used for ambulance &amp; SKG 232 strada.</t>
  </si>
  <si>
    <t>RFQ No. 228-20 Printing of the PTRI Annual Report 2019</t>
  </si>
  <si>
    <t>2LSSM2020B-157 Other Supplies and Materials</t>
  </si>
  <si>
    <t>Supply and Delivery of Medical and Dental supplies for SDSSU Tandag Campus</t>
  </si>
  <si>
    <t>SUPPLY AND DELIVERY OF LAPTOP W/ COMPLETE ACCESSORIES &amp; PRINTER 3IN1 REBID</t>
  </si>
  <si>
    <t>SUPPLY AND DELIVERY OF ONE (1) LOT HEALTH MANAGEMENT SYSTEM WITH STRUCTURED CABLING AND LICENSES</t>
  </si>
  <si>
    <t>(20CSNH03)Consulting Services for the Conduct of Soil Explor. And/Or Geotech. Investigation in Prep. of the Prelim. &amp; Det. Eng'g of Prop. Various FY 2021 Reg. Infras Proj(Package 1)Cantilan, Carmen &amp;</t>
  </si>
  <si>
    <t>Procurement for Enhanced National Greening Program (eNGP) Seedling Production/Procurement, Plantation Establishment, Maintenance and Protection Year 1 CY 2020</t>
  </si>
  <si>
    <t>PHO-2020-037 Rebidding INVITATION TO BID FOR THE PROCUREMENT OF LAPTOPS, DESKTOP COMPUTERS, EXTERNAL HARD DRIVE, PRINTER, UPS, HANDHELD RADIO, HANDHELD BARCODE READER KIT, AND DSLR CAMERA WITH LENS</t>
  </si>
  <si>
    <t>2LSSM2020A-158 Other Supplies and Materials</t>
  </si>
  <si>
    <t>Supply &amp; Delivery of One (1) Unit UTILITY VAN</t>
  </si>
  <si>
    <t>PEO-2020-0065 &amp; 2020-0082 Rebidding INVITATION TO BID FOR THE PROCUREMENT OF AGGREGATE SUBBASE COURSE (ANAPOG)</t>
  </si>
  <si>
    <t>BNLSL-LCB-28A-2020 – Construction of Supplementary Dam of Cambalading SIP, Albuera, Leyte (Package II)</t>
  </si>
  <si>
    <t>SUPPLY AND DELIVERY OF COMPUTER DESKTOP W/ COMPLETE ACCESSORIES &amp; PRINTER W/ SCANNER (REBID)</t>
  </si>
  <si>
    <t>PROCUREMENT OF DRUGS AND MEDICINES 3RD QUARTER CY 2020</t>
  </si>
  <si>
    <t>PROCUREMENT OF HYDRAULIC STAMPING MACHINE</t>
  </si>
  <si>
    <t>RFQ No. 231-20 CVC, 60% combed cotton, 200gsm</t>
  </si>
  <si>
    <t>Supply and delivery of Two (2) set Heavy Duty Tent to be used by MDRRMO &amp; IATF during the conduct of activities related to the control of Covid-19</t>
  </si>
  <si>
    <t>Supply and Delivery of Four (4) Units Motorcycle- DRR Rescue Vehicle</t>
  </si>
  <si>
    <t>Procurement of Security Manpower Services FY 2020 for NORSU Campuses</t>
  </si>
  <si>
    <t>ITB and Bid Docs for Procurement ID/Contract ID:    20C00047 -Rehabilitation/Restoration of Deteriorated Dikes/Eroded Riverbanks along Pampanga River including Candaba Cut-Off Channel</t>
  </si>
  <si>
    <t>SUPPLY OF UNDERWATER CAMERA W/ COMPLETE ACCESSORIES (REBID)</t>
  </si>
  <si>
    <t>To hire contractor to provide materials, labor and equipment for two (4) Infrastructure Projects (Sibulan) (B-81-2020)</t>
  </si>
  <si>
    <t>Supply and Delivery of Office Supplies (STF) for SDSSU Tandag Campus</t>
  </si>
  <si>
    <t>Concreting of Farm to Market Road at Purok 2, Brgy Naya, Pura, Tarlac</t>
  </si>
  <si>
    <t>Quotation No.20-06-327 = PROCUREMENT OF COMMON OFFICE SUPPLIES</t>
  </si>
  <si>
    <t>Purchase of fusion machine used for RM water system.</t>
  </si>
  <si>
    <t>Supply &amp; Delivery of One (1) Unit AMBULANCE with Complete Accessories</t>
  </si>
  <si>
    <t>Construction of Masonry Drainage Structure, Along Del Rosario Street, Centro 06, Tuguegarao City, Cagayan</t>
  </si>
  <si>
    <t>FURNITURES</t>
  </si>
  <si>
    <t>Supply and delivery of clear plastic bag with UCPB Logo ORF 10923-2020-07</t>
  </si>
  <si>
    <t>20GG0031-G (Rebid) - Procurement of toner, drums, developing unit and spare parts for use of Photocopier Develop Ineo +221, Plotter and Comcolor GD7330 of DPWH, Iloilo 2nd DEO, Balabag, Dumangas, Iloi</t>
  </si>
  <si>
    <t>HO-FMG20-005 - Supply and Delivery of Multimedia Projector</t>
  </si>
  <si>
    <t>PURCHASE AND DELIVERY OF IT EQUIPMENT AND ACCESSORIES</t>
  </si>
  <si>
    <t>Purchase of Office Supplies and Office Equipments</t>
  </si>
  <si>
    <t>PROCUREMENT OF  FURNITURE</t>
  </si>
  <si>
    <t>CO 2020</t>
  </si>
  <si>
    <t>SUPPLY &amp; DELIVERY OF PUMP CENTRIFUGAL &amp; HYDRAULIC PRESS OF MARINAWA DPP</t>
  </si>
  <si>
    <t>IMPROVEMENT OF SHELTER FOR YOUTH OFFENDER &amp; CRISIS CENTER BRGY. TINAMNAN LUCBAN, QUEZON</t>
  </si>
  <si>
    <t>Supply and Delivery of 15 bottles Acetic Acid, 500ML and Other items. REBID</t>
  </si>
  <si>
    <t>SUPPLY AND DELIVERY OF COMBI BLINDS (REBID)</t>
  </si>
  <si>
    <t xml:space="preserve">(20CSNH04) Consulting Services for the Conduct of Soil Exploration &amp;/Or Geotech'l Invest'n in Prep. of the Prelim &amp; Det. Eng'g of Prop. Various FY 2021 Reg. Infras. Proj. (Package 2)Tago, Surigao del </t>
  </si>
  <si>
    <t>Completion of Covered Court of VSU Villaba</t>
  </si>
  <si>
    <t>SUPPLY AND DELIVERY OF CONSTRUCTION MATERIALS FOR THE CONSTRUCTION OF DRAINAGE CANAL ALONG PROVINCIAL ROAD AT BARANGAY ROXAS INFRONT OF COMMERCIAL STALLS</t>
  </si>
  <si>
    <t>Purchase of Construction Materials for  Carpentry Works at Barangay Hall Phase -  I Patawag, Labason ZN.</t>
  </si>
  <si>
    <t>SUPPLY AND DELIVERY OF DRONE W/ COMPLETE ACCESSORIES (REBID)</t>
  </si>
  <si>
    <t>Supply &amp; Delivery of OFFICE SUPPLIES for the use of Different Offices (1st Quarter)</t>
  </si>
  <si>
    <t>Supply and delivery of fuel for the repair/rehab of barangay farm to market roads of LGU-Matanao, Davao del Sur (1st semester)</t>
  </si>
  <si>
    <t>PACKAGE 4-2020</t>
  </si>
  <si>
    <t>REPAIR OF HANGING BRIDGE AT SITIO RONGO</t>
  </si>
  <si>
    <t>Bookbinding (hardbound)</t>
  </si>
  <si>
    <t>Supply &amp; Delivery of MOTOR VEHICLES (Patrol Vehicles) for the use of 16 Barangays of Lopez, Quezon</t>
  </si>
  <si>
    <t>2LSSM2020B-159 Other Supplies and Materials</t>
  </si>
  <si>
    <t>PURCHASE OF OFFICE EQUIPMENT, SUPPLIES &amp; CONSUMABLES</t>
  </si>
  <si>
    <t>REPAIR OF CAS SCHOOL BUILDING AT NORSU BAYAWAN-STA. CATALINA CAMPUS</t>
  </si>
  <si>
    <t>Concreting of Farm to Market Road at Purok 1, Brgy. Balite, Pura, Tarlac</t>
  </si>
  <si>
    <t>Purchase of DRR's Medical Equipments for COVID-19</t>
  </si>
  <si>
    <t>SUPPLY AND DELIVERY OF MOBILE FORAGE REBID</t>
  </si>
  <si>
    <t>CO &amp; BDRRMF 2020</t>
  </si>
  <si>
    <t>Construction of Water Tank at Barangay Salagmaya</t>
  </si>
  <si>
    <t>Supply &amp; Delivery of OTHER SUPPLIES for the use of Different Offices (1st Quarter)</t>
  </si>
  <si>
    <t>Supply and Delivery of 40 Units Brand New Customized Police Patrol Vehicle</t>
  </si>
  <si>
    <t>R1MC Tubular Slatch Wind Pressure Support &amp; Water Proofing of Elevator Rooftop</t>
  </si>
  <si>
    <t>supply and delivery of various lab supplies for the official use in the conduct of various tests in the RADDL with PR#46 dated 6/03/2020</t>
  </si>
  <si>
    <t>HO-DMD20-005 - Supply and Delivery of Heavy Duty Stapler and OTG Flashdrive</t>
  </si>
  <si>
    <t>Purchase of Construction Materials for  Contrete/Masonry Works at Barangay Hall  Phase – I Patawag, Labason ZN.</t>
  </si>
  <si>
    <t>PROCUREMENT OF  GROCERIES</t>
  </si>
  <si>
    <t>PROPOSED OFFICE FOR DISASTER SIMULATION CENTER 2ND  FLOOR, JUAQUIN  GONZALES COMPOUND UNIVERSITY OF THE PHILIPPINES MANILA</t>
  </si>
  <si>
    <t>SUPPLY AND DELIVERY OF CATTLE (HEIFER)</t>
  </si>
  <si>
    <t>Purchase of Construction Materials for Doors and Windows at Barangay Hall Phase – I  Patawag, Labason ZN.</t>
  </si>
  <si>
    <t>Purchase of office equipment used for different offices (bulk bidding).</t>
  </si>
  <si>
    <t>Gravelling at Purok 2,3,6 &amp; 9</t>
  </si>
  <si>
    <t>20HD0093 - Repair/Maintenance of DPWH Building, Main Building, Cebu I District Engineering Office, Medellin, Cebu</t>
  </si>
  <si>
    <t>Supply &amp; Delivery of DRUGS &amp; MEDICINES (1st Quarter)</t>
  </si>
  <si>
    <t>4Ps : SURGICAL FACE MASK FOR THE PANTAWID PAMILYA PROGRAM STAFF ASSIGNED IN THE PROVINCES.</t>
  </si>
  <si>
    <t>20GG0033-G (Rebid) - Procurement of office furnitures for the use of DPWH, Iloilo 2nd DEO, Balabag, Dumangas, Iloilo</t>
  </si>
  <si>
    <t>Procurement of Communication Equipment and Accessories for the OPS</t>
  </si>
  <si>
    <t>2LSSM2020A-161 Other Supplies and Materials</t>
  </si>
  <si>
    <t>Procurement of Tires for the Various City Vehicles</t>
  </si>
  <si>
    <t>SUPPLY AND DELIVERY OF PAINTING MATERIALS FOR BARANGAY QUIRINO MULTI-PURPOSE HALL</t>
  </si>
  <si>
    <t>Purchase of Construction Materials for  Plumbing Works, at Barangay Hall Phase – I Patawag, Labason ZN.</t>
  </si>
  <si>
    <t>ITB NO. GOP/20-DSWD-037 - Supply and Delivery of Document Scanners for DSWD Central Office</t>
  </si>
  <si>
    <t>2LSSM2020B-160 Other Supplies and Materials</t>
  </si>
  <si>
    <t>Supply and delivery of materials for the construction of four (4) classrooms at sitio Sultana, Donganpekong, Matanao, Davao del Sur</t>
  </si>
  <si>
    <t>19B00061: Repair/Rehabilitation of National Road along Peñablanca  Callao Cave Road, Quibal, Peñablanca, Cagayan</t>
  </si>
  <si>
    <t>Purchase of Construction Materials for Roofing Works at Barangay Hall Phase - I Patawag, Labason, ZN.</t>
  </si>
  <si>
    <t>Supply and Delivery of 1 Unit Multi-Purpose Vehicle, Diesel Feed.REBID</t>
  </si>
  <si>
    <t>(20CSNH05) Consulting Services for the Conduct of Soil Explor. &amp;/Or Geotech'l Investigation in Prep. of the Prelim. &amp; Det. Eng'g of Prop. Various FY 2021 Reg Infra Projects(Package 3)Madrid,Tandag,Tag</t>
  </si>
  <si>
    <t>PROCUREMENT OF  FARM EQUIPMENT/MACHINERY</t>
  </si>
  <si>
    <t>CONSTRUCTION OF MULTI-PURPOSE HALL (BGY. BETON, TAYTAY, PALAWAN)</t>
  </si>
  <si>
    <t>Procurement and Delivery of Portable Shredder, City AGR</t>
  </si>
  <si>
    <t>19B00060: Repair/Rehabilitation of National Road along Cagayan Valley Road, K0476+800 – K0477+100, Alimanao, Peñablanca, Cagayan</t>
  </si>
  <si>
    <t>2LSSM2020B-163 Food Supplies</t>
  </si>
  <si>
    <t>2LSSM2020B-164 Food Supplies</t>
  </si>
  <si>
    <t>PROCUREMENT OF  CEILING HELICOPTER</t>
  </si>
  <si>
    <t>Supply, Delivery, Installation and Commissioning of Air-Conditioning System for the Bureau of Quarantine</t>
  </si>
  <si>
    <t>2LSSM2020A-165 Food Supplies</t>
  </si>
  <si>
    <t>20CSBG001: Geotechnical Investigation for Proposed Bridge Project – (3) Turod-Banquero Overflow Bridge, Reina Mercedes, Isabela</t>
  </si>
  <si>
    <t>CONSTRUCTION/IMPROVEMENT OF DANLAGAN BY PASS ROAD-Brgy. Danlagan Lopez, Quezon</t>
  </si>
  <si>
    <t>CONSTRUCTION OF MULTI-PURPOSE HALL (BGY. PULARAQUEN, TAYTAY, PALAWAN)</t>
  </si>
  <si>
    <t>2LSSM2020B-162 Food Supplies</t>
  </si>
  <si>
    <t>Purchase of Patient Transport Vehicle</t>
  </si>
  <si>
    <t>Procurement and Delivery of Medical Waste Auto Clave Sterilizer, ESLF</t>
  </si>
  <si>
    <t>Contract ID No. 20NC0122 - Repair/Maintenance of Bank Protection along Butuan City-Talacogon-La Paz-Loreto-Veruela-Sta. Josefa Road (Panagangan Bridge I) K1370+008-K1370+030, La Paz, Agusan del Sur</t>
  </si>
  <si>
    <t>PRDP-RPCOXI-SIC-011-2020 Hiring of PRDP-RPCO XI Personnel</t>
  </si>
  <si>
    <t>Office Supplies for the use of AICS Staff for the monitoring of AICS SAP-Implementation</t>
  </si>
  <si>
    <t>Purchase of Cellcards</t>
  </si>
  <si>
    <t>20BC0184-Construction of 2 Storey 2 Classroom 2 Laboratory, Abulug National Rural Vocational High School, Abulug, Cagayan</t>
  </si>
  <si>
    <t>Supply and Delivery for the  Procurement of One (1)  Unit Electronic Total  Station</t>
  </si>
  <si>
    <t>Rehabilitation/Improvement of Bartolome H. Miranda Road</t>
  </si>
  <si>
    <t>Purchase of Response Vehicle</t>
  </si>
  <si>
    <t>Contract ID No. 20NC0124 - Construction of Riverbank Protection of Ihawan River Sta. 0+000-0+060.00, Loreto, Agusan del Sur</t>
  </si>
  <si>
    <t>Rehabilitation of Court</t>
  </si>
  <si>
    <t>2LSSM2020A-167 Food Supplies</t>
  </si>
  <si>
    <t>Procurement and Installation of Lightning Protection System for the CDRRMO</t>
  </si>
  <si>
    <t>Construction of Multi-Purpose Building Phase II (Beside Municipal Hall)</t>
  </si>
  <si>
    <t>Contract ID No. 20NC0123 - Repair/Maintenance of Bank Protection along Butuan City-Talacogon-La Paz-Loreto-Veruela-Sta. Josefa Road (Panagangan  Bridge II) (B01579MN) K1370+734-K1370+749, La Paz, Agus</t>
  </si>
  <si>
    <t>Supply &amp; Delivery of One Lot Office Supplies 2020-149</t>
  </si>
  <si>
    <t>CONSTRUCTION OF MULTI-PURPOSE HALL (BGY. TALOG, TAYTAY, PALAWAN)</t>
  </si>
  <si>
    <t>NOTICE OF INVITATION TO SUBMIT PRICE QUOTATION FOR THE SMALL VALUE PROCUREMENT OF 2020 REPAIR OF PERIMETER FENCE OF NFA COMPOUND, LARENA, SIQUIJOR</t>
  </si>
  <si>
    <t>Land Development of the Socialized Housing Project at San Maximo, Natividad, Pangasinan</t>
  </si>
  <si>
    <t>Supply and Delivery for the  Procurement of One (1)  Unit Drone (Search and  Rescue and Mapping  Drone)</t>
  </si>
  <si>
    <t>20BC0202-Repair/Maintenance of DPWH Field Office Building</t>
  </si>
  <si>
    <t>2LSSM2020A-168 Food Supplies</t>
  </si>
  <si>
    <t>Repair and Rehabilitation of Various School Buildings at Cabacungan Elementary School</t>
  </si>
  <si>
    <t>Design and Build of Single - storey Administration Building for Dipaculao Water District, Dipaculao, Aurora (Rebidding)</t>
  </si>
  <si>
    <t>20CB0065: Concreting of Sitio Kinaragan to Sitio Batitaw Brgy. Duale Farm-to-Market Road, Brgy. Duale, Limay, Bataan</t>
  </si>
  <si>
    <t>20CB0068: Concreting of Brgy. Balagtas to Roman Super Highway Farm-to-Market Road, Brgy. Balagtas, Orion, Bataan</t>
  </si>
  <si>
    <t>20BC0207-Repair/Maintenance of DILG Building Bureau of Fire Protection Main Building</t>
  </si>
  <si>
    <t>2LSSM2020B-166 Food Supplies</t>
  </si>
  <si>
    <t>Purchase and Delivery of Supplies for PAPERLESS BARANGAY COUNCIL</t>
  </si>
  <si>
    <t>20CB0067: Concreting of Brgy. Alangan Farm-to-Market Road, Brgy. Alangan, Limay, Bataan</t>
  </si>
  <si>
    <t>Contract ID No. 20NC0125 - Construction of Agusan River Flood Control Sta. 0+000-0+050.00, Veruela, Agusan del Sur</t>
  </si>
  <si>
    <t>20CB0066: Concreteing of Brgy. Ibis Farm-to-Market Road, Brgy. Ibis, Bagac, Bataan</t>
  </si>
  <si>
    <t>20BC0204-Repair/Maintenance of DOJ Building Registry of Deeds Main Building</t>
  </si>
  <si>
    <t>INVITATION TO BID FOR ADDITIONAL ALLOCATION FOR COMMUNICATION LOAD OF CEES II 2020</t>
  </si>
  <si>
    <t>Construction of Capinitan Elementary School, Phase 1</t>
  </si>
  <si>
    <t>Repair and Rehabilitation of Various School Buildings at Calarayan Elementary School, Guin-arawayan Elementary School and Lipata Elementary School</t>
  </si>
  <si>
    <t>INVITATION TO BID FOR THE  NEGOTIATED PROCUREMENT OF RESEARCH LABORATORY EQUIPMENT FOR CY 2020</t>
  </si>
  <si>
    <t>ITB for REPRODUCTION OF LEARNING MODULES 2020</t>
  </si>
  <si>
    <t>Procurement of ABG Cassette/Cartridge with the Provision of ABG Analyzer Machine (Tie-Up)</t>
  </si>
  <si>
    <t>Supply, Delivery, Installation, Testing and Commissioning of Two (2) Units Synchronizing Unit Module for the Two (2) Units Doosan Electric Generators</t>
  </si>
  <si>
    <t>Purchase and Delivery of Supplies for HOUSEHOLD TRASH BINS</t>
  </si>
  <si>
    <t>20CB0069: Concreting of Purok 6, Brgy. Gen. Lim Farm-to-Market Road, Brgy. Gen. Lim, Orion, Bataan</t>
  </si>
  <si>
    <t>PWD Starter Stocks for Swine Production</t>
  </si>
  <si>
    <t>Repair and Rehabilitation of Various School Buildings at Allen Central Elementary School</t>
  </si>
  <si>
    <t>Cluster C10-2020</t>
  </si>
  <si>
    <t>Purchase of Six (6) Units MIni Dump Truck</t>
  </si>
  <si>
    <t>Invitation to Bid for Supply, Delivery and Installation of equipment for the DA-ACEF indigenous fruits project</t>
  </si>
  <si>
    <t>20BC0209-Repair/Maintenance of DENR Building Main Building</t>
  </si>
  <si>
    <t>20CB0070: Repair/Maintenance of DPWH Building, Main Building Bataan II District Engineering Office, Balanga City, Bataan</t>
  </si>
  <si>
    <t>CONSTRUCTION OF MULTI-PURPOSE HALL</t>
  </si>
  <si>
    <t>SUPPLY AND DELIVERY OF IT EQUIPMENT UNDER PB 20-02-14A</t>
  </si>
  <si>
    <t>Repainting of Municipal Town Plaza and Rizal Park to include Welcome Marker and Don Luis Monument of the Municipality of Luisiana, Laguna</t>
  </si>
  <si>
    <t>Procurement of One ( 1 ) unit CHEMISTRY ANALYZER with one ( 1 ) unit Multi media 4 in 1</t>
  </si>
  <si>
    <t>Repair and Rehabilitation of Various School Buildings at Jubasan Elementary School</t>
  </si>
  <si>
    <t>20BC0210-Repair/Maintenance of DILG Building Bureau of Fire Protection Main Building</t>
  </si>
  <si>
    <t>Cluster B9-2020</t>
  </si>
  <si>
    <t>Cluster D31-2020</t>
  </si>
  <si>
    <t>Repair and Rehabilitation of Various School Buildings at Lagundi Elementary School</t>
  </si>
  <si>
    <t>4Ps: OFFICE SUPPLIES FOR 2020 PANTAWID OFFICE IPIL, ZAMBOANGA SIBUGAY</t>
  </si>
  <si>
    <t>Supply and Delivery of 1,796 UNITS 15MMØ MULTI-JET BRASS WATER METER</t>
  </si>
  <si>
    <t>Repair and Rehabilitation of Various School Buildings at Kinaguitman Elementary School</t>
  </si>
  <si>
    <t>Invitation to Bid for Supply and Delivery of Materials and Equipment for DA-ACEF Mango Project</t>
  </si>
  <si>
    <t>HARD DRIVE</t>
  </si>
  <si>
    <t>Repair and Rehabilitation of Various School Buildings at Daganas Elementary School</t>
  </si>
  <si>
    <t>20MF0082-Construction of  Multi Purpose Building for Dialysis Center New Capitol Site, Brgy. Kenram, Isulan, Sultan Kudarat</t>
  </si>
  <si>
    <t>Repair and Rehabilitation of Various School Buildings at Pili Elementary School</t>
  </si>
  <si>
    <t>REPAIR &amp; MAINTENANCE OF BRGY. VEHICLE - 2020</t>
  </si>
  <si>
    <t>20MF0081-Construction of  Tacurong Multi-Purpose Building, Brgy. Poblacion, Tacurong City, Sultan Kudarat</t>
  </si>
  <si>
    <t>20MF0080-Construction of Bridge along Dulawan-Marbel Road (Pinguiaman Section), Lambayong, Sultan Kudarat</t>
  </si>
  <si>
    <t>Upgrading of Bungdor Road (Road Opening)</t>
  </si>
  <si>
    <t>PROCUREMENT FOR THE SUPPLY OF FUELS/FUEL ADDITIVE &amp; LUBRICANTS AND ANTI CORROSIVE</t>
  </si>
  <si>
    <t>Invitation to Bid for Supply and Delivery of Customized Polo Shirt and Sling Bag</t>
  </si>
  <si>
    <t>20DL0203 - REPAIR/MAINTENANCE OF FLOOD CONTROL &amp; DRAINAGE STRUCTURES ALONG BAYOD BRIDGE, TALABA-SUMMIT-PANAON ROAD, KM.180+728, ATIMONAN, QUEZON</t>
  </si>
  <si>
    <t>20DL0204 - REPAIR/MAINTENANCE OF DRAINAGE ALONG QUEZON-ALABAT-PEREZ ROAD, KM.022+050-KM.022+097 (RIGHT SIDE)</t>
  </si>
  <si>
    <t>Improvement along Pusposok to Taba-an Foot Trail w/ Handrails</t>
  </si>
  <si>
    <t>INVITATION TO BID TO SUPPLY AND DELIVERY OF GOODS FOR MULTI ELECTRODE RESISTIVITY</t>
  </si>
  <si>
    <t>20DL0205 - A)	REPAIR/MAINTENANCE OF DILG BUILDING, PNP – STORAGE ROOM/BARRACKS BUILDING, GUMACA, QUEZON 	 B)	REPAIR/MAINTENANCE OF DPWH BUILDING, DPWH SUB OFFICE (FIELD ENGR. OFFICE), BRGY. LAGYO, GUM</t>
  </si>
  <si>
    <t>SUPPLY AND DELIVERY OF IT EQUIPMENT  UNDER PB 20-02-15A (FOR BRANCH STATION)</t>
  </si>
  <si>
    <t>I.T.  and  Medical Equipments - 2020</t>
  </si>
  <si>
    <t>20MF0084-Construction of  Povincial Tourism Multi Purpose Building, New Capitol Site, Brgy. Kenram, Isulan, Sultan Kudarat</t>
  </si>
  <si>
    <t>Repair and Rehabilitation of Various School Buildings at Guba Elementary School and New Rizal Elementary School</t>
  </si>
  <si>
    <t>COCO LUMBER</t>
  </si>
  <si>
    <t>HIRING OF TWO SCHOOL WATCHMAN</t>
  </si>
  <si>
    <t>MG-A5O20-002 ( TIRE, TUBELESS, 265 X 70 X R17 TOYOTA, HI-LUX 2017 MODEL + 1 ITEM )</t>
  </si>
  <si>
    <t>20MF0083-Construction of  Multi Purpose Building, Brgy. Kenram, Isulan, Sultan Kudarat</t>
  </si>
  <si>
    <t>Purchase of Materials to be used in  the Repair/Fabrication of Asphalt Kettle of Maintenance Section,  DPWH-Laguna I DEO, Santa Cruz, Laguna</t>
  </si>
  <si>
    <t>20DL0206 - 71X-SPECIAL MAINTENANCE H. PLACING NEW TRAFFIC SIGNS ALONG DAANG MAHARLIKA, K0159+000 - K0181+000</t>
  </si>
  <si>
    <t>Purchase of Construction Materials to be used in the Repair and Maintenance  of Paved Roads along various national roads, DPWH-Laguna I DEO, Santa Cruz, Laguna</t>
  </si>
  <si>
    <t>MINI DUMP TRIKE - 2020</t>
  </si>
  <si>
    <t>RRMF 2020 TENT PUBLIC ADDRESS CCTV CAMERA SUPPLIES DEVICE AND GENERAL MERCHANDISE</t>
  </si>
  <si>
    <t>Procurement and Installation of Three (3) units Window type Aircondition (2 hp) and Five (5) units Floor Standing Aircondition (3 toner) for MDRRMC/OPCEN Building</t>
  </si>
  <si>
    <t>20DL0207 - CONSTRUCTION/REHABILITATION OF WATER SUPPLY/SEPTAGE AND SEWERAGE/RAIN WATER COLLECTORS - RAIN WATER COLLECTORS IN PUBLIC FACILITIES - REGION IV-A  A. COMETA ELEMENTARY SCHOOL, BRGY. COMETA,</t>
  </si>
  <si>
    <t>20MF0086-Construction of Multi Purpose Building (City Civic Center), Tacurong City, Sultan Kudarat</t>
  </si>
  <si>
    <t>Repair and Rehabilitation of Various School Buildings at Baybay Elementary School</t>
  </si>
  <si>
    <t>GARBAGE PUSH CARTS - 2020</t>
  </si>
  <si>
    <t>20MF0085-Construction of  Multi Purpose Building/Disaster Center at Brgy. Rajah Muda, Tacurong City, Sultan Kudarat</t>
  </si>
  <si>
    <t>Repair and Rehabilitation of Various School Buildings at Old Rizal Elementary School</t>
  </si>
  <si>
    <t>PVC 1</t>
  </si>
  <si>
    <t>DRAINAGE IMPROVEMENT (RIPRAP), GEGONCILLO VILLAGE, BRGY. BALINTAWAK (STRAIGHT CONTRACT LABOR &amp; MATERIALS)</t>
  </si>
  <si>
    <t>Supply and Delivery of Materials for the Improvement/Repair of Motor Pool in Civic Center, Barangay Poblacion.</t>
  </si>
  <si>
    <t>Purchase of Stickers for Tricycle (4 inches x 12 inches)</t>
  </si>
  <si>
    <t>FAUCET</t>
  </si>
  <si>
    <t>Office Supplies Consumables</t>
  </si>
  <si>
    <t>MG-A5M20-100 ( ENGINE OIL, SYNTHETIC )</t>
  </si>
  <si>
    <t>Purchase of Insecticide</t>
  </si>
  <si>
    <t>Repair and Rehabilitation of Various School Buildings at Somoge Elementary School</t>
  </si>
  <si>
    <t>Purchase of Stickers for Tricycle (4 inches x 7 inches)</t>
  </si>
  <si>
    <t>Repair and Rehabilitation of Various School Buildings at Bocsol Elementary School</t>
  </si>
  <si>
    <t>Purchase of Various Office Supplies for LGU of San Jose (2nd Quarter)</t>
  </si>
  <si>
    <t>Purchase of Disaster Paraphernalia’s, Equipment and Uniforms</t>
  </si>
  <si>
    <t>Installation of CCTV</t>
  </si>
  <si>
    <t>BDF/RRMF 2020 INSTALLATION OF STREETLIGHTS CCTV CAMERA RRMF/BDF CCTV CAMERA SUPPLIES DEVICE AND GENERAL MERCHANDISE</t>
  </si>
  <si>
    <t>RICE FOR PREVENTIVE SECURITY MEASURES TO ENSURE PUBLIC SAFETY, CMO</t>
  </si>
  <si>
    <t>Repair and Rehabilitation of Various School Buildings at Paticua Elementary School</t>
  </si>
  <si>
    <t>RE-PAINTING OF DOCTOR’S QUARTER &amp; EIGHT UNITS PRIVATE ROOM, VGDH</t>
  </si>
  <si>
    <t>Supply and Delivery of Various Communication Equipment</t>
  </si>
  <si>
    <t>Savings of CY 2019 Quick Response Fund (Batch 1) Savings – Repair and Rehabilitation of Classrooms</t>
  </si>
  <si>
    <t>20MF0087-Construction of Multi Purpose Building (SK Tourism Hall), Brgy. Kenam, Isulan, Sultan Kudarat</t>
  </si>
  <si>
    <t>Supply and Delivery of Audio Equipment</t>
  </si>
  <si>
    <t>Procurement of Office Equipment for RHU Main, South and North – 2nd Bid</t>
  </si>
  <si>
    <t>YMCKT COLOR RIBBON 500 PRINTS</t>
  </si>
  <si>
    <t>AB BDF AND RRMF 2020 PROJECT- PURCHASE OF CCTV CAMERA AND PUBLIC ADDRESS SYSTEM, SUPPLIES,DEVICES AND GENERAL MERCHANDISE</t>
  </si>
  <si>
    <t>Repair and Rehabilitation of Various School Buildings at Hinatad Elementary School</t>
  </si>
  <si>
    <t>RFQ2020-06-034_SUPPLY AND DELIVERY OF VARIOUS WATER SERVICE CONNECTION MATERIALS FOR INTERCONNECTION AND ACTIVATION OF BALETE WATER SUPPLY PROJECT</t>
  </si>
  <si>
    <t>Procurement of Meals and Snacks for meetings, visitors and other activities – MO 2nd Bid</t>
  </si>
  <si>
    <t>CY 2020 Quick Response Fund – Repair/Rehabilitation of Classrooms</t>
  </si>
  <si>
    <t>CY 2020 Quick Response Fund – Construction of Slope Protection</t>
  </si>
  <si>
    <t>Repair and Rehabilitation of Various School Buildings at McKinley Elementary School</t>
  </si>
  <si>
    <t>Procurement of  Medical Equipment for RHU Main, South and North – 2nd Bid</t>
  </si>
  <si>
    <t>20CE0209: Construction of Multi-Purpose Building, Brgy. Abar 1st, City of San Jose, Nueva Ecija</t>
  </si>
  <si>
    <t>Procurement of Consultancy Services for the “Implementation of the 2020 PhilHealth Client Awareness and Satisfaction Survey”</t>
  </si>
  <si>
    <t>Repair and Rehabilitation of Various School Buildings at Guibuangan Elementary School</t>
  </si>
  <si>
    <t>Repair and Rehabilitation of Various School Buildings at Bulao Elementary School</t>
  </si>
  <si>
    <t>Repair and Rehabilitation of Various School Buildings at May-igot Elementary School</t>
  </si>
  <si>
    <t>Repair and Rehabilitation of Various School Buildings at Salvacion Elementary School</t>
  </si>
  <si>
    <t>Repair and Rehabilitation of Various School Buildings at Bangon Elementary School</t>
  </si>
  <si>
    <t>BARANGAY SERVICE AND RESCUE MOTOR VEHICLE WITH SIDECAR OF ANTIPOLO</t>
  </si>
  <si>
    <t>PURCHASE OF MATERIALS FOR THE CONSTRUCTION/REHABILITATION OF EVACUATION CENTER</t>
  </si>
  <si>
    <t>PROCUREMENT OF AIRCON SPAREPARTS</t>
  </si>
  <si>
    <t>Barangay Office Equipment</t>
  </si>
  <si>
    <t>PROCUREMENT OF CLUTCH PRESSURE PLATE ASSEMBLY</t>
  </si>
  <si>
    <t>Supply and Delivery of Various Food Processing Equipment</t>
  </si>
  <si>
    <t>Supply of materials for the Construction of Lined Canal</t>
  </si>
  <si>
    <t>PURCHASE OF ROUND UP</t>
  </si>
  <si>
    <t>Repair and Rehabilitation of Various School Buildings at Bayho Elementary School, Henaronagan Elementary School and Osmeña Elementary School</t>
  </si>
  <si>
    <t>Supply and Delivery of Various Construction Materials</t>
  </si>
  <si>
    <t>Concreting of Barangay Road (Sitio Nacolil, Brgy Lago Glan Sarangani Province</t>
  </si>
  <si>
    <t>CONSTRUCTION OF SLOPE PROTECTION ALONG BRGY. ROADS OF SITIO CENTRO, PHASE II</t>
  </si>
  <si>
    <t>Supply of materials &amp; rental of concrete mixer for the Concreting of Barangay road</t>
  </si>
  <si>
    <t>Repair and Rehabilitation of Various School Buildings at Talisay Elementary School</t>
  </si>
  <si>
    <t>Repair and Rehabilitation of Various School Buildings at Barobaybay Elementary School</t>
  </si>
  <si>
    <t>Improvement of Water System Transmission Line (Diversion Road)</t>
  </si>
  <si>
    <t>Construction of SLF Multi-Purpose Hall</t>
  </si>
  <si>
    <t>cONSTRUCTION OF pERIMETER fENCE</t>
  </si>
  <si>
    <t>MAINTENANCE AND SERVICING OF BAGGAGE HANDLING SYSTEM</t>
  </si>
  <si>
    <t>Construction Materials (SALINTUBIG-Construction of Warehouse for Potable Water System-Phase I)</t>
  </si>
  <si>
    <t>Labor and materials for the construction of tree nursery</t>
  </si>
  <si>
    <t>Improvement of Barangay Road (Purok Isla, Brgy Burias Glan Sarangani)</t>
  </si>
  <si>
    <t>20GKF0031-Purchase of Materials for Regravelling of Shoulders along Linamon-Zamboanga Road K1570+000-K1573+000.</t>
  </si>
  <si>
    <t>Diesoline (Fuel) MEO- HEI</t>
  </si>
  <si>
    <t>20GKF0035-Purchase of Materials for Regravelling of Road Shoulders along Tubod-Ganassi Road K1600+000-K1605+000.</t>
  </si>
  <si>
    <t>PURCHASE OF VARRIOUS FRUIT BEARING TREES</t>
  </si>
  <si>
    <t>Repair &amp; Maintenance of Conduit Pipelines</t>
  </si>
  <si>
    <t>Repair and Rehabilitation of Various School Buildings at Lo-ok Elementary School and Palanas Elementary School</t>
  </si>
  <si>
    <t>CONSTRUCTION OF SLIOPE PROTECTION</t>
  </si>
  <si>
    <t>CONSTRUCTION OF ROADS</t>
  </si>
  <si>
    <t>20GKF0034-Purchase of Materials for Regravelling of Road Shoulders along LDNICR (Magsaysay-Tubod Section) K1588+000- K1591+600.</t>
  </si>
  <si>
    <t>20GKF0029-Purchase of Various Janitorial Office Supply for use in DPWH-Lanao del Norte 2nd DEO</t>
  </si>
  <si>
    <t>20GKF0033-Purchase of Materials for Regravelling of Road Shoulders along Tubod-Ganassi Road K1590+000-K1595+000.</t>
  </si>
  <si>
    <t>20GKF0032- Purchase of Materials for Regravelling of Shoulders along Linamon-Zamboanga Road K1561+000-K1564+000.</t>
  </si>
  <si>
    <t>20GKF0038-Purchase of Materials for Regravelling of Road Shoulders along Tubod-Ganassi Road K1605+000-K1610+000.</t>
  </si>
  <si>
    <t>Upgrading of Water System</t>
  </si>
  <si>
    <t>Supply and Delivery of Customized Gift Certificates for DTI Pangkabuhayan sa Pag-Bangon at Ginhawa (DTI-PBG)</t>
  </si>
  <si>
    <t>20GKF0036-Purchase of Materials for Regravelling of Shoulders along Linamon-Zamboanga Road K1590+000-K1593+000.</t>
  </si>
  <si>
    <t>Supply and Delivery of Twenty Three (23) Pre-Disaster Communication Equipment</t>
  </si>
  <si>
    <t>20GKF0037-Purchase of Materials for Regravelling of Shoulders along Linamon-Zamboanga Road K1585+000-K1588+000.</t>
  </si>
  <si>
    <t>PB-20-212, Supply &amp; Delivery of Medical Supplies &amp; Medicines for Arakan Valley District Hospital, Antipas, Cotabato</t>
  </si>
  <si>
    <t>Procurement of one unit shredder</t>
  </si>
  <si>
    <t>Supply and Delivery of Two (2) units Hydraulic Hand Pallet Trucks, as per BSP Technical Specifications and Terms and Conditions</t>
  </si>
  <si>
    <t>Procurement of Tocilizumab and other drugs and medicine</t>
  </si>
  <si>
    <t>Purchase of Generator Set to be installed at New Public Market, Barangay Poblacion, Lobo, Batangas</t>
  </si>
  <si>
    <t>Installation of Slope Protection Dike</t>
  </si>
  <si>
    <t>Supply and Delivery of Construction Materials and Solar Street Lamp, (Rebid)</t>
  </si>
  <si>
    <t>20GKF0039-Purchase of Materials for Regravelling of Road Shoulders along Tubod-Ganassi Road K1605+000-K1610+000.</t>
  </si>
  <si>
    <t>Supply and Delivery of AHU Accessories (7 items), as per BSP Technical Specifications and Terms and Conditions</t>
  </si>
  <si>
    <t>Procurement of Aggregates used for Road Concreting of Brgy. Street @ Brgy. San Roque, Socorro, SDN</t>
  </si>
  <si>
    <t>20GKF0030-Purchase of Various Office Supply for use in DPWH-Lanao del Norte 2nd DEO</t>
  </si>
  <si>
    <t>Procurement of Hardware Materials used for Road Concreting of Brgy. Street @ Brgy. San Roque, Socorro, SDN</t>
  </si>
  <si>
    <t>One (1) Lot Supply, Delivery, Installation, Configuration and Testing of Six (6) units High Speed Line Matrix Printer including Consumables, as per BSP Terms of Reference</t>
  </si>
  <si>
    <t>Construction of Multi-Purpose Centers (Purok 3, Tagulayan Palma Gil &amp; Sitio Salawao, Sto. Nino, Talaingod, DDN)</t>
  </si>
  <si>
    <t>Supply and Delivery of Construction Materials for the Construction/Rehabilitation of Local Roads, bgry. Janagdong (Rebid)</t>
  </si>
  <si>
    <t>20GKF0040-Purchase of Materials for Regravelling of Shoulders along Linamon-Zamboanga Road K1576+000-K1579+000.</t>
  </si>
  <si>
    <t>PB-20-303, Supply &amp; Delivery of Medical Supplies for Mlang District Hospital, Mlang, Cotabato</t>
  </si>
  <si>
    <t>CONDUCT INSET (MAY 2020 &amp; OCTOBER 2020)</t>
  </si>
  <si>
    <t>PB-20-306, Supply &amp; Delivery of Office Equipment for the Office of the Provincial Veterinarian, Amas, Kidapawan City</t>
  </si>
  <si>
    <t>CONDUCT DISTRICT PROFESSIONAL MEETING (July 2020)</t>
  </si>
  <si>
    <t>PROCUREMENT OF CONSTRUCTION SUPPLIES AND MATERIALS OF BARANGAY LA CARIDAD</t>
  </si>
  <si>
    <t xml:space="preserve">20OH0148-Local  Program - Construction/Repair/Rehabilitation/Improvement  of  various   Infrastructure including Local Projects-Buildings and other Structures-Multi-Purpose/facilities-Construction of </t>
  </si>
  <si>
    <t>PB-20-312, Supply &amp; Delivery of Hardware Supplies for distribution to different barangay/recipients of the province</t>
  </si>
  <si>
    <t>20OH0149-Local Program-Local Infrastructure Program-Buildings and other Structures-  Multipurpose / Facilities - Construction of Multi-purpose Building and Facilities, Pres. Corazon C. Aquino Senior H</t>
  </si>
  <si>
    <t>PB-20-311, Supply &amp; Delivery of Relief Supplies for distribution to E-CLIP beneficiaries</t>
  </si>
  <si>
    <t>PB-20-313, Supply &amp; Delivery of Brochures to be distributed to walk-in clients (farmers) of the Office of Provincial Agriculturist, Amas, Kidapawan City</t>
  </si>
  <si>
    <t>PB-20-310, Supply &amp; Delivery of Laptop Computers for the Office of the Vice Governor and the Sangguniang Panlalawigan, Amas, Kidapawan City</t>
  </si>
  <si>
    <t>PB-20-305, Supply &amp; Delivery of Veterinary Equipment for the Office of the Provincial Veterinarian, Amas, Kidapawan City</t>
  </si>
  <si>
    <t>PB-20-309, Supply &amp; Delivery of Laboratory Reagents for Mlang District Hospital, Mlang, Cotabato</t>
  </si>
  <si>
    <t>20OH0102 Re-ads-Local Program-Local  Infrastructure  Program-Buildings  and other Structures - Multi-Purpose/Facilities-Construction of Multi-Purpose Building Villamor Air Base, Pasay City</t>
  </si>
  <si>
    <t>PB-20-304, Supply &amp; Delivery of IV Fluids for Mlang District Hospital, Mlang, Cotabato</t>
  </si>
  <si>
    <t>Construction/Rehabilitation of Local Roads</t>
  </si>
  <si>
    <t>20OH0151-Proposed Construction/Rehabilitation of Water Supply/Septage and Sewerage/Rainwater Collector-Rainwater Collector System at: 1)	Aurora A. Quezon E/S San Andres cor. Vasquez, Malate, Manila 2)</t>
  </si>
  <si>
    <t>PB-20-308, Supply &amp; Delivery of Various Agricultural Supplies for the Office of Provincial Agriculturist, Amas, Kidapawan City</t>
  </si>
  <si>
    <t>Supply and Delivery of Pipes and Fittings for the Rehabilitation/Improvement of Poblacion/Barangay Waterworks System (rebid)</t>
  </si>
  <si>
    <t>Construction of School Fencing (Phase II) (Sto. Nino Central Elementary School, Talaingod, DDN</t>
  </si>
  <si>
    <t>PB-20-316, Supply of Diesel Fuel for the use of various activities and official vehicles of the Office of the Vice Governor and Sangguniang Panlalawigan, Amas, Kidapawan City</t>
  </si>
  <si>
    <t>PR# 20-02-356 (REPOSTING) PROCUREMENT OF EIGHT (8) UNITS 7HP MARINE ENGINE (GASOLINE FED) WITH COMPLETE ACCESSORIES UNDER SAAD 2020 FOR COASTAL MUNICIPALITY OF BOHOL</t>
  </si>
  <si>
    <t>PR# 20-02-355 (REPOSTING) PROCUREMENT OF VARIOUS MATERIALS FOR FABRICATION OF 8 UNITS (22FT) MOTORIZED FRP BOAT UNDER SAAD 2020 FOR COASTAL MUNICIPALITY OF BOHOL</t>
  </si>
  <si>
    <t>PR# 19-12-1699 (REPOSTING) PROCUREMENT OF NINETY (90) UNITS 7.5HP MARINE ENGINE (DIESEL) WITH COMPLETE ACCESSORIES FOR CEBU PROVINCE</t>
  </si>
  <si>
    <t>PB-20-307, Supply &amp; Delivery of IT &amp; Office Equipment for the Provincial Human Resource Management Office, Amas, Kidapawan City</t>
  </si>
  <si>
    <t>PR# 20-02-359 &amp; 20-02-360 (REPOSTING) PROCUREMENT OF TWO (2) UNITS MULTI-PURPOSE VEHICLE</t>
  </si>
  <si>
    <t>PR# 20-01-110 (REPOSTING) PROCUREMENT OF FIFTEEN (15) UNITS 7HP MARINE ENGINE (GASOLINE FED) WITH COMPLETE ACCESSORIES UNDER TARGET 2020 FOR COASTAL MUNICIPALITY OF BOHOL</t>
  </si>
  <si>
    <t>PR# 19-12-1700 (REPOSTING) PROCUREMENT OF TEN (10) UNITS 20HP MARINE ENGINE (DIESEL) WITH COMPLETE ACCESSORIES FOR CEBU PROVINCE</t>
  </si>
  <si>
    <t>Proposed Improvement of Multi-Purpose Building (Improvement and Completion of Second Floor) at JP Laurel Street, Brgy. Poblacion, Kidapawan City</t>
  </si>
  <si>
    <t>Installation of Solar Street Lights ALong San Pedro Calungsod Parish going to Brgy. Upper Katungal, City of Tacurong</t>
  </si>
  <si>
    <t>Procurement of Bottle and Glass Crusher</t>
  </si>
  <si>
    <t>CONSTRUCTION OF LEACHATE POND ( SANITARY LANDFILL)</t>
  </si>
  <si>
    <t>Repair of Brgy. Botoc Health Station and Installation of Facilities</t>
  </si>
  <si>
    <t>Procurement of Mental Drugs Lot 1</t>
  </si>
  <si>
    <t>Proposed Road Concreting of Circumferential Road/Ninoy Aquino Extension at junction Kidapawan-Calunasan Mlang Road-Purslane Section, Brgy. Magsaysay, Kidapawan City</t>
  </si>
  <si>
    <t>Proposed Construction of Feedmill Plant (15.0m x 15.0m One(1) Storey Building) at Brgy. Paco, Kidapawan City</t>
  </si>
  <si>
    <t>20CB-GSC-299 PRINTING OF VARIOUS NON-ACCOUNTABLE FORMS FOR CITY ASSESSORS OFFICE (RE-BID)</t>
  </si>
  <si>
    <t>20CSZ004 - CONSULTING SERVICES FOR THE FORMULATION OF DPWH GENDER AND DEVELOPMENT (GAD) AGENDA, GAD STRATEGIC FRAMEWORK AND PLAN, AND ENHANCEMENT OF DPWH GAD TOOLKIT</t>
  </si>
  <si>
    <t>20CB-GSC-301 PURCHASE OF MARINE SUPPLIES</t>
  </si>
  <si>
    <t>Procurement of Mental Drugs Lot 5</t>
  </si>
  <si>
    <t>20CB-GSC-297 PURCHASE OF SCHOOL SUPPLIES (SEF)</t>
  </si>
  <si>
    <t>Procurement of Mental Drugs Lot 7</t>
  </si>
  <si>
    <t>Procurement of Mental Drugs Lot 4</t>
  </si>
  <si>
    <t>Procurement of Mental Drugs Lot 6</t>
  </si>
  <si>
    <t>Purchase of One  (1) Unit  Heavy Equipment  for use at DPWH-Bataan 1st   District Engineering Office  (DEO), Orani,Bataan</t>
  </si>
  <si>
    <t>20CB-GSC-298 PURCHASE OF TOOLS AND MATERIALS FOR ROBOTICS (SEF)</t>
  </si>
  <si>
    <t>SURVEY SERVICES FOR AFP-RSBS MINDORO PROPERTY</t>
  </si>
  <si>
    <t>Supply and delivery of various construction materials for Various Projects LOT 5</t>
  </si>
  <si>
    <t>Diesel Fuel etc. (05-0543) CMO</t>
  </si>
  <si>
    <t>20CB-GSC-296 PURCHASE OF BOOK BINDING MACHINE</t>
  </si>
  <si>
    <t>Construction of Cordova Public Market (Cordova Town Square)</t>
  </si>
  <si>
    <t>Supply and delivery of withdrawal slip booklet for the CDRRMO, Kidapawan City.</t>
  </si>
  <si>
    <t>20F00124 - 1. Drainage at Brgy. Rawis, Legazpi City Junction to Secondary National Road, Legazpi City – Sto. Domingo-Tabaco-Tiwi-Camarines Sur Bdry. Road, Brgy. Rawis, Legazpi City, Albay 2nd Legislat</t>
  </si>
  <si>
    <t>ITB-REBID03-2020</t>
  </si>
  <si>
    <t>20OH0150-Renovation of Planning Service Offices, DPWH Head Office, Bonifacio Drive, Port Area, Manila</t>
  </si>
  <si>
    <t>Procurement of Ascorbic Acid Drops and Ascorbic Syrup</t>
  </si>
  <si>
    <t>REHABILITATION OF FISH PONDS</t>
  </si>
  <si>
    <t>Supply and delivery of plumbing materials for the Proposed Installation of waterlines at Sitio Riverside – Sitio Maangue – Sitio Mateo, Brgy. Birada, Kidapawan City.</t>
  </si>
  <si>
    <t>Installation of Solar Street Lights Panel for Clarin Town Center, Pob. 2, Clarin, Misamis Occidental</t>
  </si>
  <si>
    <t>Supply and delivery of grocery items and perishable goods for the use of Kidapawan City Hospital.</t>
  </si>
  <si>
    <t>ITB-B12-2020</t>
  </si>
  <si>
    <t>IMPROVEMENT OF OTHER PUBLIC STRUCTURE BUILDING &amp; FACILITIES</t>
  </si>
  <si>
    <t>20GA0214-Construction of Drainage Structure along Aklan East Road Aklan East Road – K0280+350 – K0280+827  Aklan East Road</t>
  </si>
  <si>
    <t>19GF00030 - Supply and Delivery of Additional Global Navigation Satellite System assigned at PDD (PR No. 20-03-074 dated 3/09/2020), DPWH Regional Office No. V, Rawis, Legazpi City</t>
  </si>
  <si>
    <t>Supply and delivery of Office and janitorial supplies for the use of the CPDC Office and Kidapawan City Police Station.</t>
  </si>
  <si>
    <t>IMPROVEMENT OF ANDELUCIA FMR</t>
  </si>
  <si>
    <t>FABRICATION AND SUPPLY OF FIBER GLASS MOTORIZED MOTORBOAT AND NON-MOTORIZED MOTORBOAT(SIBID-SIBID)</t>
  </si>
  <si>
    <t>IMPROVEMENT OF MULTI-PURPOSE DRYING PAVEMENT - CAMANGAAN, SAN  JUAN, ILOCOS SUR</t>
  </si>
  <si>
    <t>20GA0215-Construction of Road Slope Protection Structures along Aklan West Road Aklan West Road (Kalibo-Nabas) (S00480PN) K0243+981.00 – K0244+045.00</t>
  </si>
  <si>
    <t>supply and delivery of hardware materials use for the construction of CR (macalino E/S)</t>
  </si>
  <si>
    <t>SUPPLY AND DELIVERY OF ONE (1) UNIT 6-WHEELER 4 x 4, 6 CUBIC METER DUMPTRUCK</t>
  </si>
  <si>
    <t>COMPLETION OF STANDARD BIRTHING CLINIC - ALIMIT</t>
  </si>
  <si>
    <t>20GA0157-Construction of Multi-Purpose Building  Brgy. Balabag, Malay, Aklan</t>
  </si>
  <si>
    <t>Construction of Perimeter fence at the reforestation project located at Malabbac</t>
  </si>
  <si>
    <t>20GA0167-Construction of Multi-Purpose Building  In Brgy. Balabag, Malay, Aklan</t>
  </si>
  <si>
    <t>CONSTRUCTION OF STANDARD DAYCARE CENTER BUILDING WITH COMPLETE FACILITIES</t>
  </si>
  <si>
    <t>20GA0142-Construction of Multi-Purpose Building (Covered Court) Brgy. Poblacion, Tangalan, Aklan</t>
  </si>
  <si>
    <t>IMPROVEMENT OF FMR-EDRALIN-ATAN ROAD</t>
  </si>
  <si>
    <t>SUPPLY AND DELIVERY OF OILS AND LUBRICANTS-PEO</t>
  </si>
  <si>
    <t>Concrete Paving along River Park 100LM(Phase 1) (06-0592)CPDO</t>
  </si>
  <si>
    <t>B-19-20-002– ROAD REBLOCKING AND CONSTRUCTION OF DRAINAGE CANAL WITH COVER AT BARANGAY MANGGAHAN, CITY OF GENERAL TRIAS, CAVITE</t>
  </si>
  <si>
    <t>CONSTRUCTION OF TALONGSONG POBLACION BAILEY BRIDGE</t>
  </si>
  <si>
    <t>Supply and Delivery of hardware materials use for the Construction of Gamamatan Comfort Room</t>
  </si>
  <si>
    <t>2 COMFORT ROOMS &amp; KITCHEN SINK</t>
  </si>
  <si>
    <t>20GA0130-Improvement/Continuing Const. of Multi-Purpose Building  Brgy. Poblacion, Balete, Aklan</t>
  </si>
  <si>
    <t>PROCUREMENT OF 2 UNIT AMBULANCE (TYPE 1) BAC 2020-E06</t>
  </si>
  <si>
    <t>WATER &amp; SANITATION 1 (ELEVATED FLOORING, WITH ROOFING &amp; 10 FAUCET)</t>
  </si>
  <si>
    <t>Procurement of Oxygen Tanks and Refill</t>
  </si>
  <si>
    <t>Procurement of Dental Digital Panoramic X-ray Machine with Complete Accessories and Installation</t>
  </si>
  <si>
    <t>Procurement of Information and Communication Technology Equipment</t>
  </si>
  <si>
    <t>Proposed Construction of Level II Portable Water System(Drilling/Construction of Steel Tank/Pipelines) at Purok 7, Brgy. Macebolig, Kidapawan City</t>
  </si>
  <si>
    <t>Supply and Delivery of Desktop Computer and Other Equipment</t>
  </si>
  <si>
    <t>Proposed Construction of Level II Portable Water System(Drilling/Construction of Steel Tank/Pipelines) at Sitio Puas Inda, Brgy. Amas, Kidapawan City.</t>
  </si>
  <si>
    <t>GOV-20-0331-NP (SV) / Purchase of Steel Cabinet</t>
  </si>
  <si>
    <t>CONSTRUCTION OF DAYCARE CENTER-CAPISAAN</t>
  </si>
  <si>
    <t>IMPROVEMENT OF LOWER SISI-MANTAE-LIMAN ROAD</t>
  </si>
  <si>
    <t>P.R. No. 20-101-013 "Procurement of Books for the different Colleges of Basilan State College Main Campus"</t>
  </si>
  <si>
    <t>CONCRETING OF FMR (KAKIDUGEN-CATARAWAN)</t>
  </si>
  <si>
    <t>SUPPLY AND DELIVERY OF RUBBER POTS WITH REFLECTORIZED STICKER  (P.R. NO. 100-20-05-0210)</t>
  </si>
  <si>
    <t>BID-2020-06-78 JJASGH- PROC OF VARIOUS AIRCONDITIONING UNITS</t>
  </si>
  <si>
    <t>BID-2020-06-75 JJASGH -TWO UNITS BED PASSENGER ELEVATOR</t>
  </si>
  <si>
    <t>FABRICATION / INSTALLATION OF SOLAR LAMP STREET LIGHTINGS</t>
  </si>
  <si>
    <t>Purchase and Delivery of Traditional Instruments (Gongs-Kalsa &amp; Pinsak and Solibao-Solibao &amp; Kimbal)</t>
  </si>
  <si>
    <t>Procurement of Catering Services for the 4th Level Training 2020 CPH of PSA RSSO IX and the Provinces</t>
  </si>
  <si>
    <t>PROCUREMENT OF 26 UNITS MOTOR CYCLE W/ SIDECAR</t>
  </si>
  <si>
    <t>Construction of Multi – Purpose Pavement located at Ajat</t>
  </si>
  <si>
    <t>CONSTRUCTION OF LOOM RIVER FRONT PARK AT BARANGAY TABOC, BORONGAN CITY EASTERN SAMAR</t>
  </si>
  <si>
    <t>Improvement and Reblocking of Abasag St.</t>
  </si>
  <si>
    <t>Completion of Slaughterhouse</t>
  </si>
  <si>
    <t>Proposed Construction of Level II Portable Water System(Drilling/Construction of Steel Tank/Pipelines) at Sitio Lika, Brgy. Onica, Kidapawan City</t>
  </si>
  <si>
    <t>supply and delivery of hardware materials use for the rehabilitation of ninoy aquino spring development</t>
  </si>
  <si>
    <t>BID - Various Manila Aide Uniforms, Supplies and Materials - DPS 2nd qtr</t>
  </si>
  <si>
    <t>Procurement of Spare Parts for the Repair and Maintenance of Transportation Equipment</t>
  </si>
  <si>
    <t>Procurement of Space Spray (cyphenothrin 5%,BTL)</t>
  </si>
  <si>
    <t>Procurement of Mental Drugs Lot 3</t>
  </si>
  <si>
    <t>Procurement of Mental Drugs Lot 2</t>
  </si>
  <si>
    <t>Repair and Maintenance - Big dome</t>
  </si>
  <si>
    <t>19GF00029 - Supply and Installation of Additional 3-units Air Conditioning Units at Construction Division DPWH RO-V, (PR No. 20-02-038 dated 2/19/2020), DPWH Regional Office No. V, Rawis, Legazpi City</t>
  </si>
  <si>
    <t>CONDUCT WORLD TEACHER'S DAY (October 2020)</t>
  </si>
  <si>
    <t>Procurement of Fully Automated Digital Radiography Ceiling Mounted with Design and Build with Integrated Radiololy Information System (RIS)</t>
  </si>
  <si>
    <t>Procurement of Various Construction Supplies and Materials - DEPW</t>
  </si>
  <si>
    <t>PEO-20-0383-B CONCRETING OF LEON-OMAMBONG-CORDOVA ROAD, Leon, Iloilo</t>
  </si>
  <si>
    <t>Procurement of Various Electrical Supplies and Materials P.R. No. 636 - DEPW</t>
  </si>
  <si>
    <t>Procurement of Asphalt, Bitumul and Thermoplastic Lane Marking P.R. No. 630 - DEPW</t>
  </si>
  <si>
    <t>Rental of Heavy Equipment P.R. No. 137 - DEPW</t>
  </si>
  <si>
    <t>CONSTRUCTION OF MUNICIPAL CEMETERY EXTENSION (PHASE III) LOCATED AT SAN ANTONIO, AGOO, LA UNION</t>
  </si>
  <si>
    <t>PEO-19-2099-B Concreting of Municipal Road in Zones 1, 2 and 3 at Barangay Captain Agustin Tirador Janiuay, Iloilo</t>
  </si>
  <si>
    <t>PEO-20-0381-B Concreting of Barasan-Bantay Road Santa Barbara, Iloilo (Brgy. Dalid-Brgy. Buayahon)</t>
  </si>
  <si>
    <t>PEO-20-0551-B Concreting of Duyan-Duyan- Bacan Road Cabatuan, Iloilo</t>
  </si>
  <si>
    <t>PEO-19-1502-B Construction of Elementary School Water Systems in the 3rd District of Iloilo; 1) Construction of Water System       a. San Gregorio  Elementary School, Lambunao, Iloilo      b. Pajo Ele</t>
  </si>
  <si>
    <t>COA-20-020-B  Proposed Repair/Improvement Commission on Audit Storage Building  Provincial Equipment Pool Compound, Sta. Barbara, Iloilo</t>
  </si>
  <si>
    <t>FRT-19-628-B (RE-BID 2)  Automatic Detection and Fire Alarm System at Federico Roman Tirador Sr. Memorial District Hospital Janiuay, Iloilo</t>
  </si>
  <si>
    <t>IPH-19-1021-B (Re-Bid) Proposed Landscaping of Iloilo Provincial Hospital, Pototan, Iloilo</t>
  </si>
  <si>
    <t xml:space="preserve">PEO-19-1487-B (RE-BID) Construction/Improvement of Water System in the 3rd District of Iloilo  1)Construction of Water System:    Brgy. Guibuangan Tigbauan, Iloilo 2) Improvement of Water System:     </t>
  </si>
  <si>
    <t>PEO-19-2036-B  Repair and Improvement of Provincial Administration Building of Provincial Equipment Pool Sta. Barbara, Iloilo</t>
  </si>
  <si>
    <t>Procurement of Various Vehicle Spare Parts P.R. Nos. 635 &amp; 634 - DEPW</t>
  </si>
  <si>
    <t>PEO-19-1489-B (RE-BID) Construction of Various Water Systems in the 4th District of Iloilo</t>
  </si>
  <si>
    <t>SDH-18-2253-B (RE-BID) Construction of PHU Complex with Conference Hall and Storage Area of Sara District Hospital (Phase 1) Sara, Iloilo</t>
  </si>
  <si>
    <t>Preventive Maintenance Services for Various Hospital and Medical Equipment - SAH</t>
  </si>
  <si>
    <t>Procurement of Various Supplies and Materials, DSW-PR-575</t>
  </si>
  <si>
    <t>ITB No. 2020-002-CSL - SUPPLY AND DELIVERY OF VARIOUS LABORATORY STANDARDS, REAGENTS AND MEDIA FOR ALABANG TESTING AND QUALITY ASSURANCE LABORATORY (ATQAL) AND CEBU TESTING AND QUALITY ASSURANCE LABOR</t>
  </si>
  <si>
    <t>PEO-20-0554-B Concreting of Estancia - Gogo Road Estancia, Iloilo</t>
  </si>
  <si>
    <t>PROCUREMENT OF MEDICAL SUPPLIES</t>
  </si>
  <si>
    <t>PROPOSED CONSTRUCTION OF CONCRETE PERIMETER FENCE</t>
  </si>
  <si>
    <t>Supply and Delivery of  Equipment, Supplies and Consumables For Use in CASC, CEng, Sci Lab, CEngSC, D Post, CASSC, CESC, GAD, KMS, Guidance And Registration &amp; Admission Office/ (IAEB NO. 2020-005)</t>
  </si>
  <si>
    <t>CONSTRUCTION OF TWO CLASSROOM AT GABIHAN HIGH SCHOOL</t>
  </si>
  <si>
    <t>Supply, Delivery and Installation of Office Furniture And Fixture For Use In CASC, Sci Lab, D Post Office, CESC, Guidance Office, KMS And Registration And Admission Office</t>
  </si>
  <si>
    <t>Construction of Bank Protection at Abowok, Junction, Pinukpuk</t>
  </si>
  <si>
    <t>CONSTRUCTION OF DAYCARE CENTER AT BRGY. SAPANG PUTIK</t>
  </si>
  <si>
    <t>CONSTRUCTION OF SCHOOL CANTEEN AT SAN ILDEFONSO NATIONAL HIGH SCHOOL</t>
  </si>
  <si>
    <t>Procurement of one (1) lot Molecular Laboratory Set Up, OMMC-PR-555</t>
  </si>
  <si>
    <t>CONSTRUCTION OF SCHOOL STAGE AT PULONG TAMO ELEMENTARY SCHOOL</t>
  </si>
  <si>
    <t>INVITATION TO BID FOR THE PROCUREMENT OF SUBMERSIBLE PUMPS WITH CAPACITOR</t>
  </si>
  <si>
    <t>Re-bidding Supply and Delivery of Ground Penetrating Radar</t>
  </si>
  <si>
    <t>CONSTRUCTION OF DAYCARE CENTER AT BRGY. BUBULONG MUNTI</t>
  </si>
  <si>
    <t>PEO-20-0482-B CONCRETING OF CABATUAN – ACAO – ITO ROAD  Cabatuan, Iloilo</t>
  </si>
  <si>
    <t>Supply &amp; Delivery of Materials for the Repair and Maintenance of Other Transportation Equipment</t>
  </si>
  <si>
    <t>ITB No. 2020-003-CSL - SUPPLY AND DELIVERY OF VARIOUS LABORATORY SUPPLIES, GLASSWARE AND INSTRUMENT CONSUMABLES FOR ALABANG TESTING AND QUALITY ASSURANCE LABORATORY (ATQAL) AND CEBU TESTING AND QUALIT</t>
  </si>
  <si>
    <t>Road Concreting of Purok Riverside</t>
  </si>
  <si>
    <t>CONSTRUCTION OF SCHOOL STAGE AT STA. CATALINA BATA ELEMENTARY SCHOOL</t>
  </si>
  <si>
    <t>CY 2020 QRF SCHOOL GROUND SLOPE PROTECTION AT GOHANG NHS, GOHANG, BANAUE, IFUGAO</t>
  </si>
  <si>
    <t>ENG’G PASBAC 001-20 Supply and Delivery of Three (3) Units Well Drilling Truck/Rig (Rotary) with Trailer and Accessories</t>
  </si>
  <si>
    <t>CONSTRUCTION OF EVACUATION CENTER (PHASE III)</t>
  </si>
  <si>
    <t>Supply &amp; Delivery of Other Supplies</t>
  </si>
  <si>
    <t>Concreting &amp; Widening of Barangay Road</t>
  </si>
  <si>
    <t>Supply and Delivery of Various Materials for the Completion/Improvement of Multi-Purpose Building (Re-Bid)</t>
  </si>
  <si>
    <t>Bond Paper Short,Bond Paper Long,Mosquito Killer,etc....</t>
  </si>
  <si>
    <t>Supply and Delivery of Various Materials for the Construction of Drainage System at Timoteo Vedra Extension in Barangay Pooc Oriental (Re-Bid)</t>
  </si>
  <si>
    <t>2020-05-0109/2020-06-0110 - Furnishing/Delivery of Office Supplies for use in the District</t>
  </si>
  <si>
    <t>SUPPLY AND DELIVERY OF MOBILE CARS FOR THE PHILIPPINE NATIONAL POLICE - MALABON</t>
  </si>
  <si>
    <t>Various Gate Valves Flanged Type</t>
  </si>
  <si>
    <t>Supply &amp; Delivery of Various Medicine</t>
  </si>
  <si>
    <t>Construction of Apartment Type Tomb at Catarman Public Cemetery</t>
  </si>
  <si>
    <t>Supply &amp; Delivery of Materials for the Fabrication of Water Tanker w/ Trailer –Brgy. Maniki, Kapalong</t>
  </si>
  <si>
    <t>PROCUREMENT OF RESCUE ROPES FOR BASIC ROPE RESCUE SKILLS</t>
  </si>
  <si>
    <t>DRRM Supplies and Materials</t>
  </si>
  <si>
    <t>2x3x16 Lumber,2x4x6 Lumber,Hollow Block No.4,etc...</t>
  </si>
  <si>
    <t>Construction of Nutripack Center at Brgy. San Roque, Oras, Eastern Samar</t>
  </si>
  <si>
    <t>20GA0141-Road Widening along Ibajay-Antique Road Ibajay-Antique Road - K0229 + (-176) – K0231 + 254, K0231 + 278 – K0231 + 297</t>
  </si>
  <si>
    <t>REHABILITATION OF CAGUBATAN DOMESTIC DOMESTIC WATER SYSTEM</t>
  </si>
  <si>
    <t>PURCHASE OF MATERIALS FOR CONSTRUCTION WATER SYSTEM</t>
  </si>
  <si>
    <t>Supply &amp; Delivery One (1) unit Mini Hydraulic Excavator</t>
  </si>
  <si>
    <t>ENG’G PASBAC 013-20 Supply and Delivery of Materials for the Repair and Renovation of Veterans Center Building at Camp Aguinaldo, Quezon City</t>
  </si>
  <si>
    <t>Construction of FMR</t>
  </si>
  <si>
    <t>BDRRM RESCUE SUPPLIES AND EQUIPMENT</t>
  </si>
  <si>
    <t>Supply &amp; Delivery of Materials for the Improvement of Water System at Prk. 2, Taguango, Brgy. Sua-on, Kapalong, Davao del Norte</t>
  </si>
  <si>
    <t>Supply/Delivery of Electrical Resistivity Instrument</t>
  </si>
  <si>
    <t>Supply &amp; Delivery of Materials for Proposed Closure and Rehabilitation of Open Dumpsite at Banate Capungagan, Kapalong, Davao del Norte</t>
  </si>
  <si>
    <t>PROCUREMENT OF VARIOUS VEHICLE SPARE PARTS</t>
  </si>
  <si>
    <t>Supply &amp; Delivery of Animal/Zoological Supplies</t>
  </si>
  <si>
    <t>PROCUREMENT OF FUEL (JULY TO DECEMBER 2020)</t>
  </si>
  <si>
    <t>Rebidding of the requirement To hire contractor to provide materials, labor, and equipment for the “Concreting of Road, Barangay Kagawasan, Guihulngan City, Negros Oriental”  (B-79-2020)</t>
  </si>
  <si>
    <t>ENG’G PASBAC 012-20 Supply and Delivery of Materials and Labor for the Enhancement of Financial Records Branch (FRB) Building at Fort Bonifacio, MM</t>
  </si>
  <si>
    <t>To purchased FIBER GLASS BOARD WITH BASKETBALL WITH RING</t>
  </si>
  <si>
    <t>Supply &amp; Delivery of Materials for the Construction of Adolescent Health Center at Brgy. Maniki, Kapalong</t>
  </si>
  <si>
    <t>Package 017- Construction of Lamut Sanitary LandFill- Cell 3</t>
  </si>
  <si>
    <t>Installation of Additional Streetlights</t>
  </si>
  <si>
    <t>Provision of Information Technology (IT) equipments for the Education Technology laboratory and for the conduct of mobile laboratory assessment for computer subject of BSIT &amp; SHS-CSS Track of the Poly</t>
  </si>
  <si>
    <t>Dispersal - OMAG</t>
  </si>
  <si>
    <t>RFQ-GS-20200603-02 - 1 Lot Supply, Delivery, Installation, Testing &amp; Commissioning of Airconditioning Units at LANDBANK Lingayen (Pangasinan) Branch &amp; Buendia Cash Center</t>
  </si>
  <si>
    <t>Construction Materials for the Road Concreting of Farm-to-Market Road  Calula,  R. T. Lim, Zamboanga Sibugay</t>
  </si>
  <si>
    <t>ITB Motorcycles</t>
  </si>
  <si>
    <t>Improvement of Drainage System @ Sitio Lower Binugao</t>
  </si>
  <si>
    <t>Purchase of Office Supplies and Equipments for printing of modules for the delivery of flexible learning through provision of Printed Modules for College Students, AY 2020-2021, Polytechnic College of</t>
  </si>
  <si>
    <t>To Purchased MOTOR CYCYLE WITH SIDECAR</t>
  </si>
  <si>
    <t>Procurement of Agricultural Machinery and Equipment</t>
  </si>
  <si>
    <t>Purchase of Five (5) units Floor Standing Air Conditioner including Installation for Various Offices</t>
  </si>
  <si>
    <t>Concreting of Pathways at Different Barangays</t>
  </si>
  <si>
    <t>Procurement of 1 Year Security Services</t>
  </si>
  <si>
    <t>SUPPLY/DELIVERY OF VARIOUS EMERGENCY EVACUATION EQUIPMENT</t>
  </si>
  <si>
    <t>Construction/Rehabilitation of River Control</t>
  </si>
  <si>
    <t>Supply and delivery of materials to support barangay socio-economic development projects</t>
  </si>
  <si>
    <t>PURCHASE OF OFFICE FURNITURE'S FOR THE OFFICE OF THE MAYOR AND SANGGUNIANG BAYAN</t>
  </si>
  <si>
    <t>Construction/Improvement/Widening of Box Culvert at Purok 4 in Brgy. San Miguel</t>
  </si>
  <si>
    <t>Procurement of paints, lights and construction materials for the repair and maintenance of the Municipal Auditorium and Municipal Hall</t>
  </si>
  <si>
    <t>Supply and Delivery of Various Electrical and Plumbing Materials (Pampanga Branch)</t>
  </si>
  <si>
    <t>IMPROV./ CONST. OF DAYCARE CENTER (Brgy. Laiya Ibabao)</t>
  </si>
  <si>
    <t>SUPPLY AND DELIVERY OF FRUIT TREES SEEDLINGS FOR FOOD SECURITY 2020, IMPASUGONG, BUKIDNON</t>
  </si>
  <si>
    <t>2020-GOODS-04; SUPPLY OF DIESEL FUEL FOR USE IN THE SERVICE VEHICLES OF DPWH REGIONAL OFFICE XIII FOR 3RD QUARTER AND 4TH QUARTER OF CY 2020, J. ROSALES AVENUE, BUTUAN CITY</t>
  </si>
  <si>
    <t>20OF0312 Repair of Hallways and Ceiling at the South Wing Annex Building from the Second to the Fourth Floors, including Aluminum Swing Door Enclosures at the East and West Stairwells HREP Compound, B</t>
  </si>
  <si>
    <t>20OF0314 Repair/Repainting of Exterior Walls and Doors of House Members Offices in the North and Batasan Complex, Brgy. Batasan Hills, Q.C.</t>
  </si>
  <si>
    <t>PURCHASE OF SUPPLIES &amp; MATERIALS  FOR THE REPLACEMENT/INSTALLATION OF MARKER BUOY</t>
  </si>
  <si>
    <t>Repair of Heritage Building Extension</t>
  </si>
  <si>
    <t>Construction of Slope Protection at Buga, Nabonton</t>
  </si>
  <si>
    <t>Procurement of Manlift Platform Truck with Folding Boom</t>
  </si>
  <si>
    <t>Construction of Comfort Room</t>
  </si>
  <si>
    <t>20OF0316 Construction/Rehabilitation of Water Supply/Septage and Sewerage/Rain Water Collectors-Rain Water Collectors in Public Facilities, Q.C.</t>
  </si>
  <si>
    <t>Procurement of Chemicals, Laboratory Equipment &amp; Supplies</t>
  </si>
  <si>
    <t>RFQ-2020-06-0029-Activity 111-Premix Patching Bituminous Pavement (Furnishing of Premix Asphalt) along Pangasinan-Zambales Road (S00319LZ), KO313+000 to KO319+000 with exception</t>
  </si>
  <si>
    <t>Emergency supplies for covid 19</t>
  </si>
  <si>
    <t>Procurement of Materials for Installation of the Solar Streetlights</t>
  </si>
  <si>
    <t>20OF0315 General Repair and Rehabilitation of the Main Building Roofing HREP Compound, Batasan Road, Brgy. Batasan Hills, Q.C.</t>
  </si>
  <si>
    <t>PROCUREMENT OF FOUR (4) UNITS GENERATOR SET FOR THE PPSC HEAD OFFICE AND NPC SILANG</t>
  </si>
  <si>
    <t>RFQ-2020-06-0031-Activity 71x Special Maintenance (Pavement Maintenance)-Furnishing of Emulsified Asphalt (Cationic SS1) for use in the rectication of defects on Asphalt Pavement along Pangasinan-Zamb</t>
  </si>
  <si>
    <t>Improvement of Multi-purpose Hall,  Tubod Bacong, Negros Oriental</t>
  </si>
  <si>
    <t>CONSTRUCTION OF MULTI - PURPOSE BUILDING @ BRGY. LANTIAN, LABANGAN, ZDS</t>
  </si>
  <si>
    <t>3 units Dosing Pump and 3 units Heavy Duty Stirrer / Agitator</t>
  </si>
  <si>
    <t>REPLACEMENT OF BASKETBALL GOAL POST TO FIBER GLASS @ BRGY. LANGAPOD, LABANGAN ZDS</t>
  </si>
  <si>
    <t>ITB 2020-06-74 Procurement of Food and Drinks for MCC</t>
  </si>
  <si>
    <t>1	unit	6 Wheeler Brand New Garbage Compactor, PR # 207-20</t>
  </si>
  <si>
    <t>DRRM COMMAND CENTER/CCTV CONTROL BUILDING - COMPLETION</t>
  </si>
  <si>
    <t>RFQ-2020-06-0030-Activity 112-Penetration Patching Bituminous Pavements (Furnishing of Hot Asphalt, Grade 60-70) along Pangasinan-Zambales Road, KO313+000 to KO320+000 with Exception</t>
  </si>
  <si>
    <t>IMPROVEMENT OF TOURISM INFRASTRUCTURE - PARKS</t>
  </si>
  <si>
    <t>IMPROV. OF BARANGAY ROAD (SLOPE PROTECTION) (Brgy. Sapangan)</t>
  </si>
  <si>
    <t>CONSTRUCTION OF MULTI - PURPOSE BUILDING - PHASE II @ BRGY. DIPAYA, LABANGAN, ZDS</t>
  </si>
  <si>
    <t>INTERNET SUBSCRIPTION</t>
  </si>
  <si>
    <t>Construction of Multi-Purpose Hall (Phase 1)  Breeding Station Casisiitan, Minanga, San Mariano, Isabela</t>
  </si>
  <si>
    <t>PUTTING OF BASKETBALL GOAL POST @ BRGY. LANTIAN, LABANGAN ZDS</t>
  </si>
  <si>
    <t>20OF0313 Repair and Re-Painting of HREP Perimeter Fence Batasan Complex, Brgy. Batasan Hills, Q.C.</t>
  </si>
  <si>
    <t>REHABILITATION AND IMPROVEMENT OF POBLACION LICUAN-DOMINGLAY ROAD</t>
  </si>
  <si>
    <t>Construction of Multi-Purpose Hall (Phase 9)</t>
  </si>
  <si>
    <t>1	unit	6 Wheeler Brand New Garbage Compactor, PR # 208-20</t>
  </si>
  <si>
    <t>Purchase of Computer set and Accessories</t>
  </si>
  <si>
    <t>Package 018- Construction of Livelihood Center for DSWD Clients ( OFW, Solo Parents, PWDs, Women, &amp; AMMA) Phase 4</t>
  </si>
  <si>
    <t>Repair of Brgy.Mambog Baily Bridge</t>
  </si>
  <si>
    <t>SUPPLY AND DELIVERY OF GEO-TAGGING DEVICE FOR OFFICIAL USE OF DENR TARLAC</t>
  </si>
  <si>
    <t>Construction of Brgy. Health Station at Barangay Tabugon, Carles, Iloilo</t>
  </si>
  <si>
    <t>PROCUREMENT OF WOODEN ARMCHAIRS FOR BCC, BUENAVISTA, BOHOL</t>
  </si>
  <si>
    <t>Commissioning of an Artist to produce Twelve (12) Paintings of Selected Events of the Philippine Segments of the First Circumnavigation of the World by the Magellan Elcano Expedition</t>
  </si>
  <si>
    <t>CONTINUING OF QUARANTINE FACILITY, BARANGAY CABUNGALUNAN, BURDEOS, QUEZON</t>
  </si>
  <si>
    <t>RFQ-2020-06-0032-Activity 71x Special Maintenance (Traffic Services Maintenance)-Furnishing of Reflectorized Thermoplastic Powder for used in the Pavement Markings along Pangasinan-Zambales Road (S003</t>
  </si>
  <si>
    <t>REHABILITATION OF MULTI - PURPOSED BUILDING (OLD BUILDING) @ BRGY. LANTIAN, LABANGAN ZDS</t>
  </si>
  <si>
    <t>SUPPLY AND DELIVERY OF MOTORCYCLE FOR OFFICIAL USE OF DENR TARLAC</t>
  </si>
  <si>
    <t>PROCUREMENT OF MEDICAL, DENTAL AND LABORATORY SUPPLIES</t>
  </si>
  <si>
    <t>RFQ-2020-06-0034-Act. 63x-Resurfacing of Unpaved Shoulder along Pangasinan-Zambales Road, KO302+000 to KO306+000 with exception</t>
  </si>
  <si>
    <t>RFQ-2020-06-0033-Activity 111-Premix Patching Bituminous Pavement (Furnishing of Premix Asphalt) along Alaminos-Bolinao Road (S05901LZ), KO358+500 to KO360+000 with exception</t>
  </si>
  <si>
    <t>20GIA004 Procurement of Instant Cold Mix Asphalt (Megacol) and Joint Sealant</t>
  </si>
  <si>
    <t>Municipal Sta. Rita Housing Project Phase II</t>
  </si>
  <si>
    <t>Supply and Delivery IT Equipment for Engineering Divison</t>
  </si>
  <si>
    <t>SUPPLY AND DELIVERY OF SCHOOL SUPPLIES (REBID)</t>
  </si>
  <si>
    <t>INVITATION TO RE-BID FOR THE Procurement of Four (4) units Motorcycle, Tapaz, Capiz</t>
  </si>
  <si>
    <t>CONSTRUCTION OF OFFICE CUBICLE AND OFFICE EQUIPMENT, BRGY AMOT, BURDEOS, QUEZON</t>
  </si>
  <si>
    <t>Construction of Various Infrastructure Projects, San Mariano, Isabela</t>
  </si>
  <si>
    <t>Package 019- Construction of Material Recovery Facility &amp; Extension of Trading Post Building</t>
  </si>
  <si>
    <t>Invitation to Bid for the Procurement of One (1) Unit Passenger Van (converted into an ambulance and fitted with necessary medical equipment and apparatus) for the use in this municipality.</t>
  </si>
  <si>
    <t>INSTALLATION OF STREET LIGHT</t>
  </si>
  <si>
    <t>PURCHASE OF OFFICE SUPPLIES AND MATERIALS</t>
  </si>
  <si>
    <t>SUPPLY AND INSTALLATION OF AGISOFT SOFTWARE FOR OFFICIAL USE OF DENR TARLAC</t>
  </si>
  <si>
    <t>N-COVID Disinfection, Protection and Temperature scanning of employee and students</t>
  </si>
  <si>
    <t>Purchase of construction materials- Fatima Pavement</t>
  </si>
  <si>
    <t>Procurement of Post Processing Software for FARO 3D Laser Scanner</t>
  </si>
  <si>
    <t>SUPPLY AND DELIVERY OF STARTER KITS FOR DOLE DRESSMAKING, BAKING &amp; SMALL MOTOR ENGINE SERVICE (SMES) PROGRAM</t>
  </si>
  <si>
    <t>Procurement of Aerial Vehicle (Drone) for Surveillance and Monitoring Device during Emergencies</t>
  </si>
  <si>
    <t>20GG00017 - Procurement of Various IT Equipment for use of Cash Section - Administrative Division, DPWH Regional Office VI, Iloilo City</t>
  </si>
  <si>
    <t>SUPPLY AND DELIVERY OF DRONE &amp; IPAD MINI FOR OFFICIAL USE OF DENR TARLAC</t>
  </si>
  <si>
    <t>Package 021- Construction of Interconnector of Buildings, Entrance/Exit gate, vault for Special Wastes &amp; Comfort Room</t>
  </si>
  <si>
    <t>1 LOT Electro-Mechanical Installation of Stage 1 and Stage 2</t>
  </si>
  <si>
    <t>Rehabilitation of Street Lights</t>
  </si>
  <si>
    <t>Construction Of 1-Unit Tribal Hall</t>
  </si>
  <si>
    <t>20GAG0001- Furnishing of Materials for the Completion of DPWH Main Building, DPWH Pangasinan 1st DEO, Alaminos City, Pangasinan</t>
  </si>
  <si>
    <t>CONSTRUCTION OF INFRASTRUCTURE PROJECT, SAN MARIANO, ISABELA</t>
  </si>
  <si>
    <t>Concreting of Roads Infront of Breeding Station, Barangay Minanga, San Mariano, Isabela</t>
  </si>
  <si>
    <t>Supply and Delivery of Photocopying Machine</t>
  </si>
  <si>
    <t>Construction of Line Canal</t>
  </si>
  <si>
    <t>Package 020- Construction of Bridge to Memorial Park - Phase II</t>
  </si>
  <si>
    <t>SUPPLY AND DELIVERY OF ONE (1) UNIT MINI DUMPTRUCK (BRAND NEW) AND (1) UNIT MINI PAYLOADER (BRAND NEW) OF LGU POLILLO</t>
  </si>
  <si>
    <t>Purchase of Catering Services</t>
  </si>
  <si>
    <t>SUPPLY AND DELIVERY OF LIMESTONE FOR REHABILITATION OF BARANGAY ROADS OF 16 BARANGAYS  BALINTAWAK,EAST KIBAWE, GUTAPOL, KIORAO, LABUAGON, MARAPANGE,MASCARIÑAS, NATULONGAN, NEW KIDAPAWAN, OLD KIBAWE, P</t>
  </si>
  <si>
    <t>INVITATION TO BID FOR SUPPLY AND DELIVERY OF TIRES AND BATTERIES FOR GOVERNMENT HEAVY EQUIPMENT USE</t>
  </si>
  <si>
    <t>Installation of Waste Water Treatment Facility at Consolacion Public Market, Cansaga,Consolacion, Cebu</t>
  </si>
  <si>
    <t>20GAG0002- Provision of Office Equipment and Accessories for the use of office Personnel at Pangasinan First District Engineering Office, Alaminos City, Pangasinan</t>
  </si>
  <si>
    <t>Construction of Rural Access Road</t>
  </si>
  <si>
    <t>SUPPLY AND DELIVERY OF SAFETY VAULT (P.R. NO. 100-20-03-0119)</t>
  </si>
  <si>
    <t>Supply and Delivery of Banknote Counter Machine</t>
  </si>
  <si>
    <t>SUPPLY AND DELIVERY OF CONSTRUCTION MATERIALS FOR THE CONSTRUCTION OF CONCRETE DRAINAGE COVER (PERFORATED), BRGY. BUNTAY, DULAG LEYTE</t>
  </si>
  <si>
    <t>Procurement of Two (2) Air Conditioning Units for NTC Regional Office No. IX Conference Room</t>
  </si>
  <si>
    <t>Furnishing and Delivery of 11 Unit Laptop for official use of the Principals of Siniloan District.</t>
  </si>
  <si>
    <t>SOLID WASTE MANAGEMENT</t>
  </si>
  <si>
    <t>Construction/Improvement of Drainage System of Libertad Public Market</t>
  </si>
  <si>
    <t>HVCDP20-06-02-0560 Supply and Delivery of General Merchandise.</t>
  </si>
  <si>
    <t>Construction/Improvement of Barangay Road (Phase II), Brgy. Tabas, Paracale, Camarines Norte</t>
  </si>
  <si>
    <t>Procurement of Reference Books (Lot 1-7)</t>
  </si>
  <si>
    <t>Rehabilitation/Maintenance of Farm to Market Road</t>
  </si>
  <si>
    <t>Rehabilitation of Solar Streetlights, Cory Aquino Boulevard, Camarines Norte</t>
  </si>
  <si>
    <t>Procurement of Personal Watercrafts with Trailer and Rescue Sled for Water Search and Rescue Operations</t>
  </si>
  <si>
    <t>SUPPLY AND DELIVERY OF ALCOHOL (P.R. NO. 300-20-06-0215)</t>
  </si>
  <si>
    <t>PROCUREMENT OF SPARE PARTS FOR FARM TRACTOR-OMAG-1ST POSTING=PHP 327,100.00</t>
  </si>
  <si>
    <t>Purchase of  Plumbing Materials for the Maintenance of Water System – Waterworks Office,  R. T. Lim, Zamboanga Sibugay</t>
  </si>
  <si>
    <t>Improvement of Drainage Line at Pulpogan II (along Municipal Road), Pulpogan, Consolacion, Cebu</t>
  </si>
  <si>
    <t>PHOTOCOPYING SERVICES OF OM-BOD</t>
  </si>
  <si>
    <t>Supply and Delivery of Various Fingerlings</t>
  </si>
  <si>
    <t>20GAG0003- Furnishing of Materials, Furniture and Equipment  for the Completion of DPWH Main Building, DPWH Pangasinan 1st DEO, Alaminos City, Pangasinan</t>
  </si>
  <si>
    <t>ITB No. 2020-06-21 Supply and Delivery of Various Agricultural Supplies</t>
  </si>
  <si>
    <t>PROPOSED CONCRETING OF PAVEMENT AND COVERED DRAINAGE AT DIVISION OFFICE, BRGY. POBLACION OESTE, DAGUPAN CITY</t>
  </si>
  <si>
    <t>Construction of Potable Water System, Brgy. Kanapawan, Labo, Camarines Norte</t>
  </si>
  <si>
    <t>SUPPLY &amp; DELIVERY OF LIMESTONE FOR THE MAINTENANCE OF PROVINCIAL ROADS &amp; BRIDGES (MACHINE GRADING, REGRAVELLING SAND, GRAVEL&amp; LIMESTONE)</t>
  </si>
  <si>
    <t>CONSTRUCTION OF ECCD LEARNING CENTER, SITIO COTO, BRGY. TALTAL, MASINLOC, ZAMBALES</t>
  </si>
  <si>
    <t>VMDS20-06-05-0055 Consultancy services for the conduct of the Project “RAPID MARKETING APPRAISAL FOR YELLOW AND WHITE CORN.</t>
  </si>
  <si>
    <t>Reproduction of Modules</t>
  </si>
  <si>
    <t>Hand Washing Counter for Covid 19-5units</t>
  </si>
  <si>
    <t>20GKI0027 (Public Bidding) Contract Name: Purchase of Construction Materials and Other Various Items for use in the DPWH Office 		  (Hand Washing Facility) as a GAD Program</t>
  </si>
  <si>
    <t>Quotation No.20-05-312 REBID = Water-based Lubricants</t>
  </si>
  <si>
    <t>Purchase of Gasoline</t>
  </si>
  <si>
    <t>20PI0092 - Constn/Rehab/Impvt of Waterworks, Brgy. Bontoc Ili, Poblacion and Calutit, Bontoc, Mountain Province</t>
  </si>
  <si>
    <t>INVITATION TO BID FOR THE SUPPLY AND DELIVERY OF FUEL AND LUBRICANTS FOR GARBAGE COLLECTION</t>
  </si>
  <si>
    <t>CONSTRUCTION OF DRAINAGE CANAL, P3, RAMIREZ ST.,  BULANAO NORTE</t>
  </si>
  <si>
    <t>ITB no. 2020-06-20 Supply and Delivery of various Fertilizers</t>
  </si>
  <si>
    <t>Invitation to Bid for the CONSTRUCTION OF STA. ISABEL CIP, Bato, Catanduanes</t>
  </si>
  <si>
    <t>CONTINUATION OF CONSTRUCTION OF THE MULTI PURPOSE BUILDING AT ST. JOSEPH SUBDIVISION, SAN ANTONIO</t>
  </si>
  <si>
    <t>20LA0336 Construction of Rainwater Collection System (RCWS), 1. Compostela valley State College, Compostela; 2. Compostela Valley Sports Complex, Compostela; 3. Tandawan Elementary School, New Bataan;</t>
  </si>
  <si>
    <t>20KI0066 (Re-ad) - Construction of Multi-Purpose Building (Coastal Esplanade),  			  Brgy. Southern Poblacion &amp; Brgy. Northern Poblacion, Plaridel Misamis Ocidental</t>
  </si>
  <si>
    <t>20NA0068 Concreting of Brgy. Mahaba FMR, Cabadbaran City, Agusan del Norte</t>
  </si>
  <si>
    <t>To provide materials, labor, fuel and equipment needed for the development of Bayawan City Waterfront Park (DBM-LGSF-FUND) (NP/PB 20-0672)</t>
  </si>
  <si>
    <t>Supply and Delivery of Materials for the Construction of Day Care Center</t>
  </si>
  <si>
    <t>RHU Medicines and Vitamins in Preparation of COVID-19</t>
  </si>
  <si>
    <t>SUPPLY &amp; DELIVERY OF SAND &amp; GRAVEL FOR THE MAINTENANCE OF PROVINCIAL ROADS &amp; BRIDGES (MACHINE GRADING, REGRAVELLING SAND, GRAVEL&amp; LIMESTONE)</t>
  </si>
  <si>
    <t>Road Concreting at Sitio Antipolo, Jugan, Consolacion, Cebu</t>
  </si>
  <si>
    <t>20GGH0024 –  Purchase of various Office Supplies and Equipment for use in this Office (Planning and Design Section) Line 1: Purchase of Supplies and Materials for the Conduct of Inventory/Condition In</t>
  </si>
  <si>
    <t>CONSTRUCTION OF ECCD LEARNING CENTER, BRGY. STO ROSARIO, MASINLOC, ZAMBALES</t>
  </si>
  <si>
    <t>Supply of 250 bags Cement Portland (40 kgs./bag)</t>
  </si>
  <si>
    <t>20PI0093 - Construction/Rehabilitation/Improvement of Various Footbridges, Brgy. Betwagan, Sadanga, Mountain Province</t>
  </si>
  <si>
    <t>Supply and Delivery of Materials for the Construction and Upgrading of Potable  Water System</t>
  </si>
  <si>
    <t>Supply and Delivery of Office Supplies, 1 Lot, for the Utilization of Pantawid Pamilya staff in RPMO, POO1, POO2, POO3, POO4 and its municipalities for the 1st Quarter CY 2020</t>
  </si>
  <si>
    <t>OAP20-06-05-0127 Supply and Delivery of Animal Feeds</t>
  </si>
  <si>
    <t>Road Rehabilitation of General Fullon Street to Zaldivar Street</t>
  </si>
  <si>
    <t>Proc of various IT and Office Equipment</t>
  </si>
  <si>
    <t>Six (6) Months Lease Contract of Office Space for NTC Pagadian Satellite Office</t>
  </si>
  <si>
    <t>Supply and Delivery of Materials for the Construction of Aluyan Fence</t>
  </si>
  <si>
    <t>LOCAL PROGRAM, LOCAL INFRASTRUCTURE PROGRAM, CONSTRUCTION OF MULTI PURPOSE BUILDING-PHASE 1 (MUNICIPAL HALL) AT DOLORES, QUEZON</t>
  </si>
  <si>
    <t>Supply of 111 pieces C.I. Mechanical Flange Socket Adaptor, 100mm. (4") for UPVC</t>
  </si>
  <si>
    <t>STREETSCAPE IMPROVEMENT PROGRAM</t>
  </si>
  <si>
    <t>20NA0069 Concreting of Brgy. Guinabsan FMR, Buenavista, Agusan del Norte</t>
  </si>
  <si>
    <t>Supply of 36 pieces C.I. Mechanical End Cap 100mm with 50mm Threaded Hole</t>
  </si>
  <si>
    <t>Procurement of Backhoe Track Shoe Type</t>
  </si>
  <si>
    <t>Improvement of Administration Office (Right Wing) at the Public Market</t>
  </si>
  <si>
    <t>BUSINESS PLATE UNDER GENERAL ADMINISTRATIVE AND SUPPORT</t>
  </si>
  <si>
    <t>Supply of 200 cu.m. Earthfill and 100 cu.m. Gravel</t>
  </si>
  <si>
    <t>Supply and Delivery of Two (2) Units Brand New Mobile Phones to be used in the Mobile Broadband Network Measuring Applications</t>
  </si>
  <si>
    <t>Supply and Delivery of Materials for the Construction of Local access Road</t>
  </si>
  <si>
    <t>SUPPLY &amp; DELIVERY OF DIESEL FOR ROAD ROLLER AND ROAD GRADER FOR THE MAINTENANCE OF PROVINCIAL ROADS &amp; BRIDGES (MACHINE GRADING, REGRAVELLING SAND, GRAVEL&amp; LIMESTONE)</t>
  </si>
  <si>
    <t>Contract Package for the Concreting of Farm to Market Road with Stone Masonry, Barangay Pudoc West, Tagudin, Ilocos Sur</t>
  </si>
  <si>
    <t>Supply and Delivery of Materials for the Construction of RMG Office</t>
  </si>
  <si>
    <t>20KI0087 Contract Name	: Repair/Maintenance of Palilan Revetment 2,  			  Brgy. Palilan, Jimenez Misamis Ocidental</t>
  </si>
  <si>
    <t>20PI0094 - Repair/Maintenance of: 1. DPWH Building Old DE's Quarters, Caluttit, Bontoc, Mountain Province</t>
  </si>
  <si>
    <t>Provision of Sixteen (16) Sets Solar Streetlight at Brgy Estipona Local Access Road, Pura, Tarlac</t>
  </si>
  <si>
    <t>20GGH0023 – Purchase of Ten Thousand (10,000) Liters Diesel Fuel for use of various Vehicles assigned in Planning and Design Section, DPWH – Iloilo 3rd District Engineering Office</t>
  </si>
  <si>
    <t>20LA0335 Repair/Maintenance of San Jose Revetment (Tigbawan Creek) Montevista, Compostela Valley</t>
  </si>
  <si>
    <t>CONCRETING OF ACCESS ROAD (MATERIALS) AT CAMBUHAT</t>
  </si>
  <si>
    <t>Supply of 85 pieces C.I. Mechanical Flange Adaptor 150mm. (6") for UPVC Pipe</t>
  </si>
  <si>
    <t>Supply and Delivery of Materials for the Repair and Maintenance of Public  Building and Other Structures</t>
  </si>
  <si>
    <t>Construction of SK Office and Fitness Facility (Phase I) Public Auditorium, Barangay Magtaking, Bugallon, Pangasinan</t>
  </si>
  <si>
    <t>Purchase &amp; Delivery of one (1) unit Brand New Boom Truck</t>
  </si>
  <si>
    <t>Supply and Delivery of Materials for the Maintenance of Water System</t>
  </si>
  <si>
    <t>REHABILITATION OF KANG ANGHEL BARANGAY ROAD</t>
  </si>
  <si>
    <t>NLP20-02-13-0167 Supply and Delivery of Animal Feeds</t>
  </si>
  <si>
    <t>Purchase of Office Supplies to be used for different offices of LGU of the Municipality of Tabuelan, Cebu</t>
  </si>
  <si>
    <t>One (1) lot Repair of Trane Chiller at the New Mint Plant, as per BSP Scope of Works and Specifications</t>
  </si>
  <si>
    <t>Road Concreting</t>
  </si>
  <si>
    <t>SUPPLY AND DELIVERY OF VARIOUS EQUIPMENT FOR THE UPGRADING OF CROP PROCESSING CENTER</t>
  </si>
  <si>
    <t>Supply, Delivery and Installation of Various Furniture and Fixtures for Geographic Information System &amp; Indigenous Crops Laboratory</t>
  </si>
  <si>
    <t>Concreting of Barangay Roads at Balingasag, Sinapsapan, Jordan, Guimaras</t>
  </si>
  <si>
    <t>PURCHASE &amp; DELIVERY OF MOTORCYCLE</t>
  </si>
  <si>
    <t>Supply and Delivery of Various Agricultural Machinery and Equipment</t>
  </si>
  <si>
    <t>20PI0095 - Concreting of Brgy. Agawa FMR, Brgy. Agawa, Besao, Mountain Province</t>
  </si>
  <si>
    <t>Supply of 20 pieces Calibrating Bucket (10 liter capacity)</t>
  </si>
  <si>
    <t>Repair of Government Facilities for use During the Operation of Covid 19 Pandemic</t>
  </si>
  <si>
    <t>REPAIR AND REHABILITATION WORKS OF ELECTRICAL LINES AND PERIMETER LIGHTINGS CAUSED BY STY LAWIN AGGRAVATED BY STY OMPONG</t>
  </si>
  <si>
    <t>Supply Labor and Materials for the Construction of Drainage System at Sitio Quasi, Barangay Poblacion of the Municipality of Tabuelan, Cebu</t>
  </si>
  <si>
    <t>Supply of 32 pieces C.I. Mechanical Flange Adaptor 200mm for UPVC Pipe</t>
  </si>
  <si>
    <t>20NA0071 Construction of Covered Court, Poblacion, Brgy. 1, Tubay, Agusan del Norte</t>
  </si>
  <si>
    <t>Supply and Delivery of Materials for Construction of Isolation Facility, Brgy. Poblacion, Glan, Sarangani Province.</t>
  </si>
  <si>
    <t>PURCHASE OF FURNITURE AND FIXTURES</t>
  </si>
  <si>
    <t>Supply and Delivery of Laboratory Reagents - ITB 028-2020 GQ</t>
  </si>
  <si>
    <t>Construction and Development of Auxiliary Source Water</t>
  </si>
  <si>
    <t>CONSTRUCTION AND HEAVY EQUIPMENT</t>
  </si>
  <si>
    <t>Supply &amp; Delivery of Vegetable Seeds for Home Food Production</t>
  </si>
  <si>
    <t>Supply and Delivery of Various Office Equipment for the College of Human Ecology and Food Science</t>
  </si>
  <si>
    <t>Rescue Vehicle for MDRRMO Operation</t>
  </si>
  <si>
    <t>CONCRETING OF ACCESS ROAD (EQUIPMENT) AT CAMBUHAT</t>
  </si>
  <si>
    <t>Supply of 17 pieces C.I. Mechanical Tee, 100mm x 100mm for UPVC</t>
  </si>
  <si>
    <t>Construction of Rural Access Road Housing Proper</t>
  </si>
  <si>
    <t>Construction of Rural Access Road Purok II</t>
  </si>
  <si>
    <t>FOOD PACKS FOR THE STAFF IN CHARGE AND PUI’S AT THE MUNCIPAL QUARATINE CENTER RELATED TO LGU COVID 19 INTERVENTION ACTIVITIES FOR 60 DAYS</t>
  </si>
  <si>
    <t>Purchase of Hygiene and Sanitary Pack for Women at Calasiao, Pangasinan</t>
  </si>
  <si>
    <t>Procurement of Supply and Delivery of Wooden Arm Chair with Steel Frame</t>
  </si>
  <si>
    <t>Construction of Rural Access Road Sitio Bago-Isi</t>
  </si>
  <si>
    <t>Construction of 1 Classroom and 1 Computer Laboratory at Bungoy Elementary School</t>
  </si>
  <si>
    <t>Supply of 79 pieces D.I. Mechanical Sleeve Type Coupling, 50mm (2") for UPVC (Standard Type)</t>
  </si>
  <si>
    <t>CONSTRUCTION OF ECCD LEARNING CENTER, SITIO UBAT, BRGY. BALOGANON, MASINLOC, ZAMBALES</t>
  </si>
  <si>
    <t>SUPPLY AND DELIVERY OF ONE (1) UNIT BRAND NEW SERVICE VEHICLE (PICK-UP) FOR THE CITY VETERINARY OFFICE (REBID)</t>
  </si>
  <si>
    <t>Purchase of 3 Units Aircon to be used by Vice Mayors Office</t>
  </si>
  <si>
    <t>Supply and Delivery of Various Furniture and Fixtures for the College of Human Ecology and Food Sciences</t>
  </si>
  <si>
    <t>Supply labor and materials for the Repair/Improvement of Lo-oc Stage and Fence of the Municipality of Tabuelan, Cebu</t>
  </si>
  <si>
    <t>Purchase &amp; Delivery of one (1) unit Brand New Rescue Vehicle</t>
  </si>
  <si>
    <t>20CG0141 - Various Repair and Improvement of Facilities of College of Computing Studies Building, Integrated HRM Building and CEP Building at Main Campus,  DHVSU, Bacolor, Pampanga</t>
  </si>
  <si>
    <t>Supply Labor and Materials for the Expansion of Tabunok Covered Court of the Municipality of Tabuelan, Cebu</t>
  </si>
  <si>
    <t>Construction of Rural Access Road Sitio Looc Baybay Purok IV</t>
  </si>
  <si>
    <t>20CG0140 - Various Improvement of Facilities of Mechanical Building, Automotive Building and Embankment Works including Spreading of Filling Materials at Mexico Campus,  Various Improvement of Facilit</t>
  </si>
  <si>
    <t>Procurement of Civil Works for the Expansion of Material Recovery Facility,  Brgy. Bukid (Ecopark), Barugo, Leyte</t>
  </si>
  <si>
    <t>Construction of Rural Access Road Looc Bukid</t>
  </si>
  <si>
    <t>Supply of 430 pieces C.I. Saddle Clamp for P.E. (CTS Pipe) 500mm x 19mm</t>
  </si>
  <si>
    <t>RICE20-06-05-0738 Supply and Delivery of General Merchandise.</t>
  </si>
  <si>
    <t>RFQ - 2978.50 Diesel Fuel, 100ltrs. Extra Gasoline for use in the Consolidation of Various Fuel, Oil &amp; Lubricants of DPWH-BCDEO</t>
  </si>
  <si>
    <t>Quotation No.20-03-272 REBID = Procurement of Various Drugs and Medicines</t>
  </si>
  <si>
    <t>Supply and Delivery of Various Laboratory Equipment for Food Processing Nutrition and Dietetics Department</t>
  </si>
  <si>
    <t>Supply and Delivery of Construction Materials - ITB 029-2020 GQ</t>
  </si>
  <si>
    <t>Upgrading and Improvement of Kuli-kuli Road 3</t>
  </si>
  <si>
    <t>Supply and Delivery of Automatic Weather Station</t>
  </si>
  <si>
    <t>SUPPLY AND DELIVERY OF COMPLETE FERTILIZER FOR RUBBER PLANTATION – MUNICIPAL WIDE, IMPASUGONG, BUKIDNON</t>
  </si>
  <si>
    <t>Supply of 35 pieces D.I. Mechanical Sleeve Type Coupling, 200mm. (8") for UPVC (Standard Type)</t>
  </si>
  <si>
    <t>Procurement of Brand new motorbikes for Barangay Officials of Barangay Semirara, Caluya, Antique</t>
  </si>
  <si>
    <t>RFQ-GS-20200521-01 - Subscription and Installation of IP VPN Lines for Three (3) LANDBANK Offices and Three (3) Offsite ATMs</t>
  </si>
  <si>
    <t>Supply of 129 pieces Flange Ring, (steel) 150mm dia.</t>
  </si>
  <si>
    <t>Supply and Delivery of Various I.T. and Office Equipment for Geographic Information System and Indigenous Crops Laboratory</t>
  </si>
  <si>
    <t>Supply and Delivery of Various Laboratory Equipment for the College of Human Ecology and Food Sciences-Food Technology Department</t>
  </si>
  <si>
    <t>IB No.2020-06-30(05)Goods Cat I Med/Lab Supplies &amp; Reagents</t>
  </si>
  <si>
    <t>20FL0084-Rehabilitation/Construction of Road, Barangay Carayat, Prieto Diaz, Sorsogon,Sorsogon 2nd Legislative District</t>
  </si>
  <si>
    <t>Purchase of Ambulance Vehicle</t>
  </si>
  <si>
    <t>Construction of Rural Access Road  Looc Baybay</t>
  </si>
  <si>
    <t>Purchase of Family Planning Supplies, Medicines and Vitamis at Calasiao, Pangasinan</t>
  </si>
  <si>
    <t>SUPPLY AND DELIVERY OF VARIOUS PRINTED FORMS, STICKERS AND TIN PLATES FOR THE PROJECT "REGISTRATION AND FRANCHISING OF TRICYCLES, PEDICABS AND E-TRIKES"</t>
  </si>
  <si>
    <t>Purchase of Supplies for use in the Conduct of Automated Traffic Count along National Roads in Albay 2nd District</t>
  </si>
  <si>
    <t>Improvement of Multi-Purpose Hall Barangay Camansi, City of San Fernando</t>
  </si>
  <si>
    <t>20FL0085-Construction of Road Barangay Diamante, Prieto Diaz, Sorsogon, Sorsogon 2nd Legislative District</t>
  </si>
  <si>
    <t>PR 9-20-04-0560, FOR THE USE OF SAN CARLOS CITY HOSPITAL, THIS CITY.</t>
  </si>
  <si>
    <t>Contract ID No. 19CSK00054 – Consulting Services for the Conduct of Soil Testing/Exploration for Bridge Projects - Geotechnical Investigation - Construction of Concrete Bridge, Magsaysay-Butuan City C</t>
  </si>
  <si>
    <t>Installation and Distribution of Water System,  Multi-Purpose Hall, Barangay I, City of San Fernando</t>
  </si>
  <si>
    <t>Construction of Rural Access Road Sitio Guinmisahan</t>
  </si>
  <si>
    <t>REHABILITATION OF SPILLWAY</t>
  </si>
  <si>
    <t>Supply &amp; Delivery of Office Equipment for the use of NIA-Regional Office IX, NIA-Regional Office, Labangan, Zambo. Sur</t>
  </si>
  <si>
    <t>Purchase of Cleaning Supplies</t>
  </si>
  <si>
    <t>MHO Maintenance &amp; Other Expenses (MOOE - Office Supplies Expense)</t>
  </si>
  <si>
    <t>RFQ - 180ltrs. Diesel Fuel (Lot 1), Assorted Engine Oil/Fuel Filter (Lot 2), 1 unit Air Compressor (Lot 3) for use of the Generator Set of the Information Communication Technology Staff</t>
  </si>
  <si>
    <t>Preventive Maintenance of Motor and Armored Vehicle</t>
  </si>
  <si>
    <t>UPGRADING (EARTH TO CONCRETE) OF ROAD GAP ALONG MAMBABANGA - CONCEPCION ROAD</t>
  </si>
  <si>
    <t>NEGOTIATED PROCUREMENT FOR THE SUPPLY AND DELIVERY OF CONSTRUCTION MATERIALS (GOODS-2020-007)</t>
  </si>
  <si>
    <t>Contract ID No. 19CSK00053 – Consulting Services for the Conduct of Soil Testing/Exploration for Bridge Projects - Geotechnical Investigation - Construction of Pigsuotan Bridge, Brgy. Mandulog, Iligan</t>
  </si>
  <si>
    <t>MAO Office Supplies</t>
  </si>
  <si>
    <t>Const. of MRF</t>
  </si>
  <si>
    <t>GAD Office Equipment</t>
  </si>
  <si>
    <t>Drainage Improvement (Installation of 0.60m dia RCPC, Construction of manhole 12 units)</t>
  </si>
  <si>
    <t>GAD Office Equipment (2)</t>
  </si>
  <si>
    <t>COMPLETION OF MANPOWER DEVELOPMENT CENTER-BARANGAY LOCSOON</t>
  </si>
  <si>
    <t>REPAIR OF BRGY. COMMUNITY CENTER FLOORING (portion only)</t>
  </si>
  <si>
    <t>Fabrication of 8 units Barangay MRF</t>
  </si>
  <si>
    <t>“SUPPLY AND DELIVERY OF EMERGENCY AND RESCUE EQUIPMENT FOR FLOOD AND EARTHQUAKE”</t>
  </si>
  <si>
    <t>RFQ - Assorted Office Equipment  (Lot 1 &amp; Lot 2) for use in the Consolidation of Various Office Equipment of DPWH-BCDEO</t>
  </si>
  <si>
    <t>PR 18-20-04-0549, ROAD CONCRETING OF ROADWAYS &amp; IMPROVEMENT OF DRAINAGE WITH SIDEWALK OF ALL INTERIOR ROADS OF STAGES 1 &amp; 2 OF URBAN RELOCATION SITE, PHASE 4.</t>
  </si>
  <si>
    <t>Contract ID No. 19CSK00056 – Consulting Services for the Conduct of Soil Testing/Exploration for Bridge Projects - Geotechnical Investigation - Construction of Bridge, Cagayan de Oro Diversion Road, J</t>
  </si>
  <si>
    <t>Supply and delivery of Hog Feeds to various MIC Farmer Associations in Leyte, ABC PHP18,453,380.00</t>
  </si>
  <si>
    <t>Construction of Rural Access Road Sitio Pajo</t>
  </si>
  <si>
    <t>GAD Office Equipment (3)</t>
  </si>
  <si>
    <t>INVITATION TO BID FOR THE SUPPLY AND DELIVERY OF HARDWARE MATERIALS FOR CONSTRUCTION OF PUBLIC MARKET</t>
  </si>
  <si>
    <t>20GID0016 - Supply and Delivery of Reflectorized Traffic Paints for use in Repainting of Bridges, Guardrails and Headwall within the 2nd District of Leyte</t>
  </si>
  <si>
    <t>REHABILITATION OF STREET LIGHTING SYSTEM</t>
  </si>
  <si>
    <t>Supply and delivery of 900 sets Galvanized Metal Layer Cages with 48 heads of ready-to-lay Pullets per set of cages, ABC PHP46,350,000.00</t>
  </si>
  <si>
    <t>Repair/Rehab of Cansaga Bay Park (Bridge Under) located at Tayud, Consolacion, Cebu</t>
  </si>
  <si>
    <t>PR 1-20-03-0520, FOR BANTAY DAGAT SEA BORNE PATROL OPERATION AND OTHER CRM RELATED ACTIVITIES.</t>
  </si>
  <si>
    <t>PR 31-20-02-0344, FOR THE USE OF PUBLIC SCHOOLS STUDENTS OF DEPED DIVISION OF SAN CARLOS CITY NEGROS OCCIDENTAL.</t>
  </si>
  <si>
    <t>Invitation to Bid for Const. of Two Storey Four Classroom Bldg. at Calantas ES, Brgy. Calantas, Calaca, Batangas</t>
  </si>
  <si>
    <t>Contract ID No. 19CSK00055 – Consulting Services for the Conduct of Soil Testing/Exploration for Bridge Projects - Geotechnical Investigation - Construction of Concrete Bridge, Impasug-ong Bdry. Bukid</t>
  </si>
  <si>
    <t>Supply Labor and Materials for the Repair/Improvement/Expansion of Perimeter Fence &amp; Stage at Sitio San Jose, Maravilla, Tabuelan, Cebu</t>
  </si>
  <si>
    <t>CONCRETING OF PATHWAY</t>
  </si>
  <si>
    <t>Proc of various MTPB uniforms, supplies and materials</t>
  </si>
  <si>
    <t>Supply, Delivery, Configuration and Testing of Local Area Network Tester for the Philippine Competition Commission</t>
  </si>
  <si>
    <t>SUPPLY AND DELIVERY OF FUEL FOR REHABILITATION OF BARANGAY ROADS OF 16 BARANGAYS</t>
  </si>
  <si>
    <t>Purchase of Waste Management Supplies</t>
  </si>
  <si>
    <t>Purchase of Rolling Trash Bins</t>
  </si>
  <si>
    <t>Contract ID No. 20GSK00010 - Supply and Installation for Air Conditioning Units for use in the Planning and Design Division (RROW), 1st Quarter</t>
  </si>
  <si>
    <t>PROCUREMENT OF DRUGS AND MEDICINES FOR CHO USE</t>
  </si>
  <si>
    <t>Renovation and Improvements of Boardwalk and Waiting Shed - Phase 1</t>
  </si>
  <si>
    <t>Rehabilitation of Tubo-Tubo – Mam-on Road (Cagwait, Surigao del Sur  ).</t>
  </si>
  <si>
    <t>CONTRACT FOR THE PROCUREMENT OF JANITORIAL SERVICES</t>
  </si>
  <si>
    <t>Materials for Development of Municipal Cemetery</t>
  </si>
  <si>
    <t>PROCUREMENT OF MATERIALS FOR EQUITY TO ARISP III CONSTRUCTION/REHABILITATION OF FMR AT BRGY. BULUANGAN I TO BRGY. BUNSOD, VALDERRAMA, ANTIQUE</t>
  </si>
  <si>
    <t>PROCUREMENT OF VARIOUS PHARMACEUTICALS</t>
  </si>
  <si>
    <t>Laboratory Supplies (CPHCF)</t>
  </si>
  <si>
    <t>Rehabilitation of JNR – Bogak – Raja – Kabunsuhan Road (Lingig, Surigao del Sur  ).</t>
  </si>
  <si>
    <t>RFQ - Assorted Office Supplies and Consumables (Lot 1, Lot 2, Lot 3, Lot 4) for use in the Consolidation of Assorted Office Supplies of DPWH-BCDEO</t>
  </si>
  <si>
    <t>Contract ID No. 20GSK00011 - Supply and Delivery of Office Supplies for the use in the Planning and Design Division for 2nd quarter, 2020</t>
  </si>
  <si>
    <t>Repair of Parasanon National High School Multi-Purpose Building</t>
  </si>
  <si>
    <t>Fertilizer Subsidy</t>
  </si>
  <si>
    <t>20FL0078-Construction of Water Supply System, Barangay Bolo, Matnog, Sorsogon, Sorsogon 2nd Legislative District</t>
  </si>
  <si>
    <t>PROVISION OF POTABLE WATER SUPPLY FOR TOBACCO FARMERS OF SITIO SARAGCAO, MAAS-ASIN, MAGSINGAL, ILOCOS SUR</t>
  </si>
  <si>
    <t>SUPPLY AND DELIVERY OF TWO (2) UNITS BRAND NEW SERVICE VEHICLES (SPORTS UTILITY VEHICLES) FOR THE SANGGUNIANG PANLUNGSOD OFFICE (REBID)</t>
  </si>
  <si>
    <t>Construction of Rural Access Road S. Dulhugan</t>
  </si>
  <si>
    <t>Concreting of Roads - Cluster I Area</t>
  </si>
  <si>
    <t>Rehabilitation of Brgy. Matho Access Road (Cortes,  Surigao del Sur ).</t>
  </si>
  <si>
    <t>20FO0096 - Repair/Maintenance of Busac Flood Control along Cabilogan River, Busac, Oas, Albay</t>
  </si>
  <si>
    <t>Repair of CCTV Cameras</t>
  </si>
  <si>
    <t>CONSTRUCTION OF MULTI-PURPOSE CENTER/EVACUATION CENTER IN BARANGAY BUGNAY, VALDERRAMA (Brgy. Bugnay, Valderrama, Antique)/IB. NO. K-2020-025(SC)</t>
  </si>
  <si>
    <t>Supply &amp; Delivery of Office Equipment, Furniture &amp; Materials for OUP</t>
  </si>
  <si>
    <t>PROCUREMENT OF MATERIALS FOR THE CONSTRUCTION OF FOOTBRIDGE/FOOTWALK AT SITIO IGCAPLA, BRGY. CANIPAYAN, VALDERRAMA, ANTIQUE</t>
  </si>
  <si>
    <t>Construction of Rural Access Road Dungkaan</t>
  </si>
  <si>
    <t>Concreting of Roads - Cluster II Area</t>
  </si>
  <si>
    <t>Purchase and Installation of CCTV Cameras</t>
  </si>
  <si>
    <t>Purchase of BPSO Kits</t>
  </si>
  <si>
    <t>Concreting of Badong Feeder Road Phase II (Tago, Surigao del Sur  ).</t>
  </si>
  <si>
    <t>FABRICATION/INSTALLATION OF STREET NAMES &amp; SIGNAGE</t>
  </si>
  <si>
    <t>Construction of Rural Access Road Punta Ignacio</t>
  </si>
  <si>
    <t>Installation of Fiber Glass Window on Public Market   Tower</t>
  </si>
  <si>
    <t>20FO0097 - Repair/Maintenance of: 1. DPWH Building, AES-Old Bay Area Storage, Paulog, Ligao City; 2. DOJ Main Building, Salvacion St., Sta. Cruz, Ligao City; 3. DA Building, Phil. Coconut Authority, B</t>
  </si>
  <si>
    <t>REHABILITATION OF MULTI - PURPOSE HALL</t>
  </si>
  <si>
    <t>“SUPPLY AND DELIVERY OF VARIOUS FIRST AID SUPPLIES AND MATERIALS”</t>
  </si>
  <si>
    <t>Contract ID No. 20GSK00012 - Supply and Installation of Office Furnitures &amp; Fixtures for use in the Road Right of Way New Office, Planning and Design Division</t>
  </si>
  <si>
    <t>Supply and Delivery of Handheld Radio Accessories</t>
  </si>
  <si>
    <t>CONCRETING OF PROVINCIAL ROAD, 500 meters FROM BARANGAY ILAYA TO BARANGAY SABANG EAST, BUGASONG (Ilaya-Sabang East, Bugasong, Antique)/IB. NO. K-2020-026(SC)</t>
  </si>
  <si>
    <t>Improvement of Buildings and Estates/Planning Office</t>
  </si>
  <si>
    <t>Supply and Delivery of Hypochlorinators</t>
  </si>
  <si>
    <t>Invitation to Bid for Const. of Two Storey Four Classromm Bldg. at P.A. Paterno MES, Brgy. Puting Bato East, Calaca, Batangas</t>
  </si>
  <si>
    <t>Supply &amp; Delivery of Medical &amp; Laboratory Supplies</t>
  </si>
  <si>
    <t>Concreting of Roads - Cluster III Area</t>
  </si>
  <si>
    <t>LGU-COR. 2020-059</t>
  </si>
  <si>
    <t>20FO0098 - Construction of Multi-Purpose Building, Ligao City National Technical Vocational High School, Nasisi, Ligao City, Albay</t>
  </si>
  <si>
    <t>CONSTRUCTION OF VARIOUS INFRASTRUCTURE PROJECTS FOR THE CITY OF NAVOTAS UNDER LGSF</t>
  </si>
  <si>
    <t>Supply and delivery of 330 heads Gilt and 22 heads Boar to various MIC Farmers Associations in Leyte, ABC PHP15,840,000.00</t>
  </si>
  <si>
    <t>Purchase of Dental Supplies &amp; Equipment</t>
  </si>
  <si>
    <t>CONSTRUCTION OF CADIAO ROAD(Cadiao, Barbaza, Antique)/IB. NO. K-2020-054(SC)</t>
  </si>
  <si>
    <t>20FO0099 - Construction of Multi-Purpose Building, Brgy. Sto. Cristo, Pio Duran, Albay</t>
  </si>
  <si>
    <t>ICT EQUIPMENT FOR EODB ONE STOP SHOP</t>
  </si>
  <si>
    <t>PROCUREMENT OF MATERIALS FOR THE REHABILITATION/IMPROVEMENT OF FMR AT BRGY. TIGMAMALE, VALDERRAMA, ANTIQUE</t>
  </si>
  <si>
    <t>Procurement of Power Supply System</t>
  </si>
  <si>
    <t>Supply and Delivery of Compact Threading Machine and Accessories</t>
  </si>
  <si>
    <t>Supply and  Delivery of Spare Parts of Water Treatment Equipment</t>
  </si>
  <si>
    <t>Construction of Masonry Drainage along Sampaguita Street (Panacal Village), Caggay-Tanza, Tuguegarao City</t>
  </si>
  <si>
    <t>Construction of Three (3) Phase Primary Distribution Line for Tuguegarao City Slaughter House (Ipil-Ipil Street, Capatan, Tuguegarao City)</t>
  </si>
  <si>
    <t>Supply and delivery pf Various Injectable Medicines for the different Hospitals in Leyte,10,274,000.00</t>
  </si>
  <si>
    <t>SUPPLY AND DELIVERY OF 3 UNITS MOTOR VEHICLES</t>
  </si>
  <si>
    <t>2020-012 GOODS SUPPLY AND INSTALLATION OF SOLAR PANELS FOR THE SATELLITE POULTRY BREEDING PROJECT</t>
  </si>
  <si>
    <t>Supply and delivery of Poultry Feeds to Various Farmer - Associations in Leyte, ABC PHP5,064,000.00</t>
  </si>
  <si>
    <t>PROCUREMENT OF VEHICLE</t>
  </si>
  <si>
    <t>Installation of Streetlight</t>
  </si>
  <si>
    <t>Supply and delivery of various Medicines for the Leyte Provincial Health Caravan, ABC PHP 10,867,184.00</t>
  </si>
  <si>
    <t>PURCHASE OF CONSTRUCTION MATERIALS AND SUPPLIES</t>
  </si>
  <si>
    <t>Supply of Labor &amp; Materials for the Fabrication of Tent</t>
  </si>
  <si>
    <t>Supply and delivery of 500 units High Density Utility Folding Bed, ABC PHP1,975,000.00</t>
  </si>
  <si>
    <t>Supply &amp; Delivery of One Lot Consumables &amp; I.T Supplies 2020-151</t>
  </si>
  <si>
    <t>INSTALLATION OF CCTV</t>
  </si>
  <si>
    <t>2020 Capital Outlay RMT Project - Site Development of FLGC III Carmen</t>
  </si>
  <si>
    <t>CONTRACT ID: 19-10-208 REBID- SUPPLY, DELIVERY, TESTING AND COMMISSIONING OF BRAND NEW AMBULANCE (TYPE I)</t>
  </si>
  <si>
    <t>Supply &amp; Delivery of Construction Materials and Electrical Supplies for Various Offices 2020-150</t>
  </si>
  <si>
    <t>PROCUREMENT FOR THE SUPPLY AND DELIVERY OF MEDICAL SUPPLIES FOR JLGMH</t>
  </si>
  <si>
    <t>Improvement of Pallua Elementary School Gymnasium (Pallua Elementary School, Pallua Sur)</t>
  </si>
  <si>
    <t>20LC0152 - Jct. Tagum City Bypass Road － San Agustin － New Bohol, New Corella, leading to Matin-ao Inland Resort, New Corella, Davao del Norte</t>
  </si>
  <si>
    <t>Procurement of Various Medical Supplies</t>
  </si>
  <si>
    <t>PROCUREMENT FOR THE SUPPLY AND DELIVERY OF BASIC LIFE SUPPORT (BLS) TRAINING EQUIPMENT OF OLONGAPO CDRRMC</t>
  </si>
  <si>
    <t>PROCUREMENT FOR THE SUPPLY AND DELIVERY OF RESCUE TOOLS AND EQUIPMENT FOR OLONGAPO DRRMO-OLONGAPO FIRE RESCUE</t>
  </si>
  <si>
    <t>Concreting of Manggagawa Barangay Road - ITB 030-2020 GQ</t>
  </si>
  <si>
    <t>SUPPLY AND DELIVERY OF ONE (1) UNIT BRAND NEW SERVICE VEHICLE (PICK-UP) FOR THE SANGGUNIANG PANLUNGSOD OFFICE (REBID)</t>
  </si>
  <si>
    <t>Invitation to Bid for Const., of Two Storey Multi Purpose Bldg. at Cahil ES, Brgy. Cahil, Calaca, Batangas</t>
  </si>
  <si>
    <t>Supply / Delivery of 1 unit Printer - ink tank system; colored</t>
  </si>
  <si>
    <t>PURCHASE OF DIESEL FUEL</t>
  </si>
  <si>
    <t>RFQ - Supply and Delivery of PHilMech Group Accident Insurance Provider</t>
  </si>
  <si>
    <t>20LC0153 - Locutan Bridge 1 (B00190MN) along Tagum － Panabo Circumferential Road</t>
  </si>
  <si>
    <t>ROAD IMPROVEMENT AT SITIO MALBAGO, LUYANG, CARMEN, CEBU</t>
  </si>
  <si>
    <t>PEO-19-1450-B (RE-BID) Construction of Various Water Systems in the 1st District of Iloilo Brgy. Cataan, San Joaquin; Brgy. Malagyan, Brgy. Maninila, Miag-ao, Iloilo</t>
  </si>
  <si>
    <t>Supply and Delivery of Office and Janitorial Supplies to be used in different office, Naujan, Oriental Mindoro</t>
  </si>
  <si>
    <t>CONSTRUCTION OF JIABONG FIRE STATION</t>
  </si>
  <si>
    <t>SWADT-ISABELA-2020-06-0179 : OFFICE SUPPLIES</t>
  </si>
  <si>
    <t>VARIOUS  PROJECTS UNDER CLUSTER I-2020, KAYAPA, BAKUN, BENGUET</t>
  </si>
  <si>
    <t>20PA0128 : CONCRETING OF BARANGAY BUDAC TO BARANGAY GADDANI FMR, Barangay Budac and Barangay Gaddani, Tayum, Abra</t>
  </si>
  <si>
    <t>RFQ - Supply of materials, Delivery, Installation and Expert Services for the Software and Hardware components including assembly and debugging of prototype unit for the PIS</t>
  </si>
  <si>
    <t>Supply and Delivery of Agricultural Equipment for Banana Production, Processing and Marketing Project under DAR-MINSAAD</t>
  </si>
  <si>
    <t>Procurement for the Supply, Delivery, Installation and Commissioning of 3D Printer for USTP-CDO</t>
  </si>
  <si>
    <t>Procurement of Hospital Engineering &amp; Facilities Management Unit (HEMU) Supplies and ICT Equipment</t>
  </si>
  <si>
    <t>Negotiated Procurement - Two Failed Biddings for Repair of Diversion Works for Ratag Buan CIS, Siasi, Sulu Province</t>
  </si>
  <si>
    <t>Procurement of Fuel for use of the Service Vehicles of the City Government of Tarlac. B2020-074-A</t>
  </si>
  <si>
    <t>Invitation to Bid for Const. of Two Storey Two Classroom Bldg. at Puting Kahoy ES, Brgy. Puting Kahoy, Calaca, Batangas</t>
  </si>
  <si>
    <t>NSTALLATION OF TOURISM INFORMATION SYSTEM</t>
  </si>
  <si>
    <t>Negotiated Procurement - Two Failed Biddings for Supply &amp; Delivery of Survey Instruments for the use of Region IX Offices, NIA-Regional Office, Labangan, Zambo. Sur</t>
  </si>
  <si>
    <t>Invitation to Bid for Const. of Two Storey Administration Bldg. at Puting Bato ES, Brgy. Puting Bato West, Calaca, Batangas</t>
  </si>
  <si>
    <t>IPH-19-616-B (Re-Bid) Construction of Pathological Tank, Vault for Sharps and Materials Recovery Facility for Iloilo Provincial Hospital  Pototan, Iloilo</t>
  </si>
  <si>
    <t>REPAIR/REHABILITATION OF ACCOUNTING OFFICE</t>
  </si>
  <si>
    <t>20PK0069 - Cluster 1 - Repair and Rehabilitation of Infrastructure Facilities and Other Related Activities - Flood Control and Drainage Systems, Structures and Related Facilities, Mabilong and Dangoy,</t>
  </si>
  <si>
    <t>PEO-20-0382-B CONCRETING OF STA. MONICA-CORDOVA ROAD  Oton, Iloilo</t>
  </si>
  <si>
    <t>CONSTRUCTION OF 2-STOREY MUNICIPAL MULTI PURPOSE BUILDING</t>
  </si>
  <si>
    <t>Supply and Delivery of Materials to be used in the Installation/ Rehabilitation of Water System Level II &amp; III in Different Barangays, Naujan, Oriental Mindoro</t>
  </si>
  <si>
    <t>Procurement of various Medicines for the Animal Bite and Treatment Center of the City Government of Tarlac. B2020-073-A</t>
  </si>
  <si>
    <t>20GHF0005 - Supply and Delivery of Spare Parts and Lubricants for the Preventive &amp; Corrective Maintenance of Service Vehicles, Heavy Equipment and Miscellaneous Equipment assigned in DPWH Cebu 3rd Dis</t>
  </si>
  <si>
    <t>IB NO. 2020-06-30 (05) Goods Category II – Drugs and Medicines</t>
  </si>
  <si>
    <t>CONSTRUCTION OF PADRE BURGOS FIRE STATION</t>
  </si>
  <si>
    <t>BARANGAY OPERATION MONITORING SYSTEM</t>
  </si>
  <si>
    <t>REHABILITATION/IMPROVEMENT OF LEVEL III WATER SYSTEM</t>
  </si>
  <si>
    <t>Invitation to Bid for the Procurement of Lease of Venue and/or Catering Services for CY 2020 NEDA IX and RDC IX Activities  Through Framework Agreement</t>
  </si>
  <si>
    <t>Invitation to Bid for Concreting of Barangay Road at Brgy. Coral ni Lopez, Calaca, Batangas</t>
  </si>
  <si>
    <t>NCB Publication No. 2020- 17 (First Publication)- Perimeter Fencing (Provincial Breeding Center)</t>
  </si>
  <si>
    <t>Invitation to Bid for Const. of Stage with Dressing Room and Perimeter Fence at Brgy. Matipok, Calaca, Batangas</t>
  </si>
  <si>
    <t>Melt Loading System</t>
  </si>
  <si>
    <t>RFQ-GS-20200603-01 - 6 Units External Hard Drive, 4 TB, USB 3.0</t>
  </si>
  <si>
    <t>SUPPLY AND DELIVERY OF LABOR AND MATERIALS FOR THE PROJECT CONSTRUCTION OF TAGABAS ILAYA LEVEL II POTABLE WATER SUPPLY SYSTEM, BRGY. TAGABAS ILAYA, CATANAUAN, QUEZON</t>
  </si>
  <si>
    <t>Purchase of PPE, Isolation Building Equipment and Supplies, Testing Kits and Medicines</t>
  </si>
  <si>
    <t>CONSTRUCTION OF PINABACDAO FIRE STATION</t>
  </si>
  <si>
    <t>REHABILITATION OF BARANGAY STREET LIGHT</t>
  </si>
  <si>
    <t>NCB Publication No. 2020- 18 (First Publication)- FMR Improvement at Sanafe</t>
  </si>
  <si>
    <t>Medical Supplies for Re-Enlistment of Air Force City Personnel</t>
  </si>
  <si>
    <t>Invitation to Bid for Rehabilitation/ Concreting of Road at Brgy. Matipok, Calaca, Batangas</t>
  </si>
  <si>
    <t>Hydraulic Mule</t>
  </si>
  <si>
    <t>Tailored Fit Uniform for Pre-Entry Training CY-2020</t>
  </si>
  <si>
    <t>Invitation to Bid for Const. of Three Storey Nine Classroom Bldg. at DGAES, Brgy. Dacanlao, Calaca, Batangas</t>
  </si>
  <si>
    <t>CHILDLINK LIBRARY</t>
  </si>
  <si>
    <t>Spares and Services for the Repair and Maintenance of DLM Equipment</t>
  </si>
  <si>
    <t>CONCRETING OF IMAN STREET- BARANGAY MAGCAMIGUING</t>
  </si>
  <si>
    <t>Spares for the Maintenance of C-295 Aircraft Nr 140 &amp; 142</t>
  </si>
  <si>
    <t>Invitation to Bid for Concreting of Barangay Road at Sitio Buliran, Lumbang na Matanda, Calaca, Batangas</t>
  </si>
  <si>
    <t>Supply and delivery of HARDWARE MATERIALS  RE: For Land Development of Local Economic Enterprise Compound @ New Slaughterhouse, Brgy. Talaba</t>
  </si>
  <si>
    <t>SUPPLY AND DELIVERY OF HDPE PIPES AND COMPRESSION FITTINGS</t>
  </si>
  <si>
    <t>SUPPLY AND DELIVERY OF LABOR AND MATERIALS FOR THE PROJECT, CONSTRUCTION OF STA. MARIA DAO LEVEL II POTABLE WATER SUPPLY SYSTEM, BRGY. STA. MARIA DAO, CATANAUAN, QUEZON</t>
  </si>
  <si>
    <t>CONSTRUCTION OF CANAL LINING AT TALISAYAN, BRGY. SAMPALOC IV, CITY OF DASMARIÑAS, CAVITE</t>
  </si>
  <si>
    <t>20LD0129-Repair/Maintenance of Drainage along Davao-Cotabato Road (Camanchiles Section), K1574+400 to K1575+237.5, Davao del Sur</t>
  </si>
  <si>
    <t>Invitation to Bid for Construction of Slope Protection at Brgy. Makina, Calaca, Batanga</t>
  </si>
  <si>
    <t>IPH-19-1149-B (Re-Bid) Transformer and Wirings (Relocation of 3-units 75KVA Transformer and 2-unit Generator) Iloilo Provincial Hospital, Pototan, Iloilo</t>
  </si>
  <si>
    <t>Conditional Spares for the Maintenance and Repair of Bell 412 and UH-1 Helicopters</t>
  </si>
  <si>
    <t>SUPPLY AND DELIVERY OF LABOR AND MATERIALS FOR THE PROJECT, CONSTRUCTION OF BRGY. NAVITAS LEVEL II POTABLE WATER SUPPLY SYSTEM, BRGY. NAVITAS, CATANAUAN, QUEZON</t>
  </si>
  <si>
    <t>CID No. 20GI00003 - Purchase/delivery of one (1) set Portable Weigh-In Motion System (with mobilization, manpower, equipment, project management, supervision including programming, testing and commiss</t>
  </si>
  <si>
    <t>PEO-20-0553-B Concreting of Aldeguer - Salcedo Road Sara, Iloilo</t>
  </si>
  <si>
    <t>Generators Set Type</t>
  </si>
  <si>
    <t>HFW-2020-06-0180 : TEMPORARY FENCE OF HOME FOR WOMEN AT THE NEW BUILDING , MAMPANG ZC</t>
  </si>
  <si>
    <t>Invitation to Bid for Const. of Two Storey Six Classroom Bldg. at Matipok ES, Brgy. Matipok, Calaca, Batangas</t>
  </si>
  <si>
    <t>Supply and delivery of HARDWARE MATERIALS  RE: For Land Development of Relocation Site @, Brgy. Talaba</t>
  </si>
  <si>
    <t>Invitation to Bid for Const. of Two Unit Communal Toilets at DGANHS, Brgy. Dacanlao, Calaca, Batangas</t>
  </si>
  <si>
    <t>PEO-20-0613-B Concreting of JNR, Agtambo-Sto. Tomas- Nueva Union Road Passi City, Iloilo</t>
  </si>
  <si>
    <t>Invitation to Bid for Const. of Two Storey Four Classroom Bldg. at Calaca Central ES, Brgy. 2, Calaca, Batangas</t>
  </si>
  <si>
    <t>20CSZ017-Consulting Services for the Design Review/Construction Supervision of the Ambal-Simuay River and Rio Grande De Mindanao River Flood Control Projects Package 1 and Package 2</t>
  </si>
  <si>
    <t>SUPPLY AND DELIVERY OF LABOR AND MATERIALS FOR THE PROJECT, CONSTRUCTION OF BRGY. TAGBACAN IBABA LEVEL II POTABLE WATER SUPPLY SYSTEM, BRGY. TAGBACAN IBABA, CATANAUAN, QUEZON</t>
  </si>
  <si>
    <t>Furnishing of Labor, Materials, handtools and Equipment RE: Construction of Level II Potable Water Supply @ Brgy. Tagbakin Atimonan, Quezon</t>
  </si>
  <si>
    <t>Invitation to Bid for Const. of Two Storey Four Classroom Bldg. at Talisay ES, Brgy. Talisay, Calaca, Batangas</t>
  </si>
  <si>
    <t>Cluster 17: Clustered Projects of Barangay Lengaoan-1</t>
  </si>
  <si>
    <t>INVITATION TO BID FOR THE Procurement of Five (5) Units of Fire Suppression System for ICT Equipment and Two (2) Units of Network Switch under the DOE CY2020 ISSP</t>
  </si>
  <si>
    <t>Furnishing of Labor, Materials, handtools and Equipment RE: Construction of Community Fish Landing Center, @Zone 4 Poblacion, Atimonan, Quezon</t>
  </si>
  <si>
    <t>Procurement of Various Airconditioning units and Supplies and Materials for Installation P.R. No. 159 - SAH</t>
  </si>
  <si>
    <t>PEO-19-1551-B Improvement of Various Water Systems in the 3rd District of Iloilo Brgy. Nasaka, Maasin; Brgy. Corot-on, Lambunao, Iloilo</t>
  </si>
  <si>
    <t>2020-049 REHABILITATION OF BUREAU OF FIRE PROTECTION (BFP) BUILDING AT MUNICIPAL HALL COMPOUND, MIDSAYAP, COTABATO</t>
  </si>
  <si>
    <t>CLUSTER 20: CONSTRUCTION OF NAYBO CHILD DEVELOPMENT CENTER PHASE (II)</t>
  </si>
  <si>
    <t>Cluster 18: Clustered Projects of Barangay Buyacaoan</t>
  </si>
  <si>
    <t>INSTALLATION OF SOLAR STREET LIGHTS - BRGY. SOLIS, BALETE, BATANGAS</t>
  </si>
  <si>
    <t>CLUSTER 19: CONSTRUCTION OF LIVESTOCK AUCTION CENTER (PHASE II)</t>
  </si>
  <si>
    <t>Research Work, Museum Text and AVP Script Writing of the Dambanang Lapu-lapu (Lapu-Lapu Shrine), Lapu-Lapu City, Cebu</t>
  </si>
  <si>
    <t>Invitation to Bid for Const. of Two Storey "ALS" Building at Calaca Central ES, Brgy. 2, Calaca, Batangas</t>
  </si>
  <si>
    <t>Bidding (Infra Project)</t>
  </si>
  <si>
    <t>Contract I.D. No. 20OE0198 - MOOE – Maintenance, Repair and Rehabilitation of Infrastructure Facilities and Other Related Activities – Public Buildings – Repair / Maintenance / Rehab. OP Building, Mul</t>
  </si>
  <si>
    <t>Supply and Delivery of One (1) Unit Brand New Mini Dump Truck for the use of Municipal Government of Calauag for Solid Waste Management</t>
  </si>
  <si>
    <t>REHABILITATION/IMPROVEMENT OF WATER SYSTEM</t>
  </si>
  <si>
    <t>Purchase of Risk Communication and Hygiene Kits</t>
  </si>
  <si>
    <t>Construction of Brgy. Outpost Phase II</t>
  </si>
  <si>
    <t>ROAD IMPROVEMENT (OPENING OF 750 LINEAR METER ROAD AT SITIO PALAWAN-MANAMBAY)</t>
  </si>
  <si>
    <t>20HI0060 - Construction of Multi-Purpose Building, Brgy. Maslog, Danao City, Cebu</t>
  </si>
  <si>
    <t>Contract I.D. No. 20OE0200 - MOOE – Maintenance, Repair and Rehabilitation of Infrastructure Facilities and Other Related Activities – Public Buildings – Repair / Maintenance / Rehab. –  DPWH Building</t>
  </si>
  <si>
    <t>CONCRETING OF ROAD - BRGY. SALA, BALETE, BATS.</t>
  </si>
  <si>
    <t>WELFARE GOODS EXPENSE (EGGS) - RE-BID</t>
  </si>
  <si>
    <t>20HI0059 - Concreting of Road to Villahermosa Marine Sanctuary and Mangrove Ecopark, Tudela, Cebu</t>
  </si>
  <si>
    <t>Contract I.D. No. 20OE0199 - MOOE – Maintenance, Repair and Rehabilitation of Infrastructure Facilities and Other Related Activities – Public Buildings – Repair / Maintenance / Rehab. –  Office of the</t>
  </si>
  <si>
    <t>2020-036, CONSTRUCTION OF STEEL BRIDGE AT SITIO PANGPANG, PUROK 4, BARANGAY UPPER GLAD 1, MIDSAYAP, COTABATO</t>
  </si>
  <si>
    <t>20HI0035 - Amancion Road Opening, Brgy. Amancion, Catmon, Cebu</t>
  </si>
  <si>
    <t>Contract I.D. No. 20OE0201 - Construction / Rehabilitation of Water Supply / Septage and Sewerage / Rain Water Collectors – Rain Water Collectors in Public Facilities – Construction of 16 Units Rainwa</t>
  </si>
  <si>
    <t>2020-039, CONSTRUCTION OF BAILEY BRIDGE CONNECTING PUROK 4 AND PUROK 5, POBLACION 5, MIDSAYAP, COTABATO</t>
  </si>
  <si>
    <t>IMPROVEMENT OF BRGY. HEALTH CENTER-BRGY. PALSARA, BALETE, BATS.</t>
  </si>
  <si>
    <t>20HI0067 - Construction of Infirmary Hospital at Tudela, Cebu – Phase 1</t>
  </si>
  <si>
    <t>SUPPLY AND DELIVERY OF SUPPLY AND DELIVERY OF CALIBRATION AND RECERTIFICATION AND REPLACEMENT OF HEPA FILTER OF BIOLOGICAL SAFETY CABINET</t>
  </si>
  <si>
    <t>PH-NPC-162238-GO-RFB - Solar Home Systems (SHS) for Access to Sustainable Energy Project Philippines, Window 2</t>
  </si>
  <si>
    <t>CONSTRUCTION OF SPORTS LIBRARY BUILDING</t>
  </si>
  <si>
    <t>CONSTRUCTION OF ONE CLASSROOM SCHOOL BUILDING (ALS)</t>
  </si>
  <si>
    <t>IMPROVEMENT OF MAIN ELECTRICAL POWER SUPPLY LINES- LGU-BALETE (MATERIALS ONLY)</t>
  </si>
  <si>
    <t>Purchase of Asphalt Cement 60/70 for Various Bridges along Various Road Sections</t>
  </si>
  <si>
    <t>PURCHASE OF SUPPLIES AND MATERIALS FOR THE ASPHALTING OF KAMAMA HOA PHASE 1 AND 2</t>
  </si>
  <si>
    <t>20HI0088 - Construction of Local Road, Brgy. Tayud, Liloan, Cebu</t>
  </si>
  <si>
    <t>Fuel &amp; Lubricants of  Service Vehicle for Supervision/Implementation of Regular Infra Projects</t>
  </si>
  <si>
    <t>Purchase of Materials for Act. # 122 Crack and Joint Sealing of Concrete Pavement</t>
  </si>
  <si>
    <t>Materials for Tent and Desk Top Computer w/ Complete Accessories</t>
  </si>
  <si>
    <t>Purchase of Materials, Tools &amp; Equipment use for Routine Maintenance along Various Road Sections</t>
  </si>
  <si>
    <t>20HI0078 - Construction of Multi-Purpose Building, Barangay Estaca, Compostela, Cebu</t>
  </si>
  <si>
    <t>PURCHASE OF SUPPLIES AND MATERIALS FOR THE ASPHALTING OF VARIOUS STREETS</t>
  </si>
  <si>
    <t>2020-051, SUPPLY AND DELIVERY OF ELECTRONIC DEVICES AND EQUIPMENT FOR EXPLOSIVE ORDNANCE DISPOSAL (EOD) UNIT AT LGU MIDSAYAP, COTABATO</t>
  </si>
  <si>
    <t>CONSTRUCTION OF ONE CLASSROOM SCHOOL BUILDING (SPED)</t>
  </si>
  <si>
    <t>2020-050, CONSTRUCTION OF BOX CULVERT AT PUROK 3, MILAYA, MIDSAYAP, COTABATO</t>
  </si>
  <si>
    <t>Repair/Maintenance of Road Safety Devices 					  (Activity 71x-Special Maintenance) within				   		   a) Tayabas Section, Tayabas City-Quezon b) Lucena-Tayabas-Lucban-Sampaloc Mauban Port Road (S01555</t>
  </si>
  <si>
    <t>Construction of three storey nine classroom – Pres. Corazon Cojuangco Aquino MNHS, Malolos, Bulacan</t>
  </si>
  <si>
    <t>Rehabilitation and Construction of Barangay Street Lights</t>
  </si>
  <si>
    <t>Repair/Maintenance of Road Safety Devices 					  (Activity 71x-Special Maintenance) along				   		   a) Famy-Real-Infanta-Dinahican Port Road K0093+000-K0149+636, w/exception Real &amp; Infanta, Quezon b)</t>
  </si>
  <si>
    <t>Repair/Maintenance of Yellow Centerline (Activity 71x-Special Maintenance)  along National Bridges, within Quezon 1st DEO,  Lucban, Quezon</t>
  </si>
  <si>
    <t>PROCUREMENT OF OFFICE SUPPLIES AND DEVICES</t>
  </si>
  <si>
    <t>Construction of two storey six classroom – Lolomboy Elementary School, Bocaue, Bulacan</t>
  </si>
  <si>
    <t>IB_Cluster 15- Sewerage and Waste Water Facility and Boardwalk, Puerto Galera, Oriental Mindoro</t>
  </si>
  <si>
    <t>Repair/Maintenance of DILG Building PNP Tayabas Police Station, Tayabas City-Quezon</t>
  </si>
  <si>
    <t xml:space="preserve">Repair/Maintenance of Reflectorized 					  Thermoplastic Pavement Markings 					  (71x-Special  Maintenance) along  a)	Famy-Real-Infanta-Dinahican Port Road K0093+-623-K0149+636, w/exception Real and </t>
  </si>
  <si>
    <t>Construction of four storey eight classroom – Lolomboy National High School, Bocaue, Bulacan</t>
  </si>
  <si>
    <t>Construction of three storey nine classroom – Longos Elementary School, Malolos, Bulacan</t>
  </si>
  <si>
    <t>Proposed Street Lighting</t>
  </si>
  <si>
    <t>Construction of three storey nine classroom – Tikay Elementary School, Malolos, Bulacan</t>
  </si>
  <si>
    <t>Construction of three storey twelve classroom – Bungahan Elementary School, Malolos, Bulacan</t>
  </si>
  <si>
    <t>Construction of three storey nine classroom – Bulihan National High School, Malolos, Bulacan</t>
  </si>
  <si>
    <t>UPGRADING OF CCTV</t>
  </si>
  <si>
    <t>20DC0206 - LOCAL PROGRAM, Local Infrastructure Program, Buildings And Other Structures, Multipurpose/Facilities, Construction of Multi-Purpose Building, San Nicolas, Batangas</t>
  </si>
  <si>
    <t>Construction of two storey six classroom – Guiguinto Central School, Guiguinto, Bulacan</t>
  </si>
  <si>
    <t>DSWD NNP No. 20-GOP-SVC-002-A - Hiring of Writer/Technical Editor for the 2019 DSWD Annual Report</t>
  </si>
  <si>
    <t>Supply, Delivery &amp; Installation of Emergency Paging System</t>
  </si>
  <si>
    <t>PROCUREMENT OF EMERGENCY TRANSPORT VEHICLE</t>
  </si>
  <si>
    <t>20DC0204 - LOCAL PROGRAM, Local Infrastructure Program, Buildings and Other Structures, Multipurpose/Facilities, Rehabilitation and Improvement of San Nicolas Municipal Building, San Nicolas, Batangas</t>
  </si>
  <si>
    <t xml:space="preserve">20DC0205 - LOCAL PROGRAM, Construction/Repair/Rehabilitation/Improvement of Various Infrastructure including Local Projects, Buildings And Other Structures, Multipurpose/Facilities, Rehabilitation of </t>
  </si>
  <si>
    <t>20DC0203 - LOCAL PROGRAM, Construction/Repair/Rehabilitation/Improvement of Various Infrastructure including Local Projects, Buildings And Other Structures, Multipurpose/Facilities, Construction of Mu</t>
  </si>
  <si>
    <t xml:space="preserve">20DC0201 - LOCAL PROGRAM, Construction/Repair/Rehabilitation/Improvement of Various Infrastructure including Local Projects, Buildings And Other Structures, Multipurpose/Facilities, Rehabilitation of </t>
  </si>
  <si>
    <t>Procurement of Ultrasound (HFEP)</t>
  </si>
  <si>
    <t>REPAIR AND RENOVATION OF ADMINISTRATION BUILDING</t>
  </si>
  <si>
    <t>PROCUREMENT OF PICK-UP TRUCK</t>
  </si>
  <si>
    <t>Concreting of Brgy. Siling Bata to Brgy. Cacarong Matanda FMR, Brgy. Siling Bata and brgy. Cacarong Matanda, Pandi, Bulacan</t>
  </si>
  <si>
    <t>Procurement of Computed Radiography Laser Imaging System(HFEP)</t>
  </si>
  <si>
    <t xml:space="preserve">20DC0202 - LOCAL PROGRAM, Construction/Repair/Rehabilitation/Improvement of Various Infrastructure including Local Projects, Buildings And Other Structures, Multipurpose/Facilities, Rehabilitation of </t>
  </si>
  <si>
    <t>GO BAG</t>
  </si>
  <si>
    <t>PROCUREMENT OF MINI-DUMP TRUCK</t>
  </si>
  <si>
    <t>Request for Quotation for Drugs and Medicine</t>
  </si>
  <si>
    <t>INVITATION TO BID FOR PROCUREMENT OF 8 LAPTOP UNITS, 1 HIGH-END VIDEO EDITING LAPTOP AND 20 DESKTOP UNITS</t>
  </si>
  <si>
    <t>CONTINUATION OF THE REPAIR AND RENOVATION OF RESEARCH OFFICE / FTC (PHASE II)</t>
  </si>
  <si>
    <t>SUPPLY &amp; DELIVERY OF CONSTRUCTION MATERIALS FOR THE CONSTRUCTION  OF MATERIAL RECOVERY FACILITY (MRF) AT PUROK 6, PAG-ASA, KAPALONG, DAVAO DEL NORTE</t>
  </si>
  <si>
    <t>Concreting of Brgy. Catacte FMR, Brgy. Catacte, Bustos, Bulacan</t>
  </si>
  <si>
    <t>IB 2020-06-006 PSS Procurement of Steam Sterilizer 2020-06</t>
  </si>
  <si>
    <t>PROCUREMENT OF FURNITURE &amp; FIXTURES &amp; OTHER EQUIPMENT</t>
  </si>
  <si>
    <t>PROCUREMENT OF IT &amp; OTHER OFFICE EQUIPMENT</t>
  </si>
  <si>
    <t>CONSTRUCTION OF SLOPE PROTECTION AND COMPLETION OF EVACUATION CENTER</t>
  </si>
  <si>
    <t>Supply and Delivery of Plastic Melter for City ENRO</t>
  </si>
  <si>
    <t>CONSTRUCTION OF INTEGRATED TERMINAL</t>
  </si>
  <si>
    <t>IMPROVEMENT OF MUNICIPAL PARK</t>
  </si>
  <si>
    <t>CONTINUATION OF LABORATORY CUM TRAINING CENTER FOR IHM AND TOURISM PROGRAM (PHASE II)</t>
  </si>
  <si>
    <t>UPGRADING OF ELECTRICAL SYSTEM, PHASE I</t>
  </si>
  <si>
    <t>Procurement of Milk and Vitamins</t>
  </si>
  <si>
    <t>IB 2020-06-005 PORL Procurement of Operating Room Light 2020-05</t>
  </si>
  <si>
    <t>Supply and Delivery of Medical Equipment for Community  Hospital</t>
  </si>
  <si>
    <t>INVITATION TO BID MESS FOODSTUFF LOT C. POULTRY</t>
  </si>
  <si>
    <t>MDF CLUSTER 12-2020 PROJECTS AT PAOAY, ATOK, BENGUET</t>
  </si>
  <si>
    <t>UPGRADING OF POWER SYSTEM</t>
  </si>
  <si>
    <t>Concreting of Brgy. Tanawan to Brgy. Poblacion FMR, Brgy. Tanawan and Brgy. Poblacion, Bustos, Bulacan</t>
  </si>
  <si>
    <t>INVITATION TO BID MESS FOODSTUFF LOT A. RICE</t>
  </si>
  <si>
    <t>MDF CLUSTER 11-2020 PROJECT: REHABILITATION OF IRRIGATION CANAL AT CASDAN</t>
  </si>
  <si>
    <t>MDRRMF CLUSTER 3-2020 PROJECT: REHABILITATION OF KM. 288-BETAC-WAGI ROAD</t>
  </si>
  <si>
    <t>INVITATION TO BID MESS FOODSTUFF LOT B. MEAT</t>
  </si>
  <si>
    <t>INVITATION TO BID MESS FOODSTUFF LOT F. VEGETABLES LEGUMES AND DESSERT</t>
  </si>
  <si>
    <t>Construction of Multi-Purpose Building (Phase III), Brgy. Cubi-Cubi</t>
  </si>
  <si>
    <t>INVITATION TO BID MESS FOODSTUFF LOT E. GROCERIES</t>
  </si>
  <si>
    <t>Procurement of Medicines and Medical Supplies</t>
  </si>
  <si>
    <t>INVITATION TO BID MESS FOODSTUFF LOT G. COLD CUTS</t>
  </si>
  <si>
    <t>INVITATION TO BID MESS FOODSTUFF LOT D. FRESH AND DRIED FISH</t>
  </si>
  <si>
    <t>Widening of San Nicolas Road at Barangay San Nicolas, Floridablanca, Pampanga</t>
  </si>
  <si>
    <t>INVITATION TO BID FOR THE ACQUISITION OF 55 UNITS LAPTOP FOR CY 2020</t>
  </si>
  <si>
    <t>Procurement of Food Supplies</t>
  </si>
  <si>
    <t>Concreting (NRJ Camagong-Resettlement Site) Barangay Road, Brgy. Camagong</t>
  </si>
  <si>
    <t>ONE JOB ORDER FOR LABOR AND MATERIALS FOR THE CONSTRUCTION OF DOH RO 7 (PHASE II),TANJAY GENERAL HOSPITAL AND DOH WAREHOUSE AT EVERSELY CHILDS SANITARIUM (BAC 2020-I01)</t>
  </si>
  <si>
    <t>Procurement of Fertilizer and Insecticide</t>
  </si>
  <si>
    <t>Supply and Delivery of Furniture and Fixture for the Sangguniang Bayan</t>
  </si>
  <si>
    <t>Supply and Delivery of Fuel and Lubricants for the Rescue Vehicles</t>
  </si>
  <si>
    <t>Supply and Delivery of Parts and Supplies for the Repair of the Garbage Compactor</t>
  </si>
  <si>
    <t>Procurement of Surveying Equipment</t>
  </si>
  <si>
    <t>CONCRETING OF BALACTASAN-PANG-ITAN ROAD, BRGY. BALACTASAN, MADALAG, AKLAN</t>
  </si>
  <si>
    <t>IMPROVEMENT/ UPGRADING OF ABATAN- BAGNEN ROAD</t>
  </si>
  <si>
    <t>Procurement of Spare Parts</t>
  </si>
  <si>
    <t>Procurement of spareparts (heavy equipment)-B-20-0190</t>
  </si>
  <si>
    <t>IMPROVEMENT/ UPGRADING OF BONTOC- MAINIT ROAD</t>
  </si>
  <si>
    <t>PROCUREMENT OF RESPONSE VEHICLE</t>
  </si>
  <si>
    <t>CONSTRUCTION OF EVACUATION CENTER PHASE III</t>
  </si>
  <si>
    <t>Purchase of hardware materials for instation of meter stand phase 1</t>
  </si>
  <si>
    <t>Supply of Labor and Materials for the Expansion of Distribution Lines for Water Supply At Brgy. Osiem, Mangaldan, Pangasinan</t>
  </si>
  <si>
    <t>Rehabilitation of Burgos Street</t>
  </si>
  <si>
    <t xml:space="preserve">REQUEST FOR JOB ORDER: REPAIR AND REPAINTING OF MMTSD STAFFHOUSES, OFFICE, STOCKROOM AND LAWN FENCE JO No. F3138S3 (S3-MMT20-006) and REPAIR  AND  RENOVATION  OF  MMTSD LABORATORY ROOM JO No. F3139S3 </t>
  </si>
  <si>
    <t>REHABILITATION OF AMPATUA STREET</t>
  </si>
  <si>
    <t>Procurement of food supplies (meals and snacks)within Davao de Oro-B-20-0189</t>
  </si>
  <si>
    <t>Purchase of food stuff for supplemental feeding of 108 children 6-23 months old</t>
  </si>
  <si>
    <t>Installation / Rehabilitation of Street Lighting System &amp; Pathway (Plaza and Around the Church &amp; National Hiway from Tumagbok Bridge to Sapa Bridge), Poblacion Miagao</t>
  </si>
  <si>
    <t>SUPPLY AND DELIVERY OF BACKYARD GARDENING SUPPLIES AND ASSORTED VEGETABLE SEEDS</t>
  </si>
  <si>
    <t>One(1) Job Labor, Materials &amp; Equipment Rentals for the Concreting of Municipal Road of Guanco Street, Pototan, Iloilo</t>
  </si>
  <si>
    <t>INVITATION TO BID NO. 2020-06-0013 PROCUREMENT OF ELECTRICAL SUPPLIES AND EQUIPMENT OF CAPSU SIGMA SATELLITE COLLEGE</t>
  </si>
  <si>
    <t>REHABILITATION OF MABINI STREET</t>
  </si>
  <si>
    <t>2020-TF-04: WATERWORKS SYSTEM PROJECT IN BARANGAY WESTERN UMA</t>
  </si>
  <si>
    <t>CONCRETING OF TAMBO BARANGAY ROAD, AYUNGON, NEGROS ORIENTAL</t>
  </si>
  <si>
    <t>Procurement of Dermatology Equipment</t>
  </si>
  <si>
    <t>IMPROVEMENT/ UPGRADING OF MAMAGA- SACLIT ROAD</t>
  </si>
  <si>
    <t>REHABILITATION OF JUDGE PIANG D. PAISO STREET</t>
  </si>
  <si>
    <t>IMPROVEMENT/ UPGRADING OF SADSADAN- CUBA ROAD</t>
  </si>
  <si>
    <t>LAYOUT AND PRINTING OF VARIOUS MANUALS under IB NO. 2020-183</t>
  </si>
  <si>
    <t>Procurement of Laboratory Equipment (HFEP)</t>
  </si>
  <si>
    <t>CONCRETING OF SITIO KANLUKDUHAN, BARANGAY GOMENTOC, BARANGAY ROAD, AYUNGON, NEGROS ORIENTAL</t>
  </si>
  <si>
    <t>Supply and Delivery of Diesel for the Rehabilitation of Roads Leading to Resettlement Sites of Earthquake-Affected Communities</t>
  </si>
  <si>
    <t>Local Road Upgrading (Improvement of Bato Road) Barangay Bato, Makilala, Cotabato</t>
  </si>
  <si>
    <t>(20LF0139)Junction Brgy. Old Macopa Centro to Sitio Madsayap, Brgy. Old Macopa, Connecting Manay Public Terminal to Abaca Processing and Corn Milling in Support to Agribusiness, Manay, Davao oOriental</t>
  </si>
  <si>
    <t>ITB - PURCHASE OF CONSTRUCTION MATERIALS FOR THE IMPROVEMENT OF BRGY. HEALTH CENTER PHASE III PROJECT</t>
  </si>
  <si>
    <t>(20LF0140)Jct. San Antonio Baybay Leading to Creamsand Longbeach, Brgy. Baybay, Cateel, Davao Oriental</t>
  </si>
  <si>
    <t>CONCRETING OF KILABAN BARANGAY ROAD, AYUNGON, NEGROS ORIENTAL</t>
  </si>
  <si>
    <t>CONCRETING OF JANDALAMANON BARANGAY ROAD, AYUNGON, NEGROS ORIENTAL</t>
  </si>
  <si>
    <t>Construction of Five (5) Units Multi-purpose Building of Barangay Saguing, Biangan, Indangan, New Baguio and Luayon</t>
  </si>
  <si>
    <t>CONCRETING OF INACBAN BARANGAY ROAD, AYUNGON, NEGROS ORIENTAL</t>
  </si>
  <si>
    <t>(20LF0141)NRJ San Isidro-Campawan Leading to Curtain Falls, Barangay Campawan, Baganga, Davao Oriental</t>
  </si>
  <si>
    <t>ITB - PURCHASE OF CONSTRUCTION MATERIALS FOR THE IMPROVEMENT OF STREETLIGHT AT ZONE 1-4 PROJECT</t>
  </si>
  <si>
    <t>Construction of 1- Storey Evacuation Center, Barangay Bato, Makilala, Cotabato</t>
  </si>
  <si>
    <t>ROAD CONCRETING OF MUNICIPAL CEMETERY ACCESS ROAD AT AYUNGON, NEGROS ORIENTAL</t>
  </si>
  <si>
    <t>Construction of Temporary Office, Municipal Compound, Makilala, Cotabato</t>
  </si>
  <si>
    <t>(20LF0142) NRJ Salingcomot-Languyon Leading to Languyon Mangove Park, Brgy. Salingcomot, Baganga, Davao Oriental</t>
  </si>
  <si>
    <t>INSTALLATION OF WINDOW BLINDS AT MP Bldg (Mayor's Office, Vice Mayor's Office &amp; SB Office)</t>
  </si>
  <si>
    <t>IMPROVEMENT/REBLOCKING/SHOULDER/CANAL OF MUNICIPAL STREET- KAPITANA TIRAY STREET, DEGUIT STREET, TABURAZA STREET, ENARDECIDO STREET AND VILLANUEVA STREET, BRGY. POBLACION, AYUNGON, NEGROS ORIENTAL</t>
  </si>
  <si>
    <t>PROCUREMENT OF VARIOUS FERTILIZERS</t>
  </si>
  <si>
    <t>Construction of Five (5) Units Multi-purpose Building of Barangay Sta. Felomina, Kisante, Rodero, Cabilao &amp; Old Bulatukan</t>
  </si>
  <si>
    <t>Construction/Installation of Street Lights</t>
  </si>
  <si>
    <t>COMPLETION OF COVERED COURT (PHASE 2) - CATIGBIAN</t>
  </si>
  <si>
    <t>CONCRETING OF LAMIGAN (ABURAO SECTION) BARANGAY ROAD AT AYUNGON, NEGROS ORIENTAL</t>
  </si>
  <si>
    <t>CLUSTER 1, 2, 3, 4, 5, 6, 7, 8, 9, 10, 11, 12 &amp; 13 - REPAIR/REHABILITATION OF CLASSROOMS/CONSTRUCTION OF SLOPE PROTECTION (CY 2020 QRF)</t>
  </si>
  <si>
    <t>Bidding for the Supply &amp; Delivery of Medicines for Municipal Health Office use</t>
  </si>
  <si>
    <t>Malinao Dam Improvement Project, Pacakge 2 (Const. of Lined Canal &amp; Canal Structures)</t>
  </si>
  <si>
    <t>Bidding for the Supply &amp; Delivery of Materials for Toilet Sanitation Program</t>
  </si>
  <si>
    <t>Supply and Delivery of Anniversary Gold Ring</t>
  </si>
  <si>
    <t>concreting and Improvement of Ground to Multipurpose Hall (Phase 2)</t>
  </si>
  <si>
    <t>20-0169 SERVICES</t>
  </si>
  <si>
    <t>COMPLETION OF TB DOTS</t>
  </si>
  <si>
    <t>Elevated Water Tank at Birthing Center</t>
  </si>
  <si>
    <t>Malinao Dam Improvement Project, Pacakge 1 (Const. of Sabo Dam &amp; Slope Protection)</t>
  </si>
  <si>
    <t>IMPROVEMENT OF PEOPLES CENTER/MPAC REBIDDING</t>
  </si>
  <si>
    <t>Procurement of Dog Trap in Support to Dog Termination Program</t>
  </si>
  <si>
    <t>SUPPLY AND DELIVERY OF LOT 1: 2,000 LITERS MOLASSES</t>
  </si>
  <si>
    <t>20-0174 CONSTRUCTION EQUIPMENT</t>
  </si>
  <si>
    <t>INSTALLATION OF STREETLIGHTS ALONG MALINAO RIVER EASEMENT (REBID)</t>
  </si>
  <si>
    <t>CONSTRUCTION OF SANITARY LANDFILL FACILITY, CELL 2 BRGY. KALYAAT</t>
  </si>
  <si>
    <t>REPAIR AND MAINTENANCE OF ELECTRIC/ POWER SUPPLY SYSTEM  AT ILOILO INTERNATIONAL AIRPORT</t>
  </si>
  <si>
    <t>Construction of Drainage System 88 Linear Meter at L. Cambonga St., Poblacion, Sibonga, Cebu</t>
  </si>
  <si>
    <t>IMPROVEMENT OF FMR, CENTRO SANTUR-ANONANG, SANTOR</t>
  </si>
  <si>
    <t>Proposed Construction of Four (4) Storey-Forty Four (44) Rooms – School Building and Facilities at JUAN SUMULONG ELEMENTARY SCHOOL – Phase 3</t>
  </si>
  <si>
    <t>IMPROVEMENT OF BARANGAY HEALTH CENTER, SAN PASCUAL</t>
  </si>
  <si>
    <t>CONSTRUCTION OF DEEPWELL WITH ELEVATED TANK, AGBANNAWAG NATIONAL HIGH SCHOOL, AGBANNAWAG</t>
  </si>
  <si>
    <t>PURCHASE OF EMERGENCY RESPONSE VEHICLE (Customized Four Wheel Drive Pickup Rescue Vehicle) FOR MDRRM OFFICE GUMACA, QUEZON</t>
  </si>
  <si>
    <t>CONSTRUCTION OF CIS, SUKIAP, TANGLAG</t>
  </si>
  <si>
    <t>CONSTRUCTION OF DAY CARE CENTER PHASE 2</t>
  </si>
  <si>
    <t>Procurement of Medical and Laboratory Supplies</t>
  </si>
  <si>
    <t>CONSTRUCTION OF SCHOOL &amp; EVACUATION CENTER COMFORT ROOM, LIWAN EAST</t>
  </si>
  <si>
    <t>Procurement of Machineries, Equipment, Furniture’s and Fixtures for the University use at ESSU Main Campus</t>
  </si>
  <si>
    <t>SUPPLIES USED FOR AGRICULTURE OFFICE</t>
  </si>
  <si>
    <t>INVITATION TO BID FOR CONSTRUCTION OF ROAD (0.20M X 4.0M X 713M) AT BRGY. BUENAVISTA</t>
  </si>
  <si>
    <t>Laboratory Supplies for LPH-Majayjay District Hospital No Balance Billing (NBB)</t>
  </si>
  <si>
    <t>20L00171 : Repair/Maintenance of: I. DPWH Building Presidential Guest House Building DPWH – Region XI – Equipment Management Division; II. DPWH Building Annex Building (Cabinet Secretaries Holding Bui</t>
  </si>
  <si>
    <t>Organic Fertilizer and Assorted Vegetable Seeds for Distribution to Households in the Province of Laguna as Food Security Measure for COVID-19 Pandemic</t>
  </si>
  <si>
    <t>Rehabilitation/Improvement of 32 Classroom School Building Rear Exterior, PGMNHS, Sta. Cruz, Laguna</t>
  </si>
  <si>
    <t>CONSTRUCTION OF CANAL LINING, NANENG</t>
  </si>
  <si>
    <t>UPGRADING/IMPROVEMENT/REHABILITATION OF NGIBAT-TULGAO PROVINCIAL ROAD, TULGAO</t>
  </si>
  <si>
    <t>Termite/Pest Control Services for the Facilities of LPH-Luisiana District Hospital, LPH-Bay District Hospital, LPH-Nagcarlan District Hospital, LPH-San Pablo City District Hospital, LPH-Dr. J.P. Rizal</t>
  </si>
  <si>
    <t>Delivery of Brand New Rescue Vehicle needed for Disaster (PNP) (NP/PB 20-0658)</t>
  </si>
  <si>
    <t>CONSULTANCY SERVICES-PREPARATION AND APPROVAL OF COMPREHENSIVE LAND USE AND DEVELOPMENT PLAN OF THE CITY.</t>
  </si>
  <si>
    <t>CONDUCT OF GEOTECHNICAL INVESTIGATION FOR TRUCK SCALE SITES AT NDO (VALENZUELA)AND EDO (ANTIPOLO CITY)</t>
  </si>
  <si>
    <t>Medicines for LPH-San Pablo City District Hospital</t>
  </si>
  <si>
    <t>Proposed Construction of Fence at Animal Pound OfficE, Brgy. San Gregorio, San Pablo City.</t>
  </si>
  <si>
    <t>Improvement of Multi-Purpose Building</t>
  </si>
  <si>
    <t>Supply and Delivery of Rabbies Vaccine</t>
  </si>
  <si>
    <t>RE-BID SUPPLY AND DELIVERY OF TWO HUNDRED SIXTY FOUR (264) UNITS WEIGHING SCALE AND 4,000 BOTTLES MULTI-VITAMINS</t>
  </si>
  <si>
    <t>Purchase of Medicines for LGU Health Program for 2nd Quarter 2020</t>
  </si>
  <si>
    <t>CONSTRUCTION OF SLOPE PROTECTION ALONG PROVINCIAL ROAD, PANTIKIAN</t>
  </si>
  <si>
    <t>Supply and Delivery of One Hundred Fifty (150) units Smart Television</t>
  </si>
  <si>
    <t>CONSTRUCTION OF RIPRAP FRONT OF WESTERN KALINGA NHS, BUAYA</t>
  </si>
  <si>
    <t>Proposed Construction of City Veterinary Office at Brgy. San Gregorio, San Pablo City.</t>
  </si>
  <si>
    <t>PURCHASE OF FARM INPUTS FOR TILAPIA FISH CULTURE/TILAPIA PRODUCTION</t>
  </si>
  <si>
    <t>Procurement of supply and delivery of Assorted Vegetable Seeds</t>
  </si>
  <si>
    <t>SUBMERSABLE REPLACEMENT FOR WATER SYSTEM AT LAPARAY</t>
  </si>
  <si>
    <t>20BE0085 - CLUSTER II - REPAIR/MAINTENANCE OF PUBLIC  BUILDINGS (A) PNP-ISABELA POLICE PROVINCIAL OFFICE – BOQ 3 (B) PNP-ISABELA POLICE PROVINCIAL OFFICE-PIDMB BUILDING (C) PNP-ISABELA POLICE PROVINCI</t>
  </si>
  <si>
    <t>Supply, Delivery, Testing and Commissioning of Brand New Mobile Dental Vehicle under IB No. 2020-144</t>
  </si>
  <si>
    <t>Provision of Security Services (PR No. 100-2020-0806) PGO</t>
  </si>
  <si>
    <t>PURCHASE OF FARM INPUTS FOR BANGUS FISH CULTURE/BANGUS PRODUCTION</t>
  </si>
  <si>
    <t>Supply and Delivery of Assorted Seeds (Centrosema, Calopo,Indigofera)</t>
  </si>
  <si>
    <t>Diesel, gas, and lubricants (PR No.100-2020-0781)</t>
  </si>
  <si>
    <t>Procurement of supply and delivery of Native Chicken</t>
  </si>
  <si>
    <t>20BE0084 - CLUSTER I - REPAIR/MAINTENANCE OF PUBLIC  BUILDINGS (A) DPWH PLANNING &amp; DESIGN SECTION BUILDING (B)  DPWH MAIN BUILDING (C) DPWH  GUESTHOUSE BUILDING (D) DPWH  GARAGE BUILDING OSMEÑA, CITY</t>
  </si>
  <si>
    <t>2 Units Service Vehicle (PR No. 100-2020-0736) PVGO</t>
  </si>
  <si>
    <t>Procurement of Supply &amp; Delivery of Banana Plantlet</t>
  </si>
  <si>
    <t>20BE0083 - CONSTRUCTION OF RAINWATER COLLECTION SYSTEM (RWCS) CITY OF ILAGAN, TUMAUINI, CABAGAN, STO. TOMAS, DELFIN ALBANO, STA. MARIA &amp; SAN PABLO, ISABELA</t>
  </si>
  <si>
    <t>GS 2020-04 CALIBRATION OF VARIOUS HEALTH CARE EQUIPMENT</t>
  </si>
  <si>
    <t>Procurement of supply and delivery of native pig</t>
  </si>
  <si>
    <t>Rehabilitation of Water System of Barangay Maparat</t>
  </si>
  <si>
    <t>Medical Equipment (PR No. 100-2020-0756) ZSPH</t>
  </si>
  <si>
    <t>Fabrication and Delivery of Fiberglass Motorized Fishing Boat</t>
  </si>
  <si>
    <t>1 Unit Newborn Hearing Screening Machine (PR No. 100-2020-0734) PMH</t>
  </si>
  <si>
    <t>Procurement of Two (2) Units of Water Tank Truck</t>
  </si>
  <si>
    <t>AB '20 PROCUREMENT OF OFFICE SUPPLIES</t>
  </si>
  <si>
    <t>Supply and delivery of 1.5 HP Non inverter Window type Aircon to be delivered at PhilRice Batac, City of Batac, Ilocos Norte</t>
  </si>
  <si>
    <t>Concreting of Road</t>
  </si>
  <si>
    <t>AB '20 PROCUREMENT OF BDRRM DISASTER SUPPLIES</t>
  </si>
  <si>
    <t>Construction of Evacuation Center at Barangay Malvar, Naujan, Oriental Mindoro</t>
  </si>
  <si>
    <t>PB2020-06-004 GAA Waterproofing/Concrete Repair, Cleaning of Water Storage Tanks (Cistern/Elevated), Troubleshooting and Repair of Water Pumps (Rebid)</t>
  </si>
  <si>
    <t>EXTENSION OF RIVER CONTROL &amp; CONSTRUCTION OF R.C. FOOTBRIDGE</t>
  </si>
  <si>
    <t>Construction of Evacuation Center at Barangay San Andres, Naujan, Oriental Mindoro</t>
  </si>
  <si>
    <t>AB '20 PROCUREMENT OF BDRRM DISASTER EQUIPMENT</t>
  </si>
  <si>
    <t>Supply and Delivery of One (1) Unit Ambulance to be used in the Municipal Health Office, Naujan, Oriental Mindoro</t>
  </si>
  <si>
    <t>Construction of Multi-purpose Building</t>
  </si>
  <si>
    <t>2020-22 Supply, Delivery &amp; Installation of Printing Equipment and Supplies for the University</t>
  </si>
  <si>
    <t>RE-BID FOR PROJECT # 19 – 171–PROCUREMENT OF Acquisition of Road Right-of-Way (RROW) for East Road/West Road/ Government Center (PARCELLARY SURVEY FOR EAST ROAD) –Office of the City Mayor</t>
  </si>
  <si>
    <t>PROCUREMENT OF O.B. KITS FOR USE AT PROVINCIAL HEALTH OFFICE, 20-05-897</t>
  </si>
  <si>
    <t>05-003-20 (PROCUREMENT of SECURITY SERVICES in Department of Agriculture IX)</t>
  </si>
  <si>
    <t>Installation of Survellance camera at Multi Purpose Hall, Brgy. Baley-Adaan, Alaminos City, Pangasinan</t>
  </si>
  <si>
    <t>2020-19 Supply, Delivery &amp; Installation of Technical and Scientific Equipment for Both Campuses</t>
  </si>
  <si>
    <t>Additional Improvement of Covered Court</t>
  </si>
  <si>
    <t>ITB 20-03-142 - SUPPLY, DELIVERY AND INSTALLATION OF ICT EQUIPMENT FOR MONITORING OF PROJECT MITHI</t>
  </si>
  <si>
    <t>2020-19 Supply &amp; Delivery of Medical Supplies for Both Campuses</t>
  </si>
  <si>
    <t>PURCHASE OF ONE (1) UNIT DUMP TRUCK  FOR THE MUNICIPALITY OF INFANTA, PANGASINAN</t>
  </si>
  <si>
    <t>2020-18A Supply, Delivery &amp; Installation of Laboratory Equipment for Research &amp; Development Project-Bayombong Campus</t>
  </si>
  <si>
    <t>Provision of Security Services Requirements for the TESDA Central Office for FY 2020 - Rebidding</t>
  </si>
  <si>
    <t>2020-17A Procurement of Motor Vehicle-Bayombong Campus (2nd Advertisement)</t>
  </si>
  <si>
    <t>SUPPLY AND DELIVERY OF EQUIPMENT, PAINTS AND OTHER MATERIALS FOR TRAFFIC SIGNAGE AND ROAD PEDXING</t>
  </si>
  <si>
    <t>Construction of Riverbank Protection, Brgy. Frantilla, Miagao, Iloilo</t>
  </si>
  <si>
    <t>Renovation/Improvement of Municipal Accounting Office @ Escolapia Building, Santa Cruz Laguna</t>
  </si>
  <si>
    <t>2020-21 Supply, Delivery &amp; Installation of Laboratory Furniture and Fixture for Analytical Building</t>
  </si>
  <si>
    <t>Slope Protection Project, Brgy. Cagbang, Miagao, Iloilo</t>
  </si>
  <si>
    <t>Procurement of Solar Lamp in Support to Youth Development</t>
  </si>
  <si>
    <t>AB '20 PROCUREMENT OF PHOTOCOPY MACHINE</t>
  </si>
  <si>
    <t>PROCUREMENT OF MEDICAL SUPPLIES FOR USE AT KALINGA PROVINCIAL HOSPITAL, 20-05-939</t>
  </si>
  <si>
    <t>BARANGAY ROAD CONCRETING</t>
  </si>
  <si>
    <t>supply and delivery of office supplies and other materials to be used in RAED Office with PR # 06 dated 06/01/2020 with an ABC of 264,964.08</t>
  </si>
  <si>
    <t>ITB No. (INF) 2020-06-081 REPAIR/REHABILITATION OF SAURONG BRIDGE, Brgy. Saurong, Oras, Eastern Samar</t>
  </si>
  <si>
    <t>Construction of Pumping Station located at Brgy. Villa Luna Cauayan City, Isabela</t>
  </si>
  <si>
    <t>CONSTRUCTION/IMPROVEMENT OF IRRIGATION SYSTEM</t>
  </si>
  <si>
    <t>PROCUREMENT OF DRUGS AND MEDICINES FOR USE AT KALINGA PROVINCIAL HOSPITAL, 20-05-941</t>
  </si>
  <si>
    <t>ITB No. (INF) 2020-06-083 CONSTRUCTION OF BUABUA – BALUD FARM-TO-MARKET ROAD, Salcedo, Eastern Samar</t>
  </si>
  <si>
    <t>BARANGAY EMERGENCY RESPONSE VEHICLE</t>
  </si>
  <si>
    <t>Concreting of Barangay Road and Construction of Overflow, Brgy. Paro-on, Miagao, Iloilo.</t>
  </si>
  <si>
    <t>ITB No. (INF) 2020-06-079 CONCRETING OF BARANGAY ROAD, Brgy. 1, San Julian, Eastern Samar</t>
  </si>
  <si>
    <t>Supply &amp; Delivery of Various Medicines (RFP 2020-03)</t>
  </si>
  <si>
    <t>ITB No. (INF) 2020-06-082 ROAD CONCRETING OF MACAANGA ROAD, Brgy. Macaanga, Llorente, Eastern Samar</t>
  </si>
  <si>
    <t>ITB No. (INF) 2020-06-080 CONSTRUCTION/IMPROVEMENT OF MAYTIGBAO – STO. TOMAS, Sulat, Eastern Samar</t>
  </si>
  <si>
    <t>MCP-June 2020</t>
  </si>
  <si>
    <t>Construction and Improvement of Perimeter Fence of Barangay Health Station</t>
  </si>
  <si>
    <t>CONCRETING OF BARANGAY ROAD</t>
  </si>
  <si>
    <t>SUPPLY AND DELIVERY OF CONSTRUCTION MATERIALS FOR THE CONSTRUCTION OF 1-STOREY MULTI-PURPOSE HALL (*REPOSTED)</t>
  </si>
  <si>
    <t>Request for Quotation for Equipment Rental of Backhoe and Self loader</t>
  </si>
  <si>
    <t>Supply and Delivery of Two (2) Units Motorcycle</t>
  </si>
  <si>
    <t>20BE0087 - REPAIR/MAINTENANCE OF DOJ BUILDING NBI – MAIN BUILDING OSMEÑA, CITY OF ILAGAN, ISABELA</t>
  </si>
  <si>
    <t>CONTRACT FOR SECURITY SERVICES, UPM-SHS PALO LEYTE</t>
  </si>
  <si>
    <t>PURCHASE OF ICT EQUIPMENT FOR BRGY. POTOL, INFANTA, PANGASINAN</t>
  </si>
  <si>
    <t>Supply and Delivery of Office Furniture and Fixtures</t>
  </si>
  <si>
    <t>PROVISION OF FUEL FOR ALL AUTHORIZED MOTOR VEHICLE OF THE DEPARTMENT OF AGRICULTURE  (DA) THROUGH THE USE OF FLEET CARDS FOR CALENDAR YEAR 2020</t>
  </si>
  <si>
    <t>PROVISION OF SECURITY SERVICES FOR CY2020</t>
  </si>
  <si>
    <t>ITB No. (INF) 2020-06-088 CONSTRUCTION OF BRGY. ROAD, CANTEROS FARM-TO-MARKET ROAD, Can-avid, Eastern Samar</t>
  </si>
  <si>
    <t>Supply, Delivery &amp; Installation of 15 Units Desktop Computers with SSD OS, Word Processing &amp; Antivirus Software</t>
  </si>
  <si>
    <t>PROCUREMENT  OF TWO (2) UNITS  BRAND NEW MEDICAL AMBULANCE</t>
  </si>
  <si>
    <t>Purchase of Personal Protective Equipment (PPE) For Electrical Division Personnel</t>
  </si>
  <si>
    <t>20BE0086 - CLUSTER III - REPAIR/MAINTENANCE OF PUBLIC BUILDINGS (A) CONSTITUTIONAL OFFICES BUILDING-CIVIL SERVICE COMMISSION BUILDING, ALIBAGU, CITY OF ILAGAN, ISABELA (B) DILG BUILDING PNP-ISABELA PO</t>
  </si>
  <si>
    <t>SUPPLY, DELIVERY, FABRICATION and INSTALLATION OF MATERIALS FOR THE CONSTRUCTION OF 6 UNITS SOLAR STREETLIGHTS @ SITIO TABTABAN, BRGY. BAMBAN, INFANTA, PANGASINAN</t>
  </si>
  <si>
    <t>Supply and Delivery of Petroleum for FY 2020</t>
  </si>
  <si>
    <t>ITB No. (INF) 2020-06-087 CONCRETING OF HOLLYWOOD TO BUNGTOD ROAD, Guiuan, Eastern Samar</t>
  </si>
  <si>
    <t>Procurement of Various COVID-19 Medical Equipment for CY 2020</t>
  </si>
  <si>
    <t>ITB No. (INF) 2020-06-086 CONSTRUCTION/IMPROVEMENT OF BRGY. NAPARAAN TO ABEJAO ROAD, Salcedo, Eastern Samar</t>
  </si>
  <si>
    <t>SERVICE MAINTENANCE OF VARIOUS AIR-CONDITIONING (AC) UNITS OF THE DEPARTMENT OF AGRICULTURE – CENTRAL OFFICES (MAIN/NEW BUILDING) INCLUDING THE INFORMATION AND COMMUNICATIONS TECHNOLOGY SERVICE BUILDI</t>
  </si>
  <si>
    <t>PROVISION OF JANITORIAL SERVICES FOR CY2020</t>
  </si>
  <si>
    <t>SUPPLY, DELIVERY, FABRICATION and INSTALLATION OF MATERIALS FOR THE CONSTRUCTION OF 6 UNITS SOLAR STREETLIGHTS @ SITIO CENTRO BRGY. BAMBAN, INFANTA, PANGASINAN</t>
  </si>
  <si>
    <t>SUPPLY AND DELIVERY OF MATERIALS AND SUPPLIES AND DRILLING FOR THE PROVISION OF POTABLE WATER SYSTEM, PUROK 3, BRGY. POTOL, INFANTA, PANGASINAN</t>
  </si>
  <si>
    <t>ITB No. (INF) 2020-06-085 CONSTRUCTION/IMPROVEMENT OF BRGY. SULONG ROAD, Can-avid, Eastern Samar</t>
  </si>
  <si>
    <t>Hiring of a Service Provider particularly Media Agency to Develop a Media Plan and Procure Media Placements to Amplify the DOH COVID-19 Nationwide Community Campaign</t>
  </si>
  <si>
    <t>ITB No. (INF) 2020-06-084 CONSTRUCTION/IMPROVEMENT OF STA. MARGARITA ROAD, Quinapondan, Eastern Samar</t>
  </si>
  <si>
    <t>Supply &amp; Delivery of 2 Units Shuttle Bus</t>
  </si>
  <si>
    <t>Purchase of 50 units Handheld Radios</t>
  </si>
  <si>
    <t>Purchase of 50 sets uniforms for JERU, MDRRMO staffs and LCE</t>
  </si>
  <si>
    <t>CONSTRUCTION OF PATHWAY AT ZONE 7</t>
  </si>
  <si>
    <t>CONSTRUCTION/IMPROVEMENT OF MARKETS</t>
  </si>
  <si>
    <t>PROCUREMENT  OF ONE  (1) UNIT  BRAND NEW NON- REFRIGERATED CLOSE MEAT DELIVERY VAN</t>
  </si>
  <si>
    <t>construction of pathway</t>
  </si>
  <si>
    <t>CONSTRUCTION OF DRAINAGE CANAL AT ZONE 6</t>
  </si>
  <si>
    <t>the Supply &amp; Delivery of Various Construction Materials intended for Construction of Senior Citizen Building - Phase 2 (Complete Bid)</t>
  </si>
  <si>
    <t>Improvement of Rimos #4  Road, Luna</t>
  </si>
  <si>
    <t>Supply and Delivery of Various Brand New Heavy Equipments and  Brand New Six (6) Wheelers Dump truck</t>
  </si>
  <si>
    <t>REHABILITATION OF TAGO TOWN HALL</t>
  </si>
  <si>
    <t>Rehabilitation and Improvement of Sapilang Road, Bacnotan</t>
  </si>
  <si>
    <t>Proposed Expansion &amp; Improvement of Water System - San Antonio</t>
  </si>
  <si>
    <t>Purchase of Communication Equipment</t>
  </si>
  <si>
    <t>Procurement of Office Supplies 2020 RE-BID</t>
  </si>
  <si>
    <t>100-2020-05-695 Supply and delivery of 1 unit mixer truck euro IV 6x4 380hp 10m³, etc.</t>
  </si>
  <si>
    <t>Improvement of Naguilian-San Fernando Road, Naguilian</t>
  </si>
  <si>
    <t>Rehabilitation and Improvement of Biday-Mameltac-Saoay-Dallangayan Road, San Fernando City</t>
  </si>
  <si>
    <t>20BF0057: Maintenance, Repair and Rehabilitation of Infrastructure Facilities and Other Related Activities - Public Buildings at Roxas, Isabela and Naguilian, Isabela</t>
  </si>
  <si>
    <t>Procurement of Service Provider for the Phase II of Enhanced Farmland Geographic Information System (FGIS Digitization of Parcellary Maps and Farmland Database Development)</t>
  </si>
  <si>
    <t>Improvement/Widening of Balecbec-Basca Farm to Market Road, Naguilian</t>
  </si>
  <si>
    <t>Procurement of Fuel, Oil &amp; Lubricants</t>
  </si>
  <si>
    <t>Evaporation Kettle</t>
  </si>
  <si>
    <t>ITB NO. (GDS)  2020-06-014 PROCUREMENT OF CONSTRUCTION MATERIALS FOR THE REHABILITATION &amp; MAINTENANCE OF HINOLASO – DAMPIGAN FMR, Dolores, Eastern Samar</t>
  </si>
  <si>
    <t>Concreting of 200 Linear Meter Brgy. Cadayonan Farm to Market Road</t>
  </si>
  <si>
    <t>Rehabilitation of Lingsat Farm to Market Road (Hufano Street), San Fernando City</t>
  </si>
  <si>
    <t>ITB - Purchase of Office Furnitures and Equipment</t>
  </si>
  <si>
    <t>Concreting of 150 Linear Meter Brgy. Maria Cristina Farm to Market Road</t>
  </si>
  <si>
    <t>Completion of Covered Court (Roofing Works) at Barangay Gomez</t>
  </si>
  <si>
    <t>Concreting of 250 Linear Meter Brgy. Sarip Alawi Farm to Market Road</t>
  </si>
  <si>
    <t>Concreting of 150 Linear Meter Sigayan to Bualan Farm to Market Road (AM Counterpart)</t>
  </si>
  <si>
    <t>Concreting of 250 Linear Meter Sitio Cabasaran to Bubong Paco Farm to Market Road</t>
  </si>
  <si>
    <t>Construction of Double Barrel Reinforced Concrete Box Culvert Phase I at Barangay Placer</t>
  </si>
  <si>
    <t>Concrete Paving of Caningay-Balicotoc-Canlamay Road Phase II, Candoni, Negros Occidental /(PEO-2020-0070)</t>
  </si>
  <si>
    <t>Concrete Paving of Guinpana-an – Alingasao Road, Moises Padilla, Negros Occ.  (Sta. 0+271.47 to 0+457.15, Sta. 0+998.28 to 1+122.98, Sta. 1+248.38 to 1+646.44)/PEO-2020-0603)</t>
  </si>
  <si>
    <t>Concrete Paving of Sicaba Monte – Dalayapan Provincial Road, Rural Access (Road Upgrading), Brgy. Sicaba Monte, Manapla, Negros Occidental (STA 9+081.96 – STA. 9+441.96) / (PEO-2020-0745).</t>
  </si>
  <si>
    <t>Concreting of 400 Linear Meter Brgy. Bangko to Bulao Farm to Market Road</t>
  </si>
  <si>
    <t>Supply and Delivery of Computer Paper Continuous Forms for the Regional Payroll Services Unit of the Department of Education, Regional Office VI</t>
  </si>
  <si>
    <t>Expansion/Renovation (Clinical Laboratory/Blood Station, Emergency Room and PWD at Nurse Station), Calatrava Municipal Hospital, Calatrava, Negros Occidental /(PEO-2020-0413)</t>
  </si>
  <si>
    <t>Interior Fit-out of PNB 4th Floor, Lacson St., Bacolod City, Negros Occidental / (PEO-2020-0485)</t>
  </si>
  <si>
    <t>Concreting of 330 Linear Meter Executive Complex</t>
  </si>
  <si>
    <t>MG-ADM20-005..REPLACEMENT OF EXISTING STREET LIGHTING INSIDE NPC MINGEN MRC</t>
  </si>
  <si>
    <t>Construction of Farmers Multi-Purpose Center, Juan Cartas, Caba</t>
  </si>
  <si>
    <t>SUPPLY, DELIVERY, AND INSTALLATION  OF VARIOUS ICT EQUIPMENT UNDER THE 2020 MITHI PROJECT</t>
  </si>
  <si>
    <t>ITB-Supply and Delivery of School Supplies and Equipment</t>
  </si>
  <si>
    <t>Construction of Dallangayan Este Creek Slope Protection, San Fernando City</t>
  </si>
  <si>
    <t>Procurement of Trucking Services for the Intra-Regional and Intra-Provincial Transfer of Grains of NFA Region VI for the Year 2020 (Negotiated Procurement: Two-Failed Biddings)</t>
  </si>
  <si>
    <t>2821-20 Procurement of Medical Oxygen</t>
  </si>
  <si>
    <t>Completion of one unit two (2) Classroom Makeshift Building Hilusig National High School</t>
  </si>
  <si>
    <t>PR# 20-1417- To supply labor, materials and necessary tools and equipment for the Construction of Multi-Purpose Covered Area at Purok 1, San Jose Ponduan, City of San Fernando, Pampanga.</t>
  </si>
  <si>
    <t>Construction of Breakwater @ So. Candumong, Brgy. Sicaba, Cadiz City</t>
  </si>
  <si>
    <t>MG-PLM20-015..REPLACEMENT OF POWERHOUSE STATION BATTERIES</t>
  </si>
  <si>
    <t>Supply and Delivery of 1-unit Passenger Van for Bicol University</t>
  </si>
  <si>
    <t>MG-A5M20-001..AG4 SUPPLY, DELIVERY, INST., COMMISSIONING OF OIL-WATER SEPARATOR AT SUMP PIT</t>
  </si>
  <si>
    <t>Procurement of Various Materials for the Installation of Solar Street Lights</t>
  </si>
  <si>
    <t>Construction of Pathwalk, Access Ramp and Stairs at Valladolid District Hospital, Valladolid, Negros Occidental / (PEO-2020-0695)</t>
  </si>
  <si>
    <t>OFFICE ENHANCEMENT PROGRAM</t>
  </si>
  <si>
    <t>Construction of Gender Sensitive Evacuation Center (Phase II) @ Brgy. Proper, Brgy. Cabahug, Cadiz City</t>
  </si>
  <si>
    <t>CONSTRUCTION OF MULTI-PURPOSE BUILDING WITH WHARF AND LANDING AREA</t>
  </si>
  <si>
    <t>Supply and Delivery of 1-unit Sports Utility Vehicle for Bicol University</t>
  </si>
  <si>
    <t>INSTALLATION OF WASTE MANAGEMENT FACILITY</t>
  </si>
  <si>
    <t>Concreting of Yeban Norte-Punit Road (530 Meters)</t>
  </si>
  <si>
    <t>Contract for the Concreting of Road Section at Purok 6 Rd. A (Sitjar Area) 300m, Brgy. Tibal - Og</t>
  </si>
  <si>
    <t>Improvement of Barangay Road (ONE JOB)</t>
  </si>
  <si>
    <t>CLEAN AND GREEN ENHANCEMENT PROJECT</t>
  </si>
  <si>
    <t>ITB NO. 2020-0012 Design, Supply, Fabrication of Mounting Brackets and Installation and Testing of Antenna Panels for the Zamboanga Transmitter Station of the People’s Television Network Inc. (PTNI)</t>
  </si>
  <si>
    <t>Improvement of Roadway &amp; Slope Protection &amp; Drainage</t>
  </si>
  <si>
    <t>Supply &amp; Delivery of Electrical System &amp; Lighting Components (OCES)</t>
  </si>
  <si>
    <t>COMMITTEE ON INFRASTRUCTURE EQUIPMENT IMPROVEMENT PROGRAM</t>
  </si>
  <si>
    <t>CONSTRUCTION OF LOCAL ROAD/BRIDGE &amp; IMPLEMENTATION OF FLOOD &amp; EROSION CONTROL PROJECT BARANGAY PANGPANG, JANABAN COMPOUND, WEST DISTRICT, SORSOGON CITY</t>
  </si>
  <si>
    <t>Repair of Multi-purpose Hall (Day Care 2) Brgy. Pangpang, West District, Sor. City</t>
  </si>
  <si>
    <t>REPAINTING OF SCHOOL GROUND SHS</t>
  </si>
  <si>
    <t>20DF0182 - 20DF0187 (By Contract) - Local Program - Construction/Repair/Rehabilitation/Improvement of Various Infrastructure  Including Local Projects, Buildings and Other Structures, Multi-Purpose/Fa</t>
  </si>
  <si>
    <t>PURCHASE OF TWO (2) UNITS MOTORCYCLE FOR THE OPERATION OF THE OFFICE OF THE IWWS, INFANTA, PANGASINAN</t>
  </si>
  <si>
    <t>Procurement of Materials for the Integrated Community Food Production (ICFP) Project</t>
  </si>
  <si>
    <t>Development Center Fencing &amp; Water Tank &amp; Site Development</t>
  </si>
  <si>
    <t>Construction of Slope Protection at Brgy. Waygan Spillway, Mansalay, Oriental Mindoro</t>
  </si>
  <si>
    <t>20OI0103; Rehabilitation of Road, Brgy. Pilar, Las pinas City</t>
  </si>
  <si>
    <t>ADDITIONAL SCHOOL AND OFFICE SUPPLIES SHS</t>
  </si>
  <si>
    <t>Construction of Gabion at Sitio Tagascan, Brgy. San Vicente, Roxas, Oriental Mindoro</t>
  </si>
  <si>
    <t>Concreting of Road at Brgy Batong Dalig, Socorro, Oriental Mindoro</t>
  </si>
  <si>
    <t>Public Bidding of 3 Lots for the Supply and Delivery of Fuel, Oil &amp; Lubricants for Equipment Pool Division, under ITB No. 2020-010R</t>
  </si>
  <si>
    <t>Procurement of One (1) unit Ambulance</t>
  </si>
  <si>
    <t>Construction of Bridge at Sta. Maria, Mansalay, Or. Mindoro</t>
  </si>
  <si>
    <t>Delivery of One (1) Unit Vehicle for Responder (Brand New)</t>
  </si>
  <si>
    <t>Completion of Hanging Footbridge</t>
  </si>
  <si>
    <t>20-05-0550 Supply and Delivery of Materials for Aquaponics with Intensive Tilapia Culture System in all the Provincial Fishery Offices and Centers of BFAR 8 as Livelihood Support Project under the “Ah</t>
  </si>
  <si>
    <t>Public Bidding for the Supply and Delivery of Water Dispenser, Computer Set &amp; Plastic Chair for the Office of the Vice Governor, under ITB No. 2020-009R</t>
  </si>
  <si>
    <t>ITB NO. 2020-0013 Supply, Delivery, Installation, Testing, Commissioning and Training of Six (6) Units of  Audio Processors for the Manila, Zamboanga, Guimaras, Naga, and Cotabato Transmitter  Station</t>
  </si>
  <si>
    <t>ITB NO. 2020-0011  Provision of Security  Services of People’s Television Network, Inc. Manila Office and its Provincial Station</t>
  </si>
  <si>
    <t>Purchase of Vehicle (VAN)</t>
  </si>
  <si>
    <t>Concreting of Pili - Banilad Road, Pinamalayan, Or Mindoro</t>
  </si>
  <si>
    <t>20-05-0545 Supply and Delivery of Materials for Intensive Tilapia Farming in Pond and Tank for the Fisherfolk beneficiaries in the Province of Leyte under SAAD Program 2020.</t>
  </si>
  <si>
    <t>CONSTRUCTION/ERECTION OF ELECTRICAL POST</t>
  </si>
  <si>
    <t>Concreting of Road Section at Brgy. Sta.Rosa II, Binaybay, Baco, Or. Mindoro</t>
  </si>
  <si>
    <t>CONSTRUCTION OF SLAUGHTERHOUSE (PHASE IV), SAN ROQUE, CAVITE CITY</t>
  </si>
  <si>
    <t>REPAIR AND REHABILITATION OF E-LIBRARY HUB AT LADISLAO DIWA ELEMENTARY SCHOOL, CARIDAD, CAVITE CITY</t>
  </si>
  <si>
    <t>CONSTRUCTION OF DRAINAGE SYSTEM ALONG DE LEON STREET JCT. P. BURGOS AVE.-J.FELIPE BLVD, CARIDAD, CAVITE CITY</t>
  </si>
  <si>
    <t>REHABILITATION OF ROOFING OF STAGE AT SANGLEY POINT NATIONAL HIGH SCHOOL, SAN ANTONIO, CAVITE CITY</t>
  </si>
  <si>
    <t>REHABILITATION OF 8-UNITS COMFORM ROOM AT SANGLEY POINT NATIONAL HIGH SCHOOL, SAN ANTONIO, CAVITE CITY</t>
  </si>
  <si>
    <t>CONSTRUCTION OF BARANGAY DAY CARE CENTER AT ESTANSUELA ELEMENTARY SCHOOL, STA. CRUZ, CAVITE CITY</t>
  </si>
  <si>
    <t>CONSTRUCTION OF BARANGAY DAY CARE CENTER AT DALAHICAN ELEMENTARY SCHOOL, DALAHICAN, CAVITE CITY</t>
  </si>
  <si>
    <t>CONSTRUCTION OF 2-STOREY, 6-UNITS CLASSROOM BUILDING</t>
  </si>
  <si>
    <t>Supply and delivery of Medical Oxygen/Flask Type/Compressed Air/Carbon Dioxide for the period July 1, 2020 to December 31, 2020 requirement of PCGH</t>
  </si>
  <si>
    <t>ROAD CONCRETING (Prk. 6, Fortu Area, Sto. Nino Crossing Opao-Junction Provincial Road, Palma Gil, Talaingod, DDN</t>
  </si>
  <si>
    <t>Installation of Automatic Fire Suppression System at Oriental Mindoro Southern District Hospital, Roxas, Or. Mindoro</t>
  </si>
  <si>
    <t>CONSTRUCTION OF 2-STOREY, 6-UNITS CLASSROOM BUILDING AT PORTA VAGA ELEMENTARY SCHOOL, SAN ROQUE, CAVITE CITY</t>
  </si>
  <si>
    <t>Construction of New Male Dormitory</t>
  </si>
  <si>
    <t>20OI0119: Rehabilitation of Road, Brgy. Talon 1, Las Pinas City</t>
  </si>
  <si>
    <t>CONSTRUCTION OF BARANGAY DAY CARE CENTER AT STA. CRUZ ELEMENTARY SCHOOL, STA. CRUZ, CAVITE CITY</t>
  </si>
  <si>
    <t>20OI0118:Rehabilitation of ALS , brgy. Bayanan, Muntinlupa City</t>
  </si>
  <si>
    <t>20OI0120: Construction of Drainage System, Brgy. Tunasan, Muntinlupa City</t>
  </si>
  <si>
    <t>Procurement of Two (2) units Rescue Vehicle for Barangays of LGU Laak, Davao De Oro</t>
  </si>
  <si>
    <t>Procurement of Seven (7) units Steel Goal with Ring &amp; Board and Complete Accessories for Barangay Langtud, Melale, Sto. Niño, Mangloy, Kidawa and Datu Ampunan - Laak, Davao De Oro</t>
  </si>
  <si>
    <t>Purchase of three (3) sets Sand Separator/ Filter bag housing for Pura Water System Pumping Station at Brgy Singat, Nilasin 2nd and Poblacion 3, Pura, Tarlac</t>
  </si>
  <si>
    <t>CONSTRUCTION OF 2-STOREY, 6 UNITS CLASSROOM BUILDING AT SAN LORENZO RUIZ ELEMENTARY SCHOOL, DALAHICAN, CAVITE CITY</t>
  </si>
  <si>
    <t>Improvement of Multi Purpose Hall (materials only)</t>
  </si>
  <si>
    <t>Contract Labor and Materials for the Concreting of Toribio Suan Street, Laac (Pob.), Laak, Davao De Oro</t>
  </si>
  <si>
    <t>Construction of 1 Unit 3 Classroom Bldg at Gaboc Elementary School</t>
  </si>
  <si>
    <t>REGULAR HAULING OF RESIDUAL WASTE FROM MRF TO DENR ACCREDITED SANITARY LANDFILL</t>
  </si>
  <si>
    <t>SUPPLY % DELIVERY OF MATERIALS TO BE USED FOR THE INSTALLATION OF STREET LIGHTS</t>
  </si>
  <si>
    <t>CONSTRUCTION/IMPROVEMENT OF SITIO CAINO FTMR Located at Banila, Dupax del Sur, Nueva Vizcaya</t>
  </si>
  <si>
    <t>Rehabilitation of Barangay Road</t>
  </si>
  <si>
    <t>CONSTRUCTION/IMPROVEMENT OF NEW BENAY WANGYEON FTMR Located at Malasin, Dupax del Norte, Nueva Vizcaya</t>
  </si>
  <si>
    <t>SUPPY &amp; DELIVERY OF MATERIALS TO BE USED IN REHABILITATION OF HEALTH CENTER</t>
  </si>
  <si>
    <t>Purchase of one (1) Set Sand Separator / Filter bag housing for Pura Water System Pumping Station at Brgy Estipona, Pura, Tarlac</t>
  </si>
  <si>
    <t>Site Development of Bancasi Rotunda JCT BCI Highway and DOP Avenue-2nd Bidding</t>
  </si>
  <si>
    <t>Rehabilitation of Drainage System</t>
  </si>
  <si>
    <t>Procurement of One (1) Brand New Emergency Vehicle (DOH Standard Ambulance) of LGU Laak, Davao De Oro</t>
  </si>
  <si>
    <t>MEALS FOR TEAM SUPERVISION</t>
  </si>
  <si>
    <t>PROCUREMENT, SUPPLY AND DELIVERY OF 85,690 ROUNDS CTG 5.56MM BALL (M193)</t>
  </si>
  <si>
    <t>Invitation to Bid for Contract No. 4ARO-LOB-19-017</t>
  </si>
  <si>
    <t>Construction of Barangay Health Station, Poblacion 5, Hamtic, Antique</t>
  </si>
  <si>
    <t>Procurement of Seven (7) units Rescue Vehicle for Barangays of LGU Laak, Davao De Oro</t>
  </si>
  <si>
    <t>Construction of Barangay Health Station, Poblacion I, Hamtic, Antique</t>
  </si>
  <si>
    <t>PROCUREMENT, SUPPLY AND DELIVERY OF 151,923 ROUNDS CTG 9MM BALL</t>
  </si>
  <si>
    <t>SUPPLY, DELIVERY AND INSTALLATION OF TYPHOON-RESILIENT VERTICAL INDOOR FARMING SYSTEM AT ASCOT BAZAL CAMPUS</t>
  </si>
  <si>
    <t>Construction of Streetlights (Procuring Entity: BLGU-Sto. Nino)</t>
  </si>
  <si>
    <t>Contract Labor and Materials for the Construction of Concrete Pavement of Public Night Market Stalls at Laac (Pob.), Laak, Davao De Oro</t>
  </si>
  <si>
    <t>INVITATION TO BID FOR THE PROCUREMENT OF DRUGS &amp; MEDICINES FOR MUNICIPAL HEALTH CENTER VARIOUS PROGRAM-1st SEMESTER</t>
  </si>
  <si>
    <t>PROCUREMENT, SUPPLY AND DELIVERY OF 165,231 ROUNDS CTG 5.56MM BALL (SS109)</t>
  </si>
  <si>
    <t>Procurement of 1,000 Vial Rabies Vaccine(10 Dose/Vial),etc. under P.R.No. 1408-2020-Office of the City Veterinarian-2nd Bidding</t>
  </si>
  <si>
    <t>Construction of Barangay Health Station, Poblacion II &amp; III, Hamtic, Antique</t>
  </si>
  <si>
    <t>Procurement of Solar</t>
  </si>
  <si>
    <t>SUPPLY, DELIVERY AND INSTALLATION OF STAND-ALONE SOLAR POWERED LED STREET LIGHTING SYSTEM FOR THE THREE CAMPUSES OF ASCOT</t>
  </si>
  <si>
    <t>CONSTRUCTION/IMPROVEMENT OF PUROK 2 BONE SOUTH FTMR Located at Aritao, Nueva Vizcaya</t>
  </si>
  <si>
    <t>CONSTRUCTION OF HUKHUKYONG PIS Located at Labang, Ambaguio, Nueva Vizcaya</t>
  </si>
  <si>
    <t>Completion of MP Facility Covered Court @ Barangay 18-A, Gingoog City, Mis. Or. under Contract Ref. No. 2020-INFRA-043</t>
  </si>
  <si>
    <t>CONSTRUCTION OF CUTAR FARMERS ASSOCIATION CIS Located at Aritao, Nueva Vizcaya</t>
  </si>
  <si>
    <t>FLU VACCINATION</t>
  </si>
  <si>
    <t>PROCUREMENT, SUPPLY AND DELIVERY OF 678 PCS 5.56MM, 30 ROUNDS MAGAZINE</t>
  </si>
  <si>
    <t>CONSTRUCTION OF BALONG CIS Located at Labang, Ambaguio, Nueva Vizcaya</t>
  </si>
  <si>
    <t>BFO No. 20-001: Supply and Delivery Five Hundred Sixty-Seven Thousand Nine Hundred (567,900) tablets of Sevelamer Carbonate, 800mg</t>
  </si>
  <si>
    <t>CY 2020 ENHANCED NATIONAL GREENING PROGRAM- HAULING OF SEEDLINGS UNDER MECHANIZED AND MODENIZED FOREST NURSERY per DENR-ENGP-MMFN-HAULING-2020-001</t>
  </si>
  <si>
    <t>Installation of Additional Water System</t>
  </si>
  <si>
    <t>Rehabilitation of Magulon Elementary School Pathway</t>
  </si>
  <si>
    <t>Construction of One (1) Storey Barangay Health Station in Barangay Concepcion</t>
  </si>
  <si>
    <t>CONSTRUCTION/IMPROVEMENT OF KAKIDUGUEN FTMR Located at Kasibu, Nueva Vizcaya</t>
  </si>
  <si>
    <t>CONSTRUCTION OF LANTAP-BAKIR CIS Located at Bagabag, Nueva Vizcaya</t>
  </si>
  <si>
    <t>CONSTRUCTION OF VISTAHILL CIS Located at Bayombong, Nueva Vizcaya</t>
  </si>
  <si>
    <t>PROCUREMENT OF VARIOUS OFFICE EQUIPMENT AND SUPPLIES USE IN SPECIAL AMELIORATION PROGRAM (SAP) DISTRIBUTION AT 22 BARANGAYS</t>
  </si>
  <si>
    <t>Rehab of Bayang CIS</t>
  </si>
  <si>
    <t>20HH0133-Construction / Rehabilitation of Water Supply / Septage and Sewerage / Rain Water Collectors - Rain Water Collectors in Public Facilities–Region VII: 1.Binaliw National High School, 2.City C</t>
  </si>
  <si>
    <t>Construction of Drainage Canal - Phase 2</t>
  </si>
  <si>
    <t>Construction (Completion) of Multi-Purpose Building, 3rd Infantry Batallion HQ, Brgy. Malagos, Baguio District, Davao City</t>
  </si>
  <si>
    <t>PURCHASE OF CONSTRUCTION MATERIALS FOR SANITATION OF VARIOUS BARANGAYS</t>
  </si>
  <si>
    <t>PROCUREMENT OF 1 UNIT CARGO TRUCK USE FOR HAULING OF AGRICULTURAL INPUTS AND PRODUCTS "TO AND FROM" FARM OF THE MUN. AGRICULTURE OFFICE</t>
  </si>
  <si>
    <t>20HH0134-Construction / Rehabilitation of Water Supply / Septage and Sewerage / Rain Water Collectors - Rain Water Collectors in Public Facilities–Region VII: 1.Cogon Ramos Public Market, 2.Inayawan P</t>
  </si>
  <si>
    <t>PURCHASE OF COMMUNICATION SUPPLIES (PREPAID CARDS)</t>
  </si>
  <si>
    <t>Electrical Equipment</t>
  </si>
  <si>
    <t>Rehab of Epeng-Maga Sledge Trail</t>
  </si>
  <si>
    <t>Construction of Multi-Purpose Building, Brgy. Calinan Poblacion, Calinan District, Davao City</t>
  </si>
  <si>
    <t>Construction of Road from Brgy. Talandang to Sitio Luman, New Valencia to Brgy. New Carmen, Tugbok District, Davao City</t>
  </si>
  <si>
    <t>Construction Materials for the Proposed Completion of Legislative Building Phase III</t>
  </si>
  <si>
    <t>Supply and Delivery of One (1) Unit Passenger Van</t>
  </si>
  <si>
    <t>CONSTRUCTION OF MAGA-AD BAKIR CIS Located at Bagabag, Nueva Vizcaya</t>
  </si>
  <si>
    <t>Construction of Covered Court (phase 1) Barangay Silongin</t>
  </si>
  <si>
    <t>Purchase of Laptops and Printers</t>
  </si>
  <si>
    <t>CONSTRACTION OF WATER SYSTEM</t>
  </si>
  <si>
    <t>INVITATION TO RE-BID FOR THE  SUPPLY AND DELIVERY OF GIS DESKTOP SOFTWARE PR No. 27611-001</t>
  </si>
  <si>
    <t>20FL0066-Construction (Road Opening) of Mapaso-Patag-Cawayan Irosin Road, Irosin, Sorsogon Sorsogon 2nd Congressional District</t>
  </si>
  <si>
    <t>Purchase of Eight (8) units of Assualt Rifle for the use of Talisay PNP of the City of Talisay</t>
  </si>
  <si>
    <t>ITB No. 20-22 Procurement of Medical Equipment (Re-bidding)</t>
  </si>
  <si>
    <t>Provision of Solar Street Lighting at Centro 1 and Centro 2, San Guillermo, Isabela</t>
  </si>
  <si>
    <t>2020-05-0104 - Furnishing/Delivery of Personal Protective Equipment for use in the District</t>
  </si>
  <si>
    <t>20B00022: Organizational Outcome 1: Ensure Safe and Reliable National Road System: Bridge Program: Widening of Permanent Bridges: Minanga Bridge (B01129LZ) along Daang Maharlika (LZ) (Parallel Bridge)</t>
  </si>
  <si>
    <t>INVITATION TO RE-BID FOR THE  SUPPLY AND DELIVERY OF COMPUTER NOTEBOOK PR Nos. 27619-001 to 27619-003</t>
  </si>
  <si>
    <t>CONST. OF BLEACHERS &amp; MULTI-PURPOSE HALL</t>
  </si>
  <si>
    <t>INVITATION TO RE-BID FOR THE  SUPPLY, DELIVERY, AND INSTALLATION OF FIRE SUPRESSION SYSTEM PR No. 27388-001</t>
  </si>
  <si>
    <t>Road Concreting at Barangay Crossing Bayabas, Toril District, Davao City</t>
  </si>
  <si>
    <t>2020-06-0111 - Rental of equipment for use in the hauling of various heavy equipment and serviceable vehicles within the District</t>
  </si>
  <si>
    <t>Materials for the Improvement of Manpower Development Center (Sports Center ) Pob. Iluad, Zarraga,  Illoilo</t>
  </si>
  <si>
    <t>Purchase of IT Equipments</t>
  </si>
  <si>
    <t>INVITATION TO RE-BID FOR THE  SUPPLY, DELIVERY, AND INSTALLATION OF LOCAL AREA NETWORK (LAN) STRUCTURED CABLING IN THE NEW MSSD BUILDING, TALAMBAN, CEBU CITY PR No. 27608-001</t>
  </si>
  <si>
    <t>Purchase of Sixteen (16) unit Android Tablet with Back-up Charger (Battery Pack) for CBMS Program/Data Gathering</t>
  </si>
  <si>
    <t>Road Concreting at Barangay Marilog Proper, Marilog District, Davao City</t>
  </si>
  <si>
    <t>2020-05-0105 Furnishing/Delivery of Office Supplies for use in the Preliminary Detailed Engineering in the District</t>
  </si>
  <si>
    <t>Road Concreting at Barangay Mintal, Tugbok District, Davao City</t>
  </si>
  <si>
    <t>SUPPLY AND DELIVERY OF MEDICAL EQUIPMENT ACCESSORIES FOR INFUSION PUMPS (JMS AND TERUMO BATTERIES)</t>
  </si>
  <si>
    <t>20FL0070-Road Opening at Irosin, Sorsogon (Cluster XVI), Irosin, Sorsogon The Procurement/Contract ID: 20FL0070</t>
  </si>
  <si>
    <t>20DJ0091-LOCAL PROGRAM, Construction/Repair/Rehabilitation/Improvement of Various Infrastructure including Local Projects, Rehabilitation of Multi-Purpose Building in Barangay Poblacion, Candelaria, Q</t>
  </si>
  <si>
    <t>CONSTRUCTION OF OBELLAN MULTI-PURPOSE SHED</t>
  </si>
  <si>
    <t>Local Access Road Upgrading</t>
  </si>
  <si>
    <t>SUPPLY, DELIVERY AND INSTALLATION OF LABORATORY INFORMATION SYSTEM (LIS) FOR OSPITAL NG MAKATI</t>
  </si>
  <si>
    <t>CONSTRUCTION OF SITIO TABLO TO SITIO LEMLUNAY, POBLACION ROAD</t>
  </si>
  <si>
    <t>MEALS AND SNACKS DURING THE CONDUCT OF RE-SURVEY OF EIGHT (8) CBFM AREA WITHIN THE ADMINISTRATIVE JURISDICTION OF CENRO SAN JOSE AMOUNTING TO PHP207,375.00</t>
  </si>
  <si>
    <t>Road Concreting at Barangay Sto. Niño, Tugbok District, Davao City</t>
  </si>
  <si>
    <t>SUPPLY, DELIVERY AND INSTALLATION OF FURNITURE AND FIXTURES FOR THE CITY CIVIL REGISTRATION OFFICE</t>
  </si>
  <si>
    <t>CONSTRUCTION OF LOT 70 SUBDIVISION ROAD CONCRETING</t>
  </si>
  <si>
    <t>SUPPLY AND DELIVERY OF FABRICATED RECYCLABLE BINS</t>
  </si>
  <si>
    <t>20DJ0090-LOCAL PROGRAM, Construction/Repair/Rehabilitation/Improvement of Various Infrastructure including Local Projects, Rehabilitation of Multi-Purpose Building in Barangay Poblacion, San Antonio,</t>
  </si>
  <si>
    <t>OFFICE MODERNIZATION</t>
  </si>
  <si>
    <t>Materials for the Improvement of Historical Building (Phase II)</t>
  </si>
  <si>
    <t>SUPPLY AND DELIVERY OF MEDICAL, DENTAL AND LABORATORY SUPPLIES FOR VARIOUS DEPARTMENTS/OFFICES OF THE CITY GOVERNMENT OF MAKATI</t>
  </si>
  <si>
    <t>SUPPLY, DELIVERY AND INSTALLATION OF DESKTOP AND LAPTOP COMPUTERS FOR VARIOUS OFFICES/DEPARTMENTS OF CITY GOVERNMENT OF MAKATI</t>
  </si>
  <si>
    <t>Proposed Construction of National Child Development Center</t>
  </si>
  <si>
    <t>REPAIR OF VARIOUS MEDICAL EQUIPMENT (2 LOTS)</t>
  </si>
  <si>
    <t>Purchase of 1 Unit Brand New Asian Utility Vehicle</t>
  </si>
  <si>
    <t>SUPPLY AND INSTALLATION OF CCTV CAMERA IN ADMIN AND ACADEMIC BUILDING</t>
  </si>
  <si>
    <t>SUPPLY AND DELIVERY OF STENOGRAPH MACHINES</t>
  </si>
  <si>
    <t>Road Concreting at Barangay Toril Poblacion, Toril District, Davao City</t>
  </si>
  <si>
    <t>Proposed Slaughterhouse</t>
  </si>
  <si>
    <t>SUPPLY AND DELIVERY OF CRAWLER EXCAVATOR</t>
  </si>
  <si>
    <t>Procurement of Motor Vehicle (Passenger Van)</t>
  </si>
  <si>
    <t>SUPPLY AND DELIVERY OF MATERIALS, TOOLS AND PPES FOR VARIOUS PROJECTS OF EEMO,DEPW AND GSD</t>
  </si>
  <si>
    <t>PURCHASE AND DELIVERY OF FABRICATED SIGNAGES WITH LETTERING AND PAINTING INCLUDING HAULING AND INSTALLATION THEREOF WITHIN THE PRE-IDENTIFIED STRATEGIC PLACES BETWEEN THE PRIMARY BOUNDARY CORNERS OF M</t>
  </si>
  <si>
    <t>Procurement of 2 (Two) Units for Early Warning and Monitoring</t>
  </si>
  <si>
    <t>PROCUREMENT OF VARIOUS MATERIALS FOR 1ST HALF PREVENTIVE MAINTENANCE, BASEPORT AND TMO'S</t>
  </si>
  <si>
    <t>INVITATION TO BID FOR: CONSTRUCTION OF EVACUATION CENTER PHASE VI – CORELLA, BOHOL</t>
  </si>
  <si>
    <t>DESIGN, LAYOUT AND PRINTING OF MAKATI TOURIST MAPS</t>
  </si>
  <si>
    <t>BPSU Abucay Campus: – Supply, Delivery and Installation of Laboratory Equipment and Facilities for the Rehabilitation of Old Engineering Building</t>
  </si>
  <si>
    <t>20DJ0092-LOCAL PROGRAM, Construction/Repair/Rehabilitation/Improvement of Various Infrastructure including Local Projects, Preventive Maintenance-Primary Roads, Daan Maharlika (LZ) K0118+224.00-K0118+</t>
  </si>
  <si>
    <t>20FL0064-Construction of Road , Brgy. Recto and Danao, Bulan, Sorsogon Barangay Recto and Danao, Bulan, Sorsogon</t>
  </si>
  <si>
    <t>Construction of Kulafu River Bridge at Barangay Magsaysay, Marilog District, Davao City</t>
  </si>
  <si>
    <t>PURCHASE OF SUPPLIES AND MATERIALS FOR ACTIVITIES/PROGRAMS OF VARIOUS OFFICES/DEPARTMENTS OF THE CITY GOVERNMENT OF MAKATI</t>
  </si>
  <si>
    <t>DRINKING WATER SYSTEM PROJECT THROUGH HYDRAULIC RAM PAMP</t>
  </si>
  <si>
    <t>PURCHASE OF OFFICE SUPPLY</t>
  </si>
  <si>
    <t>(PROCEDE)  REQUEST FOR QUOTATION (RFQ) For the Procurement of Vehicle Parts and Accessories  For the Provincial Cooperative and Enterprise Development Office (PROCEDE)</t>
  </si>
  <si>
    <t>CONSTRUCTION OF RIVER CONTROL AT BRGY. TABUNOK</t>
  </si>
  <si>
    <t>20FL0069-Construction (Completion) of Multi-Purpose Building, Brgy. Perles, Prieto-Diaz, Sorsogon Barangay Perlas, Prieto Diaz, Sorsogon</t>
  </si>
  <si>
    <t>SUPPLY AND DELIVERY OF COMMERCIAL RICE FOR MAKATI CITY JAIL</t>
  </si>
  <si>
    <t>ITB# 88-2020 Office Supplies Expenses</t>
  </si>
  <si>
    <t>SUPPLY AND DELIVERY OF MEALS FOR ACTIVITIES OF VARIOUS DEPARTMENTS/OFFICES OF THE CITY GOVERNMENT OF MAKATI</t>
  </si>
  <si>
    <t>Rehab of Atol-Habbang CIS</t>
  </si>
  <si>
    <t>20DJ0093-LOCAL PROGRAM, Construction/Repair/Rehabilitation/Improvement of Various Infrastructure including Local Projects, Construction (Completion) of Multi-Purpose Building in Barangay Guis-Guis Tal</t>
  </si>
  <si>
    <t>20DJ0094-LOCAL PROGRAM, Construction/Repair/Rehabilitation/Improvement of Various Infrastructure including Local Projects, Road Widening of Quezon Eco-Tourism Road (S06104LZ), Secondary Road, K0167+96</t>
  </si>
  <si>
    <t>20DE0143 Repair and Maintenance of Road Safety Facilities</t>
  </si>
  <si>
    <t>20G00098 - Construction of Revetment at Sibalom Bridge (Abutment B Downstream and Upstream) Pangpang, Sibalom, Antique</t>
  </si>
  <si>
    <t>PRINTING OF MAKATI ANNUAL REPORTS 2019 WITH DOCUMENTARY ENVELOPE</t>
  </si>
  <si>
    <t>SUPPLY AND DELIVERY OF FOOD SUPPLIES FOR FOOD ASSISTANCE AND NUTRI-BATA PROJECTS (2 LOTS)</t>
  </si>
  <si>
    <t>PRINTING OF MATERIALS AND FORMS FOR VARIOUS DEPARTMENTS</t>
  </si>
  <si>
    <t>PURCHASE OF CONSTRUCTION MATERIALS AND SUPPLIES FOR FENCING @ BARANGAY LUNOTAN, GINGOOG CITY UNDER P.R. NO. 20-20-02-044</t>
  </si>
  <si>
    <t>PURCHASE OF DAIRY STOCKS UNDER P.R. NO. 50-20-05-042</t>
  </si>
  <si>
    <t>(SP-BM) REQUEST FOR QUOTATION (RFQ) For the Procurement of Vehicle Parts and Accessories  For the Sangguniang Panlalawigan – BM  (SP-BM)</t>
  </si>
  <si>
    <t>Rehab and Ripraping of Lonong CIS</t>
  </si>
  <si>
    <t>20FL0083- Construction/Rehabilitation of Water Supply/Septage and Sewerage/Rain Water Collectors in Public Facilities, Sorsogon Second Congressional District</t>
  </si>
  <si>
    <t>Supply and Delivery of 9,375 heads Free Ranged Chicken and 1,768 heads Ducks for use under Livestock and Poultry Program</t>
  </si>
  <si>
    <t>20GHC0003- FURNISHING/SUPPLYING OF THE FOLLOWING LABORATORY EQUIPMENT FOR USE IN QUALITY ASSURANCE SECTION</t>
  </si>
  <si>
    <t>Rehab of Halajud CIS</t>
  </si>
  <si>
    <t>Continuation of Tulaed Road</t>
  </si>
  <si>
    <t>Contract ID No. 20GP00033 - Purchase of Heavy Equipment and Service Vehicles for use of DPWH-CAR Regional Office LOT A: Heavy Equipment for Quick Response Equipment (QRE) LOT B: Service Vehicles for u</t>
  </si>
  <si>
    <t>Rehab of Bananao CIS</t>
  </si>
  <si>
    <t>PROPOSED CONSTRUCTION OF COLUMBARIUM COMPLEX LOCATED AT KALAYAAN AVENUE CORNER N. GARCIA STREET, BARANGAY VALENZUELA, MAKATI CITY</t>
  </si>
  <si>
    <t>PURCHASE OF GARBAGE BIN</t>
  </si>
  <si>
    <t>Supply and Delivery of Poultry Feeds for use under Livestock and Poultry Program</t>
  </si>
  <si>
    <t>20GH00002 Cluster - Supply and Delivery of Brand New Heavy Equipment, Trucks, and Service Vehicles for use of DPWH Regional Office VII for Dredging Activities and Quick Response Equipment (QRE)</t>
  </si>
  <si>
    <t>SUPPLY AND DELIVERY OF BIRTHDAY CAKES FOR THE CITY EMPLOYEES THROUGH ORDERING AGREEMENT</t>
  </si>
  <si>
    <t>20DJ0095-LOCAL PROGRAM, Local Infrastructure Program, Construction of Multi-Purpose Building (Phase II), Brgy. Poblacion 6, Sariaya, Quezon</t>
  </si>
  <si>
    <t>Purchase of Sustainable Agri-Fishery based Livelihood and other Agri-Fishery Business Investment (Corn Agribusiness)</t>
  </si>
  <si>
    <t>PROPOSED REHABILITATION AND RENOVATION OF  REMAINING BASIC SCIENCE LABORATORIES SALCEDO HALL, COLLEGE OF MEDICINE UNIVERSITY OF THE PHILIPPINES MANILA</t>
  </si>
  <si>
    <t>PURCHASE OF DIESEL (River Diversion, Widening and Dredging along Sicade River (Phase 1))</t>
  </si>
  <si>
    <t>20PA0126 : CONCRETING OF BARANGAY GACAB FMR, Barangay Gacab, Malibcong, Abra</t>
  </si>
  <si>
    <t>Continuation of Multi-purpose Kitchen</t>
  </si>
  <si>
    <t>Construction / Fabrication of Block Tienda (materials only)</t>
  </si>
  <si>
    <t>CW-APAYAO-LARIP-02-2020// LOWER APAYAO RIVER IRRIGATION PROJECT(LARIP)</t>
  </si>
  <si>
    <t>20CSNE0001-CONSULTING SERVICES FOR THE CONDUCT OF SOIL EXPLORATION AND/OR GEOTECHNICAL INVESTIGATION FOR THE PROPOSED CONSTRUCTION OF PERMANENT BRIDGES-CLUSTER A, DINAGAT ISLANDS</t>
  </si>
  <si>
    <t>Completion of Alimit Multi-purpose Hall</t>
  </si>
  <si>
    <t>CONSTRUCTION OF EVACUATION CENTER &amp; MULTI-PURPOSE HALL - PHASE V AT BUGALLON PROPER, RAMON, ISABELA</t>
  </si>
  <si>
    <t>Public Bidding for the Repair of Roof and Roof Framing of Capitol Building, Roxas City, Under ITB No. 2020-002C</t>
  </si>
  <si>
    <t>Continuation of Bugnay to Nalbu FMR</t>
  </si>
  <si>
    <t>Completion of the construction of the Home Economic Bldg.</t>
  </si>
  <si>
    <t>Rehab of Puhong-Ilat to Banhal Main Water System</t>
  </si>
  <si>
    <t>Rehab of Lungod Mini Dam and CIS-Ayangan</t>
  </si>
  <si>
    <t>CW-KALINGA-UCRIS-03-2020/Upper Chico River Irrigation System(UCRIS)</t>
  </si>
  <si>
    <t>PURCHASE OF DIESEL (Improvement/Rehabilitation of Pilot Road of NRJ Suminalum-Kitaan Dagat-Limamawan-Bogayo NRJ (Phase 1))</t>
  </si>
  <si>
    <t>Concreting/Relocation of Olohan Pathway</t>
  </si>
  <si>
    <t>Rehab of Tulaed Evacuation Gym Ground</t>
  </si>
  <si>
    <t>Labor and Materials for Rehabilitation of City Park (Phase II) San Roque, Iriga City</t>
  </si>
  <si>
    <t>ITB# 89-2020 Medical, Dental, &amp; Laboratory Supplies</t>
  </si>
  <si>
    <t>Rehabilitation of Bato-Alatbang Multi-purpose Building</t>
  </si>
  <si>
    <t>ITB# 90-2020 Medical, Dental &amp; Supplies</t>
  </si>
  <si>
    <t>Purchase of Motor Vehicle</t>
  </si>
  <si>
    <t>ITB# 93-2020 Other Supplies and Materials</t>
  </si>
  <si>
    <t>Concreting of Bannao-Mallang CIS</t>
  </si>
  <si>
    <t>PURCHASE OF VARIOUS BOOKS &amp; MODULES FOR BACOLOR SOUTH &amp; NORTH</t>
  </si>
  <si>
    <t>Rehab of Butac-Lukhu CIS</t>
  </si>
  <si>
    <t>Re-bidding of the Procurement for the Supply, Deliver, Installation and Commissioning of ICT Equipment for Digital Transformation Project of USTP-CDO</t>
  </si>
  <si>
    <t>Supply and Delivery of Plated Meals for Admitted Patients at Jose L. Amante Emergency Hospital for July to December 2020</t>
  </si>
  <si>
    <t>ITB# 92-2020 Other Supplies and Materials</t>
  </si>
  <si>
    <t>CW-APAYAO-LARIP-01-2020/ LOWER APAYAO RIVER IRRIGATION PROJECT</t>
  </si>
  <si>
    <t>PR-2020-05-116 Supply &amp; Delivery of ICT Equipment for the Laboratory Rooms &amp; Offices</t>
  </si>
  <si>
    <t>Rehab of Bad-angan-Ambuhac-Lukhu Tumaliwan Pathway</t>
  </si>
  <si>
    <t>Invitation to Bid for Supply of Security Services for Five (5) Months at New Municipal Hall, Public Market and Old Municipal Building Compound, Calaca, Batangas</t>
  </si>
  <si>
    <t>Construction of waiting shed (materials only</t>
  </si>
  <si>
    <t>20PA0127 : CONCRETING OF BARANGAY PACQUED FMR, Barangay Pacqued, Malibcong, Abra</t>
  </si>
  <si>
    <t>Rehab of Holang-Hacmang CIS</t>
  </si>
  <si>
    <t>Improvement of Multipurposed Building at Brgy, Antipolo, Rizal, Laguna</t>
  </si>
  <si>
    <t>ITB# 91-2020 Other Supplies and Materials</t>
  </si>
  <si>
    <t>Continuation of Tanod Outpost</t>
  </si>
  <si>
    <t>Rehab of Lamagan-Panger Water System</t>
  </si>
  <si>
    <t>Procurement of Assorted Goods as Food Assistance to Senior Citizens</t>
  </si>
  <si>
    <t>Rehab of Felong-Tangachan Water System</t>
  </si>
  <si>
    <t>Re-Bidding of the Procurement for the Supply, Delivery, Installation and Commissioning of ICT Equipment for USTP-CDO (1st Quarter)</t>
  </si>
  <si>
    <t>Supply and Delivery of Janitorial Services for Various Government Buildings</t>
  </si>
  <si>
    <t>Rehab of Ala'Aypiong Foot Bridge and Pathway</t>
  </si>
  <si>
    <t>Dairy Animal Shed (Phase II) @ Barangay Lunotan, Gingoog City, Mis. Or. under Contract Ref. no. 2020-INFRA-044</t>
  </si>
  <si>
    <t>Continuation of the Construction of Pa'char-Epeng Potable Water System</t>
  </si>
  <si>
    <t>Rehab of Lamagan CIS</t>
  </si>
  <si>
    <t>20PK0066 - Repair / Maintenance of DPWH Building, Area Parts and Component Building, P-6, Bulanao, Tabuk City, Kalinga</t>
  </si>
  <si>
    <t>Construction of Pahhad Foot Bridge</t>
  </si>
  <si>
    <t>ADDITIONAL/REHABILITATION OF CCTV CAMERA SYSTEM</t>
  </si>
  <si>
    <t>Construction of Palaad FMR Curb and Gutter</t>
  </si>
  <si>
    <t>20GF0101 - Repair/Maintenance of Road Safety Facilities</t>
  </si>
  <si>
    <t>San Vicente Farm to Market Road Concreting</t>
  </si>
  <si>
    <t>CID No. 20OD0190 - Construction/Rehabilitation of Water Supply/Septage and Sewerage/Rain Water Collectors-Rain Water Collectors in Public Facilities, Valenzuela City &amp; Caloocan City</t>
  </si>
  <si>
    <t>One (1) unit Tying Machine</t>
  </si>
  <si>
    <t>QUARTERLY PREVENTIVE MAINTENANCE OF 194 MOTORVEHICLES</t>
  </si>
  <si>
    <t>CID No. 20OD0189 - Construction of Multi-purpose Building, Brgy. Gen. T. de Leon,Valenzuela City</t>
  </si>
  <si>
    <t>Contract ID No.: 20OB0406 Contract Name: Construction/Rehabilitation of Multi-Purpose Building, Second District, Marikina City</t>
  </si>
  <si>
    <t>Concreting of Talboc-Epeng Pathway</t>
  </si>
  <si>
    <t>20PK0067 - Repair/Maintenance of DPWH BUILDING, AES Office-Repair Bay and Planning Office, P-6 Bulanao, Tabuk City, Kalinga</t>
  </si>
  <si>
    <t>PR-2020-05-100 CLA Supply &amp; Delivery of Photocopier for CTAS and Admin Offices</t>
  </si>
  <si>
    <t>Contract ID No.: 20OB0391 Contract Name: Construction of Multi-Purpose Building, Brgy. Tumana, Marikina City</t>
  </si>
  <si>
    <t>PROCUREMENT OF 11 UNITS LAPTOP</t>
  </si>
  <si>
    <t>SVP  PUR20-05-0433  Procurement of Disposable Stretcher Cover</t>
  </si>
  <si>
    <t>20PK0068 - Repair/Maintenance of DPWH Building, Adiministrative/Main Building, P-6 Bulanao, Tabuk City, Kalinga</t>
  </si>
  <si>
    <t>Construction of U-Ditch Canal with Cover (Re-Bid)</t>
  </si>
  <si>
    <t>Procurement of Calibration Services</t>
  </si>
  <si>
    <t>Contract ID No.: 20OB0308 Contract Name: Rehabilitation of Multi-Purpose Building, Brgy. Hagdan Bato Libis, Mandaluyong City</t>
  </si>
  <si>
    <t>PROCUREMENT OF OFFICE AND JANITORIAL SUPPLIES</t>
  </si>
  <si>
    <t>20FN0093 Local Roads and Bridges – Local Bridges – Local Infrastructure Program – Construction/Repair/ Rehabilitation/Improvement of Concrete Bridge Project at Bagumbayan Bridge, Brgy. Bagumbayan, Bul</t>
  </si>
  <si>
    <t>PROCUREMENT OF THREE (3) UNITS WATER PURIFIER WITH SOLAR BATTERY  AND 100 PIECES FILTER</t>
  </si>
  <si>
    <t>Contract ID No.: 20OB0425 Contract Name: Repair and Maintenance of National Government Owned Building at Regional Equipment Services, Taguig City</t>
  </si>
  <si>
    <t>Procurement of Production Chemicals</t>
  </si>
  <si>
    <t>Contract ID No.: 20OB0426 Contract Name: Repair/Maintenance along Pasig-Pateros Road, Pasig City</t>
  </si>
  <si>
    <t>REHABILITATION OF DRAINAGE SYSTEM</t>
  </si>
  <si>
    <t>Procurement of 9mm Case and Bullet</t>
  </si>
  <si>
    <t>Installation of 120 Watts Solar Lights within Poblacion Area</t>
  </si>
  <si>
    <t>(2020-018-II) - PROCUREMENT OF ONE (1) UNIT 45 hp 4WD FARM TRACTOR WITH DISC PLOW</t>
  </si>
  <si>
    <t>DRRM MODERNIZATION</t>
  </si>
  <si>
    <t>Supply and Delivery of Medical, Dental and Laboratory Supplies for City Health Office</t>
  </si>
  <si>
    <t>Contract ID No.: 20OB0417 Contract Name: Repair/Rehabilitation of Road Network, Barangay Parang, Marikina City</t>
  </si>
  <si>
    <t>One (1) Lot Supply and Installation of New Process Lines at the Gold Refinery, BSP, Quezon City, as per BSP Scope of Work and Specifications, Plans/Drawings and Terms and Conditions</t>
  </si>
  <si>
    <t>20FN0096 Construction/Repair/Rehabilitation/ Improvement of Various Infrastructure including Local Projects – Flood Control Structures/Facilities – Rehabilitation of Salvacion River Outfall, Bula, Cam</t>
  </si>
  <si>
    <t>Rebid: Supply and Delivery of Various Drugs and Medicines for Community Hospital- 3  rd Quarter (GF- 2020)</t>
  </si>
  <si>
    <t>Contract ID No.: 20OB0427 Contract Name: Preventive Maintenance along Manila East Road, Pasig City (Chainage 0+000 to Chainage 0+423.90)</t>
  </si>
  <si>
    <t>(2020-020-II) - Construction of Feed Mill Facility</t>
  </si>
  <si>
    <t>Rebid: Supply and Delivery of Various Drugs and Medicines including Anti-rabies Vaccines for Community Hospital- 3rd Quarter (GAD-2020)</t>
  </si>
  <si>
    <t>Rebid: Supply and Delivery of Drugs and Medicines  for City Health Office-3  rd Quarter</t>
  </si>
  <si>
    <t>Contract ID No.: 20OB0429 Contract Name: Installation of Road Safety Devices (Solar Studs) along Various Roads, Pasig City</t>
  </si>
  <si>
    <t>20FN0095 Construction/Repair/Rehabilitation/Improvement of Various Infrastructure including Local Projects – Flood Control Structures/Facilities – Construction of Flood Control, Upstream of Cresini Br</t>
  </si>
  <si>
    <t>(2020-019-II) Procurement Of Five (5) Units Brand New Hauling Truck</t>
  </si>
  <si>
    <t>Supply, Delivery and Installation of Digital X-Ray  Machine for Community Hospital</t>
  </si>
  <si>
    <t>Contract ID No.: 20OB0428 Contract Name: Repair/Rehabilitation of Sidewalk, Curb and Gutter along Fort Bonifacio – Nichols Field Road (Lawton Ave.)</t>
  </si>
  <si>
    <t>20PF0066: Repair and Maintenance of Road Safety Facilities</t>
  </si>
  <si>
    <t>20FN0094 Construction/Repair/Rehabilitation/Improvement of Various Infrastructure including Local Projects – Flood Control Structure/Facilities – Improvement of Flood Control, Sulong Creek, San Franci</t>
  </si>
  <si>
    <t>Supply and Delivery of Medical and Laboratory  Supplies for Community Hospital- GAD 2020</t>
  </si>
  <si>
    <t>20FN0097 Construction/Repair/Rehabilitation/ Improvement of Various Infrastructure including Local Projects – Flood Control Structures/Facilities – Rehabilitation of Flood Control, Baao Lake Outfall I</t>
  </si>
  <si>
    <t>Concreting of Alley Road at Sitio Capacuan</t>
  </si>
  <si>
    <t>Concreting of Alley Road  at Sitio Batog</t>
  </si>
  <si>
    <t>Supply and Delivery of Medical and Laboratory  Supplies for Community Hospital- GF 2020</t>
  </si>
  <si>
    <t>PROCUREMENT OF 50 LAPTOP COMPUTERS</t>
  </si>
  <si>
    <t>COMPLETION OF EVACUATION/MULTI-PURPOSE CENTER IN BARANGAY SAN ISIDRO SUR</t>
  </si>
  <si>
    <t>Procurement of Handheld Radio</t>
  </si>
  <si>
    <t>Contract ID No.: 20OB0431 Contract Name: Installation of Road Safety Devices (Solar Studs) along Santolan Bridge, San Juan City</t>
  </si>
  <si>
    <t>Contract ID No.: 20OB0430 Contract Name: Installation of Road Safety Devices (Solar Studs) along Marikina Bridge, Marikina City</t>
  </si>
  <si>
    <t>20M0096-101</t>
  </si>
  <si>
    <t>20GA0136 - Concreting of Farm-to-Market Road (FMR) Brgy. Ginictan, Altavas, Aklan</t>
  </si>
  <si>
    <t>20GA0146 - Construction of Brgy. Hall Multi-Purpose Pavement in Brgy. Bulwang, Numancia, Aklan</t>
  </si>
  <si>
    <t>20CSDM01 – Consultancy Services for the Conduct of Preliminary Detailed Engineering (Parcellary Survey) along Padre Burgos-Pototanin Road, Province of Quezon</t>
  </si>
  <si>
    <t>Purchase of Lot for Multi-purpose Activity Center</t>
  </si>
  <si>
    <t>20GA0144 - Construction (Completion) of Multi-Purpose Building In Brgy. Manoc-manoc, Malay, Aklan</t>
  </si>
  <si>
    <t>20CSNI02 - Soil Testing/Exploration for the Proposed Infrastructure Projects for Rehabilitation/Reconstruction of National Roads with Slips, Slope Collapse and Landslide at Surigao - Davao Coastal Roa</t>
  </si>
  <si>
    <t>20CSDM02 – Consultancy Services for the Conduct of Preliminary Detailed Engineering (Parcellary Survey) along Missing Gap of San Francisco-San Andres-San Narciso Road, Province of Quezon</t>
  </si>
  <si>
    <t>Procurement of Laptop Computers and Rack Mounted Servers</t>
  </si>
  <si>
    <t>20CSNI01 - Soil Testing/Exploration for the Proposed Infrastructure Projects for Widening of Permanent Bridges – Tagbina Br. (B00755MN) Along Surigao – Davao Coastal Road, Tagasaka Br. (B00757MN) Alon</t>
  </si>
  <si>
    <t>Subdivision Survey of Survey Module No. LOT-04-SOR-20 &amp; LOT-05-SOR-20</t>
  </si>
  <si>
    <t>20CSNI03 - Soil Testing/Exploration for the Proposed Infrastructure Projects for Rehabilitation/Reconstruction of National Roads with Slips, Slope Collapse, and Landslide at Surigao - Davao Coastal Ro</t>
  </si>
  <si>
    <t>Concreting of Local Road at Sitio Mahapo, Barangay Poblacion, Mansalay, Oriental Mindoro</t>
  </si>
  <si>
    <t>20GA0149 - Construction of MPB (Evacuation Center) in Brgy. Kinalangay Viejo, Malinao, Aklan</t>
  </si>
  <si>
    <t>Labor and Materials for the Concreting of Road (Bypass Road) at Brgy. Sta Rita - Brgy. San Francisco, Concepcion, Tarlac</t>
  </si>
  <si>
    <t>20GA0147 - Construction of MPB (Barangay Hall) in Brgy. Carugdog, Lezo, Aklan</t>
  </si>
  <si>
    <t>Equipment to be use in the Computerization Program (RPTAS) Phase 1</t>
  </si>
  <si>
    <t>Improvement/Construction of Old Public Market Building (Fish &amp; Chicken Section 25 Stalls), Gerona, Tarlac</t>
  </si>
  <si>
    <t>Concreting of Tulahong - Tuy-an West Barangay Road at Barangay Tuy-an West, Maasin, Iloilo</t>
  </si>
  <si>
    <t>Concreting of Tulahong - Tuy-an West Barangay Road at Barangay Tulahong, Maasin, Iloilo</t>
  </si>
  <si>
    <t>Supply of Materials for Improvement of Multi-Purpose Hall Building (Evacuation Center), Phase 2</t>
  </si>
  <si>
    <t>Supply of Materials for Road Concreting of Brgy. Cruz</t>
  </si>
  <si>
    <t>Supply of Materials for Improvement of Water System (Sitio Asinan - Sitio Cataguman</t>
  </si>
  <si>
    <t>CONSTRUCTION OF DRAINAGE &amp; PROVISION OF COVER (at Brgy. Pandacan)</t>
  </si>
  <si>
    <t>Procurement of 5 Units Rice Transplanter with accessories for distribution as production support to farmers in Ilocos Norte</t>
  </si>
  <si>
    <t>CONSTRUCTION OF PUBLIC CEMETERY</t>
  </si>
  <si>
    <t>Upgrading of Alley w/ Improvement of Drainage Canal Int. Davila St., (Near Totoy Bidang Res.) brgy. Navotas West, Navotas City</t>
  </si>
  <si>
    <t>20GA0152 - Construction of Multi-Purpose Building Brgy. Baybay, Tangalan, Aklan</t>
  </si>
  <si>
    <t>SUPPLY AND DELIVERY OF MECHANICAL SPARE PARTS FOR 200KW CUMMINS GENSET (EN:6LTAA8.9-G3 SN:78545489), LOT AWARD INTENDED FOR TALICUD DIESEL POWER PLANT</t>
  </si>
  <si>
    <t>SUPPLY AND DELIVERY OF ELECTRICAL SPARE PARTS FOR STANFORD GENERATING SET, LOT AWARD INTENDED FOR KALAMANSIG DIESEL POWER PLANT</t>
  </si>
  <si>
    <t>BARANGAY  ROAD CONCRETING AT GUIMBAWIAN</t>
  </si>
  <si>
    <t>SUPPLY AND DELIVERY OF MECHANICAL SPARE PARTS FOR KTA38-G1 SECURITY PARTS EN:41238155 AND SN:SO66416, LOT AWARD INTENDED FOR KALAMANSIG DIESEL POWER PLANT</t>
  </si>
  <si>
    <t>20PI0089 - Repair/Maintenance of: 2. DPWH Building Caluttit 3. DOST Building Provincial Science and Technology Ctr. Caluttit</t>
  </si>
  <si>
    <t>20PI0087 - Replacement of Concrete Pavement along 1. Mt. Province-Ilocos via Tue Road 2. Mt. Province-Ilocos via Kayan Road</t>
  </si>
  <si>
    <t>20PI0076 - Construction of Waterworks Phase I, Mainit and Guina-ang, Bontoc, Mountain Province</t>
  </si>
  <si>
    <t>Concreting of Road at Sitio Madao, Motoderazo to San Agustin II, Naujan</t>
  </si>
  <si>
    <t>SUPPLY AND DELIVERY OF ELECTRICAL SPARES FOR 163KW DALE PERKINS (MODEL: EM222/DRR) AND 160KW FG WILSON (MODEL: 1606A-E93TAG4), LOT AWARD</t>
  </si>
  <si>
    <t>SUPPLY AND DELIVERY OF MECHANICAL SECURITY PARTS FOR 163KW PERKINS (MODEL: 2006-TG1), 160KW FG WILSON (MODEL:1606A-E93TAG4), 80KW FG WILSON (MODEL: 1106A-70TAG2), LOT AWARD</t>
  </si>
  <si>
    <t>20PI0088 - Repair/Maintenance of: 1. Drainage along Baguio-Bontoc Road, Gonogon Section, Bontoc 3. Drainage along Mt. Province - Ilocos Sur via Tue Road, Domog Section, Bauko</t>
  </si>
  <si>
    <t>20PI0082 - Construction/Rehabilitation/Improvement of Local Road, Brgy. Ankileng, Sagada, Mountain Province</t>
  </si>
  <si>
    <t>REPAINTING OF SCHOOL GROUND AND OTHER FACILITY</t>
  </si>
  <si>
    <t>Procurement of 1 Unit Brand New Motor Grader for use of PEO for the Repair/Maintenance of various Provincial Road Projects</t>
  </si>
  <si>
    <t>SUPPLY AND DELIVERY OF CAMSHAFT WITH DRIVE GEAR FOR 500KW CXZ MAN DIESEL, 6L20/27 INTENDED FOR LORETO DIESEL POWER PLANT</t>
  </si>
  <si>
    <t>Supply of Materials for Cons. of Multi-Purpose Hall (Covered Court), Phase 6</t>
  </si>
  <si>
    <t>PROCUREMENT OF VARIOUS WELFARE GOODS OF BRGY ITAW SANGGUNIANG KABATAAN TO SUPPORT IN COVID-19 PANDEMIC</t>
  </si>
  <si>
    <t>PROCUREMENT OF VARIOUS WELFARE GOOD OF BRGY ITAW TO SUPPORT IN COVID-19 PANDEMIC</t>
  </si>
  <si>
    <t>PROCUREMENT OF WELFARE GOODS OF BRGY LOOY SANGGUNIANG KABATAAN TO SUPPORT IN COVID-19 PANDEMIC</t>
  </si>
  <si>
    <t>FEEDS SUPPLY FOR VARIOUS FARMS OF SAGAY CITY (DAIRY, 	RICKY &amp; POULTRY FARMS)</t>
  </si>
  <si>
    <t>Upgrading of Alley w/ Improvement of Drainage Canal Int. Davila St. (Near Echol) Brgy. Navotas West, Navotas City</t>
  </si>
  <si>
    <t>Supply and Delivery of Trash Bags (1 lot) (Republication)</t>
  </si>
  <si>
    <t>20GFG0015 - Procurement of Spareparts for use in Maintenance and upkeep of Service Vehicles and Heavy Equipment at Maintenance Section DPWH, Camarines Sur 4th DEO, Caraycayon, Tigaon, Camarines Sur</t>
  </si>
  <si>
    <t>PROCUREMENT OF VARIOUS WELFARE GOODS OF BRGY LOOY TO SUPPORT IN COVID-19 PANDEMIC</t>
  </si>
  <si>
    <t>SUPPLY AND DELIVERY OF ELECTRICAL SPARE PARTS FOR DALE (EM:2006-TAG) &amp; FG WILSON (EM:1606A-E93TAG4; EM:1106A-70TAG2) GENSETS, LOT AWARD</t>
  </si>
  <si>
    <t>for PROCUREMENT OF VARIOUS WELFARE GOODS OF BRGY SAN JOSE SANGGUNIANG KABATAAN TO SUPPORT IN COVID-19 PANDEMIC</t>
  </si>
  <si>
    <t>20FG0100 - CY-2020 Repair/Maintenance of DOJ Building, DOJ Main Building San Antonio, San Jose, Camarines Sur</t>
  </si>
  <si>
    <t>Construction of Tanjay City Adolescent Friendly Health Service Center at Barangay Sta. Cruz Viejo</t>
  </si>
  <si>
    <t>20PI0091 - Construction/Rehabilitation of Water Supply/Septage and Sewerage/Rain Water Collectors - Rain Water Collectors in Public Facilities</t>
  </si>
  <si>
    <t>INVITATION TO BID FOR THE CONSTRUCTION OF DORMITORY III (MALE) REBID (Design and Build)</t>
  </si>
  <si>
    <t>Construction of  Box Culvert   at Cambarus Diotay, Brgy. Antipolo</t>
  </si>
  <si>
    <t>20PI0090 - Bontoc - Mainit - Sagada Road leading to Guina-ang Rice Terraces, Mainit Hotsprings, Bomod-ok Falls, Mountain Province</t>
  </si>
  <si>
    <t>Electrification of New Government Building  at Municipal Premises</t>
  </si>
  <si>
    <t>Construction of San Fabian Small Water Impounding System (SWIS)</t>
  </si>
  <si>
    <t>Contract ID: 20KH0045:Repair/Maintenance of Drainage System Along CDO – Airport – Bukidnon Road, K1443+800 – K1444+028, Cagayan de Oro City</t>
  </si>
  <si>
    <t>Procurement of Various Construction Supplies and Materials-06-321(O)PEO</t>
  </si>
  <si>
    <t>PURCHASE OF MEDICAL SUPPLIES AND EQUIPMENT.</t>
  </si>
  <si>
    <t>SUPPLY AND DELIVERY OF VARIOUS WATER SERVICE CONNECTION MATERIALS FOR 2ND QUARTER PROCUREMENT OF CY 2020</t>
  </si>
  <si>
    <t>Construction of  Water System at Had. Carmenchica, Brgy. DSB</t>
  </si>
  <si>
    <t>2020-135-I SUBSCRIPTION OF INTERNET CONNECTIVITY FOR THE PERIOD  JUNE TO DECEMBER 2020</t>
  </si>
  <si>
    <t>Improvement of Water System at Various Puroks , Brgy. Burgos</t>
  </si>
  <si>
    <t>Supply and Delivery of Construction Materials - ITB 024-2020 GQ</t>
  </si>
  <si>
    <t>REPAIR AND MAINTANNCE OF MITSUBISHI STRADA</t>
  </si>
  <si>
    <t>PROCUREMENT OF VARIOUS WELFARE GOODS OF BRGY SAN JOSE TO SUPPORT IN COVID-19 PANDEMIC</t>
  </si>
  <si>
    <t>Construction of Villaflores Small Water Impounding System (SWIS)</t>
  </si>
  <si>
    <t>Supply/Delivery of Medical Supplies</t>
  </si>
  <si>
    <t>Supply and Delivery of Agricultural Supplies and Equipment - ITB 026-2020 GQ</t>
  </si>
  <si>
    <t>Procurement of Drugs and Medicines (Re-bid)</t>
  </si>
  <si>
    <t>Supply and Delivery of Assorted Medicines</t>
  </si>
  <si>
    <t>Supply, Delivery, Installation, and Commissioning of One (1) Unit Fully Automated System for Coagulation</t>
  </si>
  <si>
    <t>CONSTRUCTION OF SPILLWAY</t>
  </si>
  <si>
    <t>Well Drilling Project</t>
  </si>
  <si>
    <t>20GKI0017 (Public Bidding) (Re-ad) Contract Name: Supply of Customized Binder and other Various Items for use in the DPWH Office</t>
  </si>
  <si>
    <t>Construction of Banila Small Water Impounding System (SWIS)</t>
  </si>
  <si>
    <t>Supply and Delivery of Assorted Other Supplies and Materials</t>
  </si>
  <si>
    <t>Supply and Delivery of Office Equipment  - ITB 023-2020  GQ</t>
  </si>
  <si>
    <t xml:space="preserve">20GKI0025 (Public Bidding) (Re-ad) Contract Name: Furnishing of Materials for Work Category No.18 – Traffic Services Maintenance 		  Act. 302 – Centerline &amp; Lane Line Repainting (Reflectived Pavement </t>
  </si>
  <si>
    <t xml:space="preserve">20GKI0026 (Public Bidding) Contract Name: Furnishing of Materials for Work Category No. 10 – Pavement Maintenance 		  Act. 111 – Premix Patching of Bituminous Pavement along National Primary Roads 		 </t>
  </si>
  <si>
    <t>20GKI0024 (Public Bidding) (Re-ad) Contract Name: Furnishing of Materials for Work Category No.18 – Traffic Services Maintenance Act. 303 – Guardrail Maintenance, Districtwide, Misamis Occidental 1st</t>
  </si>
  <si>
    <t>Supply and Delivery of Agricultural Supplies &amp; Equipment - ITB 027-2020 GQ</t>
  </si>
  <si>
    <t>Construction of Canabay Small Water Impounding System (SWIS)</t>
  </si>
  <si>
    <t>Supply and Delivery of Computerized Carbonless Official Receipt ( C-013-0183-20 )</t>
  </si>
  <si>
    <t>REPAIR/RENOVATION OF PERIMETER FENCE AT OMSC LABANGAN SHS</t>
  </si>
  <si>
    <t>SUPPLY AND DELIVERY OF CURRENT TRANSFORMER SPARES FOR SPUG MINDANAO DIESEL POWER PLANT, LOT AWARD</t>
  </si>
  <si>
    <t>Procurement of Non food items for Evacuation center</t>
  </si>
  <si>
    <t>Procurement of Office Supplies and Devices</t>
  </si>
  <si>
    <t>PURCHASE OF SOLAR SYSTEM</t>
  </si>
  <si>
    <t>Construction of Cabuaan Small Water Impounding System (SWIS)</t>
  </si>
  <si>
    <t>Supply and Delivery of Food Processing Tools &amp; Equipment - RFQ 053-2020 GQ</t>
  </si>
  <si>
    <t>20HA0130 - CONSTRUCTION OF CATIGBIAN WATER SUPPLY, CATIGBIAN, BOHOL</t>
  </si>
  <si>
    <t>Purchase of Appliances</t>
  </si>
  <si>
    <t>20BJ0060 : Construction of Municipal Building, Phase 1 Kayapa, Nueva Vizcaya</t>
  </si>
  <si>
    <t>Provision of Core Shelter</t>
  </si>
  <si>
    <t>Construction of Bansing Small Water Impounding System (SWIS)</t>
  </si>
  <si>
    <t>SUPPLY AND DELIVERY OF ELECTRICAL SPARES FOR LEROY SOMER AT PALIMBANG DPP, LOT AWARD</t>
  </si>
  <si>
    <t>TOBACCO FARMERS EQUIPMENT ASSISTANCE</t>
  </si>
  <si>
    <t>SUPPLY AND DELIVERY OF MECHANICAL SPARE PARTS INTENDED FOR UNIT 3, 260KW DALE PERKINS AT NINOY AQUINO DPP, LOT AWARD</t>
  </si>
  <si>
    <t>INVITATION TO BID FOR THE PROCUREMENT OF RICE FOR PEACE &amp; ORDER OPERATION</t>
  </si>
  <si>
    <t>Procurement of Spare Parts and tires for two ambulance</t>
  </si>
  <si>
    <t>Supply and delivery of Tires for NCR North Branches</t>
  </si>
  <si>
    <t>Supply and Delivery of Food Processing Tools &amp; Equipment - RFQ 054-2020 GQ</t>
  </si>
  <si>
    <t>CONSTRUCTION OF DAY CARE CENTER AT BARANGAY SITE (PERPETUAL SUCCOR)</t>
  </si>
  <si>
    <t>Agricultural Service Support</t>
  </si>
  <si>
    <t>PROCUREMENT OF VARIOUS WELFARE GOODS OF BRGY PANDAN SANGGUNIANG KABATAAN TO SUPPORT IN COVID-19 PANDEMIC</t>
  </si>
  <si>
    <t>INSTALLATION OF FIBER GLASS BASKETBALL GOAL @ BRGY. UPPER CAMPO ISLAM, LABANGAN ZDS</t>
  </si>
  <si>
    <t>Labor and Materials for the Construction of Concrete Perimeter Fence @ Vallhermoso High School and Construction of Covered Court (Phase I) @ Guadalupe Elementary School</t>
  </si>
  <si>
    <t>Supply and Delivery of Rehabilitation of PNP  Building@ Poblacion Tibiao, Ant</t>
  </si>
  <si>
    <t>Construction of Utan Child Development Center</t>
  </si>
  <si>
    <t>PURCHASE OF DRUGS AND MEDICINES</t>
  </si>
  <si>
    <t>Supply And Delivery of Environmental Water And Sanitation Project (Water Quality Monitoring)MHO Tibiao Ant.</t>
  </si>
  <si>
    <t>PROCUREMENT OF VARIOUS GOODS FOR SUPPLEMENTARY FEEDING OF 15 BARANGAYS IN BAY, LAGUNA</t>
  </si>
  <si>
    <t>Concreting of Local Road at Barangay Tubang, Maasin, Iloilo</t>
  </si>
  <si>
    <t>CONSTRUCTION OF STEEL FOOTBRIDGE - Tabobo-an, Odiongan, Romblon</t>
  </si>
  <si>
    <t>Procurement of Hardware and Construction Supplies - PR No. 2020-05-0063</t>
  </si>
  <si>
    <t>20KB0162   Construction of Water System, Brgy. Sinuda, Kitaotao, Bukidnon</t>
  </si>
  <si>
    <t>IMPROVEMENT OF MULTI PURPOSE CENTER, ALEMANIA, DIMIAO</t>
  </si>
  <si>
    <t>Concreting of Farm to Market Road (Tubigan)</t>
  </si>
  <si>
    <t>Supply and Delivery of Various Live Animals</t>
  </si>
  <si>
    <t>Concreting of Access Road to Evacuation Center Phase 1, Brgy. Awasian, Tandag City</t>
  </si>
  <si>
    <t>Supply and Delivery of Materials to be used in the Improvement/ Rehabilitation of Drainage Canal in Different Barangays,  Naujan, Oriental Mindoro</t>
  </si>
  <si>
    <t>Supplies for Alternative Home School Program</t>
  </si>
  <si>
    <t>PROCUREMENT OF VARIOUS WELFARE GOODS OF BRGY KUYA SANGGUNIANG KABATAAN TO SUPPORT IN COVID-19 PANDEMIC</t>
  </si>
  <si>
    <t>20KB0163   Construction of Water System, Brgy. Sta. Felomina, Quezon, Bukidnon</t>
  </si>
  <si>
    <t>REHABILITATION OF CANLAMBONG ELEMENTARY SCHOOL</t>
  </si>
  <si>
    <t>Office Supplies (MSWDO/Disable)</t>
  </si>
  <si>
    <t>Concreting of Roads in Different Barangays  (Panikian to Magtibay), Naujan, Oriental Mindoro</t>
  </si>
  <si>
    <t>Office Supplies (MSWDO)</t>
  </si>
  <si>
    <t>Delivery of labor and materials for the Improvement of Evacuation Center at Barangay Dila, Bay, Laguna for their implementation of 20% Economic  Development Fund (C.Y. 2020)</t>
  </si>
  <si>
    <t>20BD0111 – CONCRETING OF BRGY. MANALO FMR, BRGY. MANALO, AMULUNG, CAGAYAN</t>
  </si>
  <si>
    <t>Office Supplies (MSWDO/Senior Citizen)</t>
  </si>
  <si>
    <t>LUYO-BAKILID-DATAG ROAD CONCRETING</t>
  </si>
  <si>
    <t>20BD0108 – CONCRETING OF BRGY. MAMBACAG FMR, BRGY. MAMBACAG, TUAO, CAGAYAN</t>
  </si>
  <si>
    <t>Supply and Delivery of Solar Streetlights</t>
  </si>
  <si>
    <t>EMERGENCY EQUIPMENT/PARAPHERNALIA</t>
  </si>
  <si>
    <t>20KB0164   Construction of Water System, Brgy. Sampaguita, Kibawe, Bukidnon</t>
  </si>
  <si>
    <t>20BD0109 – CONCRETING OF BRGY. PADUL FMR, BRGY. PADUL, SOLANA, CAGAYAN</t>
  </si>
  <si>
    <t>CONSTRUCTION OF SLOPE PROTECTION-SAN JULIAN</t>
  </si>
  <si>
    <t>Procurement of 1 Unit Brand New 12 seater Van</t>
  </si>
  <si>
    <t>20GG00016 - Procurement of Safety and Emergency Equipment for use in the Quick Response Operation for the Big One Earthquake, DPWH Regional Office VI, Iloilo City</t>
  </si>
  <si>
    <t>20BD0110 – CONCRETING OF BRGY. DADDA FMR, BRGY. DADDA, AMULUNG, CAGAYAN</t>
  </si>
  <si>
    <t>OPENING OF FARM TO MARKET ROAD</t>
  </si>
  <si>
    <t>Construction of Farm to Market Road - Brgy. Nibaliw East, San Fabian, Pangasinan</t>
  </si>
  <si>
    <t>Construction Projects (003)</t>
  </si>
  <si>
    <t>20BD0116 – LOCAL PROGRAM - LOCAL INFRASTRUCTURE PROGRAM – BUILDINGS AND OTHER STRUCTURES - MULTIPURPOSE/FACILITIES - CONSTRUCTION OF MULTI-PURPOSE BUILDING, BRGY. MADDARULUG, SOLANA, CAGAYAN</t>
  </si>
  <si>
    <t>20BD0117 – REPAIR/MAINTENANCE OF DRAINAGE STRUCTURE ALONG CAGAYAN VALLEY ROAD K0496+000 - K0496+180, IGUIG CAGAYAN</t>
  </si>
  <si>
    <t>CONSTRUCTION OF CONCRETE WATER RESERVOIR, CANLAMBONG, DIMIAO</t>
  </si>
  <si>
    <t>CONSTRUCTION OF LINE CANAL</t>
  </si>
  <si>
    <t>IMPROVEMENT OF MULTI PURPOSE BUILDING, CAMBAYAON, DIMIAO</t>
  </si>
  <si>
    <t>Supplies &amp; Delivery of Materials of Improvement of Waterworks</t>
  </si>
  <si>
    <t>IMPROVEMENT OF MULTI PURPOSE BUILDING, ILE, DIMIAO</t>
  </si>
  <si>
    <t>20NA0067 Repair and Improvement of Covered Court, Brgy. Jaliobong, Kitcharao, Agusan del Norte</t>
  </si>
  <si>
    <t>Procurement of Materials for Partition</t>
  </si>
  <si>
    <t>20BD0115 – EXPANSION OF IGUIG PUBLIC MARKET BRGY. AJAT, IGUIG, CAGAYAN</t>
  </si>
  <si>
    <t>CONRETING OF ABIHID ROAD, DIMIAO</t>
  </si>
  <si>
    <t>20BD0112 – CONCRETING OF BRGY. TARIBUBU FMR, BRGY. TARIBUBU, TUAO, CAGAYAN</t>
  </si>
  <si>
    <t>Supply and Delivery of Five (5) sets High Availability Firewall Appliance (2 paired units)</t>
  </si>
  <si>
    <t>Supply and Delivery of GEOTAGGING DEVICE for use in Data Gathering of Prime Project under Regulatory Division with PR#DA3-2020-3-10-144</t>
  </si>
  <si>
    <t>IMPROVEMENT/REHABILITATION OF PUBLIC MARKET</t>
  </si>
  <si>
    <t>20BD0114 – CONCRETING OF BRGY. FURAGUI FMR, BRGY. FURAGUI, SOLANA, CAGAYAN</t>
  </si>
  <si>
    <t>20BD0113 – CONCRETING OF BRGY. BACULUD FMR, BRGY. BACULUD, AMULUNG, CAGAYAN</t>
  </si>
  <si>
    <t>20BD0122 – REPAIR/MAINTENANCE OF DOT BUILDING REGIONAL OFFICE NO. 2 – MAIN BUILDING REGIONAL GOVERNMENT CENTER, TUGUEGARAO CITY</t>
  </si>
  <si>
    <t>Construction Projects (2020-05-065)</t>
  </si>
  <si>
    <t>20BD0120 – REPAIR/MAINTENANCE OF DENR BUILDING PENRO CAGAYAN SUB-OFFICE – MAIN BUILDING REGIONAL GOVERNMENT CENTER, TUGUEGARAO CITY</t>
  </si>
  <si>
    <t>IMPROVEMENT OF MULTI PURPOSE BUILDING, TAONGON CABATUAN, DIMIAO</t>
  </si>
  <si>
    <t>20BD0118 – REPAIR/ MAINTENANCE OF DOJ BUILDING DOJ REGIONAL OFFICE 2 BUILDING (PHASE 3) REGIONAL GOVERNMENT CENTER, TUGUEGARAO CITY</t>
  </si>
  <si>
    <t>20BD0121 – REPAIR/MAINTENANCE OF DOLE BUILDING PROFESSIONAL REGULATION COMMISSION BUILDING REGIONAL GOVERNMENT CENTER, TUGUEGARAO CITY</t>
  </si>
  <si>
    <t>20GM0077 - Concreting of Sitio Piliopiliohan, Brgy. Inapoy FMR, Brgy. Inapoy, Kabankalan City, Negros Occidental</t>
  </si>
  <si>
    <t>20GM0073 - Concreting of Purok Cordova, Brgy. Bocana FMR, Brgy. Bocana, Ilog, Negros Occidental</t>
  </si>
  <si>
    <t>20BG0146-71X Special Maintenance – Furnishing of Materials for Signages for use along National Roads, Along Naguilian - San Mariano Road, Gamu - Roxas Road and Santiago - Tuguegarao Road, Nagulian - S</t>
  </si>
  <si>
    <t>Installation of Street Lightings</t>
  </si>
  <si>
    <t>20BD0119 – REPAIR/MAINTENANCE OF OFFICE OF THE PRESIDENT COMMISSION ON HIGHER EDUCATION REGIONAL OFFICE 2 – MAIN BUILDING REGIONAL GOVERNMENT CENTER, TUGUEGARAO CITY</t>
  </si>
  <si>
    <t>20GM0079 - Concreting of Brgy. Abaca FMR, Brgy. Abaca, Cauayan, Negros Occidental</t>
  </si>
  <si>
    <t>Construction of Drainage Line Canal and Access Road at Pintuyan Eco-Park and Resort</t>
  </si>
  <si>
    <t>20GM0078 - Concreting of Zone 2 to Sitio Cantukong, Brgy. Manlucahoc FMR, Brgy. Manlucahoc, Sipalay City, Negros Occidental</t>
  </si>
  <si>
    <t>20BD0123 – REPAIR/MAINTENANCE OF CONSTITUTIONAL OFFICE BUILDING CIVIL SERVICE COMMISSION CAGAYAN-BATANES PROV'L OFFICE - MAIN BUILDING REGIONAL GOVERNMENT CENTER, TUGUEGARAO CITY</t>
  </si>
  <si>
    <t>20BD0124 – REPAIR/MAINTENANCE OF DILG BUILDING PNP- BACHELOR OFFICERS QUARTER REGIONAL GOVERNMENT CENTER, TUGUEGARAO CITY</t>
  </si>
  <si>
    <t>Procurement of Farm Equipment</t>
  </si>
  <si>
    <t>Completion of Session Hall at ABC Hall Building, Aguada, Ozamiz City</t>
  </si>
  <si>
    <t>Construction of New Public Market (Site Development-Embankment), Burgos St., Brgy. Tablang, Paniqui, Tarlac</t>
  </si>
  <si>
    <t>Construction of New Public Market (Site Development-Drainage System), Burgos St., Brgy. Tablang, Paniqui, Tarlac</t>
  </si>
  <si>
    <t>Construction Projects (2020-05-066)</t>
  </si>
  <si>
    <t>20BD0125 – REPAIR/MAINTENANCE OF DILG BUILDING PNP – REGIONAL ENGINEERING UNIT BUILDING CAMP MARCELO A. ADDURU, TUGUEGARAO CITY</t>
  </si>
  <si>
    <t>Construction of 7-units Booth</t>
  </si>
  <si>
    <t>Adv. 20-007 Supply and Delivery of Various Medical Supplies, for use in Cebu Provincial Health Office</t>
  </si>
  <si>
    <t>Construction of Municipal Hall Building(Annex 1)-Phase 2</t>
  </si>
  <si>
    <t>CANHAYUPON NATIONAL HIGH SCHOOL WATERWORKS PROJECT</t>
  </si>
  <si>
    <t>IMPROVEMENT/UPGRADING OF MUNICIPAL CONFERENCE ROOM,LGU-DIMIAO</t>
  </si>
  <si>
    <t>SUPPLY and DELIVERY of VARIOUS OFFICE SUPPLIES and CONSUMABLES (BATCH 1) - (BAC-NP NO. 2020-05)</t>
  </si>
  <si>
    <t>CATERING SERVICES FOR RESPONSE OPERATION</t>
  </si>
  <si>
    <t>Construction of Drainage Line Canal (Phase I) at Vasquez Street, Poblacion Ubos, Pintuyan, Southern Leyte</t>
  </si>
  <si>
    <t>20GM0076 - Concreting of Brgy. Baclao FMR, Brgy. Baclao, Cauayan, Negros Occidental</t>
  </si>
  <si>
    <t>(20NH0081 (RE-AD))Rehabilitation of Municipal Building Brgy. Tina, San Miguel, Surigao del Sur</t>
  </si>
  <si>
    <t>Construction of New Public Market (Main Building 1), Burgos St., Brgy. Tablang, Paniqui, Tarlac</t>
  </si>
  <si>
    <t>20GM0075 - Concreting of Purok 6 to Purok 7, Brgy. Culipapa FMR, Brgy. Culipapa, Hinoba-an, Negros Occidental</t>
  </si>
  <si>
    <t>SUPPLY AND DELIVERY OF VARIOUS VEGETABLE SEEDS FOR HOME-BASED GARDENING PROJECT</t>
  </si>
  <si>
    <t>Office Supplies (MTCO/Tourism)</t>
  </si>
  <si>
    <t>SUPPLY AND DELIVERY OF CUSTOMIZED UNIFORM (SWEAT SHIRT) W/ PRINT FOR CVOs</t>
  </si>
  <si>
    <t>Supply and Delivery of Twenty (20) units Solar Charge Controllers/Regulators</t>
  </si>
  <si>
    <t>Provision of Hybrid Rice Seeds for School on the Air on Hybrid Rice Production thru Updated Palay Check System</t>
  </si>
  <si>
    <t>IMPROVEMENT OF MULTI PURPOSE BUILDING, DATAG, DIMIAO</t>
  </si>
  <si>
    <t>20GM0074 - Concreting of Brgy. Asia FMR, Brgy. Asia, Hinoba-an, Negros Occidental</t>
  </si>
  <si>
    <t>Supply and Installation of Renewable, Clean Solar Powered Streetlights along Alaminos, San Pablo by Pass Road (60 watts LED , Integrated Solar Streetlights) Phase 2</t>
  </si>
  <si>
    <t>SUPPLY AND DELIVERY OF CUSTOMIZED UNIFORM (POLO SHIRT W/ PRINT) FOR CVOs</t>
  </si>
  <si>
    <t>IMPROVEMENT OF MULTI PURPOSE CENTER, CABANBANAN, DIMIAO</t>
  </si>
  <si>
    <t>CONSULTANCY SERVICES FOR SAMAR URBAN DEVELOPMENT PLAN</t>
  </si>
  <si>
    <t>Supply and Delivery of Medical Supplies</t>
  </si>
  <si>
    <t>CONSTRUCTION OF 5 UNITS MULTI-PURPOSE BUILDINGS</t>
  </si>
  <si>
    <t>Rehabilitation of Sanitary Landfill</t>
  </si>
  <si>
    <t>Medical Supplies for CVAC Operation</t>
  </si>
  <si>
    <t>Construction of Covered Canal @ Barangay 9, Gingoog City, Mis. Or. under Contract Ref. no. 2020-INFRA-037</t>
  </si>
  <si>
    <t>Supply and Delivery of Various Animal Feeds</t>
  </si>
  <si>
    <t>INSTALLATION OF CCTV CAMERAS FOR “ BALIK PROBINSYA BAGONG PAG -ASA PROGRAM” AT  BRGY TACUB, KAUSWAGAN, LANAO DEL NORTE</t>
  </si>
  <si>
    <t>IMPROVEMENT OF BEAS, MABAAY, MULTIPURPOSE HALL</t>
  </si>
  <si>
    <t>Const. of MP Facility (Covered Court) @ Barangay Minsapinit, Gingoog City, Mis. Or. under Contract Ref. No. 2020-INFRA-038</t>
  </si>
  <si>
    <t>Construction of Two Storey Multi-Purpose Building Macad, Pasacao,  Camarines Sur</t>
  </si>
  <si>
    <t>Office Supplies MSWDO/LCPC)</t>
  </si>
  <si>
    <t>Construction of CAMSUR Environmental Laboratory Capitol Complex, Cadlan, Pili, Camarines Sur</t>
  </si>
  <si>
    <t>CATERING SERVICES FOR COMMUNITY-BASED ORIENTATION PROGRAM</t>
  </si>
  <si>
    <t>CATERING SERVICES FOR HEALTH EMERGENCY MONITORING/RESPONSE OPERATION</t>
  </si>
  <si>
    <t>Livelihood Project, Hog Fattening (Sitio Guinmisahan)</t>
  </si>
  <si>
    <t>Laboratory Supplies for RHU</t>
  </si>
  <si>
    <t>MATERIALS, MAINTENACE SPARE PARTS, BATTERIES AND TIRES FOR SERVICE VEHICLE (PR NO.: HO-CWA19-001, HO-PWA19-003, HO-LAR19-004, HO-TWT19-014 &amp; HO-UAR19-001)</t>
  </si>
  <si>
    <t>REPAIR OF TWO STOREY 12-CLASSROOM BUILDING (GREGORIO DEL PILAR) AND REPAIR OF GYMNASIUM AT OMSC LABANGAN</t>
  </si>
  <si>
    <t>CATERING SERVICES FOR HEALTH EMERGENCY MONITORING</t>
  </si>
  <si>
    <t>Office Supplies  COA</t>
  </si>
  <si>
    <t>IMPROVEMENT OF AMPAWILEN- SADANGA PROVINCIAL ROAD (ADAREK- RARASOTAN SECTION)</t>
  </si>
  <si>
    <t>Rice (RC 158)</t>
  </si>
  <si>
    <t>Contract ID No. 20NC00117 - Rehabilitation of Santa Josefa Public Memorial Park</t>
  </si>
  <si>
    <t>Supply &amp; Delivery of Various Materials for the Installation of Solar Street Light</t>
  </si>
  <si>
    <t>Materials for the Improvement of  Water Facilities at Different Barangays</t>
  </si>
  <si>
    <t>CONTINUATION OF PANABUNGEN MULTIPURPOSE HALL, BESAO</t>
  </si>
  <si>
    <t>Purchase Plastic Chairs</t>
  </si>
  <si>
    <t>CONSTRUCTION OF GUITABAYAG BRIDGE (Gomez to Villaflor)</t>
  </si>
  <si>
    <t>Supply and Delivery of 100mm dia. Ci Sleeve Type Coupling &amp; Ci Sleeve Type Coupling for PVC 2" with BNG ( D-009-0259-20 )</t>
  </si>
  <si>
    <t>Negotiated Procurement for the Provisions of Barangay Health Station at Barangay RH-2,Cotabato City and Provisions o fLying-Inns for  Strategic Barangays at Barangay RH-9, Cotabato City</t>
  </si>
  <si>
    <t>Supply and Delivery of Ci and Gi Fittings ( E-042-0342-20 )</t>
  </si>
  <si>
    <t>Cell cards (MSWDO)</t>
  </si>
  <si>
    <t>CONSTRUCTION OF GUITABAYAG BRIDGE (Gomez to Nagbukel)</t>
  </si>
  <si>
    <t>PROCUREMENT OF 205 HEADS OF LIVE DOE &amp; 7 HEADS OF LIVE BUCK</t>
  </si>
  <si>
    <t>Supply and Delivery of Diesel Fuel ( E-065-0365-20 )</t>
  </si>
  <si>
    <t>Concreting/Improvement of Roxas Barangay Road</t>
  </si>
  <si>
    <t>Supply and Delivery of Brass Union Coupling Adapter ISO 1-1/2" ( D-005-0255-20 )</t>
  </si>
  <si>
    <t>Completion &amp; Rehab. Of MP Facility (Covered Court) @ Barangay Minsapinit, Gingoog City, Mis. Or. under Contract Ref. No. 2020-INFRA-039</t>
  </si>
  <si>
    <t>Supply and delivery of One (1) unit Mini-Dump Truck for Municipal Solid Waste Management</t>
  </si>
  <si>
    <t>IMPROVEMENT OF GUEDAY IRRIGATION SYSTEM, BESAO</t>
  </si>
  <si>
    <t>Use for the augmentation of Secondary Transmission Line to Main Tank at Bong Borlasa source Kabangkalan, Villahermosa, Tudela, Cebu</t>
  </si>
  <si>
    <t>Medical and Lab Supplies</t>
  </si>
  <si>
    <t>Purchase of multifilament net &amp; accessories</t>
  </si>
  <si>
    <t>20GDF0015 (By Admin) - Purchasing of Construction Materials for the Asphalt Patching along Tanza-TMC-Indang Road and Crisanto M. Delos Reyes Avenue Road DPWH Cavite 1st District Engineering Office, Tr</t>
  </si>
  <si>
    <t>Provision of 1 Unit Four Wheeled Farm Tractor for the Municipal Agriculturist Office</t>
  </si>
  <si>
    <t>Supply &amp; Delivery of Laboratory Reagents for Hematology Analyzer</t>
  </si>
  <si>
    <t>MAINTENANCE OF CORE LOCAL ROADS AT ATOK CIS SERVICE ROAD</t>
  </si>
  <si>
    <t>Supply &amp; Delivery of 1 Unit of Payloader for the MENRO</t>
  </si>
  <si>
    <t>SUPPLY, DELIVERY, INSTALLATION AND COMMISSIONING OF PERIPHERAL MAGNETIC STIMULATOR</t>
  </si>
  <si>
    <t>Construction of Drainage Canal-Church Alley, Poblacion, San Fabian, Pangasinan</t>
  </si>
  <si>
    <t>20GDF0014 (By Admin) - Purchasing of Thermoplastic Paint Materials for the use in the Repair and Maintenance of Various National Road in DPWH - Cavite 1st District Engineering Office, Trece Mart</t>
  </si>
  <si>
    <t>Procurement of Household-Level Data Management System</t>
  </si>
  <si>
    <t>Labor and Materials for Improvement of Health Center Promotion of Healthy Lifestyle Building RHU Compound, Brgy. Poblacion, Glan, Sarangani Province.</t>
  </si>
  <si>
    <t xml:space="preserve">20GDF0017 (By Admin) - Purchasing of Construction Materials for the Repair and Maintenance for Cracks and Joint Sealing of Concrete Pavements for various National Road Cavite 1st District Engineering </t>
  </si>
  <si>
    <t>Supply and Delivery of 1 unit Service Vehicle 4X4 MT Pick-Up Type.</t>
  </si>
  <si>
    <t>PROCUREMENT OF 1,225 HEADS OF LIVE NATIVE CHICKEN (HEN) &amp; 245 HEADS OF LIVE COCKEREL (MALE CHICKEN)</t>
  </si>
  <si>
    <t>Supply and Delivery of Office and Other Supplies, Various Offices, San Jose, Batangas</t>
  </si>
  <si>
    <t>20GDF0016 (By Admin) - Purchasing of Construction Materials for the asphalt patching along Noveleta-Naic-Tagaytay Road, Labanan sa Binakayan Road and Manila Cavite Road DPWH Cavite 1st District Engine</t>
  </si>
  <si>
    <t>PROCUREMENT OF WAREHOUSE HANDLING (AND ALLIED) SERVICES FOR GRAINS FOR NFA-NCR AND BATANES FOR JULY 16 TO DECEMBER 31, 2020</t>
  </si>
  <si>
    <t>Procurement of Fuel - 2020-05-0062</t>
  </si>
  <si>
    <t>Supply And Delivery of Materials (Lot #1), Good Lumber (Lot #2), Fuel (Lot #3) Drainage Structure (Lot #4) and Labor (Lot #5) for Proposed Road Concreting from National Highway Sta. 00+015 to Sta. 00+</t>
  </si>
  <si>
    <t>PROCUREMENT OF 14 HEADS OF LIVE CARABAO/COW</t>
  </si>
  <si>
    <t>Construction of Slope Protection along Magsaysay-Paco Road</t>
  </si>
  <si>
    <t>Supply and Delivery of Spare Parts for Maintenance of Garbage Truck Plate # XHB 393 (General Body Repair).</t>
  </si>
  <si>
    <t>Repair/Maintenance of DPWH Building AES-Main Building, Baguinge, Kiangan, Ifugao</t>
  </si>
  <si>
    <t>Supply and Delivery of Fitting &amp; Valves (Lot #1), Fuel &amp; Diesel (Lot #2), Chlorine Granules (Lot #3) and Chlorine Test Kit (Lot #4) for the use of Brooke’s Point Water System Office, Brooke’s Point, P</t>
  </si>
  <si>
    <t>Provision of Meals and Snacks to be served during Mancom Meeting with an ABC of P162,000.00 &amp; PR#DA3-2020-06-01-13</t>
  </si>
  <si>
    <t>Supply &amp; Delivery of Vegetable Seeds for the Community Based Vegetable Gardening of the Municipal Agriculturist's Office</t>
  </si>
  <si>
    <t>20GDF0018 (By Admin) - Purchasing of Heavy Equipment for the use of the Maintenance Section under Cavite 1st District Engineering Office</t>
  </si>
  <si>
    <t>CLUSTER 29-2020</t>
  </si>
  <si>
    <t>Supply and Delivery of Other Supplies (Janitorial Supplies), Various Offices, San Jose, Batangas</t>
  </si>
  <si>
    <t>Supply and Delivery of Consumables for Printers and Copier, Various Offices, San Jose, Batangas</t>
  </si>
  <si>
    <t>COMPLETION OF NAGUILIAN COMMUNITY CENTER</t>
  </si>
  <si>
    <t>Contract ID No. 20NC0118 -  Expansion of Rosario Public Cemetry</t>
  </si>
  <si>
    <t>REHABILITATION OF MAIN ELECTRIC LINE OF MUNICIPAL HALL BUILDING</t>
  </si>
  <si>
    <t>Supply and delivery of Materials (Lot #1), Good Lumber (Lot #2), Fuel (Lot #3) Drainage Structure (Lot #4) and Labor (Lot #5) for Proposed Road Concreting from National Highway sta. 00+350 to Sta. 00+</t>
  </si>
  <si>
    <t>CID NO. 20IF0137 - Repair and Maintenance of Road Safety  Facilities within Leyte Fourth DEO</t>
  </si>
  <si>
    <t>Supply &amp; Delivery of ICT Equipment for the Municipal Budget Office &amp; (BPLO), Municipality of Bongabong, Oriental Mindoro</t>
  </si>
  <si>
    <t>Supply and Delivery of Materials (Lot #1), Good Lumber (Lot #2) Fuel (Lot #3) and Labor (Lot #4) for Proposed Road Concreting from National Highway Sta. 00+400 to Sta. 00+990m leading to Tagpirara Ele</t>
  </si>
  <si>
    <t>Supply &amp; Delivery of Drugs &amp; Medicines for Municipal Health Office (1st Semester)</t>
  </si>
  <si>
    <t>PROCUREMENT OF COASTAL CLEAN UP DRIVE SUPPLIES</t>
  </si>
  <si>
    <t>Purchase of Twenty (20) Units Brand New Single Motorcycle</t>
  </si>
  <si>
    <t>Contract ID No. 20NC0119 -Road Widening, Daang Maharlika (Agusan-Davao Section),</t>
  </si>
  <si>
    <t>Construction of Barangay Health Station, Casalngan, Hamtic</t>
  </si>
  <si>
    <t>SUPPLY, DELIVERY AND INSTALLATION OF STREET LIGHTS</t>
  </si>
  <si>
    <t>Rehabilitation/Improvement of Isulan Integrated Public Terminal</t>
  </si>
  <si>
    <t>IMPROVEMENT OF DAYCARE CENTER</t>
  </si>
  <si>
    <t>PROCUREMENT OF STOCK PILE</t>
  </si>
  <si>
    <t>IMPROVEMENT OF TERMINAL COMPLEX</t>
  </si>
  <si>
    <t>Contract ID No. 20NC0120 - Flood Control Project - Improvement/Rehabilitation of Adlayan Riverbank Sta. 0+000.00 – Sta. 0+120.00</t>
  </si>
  <si>
    <t>Construction of Market Tiendas</t>
  </si>
  <si>
    <t>Procurement of Medicines and Laboratory Supplies</t>
  </si>
  <si>
    <t>Construction of Barangay Health Station, Guintas, Hamtic, Antique</t>
  </si>
  <si>
    <t>CONSTRUCTION OF MRF</t>
  </si>
  <si>
    <t>Construction of Rainwater Collection System (RWCS), Kiangan, Lamut, Hungduan, Tinoc and Lagawe, Ifugao</t>
  </si>
  <si>
    <t>SUPPLY AND DELIVERY OF LAPAROSCOPIC/VATS HAND INSTRUMENTS</t>
  </si>
  <si>
    <t>PROCUREMENT OF BABY KITS FOR NEW BORN BABIES</t>
  </si>
  <si>
    <t>Construction of Evacuation Center @ Barangay Banta-awan, Gingoog City, Mis. Or. under Contract Ref. No. 2020-INFRA-040</t>
  </si>
  <si>
    <t>CID NO. 20IF0138-Act No. 66X - Selective Replacement of Concrete Pavement within Leyte Fourth DEO</t>
  </si>
  <si>
    <t>DEVELOPMENT OF SENTINELA HILL AS ECO-CULTURAL PARK PHASE II</t>
  </si>
  <si>
    <t>PEO-20-0663 B- Procurement of Batteries for use in the replacement of Defective Batteries of Various Light and Heavy Equipment assigned at PEP/Motorpool, Sta. Barbara, Iloilo</t>
  </si>
  <si>
    <t>Tiger Grass Production</t>
  </si>
  <si>
    <t>CLUSTER 30-2020</t>
  </si>
  <si>
    <t>20GDM0098 (2020-06-0098) Provision of DPWH Security Services for its office buildings and compound requiring at least six (6) Security Guards at any time of the 24-hour round-the-clock duty, DPWH, Que</t>
  </si>
  <si>
    <t>Ref. No. 2020-S001 Construction of Secondary and Tertiary Roads with Solar Lamps and Utilities in the Most Affected Area (MAA), Marawi City, Lanao Del Sur</t>
  </si>
  <si>
    <t>Provision of fertilizers for the Technical Briefing on Hybrid Rice Production 2 Batches (Negros Oriental)</t>
  </si>
  <si>
    <t>Construction of Barangay Health Station, Lapaz-Tubog, Hamtic, Antique</t>
  </si>
  <si>
    <t>INVITATION TO BID FOR THE PROJECT: SUPPLY AND DELIVERY OF VARIOUS DRUGS AND MEDICINES, ITB NO. 2020-06-011</t>
  </si>
  <si>
    <t>CONSTRUCTION OF SOLID WASTE SEGREGATION FACILITY AT DUMPSITE , SITIO DAMILAG, BARANGAY PISAAN, SFADS</t>
  </si>
  <si>
    <t>Purchase of One (1) 150 KVA 120 KW, 220/240 Voltage, 60Hz, three phase Sound proof GENERATOR SET for Isolation Facility</t>
  </si>
  <si>
    <t>MUNICIPAL ROAD CONCRETING ALONG LADGADAN ROAD, BARANGAY LADGADAN, SFADS</t>
  </si>
  <si>
    <t>S3-PDM20-001 - Construction of Operator's Quarter and Office in Pandami Diesel Power Plant (DPP)</t>
  </si>
  <si>
    <t>INVITATION TO BID FOR THE PROJECT: SUPPLY AND DELIVERY OF VARIOUS MEDICAL SUPPLIES, ITB NO. 2020-06-010</t>
  </si>
  <si>
    <t>Supply &amp; Delivery of Medical Supplies for Municipal Health Office (1st Semester)</t>
  </si>
  <si>
    <t>Supply &amp; Delivery of Construction Materials for the Improvement of School Workshop (BBCS) at BBII</t>
  </si>
  <si>
    <t>Construction of Barangay Health Station, Piapi I, Hamtic, Antique</t>
  </si>
  <si>
    <t>PEO-20-0667 B- Procurement of Construction Materials for use in the resealing of damaged concrete pavement along Zarraga Pob- Barasan Road, Sta. Barbara/ Zarraga, Iloilo</t>
  </si>
  <si>
    <t>Sukol River Night Lights at Poblacion</t>
  </si>
  <si>
    <t>Provision of fertilizers for the Technical Briefing on Hybrid Rice Production (2 Batches)</t>
  </si>
  <si>
    <t>Cluster XXXIII</t>
  </si>
  <si>
    <t>Construction of Public Comfort Room</t>
  </si>
  <si>
    <t>INSTALLATION OF SOLAR STREETLIGHTS AT EASTERN CABUL-AN, BUENAVISTA, BOHOL</t>
  </si>
  <si>
    <t>Cluster XXXIV</t>
  </si>
  <si>
    <t>CLUSTER 31-2020</t>
  </si>
  <si>
    <t>Ref. No. 2020-S002 Construction of Primary Road with Solar Lamps and Underground Utilities in the Most Affected Area (MAA), Marawi City, Lanao Del Sur</t>
  </si>
  <si>
    <t>Supply &amp; Delivery of Construction Materials for the Holding Pen Extension (Slaughterhouse)</t>
  </si>
  <si>
    <t>Rehabilitation and Improvement of Manay Public Market at Manay, Davao Oriental</t>
  </si>
  <si>
    <t>Provision of Farm Inputs (Purchase of Fertilizer)</t>
  </si>
  <si>
    <t>Construction of Barangay Health Station, Gov. Evelio B. Javier (EBJ), Hamtic, Antique</t>
  </si>
  <si>
    <t>Cluster XXXV</t>
  </si>
  <si>
    <t>REHABILITATION OF MASONRY DRAINAGE ALONG MARUZZO STREET</t>
  </si>
  <si>
    <t>02. BD - Procurement and Installation of NAVSENS and COMMELEX Equipment for PS35 LOT 1 Procurement and Installation of NAVSENS Equipment for PS35</t>
  </si>
  <si>
    <t>Cluster XXXIX</t>
  </si>
  <si>
    <t>SUPPLY AND DELIVERY OF TWO (2) UNITS MOTOR VEHICLE (PATROL CAR), PNP, SFADS</t>
  </si>
  <si>
    <t>LUBNAC-PATOC-AO CIS/CY 2020 CARP-IC FUND</t>
  </si>
  <si>
    <t>Cluster XXXVII</t>
  </si>
  <si>
    <t>CONCRETING OF ROAD ALONG DAYAG STREET</t>
  </si>
  <si>
    <t>Cluster XXXVI</t>
  </si>
  <si>
    <t>Procurement of Sine Wave Generator</t>
  </si>
  <si>
    <t>CONSTRUCTION OF SAYANGAN, LUBO BIRTHING HOME FACILITY</t>
  </si>
  <si>
    <t>Procurement of Handheld Centrifugal Force Kit</t>
  </si>
  <si>
    <t>20HF0098 Repair and Maintenance of Road Safety Facilities (Slope Protection Structure) along  Toledo Barili Santander Road, Brgy. Sayaw, Barili, Cebu</t>
  </si>
  <si>
    <t>"Revised" Concreting of Streets @ Purok 2 to Rehabilitation Center, Barangay 26, Gingoog City, Mis. Or. under Contract Ref. No. 2020-INFRA-041</t>
  </si>
  <si>
    <t>Procurement of Force Acceleration Sensor</t>
  </si>
  <si>
    <t>NAGBETTEDAN SIP/CY 2020 SIP FUND</t>
  </si>
  <si>
    <t>Procurement of Green Diode Laser</t>
  </si>
  <si>
    <t>CARUSIPAN SIP/CY 2020 SIP FUND</t>
  </si>
  <si>
    <t>Procurement of Wireless Spectrometer</t>
  </si>
  <si>
    <t>Construction of Grouted Riprap</t>
  </si>
  <si>
    <t>Improvement of Drainage Canal Provincial Government Offices (PEO)</t>
  </si>
  <si>
    <t>BANAOANG PIS/CY 2020 FUND (CCAW)</t>
  </si>
  <si>
    <t>Procurement and Installation of NAVSENS and COMMELEX Equipment for PS35 Lot 2 - Procurement and Installation of NAVSENS Equipment for PS35</t>
  </si>
  <si>
    <t>CONSTRUCTION OF BATUKA FMR PHASE 2</t>
  </si>
  <si>
    <t>PROCUREMENT FOR THE SUPPLY, DELIVERY, AND INSTALLATION OF CENTRIFUGE AND ROTARY EVAPORATOR SET FOR USE IN SATELLITE LABORATORIES OF PLANT PRODUCT SAFETY SERVICES DIVISION (PPSSD)</t>
  </si>
  <si>
    <t>20HF0093 Repair and Rehabilitation of: 1. DPWH Building, Cebu III District Engineering Office,  Sitio Khinner, Poblacion, Toledo City, Cebu: a. DE's Quarter b. Canteen 2. DPWH Building, Main  Building</t>
  </si>
  <si>
    <t>Construction of Seawall</t>
  </si>
  <si>
    <t>Procurement of Helmholtz Coil Set</t>
  </si>
  <si>
    <t>Municipal Nursery cum Training and Info Building (4 units)</t>
  </si>
  <si>
    <t>Procurement of Furniture &amp; Fixture [Office tables, chairs, podium &amp; flag stand]   [SB   Legislative]</t>
  </si>
  <si>
    <t>Completion/Painting of MP Hall @ Barangay 22-A, Gingoog City, Mis. Or. under Contract Ref. No. 2020-INFRA-042</t>
  </si>
  <si>
    <t>PR NO. 020-06-040 - furnishing/Purchasing of Materials onlu Item 200(1) and Item 508</t>
  </si>
  <si>
    <t>PROCUREMENT FOR THE SUPPLY AND DELIVERY OF SPE REAGENTS FOR USE IN LABORATORIES OF PLANT PRODUCT SAFETY SERVICES DIVISION (PPSSD)</t>
  </si>
  <si>
    <t>LOT Procurement of SPAREPARTS for the Use of Light and Heavy Equipment</t>
  </si>
  <si>
    <t>REHAB./IMPROVEMENT OF PAPATAYAN-CARDIS-KAWAYAN-BAKDEY FMR</t>
  </si>
  <si>
    <t>Construction of Water Supply System</t>
  </si>
  <si>
    <t>Cluster XXXVIII</t>
  </si>
  <si>
    <t>Procurement of Rotational Inertia Set</t>
  </si>
  <si>
    <t>REHABILITATION OF BOX CULVERT</t>
  </si>
  <si>
    <t>PROCUREMENT OF TRUCKING SERVICES FOR THE INTRA AND INTER REGIONAL TRANSFER OF GRAINS OF NFA SOUTHERN TAGALOG REGION FOR THE SECOND SEMESTER OF CY 2020</t>
  </si>
  <si>
    <t>Materials for the Construction of  Carpentry Shop for Skills Training</t>
  </si>
  <si>
    <t>Procurement of WCEIS Equipment of PBL1, PBL2, PBL5 AND 9MTR RIB 02 Lot 2 - Procurement of WCEIS Equipment of PBL1, PBL2, PBL5 and 9MTR RIB 02</t>
  </si>
  <si>
    <t>REHABILITATION OF ROAD FROM POBLACION TO BUBONG</t>
  </si>
  <si>
    <t>2020-133-I MUNGBEAN, PEANUT, AND WATERMELON SEEDS  UNDER HVCDP CY 2020</t>
  </si>
  <si>
    <t>2020-134-I ASSORTED LOWLAND AND UPLAND VEGETABLE SEEDS  UNDER HVCDP CY 2020</t>
  </si>
  <si>
    <t>2020-136-I LABORATORY SUPPLIES FOR THE SECOND QUARTER OF CY 2020</t>
  </si>
  <si>
    <t>Contract ID: 20MB0153 Contract Name:  Construction/Rehabilitation of Water Supply/Septage and Sewerage/Rain Water Collectors</t>
  </si>
  <si>
    <t>Improvement of Municipal Plaza [Rebid]</t>
  </si>
  <si>
    <t>Construction of Chocolate Processing Facility (In Support to Chocolate Processing Enterprise)</t>
  </si>
  <si>
    <t>One (1) Lot Hiring of a Courier Service Provider for mailing/delivery of documents/mails/parcels of departments/offices in the BSP Head Office for dispatch to domestic and international stakeholders o</t>
  </si>
  <si>
    <t>PROCUREMENT FOR THE SUPPLY AND DELIVERY OF CHEMICALS AND REAGENTS FOR USE IN LABORATORIES OF PLANT PRODUCT SAFETY SERVICES DIVISION (PPSSD)</t>
  </si>
  <si>
    <t>20DQ0107 - LOCAL PROGRAM – Local Infrastructure Program – Flood Control and Drainage – Drainage / Protection Works – Rehabilitation of Drainage, Brgy. Digman, Bacoor City, Cavite; Rehabilitation of Dr</t>
  </si>
  <si>
    <t>PROCUREMENT FOR THE SUPPLY AND DELIVERY OF PHEROMONE LURE FOR USE OF CROP PEST MANAGEMENT DIVISION (CPMD)</t>
  </si>
  <si>
    <t>PROCUREMENT FOR THE SUPPLY AND DELIVERY OF PARKER NEEM TONIC, SPINETORAM AND CHLORANTRANILIPROLE FOR USE OF CROP PEST MANAGEMENT DIVISION (CPMD)</t>
  </si>
  <si>
    <t>PROCUREMENT FOR THE SUPPLY AND DELIVERY OF QUECHERS TUBES FOR USE IN LABORATORIES OF PLANT PRODUCT SAFETY SERVICES DIVISION (PPSSD)</t>
  </si>
  <si>
    <t>20DQ0106 - LOCAL PROGRAM – Local Infrastructure Program – Local Roads and Bridges – Local Roads – Rehabilitation of Road, Brgy. Queens Row East, Bacoor City, Cavite</t>
  </si>
  <si>
    <t>20DQ0109 - ORGANIZATIONAL OUTCOME 2: Protect Lives and Properties Against Major Floods – Flood Management Program – Construction/ Maintenance of Flood Mitigation Structures and Drainage Systems - Cons</t>
  </si>
  <si>
    <t>Procurement of WCEIS Equipment of PBL1, PBL2, PBL5 AND 9MTR RIB 02 Lot 1 - Procurement of WCEIS Equipment of PBL1, PBL2, PBL5 and 9MTR RIB 02</t>
  </si>
  <si>
    <t>PURCHASE OF 2 UNITS STAINLESS WATER LORRY TRUCK</t>
  </si>
  <si>
    <t>20DQ0108 - LOCAL PROGRAM – Local Infrastructure Program – Buildings and Other Structures – Multipurpose/Facilities – Construction of Multi-Purpose Building, Brgy. Marcelino Memije, Gen. Mariano Alvare</t>
  </si>
  <si>
    <t>Supply and Delivery of Robotics (LSB)</t>
  </si>
  <si>
    <t>20DQ0110 - ORGANIZATIONAL OUTCOME 2: Protect Lives and Properties Against Major Floods – Flood Management Program – Construction/ Maintenance of Flood Mitigation Structures and Drainage Systems - Cons</t>
  </si>
  <si>
    <t>20DQ0111 - LOCAL PROGRAM – Local Infrastructure Program – Buildings and Other Structures – Multipurpose / Facilities – Construction of Multi-Purpose Building, Brgy. Mambog I, Bacoor City, Cavite; Cons</t>
  </si>
  <si>
    <t>Procurement Medical Supplies</t>
  </si>
  <si>
    <t>CONSTRUCTION OF R.C. BRIDGE AT STA. RITA NORTE, AGOO, LA UNION</t>
  </si>
  <si>
    <t>RENOVATION OF MAYOR'S OFFICE AND CONSTRUCTION OF SORTING STATION</t>
  </si>
  <si>
    <t>20FC0073 : NETWORK DEVELOPMENT PROGRAM – ROAD WIDENING – PRIMARY ROADS, Daang Maharlika (LZ) K0319+027-K0319+951, K0323+800-K0324+284</t>
  </si>
  <si>
    <t>20GMH043 - Supply/Delivery of  Fuel &amp; Oil Lubricants for use of various vehicle, chainsaw, and grass cutter assigned in Maintenance Section along Awang-Upi-Lebak-Kalamansig-Palimbang-Sarangani Road K1</t>
  </si>
  <si>
    <t>20FC0084 : CONSTRUCTION/ MAINTENANCE OF FLOOD MITIGATING STRUCTURE AND DRAINAGE SYSTEM, CONSTRUCTION OF SULA SEAWALL BRGY. SULA, VINZONS, CAMARINES NORTE</t>
  </si>
  <si>
    <t>20FC0091 : CONCRETING OF BRGY. MATANLANG TO BRGY. BAYAN-BAYAN ROAD, LABO CAMARINES NORTE</t>
  </si>
  <si>
    <t>20GMH046 - Supply/Delivery of Road Safety Facilities for the Maintenance/Improvement Of National Road, Sultan Kudarat 2nd District Engineering Office, K1943+000-K1943+935 w/ exception</t>
  </si>
  <si>
    <t>20GMH045 - Supply/Delivery of Thermoplastic Paints for the Repair/Maintenance of National Road &amp; Bridges, Sultan Kudarat 2nd District Engineering Office, (Reflectorized Pavement Marking of Edge, Cente</t>
  </si>
  <si>
    <t>CONSTRUCTION OF FARMER’S MULTI-PURPOSE COVERED COURT AT SANIJUBAR ELEMENTARY SCHOOL, AGOO, LA UNION</t>
  </si>
  <si>
    <t>20FC0105 : CONSTRUCTION OF TWO-STOREY BUILDING (DPWH STANDARD DESIGN) OF CAMARINES NORTE DEO, Pasig, Daet, Camarines Norte</t>
  </si>
  <si>
    <t>20GMH044 - Supply/Delivery of  Road Sign for the Maintenance/Improvement of National Road, Sultan Kudarat 2nd District Engineering Office, K1957+000-K2018+000 w/ exception</t>
  </si>
  <si>
    <t>20GMH042 - Supply/Delivery of  Asphalt Cold Mix for the Repair/Maintenance of National Roads &amp; Bridges, Sultan Kudarat 2nd District Engineering Office K1775+-736-Km. 1781+000, K1775+-620-K1775+288</t>
  </si>
  <si>
    <t>Road Concreting at  Polog to Cabangahan Road,  Consolacion, Cebu</t>
  </si>
  <si>
    <t>infrastructure Project-LOWER SIBUGUEY I RIS EXTENSION PROJECT PACKAGE 3 CY 2016 REMAINING WORKS, Diplahan, Zamboanga Sibugay</t>
  </si>
  <si>
    <t>MATERIALS FOR INTRAMURALS</t>
  </si>
  <si>
    <t>20-05-399 Construction of Water System at Maracabac, Guiling, Alamada, Cotabato</t>
  </si>
  <si>
    <t>infrastructure Project-LOWER SIBUGUEY II RIS EXTENSION PROJECT PACKAGE 2 CY 2017 REMAINING WORKS Imelda, Zamboanga Sibugay</t>
  </si>
  <si>
    <t xml:space="preserve">INVITATION TO BID FOR Supply of Equipment, Installation and Commissioning of Real Time Monitoring CCTV Cameras Suitable for Integration to PLC/SCADA Operation of Pump Stations                         </t>
  </si>
  <si>
    <t>20-06-443 Purchase of 8 in 1 Assorted Vegetables Seeds for Sustainable Integrated Natural Garden (SUSING) Livelihood Program-Livelihood Seeds Distribution for Alamada Constituents</t>
  </si>
  <si>
    <t>PROCUREMENT FOR THE SUPPLY AND DELIVERY OF PURITY WORKBOARD, DIAPHANOSCOPE, AND CIRCLINE MAGNIFIER FOR USE IN SEED TESTING AND SEED CERTIFICATION OF NATIONAL SEED QUALITY CONTROL SERVICES DIVISION (NS</t>
  </si>
  <si>
    <t>Student ID JHS</t>
  </si>
  <si>
    <t>Student ID SHS</t>
  </si>
  <si>
    <t>PROCUREMENT FOR THE SUPPLY, DELIVERY, AND INSTALLATION OF SPECTROPHOTOMETER FOR USE OF NATIONAL PLANT QUARANTINE SERVICES DIVISION (NPQSD)</t>
  </si>
  <si>
    <t>ADDITIONAL SCHOOL AND OFFICE SUPPLIES</t>
  </si>
  <si>
    <t>20LG0113 - Repair/Maintenance of Mati Flood Control, Brgy Central, City of Mati, Davao Oriental</t>
  </si>
  <si>
    <t>REPAIR OF DOORS FOR SHS</t>
  </si>
  <si>
    <t>INSTALLATION OF CR SHS</t>
  </si>
  <si>
    <t>PROCUREMENT FOR THE SUPPLY AND DELIVERY OF MYCOTOXIN SUPPLIES FOR USE IN LABORATORIES OF PLANT PRODUCT SAFETY SERVICES DIVISION (PPSSD)</t>
  </si>
  <si>
    <t>PROCUREMENT FOR THE SUPPLY, AND DELIVERY OF GASES FOR GAS CHROMATOGRAPHY FOR USE IN RESIDUE LABORATORIES OF PLANT PRODUCT SAFETY SERVICES DIVISION (PPSSD)</t>
  </si>
  <si>
    <t>PROCUREMENT FOR THE SUPPLY AND DELIVERY OF ELECTRIC HEAVY DUTY CUTTER FOR USE IN SEED TESTING AND SEED CERTIFICATION OF NATIONAL SEED QUALITY CONTROL SERVICES DIVISION (NSQCSD)</t>
  </si>
  <si>
    <t>PROCUREMENT FOR THE SUPPLY AND DELIVERY OF LC, HPLC CONSUMABLES FOR USE IN LABORATORIES OF PLANT PRODUCT SAFETY SERVICES DIVISION (PPSSD)</t>
  </si>
  <si>
    <t>PROCUREMENT FOR THE SUPPLY AND DELIVERY OF CHEMICAL AND FILTERING SUPPLIES FOR USE OF NATIONAL PLANT QUARANTINE SERVICES DIVISION (NPQSD)</t>
  </si>
  <si>
    <t>Continuation/Improvement of Kendongay FMR, Poblacion, Quirino, Ilocos Sur</t>
  </si>
  <si>
    <t>supply &amp; delivery of Various School Supplies</t>
  </si>
  <si>
    <t>CONCRETING OF ROAD AT DOÑA PILAR, SASA, DAVAO CITY</t>
  </si>
  <si>
    <t>SUPPLY OF LABOR SERVICE, SUPPLIES, AND MATERIALS FOR THE ESTABLISHMENT OF 20KW GRID-TIED SOLAR PV ENERGY SYSTEM FOR TISSUE CULTURE LABORATORY OF BPI-DNCRDPSC, BAGO OSHIRO, DAVAO CITY</t>
  </si>
  <si>
    <t>20CSZ005 - CONSULTING SERVICES FOR THE PREPARATION OF FEASIBILITY STUDIES OF NATIONAL SEPTAGE AND SEWERAGE MANAGEMENT PROGRAM  (OLONGAPO CITY AND ILIGAN CITY)</t>
  </si>
  <si>
    <t>THE PROCUREMENT FOR THE SUPPLY AND DELIVERY OF DIGITAL DUPLICATOR FOR USE IN SEED TESTING AND SEED CERTIFICATION OF NATIONAL SEED QUALITY CONTROL SERVICES DIVISION (NSQCSD)</t>
  </si>
  <si>
    <t>SUPPLY OF LABOR AND MATERIALS FOR THE CONSTRUCTION OF SEED STORAGE OF BPI-LGNCRDPSC, LA CARLOTA CITY, NEGROS OCCIDENTAL</t>
  </si>
  <si>
    <t>THE PROCUREMENT FOR THE SUPPLY AND DELIVERY OF PRECISION DIVIDER FOR USE IN SEED TESTING AND SEED CERTIFICATION OF NATIONAL SEED QUALITY CONTROL SERVICES DIVISION (NSQCSD)</t>
  </si>
  <si>
    <t>PROCUREMENT FOR THE SUPPLY AND DELIVERY OF ANALYTICAL AND TOP LOADING BALANCE FOR USE IN SEED TESTING AND SEED CERTIFICATION OF NATIONAL SEED QUALITY CONTROL SERVICES DIVISION (NSQCSD)</t>
  </si>
  <si>
    <t>supply &amp; delivery of One unit Corn Harvester w/trailer &amp; One unit Tractor</t>
  </si>
  <si>
    <t>REHABILITATION OF CANAL AT DOÑA PILAR, BARANGAY SASA</t>
  </si>
  <si>
    <t>supply, delivery &amp; installation of various airconditioning units</t>
  </si>
  <si>
    <t>SUPPLY OF LABOR AND MATERIALS FOR THE ESTABLISHMENT OF PROCESSING AND SOLAR DRYING FACILITY OF BPI-LGNCRDPSC, LA CARLOTA CITY, NEGROS OCCIDENTAL</t>
  </si>
  <si>
    <t>Electrical Supplies (2020-05-064)</t>
  </si>
  <si>
    <t>General Merchandise (2020-05-061)</t>
  </si>
  <si>
    <t>PR# 20-0554- To supply labor, materials and necessary tools and equipment for the Improvement of Six (6) Classroom School Building with Comfort Rooms at Magumbali Elementary School, Magumbali, Candaba</t>
  </si>
  <si>
    <t>20CSD001 :CONSULTANCY SERVICES FOR THE CONDUCT OF PARCELLARY SURVEY OF CALAMBA-LOS BAÑOS-BAY BYPASS, LAGUNAROAD</t>
  </si>
  <si>
    <t>supply, delivery &amp; installation of various materials for the restoration of Wireless Antennas and additional CCTV Surveillance Cameras</t>
  </si>
  <si>
    <t>Vehicle Part and Accessories (2020-05-073)</t>
  </si>
  <si>
    <t>Catering Services (2020-05-063)</t>
  </si>
  <si>
    <t>Vehicle Part and Accessories (2020-05-071)</t>
  </si>
  <si>
    <t>Vehicle Part and Accessories (2020-05-070)</t>
  </si>
  <si>
    <t>Office Supplies and Devices (2020-05-068)</t>
  </si>
  <si>
    <t>Office Equipment (2020-05-060)</t>
  </si>
  <si>
    <t>Water (2020-05-081)</t>
  </si>
  <si>
    <t>Purchase of Hardware(2020-05-078)</t>
  </si>
  <si>
    <t>Vehicle Part and Accessories (2020-05-079)</t>
  </si>
  <si>
    <t>Office Supplies Equipment and Consumables (2019-05-067)</t>
  </si>
  <si>
    <t>Vehicle Part and Accessories (2020-05-076)</t>
  </si>
  <si>
    <t>Vehicle Part and Accessories (2020-05-077)</t>
  </si>
  <si>
    <t>20GA0185-Construction of Revetment Wall and Dredging along Aslum River, Brgy. Aslum, Agbago, Ibajay, Aklan Brgy. Aslum, Agbago, Ibajay, Aklan</t>
  </si>
  <si>
    <t>20GA0189-Construction of Revetment Wall (Flood Control) In Brgy. Bulabod, Malinao, Aklan   Malinao, Aklan</t>
  </si>
  <si>
    <t>Office Supplies (2020-05-083)</t>
  </si>
  <si>
    <t>Food Stuff (2020-05-082)</t>
  </si>
  <si>
    <t>Vehicle Part and Accessories (2020-05-075)</t>
  </si>
  <si>
    <t>Catering Services (2020-05-095)</t>
  </si>
  <si>
    <t>20GA0188-Construction of Drainage (Flood Control) in Miraflores Street in Brgy. Pob., Ibajay, Aklan</t>
  </si>
  <si>
    <t>20GA0212-Construction of MPB Osman Elementary School Brgy. Osman, Malinao, Aklan</t>
  </si>
  <si>
    <t>Catering Services (2020-05-097)</t>
  </si>
  <si>
    <t>Vehicle Part and Accessories (2020-05-069)</t>
  </si>
  <si>
    <t>Catering Services (2020-05-098)</t>
  </si>
  <si>
    <t>Catering Services (2020-05-094)</t>
  </si>
  <si>
    <t>Vehicle Part and Accessories (2020-05-074)</t>
  </si>
  <si>
    <t>Vehicle Part and Accessories (2020-05-072)</t>
  </si>
  <si>
    <t>Catering Services (2020-05-096)</t>
  </si>
  <si>
    <t>Improvement of Multi-Purpose Pavement,Brgy. Ulay-Bugang,Alimodian lloilo</t>
  </si>
  <si>
    <t>PROCUREMENT OF HYBRID WHITE CORN SEEDS, MALAPATAN SARANGANI PROVINCE</t>
  </si>
  <si>
    <t>ESTABLISHMENT OF THREE (3) UNITS OF SMALL WATER IMPOUNDING SYSTEM (SWIS) AT BRGY. SAN ROQUE, BULALACAO, ORIENTAL MINDORO</t>
  </si>
  <si>
    <t>Improvement of Day Care Centerr</t>
  </si>
  <si>
    <t>(RE-POST) Construction of Pathway at Purok 2 to Cemetery, Brgy. Taligaman, Butuan City</t>
  </si>
  <si>
    <t>ESTABLISHMENT OF MULTI COMMODITY DRYING PAVEMENT AT SITIO KITULAG, BRGY. KINAM &amp; SITIO BOLOLKALON, BRGY. LUN PADIDU, MALAPATAN SARANGANI PROVINCE</t>
  </si>
  <si>
    <t>Catering Services (2020-05-099)</t>
  </si>
  <si>
    <t>20GA0213-Concreting of Road Brgy. Sta. Cruz to Brgy. Bigaa, Lezo, Aklan Brgy. Sta. Cruz to Brgy. Bigaa, Lezo, Aklan</t>
  </si>
  <si>
    <t>Supply, Delivery, Installation, and Commissioning of One (1) Unit Fully Automated Clinical Chemistry Analyzer</t>
  </si>
  <si>
    <t>20GA0190-Construction of Revetment Wall (Flood Control) in Brgy. Maloco, Ibajay, Aklan Ibajay, Aklan</t>
  </si>
  <si>
    <t>Drug and Medicines (2020-03-036)</t>
  </si>
  <si>
    <t>20GA0209-Concreting of Road, Sitio Mangga to Sitio Tambak Brgy. Mandong, Batan, Aklan</t>
  </si>
  <si>
    <t>Drug and Medicines (2020-04-051)</t>
  </si>
  <si>
    <t>Food Stuff (2020-05-133)</t>
  </si>
  <si>
    <t>Catering Services (2020-05-093)</t>
  </si>
  <si>
    <t>Drug and Medicines (2020-05-116)</t>
  </si>
  <si>
    <t>Vehicle Part and Accessories (2020-05-132)</t>
  </si>
  <si>
    <t>Catering Services (2020-05-092)</t>
  </si>
  <si>
    <t>Office Supplies (2020-05-105)</t>
  </si>
  <si>
    <t>Vehicle Part and Accessories (2020-05-125)</t>
  </si>
  <si>
    <t>Vehicle Part and Accessories (2020-05-123)</t>
  </si>
  <si>
    <t>Office Equipment (2020-05-106)</t>
  </si>
  <si>
    <t>Appliances (2020-05-114)</t>
  </si>
  <si>
    <t>STACK EMISSION TESTING</t>
  </si>
  <si>
    <t>Vehicle Part and Accessories (2020-05-115)</t>
  </si>
  <si>
    <t>Drug and Medicines (2020-05-117)</t>
  </si>
  <si>
    <t>Procurement of Compressor Upgrade for Mechanical Ventilator</t>
  </si>
  <si>
    <t>Vehicle Part and Accessories (2020-05-119)</t>
  </si>
  <si>
    <t>Procurement of BHS Package</t>
  </si>
  <si>
    <t>Drug and Medicines (2020-05-088)</t>
  </si>
  <si>
    <t>Construction of Multi-Purpose w/Sports Facilities Brgy. Sangay KSK</t>
  </si>
  <si>
    <t>Procurement of Stethoscope, Adult</t>
  </si>
  <si>
    <t>General Merchandise (2020-05-104)</t>
  </si>
  <si>
    <t>Procurement of Medical Equipment Lot 2</t>
  </si>
  <si>
    <t>General Merchandise (2020-05-103)</t>
  </si>
  <si>
    <t>Procurement of Hematology Analyzer (3 Differential Parts)</t>
  </si>
  <si>
    <t>General Merchandise (2020-05-120)</t>
  </si>
  <si>
    <t>General Merchandise (2020-05-131)</t>
  </si>
  <si>
    <t>Procurement of ER Lights Ceiling Mounted</t>
  </si>
  <si>
    <t>Procurement of Medical Equipment Lot 1</t>
  </si>
  <si>
    <t>IA. Riprapping of Sitio Sala River;IB. Construction of Open Canal, Brgy. San Antonio</t>
  </si>
  <si>
    <t>Vehicle Part and Accessories (2020-05-127)</t>
  </si>
  <si>
    <t>Procurement of Fetal Doppler</t>
  </si>
  <si>
    <t>Construction of Concrete Drainage Canal(PHASE II) Purok Pag-Asa, Brgy. Sta. Clara Kal. SK</t>
  </si>
  <si>
    <t>Vehicle Part and Accessories (2020-05-128</t>
  </si>
  <si>
    <t>Procurement of Digital X-Ray with CR System</t>
  </si>
  <si>
    <t>Vehicle Part and Accessories (2020-05-130)</t>
  </si>
  <si>
    <t>Concreting of Farm-to-Market Road at Sitio Lamao</t>
  </si>
  <si>
    <t>General Merchandise (2020-05-099)</t>
  </si>
  <si>
    <t>Vehicle</t>
  </si>
  <si>
    <t>Drug and Medicines (2020-05-100)</t>
  </si>
  <si>
    <t>Purchase of Hardware(2020-05-101)</t>
  </si>
  <si>
    <t>Vehicle Part and Accessories (2020-05-121)</t>
  </si>
  <si>
    <t>CONSTRUCTION OF KINDERGARTEN CENTER, TALTAL ELEMENTARY SCHOOL</t>
  </si>
  <si>
    <t>PROCUREMENT OF UREA AND TRIPLE 14 (14-14-14) FERTILIZERS, MALAPATAN SARANGANI PROVINCE</t>
  </si>
  <si>
    <t>Drug and Medicines (2020-05-091)</t>
  </si>
  <si>
    <t>CONSTRUCTION OF MNHS SITE-B DRAINAGE SYSTEM AT MNHS SITE-B SCHOOL SITE, BRGY. POBLACION, MALAPATAN SARANGANI PROVINCE</t>
  </si>
  <si>
    <t>Office Supplies (2020-05-084)</t>
  </si>
  <si>
    <t>Vehicle Part and Accessories (2020-05-124)</t>
  </si>
  <si>
    <t>supply &amp; delivery of Various Maintenance Materials</t>
  </si>
  <si>
    <t>Procurement of Multi-purpose Vehicle of Municipal Mayor’s Office</t>
  </si>
  <si>
    <t>CONSTRUCTION OF MASINLOC DIALYSIS CENTER</t>
  </si>
  <si>
    <t>20GFI0002 -Purchase of IT &amp; Office Equipment (For Planning &amp; Design Section- five  (5) sets Desktop Computer (For Designer), four (4) units Laptop Computer       two (2) units (For Administrative Use)</t>
  </si>
  <si>
    <t>Drug and Medicines (2020-05-110)</t>
  </si>
  <si>
    <t>Procurement of Medical Equipment Lot 3</t>
  </si>
  <si>
    <t>General Merchandise (2019-05-062)</t>
  </si>
  <si>
    <t>Drug and Medicines (2020-05-109)</t>
  </si>
  <si>
    <t>Procurement of Medical Equipment Lot 4</t>
  </si>
  <si>
    <t>Procurement of Microscope Binocular</t>
  </si>
  <si>
    <t>CONSTRUCTION OF KINDERGARTEN CENTER, SAN LORENZO ELEMENTARY SCHOOL</t>
  </si>
  <si>
    <t>INSTALLATION OF PUNDUHAN SOLAR LIGHTING</t>
  </si>
  <si>
    <t>Drug and Medicines (2020-05-087)</t>
  </si>
  <si>
    <t>Drug and Medicines (2020-05-089)</t>
  </si>
  <si>
    <t>Procurement of Oxygen Concentrators (6lpm)</t>
  </si>
  <si>
    <t>Drug and Medicines (2020-05-112)</t>
  </si>
  <si>
    <t>Purchase of Various Construction Materials</t>
  </si>
  <si>
    <t>Procurement of Newborn Screening Hearing Test</t>
  </si>
  <si>
    <t>Procurement of Physical Therapy Equipment Set</t>
  </si>
  <si>
    <t>Supply and Delivery of Various Medical, Dental and Laboratory Supplies (Lot No. 1 to Lot No. 5); PR No. 20-1165 dated 06 April 2020; SN 122-2020</t>
  </si>
  <si>
    <t>Office Supplies (2020-05-108)</t>
  </si>
  <si>
    <t>Purchase of Hardware(2020-05-086)</t>
  </si>
  <si>
    <t>PROCUREMENT OF ONE (1) UNIT FIRETRUCK FORWARD FTR SINGLE CAB FOR BUREAU OF FIRE PROTECTION, MALAPATAN, SARANGANI PROVINCE</t>
  </si>
  <si>
    <t>CONSTRUCTION OF KINDERGARTEN CENTER, GREGORIO ELA BAUTISTA ELEMENTARY SCHOOL</t>
  </si>
  <si>
    <t>Procurement of Reagent Refrigerator for Pharmaceutical Use</t>
  </si>
  <si>
    <t>Drug and Medicines (2020-05-090)</t>
  </si>
  <si>
    <t>20ME0137 - Repair/Maintenance DILG Building PNP-SPPO  Building; Kawas, Alabel, Sarangani Province</t>
  </si>
  <si>
    <t>20ME0135 - Improvement/Construction of Public Market  Malandag; Malungon, Sarangani Province</t>
  </si>
  <si>
    <t>20ME0138 - Repair/Maintenance of Municipal Trial Court  Office; Poblacion, Kiamba, Sarangani Province</t>
  </si>
  <si>
    <t>Vehicle Part and Accessories (2020-05-129)</t>
  </si>
  <si>
    <t>20ME0136 - Construction of Multi-Purpose Building Poblacion  Maasim; Maasim, Sarangani Province</t>
  </si>
  <si>
    <t>Office Supplies (2020-05-107)</t>
  </si>
  <si>
    <t>Rehabilitation/Construction of Roads at Brgy. Dulonan, Arevalo, Iloilo City (Bid No. 20-100)</t>
  </si>
  <si>
    <t>CONSTRUCTION OF KINDERGARTEN CENTER, MASINLOC CENTRAL ELEMENTARY SCHOOL</t>
  </si>
  <si>
    <t>20ME0141 - Repair/Maintenance along Sarangani-Davao del  Sur Coastal Road (Thermoplastic Pavement Markings), K1726+000-K1729+000 and K1732+000-K1734+000 (with exceptions); Glan, Sarangani Province</t>
  </si>
  <si>
    <t>INVITATION TO BID FOR THE SUPPLY AND INSTALLATION OF STREET LIGHTS AT BISLIG CITY</t>
  </si>
  <si>
    <t>Proposed Installation of Streetlights (30 units Solar) at Brgy. San Cristobal, San Pablo City.</t>
  </si>
  <si>
    <t>Proposed Asphalt overlay at Brgy. San Juan, San Pablo City.</t>
  </si>
  <si>
    <t>Rehabilitation/Construction of Roads at Brgy. San Juan, Molo, Iloilo City (Bid No. 20-096)</t>
  </si>
  <si>
    <t>Construction of Learning Resource Center for Classes at Jaro II Elementary School, Jaro, Iloilo City (Bid No. 20-102)</t>
  </si>
  <si>
    <t>Construction and Operation of Sanitary Landfill (Pagalungan); SN 125 - 2020</t>
  </si>
  <si>
    <t>Construction of Two (2) Storey Two (2) Classroom Building at Jaro I Elementary School, Jaro, Iloilo City (Bid No. 20-104)</t>
  </si>
  <si>
    <t>Construction/Rehabilitation of Existing Drainage System at Brgy. San Vicente, Jaro, Iloilo City (Bid No. 20-097)</t>
  </si>
  <si>
    <t>Vehicle Part and Accessories (2020-05-126)</t>
  </si>
  <si>
    <t>PROCUREMENT OF MATERIALS FOR PROPOSED EXPANSION OF WATER SYSTEM AT SITIO ASPANG- MALYANG, BRGY. POBLACION, MALAPATAN, SARANGANI PROVINCE</t>
  </si>
  <si>
    <t>20ME0142 - Repair/Maintenance along Digos-Makar Road  (Metal Beam including Post); Malungon, Sarangani Province</t>
  </si>
  <si>
    <t>Rehabilitation/Construction of Roads at Brgy. Calaparan, Arevalo, Iloilo City (Bid No. 20-105)</t>
  </si>
  <si>
    <t>Supply and Delivery of Various Medical, Dental and Laboratory Supplies (Lot No. 1 and Lot No. 9); PR No. 20-0946 dated 30 March 2020; SN 96a - 2020</t>
  </si>
  <si>
    <t>Drug and Medicines (2020-05-111)</t>
  </si>
  <si>
    <t>20ME0139 - Repair/Maintenance of DOJ Building Regional  Trial Court Building, Capitol Compound; Alabel, Sarangani Province</t>
  </si>
  <si>
    <t>Completion of Classroom at Esteban Juntado Sr. Memorial Elementary School, Calumpang, Molo, Iloilo City (Bid No. 20-103)</t>
  </si>
  <si>
    <t>20ME0140 - Repair/Maintenance DILG Building Malungon  Police Station Building; Malungon, Sarangani Province</t>
  </si>
  <si>
    <t>Supply and Delivery of Medical Devices and Supplies (PR No. 20-02-0080)</t>
  </si>
  <si>
    <t>Supply and Delivery of One (1) Unit Basic Life Support (BLS) Ambulance Vehicle; PR No. 20-1182 dated 24 January 2020; SN 124 - 2020</t>
  </si>
  <si>
    <t>Construction/Rehabilitation of Existing Drainage System at Brgy. Tacas, Jaro, Iloilo City (Bid No. 20-101)</t>
  </si>
  <si>
    <t>Supply and Delivery of Circuit Breakers and Other Items; PR No. 20-1244 dated 04 May 2020; SN 121 - 2020</t>
  </si>
  <si>
    <t>PROCUREMENT OF RESCUE/ EXTRICATION EQUIPMENT OF MDRRMO, MALAPATAN, SARANGANI PROVINCE</t>
  </si>
  <si>
    <t>Vehicle Part and Accessories (2020-05-122)</t>
  </si>
  <si>
    <t>SUPPLY &amp; DELIVERY OF OFFICE EQUIPMENT'S</t>
  </si>
  <si>
    <t>Procurement of Hospital/Medical Equipment</t>
  </si>
  <si>
    <t>Procurement of Laboratory Supplies and Equipment</t>
  </si>
  <si>
    <t>Vehicle Part and Accessories (2020-05-118)</t>
  </si>
  <si>
    <t>Drug and Medicines (2020-05-085)</t>
  </si>
  <si>
    <t>20AA0350 - REPAIR/REHABILITATION OF COLLAPSED SLOPE PROTECTION OF PASALENG BRIDGE ABUTMENT “A” BRGY. PASALENG, PAGUDPUD, ILOCOS NORTE</t>
  </si>
  <si>
    <t>IMPROVEMENT OF FMR AT UPPER AMBIONG NEAR PAMELA INSAS AREA</t>
  </si>
  <si>
    <t>Repair/Repainting/Improvement of Ynares Multi-Purpose Covered Court/Stage/ Multi-Purpose Buildings &amp; Movable Bleacher at  Angono &amp; Binangonan, Rizal; a) Repair/Repainting/Improvement of Ynares Multi-P</t>
  </si>
  <si>
    <t>PROCUREMENT OF LABOR AND MATERIALS FOR INSTALLATION AND REHABILITATION OF TRANSMISSION AND DISTRIBUTION LINES IN VARIOUS LOCATIONS (4 LOTS)</t>
  </si>
  <si>
    <t>Asphalt Overlaying of Roads at Angono &amp; Cardona, Rizal; a) Asphalt Overlaying of E. Dela Paz Street, Brgy. San Pedro, Angono, b) Asphalt Overlaying of Ampucao Road (portion), Brgy. Iglesia, Cardona</t>
  </si>
  <si>
    <t>20HL0109 - Repair/Maintenance of DPWH Building, Office Building, Malabuhan,  Siaton, Negros Oriental</t>
  </si>
  <si>
    <t xml:space="preserve">Repair/Improvement of Stage &amp; Construction of School Signage at Brgy. Janosa, Binangonan, Rizal; a) Repair/Improvement of Stage at Brgy. Janosa, b) Construction of School Signage at Janosa Elementary </t>
  </si>
  <si>
    <t>IMPROVEMENT OF DRAINAGE CANAL AT SHEKDAN</t>
  </si>
  <si>
    <t>CONSTRUCTION OF FLOOD CONTROL AT BOLO CREEK</t>
  </si>
  <si>
    <t>Improvement/Repair of Ynares Multi-Purpose Covered Court, Brgy. Tabon, Binangonan, Rizal</t>
  </si>
  <si>
    <t>Construction/Provision of Wash Facilities (Water, Sanitation &amp; Hygiene) at Lunsad Elem.School, Brgy. Lunsad, Binangonan, Rizal</t>
  </si>
  <si>
    <t>Concreting of Road at Saint Pancratius Street, Park Place Village, Brgy. San Isidro, Cainta, Rizal</t>
  </si>
  <si>
    <t>Asphalt Overlaying/Concrete Reblocking (portion) of A. Mabini St., Brgy. Sto. Niňo, Cainta, Rizal</t>
  </si>
  <si>
    <t>Asphalt Overlaying of C. Cruz St., Brgy. Sto. Niňo, Cainta, Rizal</t>
  </si>
  <si>
    <t>Improvement/Repair of Ynares Multi-Purpose Covered Court at Mahabang Parang National High School, San Juan Heights, Brgy. Mahabang Parang, Binangonan, Rizal</t>
  </si>
  <si>
    <t>Construction/Provision of Wash Facilities (Water, Sanitation &amp; Hygiene) at Libid Elem.School, Brgy. Libid, Binangonan, Rizal</t>
  </si>
  <si>
    <t>Repair of Roofing / Ceiling of Brgy.Hall Main and Repair of Flooring of Ynares Multi-Purpose Covered Court at Sitio Cinco, Brgy. Pinugay, Baras, Rizal</t>
  </si>
  <si>
    <t>Repair/Repainting of Ynares School Buildings &amp; Improvement of Ynares Multi-Purpose Covered Court at Evangelista Elem. School, Brgy. Evangelista, Baras, Rizal</t>
  </si>
  <si>
    <t>Construction of 2-storey, 4-rooms Ynares School Building at Mariano C. San Juan Elem. School, Brgy. San Roque, Cardona, Rizal</t>
  </si>
  <si>
    <t>Construction of 2-storey, 6-rooms Ynares School Building at Ithan Elem. School, Brgy. Ithan, Binangonan, Rizal</t>
  </si>
  <si>
    <t>Construction of 2-storey, 6-rooms Ynares School Building at Kalinawan Elem. School, Brgy. Kalinawan, Binangonan, Rizal</t>
  </si>
  <si>
    <t>CONSTRUCTION OF DRAINAGE CANAL AT UPPER BAYABAS NEAR BINADANG ASSOCIATION AREA</t>
  </si>
  <si>
    <t>Repair/Improvement of Ynares Multi-Purpose Building &amp; Installation of Electrical Lighting System of Ynares Multi-Purpose Covered Court at Brgy. Balibago &amp; Brgy. Looc, Cardona, Rizal; a) Repair/Improve</t>
  </si>
  <si>
    <t>Repair/Repainting 2-Units 1-Storey Multi-Purpose Building (Health Center / Day Care Center), Brgy. Imatong, Pililla, Rizal</t>
  </si>
  <si>
    <t>Improvement of School Fence/Construction of School Arc &amp; Repair of Gate &amp; Artesian Well at Brgy. Bagumbayan &amp; Brgy. Hulo, Pililla, Rizal; a) Improvement of School Fence at Matagbak Elem. School, Brgy.</t>
  </si>
  <si>
    <t>Asphalt Overlaying and Concrete Reblocking (portion) of A. Luna St., Brgy. Quisao, Pililla, Rizal</t>
  </si>
  <si>
    <t>Construction of Ynares Stage &amp; Improvement of Ynares Multi-Prpose Covered Court at Southville 8C Phase 1K, Kasiglahan Village, Brgy. San Jose, Rodriguez, Rizal</t>
  </si>
  <si>
    <t>Concreting (portion) of Rambo Feeder Road, Brgy. Halayhayin, Pililla, Rizal</t>
  </si>
  <si>
    <t>Construction/Provision of Wash Facilities (Water, Sanitation &amp; Hygiene) at Eastwood Residences, Brgy. San Isidro, Rodriguez, Rizal; a) Construction/Provision of Wash Facilities (Water, Sanitation &amp; Hy</t>
  </si>
  <si>
    <t>Aspahlt Overlaying of San Antonio Road, Brgy. Quisao, Pililla, Rizal</t>
  </si>
  <si>
    <t>Construction of 2-storey, 8-rooms Ynares School Building at Patiis Elem. School, Brgy. Malanday, San Mateo, Rizal</t>
  </si>
  <si>
    <t>Improvement / Rehabiltation of E. Pillas Street (portion), Brgy. Punta, Jalajala, Rizal</t>
  </si>
  <si>
    <t>Construction of Drainage Canal at I.D. Julian Street, Brgy. Iglesia, Cardona, Rizal</t>
  </si>
  <si>
    <t>Rehabilitation of Feeder Road at Sitio Calasiao, Brgy. Bagumbayan, Pililla, Rizal</t>
  </si>
  <si>
    <t>20CSEB04 - CLUSTER 2020-FCD01: SUB-SURFACE/SOIL EXPLORATION FOR VARIOUS FY 2021 FLOOD CONTROL PROJECTS: (CONSTRUCTION/ MAINTENANCE OF FLOOD MITIGATION STRUCTURES AND DRAINAGE SYSTEMS, CONSTRUCTION/ RE</t>
  </si>
  <si>
    <t>Construction/Provision of Wash Facilities (Water, Sanitation &amp; Hygiene) at Bagumbayan Elem.School, Brgy. Bagumbayan, Teresa, Rizal</t>
  </si>
  <si>
    <t>20CSEB03 - CLUSTER 2020-BR03: SUB-SURFACE/SOIL EXPLORATION FOR VARIOUS FY 2021 NATIONAL BRIDGE PROJECTS</t>
  </si>
  <si>
    <t>Asphalt Overlaying/Concrete Reblocking (portion) of Segundo Pillas St., Brgy. Punta, Jalajala, Rizal</t>
  </si>
  <si>
    <t>Construction of 4-storey, 8-rooms Ynares School Building at Wawa Elem. School, Brgy. Wawa, Tanay, Rizal</t>
  </si>
  <si>
    <t>20CSEB05 - CLUSTER 2020-FCD02: SUB-SURFACE/SOIL EXPLORATION FOR VARIOUS FY 2021 FLOOD CONTROL PROJECTS: (CONSTRUCTION/ MAINTENANCE OF FLOOD MITIGATION STRUCTURES AND DRAINAGE SYSTEMS)</t>
  </si>
  <si>
    <t>Asphalt Overlaying of L. Cerrero St., Brgy. Macamot, Binangonan, Rizal</t>
  </si>
  <si>
    <t>20L00028 : Reconstruction of Concrete Pavement – Matina Crossing Road (Jct. Davao – Cotabato Road – Jct. Davao City Diversion Road), Davao City</t>
  </si>
  <si>
    <t>20L00152 : Road Widening &amp; Replacement of Bridge Along Jct. Davao City Diversion Rd. – Magtuod Rd. – New Carmen – Biao Escuela – Biao Joaquin – Jct. Davao – Bukidnon Rd., Davao City</t>
  </si>
  <si>
    <t>20L00150 : Rehabilitation of Paved Road Along Bypass Rd. at Jct. Davao –Cotabato Rd. – Central Park (Cordillera Rd.) – Jct. Matina Aplaya Rd., Davao City</t>
  </si>
  <si>
    <t>20CN0142-Construction/Rehabilitation of Water Supply/Septage and Sewerage/Rain Water Collector Systems,</t>
  </si>
  <si>
    <t>20L00151 : Rehabilitation of Paved Road Along Matina Crossing Road (Jct. Davao – Cotabato Road – Jct. Davao City Diversion Road), Davao City</t>
  </si>
  <si>
    <t>Materials for the Concreting of Farm to Market Road, Brgy. Ayong, Cabatuan, Iloilo</t>
  </si>
  <si>
    <t>PURCHASE OF ONE (1) UNIT MOTOR VEHICLE, BRGY. BAYAMBANG, INFANTA, PANGASINAN</t>
  </si>
  <si>
    <t>INF-ITB 20-025 Construction of Lined Canal along Cannery Junction Upper Klinan - Klinan 6 Road, Polomolok, South Cotabato</t>
  </si>
  <si>
    <t>LABOR AND MATERIALS FOR THE EVACUATION CENTER AND DISASTER RISK REDUCTION-RELATED EQUIPMENT AT POBLACION,BADIAN,CEBU</t>
  </si>
  <si>
    <t>INVITATION TO BID FOR THE SUPPLY AND DELIVERY OF COA SERVICE VEHICLE</t>
  </si>
  <si>
    <t>20L00154 : Road Widening Along Jct. Davao City Diversion Road – Langub Road – Magtuod Road, Davao City</t>
  </si>
  <si>
    <t>PURCHASE AND DELIVERY OF OTHER SUPPLIES AND MATERIALS FOR THE SEED PRODUCTION AREA (SPA) OF DENR PENRO OCCIDENTAL MINDORO AMOUNTING TO PHP30,000.00</t>
  </si>
  <si>
    <t>Materials for the Upgrading/Rehabilitation of Isolation Facility, LGU-Cabatuan, Iloilo</t>
  </si>
  <si>
    <t>20MD00131 Thermoplastic Pavement Markings along Davao-Cotabato Road, Pigcawayan, Libungan, Midsayap Section w/ exception, Pigcawayan, Libungan, Midsayap, Cotabato</t>
  </si>
  <si>
    <t>20MD0132 Resurfacing of Unpaved Road Shoulder along Dualing - New Panay - Midsayap Road, Arizona - Poblacion 8, Midsayap, Cotabato</t>
  </si>
  <si>
    <t>INF-ITB 20-026 Construction of One (1) Sanitary Landfill for Treated Special Waste Cell at IPEMC, Brgy. Tinongcop, Tantangan, South Cotabato</t>
  </si>
  <si>
    <t>20MD0133 Replacement (Re-blocking of Concrete Pavement),  Along Davao-Cotabato Road, Aleosan Section and Dualing-New Panay-Midsayap Road, Kimagango Section, Cotabato</t>
  </si>
  <si>
    <t>HYDRAULIC OIL</t>
  </si>
  <si>
    <t>CONSTRUCTION OF GARBENCO MULTIPURPOSE BUILDING/WAREHOUSE</t>
  </si>
  <si>
    <t>PR# 20-1204- 5,000 M3 Hauling and Transport of Residual Waste and General Waste (Tipping Fee)</t>
  </si>
  <si>
    <t>PR# 20-0906 - 2 units Brand New Multi-Purpose Vehicle/ Passenger-Type Vehicle</t>
  </si>
  <si>
    <t>INF-ITB 20-024 Upgrading of Modon - Kiantay Boundary Road, Sto. Niño, South Cotabato</t>
  </si>
  <si>
    <t>Construction of Motorpool</t>
  </si>
  <si>
    <t>Purchase of medical, dental and laboratory supplies to be use at the Rural Health Unit</t>
  </si>
  <si>
    <t>Supply and delivery of various drugs and medicines for Ospital Ning Capas</t>
  </si>
  <si>
    <t>Supply and delivery of various drugs and medicines and, laboratory and dental supplies and materials</t>
  </si>
  <si>
    <t>PR# 20-0910- Supply and Delivery of Various Heavy Equipment</t>
  </si>
  <si>
    <t>PURCHASE OF FURNITURE'S  AND FIXTURES</t>
  </si>
  <si>
    <t>Q-085-20 PROCUREMENT OF HARDWARE AND CONSTRUCTION SUPPLIES</t>
  </si>
  <si>
    <t>Roofing Materials for Rehabilitation and Improvement of LGU Main Building</t>
  </si>
  <si>
    <t>Supply and delivery of various laboratory and radiology supplies and materials</t>
  </si>
  <si>
    <t>PROCUREMENT OF WELFARE GOODS OF BRGY BONGO TO SUPPORT IN COVID-19 PANDEMIC</t>
  </si>
  <si>
    <t>Construction of Canan Level II Potable Water System</t>
  </si>
  <si>
    <t>20GB0123 - Concreting of Brgy. Maybunga FMR, Brgy. Maybunga, Laua-an, Antique</t>
  </si>
  <si>
    <t>Construction Of Multi-Purpose Building, Brgy. Cabalitian, Asingan, Pangasinan</t>
  </si>
  <si>
    <t>PURCHASE OF MATERIALS FOR THE CONSTRUCTION AND IMPROVEMENT OF GYMNASIUM AND SCHOOL SITE</t>
  </si>
  <si>
    <t>Construction  of Rattan Processing Center Facility, Phase 1, Cabisera 10, City of Ilagan, Isabela</t>
  </si>
  <si>
    <t>Purchase of commonly used drugs and medicines to be use at the Rural Health Unit</t>
  </si>
  <si>
    <t>CONSTRUCTION OF ADMINISTRATIVE BUILDING OF PUP BANSUD CAMPUS</t>
  </si>
  <si>
    <t>Airconditioning Unit for the Use of Isolation Facilty, LGU-Cabatuan, Iloilo</t>
  </si>
  <si>
    <t>Procurement of 1 unit Electro Mechanical Equipment with complete accessories</t>
  </si>
  <si>
    <t>INVITATION TO BID FOR IT PROVIDER (BID NO. 200623-01)</t>
  </si>
  <si>
    <t>Repair Maintenance of Municipal Vehicle</t>
  </si>
  <si>
    <t>20MD0130 Thermoplastic Pavement Markings along Davao-Cotabato Road, Pikit, Aleosan, Midsayap Section w/exception,  Pikit, Aleosan, Midsayap, Cotabato</t>
  </si>
  <si>
    <t>Service Vehicle of PNP Personnel</t>
  </si>
  <si>
    <t>INF-ITB 20-027 Repair of Nhwy. Kipot - Banga - Nhwy. Purok Reyes and Banga - Lamba - Derilon - Lampari Road, Banga, South Cotabato</t>
  </si>
  <si>
    <t>Procurement of one unit Motorcyle</t>
  </si>
  <si>
    <t>Construction Materials of Water Reservoir, at M.Francisco Evacuation Cenetr</t>
  </si>
  <si>
    <t>CONSTRUCTION AND REHABILITATION OF CLIMATE RESILIENT DRAINAGE</t>
  </si>
  <si>
    <t>Construction of Multi-Purpose Building with Storage Room and Two Public Comfort Room at Brgy. Tumbaga 1, Sariaya, Quezon</t>
  </si>
  <si>
    <t>20GB0122 - Access Road Leading to San Jose Port and Beaches &amp; Sunset Viewing,  San Jose Boulevard/Esplanade (Hotels, Inns and Beach Resorts), San Jose, Antique</t>
  </si>
  <si>
    <t>Construction  of Slope Protection at KM 8+945 to KM 8+969, Ilagan &amp; Divilacan, Isabela</t>
  </si>
  <si>
    <t>INVITATION TO BID FOR TAILORING  (BID NO. 200623-04)</t>
  </si>
  <si>
    <t>Procurement of Medicines and Medical Supplies for Pana-on ILHZ 2020 Program Implementation</t>
  </si>
  <si>
    <t>INVITATION TO BID FOR VEHICLE (4 WHEELS) AND ACCESSORIES (BID NO. 200623-05)</t>
  </si>
  <si>
    <t>20GB0121 - Repair and Maintenance of Road Safety Facilities, Anini-y, T. Fornier, Hamtic, Sibalom, San Remigio, Bugasong, Valderrama, Laua-an &amp; Barbaza, Antique</t>
  </si>
  <si>
    <t>Procurement of  construction  of  multi-purpose  building at Sitio Daruca, Poblacion</t>
  </si>
  <si>
    <t>Construction  of Slope Protection at KM 10+860 to KM 10+990, Ilagan &amp; Divilacan, Isabela</t>
  </si>
  <si>
    <t>Construction  of Nanaguan Bridge, Brgy. Nanaguan, City of Ilagan, Isabela</t>
  </si>
  <si>
    <t>PROCUREMENT OF WELFARE GOODS OF BRGY KIGAN SANGGUNIANG KABATAAN TO SUPPORT IN COVID-19 PANDEMIC</t>
  </si>
  <si>
    <t>INVITATION TO BID FOR ELECTRICAL EQUIPMENT AND APPLIANCE - A (BID NO. 200623-06)</t>
  </si>
  <si>
    <t>INVITATION TO BID FOR NO CATEGORY (RESCUE UTILITY TRAILER) (BID NO. 200623-03)</t>
  </si>
  <si>
    <t>Labor &amp; Materials for the Construction of Seawall @ Purok Sunflower</t>
  </si>
  <si>
    <t>INVITATION TO BID FOR FURNITURE AND FIXTURES (PLASTIC) (BID NO. 200623-02)</t>
  </si>
  <si>
    <t>Construction of Flood Control</t>
  </si>
  <si>
    <t>Construction of Open Drainage</t>
  </si>
  <si>
    <t>Const. Of NCDC Building</t>
  </si>
  <si>
    <t>PROCUREMENT OF WELFARE GOODS OF BRGY BIARONG TO SUPPORT IN COVID-19 PANDEMIC</t>
  </si>
  <si>
    <t>CONSULTANCY SERVICES ON CLUP/CDP FORMULATION</t>
  </si>
  <si>
    <t>Procurement of Information Technology for CBMS Training</t>
  </si>
  <si>
    <t>CONSTRUCTION OF RESERVOIR AT GREEN VALLEY BRGY. DALWANGAN, MALAYBALAY CITY.</t>
  </si>
  <si>
    <t>Supply and Delivery of Musical Instruments (PR No. 19-09-0386)</t>
  </si>
  <si>
    <t>PROCUREMENT OF WELFARE GOODS OF BRGY BIARONG SANGGUNIANG KABATAAN TO SUPPORT IN COVID-19 PANDEMIC</t>
  </si>
  <si>
    <t>PR# 20-0842- Supply and Commissioning of 70 Air-Conditioning Units at the Legislative Building</t>
  </si>
  <si>
    <t>CIVIL WORKS FOR THE CONSTRUCTION OF MATERIAL RECOVERY FACILITIES (MRF)</t>
  </si>
  <si>
    <t>Procurement of Infrastructure for Road Concreting of Poblacion to Baluarte Municipal Road</t>
  </si>
  <si>
    <t>PR NO. 2020-06-014 PROCUREMENT OF GROCERY ITEMS, VIAND AND VEGETABLES, MNAO OF LGU-MAPANAS, NORTHERN SAMAR</t>
  </si>
  <si>
    <t>INVITATION TO BID FOR SPARE PARTS FOR LIGHT &amp; HEAVY EQUIPMENT (BID NO. 200623-08)</t>
  </si>
  <si>
    <t>20LA0319 Construction of Water System Anislagan, Maco, Compostela Valley</t>
  </si>
  <si>
    <t>PR# 20-0905- 1 unit Brand New Backhoe 1 unit Brand New Hydraulic Breaker-Attachment</t>
  </si>
  <si>
    <t>CONSTRUCTION AND REHABILITATION OF CLIMATE RESILIENT ROADS AND BRIDGES</t>
  </si>
  <si>
    <t>INVITATION TO BID FOR FURNITURE AND FIXTURES (NON-ERGONOMIC) (BID NO. 200623-07)</t>
  </si>
  <si>
    <t>20LA0320 Construction of Water System, Taglawig, Maco, Compostela Valley</t>
  </si>
  <si>
    <t>PURCHASE OF OFFICE EQUIPMENTS</t>
  </si>
  <si>
    <t>PROCUREMENT OF VARIOUS WELFARE GOODS OF BRGY ROMONGAOB TO SUPPORT IN COVID-19 PANDEMIC</t>
  </si>
  <si>
    <t>INVITATION TO BID FOR INDUSTRIAL CHEMICALS (BID NO. 200623-11)</t>
  </si>
  <si>
    <t>INVITATION TO BID FOR CONSTRUCTION SUPPLIES AND MATERIALS (BID NO. 200623-09)</t>
  </si>
  <si>
    <t>PURCHASE OF FURNITURE'S AND FIXTURES</t>
  </si>
  <si>
    <t>PR# 20-0904- 2 units Brand New Barge</t>
  </si>
  <si>
    <t>PURCHASE OF VARIOUS MATERIALS FOR THE MAINTENANCE OF PNP VEHICLES</t>
  </si>
  <si>
    <t>INVITATION TO BID FOR GROCERIES (BID NO. 200623-13)</t>
  </si>
  <si>
    <t>BPSU Abucay Campus: – Supply, Delivery and Installation of Furniture and Fixtures for the Completion of 2-Storey Academic Building 2</t>
  </si>
  <si>
    <t>Rehabilitation of Rizal – Villa Pascua Road</t>
  </si>
  <si>
    <t>INVITATION TO BID FOR QUARRY MATERIALS (BID NO. 200623-10)</t>
  </si>
  <si>
    <t>20LA0325 Construction of Water System, Laak NHS, Brgy. Poblacion, Laak, Compostela Valley</t>
  </si>
  <si>
    <t>CONCRETING OF APNAGAN ROAD</t>
  </si>
  <si>
    <t>20LA0323 Completion of Academic Building Construction in Compostela Campus (Phase 3 of 3 phases in Davao de Oro), Compostela, Davao de Oro</t>
  </si>
  <si>
    <t>20LA0324 Construction of Level II Water Supply System, Purok 7 &amp; 8, Brgy. Fuentes, Pantukan, Compostela Valley</t>
  </si>
  <si>
    <t>Supply and Delivery of Agroforestry</t>
  </si>
  <si>
    <t>Improvement of Processing Center of Quirino Banana Enterprise</t>
  </si>
  <si>
    <t>ITB for Procurement of Materials for Office Supplies 2020</t>
  </si>
  <si>
    <t>PURCHASE OF BEMONC SUPPLIES</t>
  </si>
  <si>
    <t>Procurement/Acquisition of Vehicle(School Bus)</t>
  </si>
  <si>
    <t>Drugs &amp; Medicines use in Siocon District Hospital</t>
  </si>
  <si>
    <t>Rehabilitation of Diffun – Liwayway - Sitio Pallutan Road</t>
  </si>
  <si>
    <t>20CSGB01-CONDUCT OF GEOTECHNICAL INVESTIGATION FOR FY 2021 INFRASTRUCTURE PROJECTS, PROVINCE OF ANTIQUE</t>
  </si>
  <si>
    <t>INVITATION TO BID FOR NO CATEGORY (GIFT CHECK CERTIFICATE) (BID NO. 200623-12)</t>
  </si>
  <si>
    <t>PURCHASE OF DRUGS AND MEDICINES FOR 1ST QUARTER</t>
  </si>
  <si>
    <t>20LA0322 Improvement of Water System Patilan, Bongbong, Pantukan, Compostela Valley</t>
  </si>
  <si>
    <t>MEALS AND SNACKS FOR THE YEAR ROUND WOMEN EMPOWERNMENT ORIENTATIONS AND FREE LEGAL ASSISTANCE</t>
  </si>
  <si>
    <t>SUPPLY AND DELIVERY OF WHITE CORN SEEDS (OPV) TO BE DISTRIBUTED TO FARMERS IN UPLAND BARANGAYS OF MOLAVE, ZDS</t>
  </si>
  <si>
    <t>QRF CY 2020 CONSTRUCTION OF SLOPE PROTECTION</t>
  </si>
  <si>
    <t>Procurement of construction materials for Concreting of Municipal Road at Ngileb</t>
  </si>
  <si>
    <t>20LA0321 Improvement of Water System Purok 3, Bongbong, Pantukan, Compostela Valley</t>
  </si>
  <si>
    <t>INVITATION TO BID FOR FUEL, OIL, LUBRICANTS AND SERVICING (BID NO. 200623-15)</t>
  </si>
  <si>
    <t>20LA0332 Repair/Maintenance of Hijo Revetment along Hijo River, Brgy. Hijo, Maco, Compostela Valley</t>
  </si>
  <si>
    <t>20LA0330 Asphalt Overlay along Montevista-Compostela-New Bataan-Maragusan Bdry. Road, Compostela Valley</t>
  </si>
  <si>
    <t>BPSU Abucay Campus: – Supply, Delivery and Installation of Equipment and Laboratory Instruments for the Completion of 2-Storey Academic Building 2</t>
  </si>
  <si>
    <t>INVITATION TO BID FOR OFFICE SUPPLIES AND MATERIALS (BID NO. 200623-14)</t>
  </si>
  <si>
    <t>Rehabilitation of Maria Clara-San Isidro Road</t>
  </si>
  <si>
    <t>Supply and Delivery of One (1) unit Brand New 6 x 4 x 10-Wheeler, 32 ft. Truck Chassis Mounted with 32 x 8 x 8 footer Wing Van Body</t>
  </si>
  <si>
    <t>INSTALLATION OF WATER SYSTEM @ HIGHWAY FOOD COURT</t>
  </si>
  <si>
    <t>INVITATION TO BID FOR FUEL, OIL, LUBRICANTS AND SERVICING (BID NO. 200623-16)</t>
  </si>
  <si>
    <t>20LA0327 Asphalt Overlay along Daang Maharlika Highway, Tuburan Section, Brgy. Tuburan, Mawab, Compostela Valley</t>
  </si>
  <si>
    <t>20LA0328 Construction of Multi-Purpose Building, Manat ES, Brgy. Manat, Nabunturan, Compostela Valley</t>
  </si>
  <si>
    <t>Office Supplies (PMTO)</t>
  </si>
  <si>
    <t>20EG0091-Repair and Maintenance of Road Safety Facilities along National Roads K0000+000 - K0000+579.20, Puerto Princesa South Road (S00040PW) and K0000+017.50-K0000+162, Puerto Princesa Wharf Road (S</t>
  </si>
  <si>
    <t>20LA0331 Construction of Retaining Wall along Asuncion-Laak-Veruela Rd. Libuton Section, Laak, Compostela Valley</t>
  </si>
  <si>
    <t>20LA0329 Opening of Road, Tipga-Napnapan-Mabatos-Panganason, Brgy. Napnapan, Kingking, Pantukan, Compostela Valley</t>
  </si>
  <si>
    <t>Improvement of Processing Center of Quirino Coffee Enterprise</t>
  </si>
  <si>
    <t>70TH ARAW NG LABANGAN 2020</t>
  </si>
  <si>
    <t>Construction of Retaining Wall at Baung,Piat,Cagayan</t>
  </si>
  <si>
    <t>INSTALLATION OF ELECTRIC LINES SERVICE DROP @ HIGHWAY FOOD COURT</t>
  </si>
  <si>
    <t>PURCHASE OF AIRCON SPLIT TYPE</t>
  </si>
  <si>
    <t>20LA0326 Repair/Rehabilitation/Improvement of Road along Asuncion-San Isidro-Laak-Veruela Road, Compostela Valley</t>
  </si>
  <si>
    <t>20LA0286 Construction of MPB (Gym) Kingking, Pantukan, Compostela Valley</t>
  </si>
  <si>
    <t>COMPLETION OF MULTI-PURPOSE HALL</t>
  </si>
  <si>
    <t>Procurement of Infrastructure for Library Building Improvement(2nd Floor)</t>
  </si>
  <si>
    <t>PROPOSED CONTINUING CONSTRUCTION OF CULTURAL STAGE</t>
  </si>
  <si>
    <t>RICE AND OTHER COMMODITIES FOR AFP,PNP,BFP FOR MAY 2020 - RICE @ 25 KGS</t>
  </si>
  <si>
    <t>20LA0284 Construction of Multi-Purpose Bldg., (Municipal Gym), Laak, Compostela Valley</t>
  </si>
  <si>
    <t>20HN0116 -Repair/Maintenance and Improvement of Cansaga Bay Bridge, Consolacion and Mandaue City, Cebu</t>
  </si>
  <si>
    <t>20LA0287 Completion of Multi-Purpose Building, MIB Compound, Tuburan 10th Division Philippine Army, Mawab, Compostela Valley</t>
  </si>
  <si>
    <t>20LA0285 Improvement of Multi-Purpose Building, Nabunturan Comprehensive National High School, Nabunturan, Compostela Valley</t>
  </si>
  <si>
    <t>PROCUREMENT OF VARIOUS WELFARE GOODS OF BRGY KUYA TO SUPPROT IN COVID-19 PANDEMIC</t>
  </si>
  <si>
    <t>20LA0283 Construction of MPB Brgy. Tagnanan, Mabini, Compostela Valley</t>
  </si>
  <si>
    <t>LANDSCAPING OF HIGHWAY FOOD COURT</t>
  </si>
  <si>
    <t>PROCUREMENT OF 400 PACKS RELIEF GOODS</t>
  </si>
  <si>
    <t>DIESEL FOR EMERGENCY SITUATIONS FOR THE MONTH OF MAY 2020 - DIESEL</t>
  </si>
  <si>
    <t>INVITATION TO BID FOR FUEL, OIL, LUBRICANTS AND SERVICING (BID NO. 200623-17)</t>
  </si>
  <si>
    <t>DIESEL AND GASOLINE FOR AFP,PNP,BFP MAY 2020 - DIESEL</t>
  </si>
  <si>
    <t>INVITATION TO BID FOR FUEL, OIL, LUBRICANTS AND SERVICING (BID NO. 200623-18)</t>
  </si>
  <si>
    <t>Supply and delivery of hardware supplies and materials for the rehabilitation of RDET Building to Science Centrum</t>
  </si>
  <si>
    <t>PROCUREMENT OF VARIOUS WELFARE GOODS OF BRGY BONGO SANNGUNIANG KABATAAN TO SUPORT IN COVID-19 PANDEMIC</t>
  </si>
  <si>
    <t>20LA0333 66X- Selective Replacement of Concrete Pavement along Asuncion-San Isidro-Laak Veruela Road, K1492+950-K1526+593 Intermittent Section; Daang Maharlika Road, K1377±201- K1445+1058 Intermittent</t>
  </si>
  <si>
    <t>20HN0115 -Repair and Maintenance (Asphalt Overlay) at Intermittent Sections of Mactan Circumferential Road Km 31+000 to KM 33+000 (S00020LP), Lapu-Lapu City</t>
  </si>
  <si>
    <t>The Supply and Delivery of One (1) Unit Ambulance with Complete Accessories (Re-Bid)</t>
  </si>
  <si>
    <t>School Forms SHS</t>
  </si>
  <si>
    <t>PURCHASE OF BRGY. AMBULANCE VEHICLE</t>
  </si>
  <si>
    <t>20LA0334 Construction of Road, Camansi-Banglasan Junction Road, Brgy. Camansi, Montevista, Compostela Valley</t>
  </si>
  <si>
    <t>20LA0299 Rehabilitation of Multi-Purpose Building, Brgy. Saosao, Mawab, Compostela Valley</t>
  </si>
  <si>
    <t>Concreting of Brgy. Hall,Brgy. Coline,Alimodian Iloilo</t>
  </si>
  <si>
    <t>20DD0219 (Re-Advertised) Local Program, Local Infrastructure Program, Flood Control and Drainage, Drainage / Protection Works, Construction / Rehabilitation of Drainage System at Brgy. Bolbok, Lipa Ci</t>
  </si>
  <si>
    <t>Supply and Delivery of various const. materials for the Construction of Multi-Purpose Hall (Renovation of Brgy. Health Center), Brgy. Capulaan, Villasis, Pangasinan</t>
  </si>
  <si>
    <t>20LA0292 Construction of Multi-Purpose Building., Brgy. Poblacion, Mawab, Compostela Valley</t>
  </si>
  <si>
    <t>Construction of Mini Gym</t>
  </si>
  <si>
    <t>Supply and Delivery of various const. materials for the Development Villasis Eco Resort &amp; Evacuation Center Complex construction of Steel Fence, Brgy. Unzad, Villasis, Pangasinan</t>
  </si>
  <si>
    <t>PROCUREMENT OF MATERIALS FOR TEMPORARY HOLDING FACILITY</t>
  </si>
  <si>
    <t>20LA0294 Construction of Multi-Purpose Building (Health Center), Pangutosan, Nabunturan, Compostela Valley</t>
  </si>
  <si>
    <t>20LA0295 Construction of Multi-Purpose Building (Health Center), Diat, Pantukan, Compostela Valley</t>
  </si>
  <si>
    <t>20LA0290 Construction of Multi-Purpose Building, Brgy. Bawani, Mawab, Compostela Valley</t>
  </si>
  <si>
    <t>PURCHASE OF MOTOR VEHICLES FOR THE OFFICIAL USE OF THE CITY OF DASMARIÑAS</t>
  </si>
  <si>
    <t>20LA0293 Construction of Multi-Purpose Building, Pindasan ES, Mabini, Compostela Valley</t>
  </si>
  <si>
    <t>Supply and Delivery of various construction materials for the construction of drainage system, Brgy Caramutan, Villasis, Pangasinan</t>
  </si>
  <si>
    <t>Concreting of Kawayan St. (from Sampaguita Ave. - Gumamela St.)</t>
  </si>
  <si>
    <t>20LA0291 Construction of 2 Storey Multi-Purpose Building (Municipal Health Center), Brgy. Poblacion, Montevista, Compostela Valley</t>
  </si>
  <si>
    <t>Supply and Delivery of Various Medical Supplies</t>
  </si>
  <si>
    <t>Improvement of Multi-Purpose Pavement,Brgy, Ban-ag, Alimodian Iloilo</t>
  </si>
  <si>
    <t>CONSTRUCTION OF LOCAL ACCESS ROAD TO SANITARY LANDFILL BRGY. KALYAAT LUCBAN, QUEZON</t>
  </si>
  <si>
    <t>Supply and Delivery of various const. materials for the Construction of Multi-Purpose Hall (Phase I), Pob. Zone III, Villasis, Pangasinan</t>
  </si>
  <si>
    <t>Supply and Delivery of various construction materials for the concreting of Farm to Market Road Libtong Rd 1, Brgy. Caramutan, Villasis, Pangasinan</t>
  </si>
  <si>
    <t>20LA0308 Construction of MPB (3 storey) Kolehiyo and Pantukan (KNP) 12 classrooms, Pantukan, Compostela Valley</t>
  </si>
  <si>
    <t>Contracting of Security Services (Blue Guards) for Twelve Months Province of Northern Samar</t>
  </si>
  <si>
    <t>INVITATION TO BID FOR PROJECT: IMPROVEMENT OF MULTI-PURPOSE HALL (SUPPLY AND INSTALLATION OF PPR PIPING SYSTEM/AUTOMATIC WATER CLOSET AND URINAL FLUSH SENSORS/SANITARY WARES/VALVES AND FIXTURES/TILE W</t>
  </si>
  <si>
    <t>20LA0300 Improvement of MPB (Gym) Linda, Nabunturan, Compostela Valley</t>
  </si>
  <si>
    <t>20LA0302 Completion of Multi-Purpose Building (Gym) Magsaysay ES, Magsaysay, Nabunturan, Compostela Valley</t>
  </si>
  <si>
    <t>PROPOSED WATER PIPE EXPANSION</t>
  </si>
  <si>
    <t>Procurement of Rehabilitation of Access Road leading to Poultry, Swine and Cattle Projects</t>
  </si>
  <si>
    <t>Supply and Delivery of various const. materials for the Development Villasis Eco Resort &amp; Evacuation Center Complex Const. of CHB Fence, Access Rd to RHU, retaining wall, Drainage System, Brgy. Unzad,</t>
  </si>
  <si>
    <t>Supply and Delivery of various construction materials for the concreting of Farm to Market Road connecting Libtong Rd 1&amp;2, Brgy. Caramutan, Villasis, Pangasinan</t>
  </si>
  <si>
    <t>PR 2020-03-018 Supply and Delivery of Materials for the Construction Section Office and Annex Office at 3rd Floor of DPWH DEO – Comval Building Davao De Oro</t>
  </si>
  <si>
    <t>Concreting of Molave St. (from Lawaan St. - Kawayan St.)</t>
  </si>
  <si>
    <t>PURCHASE OF OFFICE SUPPLIES AND OTHER SUPPLIES AND MATERIALS FOR THE CONDUCT OF SURVEY, MAPPING, AND PLANNING (SMP) OF CENRO SAN JOSE AMOUNTING TO PHP55,770.00</t>
  </si>
  <si>
    <t>20GM0072 - Concreting of Sitio Banman, Brgy. Locotan FMR, Brgy. Locotan, Kabankalan City, Negros Occidental</t>
  </si>
  <si>
    <t>20LA0309 Rehabilitation of Multi-Purpose Building (Senior Citizen B uilding) Brgy. Poblacion, Nabunturan, Compostela Valley</t>
  </si>
  <si>
    <t>20LA0301 Improvement of MPB (Brgy. Hall) (Including Site Development), Magnaga, Pantukan, Compostela Valley</t>
  </si>
  <si>
    <t>20LA0311 Concreting of Brgy. Talian FMR, Brgy. Talian, Maragusan, Compostela Valley</t>
  </si>
  <si>
    <t>DRUGS AND MEDICINE EXPENSES</t>
  </si>
  <si>
    <t>20GM0071 - Concreting of Sitio Batbat to Sitio Tis-an, Brgy. Isio FMR,  Brgy. Isio, Cauayan, Negros Occidental</t>
  </si>
  <si>
    <t>20LA0310 Concreting of Purok 1 to 5, Sitio Mampising, Brgy. Tagnanan FMR, Brgy. Tagnanan, Mabini, Compostela Valley</t>
  </si>
  <si>
    <t>SUPPLY AND DELIVERY OF HAULING TRUCK LOT 1: TWO (2) UNITS HAULING TRUCK (ALUMINUM VAN TYPE) LOT 2: ONE (1) UNIT HAULING TRUCK (DROP SIDE TYPE)</t>
  </si>
  <si>
    <t>20DD0311 Local Program, Local Infrastructure Program, Buildings and Other Structures, Multipurpose/ Facilities, Construction/ Completion of Multi-Purpose Building, Brgy. Castillo, Padre Garcia, Batang</t>
  </si>
  <si>
    <t>REBIDDING ON THE PROVISION OF LABOR, MATERIALS, EQUIPMENT AND OTHER INCIDENTALS NEEDED FOR THE IMPROVEMENT OF TAGUIPORO GRANDE DIVERSION DAM (DD) AT BRGY. TAGUIPORO GRANDE, BANGUI, ILOCOS NORTE</t>
  </si>
  <si>
    <t>20PC0001CS- Consultancy Services for the Geotechnical Investigation for Bridge and Flood Control Projects  Package I: 1.)  Construction of Rakiang Bridge-Cadaclan, Construction of Kirut Bridge-Eva Gar</t>
  </si>
  <si>
    <t>PR 2020-03-022 Supply and Delivery of Materials for Activity 71X – Special Maintenance of Reflective Thermoplastic Stripping Materials (Solid Form) along Surigao – Davao Coastal Road K1781+586 – K1821</t>
  </si>
  <si>
    <t>CLUSTER 28-2020</t>
  </si>
  <si>
    <t>CID No. 20IC0063: Const. of Hospital Building, Schistosomiasis Control and Research Institute, Palo, Leyte; ABC: P16,660,000.00; 164 CD</t>
  </si>
  <si>
    <t>FOOD SUPPLIES EXPENSES (SUPPLEMENTAL FEEDING)</t>
  </si>
  <si>
    <t>20LA0312 Concreting of Canlawig, Brgy. Poblacion – Brgy. Pamintaran FMR (Phase II), Brgy. Pamintaran, Maragusan, Compostela Valley</t>
  </si>
  <si>
    <t>REBIDDING ON THE PROVISION OF LABOR, MATERIALS, EQUIPMENT AND OTHER INCIDENTALS NEEDED FOR THE IMPROVEMENT OF BARCELONA DIVERSION DAM INTAKE STRUCTURE AND CANAL LINING AT BRGY. BARCELONA, SOLSONA, ILO</t>
  </si>
  <si>
    <t>20DD0310 Local Program, Local Infrastructure Program, Buildings and Other Structures, Multipurpose/ Facilities, Construction of Multi-Purpose Building at Sen. Claro M. Recto Memorial Integrated School</t>
  </si>
  <si>
    <t>Purchase and Delivery of Inorganic Fertilizers and Pesticides</t>
  </si>
  <si>
    <t>20DD0312 Local Program, Local Infrastructure Program, Buildings and Other Structures, Multipurpose/ Facilities, Completion of Multi-Purpose Building (Gym), Brgy. Poblacion, Ibaan, Batangas</t>
  </si>
  <si>
    <t>Procurement of Powdered Milk Drink for the use in Supplemental Feeding to Pre-School Children, Province of Aklan /ITB no: 2020-327</t>
  </si>
  <si>
    <t>Procurement of Supply and Delivery of Various Construction Supplies and Materials</t>
  </si>
  <si>
    <t>20LA0313 Concreting of Sitio Bonbon – Brgy. Mangloy to Sitio Mangub, Brgy. Emelda FMR, Brgy. Mangloy and Brgy. Emelda, Laak, Compostela Valley</t>
  </si>
  <si>
    <t>20PC0002CS-Consultancy Services for the Geotechnical Investigation for the Construction of Multi-Purpose Building Luna, Apayao</t>
  </si>
  <si>
    <t>Supply and Delivery of Construction Materials for the Construction of 3 units Solar Dryer</t>
  </si>
  <si>
    <t>20DD0314 Local Program, Local Infrastructure Program, Local Roads and Bridges, Local Roads, Road Improvement with Line Canal, Brgy. San Miguel, Padre Garcia, Batangas to Brgy. Sta. Cruz, Rosario, Bata</t>
  </si>
  <si>
    <t>Rice Subsidy (Solo Parents, PWD's, Malnourished, Senior Citizens)</t>
  </si>
  <si>
    <t>20FO0094 - Concreting of Sukip-Matanglad FMR, Brgy. Sukip, Pioduran, Albay</t>
  </si>
  <si>
    <t>CONSTRUCTION OF MULTI - PURPOSED BUILDING @ BRGY. NEW LABANGAN, LABANGAN, ZDS</t>
  </si>
  <si>
    <t>20DD0315 Local Program, Construction/ Repair/ Rehabilitation/ Improvement of Various Infrastructure Including Local Projects, Local Roads and Bridges, Local Roads, Rehabilitation of Road including Dra</t>
  </si>
  <si>
    <t>SUPPLY OF MATERIALS FOR REHABILITATION OF WATER SYSTEM(CONS. OF RESERVOIR)</t>
  </si>
  <si>
    <t>REBIDDING ON THE PROVISION OF LABOR, MATERIALS, EQUIPMENT AND OTHER INCIDENTALS NEEDED FOR THE REHABILITATION OF SAN CRISTOBAL SMALL WATER IMPOUNDING PROJECT (SWIP) CANAL LINING AT BRGY. SAN CRISTOBAL</t>
  </si>
  <si>
    <t>RENTAL OF TRANSPORT SERVICES FOR THE HAULING OF DILAPIDATED VEHICLES FROM MAKATI CITY TO CALAMBA, LAGUNA</t>
  </si>
  <si>
    <t>Agricultural Supplies Expenses</t>
  </si>
  <si>
    <t>Labor and Materials for the Perimeter Fence of the New Rural Health Unit at Sitio Pag-asa, Brgy. Wawa, Orion, Bataan</t>
  </si>
  <si>
    <t>20DD0313 Local Program, Local Infrastructure Program, Local Roads and Bridges, Local Roads, Improvement of Road, Brgy. Taysan, San Jose, Batangas</t>
  </si>
  <si>
    <t>PROCUREMENT OF SERVICES FOR THE ONE (1) LOT – EVENT ORGANIZING</t>
  </si>
  <si>
    <t>20FO0093 - Construction/Expansion/Rehabilitation of Public Markets/Farmers Markets (Bagsakan Centers) and Public Cemeteries in the 3rd District of Albay (13 sites)</t>
  </si>
  <si>
    <t>PR 2020-03-027 Supply and Delivery of Printer Consumables and I.T. Supplies/ Equipments, for use in the Office of the Construction Section, DPWH-DEO Nabunturan, Davao De Oro Province</t>
  </si>
  <si>
    <t>LAUNDRY SERVICES</t>
  </si>
  <si>
    <t>INSTALLATION OF STREET LIGHTING SYSTEM @ BRGY. TAPODOC, LABANGAN ZDS</t>
  </si>
  <si>
    <t>Procurement of 1 Unit Garbage Compactor</t>
  </si>
  <si>
    <t>20DD0317 Local Program, Construction/ Repair/ Rehabilitation/ Improvement of Various Infrastructure Including Local Projects, Buildings and Other Structures, Multipurpose/ Facilities, Rehabilitation o</t>
  </si>
  <si>
    <t>Publication No. 26-2020-G (First Publication) Common Office Supplies (Lot 2)</t>
  </si>
  <si>
    <t>TIRE PATH CONCRETING @ BRGY. TAPODOC, LABANGAN ZDS</t>
  </si>
  <si>
    <t>PROCUREMENT OF MEDICINES &amp; LABORATORY SUPPLIES FOR USE AT MCH/MCHC</t>
  </si>
  <si>
    <t>REBIDDING ON THE PROVISION OF LABOR, MATERIALS, EQUIPMENT AND OTHER INCIDENTALS NEEDED FOR THE REHABILITATION OF IRRIGATION CANAL OF SALBANG DIVERSION DAM (DD) AT BRGY. SALBANG, PAOAY, ILOCOS NORTE</t>
  </si>
  <si>
    <t>20DD0316 Local Program, Construction/ Repair/ Rehabilitation/ Improvement of Various Infrastructure Including Local Projects, Buildings and Other Structures, Multipurpose/ Facilities, Rehabilitation o</t>
  </si>
  <si>
    <t>20FO0095 - Construction of Rain Water Collection System (RWCS) in Region V, CY 2020</t>
  </si>
  <si>
    <t>Supply &amp; Delivery of Materials for the  Rehabilitation of Drainage Canal</t>
  </si>
  <si>
    <t>REBIDDING ON THE PROVISION OF LABOR, MATERIALS, EQUIPMENT AND OTHER INCIDENTALS NEEDED FOR THE IMPROVEMENT OF MANUGOS SMALL SCALE IRRIGATION SYSTEM AT BRGY. PATIACAN, QUIRINO, ILOCOS SUR</t>
  </si>
  <si>
    <t>20DD0319 Local Program, Local Infrastructure Program, Local Roads and Bridges, Local Roads, Construction/Improvement of Road, Brgy. Taysan, San Jose, Batangas</t>
  </si>
  <si>
    <t>Supply &amp; Delivery of Materials for the Rehabilitation &amp; Improvement of Children’s Youth Park</t>
  </si>
  <si>
    <t>CONSTRUCTION OF HEALTH CENTER @ BRGY. DIPAYA, LABANGAN ZDS</t>
  </si>
  <si>
    <t>CONSTRUCTION OF TOILET @ BRGY. DIPAYA, LABANGAN ZDS</t>
  </si>
  <si>
    <t>20JB0076 - Concreting of Local Roads, Dipolog City, Zamboanga Del Norte.</t>
  </si>
  <si>
    <t>20LA0314 Construction of Concreting of road with drainage, Tagugpo NHS, Pantukan, Compostela Valley</t>
  </si>
  <si>
    <t>Materials for the Construction of Feeding/ Lunch Area-Napandong ES, Brgy. Napandong</t>
  </si>
  <si>
    <t>Agricultural Supplies</t>
  </si>
  <si>
    <t>20DD0318 Local Program, Local Infrastructure Program, Buildings and Other Structures, Multipurpose/ Facilities, Improvement of Multi-Purpose Building, Brgy. San Roque, Rosario, Batangas</t>
  </si>
  <si>
    <t>Rabies Vaccine for immediate use in the continuous massive rabies vaccination in the Barangays of Nueva Valencia-OMAS</t>
  </si>
  <si>
    <t>SUPPLY AND DELIVERY OF SCHOOL SHOES (LEATHER) FOR DISTRIBUTION TO ALL PUBLIC ELEMENTARY AND SECONDARY SCHOOLS IN MAKATI CITY</t>
  </si>
  <si>
    <t>Supply and Installation of Additional Split Type – Inverter Airconditioner at PBB Fixed Link, NAIA Terminal 3</t>
  </si>
  <si>
    <t>(RE-POST) Rehabilitation of Multi-Purpose Stage</t>
  </si>
  <si>
    <t>20LA0315 Opening of Tipga Napnapan to Mabaros, Panganason, Kingking, Pantukan, Compostela Valley</t>
  </si>
  <si>
    <t>20DD0321 Local Program, Local Infrastructure Program, Buildings and Other Structures, Multipurpose/ Facilities, Construction and/or Repair/Rehabilitation of Multi-Purpose Building, Brgy. Bago, Ibaan,</t>
  </si>
  <si>
    <t>REBIDDING ON THE PROVISION OF LABOR, MATERIALS, EQUIPMENT AND OTHER INCIDENTALS NEEDED FOR THE REHABILITATION OF IRRIGATION CANAL OF SAN AGUSTIN DIVERSION DAM (DD) AT BRGY. SAN AGUSTIN, PAOAY, ILOCOS</t>
  </si>
  <si>
    <t>Procurement-Supply &amp; Delivery of Office Equipment</t>
  </si>
  <si>
    <t>DIETARY SERVICES</t>
  </si>
  <si>
    <t>Materials for the Construction of School Canopy-Igang ES, Brgy. Igang</t>
  </si>
  <si>
    <t>Procurement of supply and delivery of tires</t>
  </si>
  <si>
    <t>20DD0324 Local Program, Construction/ Repair/ Rehabilitation/ Improvement of Various Infrastructure Including Local Projects, Buildings and Other Structures, Multipurpose/ Facilities, Rehabilitation o</t>
  </si>
  <si>
    <t>PR No. 2020-02-0267-MAIN-Supply and Delivery of Cosmetology Equipment for the Cosmetology Technology Laboratory of CTAS</t>
  </si>
  <si>
    <t>CID No. 20IC00731: 1. Repair/Maint. of DPWH Bldg, Field &amp; Lab. Bldg, Leyte 1 DEO, Palo, Leyte; 2. Repair/Maint. of DENR Bldg, LRA, Gov. Center, Palo, Leyte; Total ABC: P2,940,000.00; 144 CD</t>
  </si>
  <si>
    <t>20DD0320 Construction/ Rehabilitation of Water Supply/ Septage and Sewerage/ Rainwater Collectors- Rain Water Collectors in Public Facilities</t>
  </si>
  <si>
    <t>Materials for the Construction of School Perimeter Fence- NVCS, Brgy. Poblacion</t>
  </si>
  <si>
    <t>PR 2020-05-077 Consolidated Supply and Delivery of Fuel (Diesel) for the use in Activity 111 (Premix Patching Bituminous Pavements) along Benigno S. Aquino Jr. National Highway Road K1414±1205 – K1427</t>
  </si>
  <si>
    <t>ESTABLISHMENT OF CENTRAL COMPOST PIT @ BRGY. DIPAYA, LABANGAN ZDS</t>
  </si>
  <si>
    <t>20DD0323 Local Program, Local Infrastructure Program, Water Management Facilities, Water Supply, Construction of Water System at Brgy. Duhatan, Lipa City, Batangas</t>
  </si>
  <si>
    <t>20DD0322 Local Program, Local Infrastructure Program, Buildings and Other Structures, Multipurpose/ Facilities, Construction/ Rehabilitation of Multi-Purpose Building, Lipa City, Batangas</t>
  </si>
  <si>
    <t>Rehabilitation of San Guillermo Public Market, Centro II</t>
  </si>
  <si>
    <t>Construction of Rainwater Collector System FY 2020 5th and 6th District Pangasinan  1. Yatyat E/S, Brgy. Yatyat, Laoac, Pang. 	11. Mabini E/S, Brgy. Mabini, Balungao, Pang.  2. Queved-Anisca E/S, Brgy</t>
  </si>
  <si>
    <t>Replacement of Elevators PE1, PE2 and SE4 at NAIA Terminal 1</t>
  </si>
  <si>
    <t>CID No. 20IC0075: Repair/Maint. of Cavite East Drainage System, Palo, Leyte; ABC: P4,900,000.00; 93 CD</t>
  </si>
  <si>
    <t>Construction of Legislative Building of the Lamut, Ifugao, Lamut, Ifugao</t>
  </si>
  <si>
    <t>CID No. 20IC0074: Repair/Maint. of Paran Creek, Flood Control, Brgy. District III, Babatngon, Leyte; ABC: P3,920,000.00; 66 CD</t>
  </si>
  <si>
    <t>Printing  of College Yearbook SY 2019-2020 Including Photography</t>
  </si>
  <si>
    <t>SUPPLY AND DELIVERY OF SCHOOL BAGS FOR DISTRIBUTION TO SPED AND KINDER PUPILS OF ALL PUBLIC ELEMENTARY SCHOOLS IN MAKATI CITY</t>
  </si>
  <si>
    <t>Supply and delivery of IT supplies and equipment for (FAD)</t>
  </si>
  <si>
    <t>Procurement of FUEL for LGU use (2nd quarter 2020)</t>
  </si>
  <si>
    <t>20NA0066 Concreting of Brgy. Calamba FMR, Cabadbaran City, Agusan del Norte</t>
  </si>
  <si>
    <t xml:space="preserve">Contract ID No. 20GP00062 - Purchase of Heavy Equipment, Trucks, and Service Vehicles for use of DPWH-CAR Regional Office for Dredging Activities and Quick Response Equipment (QRE) LOT A: Excavators  </t>
  </si>
  <si>
    <t>Construction/Repair/Rehabilitation/Improvement of Burnay-Umalbong Road Improvement in Hingyon, Ifugao, Hingyon, Ifugao</t>
  </si>
  <si>
    <t>CONSTRUCTION OF DRAINAGE SYSTEM AT DON JUAN BAYVIEW SUBDIVISION, BRGY. SUCAT, MUNTINLUPA CITY (*RE-POSTED)</t>
  </si>
  <si>
    <t>IMPROVEMENT OF CAYAPES COMMUNITY CENTER</t>
  </si>
  <si>
    <t>Supplies and Materials for Infirmary Building at Poblacion Nabunturan</t>
  </si>
  <si>
    <t>Repair/Maintenance of DILG Building, PNP-PNCO Barracks Building</t>
  </si>
  <si>
    <t>REHABILITATION OF DRAINAGE SYSTEM ALONG ST. FRANCIS STREET, JPA SUBDIVISION, TUNASAN, MUNTINLUPA CITY (*RE-POSTED)</t>
  </si>
  <si>
    <t>Repair/Maintenance of Barangay 1 Flood Control</t>
  </si>
  <si>
    <t>1.	Purchase of Medical, Dental and Laboratory Supplies (AHG-Poly (Green), Specimen Bottle, etc.) for use of 12 District Hospital.</t>
  </si>
  <si>
    <t>Procurement-Supply &amp; Delivery of Vehicle Spare Parts</t>
  </si>
  <si>
    <t>Improvement  along Longboy-Tacal FMR (Tacal Section)</t>
  </si>
  <si>
    <t>Concreting of Rosal St.. (from Lawaan St. - Rambutan St. and Everlasting St. - Cadena de Amor St.)</t>
  </si>
  <si>
    <t>CONSTRUCTION OF THIRTY TWO (32) UNITS HANDWASHING FACILITY</t>
  </si>
  <si>
    <t>TO SUPPY AND DELIVERY OF MATERIALS FOR THE COMPLETION OF ONE STOP SHOP(TOURISM BUILDING) PART A</t>
  </si>
  <si>
    <t>4.	Purchase of Medical, Dental and Laboratory Supplies (ALP ELITECH AUTOMATIC, BUA ELITECH MANUAL, etc.) for use of 12 District Hospital.</t>
  </si>
  <si>
    <t>Construction of Powerhouse @ CDRRMC, Brgy. Zone 3, Cadiz City</t>
  </si>
  <si>
    <t>GF-20-02-00080 PROCUREMENT OF VARIOUS CONSTRUCTION SUPPLIES</t>
  </si>
  <si>
    <t>3.	Purchase of Medical, Dental and Laboratory Supplies (5% Acetic Acid, Auto Lancet 100’s (Medic), etc.) for use of 12 District Hospital.</t>
  </si>
  <si>
    <t>SUPPLY AND DELIVERY OF DENTAL AND HYGIENE KITS FOR DISTRIBUTION TO ALL PUBLIC ELEMENTARY SCHOOLS IN MAKATI CITY</t>
  </si>
  <si>
    <t>CONSTRUCTION OF FLOOD CONTROL - PANDAYAN,  SAN  JUAN, ILOCOS SUR</t>
  </si>
  <si>
    <t>Repair/Maintenance of DILG Building, BJMP-Female Cell Building</t>
  </si>
  <si>
    <t>SUPPLY AND DELIVERY OF RAINCOAT JACKETS WITH HOODIE FOR DISTRIBUTION TO ALL PUBLIC SECONDARY SCHOOLS IN MAKATI CITY</t>
  </si>
  <si>
    <t>Procurement of Brand New Ambulance Vehicle for the use of Malay Municipal Hospital, Malay, Aklan/ITB no: 2020-328</t>
  </si>
  <si>
    <t>Concreting of Tanguile St. (from Molave Ave. - Sampaloc St. to Lawaan St.)</t>
  </si>
  <si>
    <t>SUPPLY AND DELIVERY OF RAINCOAT AND RAIN BOOT SETS FOR DISTRIBUTION TO KINDER PUPILS OF ALL PUBLIC ELEMENTARY SCHOOLS IN MAKATI CITY</t>
  </si>
  <si>
    <t>SUPPLY AND DELIVERY OF MATERIALS FOR CONSTRUCTION OF FISHPOND</t>
  </si>
  <si>
    <t>SUPPLY AND INSTALLATION OF ELECTRO MECHANICAL GREASE DISPENSERS WITH GREASE SERVICE PACKS AT MAKATI CITY HALL BUILDING I, II UNIVERSITY OF MAKATI AND MAKATI CENTRAL POLICE STATION</t>
  </si>
  <si>
    <t>IMPROVEMENT ALONG ALEM FOOT TRAIL</t>
  </si>
  <si>
    <t>Procurement-Supply &amp; Delivery of Office Supplies</t>
  </si>
  <si>
    <t>Construction of Reception/Guardhouse Building (Phase I) Carmen Eco Park</t>
  </si>
  <si>
    <t>Renovation of MDRRMO Building, Carmen, Cotabato</t>
  </si>
  <si>
    <t>SECURITY SERVICES AT VARIOUS MAKATI CITY PUBLIC BUILDINGS UNDER CLUSTER I FOR 2020</t>
  </si>
  <si>
    <t>TO SUPPLY AND DELIVERY OF MATERIALS FOR THE COMPLETION OF ONE STOP SHOP IN ITS AMENITIES (GROUND FLOOR/PARTIAL 2ND FLOOR) PART B</t>
  </si>
  <si>
    <t>COMPLETION OF BUAYA BARANGAY HEALTH CLINIC, MAPITPITA,BUAYA, BALBALAN</t>
  </si>
  <si>
    <t>Construction of Barangay Outpost</t>
  </si>
  <si>
    <t>PR# 20-0843- 6,500 prefilled syringe epoetin ALFA 4000iu 1ml 5,000 prefilled syringe epoetin BETA 5000iu 3ml 500 prefilled syringe INSULIN GLARGINE 100iu/ml 3ml 250 vials ISOPHANE INSULIN HUMAN (Recom</t>
  </si>
  <si>
    <t>Construction/Rehabilitation of Road, Sitio Bicay, Brgy. Natividad, Pangil, Laguna</t>
  </si>
  <si>
    <t>SUPPLY AND DELIVERY OF VARIOUS SUPPLIES FOR BUILDING MAINTENANCE AT MAKATI CITY HALL COMPOUND</t>
  </si>
  <si>
    <t>1 pc – Projector (see attached specifications)</t>
  </si>
  <si>
    <t>Repair/Maintenance of Palagao Flood Control</t>
  </si>
  <si>
    <t>7.	Supply and Installation of One (1) unit 4HP Floor Standing Aircon including 5ft. Excess piping and dismantle of existing unit for use of the General Services Office</t>
  </si>
  <si>
    <t>5.	Supply and Installation of Spare Parts (Oil Filter, Fuel Filter, etc.) for the repair and maintenance of RP Ambulance (Toyota Grandia) with Plate No. SJD 105, property No. 0805-MV-017 under Apacibl</t>
  </si>
  <si>
    <t>Procurement of Uniform &amp; Sanitary Supply (for Public Utility Vehicle Drivers), LGU, Baybay City, Leyte</t>
  </si>
  <si>
    <t>Procurement of FUEL</t>
  </si>
  <si>
    <t>SUBSCRIPTION OF OFFICE PRODUCTIVITY SUITE WITH MAIL MIGRATION SERVICE FOR ONE (1) YEAR</t>
  </si>
  <si>
    <t>Supply and Delivery with Installation of Materials for the Establishment of Matang-Tubig Pumping Station</t>
  </si>
  <si>
    <t>6.	Landscaping of Provincial Capitol Compound (near Provincial Tourism, front of Ecology and Laurel Park) for the beautification of Provincial Capitol Compound.</t>
  </si>
  <si>
    <t>GF-20-02-00165 PROCUREMENT OF BUSINESS REGISTRATION PLATE</t>
  </si>
  <si>
    <t>Concreting of Open Space at Carmen Eco Park &amp; Resort</t>
  </si>
  <si>
    <t>REPAIR AND MAINTENANCE OF MOTOR VEHICLES INCLUDING PARTS AND SUPPLY OF TIRES AND BATTERIES FOR USE BY DIFFERENT DEPARTMENTS/OFFICES OF THE CITY GOVERNMENT OF MAKATI FOR 2020</t>
  </si>
  <si>
    <t>RENTAL OF MECHANICAL VENTILATORS AND BI-BAP FOR OSPITAL NG MAKATI 2020 (PEDIA AND ADULT)</t>
  </si>
  <si>
    <t>Installation Of Streetlights</t>
  </si>
  <si>
    <t>OUTSOURCING OF LAUNDRY SERVICES FOR THE YEAR 2020</t>
  </si>
  <si>
    <t>Concreting/Construction of Local Road, Sitio Maunlad, Brgy. Duhat, Sta. Cruz, Laguna</t>
  </si>
  <si>
    <t>8.	Supply and Installation of 46 pieces Theater Chair for the replacement of worn out theater chairs at Provincial Auditorium with Property No. 06-1012-304-349.</t>
  </si>
  <si>
    <t>Concreting/Construction of Local Road, Brgy. Bagumbayan, Sta. Cruz, Laguna</t>
  </si>
  <si>
    <t>20GDM0094 (P.R. No. 2020-06-0094) Purchase of High-Performance Desktop Computer for Drone and UAV Mapping Platform Processing to be used in the Planning &amp; Design Section,  DPWH, Quezon III DEO, Catana</t>
  </si>
  <si>
    <t>Construction/Repair/Rehabilitation/Improvement of Tungngod-Boliwong Local Road, Lagawe, Ifugao</t>
  </si>
  <si>
    <t>Improvement of Multi Purpose Hall</t>
  </si>
  <si>
    <t>Construction of temporary stalls at Bauan Public Market, Bauan, Batangas</t>
  </si>
  <si>
    <t>Improvement along Amionget Foot Trail with Handrails</t>
  </si>
  <si>
    <t>PREVENTIVE MAINTENANCE SERVICES FOR VARIOUS MEDICAL AND LABORATORY EQUIPMENT OF OSPITAL NG MAKATI (3 LOTS)</t>
  </si>
  <si>
    <t>CONTINUATION OF LIGAYAN-CUBIIL ACCESS ROAD</t>
  </si>
  <si>
    <t>Fabrication of Artificial Coral Reef (for various Brgys.), LGU, Baybay City, Leyte</t>
  </si>
  <si>
    <t>REPAIR AND MAINTENANCE SERVICES FOR VARIOUS MEDICAL, DENTAL AND LABORATORY EQUIPMENT OF MAKATI HEALTH DEPARTMENT</t>
  </si>
  <si>
    <t>Purchase of CCTV and accessories</t>
  </si>
  <si>
    <t>DSWD Center and Residential Care Facilities Grocery for CY 2020</t>
  </si>
  <si>
    <t>Supply and Delivery of Ambulance</t>
  </si>
  <si>
    <t>SUPPLY AND DELIVERY OF SUPPLIES AND MATERIALS FOR REPAIR AND MAINTENANCE OF DAMAGED/DILAPIDATED ROADS, STREET PAVEMENTS, SIDEWALKS, MANHOLES/COVER AND STREET LIGHTS, DECLOGGING AND DESILTING OF CANALS</t>
  </si>
  <si>
    <t>Concreting of Roads, Brgy. Concepcion, Lumban, Laguna</t>
  </si>
  <si>
    <t>WIRELESS INTERNET CONNECTION FOR VARIOUS SCHOOL OF BALIWAG NORTH DISTRICT</t>
  </si>
  <si>
    <t>Procurement of Various Common Use Supplies and Equipment (Not Available in DBM-PS Depot) to be Used in the Different Offices of LGU-Molave, ZDS for the First(1st) Quarter 2020</t>
  </si>
  <si>
    <t>SUPPLY AND DELIVERY OF MEDICAL SUPPLIES (3 WAY STOPCOCK WITH TUBING LUER LOCK – YANKAUER SUCTION SET) THROUGH ORDERING AGREEMENT</t>
  </si>
  <si>
    <t>Repair/Maintenance of Masaya Sur Flood Control</t>
  </si>
  <si>
    <t>20LB0264 - Concreting of Brgy. Baliok FMR, Brgy. Baliok, Talomo District, Davao City</t>
  </si>
  <si>
    <t>ITB - Vehicles (Rebid)</t>
  </si>
  <si>
    <t>Construction/Repair/Rehabilitation/Improvement of Burnay-Anao Road in Hingyon, Ifugao, Hingyon, Ifugao</t>
  </si>
  <si>
    <t>GEOTECHNICAL INVESTIGATION FOR BUILDING PROJECT SITES, Lamut, Lagawe and Hungduan, Ifugao</t>
  </si>
  <si>
    <t>Installation of transformer for waterworks system at Barangay San Agustin, Bauan, Batangas</t>
  </si>
  <si>
    <t>20LB0236 - Construction of Flood Control Structure for Datu Loho Creek, Davao City</t>
  </si>
  <si>
    <t>Materials for the Local Access Road Rehabilitation/Improvement (Rehab/Improvement of Municipal Road) with Drainage Canal-Brgy. Poblacion</t>
  </si>
  <si>
    <t>SUPPLY AND DELIVERY OF MEDICAL EQUIPMENT ACCESSORIES (SOLARIS PATIENT MONITOR ACCESSORIES – FETAL MONITOR FETALGUARD LITE)</t>
  </si>
  <si>
    <t>Appliances</t>
  </si>
  <si>
    <t>Supply and Delivery of Diesel &amp; Unleaded Gasoline, Oil and Lubricants w/ Separate Fuel Dispenser</t>
  </si>
  <si>
    <t>Construction of road at Barangay Aplaya, Bauan, Batangas</t>
  </si>
  <si>
    <t>SUPPLY &amp; DELIVERY OF ICT EQUIPMENT FOR USE OF VARIOUS OFFICES (*RE-POSTED)</t>
  </si>
  <si>
    <t>20LB0265 - Concreting of Purok Bagong Silang to National Highway Junction Phase 2, Brgy. Paquibato Proper FMR, Brgy. Paquibato Proper, Paquibato District, Davao City</t>
  </si>
  <si>
    <t>Concreting/Construction of Local Road, Sitio Bagong Lipunan, Brgy. Duhat, Sta. Cruz, Laguna</t>
  </si>
  <si>
    <t>Purchase of Books, Guides, and Instructional Materials – City Schools Division</t>
  </si>
  <si>
    <t>SUPPLY &amp; DELIVERY OF ONE (1) UNIT OF SERVICE VEHICLE TO BE USED BY TRAINING DIVISION OF DRRM OFFICE (*RE-POSTED)</t>
  </si>
  <si>
    <t>20LB0287 - Construction of Revetment Along Talomo River Sta. 3+340 to Sta. 3+455, Davao City</t>
  </si>
  <si>
    <t>20LB0269 - Concreting of Sitio Salukadang Phase 2, Brgy. Mapula FMR, Brgy. Mapula, Paquibato District,      Davao City</t>
  </si>
  <si>
    <t>IMPROVEMENT OF ACCESS FOOT TRAILS TO BADI FALLS (W/ HANDRAILS)</t>
  </si>
  <si>
    <t>Invitation to Bid for Contract No, 4AQ-BLD-20-024</t>
  </si>
  <si>
    <t>CONSTRUCTION OF AGCAOILI - BALUTOC DRAINAGE CANAL</t>
  </si>
  <si>
    <t>20GKK0024 – Supply and Delivery of Consumable Supplies to be used for Kyocera Printers at BAC, Supply, Cash Unit, Construction, PDS and Maintenance Section</t>
  </si>
  <si>
    <t>General improvement of Bauan Public Market Phase II, Bauan, Batangas</t>
  </si>
  <si>
    <t>Concreting/Construction of Local Road, Brgy. Gatid, Sta. Cruz, Laguna</t>
  </si>
  <si>
    <t>20LB0276 - Concreting of Paquibato Proper to Purok Napo Phase 2 FMR, Brgy. Paquibato Proper, Paquibato District, Davao City</t>
  </si>
  <si>
    <t>Purchase of One (1) Unit RP Vehicle Dumptruck</t>
  </si>
  <si>
    <t>One (1) lot Supply of Materials, Labor, Tools, Equipment, Consumables, Supervision, and Other Services for the Application of Solar/Heat Reflective Roof Coating at the Coin Blank Storage, as per BSP S</t>
  </si>
  <si>
    <t>Purchase of Tables and Chairs for Various Schools – City Schools Division</t>
  </si>
  <si>
    <t>SUPPLY &amp; DELIVERY OF ONE (1) UNIT OF SERVICE VEHICLE TO BE USED BY MUNTINLUPA CITY TECHNICAL INSTITUTE (*RE-POSTED)</t>
  </si>
  <si>
    <t>Procurement of Livestock for Livelihood, LGU (for various brgys), Baybay City, Leyte</t>
  </si>
  <si>
    <t>FINANCIAL ASSIST. TO B-KAWAYAN FOR ROAD CONCRETING</t>
  </si>
  <si>
    <t>PROCUREMENT OF SANITARY LANDFILL SERVICES FOR THE DISPOSAL OF THE MUNICIPALITY’S RESIDUAL WASTES</t>
  </si>
  <si>
    <t>Supply and Delivery of Training Materials for Bookkeeping NC III</t>
  </si>
  <si>
    <t>20LB0288 - Construction of Revetment Along Talomo River Sta. 3+455 to Sta. 3+542, Davao City</t>
  </si>
  <si>
    <t>Delivery of 2 in 1 Computer Monitor for Grades I-III of Dasol District.</t>
  </si>
  <si>
    <t>20GKK0025 – Supply, Delivery and Installation of Regulatory Signs along GCVR</t>
  </si>
  <si>
    <t>Procurement of Extrication Tools and Equipment – BDRRMO</t>
  </si>
  <si>
    <t>SUPPLY AND DELIVERY OF ONE HUNDRED THIRTEEN (113) UNITS PUMP AND ENGINE SET</t>
  </si>
  <si>
    <t>SUPPLY AND DELIVERY OF 6W 4X2 DUMP TRUCK</t>
  </si>
  <si>
    <t>Construction of Comfortroom, Nalundan Elementary School</t>
  </si>
  <si>
    <t>SUPPLY &amp; DELIVERY OF VARIOUS CONSTRUCTION MATERIALS FOR MAINTENANCE DIVISION NEEDED FOR VARIOUS REPAIRS IN CITY HALL AND OTHER GOVERNMENT BUILDINGS TO BE USED BY ENGINEERING DEPARTMENT</t>
  </si>
  <si>
    <t>20GKK0026 – Supply, Delivery and Replacement/Installation of Pavement Studs</t>
  </si>
  <si>
    <t>Procurement of Cardiac Monitor and Cardiac Defibrillator (HFEP)</t>
  </si>
  <si>
    <t>Proposed Land Development of Cemetery Area</t>
  </si>
  <si>
    <t>G-2020-14 SERVICES OF A CERTIFYING BODY FOR THE INTEGRATED MANAGEMENT SYSTEM (IMS) OF THE  DEVELOPMENT BANK OF THE PHILIPPINES</t>
  </si>
  <si>
    <t>20GE0105 - Road Widening – at Specific Locations along Rizal – Jordan Wharf Rd (S00026GR) K0008+(-632) – K0008+(-408)</t>
  </si>
  <si>
    <t>20GKK0027 – Supply and Delivery of Grasscutter/BrushCutter to be used by Maintenance Roadside Worker for Vegetation Control along BCIR and GCVR</t>
  </si>
  <si>
    <t>Procurement of Supplies and Materials for General Use 2020</t>
  </si>
  <si>
    <t>Construction of Water System, Brgy. Higulo-an, Baybay City, Leyte</t>
  </si>
  <si>
    <t>Procurement of Vehicles to be Used for Mitigation, Preparedness, Rescue, and Emergency Response Operations – BDRRMO</t>
  </si>
  <si>
    <t>Construction of Patag Bridge, Brgy. Patag, Baybay City, Leyte</t>
  </si>
  <si>
    <t>Procurement of Fetal Monitor (HFEP)</t>
  </si>
  <si>
    <t>20GKK0028 – Supply and Delivery of Asphalt Pen. Grade 60/70 to be used for Act. 122 - Cracks and Joint Sealing of Concrete Pavement along BCIR</t>
  </si>
  <si>
    <t>Purchase of Mdeical Supplies CMH</t>
  </si>
  <si>
    <t>CONSTRUCTION OF NATIONAL CHILD DEVELOPMENT CENTER</t>
  </si>
  <si>
    <t>IMPROVEMENT OF STREET LIGHTING-POBLACION</t>
  </si>
  <si>
    <t>Repair/Maintenance of DILG Building Bureau of Fire Protection Provincial Building Lamut Fire Station, Lamut, Ifugao</t>
  </si>
  <si>
    <t>Laboratory Equipment</t>
  </si>
  <si>
    <t>20GKK0030 – Supply and Delivery of Road Primer to be used for the Thermoplastic Application along BCIR</t>
  </si>
  <si>
    <t>SUPPLY &amp; DELIVERY OF COAGULATION REAGENT TIE – UP TO BE USED AT OSPITAL NG MUNTINLUPA (*RE-POSTED)</t>
  </si>
  <si>
    <t xml:space="preserve">20DP0072 : Repair and Maintenance of Road Safety Facilities along 1. Intersection of Calamba – Sta. Cruz – Famy Junction Road and Maspang Highway,   2. San Pablo – Calauan Road, K0075 + 000 – K0075 + </t>
  </si>
  <si>
    <t>Purchase of Medical Supplies CMH</t>
  </si>
  <si>
    <t>Procurement of  One (1) Service Vehicle - HUDRD</t>
  </si>
  <si>
    <t>Construction of Material Recovery Facility</t>
  </si>
  <si>
    <t>Rehabilitation/Improvement of Road Project, Brgy. Poblacion, Cavinti, Laguna</t>
  </si>
  <si>
    <t>Purchase of Drugs, Medicines and Supplies</t>
  </si>
  <si>
    <t>Construction of Flood Protection and Control Project (Phase IV) for Tanjay River</t>
  </si>
  <si>
    <t>Construction of Fish Pala-Pala</t>
  </si>
  <si>
    <t>Improvement of Child Development Centers</t>
  </si>
  <si>
    <t>20GE0106 - Construction of Concrete Road – Sta. Teresa – Espinosa Road access leading to Cabaling Beach Resort at Barangay Espinosa, Jordan, Guimaras</t>
  </si>
  <si>
    <t>20GKK0029 – Supply and Delivery of Sand to be used for Asphalting Works along BCIR</t>
  </si>
  <si>
    <t>Supply, Delivery, and Installation of ICT Software to Support the Command, Control, and Communications Information System (C3IS)</t>
  </si>
  <si>
    <t>Construction of Incarizan Footbridge with Slope Protection</t>
  </si>
  <si>
    <t>20DE0142 Repair/Maintenance of DOJ Building, NBI Office Building, Kumintang Ibaba, Batangas City</t>
  </si>
  <si>
    <t>Completion of Multi-Purpose Hall Cum Evacuation Center at Gallanosa National High School</t>
  </si>
  <si>
    <t>G-2020-16: SUPPLY, INSTALLATION AND LICENSE SUBSCRIPTION OF FORTY-TWO (42) COMPUTER AIDED DESIGN (CAD) LT SOFTWARE TOOL WITH MAINTENANCE AND SUPPORT FOR THE DEVELOPMENT BANK OF THE PHILIPPINES-REBIDDI</t>
  </si>
  <si>
    <t>20GNE0019 – SUPPLIES/DELIVERIES FOR THE PROCUREMENT OF DIESEL FUEL AND SPECIAL GASOLINE TO BE USED IN THE OPERATION OF HRAS, QAS, PDS AND MS FOR THE 1ST AND 2ND QUARTER OF YEAR 2020. DINAGAT ISLANDS D</t>
  </si>
  <si>
    <t>COLLECTION, HAULING TRANSPORT AND DISPOSAL OF WASTES OF ICTY OF TRECE MARTIRES FOR THE MONTH OF JULY 1,2020 TO AUGUST 15,2020</t>
  </si>
  <si>
    <t>Supply, Delivery, Installation, Configuration, Testing, Tagging, and Commissioning of Collaboration System to Support the Command, Control, and Communications Information System (C3IS)</t>
  </si>
  <si>
    <t>INVITATION TO BID FOR THE PROCUREMENT OF SITE DEVELOPMENT (PHASE V) Design and Build</t>
  </si>
  <si>
    <t>CONSTRUCTION OF PERIMETER FENCE OF SUNSHINEVILLE ELEMENTARY SCHOOL AT BRGY. CABUCO,TMC</t>
  </si>
  <si>
    <t>Procurement of Food Packs for assistance to BPAs and other similar facilities serving CICL due to Coid-19 Threat</t>
  </si>
  <si>
    <t>Rehabilitation/Reconstruction of Single Barrel Box Culvert at Brgy. Central</t>
  </si>
  <si>
    <t>20GNE0022 – SUPPLIES/DELIVERIES FOR THE PROCUREMENT OF VARIOUS SPARE PARTS FOR THE PREVENTIVE MAINTENANCE OF THE OFFICIAL VEHICLES OF DPWH-DIDEO, DPWH-COMPOUND, BRGY. CUARINTA, SAN JOSE, DINAGAT ISLAN</t>
  </si>
  <si>
    <t>Procurement of One (1) Lot Internet Subscription Expenses for PNP DICTM- 5020503000-PNP-DICTM-20-04</t>
  </si>
  <si>
    <t>Procurement of Semi-Expendable Items for Assistance to BPAs and other Similar Facilities Serving CICL due to COVID-19 Threat.</t>
  </si>
  <si>
    <t>20FN0089 Local Program - Building and Other Structures - Multipurpose/Facilities - Local Infrastructure Program -Construction of Multi-Purpose Building, Baao Community College, Brgy. San Juan, Baao, C</t>
  </si>
  <si>
    <t>Concreting of Access Road to Community Fish Landing at Brgy. Central</t>
  </si>
  <si>
    <t>Construction of Access Road within the Sanitary Landfill</t>
  </si>
  <si>
    <t>20GDE0001 (Re-advertised) Supply and Delivery of Joint Sealant for the various Roads of Batangas II DEO</t>
  </si>
  <si>
    <t>9.	Purchase of One (1) lot Brand New LED Wall with Support Structure for use of Provincial Government of Batangas.</t>
  </si>
  <si>
    <t>Procurement and Installation of Office Cubicles for Provincial and National Extension Office ITB # 2020-147</t>
  </si>
  <si>
    <t>Construction/Improvement of M.Roxas Covered Court</t>
  </si>
  <si>
    <t>Construction/Development of Water System at Brgy. Manlabong</t>
  </si>
  <si>
    <t>20FN0090 Construction/Repair/Rehabilitation/Improvement of Various Infrastructure including Local Project – Local Roads Improvement/ Construction of Concrete Road along Neighborhood Bacolod – San Vice</t>
  </si>
  <si>
    <t>Procurement of 14-Units Dropside Pick Up (Rescue Vehicle)</t>
  </si>
  <si>
    <t>20GMH040 - SUPPLY/DELIVERYOFVARIOUSSPAREPARTSFORUSEOFONE(1)UNITTOYOTAHI-ACECOMMUTERVANTEMP.PLATENO.:ASSIGNEDATADMINISTRATIVESECTION,SULTANKUDARAT2NDDISTRICTENGINEERING OFFICE</t>
  </si>
  <si>
    <t>CONSTRUCTION OF CREMATORIUM AT TRECE MARTIRES CITY MEMORIAL PARK AT BRGY. AGUADO, TMC</t>
  </si>
  <si>
    <t>Construction of Pathway at Sitio Sagkahan, Brgy. Piot</t>
  </si>
  <si>
    <t>IMPROVEMENT/UPGRADING OF ELECTRICAL FACILITIES OF LUIS AGUADO NATIONAL HIGH SCHOOL, BRGY. AGUADO TMC</t>
  </si>
  <si>
    <t>20GMH041 - SUPPLY/DELIVERYOFVARIOUSOFFICESUPPLIESFORUSEOFADMINISTRATIVESECTION(SUPPLYANDPROPERTYMANAGEMENTUNIT,RECORDSMANAGEMENTUNIT,CASHUNIT,GEN.SERVICESUNIT,HUMANRESOURCEANDMANAGEMENT&amp;DEVELOPMENTUNI</t>
  </si>
  <si>
    <t>KABALIKAT  SA EDUKASYON: E-LIBRARY</t>
  </si>
  <si>
    <t>SUPPLY AND DELIVERY OF RICE AND SANDO BAG</t>
  </si>
  <si>
    <t>20CL0001 - Rehabilitation/Reconstruction/Upgrading of Damaged Paved Roads-  Secondary Road Olongapo-Bugallon Road K0 181 + 000 - K0181+124.70</t>
  </si>
  <si>
    <t>Construction of Flood Control/Protection at San Antonio (Sapa)</t>
  </si>
  <si>
    <t>20CL0041 - Widening of Permanent Bridges, Alusiis Br. (B01392LZ) along Olongapo- Bugallon Road, San Narciso, Zambales</t>
  </si>
  <si>
    <t>CONSTRUCTION OF BARANGAY HEALTH STATION ( BHS) AT BARANGAY CONCHU, TMC</t>
  </si>
  <si>
    <t>13.	Purchase of Other Supplies and Materials (Air Freshener Spray, Alcohol Isopropyl 70%, Bleaching Solution,    violet, etc.) for use of the GSO and PHRMO.</t>
  </si>
  <si>
    <t>Construction of Warehouse at PEO/PGSO</t>
  </si>
  <si>
    <t>10.	Purchase of Thirty (30) units Mobile Pedestal for use of the Provincial Tourism Office.</t>
  </si>
  <si>
    <t>12.	Purchase of Furnitures and Fixtures (Filing Cabinet, Sofa/sala set, etc.) for use of the PG-ENRO Office.</t>
  </si>
  <si>
    <t>Construction and Rehabilitation of Brgy. Child Development Centers</t>
  </si>
  <si>
    <t>Construction/Establishment of Emergency Operation Center (EOC) DRRM Operation Center</t>
  </si>
  <si>
    <t>SUPPLY AND DELIVERY OF VARIOUS LIVE ANIMALS IN SUPPORT TO THE LIVELIHOOD ASSISTANCE PROGRAM OF THE LIVESTOCK PROGRAM FOR CY 2020 (REBID)</t>
  </si>
  <si>
    <t>20GDB0022 Supply of Materials for the Repair &amp; Maintenance of Nasugbu-Lian-Calatagan Road, K0099+455-K0109+000 and Balayan-Balibago Road, K0109+000-K0113+500(Intermittent)</t>
  </si>
  <si>
    <t>CLUSTER I - Irosin, Sorsogon</t>
  </si>
  <si>
    <t>11.	Purchase of Four (4) units Laptop for use of the Provincial  Budget Office and Provincial  Accounting Office</t>
  </si>
  <si>
    <t>17.	Purchase of Ready Mix Concrete 3000 psi G-1 @14 days for Brgy. Boboy San Luis and Brgy. Manalupang, Bauan, Batangas for the repair and maintenance of various Prov’l. Roads, Highways and Bridges.</t>
  </si>
  <si>
    <t>20KC0122: Preventive Maintenance of Road: Asphalt Overlay Along Sayre Highway K1438+210-K1439+554, Manolo Fortich, Bukidnon</t>
  </si>
  <si>
    <t>PROVISION OF POTABLE WATER (PHASE II) AT BARANGAY PUZOL</t>
  </si>
  <si>
    <t>CID No. 20IC0059 (2nd re-advertisement): Const. of San Miguel Integrated Transport Terminal, San Miguel, Leyte; ABC: P14,700,000.00; 186 CD</t>
  </si>
  <si>
    <t>20KC0123: Widening of Permanent Bridge Kilisawon Br. (B01441MN) Along Maramag-Maradugao Rd. Phase II, Pangantucan, Bukidnon</t>
  </si>
  <si>
    <t>20KC0121: Rehabilitation/Reconstruction of National Roads with Slips, Slope Collapse and Landslide-Primary Roads Along Sayre Highway K1466+650-K1466+960 &amp; K1468+070-K1468+350, Sumilao, Bukidnon</t>
  </si>
  <si>
    <t>SUPPLY OF VARIOUS OFFICE SUPPLIES</t>
  </si>
  <si>
    <t>Supply and Delivery of Bailing Machine (for Residual Waste)</t>
  </si>
  <si>
    <t>Rehabilitation of Magallanes Medicare Community Hospital</t>
  </si>
  <si>
    <t>20GDB0023 Supply of Materials for the Repair &amp; Maintenance of Bridges along various National Roads, Batangas 1st LD</t>
  </si>
  <si>
    <t>Construction of Multi-Purpose Pavement at DFBDSMH (Phase II)</t>
  </si>
  <si>
    <t>16.	Purchase of Guide 232-70-12420, Guide 232-70-12430, Bolt 01010-51435, etc. for the repair and maintenance of RP Grader with plate no. 7-N1-23 &amp; property no. 1710CHE004.</t>
  </si>
  <si>
    <t>19.	Purchase of Asphalt 85/100, Sand, Gravel G-1, etc. for the repair and maintenance of various Prov’l. Roads, Highways and Bridges.</t>
  </si>
  <si>
    <t>24.	Supply and Installation of Spare Parts (Clutch Disc, Pressure Plate, Release Bearing, etc.) for the repair and maintenance of RP Mini Dump Truck (SINO Truck) with property no. 1711-CHE-007</t>
  </si>
  <si>
    <t>14.	Purchase of Office Supplies (All purpose sticker A4, 10’s/pack, glossy, All purpose sticker, matte (A4, 10’s/pack), Antivirus for 3 users, etc.) for use of the GSO, PCLEDO and PHRMO.</t>
  </si>
  <si>
    <t>Piping System Interconnecting Water Tanks at Sitio Tukon, Barangay Sinakan</t>
  </si>
  <si>
    <t>INVITATION TO BID FOR THE  PROCUREMENT OF 1 UNIT RISOGRAPH MACHINE RHU, STA. FE, LEYTE (REBID) (BDG-2020-01R)</t>
  </si>
  <si>
    <t>22.	Purchase of Ready Mix Concrete 3000 psi G-1 @14 days for Brgy. Palanca, San Jose Batangas, Brgy.  Bungahan, Cuenca and Brgy. Natunuan, San Jose Batangas for the repair and maintenance of various P</t>
  </si>
  <si>
    <t>18.	Purchase of 2 “o GI Pipe schedule 40, 0.4mm x 4 x 8 Plain GI Sheet, 1/8 x 1 Flat Bar, etc.) for use in the installation of signages at Provincial bridges in Taysan, Batangas.</t>
  </si>
  <si>
    <t>Construction of Public Washroom at Barangay Chavayan</t>
  </si>
  <si>
    <t>CLUSTER IV - Juban, Sorsogon</t>
  </si>
  <si>
    <t>15.	Purchase of Other Supplies (Angle Bar, 1/8 “ x 1”, Angel Valve ½, Barrel Bolt 2”, stainless, etc. for use in the maintenance of Provincial Sports Complex.</t>
  </si>
  <si>
    <t>20CE0207: Widening of Permanent Bridges Manicla Br. (B01968LZ) along Daang Maharlika (LZ)</t>
  </si>
  <si>
    <t>23.	Purchase of Ready Mix Concrete 3000 psi G-1 @7 days for Brgy. Gulod, Calatagan, Batangas and Brgy. Binubusan, Lian, Batangas for the repair and maintenance of various Prov’l. Roads, Highways and B</t>
  </si>
  <si>
    <t>CLUSTER III - Castilla, Sorsogon</t>
  </si>
  <si>
    <t>21.	Purchase of 16mmØ RSB, 12mmØ RSB, GI Tie Wires #16, etc. for the repair and maintenance of various Prov’l roads, Province of Batangas.</t>
  </si>
  <si>
    <t>20KC0125: Construction of Water System, Mindanao Army Training Group, TRADOC, PA, Kibaritan Military Reservation, Kalilangan, Bukidnon</t>
  </si>
  <si>
    <t>Construction of MPDP Shed and Rehabilitation of Retaining Wall/Flood Control</t>
  </si>
  <si>
    <t>Dredging / Deepening of Buwaya Creek and its Vicinities, (Inside Camp Aguinaldo) District III, Quezon City</t>
  </si>
  <si>
    <t>Supply and Delivery of 2,085 bags Hybrid Yellow Corn Seeds Total ABC: Php9,382,500.00</t>
  </si>
  <si>
    <t>Contract ID No.: 20OB0010 Contract Name: Construction (Completion) of Multi-Purpose Building including Facilities, Brgy. West Crame, San Juan City</t>
  </si>
  <si>
    <t>26.	Purchase of One (1) unit Manual Thermoplastic Road Marking Machine for the maintenance of various Provincial roads in the Province of Batangas.</t>
  </si>
  <si>
    <t>Procurement of Supplies and Materials use in Waterworks System</t>
  </si>
  <si>
    <t>Construction of Sabtang Community Hospital-Punch List &amp; Take-Over Items (Phase I)</t>
  </si>
  <si>
    <t>20.	Repair and maintenance of various RP Heavy Equipments. (For RP Grader 7-N1-25 with property no. 1907-CHE-003 and RP Grader 7-N1-26 with property no. 1907-CHE-004)</t>
  </si>
  <si>
    <t>Construction of Manpower Development Center (Alternative Learning System-ALS) at Brgy. Poblacion, San Andres, Quezon</t>
  </si>
  <si>
    <t>Construction of Covered Court in Tabao-Ambil</t>
  </si>
  <si>
    <t>Improvement / Maintenance of Blumentritt Interceptor and Vicinities, Sampaloc, District IV, Manila</t>
  </si>
  <si>
    <t>Improvement of Saranai Creek (Phase II) District I, Caloocan City</t>
  </si>
  <si>
    <t xml:space="preserve">20FN0091 Construction/Repair/Rehabilitation/Improvement of Various Infrastructure Including Local Project – Local Roads Concreting of Local Road from San Vicente-Neighborhood-Bacolod, Bato, Camarines </t>
  </si>
  <si>
    <t>Repair/Restoration of Historical/Cultural Site/ Property (San Vicente Ferrer Church)</t>
  </si>
  <si>
    <t>CLUSTER VI - Donsol &amp; Castilla, Sorsogon</t>
  </si>
  <si>
    <t>Supply and Delivery of 2 units Hauling Trucks ABC: Php4,000,000.00</t>
  </si>
  <si>
    <t>Contract ID No.: 20OB0314 Contract Name: Construction of 4-Storey 8 Classroom Building with Roof deck including Site Development in Barangay Dela Paz Elementary School, Barangay Dela Paz, Pasig City</t>
  </si>
  <si>
    <t>27.	Purchase of One (1) unit Asphalt Kettle for the maintenance of various Provincial roads in the Province of Batangas.</t>
  </si>
  <si>
    <t>CLUSTER V - Matnog &amp; Sta. Magdalena, Sorsogon</t>
  </si>
  <si>
    <t>Construction of 4 units Organic Fertilizer Production Facility Prototype C ABC: Php2,000,000.00</t>
  </si>
  <si>
    <t>25.	Purchase of Spare Parts (O-ring 07000-12055, Seal Dust 707-56-30-510, O-ring 07000-02060, etc.) for the repair and maintenance of various heavy equipments. (Komatsu Grader 7-N1-21, property no. 94</t>
  </si>
  <si>
    <t>Rehabilitation of San Vicente (Poblacion) Port Restroom</t>
  </si>
  <si>
    <t>20LD0127 -Repair/Maintenance of Pilan River Revetment 1 (Ceboley Section) at Brgy. Zone III, Sta. Cruz, Davao del Sur, Sta. 0+000 to Sta. O+032</t>
  </si>
  <si>
    <t>20CE0208: Replacement of Permanent Weak Bridges Amawinan Br. (B01981LZ) along Daang Maharlika (LZ)</t>
  </si>
  <si>
    <t>Completion of Sinakan Day Care Center</t>
  </si>
  <si>
    <t>INVITATION TO BID FOR THE  PROCUREMENT OF 2 UNITS FOGGING MACHINE,  STA. FE, LEYTE (BDG-2020-02)</t>
  </si>
  <si>
    <t>20KC0124: Widening of Permanent Bridge Lantay Br. (B01442MN) Along Maramag-Maradugao Rd. Phase II, Pangantucan, Bukidnon</t>
  </si>
  <si>
    <t>Improvement of Catmon-Niugan Creek, Malabon City</t>
  </si>
  <si>
    <t>Desilting / Cleaning of Pacheco Drainage Main, Tondo, District I, Manila</t>
  </si>
  <si>
    <t>KABALIKAT  SA EDUKASYON : MOBILE AHA! ( Mobile Library)</t>
  </si>
  <si>
    <t>Construction of RHU Laboratory at Brgy. Poblacion, San Andres, Quezon</t>
  </si>
  <si>
    <t>CLUSTER IX - Gubat, Sorsogon</t>
  </si>
  <si>
    <t>JOB FAIR</t>
  </si>
  <si>
    <t>CLUSTER II - Magallanes &amp; Sta. Magdalena, Sorsogon</t>
  </si>
  <si>
    <t>FURNISHING OF LABOR AND MATERIALS FOR THE RIP RAPPING</t>
  </si>
  <si>
    <t>Construction of Barangay Health Station in Sitio Yugno,  Brgy. Camflora, San Andres, Quezon</t>
  </si>
  <si>
    <t>20LG0119 - Construction of Rain Water Collector System (RWCS), Davao Oriental 2nd District Engineering Office, Davao Oriental</t>
  </si>
  <si>
    <t>20DC0193 - LOCAL PROGRAM,  Local Infrastructure  Program, Buildings and Other Structures, Multipurpose/Facilities, Completion/Repair/Rehab/Improvement of Multi Purpose Building, Brgy. Dalipit West, Cu</t>
  </si>
  <si>
    <t>Rehabilitation / Bank Improvement of Estero De Magdalena Tondo, District II, Manila</t>
  </si>
  <si>
    <t>SUPPLY AND DELIVERY OF VARIOUS ANIMAL FEEDS AND FEED INGREDIENTS FOR CLIARC UPLAND, HILLYLAND AND LOWLAND UNDER LIVESTOCK PROGRAM CY 2020</t>
  </si>
  <si>
    <t>Improvement of Casili Creek, District II, Caloocan City</t>
  </si>
  <si>
    <t>SUPPLY AND DELIVERY OF 2 UNITS HAULING TRUCK IN SUPPORT TO PROGRAM MANAGEMENT OF CORN PROGRAM FOR CY 2020</t>
  </si>
  <si>
    <t xml:space="preserve">20FN0092 Construction/Repair/Rehabilitation/Improvement of Various Infrastructure including Local Project – Local Roads Concreting Neighborhood Bacolod – San Vicente Road, Barangay San Vicente, Bato, </t>
  </si>
  <si>
    <t>CLUSTER VII - Bulan, Sorsogon</t>
  </si>
  <si>
    <t>2020-04-0041 (Contract ID No. 20GHN0001) Supply of Thermoplastic Paint Materials</t>
  </si>
  <si>
    <t>20DC0194 - LOCAL PROGRAM, Local Infrastructure Program,  Flood Control and Drainage, Drainage/Protection Works, Construction (Completion)/Repair/Rehab/Improvement of Drainage System, Brgy. Gulod, Laur</t>
  </si>
  <si>
    <t>Rehabilitation of Drainage System at Brgy. Poblacion San Andres, Quezon</t>
  </si>
  <si>
    <t>20DC0197 - LOCAL PROGRAM, Local Infrastructure Program, Buildings And Other Structures, Multipurpose/Facilities, Repair/Rehabilitation/Improvement of Multi Purpose Building, Brgy. Salvador Agito, Alit</t>
  </si>
  <si>
    <t>20DC0198 - LOCAL PROGRAM, Local Infrastructure Program, Buildings and Other Structures, Multipurpose/Facilities, Repair/Rehabilitation/Improvement of Multi Purpose Building, Brgy. San Miguel, Sto.Toma</t>
  </si>
  <si>
    <t>20DC0196 - LOCAL PROGRAM, Local Infrastructure Program, Water Management Facilities, Water Supply, Construction (Completion)/Repair/Rehab/Improvement of Water System, Malvar National High School, Brgy</t>
  </si>
  <si>
    <t>CLUSTER VIII - Irosin &amp; Bulusan, Sorsogon</t>
  </si>
  <si>
    <t>CID No. 20IC0064 (2nd re-advertisement): Const. of San Miguel Waterworks System III, Catambag Watershed, Brgy. Caraycaray, San Miguel, Leyte; ABC: P14,700,000.00; 279 CD</t>
  </si>
  <si>
    <t>SUPPLY AND DELIVERY OF ONE HUNDRED FIFTY THOUSAND (150,000) KILOGRAMS OF SEAWEED SEEDLINGS (Kappaphycus alvarezii)</t>
  </si>
  <si>
    <t>20DC0195 - LOCAL PROGRAM, Local Infrastructure Program, Buildings and Other Structures, Multipurpose/Facilities, Completion/Repair/Rehab/Improvement of Multi Purpose Building, Brgy. Pantay Bata, Tanau</t>
  </si>
  <si>
    <t>20DC0200 - LOCAL PROGRAM, Local Infrastructure Program, Water Management Facilities, Water Supply, Construction (Completion)/Repair/Rehab/Improvement of Water Supply System (Level 3), Brgy. Sinturisan</t>
  </si>
  <si>
    <t>20DC0199 - LOCAL PROGRAM, Local Infrastructure Program, Buildings and Other Structures, Multipurpose/Facilities, Construction (Completion)/Repair/Rehab/Improvement of Multi-Purpose Building, Brgy. San</t>
  </si>
  <si>
    <t>CID No. 20IC0065 (2nd re-advertisement): Const. of San Miguel Waterworks System Level III, Cabac-an Watershed, Brgy. Bahay, San Miguel, Leyte; ABC: P14,700,000.00; 279 CD</t>
  </si>
  <si>
    <t>20KC0126: Construction of Motorpool, Mindanao Army Training Group, TRADOC, PA, Kibaritan Military Reservation, Kalilangan, Bukidnon</t>
  </si>
  <si>
    <t>CID No. 20IC0068 (2nd re-advertisement): Const. of Ground Water Tank with PE Liner, San Miguel, Leyte; ABC: P8,820,000.00; 216 CD</t>
  </si>
  <si>
    <t>SUPPLY AND DELIVERY OF 50,683 BAGS UREA FERTILIZER (46-0-0) TO COMPLEMENT INBRED SEEDS UNDER RCEF FOR DRY SEASON 2020-2021 UNDER RICE PROGRAM FOR CY 2020</t>
  </si>
  <si>
    <t>Procurement of Materials and Supplies for Pro-poor Project at North Section (Brgy. Sto. Niño to Dumlog) - PR 2020-05-044</t>
  </si>
  <si>
    <t>CID No. 20IC0066 (2nd re-advertisement): Rd Rehab. &amp; Drainage Line Const. of Brgy. Rd from Maharlika Hwy to Police RO 8 Gate 2, Camp Kangleon, Campetic, Palo, Leyte; ABC: P13,720,000.00; 105 CD</t>
  </si>
  <si>
    <t>PAG-ASA SA MAKATI</t>
  </si>
  <si>
    <t>Repair of Brgy. Wharf</t>
  </si>
  <si>
    <t>CID No. 20IC0067 (2nd re-advertisement): Const. of Two (2) Storey School Building, EVSU, Tanauan Campus, Tanauan, Leyte; ABC: P8,820,000.00; 140 CD</t>
  </si>
  <si>
    <t>CID No. 20IC0070 (2nd re-advertisement): Const. of Covered Court, Brgy. Quilao, Tolosa, Leyte; ABC: P2,970,000.00; 55 CD</t>
  </si>
  <si>
    <t>CID No. 20IC0069 (2nd re-advertisement): Reconst. of Tolosa Public Market, Brgy. Telegrafo, Tolosa, Leyte; ABC: P4,975,000.00; 120 CD</t>
  </si>
  <si>
    <t>20PF0064: Rehabilitation / Restoration of Road Slip along Gov. Bado Dangwa National Road, K0347+490 - K0347+545, Pulag, Gambang, Bakun, Benguet</t>
  </si>
  <si>
    <t>20F00059 (re-advertisement) - OO1: Ensure Safe and Reliable National Road System – Network Development Program – Road Widening – Secondary Roads, Masbate-Cataingan-Placer Road, Cataingan, Masbate (3rd</t>
  </si>
  <si>
    <t>20GA0180-Construction of Multi-Purpose Building Brgy. Maloco, Ibajay, Aklan</t>
  </si>
  <si>
    <t>20GA0176-Rehabilitation of MPB (Makato Municipal Hall) Brgy. Poblacion, Makato, Aklan</t>
  </si>
  <si>
    <t>20F00075 - OO1: Ensure Safe and Reliable National Road System – Network Development Program – Construction of By-Pass and Diversion Roads – Naga-Jct. Magarao-Canaman-Libmanan Jct. PPH Road (Skybridge)</t>
  </si>
  <si>
    <t>20GA0169-Construction of Multi-Purpose Building  in Brgy. Gibon, Nabas, Aklan</t>
  </si>
  <si>
    <t>20GA0164-Construction of Multi-Purpose Building  In Brgy. Ondoy, Ibajay, Aklan</t>
  </si>
  <si>
    <t>20GA0174-Construction of Multi-Purpose Building Brgy. Manoc-manoc, Malay, Aklan</t>
  </si>
  <si>
    <t>Procurement of Various Office Supplies,  Customized Logbooks &amp; Forms and ICT Consumables</t>
  </si>
  <si>
    <t>20GA0158-Construction of Multi-Purpose Building Brgy. Cabugao, Ibajay, Aklan</t>
  </si>
  <si>
    <t>Procurement of Agricultural Products (Crop Production Support)</t>
  </si>
  <si>
    <t>20PF0065: Construction/Rehabilitation of Water Supply/Septage and Sewerage/Rain Water Collector Systems CY 2020</t>
  </si>
  <si>
    <t>SUPPLY AND DELIVERY OF INFORMATION TECHNOLOGY (IT) AND OFFICE EQUIPMENT</t>
  </si>
  <si>
    <t>20F00113 - Local Program – Construction/Repair/Rehabilitation/Improvement of Various Infrastructure including Local Projects – Local Roads and Bridges – Local Roads – Construction of Pasacao-Balatan C</t>
  </si>
  <si>
    <t>20F00122 - OO1: Ensure Safe and Reliable National Road System – Bridge Program – Widening of Permanent Bridges – Magsaysay Br. (B00474LZ) along MT Villanueva Ave-Magsaysay Road, Naga City, Camarines S</t>
  </si>
  <si>
    <t>20F00108 - Convergence and Special Support Program – Construction/Improvement of Access Roads Leading to Declared Tourism Destinations – Pasacao-Balatan Tourism Coastal Highway Leading to Pasacao Port</t>
  </si>
  <si>
    <t>GENDER EMPOWERMENT</t>
  </si>
  <si>
    <t>20F00123 - OO1: Ensure Safe and Reliable National Road System – Bridge Program – Widening of Permanent Bridges – Pili Airport Br. (B00418LZ) along Pili Airport Road, Pili, Camarines Sur 3rd Legislativ</t>
  </si>
  <si>
    <t>20F00110 - Local Program – Construction/Repair/Rehabilitation/Improvement of Various Infrastructure including Local Projects – Local Roads and Bridges – Local Roads – Construction of Pasacao-Balatan C</t>
  </si>
  <si>
    <t>Completion of Multi-Purpose Building (Covered Court) at Barangay Baluc</t>
  </si>
  <si>
    <t>Rehabilitation/Construction/Improvement/Upgrade/Completion/Expansion of Barangay Health Stations/Rural Health Unit Em's Barrio 2 South, Legazpi City</t>
  </si>
  <si>
    <t>Rehabilitation/Construction/Improvement/Upgrade/Completion/Expansion of Barangay Health Stations/Rural Health Unit Bascaran, Daraga, Albay</t>
  </si>
  <si>
    <t>FERTILIZERS AND SEEDS FOR URBAN AGRICULTURE GARDENING</t>
  </si>
  <si>
    <t>Improvement of SILAG-PACANG Communal Irrigation System</t>
  </si>
  <si>
    <t>B-010-2020-A SUPPLY AND DELIVERY 1 LOT OFFICE FURNITURE, FIXTURES AND EQUIPMENT - REBID</t>
  </si>
  <si>
    <t>PURCHASE OF CONFERENCE TABLE</t>
  </si>
  <si>
    <t>CONDUCT OF SONAR SURVEY</t>
  </si>
  <si>
    <t>Proposed Installation Motorized Roll Ups Door at San Pablo City Shopping Mall and Public Market, San Pablo City.</t>
  </si>
  <si>
    <t>B-031-2020  SUPPLY AND DELIVERY OF 1 LOT DIPLOMA JACKET</t>
  </si>
  <si>
    <t>Proposed Construction of Stockroom for CTO / CGSO at Brgy. San Gabriel, San Pablo City.</t>
  </si>
  <si>
    <t>AGR-20-0478-B Purchase of Agricultural Machinery &amp; Equipment</t>
  </si>
  <si>
    <t>B-014-2020 SUPPLY AND DELIVERY OF 1 LOT VARIOUS OFFICE EQUIPMENT - REBID</t>
  </si>
  <si>
    <t>Contract ID Number 20FD0065 CONCRETING OF BRGY. NAPOLIDAN TO BRGY. BUENASUERTE FMR, BRGY. NAPOLIDAN AND BRGY. BUENASUERTE, LUPI, CAMARINES SUR</t>
  </si>
  <si>
    <t>B-030-2020 SUPPLY AND DELIVERY OF 1 LOT COMPUTER SET - MONITOR &amp; CPU WITH ACCESSORIES</t>
  </si>
  <si>
    <t>20EB0119-R1: Construction of Bridge, Sitio Maasim, Brgy. 9 Payompon, Mamburao, Occidental Mindoro</t>
  </si>
  <si>
    <t>B-015-2020 SUPPLY AND DELIVERY OF 1 SET DESKTOP COMPUTER WITH COMPLETE ACCESSORIES - REBID</t>
  </si>
  <si>
    <t>20EB0124: Cluster 2020RWCS-01: Construction of various Rainwater Collection System (RWCS)</t>
  </si>
  <si>
    <t>20GN0090-Constructions/Rehabilitation of Water Supply/Septage and Sewerage/Rain Water Collectors</t>
  </si>
  <si>
    <t>Supply and Delivery of Various Spare Parts (for use of 25 units Isuzu Dumptrucks)</t>
  </si>
  <si>
    <t>20EB0123: Repair/Maintenance of Tilik  Flood Control, Lubang, Occidental Mindoro</t>
  </si>
  <si>
    <t>Procurement of Various Agricultural Equipment-05-050(M)OPAG</t>
  </si>
  <si>
    <t>AGR-20-0479-B Purchase of Agricultural Machinery &amp; Equipment</t>
  </si>
  <si>
    <t>REHABILITATION/IMPROVEMENT OF ECOLOGICAL ACCESS ROAD</t>
  </si>
  <si>
    <t>Procurement of Various Agricultural Products-05-051(M)OPAG</t>
  </si>
  <si>
    <t>20BF0055: Rehabilitation of Burgos Public Market, Brgy. San Antonino, Burgos, Isabela</t>
  </si>
  <si>
    <t>20BF0056: Construction and/or Repair/Rehabilitation of Multi-Purpose Building, Brgy. Rizal, Roxas, Isabela</t>
  </si>
  <si>
    <t>Proposed Barangay Quadrangle Stage, Brgy. Cabugao Viejo, San Enrique, Iloilo</t>
  </si>
  <si>
    <t>20GBF0002: Purchase &amp; Delivery of Materials for Installation/Application of Reflectorized Thermoplastic Pavement Markings along STR, GRR, IDAMR, Within the District</t>
  </si>
  <si>
    <t>20EB0122: Repair/Maintenance of Bato Ili Flood Control, Brgy. Monte Claro, San Jose, Occidental Mindoro</t>
  </si>
  <si>
    <t>Supply and Delivery of One (1) unit Genset, 75 KVA, Open Type with Complete Accessories and Battery</t>
  </si>
  <si>
    <t>Rehabilitation and Improvement of Barangay San Jose Water Supply System, Sipalay City, Negros Occidental</t>
  </si>
  <si>
    <t>Reconstruction of One (1) unit, Three (3) Classroom School Building</t>
  </si>
  <si>
    <t>Purchase of Office Equipments for LGU 1st Quarter &amp; 2nd Quarter</t>
  </si>
  <si>
    <t>Supply and Delivery of Spare Parts (for use of Backhoe Hitachi No. 2010-04)</t>
  </si>
  <si>
    <t>Supply and Delivery of Various Materials for the Implementation of Maintenance of National Roads and Bridges under 71X Special Maintenance (Part of AMWP 2020 under Work Category No. 18-Traffic Service</t>
  </si>
  <si>
    <t>Supply and Delivery of Various Spare Parts (for use of Backhoe EX120, 2012-07)</t>
  </si>
  <si>
    <t>Construction of One (1) unit, Two (2) Classroom Second Floor at Ambonao E/S</t>
  </si>
  <si>
    <t>Procurement of Full Color Production Printer</t>
  </si>
  <si>
    <t>AGR-20-0476-B Purchase of Agricultural Machinery &amp; Equipment</t>
  </si>
  <si>
    <t>20IK0096- Repair/Maintenance of DPWH Building BOE Area Equipment Section II- Main Repair Shop (Mezzanine Bldg), Brgy. Maulong, Catbalogan City</t>
  </si>
  <si>
    <t>20IK0095- Repair/Maint. of Drainage Canal along Daang Maharlika, Brgy. Maulong, Catbalogan City</t>
  </si>
  <si>
    <t>Repair/Rehabilitation of Covered Court Gymnasium at Brgy. Malico, E/S Compound</t>
  </si>
  <si>
    <t>20IK0093- Repair/Maint. of Drainage Canal along Wright-Taft-Borongan Road, Brgy. Campo 1, Paranas, Samar</t>
  </si>
  <si>
    <t>Repair of Four (4) School Buildings at Pasibi-Bituag E/S, Urbiztondo, Pangasinan</t>
  </si>
  <si>
    <t>20IK0094- Repair/Maint. of Drainage Canal along Wright-Taft-Borongan Road, Brgy. San Isidro, Paranas, Samar</t>
  </si>
  <si>
    <t>20IK0097- Installation of Road Safety Facilities along National Roads w/in the Jurisdiction of DPWH, Samar II DEO, Catbalogan City</t>
  </si>
  <si>
    <t>Supply &amp; Delivery of Office Equipment</t>
  </si>
  <si>
    <t>Procurement of Rescue Vehicle</t>
  </si>
  <si>
    <t>Supply and Delivery of Vehicle Hire for the period of June 15 - August 1, 2020</t>
  </si>
  <si>
    <t>Pavement Markings at Binalonan – San Manuel Road</t>
  </si>
  <si>
    <t>Construction of Disaster Operation Center</t>
  </si>
  <si>
    <t>FURNISHING OF LABOR, MATERIALS AND EQUIPMENT RENTALS FOR THE CONTINUING IMPROVEMENT OF MUNICIPAL RURAL HEALTH CENTER AND BIRTHING CENTER LOCATED AT BRGY. 5, POBLACION, TIGBAUAN, ILOILO.</t>
  </si>
  <si>
    <t>Assorted GOODS to be given to various Barangays and Schools.</t>
  </si>
  <si>
    <t>PROCUREMENT OF 1-UNIT, 4 WHEELERS, 11 FOOTER 3.0 LIT DROPSIDE BODY (BRAND NEW) VEHICLE FOR THE USE OF MENRO, TIGBAUAN, ILOILO.(Re-Bid)</t>
  </si>
  <si>
    <t>PURCHASE OF ONE UNIT RESCUE/ MULTI-PURPOSE VEHICLE OF BARANGAY MAMBUGSAY, CAUAYAN, NEGROS OCCIDENTAL</t>
  </si>
  <si>
    <t>Construction of Standard One (1) unit, Two (2) Classroom School Building at Siaosio E/S</t>
  </si>
  <si>
    <t>Purchase of One (1) unit Brand New Pick-up Type Vehicle (4x4 Automatic) for Sangguniang Panlungsod.</t>
  </si>
  <si>
    <t>Repair/Maintenance of Flood Control Structures along Angat River Balite Section, Calumpit, Bulacan</t>
  </si>
  <si>
    <t>Concreting of Purok 5, Camaling, brgy. Pungo FMR, Brgy. Pungo, Calumpit, Bulacan</t>
  </si>
  <si>
    <t>Concreting of Brgy. Sto. Nino FMR, Brgy. Sto. Nino, Pandi, Bulacan</t>
  </si>
  <si>
    <t>Concreting of Purok Gitna, Brgy. Manatal FMR, Brgy. Manatal, Pandi, Bulacan</t>
  </si>
  <si>
    <t>Repair/Maintenance of DPWH Building DE’s Office &amp; various Offices Bulacan I DEO, Malolos City, Bulacan</t>
  </si>
  <si>
    <t>Concreting of Brgy. Cupang-Bagong Barrio FMR, Brgy. Cupang &amp; Brgy. Bagong Barrio, Pandi, Bulacan</t>
  </si>
  <si>
    <t>Repair/Maintenance of DILG Building PNP Station Building, Poblacion, Paombong, Bulacan</t>
  </si>
  <si>
    <t>Concreting of Purok 2 to Purok 7, brgy. Gugo FMR, Brgy. Gugo, Calumpit, Bulacan</t>
  </si>
  <si>
    <t>Repair/Maintenance of Flood Control Structures along Angat River Parulan Section, Plaridel, Bulacan</t>
  </si>
  <si>
    <t>Supply and Delivery of Office Equipment for use of Different Offices of the PGOM</t>
  </si>
  <si>
    <t>Supply and Delivery of Inflatable Rescue Boat for use of PDRRMO  (2nd Bid)</t>
  </si>
  <si>
    <t>Purchase of 1-unit Mobile Clinic</t>
  </si>
  <si>
    <t>NNP-2020-VI-22-01F TIRES, BATTERY AND SPAREPARTS (GSO0</t>
  </si>
  <si>
    <t>Repair/Maintenance of DPWH Building Warehouse &amp; Repair Bay Bulacan I DEO, Malolos City, Bulacan</t>
  </si>
  <si>
    <t>PROVISION OF 10 MBPS INTERNET SERVICES WITH COMMITTED INFORMATION RATE TO MSU-TCTO</t>
  </si>
  <si>
    <t>20GAA0062: Procurement of One (1) unit CORS Reference Station and One (1) unit GNSS RTK Rover with Controller for use at Planning &amp; Design Section, DPWH-INFDEO, Laoag City</t>
  </si>
  <si>
    <t>Procurement of Materials for the Construction of Barangay Pathway (Phase II) at Brgy. Mahayag, Mahaplag, Leyte</t>
  </si>
  <si>
    <t>Supply and Delivery of Customized Mobile Kitchen for use of the PDRRMO (2nd Bid)</t>
  </si>
  <si>
    <t>SUPPLY AND DELIVERY OF BRAND NEW GARBAGE COMPACTOR TRUCK FOR SOLID WASTE MANAGEMENT IN THE MUNICIPALITY OF TULUNAN, COTABATO</t>
  </si>
  <si>
    <t>Procurement of Materials &amp; Labor for the Project Installation of Solar Street Lights (Procurement of Goods)</t>
  </si>
  <si>
    <t>Supply and Delivery of  Operations Equipment, Search, Rescue and Retrieval and Rapid Telecommunication Equipment for use of the PDRRMO (2nd Bid)</t>
  </si>
  <si>
    <t>Improvement of Brgy. Lunga Drainage Canal</t>
  </si>
  <si>
    <t>Concreting of Local Roads</t>
  </si>
  <si>
    <t>INVITATION TO BID FOR THE SUPPLY AND DELIVERY OF 1 UNIT DOUBLE-CAB-TYPE MULTI-PURPOSE VEHICLE WITH ACCESSORIES AND REAR AIRCONDITION  FOR CSWDO, OROQUIETA CITY (SECOND NOTICE)</t>
  </si>
  <si>
    <t>Materials for the Concreting of Barangay roads</t>
  </si>
  <si>
    <t>Completion of Highway Junction Tumbaga Road</t>
  </si>
  <si>
    <t>Completion of Evacuation Center</t>
  </si>
  <si>
    <t>Concreting of City Road (Bayuga Street)</t>
  </si>
  <si>
    <t>CONSTRUCTION OF PUBLIC COMFORT ROOM</t>
  </si>
  <si>
    <t>Purchase and Delivery of Three (3) Units Brand New Van</t>
  </si>
  <si>
    <t>CONCRETING OF PATHWAY AT PUROK 1</t>
  </si>
  <si>
    <t>Supply and Delivery of Musical Instruments for Drum and Bugle Corps (PR No. 2019-02-0085)</t>
  </si>
  <si>
    <t>Supply and Delivery of Multimedia Projectors (PR No. 2020-02-0185, 2020-02-0299, 2020-02-0152, 2020-02-0339, 2020-02-0270, 2020-02-0299, 2020-02-0261)</t>
  </si>
  <si>
    <t>Supply and Delivery of School Supplies for the Business Center (PR No. 2019-02-0105)</t>
  </si>
  <si>
    <t>Supply and Delivery of Photocopiers (PR No. 2020-02-0415, 2020-02-0242)</t>
  </si>
  <si>
    <t>Lot 1: Supply and Delivery of Instructional Equipment for Hotel Room and Public Area (PR No. 2020-02-0398) &amp; Lot 2: Supply and Delivery of Instructional Laundry Materials (PR No. 2020-02-0188)</t>
  </si>
  <si>
    <t>SUPPLY AND DELIVERY OF VARIOUS MATERIALS, FUEL AND OIL FOR GRAVELLING/MAINTENANCE OF BARANGAY ROADS</t>
  </si>
  <si>
    <t>OFFICE ENHANCEMENT PROJECT (1ST &amp; 2ND QTR.)</t>
  </si>
  <si>
    <t>Supply and Delivery of Office Equipment (PR No. 2020-02-0311, 2020-02-0380, 2020-02-0273, 2020-01-0141)</t>
  </si>
  <si>
    <t>Consulting Services for CLUP Formulation</t>
  </si>
  <si>
    <t>Seguridad para sa mamamayan ng La Paz</t>
  </si>
  <si>
    <t>20GA00001: Supply and Delivery of Ground Penetrating Radar (GPR) for use in the Planning &amp; Design Division, DPWH-Regional Office I, City of San Fernando, La Union</t>
  </si>
  <si>
    <t>Concreting of City Road (Purok 4)</t>
  </si>
  <si>
    <t>CONSTRUCTION OF PERIMETER FENCE</t>
  </si>
  <si>
    <t>Construction of Multi-purpose Building (Agricultural Training Institute)</t>
  </si>
  <si>
    <t>DRRM Resource Modernization</t>
  </si>
  <si>
    <t>Repair of the ORC Building</t>
  </si>
  <si>
    <t>PROCUREMENT OF ONLINE STUDENT ADMISSION &amp; ENROLLMENT SYSTEM</t>
  </si>
  <si>
    <t>Construction of Composting Facility for Biodegradable Waste</t>
  </si>
  <si>
    <t>Purchase of 60 Heads Female Carabao for the used of integrated Carabao  based Production project</t>
  </si>
  <si>
    <t>Construction of Two Units Makeshift Building for Livelihood Project in Sitio Limite, Brgy. Daja Daku, San Isidro, Leyte, ABC PHP1,318,234.84</t>
  </si>
  <si>
    <t>20KB0160   Repair/Maintenance of DPWH Building Ver Overview Field Office  :	Overview, Palacapao, Quezon, Bukidnon</t>
  </si>
  <si>
    <t>Supply and Delivery of Laundry Equipment for Instructional Operation (PR No. 2020-02-0189)</t>
  </si>
  <si>
    <t>20KB0138 Re - Construction of Multi-Purpose Building, Brgy. Tandong, Kitaotao, Bukidnon</t>
  </si>
  <si>
    <t>20KB0159   Repair/Maintenance of DPWH Building New Guardhouse Entrance with Perimeter Fence  :	Pinamaloy, Don Carlos, Bukidnon</t>
  </si>
  <si>
    <t>Lot 1: Supply and Delivery of Hotel Housekeeping Instructional Cleaning Materials (PR No. 2020-02-0186) &amp; Lot 2: Supply and Delivery of Instructional Cleaning Chemicals (PR No. 2020-02-0184)</t>
  </si>
  <si>
    <t>Improvement of Farm to Market Road at Sitio Imee, Brgy. Imelda</t>
  </si>
  <si>
    <t>G.I. Color Roof Roofing    (  Renovation of Maslog Multi Purpose Gym )</t>
  </si>
  <si>
    <t>B20200183 - CONSTRUCTION OF BAHAY SILANGAN FOR REFORMATION OF DRUG PERSONALITIES AT BRGY. MANKILAM, TAGUM CITY, DDN</t>
  </si>
  <si>
    <t>PROCUREMENT OF RANDOM ACCESS MEMORY AND VARIOUS DATA STORAGE DEVICES</t>
  </si>
  <si>
    <t>Construction of Riprap at Paniquian Irrigation at Poblacion, Pilar, Bataan</t>
  </si>
  <si>
    <t>Replacement of Windows at College Building</t>
  </si>
  <si>
    <t>B20200182 - RURAL ELECTRIFICATION AT RAMADA COMPOUND, STO NINO, CUMABUGAN, TAGUM CITY, DDN</t>
  </si>
  <si>
    <t>Rehabilitation of Slaughter House</t>
  </si>
  <si>
    <t>Construction of Water Supply System Level 3 Phase 2 (Cansolabao Sitio Arizona)</t>
  </si>
  <si>
    <t>B20200198 - RENOVATION OF TEEN TAMBAYAN, DDNSC COMPOUND TAGUM CITY, DDN</t>
  </si>
  <si>
    <t>Office Supplies Expenses</t>
  </si>
  <si>
    <t>Procurement of Office Supplies for Reproduction of Modules &amp; Other Learning Materials for the First Semester S.Y 2020- 2021 use at ESSU Main Campus (PR# 2020-OSPM-177)</t>
  </si>
  <si>
    <t>Improvement and Concreting of FMR (Binubucalan to Canano) Phase 2</t>
  </si>
  <si>
    <t>May Pera sa Basura</t>
  </si>
  <si>
    <t>CLUSTER 12 INFRASTRUCTURE PROJECT</t>
  </si>
  <si>
    <t>PROCUREMENT OF ICT EQUIPMENT FOR LMS &amp; ONLINE ADMISSION/REGISTRATION SYSTEM</t>
  </si>
  <si>
    <t>Concreting of Diangas to Guimotan Road</t>
  </si>
  <si>
    <t>20KB0161   Repair/Maintenance of Kianggat Mini-dam  :	Kianggat, Dangcagan, Bukidnon</t>
  </si>
  <si>
    <t>INVITATION TO BID FOR</t>
  </si>
  <si>
    <t>NNP-2020-VI-22-02F BRANDNEW VAN</t>
  </si>
  <si>
    <t>B20200181 - CONSTRUCTION OF POTABLE WATER SYSTEM, PUROK 6 (REVISED) AT BRGY. SANTIAGO, ASUNCION, DDN</t>
  </si>
  <si>
    <t>Construction of Slope Protection at Sitio Filipinas, Brgy. Valdez</t>
  </si>
  <si>
    <t>REHABILITATION OF FLOOD CONTROL AT POBLACION</t>
  </si>
  <si>
    <t>CLUSTER 13 INFRASTRUCTURE PROJECT</t>
  </si>
  <si>
    <t>IMPROVEMENT OF SB BUILDING -MUNICIPAL GROUND, BRGY.POB.3</t>
  </si>
  <si>
    <t>SUPPLY AND DELIVERY OF VARIOUS SUPPLIES FOR VARIOUS OFFICES</t>
  </si>
  <si>
    <t>Widening of Eballe Street with Canal</t>
  </si>
  <si>
    <t>Construction of Gender Appropriate Toilet</t>
  </si>
  <si>
    <t>(20GNH0004) Supply and Delivery of Road Safety Signages and Thermoplastic Materials for Installation along SDCR, Aras-asan Diversion Road and Payasan-Los Arcos Road (Intermittent Sections) K1296+200-K</t>
  </si>
  <si>
    <t>Other Supplies and Materials Expenses</t>
  </si>
  <si>
    <t>Construction of Level II Water System in Barangay B.del Mundo (11,460.00 Linear Meter for Pipe Laying)</t>
  </si>
  <si>
    <t>SUPPLY AND DELIVERY OF VARIOUS SUPPLIES FOR CITY VICE MAYOR'S OFFICE</t>
  </si>
  <si>
    <t>B20200199 - ESTABLISHMENT OF MULTIPLIER FARM PROJECT (PHASE 2)</t>
  </si>
  <si>
    <t>Purchase of Materials for the Construction of Sea Ambulance</t>
  </si>
  <si>
    <t>SUPPLY &amp; DELIVERY OF AGRICULTURAL MACHINERIES AND EQUIPMENT</t>
  </si>
  <si>
    <t>CY 2020 ENHANCED NATIONAL GREENING PROGRAM-HARDENING –OFF ACTIVITIES UNDER MECHANIZED AND MODERNIZED FOREST NURSERY AT BANAO, GUINOBATAN, ALBAY per DENR-ENGP-MMFN-HARDENING-OFF-2020-001</t>
  </si>
  <si>
    <t>Rehabilitation/ Upgrading of Aranaar FMR (Calantac, Alcala, Cagayan)</t>
  </si>
  <si>
    <t>REHABILITATION OF FLOOD CONTROL AT PANJOBJOBAN 1</t>
  </si>
  <si>
    <t>Construction of Reinforced Concrete Box Culvert (Piggatan, Alcala, Cagayan)</t>
  </si>
  <si>
    <t>Construction of Farm to Market Road</t>
  </si>
  <si>
    <t>SUPPLY AND DELIVERY OF VARIOUS GROCERY ITEMS FOR DISASTER PREPAREDNESS STOCKPILE</t>
  </si>
  <si>
    <t>Furnishing labor, materials and equipment rental for the Rehab./Improvement of  Waterworks System, Brgy. Bagong Silang, Sta. Cruz, Marinduque</t>
  </si>
  <si>
    <t>CY 2020 ENHANCED NATIONAL GREENING PROGRAM-HARDENING –OFF ACTIVITIES UNDER MECHANIZED AND MODERNIZED FOREST NURSERY AT SOOC, LUPI, CAMARINES SUR per DENR-ENGP-MMFN-HARDENING-OFF-2020-002</t>
  </si>
  <si>
    <t>SUPPLY &amp; DELIVERY OF MEDICINES AND MEDICAL SUPPLIES</t>
  </si>
  <si>
    <t>NEW CONSTRUCTION OF LEVEL II POTABLE WATER SYSTEM IN BRGY. MARASBARAS AND SAN ISIDRO</t>
  </si>
  <si>
    <t>Construction of Power House, Negros First Food Terminal, San Juan St., Bacolod City, Negros Occidental(Re-bid)/PEO-2020-0069</t>
  </si>
  <si>
    <t>Furnishing labor, materials and equipment rental for the Rehabilitation/Improvement of  Brgy. Waterworks System at Balanacan, Mogpog, Marinduque</t>
  </si>
  <si>
    <t>PROCUREMENT OF VARIOUS IT SUPPLIES/ EQUIPMENT, JANITORIAL AND ELECTRICAL SUPPLIES AND OFFICE SUPPLIES OF BFAR6 FOR CY 2020</t>
  </si>
  <si>
    <t>CONSTRUCTION OF RETAINING WALL -Sitio Awas, Brgy. Tagbakin</t>
  </si>
  <si>
    <t>Procurement of Passenger Van 2020(Repost)</t>
  </si>
  <si>
    <t>Concreting of Barangay Road at Brgy. Morong, Sitio Purok 7, Sariaya, Quezon</t>
  </si>
  <si>
    <t>Landscaping/Development Municipal Hall Plaza</t>
  </si>
  <si>
    <t>Establishment of Fish and Cacao Processing Project in Zamboanga Del Norte</t>
  </si>
  <si>
    <t>SUPPLY AND DELIVERY OF VARIOUS MEDICINES AND MEDICAL SUPPLIES FOR DISASTER PREPAREDNESS STOCKPILE</t>
  </si>
  <si>
    <t>PURCHASE OF CONSTRUCTION MATERIALS FOR PROTOTYPE COVID LIGTAS ISOLATION FACILITIES</t>
  </si>
  <si>
    <t>PROCUREMENT OF MOTOR VEHICLE (PASSENGER VAN), DR. JOSE RIZAL MEMORIAL HOSPITAL</t>
  </si>
  <si>
    <t>Furnishing labor, materials and equipment for the Improvement of Brgy. Waterworks System at Brgy. Pili, Boac, Marinduque</t>
  </si>
  <si>
    <t>ITB - PROCUREMENT OF PRO XII VARIOUS FURNITURE AND FIXTURES  FOR CY 2020</t>
  </si>
  <si>
    <t>Construction of Water System</t>
  </si>
  <si>
    <t>Furnishing labor, materials and equipment rental for the Construction of Waterworks System Phase 1, Brgy. Mongpong, Sta. Cruz, Marinduque</t>
  </si>
  <si>
    <t>CONSTRUCTION OF MULTI-PURPOSE BUILDING CANOPY &amp; HANGING BOARD</t>
  </si>
  <si>
    <t>CONSTRUCTION OF MPB(TEMPORARY SHELTER/EVACUATION FACILITY/ COVERED COURT)  Brgy.  Bula, Tiaong, Quezon</t>
  </si>
  <si>
    <t>Furnishing labor, materials and equipment for the Improvement of Brgy. Waterworks System, Brgy. Lupac, Boac, Marinduque</t>
  </si>
  <si>
    <t>TWO WAY RADIO</t>
  </si>
  <si>
    <t>DECLOGGING AND DESILTING OF CANALS</t>
  </si>
  <si>
    <t>Cluster 06-2020 (1. Site Development of Municipal Slaughter House 2. Repair of Pakkil Stairway with Railings 3. Improvement of Baang Pathway 4. Improvement of Liwen-Navarangnan hanging Bridge 5. Impro</t>
  </si>
  <si>
    <t>20GLH0013 (P.R. No. 2020-03-021 dated 03/17/2020) - For use in Maintenance Section in connection with the repair / maintenance of national roads, 3rd Congressional District, Davao City</t>
  </si>
  <si>
    <t>DISASTER RISK MITIGATION AND PREPAREDNESS</t>
  </si>
  <si>
    <t>Purchase of spareparts</t>
  </si>
  <si>
    <t>SUPPLY AND DELIVERY OF TRIWHEELER FOR OFFICE USE</t>
  </si>
  <si>
    <t>Procurement of ICT Office Equipment</t>
  </si>
  <si>
    <t>SUPPLY AND DELIVERY OF CONSTRUCTION MATERIALS</t>
  </si>
  <si>
    <t>INVITATION TO BID FOR Drugs and Medicines for the Month of AUGUST 2020</t>
  </si>
  <si>
    <t>CONSTRUCTION OF SECOND FLOOR OF DAYCARE CENTER</t>
  </si>
  <si>
    <t>Improvement of Bontoc Ili Local Access Road</t>
  </si>
  <si>
    <t>Furnishing labor, materials and equipment for the Construction of Multi-Purpose Hall (Completion of roofing of Gasan Tennis Court and construction of other related structures) at Brgy. Dos, Gasan, Mar</t>
  </si>
  <si>
    <t>Cluster 07-2020 (1. Improvement of Municipal Capitol Building 2. Restoration/Relocation of Chongliyan Water System 3. Completion of Chakalan Bontoc Ili Animal Bite Center 4. Fabrication &amp; Installation</t>
  </si>
  <si>
    <t>Conversion of Speech Laboratory Classroom to Agri-Industrial Research Laboratory-Tagum City</t>
  </si>
  <si>
    <t>Proposed Site Development and Building Improvement for Central Kitchen at Barangay Tamag, Vigan City</t>
  </si>
  <si>
    <t>Rehabilitation of Barangay Road (Purok 2 to  Purok 3)</t>
  </si>
  <si>
    <t>20KJ0176: Construction of Classrooms (1sty 2CL), Ozamiz ES, Clarin, Misamis Occidental</t>
  </si>
  <si>
    <t>OFFICE ENHANCEMENT PROJECT / CAPITAL OUTLAY</t>
  </si>
  <si>
    <t>Repair of Heavy Equipment, Maasin, Ililo</t>
  </si>
  <si>
    <t>Completion of Barangay Hall (Phase 5)</t>
  </si>
  <si>
    <t>SUPPLY AND DELIVERY OF OFFICE SUPPLIES, MATERIALS AND EQUIPMENT</t>
  </si>
  <si>
    <t>20KJ0174: Construction of Classrooms (2sty 10CL), Bonifacio CS, Bonifacio, Misamis Occidental</t>
  </si>
  <si>
    <t>01 unit Delivery Van with Complete Accessories</t>
  </si>
  <si>
    <t>(RE-POST) Construction of Materials Recovery Facility</t>
  </si>
  <si>
    <t>PROJ. 267 - YDF 2020</t>
  </si>
  <si>
    <t>20KJ0175: Construction of Classrooms (2sty 4CL), Lupagan Elementary School, Clarin, Misamis Occidental</t>
  </si>
  <si>
    <t>Construction of Causeway at Labuan (Revised 2)</t>
  </si>
  <si>
    <t>20KJ0178: Construction of Classrooms (3sty 9CL), Misamis Annex Integrated School, Ozamis City, Misamis Occidental</t>
  </si>
  <si>
    <t>Electrical Power Supply Installation for the Association of Village Type Rice Mill of Grain Dryer Equipment Panel at Barangay Pantay Daya, Vigan City</t>
  </si>
  <si>
    <t>04 units Hammermill</t>
  </si>
  <si>
    <t>01 unit Water Tanker</t>
  </si>
  <si>
    <t>03 units Bioreactor</t>
  </si>
  <si>
    <t>Construction of Seawall from Brgy. Lagundi to Brgy. Kinaguitman</t>
  </si>
  <si>
    <t>20KJ0177: Construction of Classrooms (1sty 3CL), Camating ES, Tudela, Misamis Occidental</t>
  </si>
  <si>
    <t>PROJ. 319 - RRMF 2020</t>
  </si>
  <si>
    <t>Construction of Fence at Anuling Elementary School, Pamucutan</t>
  </si>
  <si>
    <t>Improvement of Road at Suterville, San Jose Gusu</t>
  </si>
  <si>
    <t>Construction/Rehabilitation of Drainage System at Tugbungan</t>
  </si>
  <si>
    <t>33 bottles Auto Transmission Fluid, 1 liter, 46 bottles Brake Fluid, 1 liter (shall comply with DOT3), etc..</t>
  </si>
  <si>
    <t>Construction of Slope Protection with Cross Drain (Box Culvert Type) at Lumayang</t>
  </si>
  <si>
    <t>Concreting of Road at Montesino, Sta. Maria</t>
  </si>
  <si>
    <t>45 kgs. Beans, Baguio, 45 kgs. Beans, String, etc..</t>
  </si>
  <si>
    <t>Construction of Drainage System at Canelar Moret to Johnston Compound, Canelar</t>
  </si>
  <si>
    <t>Construction/Rehabilitation/Improvement of Electrification, Power and Energy Structures for City Health Office Building at Zone IV</t>
  </si>
  <si>
    <t>ITB for Procurement of Water Dispenser</t>
  </si>
  <si>
    <t>PROCUREMENT OF WELFARE GOODS OF BRGY. PANDAN TO SUPPORT IN COVID-19 PANDEMIC</t>
  </si>
  <si>
    <t>600 pcs. Bulb, 3 watts, LED, 180-264 volts, 230 lumens –daylight, 500 pcs. Bulb, 3 watts, LED, 180-264 watts, 210 lumens- warm white, etc..</t>
  </si>
  <si>
    <t>IB No. 2006-310 Proc. of Goods (Supply and Installation of Close Circuit Television Security)</t>
  </si>
  <si>
    <t>Purchase of Tires and batteries</t>
  </si>
  <si>
    <t>Improvement of Barangay Hall Phase II</t>
  </si>
  <si>
    <t>Concreting of Road at Lanzones</t>
  </si>
  <si>
    <t>Construction of Multi-Purpose Hall/Center at Purok 4, Labuan</t>
  </si>
  <si>
    <t>ITB-131 Renovation/Improvement of Boys Scout of the Philippines Building  and Facilities, Butuan City</t>
  </si>
  <si>
    <t>Construction of Slope Protection at Cabaluay</t>
  </si>
  <si>
    <t>20M00078- Construciton/Rehabilitation of Water Supply/Septage and Sewerage/Rain Water Collectors in Facilities; Koronadal City (5 Units), General Santos City (3 Units), Tacurong City (1 unit), Esperan</t>
  </si>
  <si>
    <t>Rehabilitation of Sangguniang Kabataan Office</t>
  </si>
  <si>
    <t>SLOPE PROTECTION (KAWKAW-AY)</t>
  </si>
  <si>
    <t>SUPPLY, DELIVERY, INSTALLATION, TESTING AND COMMISSIONING OF AIR CONDITIONING UNITS FOR THE OLD HOSPITAL BUILDING-(ITB No. 2020-146)-(provl government of bukidnon)</t>
  </si>
  <si>
    <t>IB No. 2006-309 Proc. of Goods (Rabies Vaccine and Others)</t>
  </si>
  <si>
    <t>ITB-GS-20200323-01 - 1 Lot Supply, Delivery and Installation of Systems Furniture for LANDBANK Malolos Highway Office Building</t>
  </si>
  <si>
    <t>Invitation to Bid Rehab. of Multi-Purpose Hall</t>
  </si>
  <si>
    <t>FURNISHED LABOR &amp; MATERIALS FOR THE IMPROVEMENT OF RHU BUILDING-MEO-1ST POSTIN=PHP 3,000,000.00</t>
  </si>
  <si>
    <t>Vehicle Parts and Accessories</t>
  </si>
  <si>
    <t>FURNISHED LABOR &amp; MATERALS FOR THE CONSTRUCTION OF PUBLIC MARKET 2 BRGY. TALUS, MALUNGON-MEO-1ST POSTING=PHP 2,500,000.00</t>
  </si>
  <si>
    <t>Contract ID 2020-IG-018 - Procurement/Purchase of Prescribed Uniform and Personal Protective Equipment Needed for Maintenance Workers along National Roads within the DPWH, Leyte V District Engineering</t>
  </si>
  <si>
    <t>UPGRADING OF LOCAL ACCESS ROAD AT P5 GENERAL AGUINALDO, RAMON, ISABELA</t>
  </si>
  <si>
    <t>PROCUREMENT OF WELFARE GOODS BRGY ROMONGAOB SANGGUNIANG KABATAAN TO SUPPORT IN COVID-19 PANDEMIC</t>
  </si>
  <si>
    <t>Contract ID 2020-IG-019 - Procurement of Various Office Equipment/IT Supplies Needed for use in Maintenance Section within the DPWH, Leyte V District Engineering Office</t>
  </si>
  <si>
    <t>20M00079- Construction/Improvement of Various Infrastructure in Support of National Security – Construction of SK Pendatun Municipal Police Station Building, Gen. Salipada SK Pendatun, Maguindanao</t>
  </si>
  <si>
    <t>SUPPLY, DELIVERY, INSTALLATION, TESTING AND COMMISSIONING OF AIR CONDITIONING UNITS-(ITB No. 2020-148)-(bph-maramag and bph-kibawe)</t>
  </si>
  <si>
    <t>REHABILITATION OF UPPER DUNGYASAN COMMUNAL IRRIGATION SYSTEM</t>
  </si>
  <si>
    <t>Catering Services for Mayor's State of the Municipal Address</t>
  </si>
  <si>
    <t>Design and Build Procurement for the Rehabilitation (Retrofitting – Category 3) of Existing Sanitary Landfill Facility and Wastewater Treatment Facility</t>
  </si>
  <si>
    <t>RFQ / 20-03-0226 / PROCUREMENT OF 24 GALS RED OXIDE PRIMER AND 6 OTHER LINE ITEMS</t>
  </si>
  <si>
    <t>IB 20GCJ0037 - Supply of Diesel Fuel and Unleaded Gasoline for the Operation of Service Vehicles and Heavy Equipment in the Inspection/Supervision, Surveying, Monitoring of Projects and Repair/Mainten</t>
  </si>
  <si>
    <t>FUEL, OIL LUBRICANTS (LGU)</t>
  </si>
  <si>
    <t>SUPPLY &amp; DELIVERY OF PC DESKTOP, DESKJET PRINTER W/ SCANNER, LAPTOP W/ LICENSE &amp; COLORED PRINTERS</t>
  </si>
  <si>
    <t>MAINTENANCE OF GUINZADAN - BANAO- ANDANUM ROAD</t>
  </si>
  <si>
    <t>Concre Paving of Pacol-Lacaron Road(Phase II), Rural Access (Road Upgrading), Brgy. Pacol-Lacaron, Valladolid, Neg. Occ./PEO-2020-0795</t>
  </si>
  <si>
    <t>SUPPLY AND DELIVERY OF HANDHELD RADIO AND RADIO BASE (ITB No. 2020-149)-(provl government of bukidnon)</t>
  </si>
  <si>
    <t>Annual Calibration and Preventive Maintenance of Medical Equipment C.Y. 2020</t>
  </si>
  <si>
    <t>INFRA 2K20-43 RENOVATION AND IMPROVEMENT OF 2- STOREY PSWD BUILDING</t>
  </si>
  <si>
    <t>PROCUREMENT OF WELFARE GOODS OF BRGY. LAMUD SANGGUNIANG KABATAAN TO SUPPORT IN COVID-19 PANDEMIC</t>
  </si>
  <si>
    <t>CONSTRUCTION/REHABILITATION OF WATER SUPPLY/SEPTAGE AND SEWERAGE/RAIN WATER COLLECTORS IN PUBLIC FACILITIES – RAIN WATER COLLECTORS IN PUBLIC FACILITIES, VARIOUS LOCATIONS ALONG BENGUET FIRST DISTRICT</t>
  </si>
  <si>
    <t>Rehab/Repair of Slaughter House</t>
  </si>
  <si>
    <t>Installation of 3-Phase Extension Line with Transformer, Lightings and Fixtures at NOMPAC, Aguinaldo St., Bacolod City/PEO-2020-0852</t>
  </si>
  <si>
    <t>IMPROVEMENT OF SACASACAN FMR, SADANGA</t>
  </si>
  <si>
    <t>RFQ 20GCJ0038 - Supply of Diesel Fuel for the Operation of Service Vehicles in the Inspection/Supervision, Monitoring of Projects within the 1st and 2nd District and attending of Official Business for</t>
  </si>
  <si>
    <t>Supply and Delivery of Laptops and Other Items (2nd Bidding)</t>
  </si>
  <si>
    <t>Local Program - Rehabilitation/Improvement of along Daang Maharlika Highway Jct. Legazpi-Sto. Domingo-Camarines Sur Bdry. Road - K0528+760-K0529+533, K0530+000-K0532+616, Legazpi City</t>
  </si>
  <si>
    <t>20FH0094 - CONSTRUCTION/REHABILITATION OF WATER SUPPLY/SEPTAGE AND SEWERAGE/RAIN WATER COLLECTORS – RAIN WATER COLLECTORS IN PUBLIC FACILITIES AT 21 SITES, PROVINCE OF CATANDUANES</t>
  </si>
  <si>
    <t>PROCUREMENT OF TENT</t>
  </si>
  <si>
    <t>20FH0095 - REPAIR/REHABILITATION/RECONSTRUCTION OF SALVACION FLOOD CONTROL, SALVACION, VIGA, CATANDUANES</t>
  </si>
  <si>
    <t>CONSTRUCTION OF DISASTER/EVACUATION CENTER, BARANGAY BANUYO, BORONGAN CITY EASTERN SAMAR</t>
  </si>
  <si>
    <t>20HC0178- CONCRETING OF BRGY. BAY-ANG FMR, BRGY. BAY-ANG, UBAY, BOHOL</t>
  </si>
  <si>
    <t>INFRA 2K20-42 CONST. OF CAPABILITY DEVELOPMENT CENTER FOR LAW ENFORCERS &amp; DISASTER RISK REDUCTION MANAGEMENT OFFICES (RENOV./IMPROV’T. OF FORMERLY ZAMBOANGA DEL SUR SPORTS ACADEMY FOR THE PROPOSED PDR</t>
  </si>
  <si>
    <t>Acquisition of One (1) Unit 4x4 Brand New Rescue Vehicle</t>
  </si>
  <si>
    <t>ITB for Construction of Seawall - Cawilan</t>
  </si>
  <si>
    <t>Construction of Naguillan Level II Potable Water System</t>
  </si>
  <si>
    <t>PROCUREMENT  OF HARDWARE MATERIALS AND EQUIPMENT RENTAL FOR THE CONSTRUCTION OF CALABANGA YOUTH AND LIVELIHOOD CENTER (PHASE 3 – COMPLETION)</t>
  </si>
  <si>
    <t>PROCUREMENT OF WELFARE GOODS OF BRGY LAMUD TO SUPPORT IN COVID-19 PANDEMIC</t>
  </si>
  <si>
    <t>20BC0167-Construction of 1 Storey 3 Classroom with CR, Canayun Elementary School, Canayun, Abulug, Cagayan</t>
  </si>
  <si>
    <t>RFQ 20GCJ0040 - Supply of Diesel Fuel for the Operation of Service Vehicles in the Inspection/Supervision, Surveying, Monitoring of Projects within the 1st and 2nd District and attending of Official B</t>
  </si>
  <si>
    <t>Procurement of One (1) Unit Six Wheelers Truck Vehicle (Reconditioned)</t>
  </si>
  <si>
    <t>ITB-132 Construction and Installation of Elevator, Provincial Health  Office, Brgy. Libertad, Butuan City (REBID)</t>
  </si>
  <si>
    <t>20HC0179- CONCRETING OF BRGY. CRUZ TO BRGY. CANTORES FMR, BRGY. CRUZ AND BRGY. CANTORES, BUENAVISTA, BOHOL</t>
  </si>
  <si>
    <t>IMPROVEMENT OF TSAT SAGANG-TADIAN ROAD</t>
  </si>
  <si>
    <t>RFQ 20GCJ0039 - Supply of Diesel Fuel for the Operation of Service Vehicles in the Inspection/Supervision, Surveying, Monitoring of Projects within the 1st and 2nd District and attending of Official B</t>
  </si>
  <si>
    <t>2 units Fully Reconditioned Passenger Type Multicab and other items for Brgy. Bantayan – Pick-up type multicab to be used for garbage collection in the Barangay and Passenger type multicab to be used</t>
  </si>
  <si>
    <t>ITB for Construction of Drainage Canal - Brgy. Azucena</t>
  </si>
  <si>
    <t>Supply and Delivery of PCB Board Cutter and Other Items (2nd Bidding)</t>
  </si>
  <si>
    <t>LOCAL ACCESS ROAD</t>
  </si>
  <si>
    <t>IMPROVEMENT OF SABANGAN DOGO ROAD</t>
  </si>
  <si>
    <t>INFRA 2K20-44 REPAIR/IMPROVEMENT OF COMMON BUILDING AND FACILITIES (BUILDING B) FOR RTC AND ZDSMC WARD</t>
  </si>
  <si>
    <t>PROCUREMENT OF POSTNATAL KIT WITH BABY BOX FOR MOTHERS FOR THE USE OF GENDER &amp; DEVELOPMENT FOCAL POINT SYSTEM – CHO (SECOND BIDDING)</t>
  </si>
  <si>
    <t>REHABILITATION OF INWALOY-MAGULON ACCESS ROAD (RE-BID)</t>
  </si>
  <si>
    <t>Job Order: Installation and Supply of Brand New Standby Generator Set, Diesel Engine (Three (3) Phase 100 KVA) with ATS, Silent Type.</t>
  </si>
  <si>
    <t>ITB for Rehabilitation of Seawall at Brgy. Fabio Phase II</t>
  </si>
  <si>
    <t>ITB For Construction of Multi-purpose Building - Brgy. Union</t>
  </si>
  <si>
    <t>ITB for Construction of Kitchen with Equipment</t>
  </si>
  <si>
    <t>Construction and Improvement of Barangay Roads and Bridges</t>
  </si>
  <si>
    <t>2 units Brand New Three-Wheeled Motorcycle, Pickup Type and other items for Brgy. Bantayan – Pick-up type multicab to be used for garbage collection in the Barangay and Passenger type multicab to be u</t>
  </si>
  <si>
    <t>UPGRADED GOAT PROGRAM</t>
  </si>
  <si>
    <t>Concreting of Road at Brgy. Canarem, Victoria, Tarlac - B-CW-2020-012</t>
  </si>
  <si>
    <t>(PVSO) INVITATION TO BID FOR THE SUPPLY AND DELIVERY OF PLASTIC PRODUCTS  FOR THE  PROVINCIAL VETERINARY SERVICES OFFICE (PVSO)</t>
  </si>
  <si>
    <t>Repair/Maintenance of DILG Building Hingyon Municipal Station, Hingyon, Ifugao</t>
  </si>
  <si>
    <t>IB No. 2004-254 Proc. of Goods (Security Services)(Rebid)</t>
  </si>
  <si>
    <t>20P00040 Rain Water Collectors in Public Facilities - CAR</t>
  </si>
  <si>
    <t>PROPOSED INSTALLATION OF FIVE UNITS STREETLIGHTS AT BRGY. STA. VERONICA, SAN PABLO CITY</t>
  </si>
  <si>
    <t>(PVSO)  INVITATION TO BID FOR THE SUPPLY AND DELIVERY OF AGRICULTURAL MACHINERY AND SUPPLIES FOR THE  PROVINCIAL VETERINARY SERVICES OFFICE (PVSO)</t>
  </si>
  <si>
    <t>CONSTRUCTION OF GOAT BARN, CARE TAKER'S  HUT AND PERIMETER FENCE</t>
  </si>
  <si>
    <t>Construction of Covered Court at Ballay, Bauang, La Union</t>
  </si>
  <si>
    <t>Construction/Installation of Solar Street Lights for the Provincial Government of Occidental Mindoro</t>
  </si>
  <si>
    <t>Supply &amp; Delivery of Two(2) Units 6-Wheeler Dump Truck (Brand New) intended for Residual Containment Area(RCA) in Relation to Covid-19</t>
  </si>
  <si>
    <t>PROCUREMENT OF  CIVIL WORKS OF VARIOUS FACILITIES</t>
  </si>
  <si>
    <t>20BC0168-Construction of 1 Storey 2 Classroom with CR, Dana-ili Elementary School, (Bldg. 1) Dana-ili, Abulug, Cagayan</t>
  </si>
  <si>
    <t>PROCUREMENT OF DUMP TRUCKS FOR THE USE OF CITY ENVIRONMENT AND NATURAL RESOURCES OFFICE (SECOND BIDDING)</t>
  </si>
  <si>
    <t>(PAO)   2ND INVITATION TO BID FOR THE SUPPLY AND DELIVERY OF 1 UNIT MOTORCYCLE FOR THE  PROVINCIAL AGRICULTURAL OFFICE (PAO)</t>
  </si>
  <si>
    <t>Construction of Covered Court at Pagdalagan Sur, Bauang, La Union</t>
  </si>
  <si>
    <t>IB No. 2005-304 Proc. of Goods (Fuel and Lubricants)</t>
  </si>
  <si>
    <t>PEO-20-0639 B- Procurement of Diesel Fuel for use in the truck team operations for the repair/maintenance of Provincial roads and bridges in the Province of Iloilo</t>
  </si>
  <si>
    <t>Construction of Slope Protection at Bauang North Central School, Central East, Bauang, La Union</t>
  </si>
  <si>
    <t>ENHANCEMENT OF JAGNA GYMNASIUM (Re-Bid)</t>
  </si>
  <si>
    <t>PEO-20-0618 B- Procurement of Diesel Fuel for use in the truck team operation for the repair and maintenance of Provincial roads and bridges in the Province of Iloilo</t>
  </si>
  <si>
    <t>CONSTRUCTION OF ACCESS ROAD (DEKKAN FMR)</t>
  </si>
  <si>
    <t>Repair/Maintenance of DOST Building Innovation &amp; Provincial  Science and Technology Center, Lamut, Ifugao</t>
  </si>
  <si>
    <t>DELIVERY OF MATERIALS FOR THE CONSTRUCTION OF DRAINAGE SYSTEM AT MARKET WEST SIDE (Re-Bid)</t>
  </si>
  <si>
    <t>PR-2020-1129 Medical Supplies-PHO</t>
  </si>
  <si>
    <t>Supply and Delivery of One (1) Unit Brand New Garbage Truck to be used in Environment Management Program, Naujan, Oriental Mindoro</t>
  </si>
  <si>
    <t>INFRA 2K20-40 CONSTRUCTION OF 14 LN.M. HANGING BRIDGE</t>
  </si>
  <si>
    <t>Two (2) Years and Six (6) Months Contract for Janitorial Services (July 2020 to December 2022)</t>
  </si>
  <si>
    <t>PROCUREMENT OF CONSULTING SERVICES FOR SUBDIVISION SURVEY OF 247 HECTARES NEW LANDS</t>
  </si>
  <si>
    <t>PEO-20-0638 B- Procurement of Office Supplies</t>
  </si>
  <si>
    <t>Procurement of Civil Works for the Repair of Office Building at Municipal Hall, Mlang, Cotabato.</t>
  </si>
  <si>
    <t>20FO0086 - Rehabilitation/Improvement of Flood Control Structure, Left and Right Facing Upstream of Bacolod Bridge, Libon, Albay</t>
  </si>
  <si>
    <t>Supply and delivery of various materials for the repair and upgrade of ICT equipments of BFAR Region Office</t>
  </si>
  <si>
    <t>Renovation of Open Bleachers at Pana-ad Park and Stadium, Brgy. Mansilingan, Bacolod City/PEO-2020-0305</t>
  </si>
  <si>
    <t>(PAO) 2ND INVITATION TO BID FOR THE SUPPLY AND DELIVERY OF AGRICULTURAL PRODUCTS  AND MARINE SUPPLIES (II) FOR THE  PROVINCIAL AGRICULTURAL OFFICE (PAO)</t>
  </si>
  <si>
    <t>PEO-20-0628 B- Procurement of Housekeeping Supplies</t>
  </si>
  <si>
    <t>Concreting of Road at So. Matalusad, Brgy. Sta. Cruz, Concepcion, Tarlac - B-CW-2020-013</t>
  </si>
  <si>
    <t>Repair/Maintenance of DILG Building PNP-Asipulo Municipal  Station, Neduntog, Antipulo, Asipulo, Ifugao</t>
  </si>
  <si>
    <t>PB 2020-28 (GOODS) - Lease of Servers for Various Systems</t>
  </si>
  <si>
    <t>CONSTRUCTION PROJECTS-AM-MF-SEF</t>
  </si>
  <si>
    <t>2020-0165-PR2020-0398 Furnishing of Labor, Materials and Equipment for the Construction of 1-Classroom School Building with Toilet at Candungaw High School, Candungaw, San Isidro, Bohol</t>
  </si>
  <si>
    <t>IMPROVEMENT OF CANAL AND DRAINAGE CROSSING</t>
  </si>
  <si>
    <t>20FO0087 - Improvement of Albay-Camsur Diversion Road (Oas Section), Oas, Albay</t>
  </si>
  <si>
    <t>CONSTRUCTION OF MULTI-PURPOSE BUILDING (MPB) PHASE II</t>
  </si>
  <si>
    <t>CONSTRUCTION OF PATIENT WAITING AREA AND KITCHEN (MHO) PHASE - 1</t>
  </si>
  <si>
    <t>PB 2020-29 (GOODS) - Lease of Servers for Datawarehouse Systems</t>
  </si>
  <si>
    <t>PB 2020-30 (GOODS) - Lease of Storage and Automated Tape Library for Datawarehouse and Various Systems</t>
  </si>
  <si>
    <t>PRN 049-MOTOR VEHICLE-TF-GOODS-2020</t>
  </si>
  <si>
    <t>Concreting of Road at Brgy. Parulong, Concepcion, Tarlac - B-CW-2020-014</t>
  </si>
  <si>
    <t>20GE0104 - Construction (Completion) of Multi-Purpose Building, Brgy. Suclaran, San Lorenzo, Guimaras</t>
  </si>
  <si>
    <t>20GE0103 - Construction of Road Slope Protection Structure – at Specific Locations along Guimaras Circumferential Rd (S00028GR) K0073+065 – K0097+460</t>
  </si>
  <si>
    <t>Repair/Maintenance of DOTr Building (LTO Office Building), Lamut, Ifugao</t>
  </si>
  <si>
    <t>CONCRETING OF FARM TO MARKET ROAD AT BARANGAY SITE, PUROK 2, COGON BACACA</t>
  </si>
  <si>
    <t>General Administration and Support(GAS) Office Supplies</t>
  </si>
  <si>
    <t>Construction of Covered Garbage Sorting Area, Camachile, DRT, Bulacan</t>
  </si>
  <si>
    <t>20FO0088 - Improvement of Albay-Camsur Diversion Road (Oas Section) Phase 2, Oas, Albay</t>
  </si>
  <si>
    <t>Purchase of Construction Materials for Renovation/Repair and Maintenance of Building at Municipal Agriculture Office (Phase I)</t>
  </si>
  <si>
    <t>Procurement of 1 Lot Various Drugs and Medicines for BJMP-NCR PDL for  July 2020</t>
  </si>
  <si>
    <t>2020-0168-PR2020-0401 Furnishing of Labor, Materials and Equipment for the Construction of 2-Classroom School Building with PWD Toilets at Hanopol National High School. Hanopol, Balilihan, Bohol</t>
  </si>
  <si>
    <t>2020-0169-PR2020-0402 Furnishing of Labor, Materials and Equipment for the Construction of 2-Classrooms School Building with PWD Toilets at Caimbang Elementary School, Caimbang, San Isidro, Bohol</t>
  </si>
  <si>
    <t>Construction of Multi-Purpose Hall (Phase II) Sitio Dapi, Brgy, Cagbalete I, Mauban, Quezon.</t>
  </si>
  <si>
    <t>Construction of White Corn Processing Center</t>
  </si>
  <si>
    <t>4AQ-SIP-VAR-18 Amontay SIP</t>
  </si>
  <si>
    <t>20FO0090 - Construction of Multi-Purpose Building (Covered Court), Pistola, Oas, Albay</t>
  </si>
  <si>
    <t>ITB - SUPPLY, DELIVERY AND TESTING OF ONE (1) LOT SHORT FIREARMS (CALIBER .45) (CI)</t>
  </si>
  <si>
    <t>20FO0089 - Rehabilitation/Improvement of Bacolod Flood Control Structure (Left Side Facing Downstream of Bacolod Bridge) in Libon, Albay</t>
  </si>
  <si>
    <t>Purchase of medicine,first aid kit and other supplies for rescue operations</t>
  </si>
  <si>
    <t>Construction of Flood Control and Slope Protection Structure along Del Pilar Road</t>
  </si>
  <si>
    <t>CLUSTER 27-2020</t>
  </si>
  <si>
    <t>Other Supplies and Material Expenses</t>
  </si>
  <si>
    <t>Transfusion Transmissible Infection (TTIs) Reagents with Free Use of Equipment Services for the use of PHO Technical Division, Dumaguete City (B-74-2020)</t>
  </si>
  <si>
    <t>REPAIR OF HANGING BRIDGE located at NEW OPON, MAGSAYSAY, DAVAO DEL SUR all in accordance to plans, specifications and scope of work and the Green Procurement Policy as adopted by Executive Order No. 3</t>
  </si>
  <si>
    <t>20FO0091 - Construction of Multi-Purpose Building, Brgy. Calaguimit, Oas, Albay</t>
  </si>
  <si>
    <t>Repair/Maintenance of Drainage along Kiangan-Tinoc-Buguias Road, K0315+(-100), Baguinge, Kiangan, Ifugao</t>
  </si>
  <si>
    <t>SUPPLY AND DELIVERY OF LOT 1: 2 HEADS UPGRADED GOAT (BUCK) &amp; 10 HEADS NATIVE GOAT (DOE)</t>
  </si>
  <si>
    <t>Concreting of Road Portion @ So. Tubigan, Kalawakan, DRT, Bulacan</t>
  </si>
  <si>
    <t xml:space="preserve">CONSTRUCTION OF LEVEL II, POTABLE WATER SUPPLY SYSTEM FOR BRGY. BATO, STA. CRUZ, DAVAO DEL SUR all in accordance to plans, specifications, scope of work and green procurement policy as adopted by the </t>
  </si>
  <si>
    <t>Constructionn of Powerhouse</t>
  </si>
  <si>
    <t>Supply and delivery of Drugs and Medicines for indigent patient of Mauban.</t>
  </si>
  <si>
    <t xml:space="preserve">CONSTRUCTION OF WATER SYSTEM PROJECT at RELOCATION SITE, CAGAS VILLAGE, BRGY. BANGKAL, MATANAO, DAVAO DEL SUR all in accordance to plans, specifications, scope of work and green procurement policy as </t>
  </si>
  <si>
    <t>Purchase of Two (2) units Brand New 4x4 Six Wheeler Dumptrucks (4m³ cap.) for the Municipality of Tayasan, Negros Oriental (B-77-2020)</t>
  </si>
  <si>
    <t>“Purchase of One (1) unit Brand New Payloader (1.2 – 1.7 m3 capacity) for the Municipality of Amlan, Negros Oriental (B-76-2020)</t>
  </si>
  <si>
    <t>Construction of Box-Culvert @ So. Abo, DRT, Bulacan</t>
  </si>
  <si>
    <t>One (1) Lot Automotive Diesel Fuel for the use in the Repair and Maintenance-Infrastructure Assets (Provincial Roads &amp; Bridges), Province of Negros Oriental (B-75-2020)</t>
  </si>
  <si>
    <t>Construction of Box-Culvert @ So. Tubigan, Kalawakan, DRT, Bulacan</t>
  </si>
  <si>
    <t>2020-0167-PR2020-0400 Furnishing of Labor, Materials and Equipment for the Construction of 2-Classroom School Building with PWD Toilets at Danao Technological  School, Danao, Bohol</t>
  </si>
  <si>
    <t>Asphalt Overlay @ Different Barangay, DRT, Bulacan</t>
  </si>
  <si>
    <t>ITB - Supply, Delivery and Installation of 1 unit Large Format Printer for the Packaging and Labelling Innovation Center</t>
  </si>
  <si>
    <t>Materials for the Construction of Makeshift Building (7 x 9) @ Guindacpan Elementary School - Guindacpan, Talibon, Bohol</t>
  </si>
  <si>
    <t>PROPOSED RE-ROOFING OF E.R. BUILDING AND REPAINTING OF ROOFING OF LEFT REAR WING QUADRANT BUILDING PHILIPPINE GENERAL HOSPITAL UNIVERSITY OF THE PHILIPPINES MANILA</t>
  </si>
  <si>
    <t>REPAIR OF EXISTING CANALS OF MATANG-TUBIG CIS (REBID)  MONREAL, MASBATE</t>
  </si>
  <si>
    <t>Supply and Delivery of Various Chemicals for Mango ABC: Php2,870,630.00</t>
  </si>
  <si>
    <t>Procurement BY LOT of DISTRIBUTION TRANSFORMER, ELECTRIC GENERATOR SET and AUTOMATIC TRANSFER SWITCH for the Use of the Provincial DRRM Council Command Center</t>
  </si>
  <si>
    <t>Supply and Delivery of Materials for Installation of Solar Street Lighting System</t>
  </si>
  <si>
    <t>20HF0077 (Cluster 19) A. Road Concreting, Agtugop-Manguiao, Asturias, Cebu; B. Road Concreting, Saksak-Bairan, Asturias, Cebu; C. Road Concreting, Sitio Lindog, Brgy. Tagbubonga, Asturias, Cebu</t>
  </si>
  <si>
    <t>Supply and Delivery of Various Pesticides ABC: Php918,750.00</t>
  </si>
  <si>
    <t>20BC0179-Construction of 1 Storey 3 Classroom with CR, Piat Central School, Piat, Cagayan</t>
  </si>
  <si>
    <t>PROCUREMENT OF  1 LOT VARIOUS DRUGS AND MEDICINES FOR BJMP-NCR PDL FOR AUGUST 2020</t>
  </si>
  <si>
    <t>ITB - SUPPLY, DELIVERY AND TESTING OF ONE (1) LOT HIGH POWERED FIREARMS (CALIBER 5.56)</t>
  </si>
  <si>
    <t>SUPPLY AND DELIVERY OF LOT 2: 200 HEADS ROOSTER &amp; 800 HEADS PULLET</t>
  </si>
  <si>
    <t>20AE0067: Repair/Maintenance/Improvement of Drainage Structures along Manila North Road, K0312+240 to K0312+360</t>
  </si>
  <si>
    <t>ITB- SUPPLY AND DELIVERY OF PROTECTIVE EQUIPMENT (MODULAR VEST) (CI)</t>
  </si>
  <si>
    <t>Agricultural Supplies Expenses (Farm Tools)</t>
  </si>
  <si>
    <t>20FO0092 - Construction of Covered Court, Brgy. La Medalla, Polangui, Albay</t>
  </si>
  <si>
    <t>SUPPLY/ DELIVERY OF CONSTRUCTION MATERIALS for SAN RAMON-SAN FRANCISCO RIS (REBID), BULAN, SORSOGON</t>
  </si>
  <si>
    <t>Procurement of One (1) unit service vehicle for PVO field operation.</t>
  </si>
  <si>
    <t>20HF0074 (Cluster 16) A.	Construction of Multi-Purpose Building, Barangay Poblacion, Barili, Cebu  B.	Construction and/or Repair/Rehabilitation of Multi-Purpose Building, Brgy. Poblacion, Barili, Cebu</t>
  </si>
  <si>
    <t>Supply and Delivery of Agricultural and Forestry Equipment for Community Based Processing Facility Establishment</t>
  </si>
  <si>
    <t>Agricultural, fishery and Forestry Equipment</t>
  </si>
  <si>
    <t>Barangay Facility Enhancement Project</t>
  </si>
  <si>
    <t>Supply, delivery and Commissioning of ONE (1) Unit Corn Picker Harvester for Provincial Corn Service Center @ MIRAIC.</t>
  </si>
  <si>
    <t>SUPPLY AND DELIVERY OF LOT 3: 160 BAGS ANIMAL FEEDS (CHICK GROWER CRUMBLE)</t>
  </si>
  <si>
    <t>PROCUREMENT OF  1 LOT VARIOUS DRUGS AND MEDICINES FOR BJMP-NCR PDL FOR SEPTEMBER 2020</t>
  </si>
  <si>
    <t>CONSTRUCTION OF SLOPE PROTECTION WORKS OF UMAWAS-GAID CIS (REBID)  DIMASALANG, MASBATE</t>
  </si>
  <si>
    <t>Supply &amp; Delivery of Office Supplies for Different Offices</t>
  </si>
  <si>
    <t>Supply and Delivery of Materials for Installation of Solar Powered Home Lighting System</t>
  </si>
  <si>
    <t>Supply and Delivery of Various ICT Equipment Total ABC: Php1,290,000.00</t>
  </si>
  <si>
    <t>Concreting of Road at Brgy. Poblacion Sur, Paniqui, Tarlac - B-CW-2020-015</t>
  </si>
  <si>
    <t>Invitation to Bid for PROCUREMENT OF ONE UNIT PICK-UP VEHICLE</t>
  </si>
  <si>
    <t>Lot1-Purchase of Anti-rabies vaccine for MHO use</t>
  </si>
  <si>
    <t>CONSTRUCTION OF CONCRETE PAVEMENT  OF BARANGAY HALL FRONTAGE</t>
  </si>
  <si>
    <t>CONSTRUCTION OF DOMESTIC WATER SYSTEM FOR PROPER TIKEY, PHASE II</t>
  </si>
  <si>
    <t>CONSTRUCTION OF FLOOD CONTROL AT QUIMSON AREA</t>
  </si>
  <si>
    <t xml:space="preserve">PEO-2020-0166 PR2020-0399 INVITATION TO BID FOR THE PROCUREMENT OF LABOR, MATERIALS, AND EQUIPMENT FOR THE CONSTRUCTION OF 1-CLASSROOM SCHOOL BUILDING WITH PWD TOILETS AT UPPER DELA PAZ PRIMA AT DELA </t>
  </si>
  <si>
    <t>REPAIR/REHABILITATION OF CANALS AND CONSTRUCTION OF SIPHON OF TUBING-GABI CIS (REBID), BALENO, MASBATE</t>
  </si>
  <si>
    <t>Repair and maintenance- Artesian Wells, Reservoirs, Pumping Stations and Conduits</t>
  </si>
  <si>
    <t>Completion of Covered Court of VSU Alangalang</t>
  </si>
  <si>
    <t>ITB- SUPPLY, DELIVERY AND TESTING OF SURVEILLANCE EQUIPMENT (BODY CAMERAS)</t>
  </si>
  <si>
    <t>REPAIR/REHABILITATION OF CANALS AND CANAL STRUCTURES OF SAGAWSAWAN CIS (REBID), MOBO, MASBATE</t>
  </si>
  <si>
    <t>20BC0181 re-adv.-Construction of 1 Storey 2 Classroom with CR, Warat Elementary School, Piat, Cagayan</t>
  </si>
  <si>
    <t>CONSTRUCTION OF DRAINAGE SYSTEM FROM SARAH BAROGA'S AREA TOWARDS TEBTEB CREEK</t>
  </si>
  <si>
    <t>ITB- SUPPLY, DELIVERY AND TESTING OF ONE (1) LOT RAMAN SPECTROMETER</t>
  </si>
  <si>
    <t>ITB- SUPPLY, DELIVERY AND TESTING OF ONE (1) LOT AMMUNITION</t>
  </si>
  <si>
    <t>Supply and Delivery of Furniture and Fixtures for Community Based Processing Facility Establishment</t>
  </si>
  <si>
    <t>20PL0109 - Package 1 - A.) Repair/Maintenance of DPWH Building, ADE's Building, Lower Kalinga DEO, Tabuk City, Kalinga, B.) Repair/Maintenance of DPWH Building, Rank and File Building, Lower Kalinga D</t>
  </si>
  <si>
    <t>Procurement of Soil Conditioner with Plant Growth Stimulant</t>
  </si>
  <si>
    <t>20HF0078 (Cluster 20) A. Road Concreting, Angilan, Aloguinsan, Cebu; B. Road Concreting, Bonbon, Aloguinsan, Cebu; C. Road Concreting, Poblacion, Aloguinsan, Cebu</t>
  </si>
  <si>
    <t>IMPROVEMENT OF BUREAU OF FIRE PROTECTION BUILDING</t>
  </si>
  <si>
    <t>Supply &amp; Delivery of Supplies &amp; Materials for Encoding/Photocopy/Printing</t>
  </si>
  <si>
    <t>20BC0191 re-adv.-Construction of Rainwater Collector System</t>
  </si>
  <si>
    <t>ITB- SUPPLY, DELIVERY AND INSTALLATION OF ONE (1) LOT AIRCONDITIONING UNITS</t>
  </si>
  <si>
    <t>20PL0110 - Repair and Maintenance of Road Safety Facilities, Bulanao-Paracelis Road, Tabuk City, Kalinga</t>
  </si>
  <si>
    <t>Invitation to Bid for PROCUREMENT OF ONE UNIT BUS</t>
  </si>
  <si>
    <t>ITB-Foodstuff of HE &amp; NTSB for 2nd Sem 2020</t>
  </si>
  <si>
    <t>RFQ-20-06-021</t>
  </si>
  <si>
    <t>Construction of Tanod Outpost</t>
  </si>
  <si>
    <t>Supply &amp; Delivery of Supplies &amp; Materials for Bookbinding &amp; Diploma Jacket Making</t>
  </si>
  <si>
    <t>Supply and Delivery of Lot 1- 1-unit Light Cargo Truck, 6 wheelers &amp; Lot 2- 1-unit Light Cargo Truck 4 or 6 Wheelers for the Implementation</t>
  </si>
  <si>
    <t>20GAF0002, SUPPLY/ DELIVERY OF ROAD SIGNAGES OF VARIOUS NATIONAL ROADS   WITHIN LA UNION SECOND DISTRICT ENGINEERING OFFICE, LA UNION SECOND DISTRICT</t>
  </si>
  <si>
    <t>INVITATION TO BID    PROCUREMENT OF I.T. EQUIPMENT (BRAND NEW AND NOT CLONED)  FOR NFA EASTERN VISAYAS REGIONAL OFFICE (REGION VIII)</t>
  </si>
  <si>
    <t>20PL0111 - Concreting of Brgy. Lower Taloctoc FMR, Brgy. Lower Taloctoc, Tanudan, Kalinga</t>
  </si>
  <si>
    <t>20PL0108 - Construction/Rehabilitation of Water Supply/Septage and Sewerage/Rain Water Collectors in Public Facilities, Various School Sites/Barangay/Military Camp (Rizal, Tabuk City and Pinukpuk, Kal</t>
  </si>
  <si>
    <t>Supply of Materials for the Emergency Repair of ELT for NH431, NH434 and NH435 Helicopters</t>
  </si>
  <si>
    <t>Supply &amp; Delivery of Supplies &amp; Materials for ID Printing</t>
  </si>
  <si>
    <t>ITB- SUPPLY AND DELIVERY OF PROTECTIVE EQUIPMENT (MODULAR VEST) (REGULAR GAA)</t>
  </si>
  <si>
    <t>ITB- SUPPLY AND DELIVERY OF ONE (1) LOT VARIOUS INKS</t>
  </si>
  <si>
    <t>COMPLETION OF MULTI-PURPOSE BRGY. HALL BINENG</t>
  </si>
  <si>
    <t>Subscription of Professional Magazines &amp; Journals for Library use</t>
  </si>
  <si>
    <t>20HF0066 Road Concreting, Mangoto-Sambagon-Busay, Pinamungajan, Cebu</t>
  </si>
  <si>
    <t>20GM0007 – PROCUREMENT OF FUEL FOR THE USE OF DPWH CUTTER SUCTION DREDGE SDS 18- 1 (XD450) FOR THE DREDGING OF RIO GRANDE DE MINDANAO, BUCANA, BRGY. MOTHER KALANGANAN, COTABATO CITY</t>
  </si>
  <si>
    <t>CONSTRUCTION OF FMR AT SITIO KAGISKIS (Chan Binay-an to Andiso Area)</t>
  </si>
  <si>
    <t>20HF0071 Concreting of Brgy. Roads, Brgy. Poblacion, Tuburan, Cebu</t>
  </si>
  <si>
    <t>CONSTRUCTION OF DRAINAGE CANAL @ CENTRAL BUYAGAN</t>
  </si>
  <si>
    <t>COMPLETION OF LINUSOD MULTI-PURPOSE BUILDING</t>
  </si>
  <si>
    <t>Improvement of Janiuay Public Market (Construction of Comfort Room Building), Janiuay Public Market, Janiuay, Iloilo</t>
  </si>
  <si>
    <t>ITB- SUPPLY, DELIVERY AND TESTING OF ONE (1) LOT SHORT FIREARMS  (CALIBER .45) (REGULAR GAA)</t>
  </si>
  <si>
    <t>Supply, Delivery, and Installation of Various Brand New Laboratory Equipment (BAC-NP NO. 2020-04)</t>
  </si>
  <si>
    <t>IMPROVEMENT OF COMPAC AT BSU BALILI</t>
  </si>
  <si>
    <t>IMPROVEMENT OF VEHICULAR BRIDGE</t>
  </si>
  <si>
    <t>17GF0110 - Upgrading/Improvement of San Joaquin Rural Health Unit, San Joaquin, Iloilo</t>
  </si>
  <si>
    <t>CONCRETING OF LOWER WESTERN BUYAGAN ROAD</t>
  </si>
  <si>
    <t>REHABILITATION OF DRAINAGE CANAL</t>
  </si>
  <si>
    <t>Construction of Kusina ng Kalinga at Moncada North Elementary School - B-CW-2020-019</t>
  </si>
  <si>
    <t>Drydocking and Other Related Repair of BRP EMILIO JACINTO (PS35)</t>
  </si>
  <si>
    <t>Construction of Kusina ng Kalinga at Mayantoc Central Elementary School - B-CW-2020-020</t>
  </si>
  <si>
    <t>Concreting of Road at Brgy. Sta. Ines, Paniqui, Tarlac - B-CW-2020-016</t>
  </si>
  <si>
    <t>Supply and Delivery of Various Agricultural Equipment</t>
  </si>
  <si>
    <t>Concreting of Road at Brgy. Barang, Paniqui, Tarlac - B-CW-2020-017</t>
  </si>
  <si>
    <t>Drydocking and Other Related Repair of YT226</t>
  </si>
  <si>
    <t>Construction of Main Entrance Gate, Guardhouse and Pylon at La Paz Medicare and Community Hospital, La Paz, Tarlac - B-CW-2020-022</t>
  </si>
  <si>
    <t>CONSTRUCTION OF MUNICIPAL DISASTER RISK AND MANAGEMENT OFFICE BUILDING</t>
  </si>
  <si>
    <t>PURCHASE OF LIQUIFIED PETROLEUM GAS (LGP)  11KGS. FOR THE OPERATION OF TCP OFFICE AMOUNTING TO PHP8,500.00</t>
  </si>
  <si>
    <t>Procurement of Consulting Services for the Consumer Insights Survey of Target Markets</t>
  </si>
  <si>
    <t>PROVISION OF SECURITY SERVICES FOR BFAR-PANABO NATIONAL MARICULTURE CENTER FOR THE PERIOD OF JULY 1, 2020 TO DECEMBER 31,2020</t>
  </si>
  <si>
    <t>20LG0117 - Repair/Maintenance of DENR Building PENRO Nursery House, Dahican, Mati, Davao Oriental</t>
  </si>
  <si>
    <t>CONSTRUCTION OF COMFORT ROOM AT BENGUET NATIONAL HIGH SCHOOL</t>
  </si>
  <si>
    <t>Construction of Kusina ng Kalinga at Concepcion North Elementary School - B-CW-2020-018</t>
  </si>
  <si>
    <t>Construction of Powerhouse at Tarlac Provincial Capitol, San Vicente, Tarlac City - B-CW-2020-021</t>
  </si>
  <si>
    <t>INVITATION TO BID FOR THE Procurement of EECD Various Office Equipment under the Locally Funded Project: NECP - Nineteen (19) Units of Laptop and Two (2) Units of High-Speed Multi-function  Printer</t>
  </si>
  <si>
    <t>20LG0116 - Repair/Maintenance of DPWH Building BOE-Bilawan Building, Mati, Davao Oriental</t>
  </si>
  <si>
    <t>20LG0118 - Repair/Maintenance of DPWH Building Engineer's Quarter, Brgy. Matiao, Mati, Davao Oriental</t>
  </si>
  <si>
    <t>Construction of One Classroom in Brgy. Tabao-Ambil</t>
  </si>
  <si>
    <t>PIKCOT-002020-009 (IMPROVEMENT OF VARIOUS BARANGAY ROADS)</t>
  </si>
  <si>
    <t>(KMH) 2ND INVITATION TO BID FOR THE SUPPLY AND DELIVERY OF ONE (1) UNIT PHARMACY BIOMEDICAL REF</t>
  </si>
  <si>
    <t>INVITATION TO BID FOR THE Procurement of DOEs Fixed Wireless Connections</t>
  </si>
  <si>
    <t>20CSBF0001: Soil Testing/Exploration for the Construction of Flood Control @ Aurora; Luna; Quirino; Roxas; Burgos, Isabela</t>
  </si>
  <si>
    <t>Rehabilitation of Multi-Purpose Building-Guardia</t>
  </si>
  <si>
    <t>Procurement of One (1) unit Garbage Compactor Truck for use in the collection and transport of treated infectious wastes of Tarlac Provincial Hospital and 4 District Hospitals - B-G-2020-080</t>
  </si>
  <si>
    <t>Construction of Irrigation System-Banbanaal</t>
  </si>
  <si>
    <t>INVITATION TO BID FOR THE PROCUREMENT OF EECD CONTRACTED OUT SERVICES FOR THE DIGITAL PLACEMENT AND SOCIAL MEDIA MANAGEMENT OF DOE INFOMERCIAL /TV PLUG UNDER THE LOCALLY FUNDED PROJECT: THE NECP</t>
  </si>
  <si>
    <t>Construction of Multi-Purpose Hall-Guardia</t>
  </si>
  <si>
    <t>INVITATION TO BID FOR THE Procurement of DOEs Tertiary Internet Access Services</t>
  </si>
  <si>
    <t>PROCUREMENT OF MICROBIOLOGY ANALYTICAL LAB/DA-ACEF EQUIPMENT</t>
  </si>
  <si>
    <t>20GG0176 - CONCRETING OF BRGY. DALID TO BRGY. SIMSIMAN, BRGY. GAMMA GRANDE TO BRGY. JAMIN-AY ROAD, CALINOG, ILOILO</t>
  </si>
  <si>
    <t>(NVPH) 2ND INVITATION TO BID FOR THE SUPPLY AND DELIVERY OF ONE (1) UNIT CAUTERY MACHINE</t>
  </si>
  <si>
    <t>PB-20-077, Supply &amp; Delivery of Rubber Seedlings for distribution to farmers provincewide</t>
  </si>
  <si>
    <t>20GG0175 - REHABILITATION OF MULTI-PURPOSE BUILDING (GYMNASIUM), BAROTAC NUEVO, ILOILO</t>
  </si>
  <si>
    <t>Supply and Delivery of Tablet Pro for IQAO</t>
  </si>
  <si>
    <t>concreting of farm to market road</t>
  </si>
  <si>
    <t>PB-20-159, Supply &amp; Delivery of Cacao &amp; Coffee Seedlings for distribution to farmers provincewide</t>
  </si>
  <si>
    <t>20BG0145 - Construction/Rehabilitation of Rain Water Supply/Septage and Two (2) Units of Sewerage/Rain Water Collectors in Public Facilities per Location</t>
  </si>
  <si>
    <t>(PIHO) INVITATION TO BID FOR THE SUPPLY AND DELIVERY OF 2 UNITS AIR-CONDITIONER (FLOOR MOUNTED &amp; WINDOW TYPE) FOR THE  PROVINCIAL INTEGRATED HEALTH OFFICE--125,000.00</t>
  </si>
  <si>
    <t>(PVSO) INVITATION TO BID FOR THE SUPPLY AND DELIVERY OF VETERINARY MEDICAL SUPPLIES (VACUUM BLOOD COLLECTION TUBE, ETC.) FOR THE  PROVINCIAL VETERINARY SERVICES OFFICE--263,975.00</t>
  </si>
  <si>
    <t>20HF0095 Asset Preservation Program-Reconstruction of Naga-Uling Rd., K0039+632 –  K0040+440; K0041+500 – K0042+000</t>
  </si>
  <si>
    <t>20HF0094 Replacement of Barili Bridge (B00523CB) along Carcar-Barili Road</t>
  </si>
  <si>
    <t>PB-20-160, Supply &amp; Delivery of Oil Palm Seedlings for distribution to farmers provincewide</t>
  </si>
  <si>
    <t>PB-20-297, Supply of Diesel Fuel for various equipment/vehicle use to transport relief goods related to COVID-19 mitigation to different municipalities of the Province of Cotabato</t>
  </si>
  <si>
    <t>PB-20-277, Supply &amp; Delivery of Livestock (Large Ruminants) for distribution to qualified beneficiaries provincewide</t>
  </si>
  <si>
    <t>PB-20-276, Supply &amp; Delivery of Goats for distribution to qualified beneficiaries provincewide</t>
  </si>
  <si>
    <t>SUPPLY AND DELIVERY OF 1 UNIT MINI DUMP TRUCK - BARANGAY MABUSLO</t>
  </si>
  <si>
    <t>Repiar of Supervisor's Office San pablo Central School.</t>
  </si>
  <si>
    <t>SUPPLY AND DELIVERY OF 1 UNIT GARBAGE TRUCK - BARANGAY BUAG</t>
  </si>
  <si>
    <t>20GPF0008: Supply and Delivery of Asphalt and Aggregates for Use of Maintenance Section of DPWH- Benguet 2nd DEO in Patching, Crack and Joint Sealing of Concrete Pavement along National Roads</t>
  </si>
  <si>
    <t>(SP-VG) 2ND INVITATION TO BID FOR THE 1,429 PAX MEALS &amp; SNACKS, ETC. FOR THE  SANGGUNIANG PANLALAWIGAN – OFFICE OF THE VICE GOVERNOR--285,800.00</t>
  </si>
  <si>
    <t>20HF0096 Asset Preservation Program-Construction of Drainage along Toledo-Tabuelan-Sn Remigio Rd,  K0063+685 – K0063+877</t>
  </si>
  <si>
    <t>(GO-PDRRMO) INVITATION TO BID FOR THE SUPPLY AND DELIVERY OF GROCERY ITEMS FOR STOCKPILE (SARDINES, POWERED MILK, ETC.) FOR THE  PROVINCIAL DISASTER RISK REDUCTION MANAGEMENT OFFICE--332,967.82</t>
  </si>
  <si>
    <t>20HF0097 Asset Preservation Program – Rehabilitation/Reconstruction of Naga-Uling Road,  K0039+233 – K0039+632 with Slips, Slope Collapse and Landslide, Brgy. Don Andres Soriano,  Toledo City, Cebu</t>
  </si>
  <si>
    <t>PB-20-248, Supply &amp; Delivery of Food Processing Equipment to be given to Coffee and Cacao qualified planters in the Province of Cotabato</t>
  </si>
  <si>
    <t>(PHRMO) INVITATION TO BID FOR THE SUPPLY AND DELIVERY OF 4 UNITS BIOMETRIC MACHINE FOR THE  PROVINCIAL HUMAN RESOURCE MANAGEMENT OFFICE--80,000.00</t>
  </si>
  <si>
    <t>100-2020-04-641 Supply and delivery of 4 sets #12”Ø concrete moulding (RCPC) , etc.</t>
  </si>
  <si>
    <t>100-2020-05-655 Supply and delivery of 1 unit desktop, etc.</t>
  </si>
  <si>
    <t>PEO-20-0543 B- Procurement of Balance Weight for use in the Material Testing and Quality Control Section assigned at PEP, Sta. Barbara, Iloilo</t>
  </si>
  <si>
    <t>PEO-20-0545 B- Procurement of Technical and Scientific Equipment for use in the Material Testing and Quality Control Section, PEP, Sta, Barbara, Iloilo</t>
  </si>
  <si>
    <t>PROCUREMENT OF COMMON OFFICE SUPPLIES OF CVNHS (SHS)</t>
  </si>
  <si>
    <t>PURCHASE AND INSTALLATION OF SOUND SYSTEM AND CCTV CAMERAS FOR THE PAMANTASAN NG DASMARIÑAS</t>
  </si>
  <si>
    <t>100-2020-05-703 Supply and delivery of 650 pcs reflectorized vest, etc.</t>
  </si>
  <si>
    <t>100-2020-05-672 Supply and delivery of 75 pails oil 40-HD, etc.</t>
  </si>
  <si>
    <t>INSTALLATION OF SOLAR POWERED IRRIGATION SYSTEM</t>
  </si>
  <si>
    <t>PEO-20-0501 B- Procurement of Construction Materials for the Improvement of Leon – Omambong – Cordova Road, Tigbauan, Iloilo</t>
  </si>
  <si>
    <t>PURCHASE OF BPSO VEHICLE</t>
  </si>
  <si>
    <t>19GF00028 - Procurement of &amp; Installation of Canopy for sixteen (16) Service Vehicles (PR No. 20-02-059 dated 2/28/2020), EMD, DPWH, Region V, Legazpi City</t>
  </si>
  <si>
    <t>REDEVELOPMENT OF JUAN SULSE MEMORIAL PARK</t>
  </si>
  <si>
    <t>Backfilling (BFAR Fislanding Project Site) Phase II</t>
  </si>
  <si>
    <t xml:space="preserve">19GF00027 - Procurement of Nine (9) sets Materials Testing, Thirty three (33) pcs. Clerical Mesh Chair, Mobile Pedestal, etc. for use in the QAHD, Laboratory Office (PR No. 20-03-072 dated 3/9/2020), </t>
  </si>
  <si>
    <t>PEO-20-0597 B- Procurement of Construction Materials for use in the Improvement of Drainage Canal along Batad Pob.-Bulak Road, Batad, Iloilo</t>
  </si>
  <si>
    <t>100-2020-05-657 Supply and delivery of 609 packs organic fertilize/microbial inoculant 100g/pack, etc.</t>
  </si>
  <si>
    <t>Inspection and Repair as Necessary of NV311</t>
  </si>
  <si>
    <t>Diorite (PR-2020-8751-0099)</t>
  </si>
  <si>
    <t>Improvement of Roro Port</t>
  </si>
  <si>
    <t>PEO-20-0547 B- Procurement of Spare Parts for use in the repair and maintenance of Hino Dump Trucks (NDT-41-50) Model: FG1JGUE-TGL assigned at PEP, Sta. Barbara, Iloilo</t>
  </si>
  <si>
    <t>Concreting of Davies Street</t>
  </si>
  <si>
    <t>Road Opening (Phase 2)</t>
  </si>
  <si>
    <t>Supply of Materials, Labor and Equipment for the Installation of Street Lighting System (Solar) at Market Site, Barangay Poblacion, Lobo, Batangas</t>
  </si>
  <si>
    <t>Improvement of Maluko Public Market</t>
  </si>
  <si>
    <t>Fencing of Municipal Tree Park at Cayus</t>
  </si>
  <si>
    <t>Supply of Materials, Labor and Equipment for the Construction of Additional Structures of New Public Market Site (Site for STP and Parking Area) at Barangay Poblacion, Lobo, Batangas</t>
  </si>
  <si>
    <t>FOD-R-20-2128: Procurement of 20 units of Laptop</t>
  </si>
  <si>
    <t>CONCRETING OF ROAD</t>
  </si>
  <si>
    <t>Construction /Rehabilitation of Roofing &amp; Ceiling of Municipal Library Office at Poblacion, Bugallon, Pangasinan</t>
  </si>
  <si>
    <t>Supply of Materials, Labor and Equipment for Lobo Public Market Sewage Treatment Plant and Facility at Barangay Poblacion, Lobo, Batangas</t>
  </si>
  <si>
    <t>CONSTRUCTION OF FLOOD CONTROL (RIP-RAPPING)</t>
  </si>
  <si>
    <t>CONSTRUCTION OF PUBLIC/GOVERNMENT INFRASTRUCTURES (CONSTRUCTION OF THIRD LAGOON)</t>
  </si>
  <si>
    <t>FOD-R-20-2127: Procurement of 6 units of Branded Desktop Computer (with complete accessories)</t>
  </si>
  <si>
    <t>Supply, Delivery, Installation and Commissioning of One (1) Unit Fully Automated Blood Culture System</t>
  </si>
  <si>
    <t>Supply of Materials, Labor and Equipment for the Construction of Lobo Public Market Fence at Barangay Poblacion, Lobo, Batangas</t>
  </si>
  <si>
    <t>REHABILITATION/IMPROVEMENT OF SOLAR LIGHTS</t>
  </si>
  <si>
    <t>CONSTRUCTION OF ADDITIONAL CEMETERY VAULT</t>
  </si>
  <si>
    <t>INSTALLATION OF TWENTY TWO (22) UNITS SOLAR LIGHTS</t>
  </si>
  <si>
    <t>PROCUREMENT OF OFFICE AND JANITORIAL SUPPLIES FOR THE 1ST AND 2ND QUARTERS OF CY 2020</t>
  </si>
  <si>
    <t>ITB (PB)-Construction of Kabuntalan Fire Station, Maguindanao</t>
  </si>
  <si>
    <t>ITB (PB)-Construction of Maguing Fire Station, Lanao Del Sur</t>
  </si>
  <si>
    <t>IMPROVEMENT OF MUNICIPAL COVERED COURT</t>
  </si>
  <si>
    <t>Proposed Concreting of Road at Brgy. San Joaquin, San Pablo City.</t>
  </si>
  <si>
    <t>One(1) Job: Building and Design of Pototan Community Quarantine Facility for use as quarantine area for COVID 19 PUI's and PUM's of the Municipality of Pototan</t>
  </si>
  <si>
    <t>CONSTRUCTION OF WATER IMPOUNDING FACILITIES</t>
  </si>
  <si>
    <t>Improvement of Road, Ybañez &amp; Corner Dollente St, Magsaysay</t>
  </si>
  <si>
    <t>Proposed Construction of Fence at Cresencia Drusila Senior High School, Brgy. San Roque, San Pablo City.</t>
  </si>
  <si>
    <t>Supply, Delivery, Installation, and Commissioning of One (1) Unit Fully Automated System for Bacterial Identification and Antimicrobial Susceptibility Testing</t>
  </si>
  <si>
    <t>CONSTRUCTION OF WATER SYSTEM</t>
  </si>
  <si>
    <t>Fabrication of 4 Component Material Recovery Facility @ Bulo East ES, Bulo West ES, Burubor ES, Barangay Hall, Bulo</t>
  </si>
  <si>
    <t>ROAD CONCRETING, BRGY. CAMITOC, DULAG LEYTE</t>
  </si>
  <si>
    <t>Improvement of Road @ Purok 3, Agbannawag</t>
  </si>
  <si>
    <t>IB NO. 05-2020 - PROVISION OF SECURITY SERVICES</t>
  </si>
  <si>
    <t>Improvement of Drainage Canal @ FF Cruz (GAD) Purok 5, Bulanao</t>
  </si>
  <si>
    <t>CONSTRUCTION OF COVERED LINE CANAL</t>
  </si>
  <si>
    <t>Rip-rapping of Creek Site (GAD) Sitio Cacaligan, Bantay</t>
  </si>
  <si>
    <t>20IA0089 Construction of Disinfection Facility at Biliran Checkpoint, Biliran Bridge</t>
  </si>
  <si>
    <t>Construction of Deep Well &amp; Tank (GAD) New Balbalan, Lacnog</t>
  </si>
  <si>
    <t>Improvement of Access Road (Rip-rapping) form Turod to Burubor to Casigayan</t>
  </si>
  <si>
    <t>20KA0142 Construction of Multi Purpose Building - Construction of Multi-Purpose  Building, Brgy. Iba, Cabanglasan, Bukidnon (Phase II) Cabanglasan, Bukidnon</t>
  </si>
  <si>
    <t>Procurement of Office Supplies for Stock of City General Services Office</t>
  </si>
  <si>
    <t>Rehabilitation of Road Creekside, Cacaligan, Bantay</t>
  </si>
  <si>
    <t>Construction of Basketball Court @ Purok 7, Laya West</t>
  </si>
  <si>
    <t>Improvement of Roadside Slope Protection @ Burayucan, Balong</t>
  </si>
  <si>
    <t>Improvement of Barangay Hall/Gym Compound, Centro, Lacnog</t>
  </si>
  <si>
    <t>Construction of Deep Well (GAD) Alawao, Cudal</t>
  </si>
  <si>
    <t>Construction of Canal Lining @ Sagpat, San Julian</t>
  </si>
  <si>
    <t>Improvement of FMR @ Laod, Nambaran</t>
  </si>
  <si>
    <t>Construction of Canal Lining @ Cogawe, Cudal</t>
  </si>
  <si>
    <t>Graveling of Roads @ Cuaresma St, Laya West</t>
  </si>
  <si>
    <t>Improvement of Barangay Road @ Bliss, Nambaran</t>
  </si>
  <si>
    <t>Improvement of Road @ New Site &amp; Bliss, Nambaran</t>
  </si>
  <si>
    <t>Supply of Materials/Parts for the SMI&amp;ARAS of NAW Units (NVT324, NVT330, NVT331 &amp; NHT421)</t>
  </si>
  <si>
    <t>20IA0090 Repair /Maintenance of DPWH Buildings</t>
  </si>
  <si>
    <t>20FF0090 - Construction of Multi-Purpose Building, Brgy. San Isidro, Magarao, Camarines Sur</t>
  </si>
  <si>
    <t>Proposed Improvement of Brgy. Hall, Barangay Imbang Pequeno, San Enrique, Iloilo</t>
  </si>
  <si>
    <t>Procurement of Furniture &amp; Fixture - PASSO</t>
  </si>
  <si>
    <t>Procurement of Catering Services, Office Supplies and PPE - Lot 1 - Catering Services - PAGSO</t>
  </si>
  <si>
    <t>Improvement of Road @ Catao, Lacnog</t>
  </si>
  <si>
    <t>Procurement of Hauling Services - PGO</t>
  </si>
  <si>
    <t>Continuation of Farm to Market Road, Junction-Balabalan-Katao &amp; Cemetery Site, Lacnog</t>
  </si>
  <si>
    <t xml:space="preserve">20DC0191 - LOCAL PROGRAM, Construction/Repair/Rehabilitation/Improvement of Various Infrastructure including Local Projects, Buildings And Other Structures, Multipurpose/Facilities, Rehabilitation of </t>
  </si>
  <si>
    <t xml:space="preserve">20DC0188 - LOCAL PROGRAM, Construction/Repair/Rehabilitation/Improvement of Various Infrastructure including Local Projects, Buildings And Other Structures, Multipurpose/Facilities, Rehabilitation of </t>
  </si>
  <si>
    <t>20DC0190 - LOCAL PROGRAM, Local Infrastructure Program, Local Roads and Bridges, Local Roads, Concreting of Local Roads, Sta. Teresita, Batangas</t>
  </si>
  <si>
    <t>20DC0187 - LOCAL PROGRAM, Const./Repair/Rehab./Improvement of Various Infrastructure including Local Projects, Buildings And Other Structures, Multipurpose/Facilities, Construction of Multi-Purpose Bu</t>
  </si>
  <si>
    <t>20CSEB02-R1 - CLUSTER 2020-BR02: SUB-SURFACE/SOIL EXPLORATION FOR VARIOUS FY 2020 BRIDGE PROJECTS (LOCAL INFRASTRUCTURE PROGRAM)</t>
  </si>
  <si>
    <t>20DC0189 - LOCAL PROGRAM, Local Infrastructure Program, Buildings And Other Structures, Multipurpose/Facilities, Construction and/or Repair/Rehabilitation of Multi-Purpose Building, Brgy. San Jose, Al</t>
  </si>
  <si>
    <t>20FF0092 - Construction of Multi-Purpose Building, Brgy. San Felipe, Naga City</t>
  </si>
  <si>
    <t>20MH0101 - Application of Pavement Markings of National Roads along Isulan- Jct. Dukay-Bagumbayan-Sen. Ninoy Aquino-Kalamansig Road,  K1824+270 - K1825+900, K1830+600 -K1831+650, K1837+000 - K1837+800</t>
  </si>
  <si>
    <t>20FF0093 - Repair/Rehab/Improvement of Quality Assurance and Warehouse, DPWH Cam. Sur 3rd DEO, Baras, Canaman, Camarines Sur</t>
  </si>
  <si>
    <t>20FF0091 - Construction of Multi-Purpose Building (Covered Court), Brgy. San Francisco, Calabanga, Camarines Sur</t>
  </si>
  <si>
    <t>20MH0102 - Application of Pavement Markings of National Roads along Awang- Upi-Lebak-Kalamansig-Palimbang Road, K2007+000 -  K2009+000, K2012+000 -K2013+500, K2028+800 -K2030+800, K2042+800 -K2045+065</t>
  </si>
  <si>
    <t>Procurement of Catering Services, Office Supplies and PPE  - Lot 3 - PPE (GARMENTS) - PAGSO</t>
  </si>
  <si>
    <t>Procurement of Catering Services, Office Supplies and PPE - Lot 2 - Office Supplies - PAGSO</t>
  </si>
  <si>
    <t>Inspection and Repair as Necessary (IRAN) of NVT330</t>
  </si>
  <si>
    <t>Procurement of Various Medical Supplies - PBCH</t>
  </si>
  <si>
    <t>Procurement of Various Veterinary Drugs and Biologics - PVET</t>
  </si>
  <si>
    <t>Invitation to Bid for PROCUREMENT OF TRAINING SUPPLIES AND EQUIPMENT</t>
  </si>
  <si>
    <t>Inspection and Repair as Necessary of NV320</t>
  </si>
  <si>
    <t>Procurement of Poultry Nets and Nylon - PVET</t>
  </si>
  <si>
    <t>Procurement of Various IT Supplies - PEO ADMIN</t>
  </si>
  <si>
    <t>Procurement of Polybags - PAGSO</t>
  </si>
  <si>
    <t>Procurement of Artificial Insemination Materials and Supplies - PVET</t>
  </si>
  <si>
    <t>20GJ00004 - Procurement of DPWH Security Services of Twenty Four (24) Security Personnel for Deployment at DPWH Regional Office IX (15 Security Guards), Isabela City DEO (3 Security Guards), Zamboanga</t>
  </si>
  <si>
    <t>Procurement of Tires - ADH</t>
  </si>
  <si>
    <t>Invitation to Bid for PROCUREMENT OF SMART TV &amp; DESKTOP (Sual National High School)</t>
  </si>
  <si>
    <t>Procurement of Various Housekeeping, UPS and Visitor’s Chairs - Lot 2 - UPS - PTO</t>
  </si>
  <si>
    <t>Procurement of Tubeless Tire - HCH</t>
  </si>
  <si>
    <t>Procurement of Various Housekeeping, UPS and Visitor’s Chairs  - Lot 3 - Visitors Chair (funiture) - PTO</t>
  </si>
  <si>
    <t>Procurement of Other Supplies and Materials - PVET</t>
  </si>
  <si>
    <t>Procurement of Various Housekeeping, UPS and Visitor’s - Lot 1 - Housekeeping Supplies - PTO</t>
  </si>
  <si>
    <t>INVITATION TO BID FOR THE PROCUREMENT OF ICT EQUIPMENT</t>
  </si>
  <si>
    <t>Procurement of Various Vegetable Seeds - PAGSO</t>
  </si>
  <si>
    <t>Procurement of Various Laboratory Reagent Supplies - SDH</t>
  </si>
  <si>
    <t>Procurement of Various Medical Equipment  - PDH</t>
  </si>
  <si>
    <t>CONSTRUCTION OF SLOPE PROTECTION AT BRGY. TUACA</t>
  </si>
  <si>
    <t>INVITATION TO BID FOR THE PROCUREMENT OF TECHNICAL AND SCIENTIFIC EQUIPMENT (Supply, Delivery and Installation)</t>
  </si>
  <si>
    <t>Improvement of Municipal Slaughterhouse</t>
  </si>
  <si>
    <t>CLUSTER 15: CLUSTERED PROJECTS OF BARANGAY LOO – 1</t>
  </si>
  <si>
    <t>IMPROVEMENT OF DAY CARE CENTER</t>
  </si>
  <si>
    <t>Purchase of one unit ambulance</t>
  </si>
  <si>
    <t>CONSTRUCTION OF FLOOD CONTROL STRUCTURE AT BRGY. BACTAS</t>
  </si>
  <si>
    <t>CLUSTER 16: FENCING OF BANGAO NATIONAL HIGH SCHOOL</t>
  </si>
  <si>
    <t>REHABILITATION OF BARANGAY ROAD</t>
  </si>
  <si>
    <t>CONSTRUCTION OF ACCESS ROAD</t>
  </si>
  <si>
    <t>Construction of Multi-Purpose Building - Abaya, Galimuyod, Ilocos Sur</t>
  </si>
  <si>
    <t>Supply and Delivery of HDPE Pipes</t>
  </si>
  <si>
    <t>Improvement of Legislative Building</t>
  </si>
  <si>
    <t>Supply and Delivery of Planting Materials</t>
  </si>
  <si>
    <t>Supply and Delivery of Various Machineries</t>
  </si>
  <si>
    <t>GOODS-062220-035 - PURCHASE OF VARIOUS DRUGS AND MEDICINES FOR BMC AND VARIOUS DISTRICT HOSPITALS</t>
  </si>
  <si>
    <t>Supply and Delivery of Various Fertilizers</t>
  </si>
  <si>
    <t>20DC0186 - LOCAL PROGRAM, Local Infrastructure Program, Buildings and Other Structures, Multipurpose/Facilities, Construction (Completion) of Multi-Purpose Building, Brgy. Subic Ibaba, Agoncillo, Bata</t>
  </si>
  <si>
    <t>Supply and Delivery of Corn Seeds</t>
  </si>
  <si>
    <t>GOODS-062220-036 - PURCHASE OF VARIOUS MEDICAL SUPPLIES FOR BMC AND VARIOUS DISTRICT HOSPITALS</t>
  </si>
  <si>
    <t>20G00097 - Construction of Revetment Wall along Cangaranan River at Cangaranan Bridge (Abutment A), Bugasong, Antique</t>
  </si>
  <si>
    <t>PROCUREMENT OF BRAND NEW CUSTOMIZED RESCUE (EMERGENCY RESPONSE) VEHICLE</t>
  </si>
  <si>
    <t>Supply and Delivery of Floor Mounted Air conditioner (Including Installation)</t>
  </si>
  <si>
    <t>GOODS-062220-038 - PURCHASE OF VARIOUS DRUGS AND MEDICINES FOR PGB PHARMACY</t>
  </si>
  <si>
    <t>GOODS-062220-039 - PURCHASE OF VARIOUS CONSTRUCTION MATERIALS FOR COMMUNITY IMPROVEMENT</t>
  </si>
  <si>
    <t>ROAD OPENING (SAN GREGORIO – BANUYO PHASE 3) AT BARANGAY BANUYO, BORONGAN CITY, EASTERN SAMAR</t>
  </si>
  <si>
    <t>SUPPLY AND DELIVERY OF MEALS &amp; SNACKS</t>
  </si>
  <si>
    <t>LOCAL ACCESS ROAD UPGRADING AT BRGY. ANTIKIN, INFANTA, QUEZON</t>
  </si>
  <si>
    <t>CONSTRUCTION  BARANGAY STAGE - POBLACION, BARANGAY POBALCION, POLILLO, QUEZON</t>
  </si>
  <si>
    <t>GOODS-062220-040 - PURCHASE OF VARIOUS MATERIAL AID FOR DISTRIBUTION</t>
  </si>
  <si>
    <t>Completion for Sergio Osmeña Street going Mabuhay Central Elementary School</t>
  </si>
  <si>
    <t>CONSTRUCTION OF PROPOSED HALFWAY HOUSE FOR FORMER REBEL &amp; MILITIA NG BAYAN (BGY. IRAWAN, PUERTO PRINCESA CITY)</t>
  </si>
  <si>
    <t>20GPJ0001:PR No. 2020-02-001 Procurement of Security Services for Day and Night Shift of DPWH-Ifugao Second District Engineering Office Main Office,Potia Sub-Office &amp; Banaue Satellite Office/Resthouse</t>
  </si>
  <si>
    <t>PEO-062220-081 - REHABILITATION/IMPROVEMENT OF MATICTIC BRIDGE, NORZAGARAY, BULACAN</t>
  </si>
  <si>
    <t>SUPPLY AND DELIVERY OF ONE (1) UNIT AMBULANCE</t>
  </si>
  <si>
    <t>LOCAL ACCESS ROAD UPGRADING AT BRGY. AGOS-AGOS, INFANTA, QUEZON</t>
  </si>
  <si>
    <t>SUPPLY AND DELIVERY OF DISASTER KIT &amp; FIRST AID BAG</t>
  </si>
  <si>
    <t>20LA0254 Improvement of MPB, Barangay Cuambog, Mabini, Compostela Valley</t>
  </si>
  <si>
    <t>ROAD CONCRETING AT BARANGAY AMANTACOP, BORONGAN CITY, EASTERN SAMAR</t>
  </si>
  <si>
    <t>SUPPLY AND DELIVERY OF TEMPORARY SHELTER</t>
  </si>
  <si>
    <t>20LA0132 Construction of MPB Nabunturan, (Phase 2), Compostela Valley (Hall of Justice), Compostela Valley</t>
  </si>
  <si>
    <t>20LA0255 Construction of Multi-Purpose Bldg. (Brgy. Hall) San Antonio, Laak, Compostela Valley</t>
  </si>
  <si>
    <t>Purchase of Eleven (11) Units Laptop for the Use of Sangguniang Bayan</t>
  </si>
  <si>
    <t>20LA0136 Construction of Multi-Purpose Bldg. (Public Market), Mawab, Compostela Valley</t>
  </si>
  <si>
    <t>20GAB0004: SUPPLY AND DELIVERY OF CHEVRON DIRETIONAL SIGN 3MM THICK ALUMINUM SHEET POST: 3MX2" DIAM. SCHEDULE 40 GOLDEN YELLOW GALVANIZED IRON POST FOR USE ALONG NATIONAL ROADS WITHIN ILOCOS NORTE 2ND</t>
  </si>
  <si>
    <t>Improvement of Farm to Market Road - Calongbuyan, Galimuyod, Ilocos Sur</t>
  </si>
  <si>
    <t>20LA0161 Construction of Multi-Purpose Building, Tuk-an ES, Brgy. Poblacion, Laak, Compostela Valley</t>
  </si>
  <si>
    <t>20LA0135 Rehabilitation of Multi-Purpose Building (Municipal Gym), Mawab, Compostela Valley</t>
  </si>
  <si>
    <t>Procurement of Motor Vehicle</t>
  </si>
  <si>
    <t>MAINIT- MAREGREG ROAD CONSTRUCTION</t>
  </si>
  <si>
    <t>GOODS-062220-034 - PURCHASE OF VARIOUS DRUGS AND MEDICINES FOR BMC (LGSF)</t>
  </si>
  <si>
    <t>20LA0134 Construction of Multi-Purpose Building., (Municipal Hall), Mabini, Compostela Valley</t>
  </si>
  <si>
    <t>20LA0258 Improvement of MPB (including site development), Laak NHS, Poblacion, Laak, Compostela Valley</t>
  </si>
  <si>
    <t>20LA0195 Construction of Multi-Purpose Building (Mini Gym) Naga ES, Naga, Laak, Compostela Valley</t>
  </si>
  <si>
    <t>20LA0259 Completion of Multi-Purpose Building (Gym), Nueva Visayas ES, Mawab, Compostela Valley</t>
  </si>
  <si>
    <t>Procurement of Watercrafts</t>
  </si>
  <si>
    <t>20LA0257 Construction of Multi-Purpose Bldg., 10 Division Phil. Army, Brgy. Tuburan, Mawab, Compostela Valley</t>
  </si>
  <si>
    <t>20LA0256 Rehabilitation of MPB (GYM), Brgy. Ampawid, Laak, Compostela Valley</t>
  </si>
  <si>
    <t>20LA0261 Construction of Concrete Road, Kiokmay, Laak, Compostela Valley</t>
  </si>
  <si>
    <t>Purchase of Medical, dental and laboratory supplies for Rural Health Unit and Annual Circumcision</t>
  </si>
  <si>
    <t>SUPPLY AND DELIVERY OF 2-UNITS BRAND NEW EMERGENCY RESCUE VEHICLE</t>
  </si>
  <si>
    <t>20LA0260 Rehabilitation of Multi-Purpose Building (Gym) Brgy. San Roque, Nabunturan, Compostela Valley</t>
  </si>
  <si>
    <t>Bidding of Supply and Delivery of Office Supplies for the use of PANTAWID Staff for 2020</t>
  </si>
  <si>
    <t>Procurement of Coaster Van of LGU Tabuk</t>
  </si>
  <si>
    <t>20LA0264 Construction of Concrete Road, Brgy. Tagnocon, Nabunturan, Compostela Valley</t>
  </si>
  <si>
    <t>Concreting of Esso Road</t>
  </si>
  <si>
    <t>Procurement of One (1) Unit Motor Vehicle for SP Suma-al</t>
  </si>
  <si>
    <t>20LA0263 Construction of Concrete Road, Naga, Laak, Compostela Valley</t>
  </si>
  <si>
    <t>20LA0262 Construction of Concreting Road (Opening) Tagugpo, Pantukan</t>
  </si>
  <si>
    <t>20LA0265 Construction of Concrete Road, Concepcion, Mawab, Compostela Valley</t>
  </si>
  <si>
    <t>20LA0267 Construction of Concrete Road, Concepcion Mawab to Calabcab Limbo Maco Road, Compostela Valley</t>
  </si>
  <si>
    <t>20LA0266 Construction of Concrete Road, Las Arenas – Araibo, Pantukan, Compostela Valley</t>
  </si>
  <si>
    <t>GOODS-062220-037 - PURCHASE OF VARIOUS LABORATORY SUPPLIES FOR BMC AND VARIOUS DISTRICT HOSPITALS</t>
  </si>
  <si>
    <t>Procurement of One (1) Unit Motor Vehicle for SP Wacnang</t>
  </si>
  <si>
    <t>Supply and delivery of various office and janitorial supplies and materials</t>
  </si>
  <si>
    <t>20LA0269 Construction of Concrete Road Katipunan, Nabunturan, Compostela Valley</t>
  </si>
  <si>
    <t>20LA0272 71X-Special Maintenance of Reflective Thermoplastic Stripping Materials (Solid Form) along Daang Maharlika Road</t>
  </si>
  <si>
    <t>20LA0270 71X-Special Maintenance of Reflective Thermoplastic Stripping Materials (Solid Form) along Montevista-Compostela-New Bataan-Maragusan-Mati Bdry. Road &amp; Benigno S. Aquino Jr. National Highway</t>
  </si>
  <si>
    <t>Event Styling (Municipal Gymnasium)</t>
  </si>
  <si>
    <t>Repair and Maintenance of Road Safety Facilities along Apitong-Paterno Rd (S00017LT) K0908+(-550)-K0908+000 &amp; K0908+200-K0909+100, Burgos St (S00031LT) Chainage 598-Chainage 845, Caibaan Rd (S00018LT</t>
  </si>
  <si>
    <t>Construction of 4KM Covered Canal (Phase 2) - ITB 025-2020 GQ</t>
  </si>
  <si>
    <t>20LA0275 Construction of Concrete Road, Panibasan-Elizalde, Maco, Compostela Valley</t>
  </si>
  <si>
    <t>CONSTRUCTION OF FARM TO MARKET ROAD AT BRGY. SAN ISIDRO ALANGALANG, LEYTE</t>
  </si>
  <si>
    <t>Supply and Delivery of Office Supplies for Different Offices of LGU Calauag, Quezon for the year 2020</t>
  </si>
  <si>
    <t>CONSTRUCTION OF POBLACION MULTI-PURPOSE BUILDING</t>
  </si>
  <si>
    <t>20LA0280 Construction of Concrete Road, Libaylibay-New Visayas, Sangab, Calabcab Limbo to Mawab-Maragusan Road, Mawab, Compostela Valley</t>
  </si>
  <si>
    <t>Supply and Delivery of 8 units Portable X-ray Machine Package under Purchase Request No. 827-20</t>
  </si>
  <si>
    <t>REHAB./IMPROVEMENT OF BASKETBALL COURT (S.K FUND)</t>
  </si>
  <si>
    <t>20LA0279 Construction of Concrete Road, Lumatab to Binuangan, Maco, Compostela Valley</t>
  </si>
  <si>
    <t>20LA0271 66X-Selective Replacement of Concrete Pavement along Benigno S. Aquino Jr. National Highway</t>
  </si>
  <si>
    <t>CONSTRUCTION/UPGRADING/CONCRETING OF STA. LUCIA ROAD</t>
  </si>
  <si>
    <t>Supply of gasoline and diesel fuel, additives and lubricants</t>
  </si>
  <si>
    <t>20LA0274 Construction of Multi-Purpose Building Mechanized Infantry 10th Division Tuburan, Mawab, Compostela Valley</t>
  </si>
  <si>
    <t>20LA0276 Opening/Rehabilitation Boringot, Pantukan, Compostela Valley</t>
  </si>
  <si>
    <t>20LA0273 Construction of Multi-Purpose Building (Mini Gym) with Site Development, Cabacungan, Nabunturan, Compostela Valley</t>
  </si>
  <si>
    <t>20LA0277 Construction of concrete road, Amorcruz, Laak, Compostela Valley</t>
  </si>
  <si>
    <t>Rental of Equipment for the Road Opening of Bunacan Road Sitio Tawid  (Buenos to Bunacan)</t>
  </si>
  <si>
    <t>20LA0278 Construction of concrete road Cabidianan to Antiquera, Nabunturan, Compostela Valley</t>
  </si>
  <si>
    <t>IMPROVEMENT OF MPA</t>
  </si>
  <si>
    <t>Conversion of Anini-y RHU to Polyclinic</t>
  </si>
  <si>
    <t>Concreting of Velez Road at P-1, Brgy. Matacong</t>
  </si>
  <si>
    <t>Concreting of FMR (Manlimonsito to San Ramon) Brgy. Manlimonsito Phase II</t>
  </si>
  <si>
    <t>Construction of Rainwater Collection System-Tacloban National Agricultural School, Sta. Elena Elementary School, Northern Tacloban City National High School, New Hope Elementary School, Old Kawayan E</t>
  </si>
  <si>
    <t>Procurement of Service/supply contract for gasoline and lubricants for use I service vehicle lights/heavy equipments, brushcutter, plate compactor, concrete cutter, chainshaw and other construction eq</t>
  </si>
  <si>
    <t>20LA0282 Construction of Multi-Purpose Building (Women’s Center), Brgy. Cabiadianan, Nabunturan, Compostela Valley</t>
  </si>
  <si>
    <t>20LA0281 Construction of Public Market and Terminal Complex (Phase 2), Brgy. Kingking (Poblacion), Pantukan, Compostela Valley</t>
  </si>
  <si>
    <t>Concreting of Patpatani Road</t>
  </si>
  <si>
    <t>Installation of Automatic Fire System, Addressable Fire Detection and Alarm System, Intercom System, Cable Television and Telephone Data System</t>
  </si>
  <si>
    <t>MUNICIPAL ROAD REBLOCKING POBLACION, ALANGALANG, LEYTE</t>
  </si>
  <si>
    <t>Rehabilitation of Birthing Clinic</t>
  </si>
  <si>
    <t>Purchase &amp; Delivery of Drugs &amp; Medicines for GMCH</t>
  </si>
  <si>
    <t>SUPPLY AND DELIVERY OF SUPPLIES &amp; MATERIALS</t>
  </si>
  <si>
    <t>20BF0048: Concreting of Brgy. San Miguel, Local Access Road, Luna, Isabela</t>
  </si>
  <si>
    <t>20BF0049: Construction of Multi-Purpose Building, Brgy. Macatal, Aurora, Isabela</t>
  </si>
  <si>
    <t>PROCUREMENT OF OFFICE SUPPLIES 2020-2021</t>
  </si>
  <si>
    <t>20BF0051: Concreting of Road, Brgy. Callanguigan, Quezon, Isabela</t>
  </si>
  <si>
    <t>Petroleum, Oil and Lubricants</t>
  </si>
  <si>
    <t>Concreting of Pakai Access Road (Road 5) Brgy. Matacong</t>
  </si>
  <si>
    <t>20BF0050: Construction of Flood Control Structures at Brgy. Sto. Niño, Aurora, Isabela</t>
  </si>
  <si>
    <t>Concreting of SLR Slaughterhouse Access Road at Brgy. Mampurog</t>
  </si>
  <si>
    <t>CLUSTER 25-2020</t>
  </si>
  <si>
    <t>PIKCOT-002020-010 ( IMPROVEMENT OF VARIOUS BARANGAY ROADS)</t>
  </si>
  <si>
    <t>20BF0052: Concreting of Road, Brgy. Bannawag, Aurora, Isabela</t>
  </si>
  <si>
    <t>Sangguniang Bayan Publication of Ten (10) Ordinances</t>
  </si>
  <si>
    <t>20BF0053: Concreting of Road, Brgy. San Antonio, Roxas, Isabela</t>
  </si>
  <si>
    <t>SUPPLY AND DELIVERY OF CONTAINER VAN (MTO)</t>
  </si>
  <si>
    <t>Procurement of One (1) Unit Photocopier and Air Conditioning Unit - Lot 2 - Air Conditioning Unit</t>
  </si>
  <si>
    <t>Improvement of Farm to Market Road - Sabangan Bato, Galimuyod, Ilocos Sur</t>
  </si>
  <si>
    <t>20JG0074 - Construction / Rehabilitation of Water Supply / Rain Water Collector System</t>
  </si>
  <si>
    <t>20HN0112 -Repair/Maintenance of Flood Control and Drainage  Structures along Butuanon Creek-Paknaan, Mandaue, Cebu</t>
  </si>
  <si>
    <t>Procurement of It Equipment, Appliances, Office Equipment, Furniture and Fixture and Medical Training Equipment - Lot 2 - Appliances - PHSO</t>
  </si>
  <si>
    <t>Procurement of One (1) Unit BRAND NEW 4x2 SUV Vehicle for the Use of the Provincial Government of Davao Oriental</t>
  </si>
  <si>
    <t>CONTINUATION OF KANAY NATONIN FOOTBRIDGE, NATONIN</t>
  </si>
  <si>
    <t>Procurement of It Equipment, Appliances, Office Equipment, Furniture and Fixture and Medical Training Equipment Lot 4 - furniture and Fixture - PHSO</t>
  </si>
  <si>
    <t>Procurement of It Equipment, Appliances, Office Equipment, Furniture and Fixture and Medical Training Equipment  - Lot 5 Medical Training Equipment - PHSO</t>
  </si>
  <si>
    <t>Procurement of One (1) Unit BRAND NEW 4x4 SUV Vehicle for the Use of the Provincial Government of Davao Oriental</t>
  </si>
  <si>
    <t>Procurement of It Equipment, Appliances, Office Equipment, Furniture and Fixture and Medical Training Equipment  - Lot 1 - IT Equipment - PHSO</t>
  </si>
  <si>
    <t>Supply &amp; Delivery of Mechanical Parts for FG Wilson Gensets of Pangutaran DPP (S3-PPP20-005)</t>
  </si>
  <si>
    <t>Proposed Improvement of Road, Cerrero St. Brgy. Mahabang Parang, Binangonan, Rizal</t>
  </si>
  <si>
    <t>20BF0054: Concreting of Katuday-Simimbaan Road, Brgy. Bantug and Brgy. Simimbaan, Sta. 0+000 to Sta. 3+600, Roxas, Isabela</t>
  </si>
  <si>
    <t>SUPPLY, DELIVERY AND INSTALLATION OF BRAND NEW GENERATING SET WITH WIRING AND ACCESSORIES</t>
  </si>
  <si>
    <t>Proposed Improvement of Road, Picones St. Brgy. Tatala, Binangonan Rizal</t>
  </si>
  <si>
    <t>Proposed Improvement of Road, J. Ulang St. Brgy. Tatala, Binangonan Rizal</t>
  </si>
  <si>
    <t xml:space="preserve">20HN0113 -Construction/Rehabilitation of Water Supply/Septage and  Sewerage/Rain Water Collectors - Rain Water Collectors in Public Facilities namely: (a) Opao ES; (b) Casili ES; (c) Leonard Wood ES; </t>
  </si>
  <si>
    <t>PROCUREMENT OF PPSC FY2020 PUBLICATIONS</t>
  </si>
  <si>
    <t>Proposed Construction of Pathway and Canal with Cover, M.H. del Pilar St. Brgy. Libid, Binangonan Rizal</t>
  </si>
  <si>
    <t>SUPPLY AND DELIVERY OF MOTOR CYCLE</t>
  </si>
  <si>
    <t>ESTABLISHMENT OF ORGANIC TRADING POST</t>
  </si>
  <si>
    <t>CID No. 20LE0121 – Construction of Rainwater Collection System, Stainlesss Steel Horizontal Tank, Davao Occidental</t>
  </si>
  <si>
    <t>Proposed Construction of Road with Canal, Mechilina &amp; Aragoza Extension, Brgy. Batingan, Binangonan Rizal</t>
  </si>
  <si>
    <t>Proposed Improvement of Road, San Rafael St. Brgy. Pantok, Binangonan Rizal</t>
  </si>
  <si>
    <t>Proposed Improvement of Road, Viernes St. Brgy. Mahabang Parang, Binangonan Rizal</t>
  </si>
  <si>
    <t>Procurement of Diesel (Land Development of Balai Maganahay at Brgy. Dawan)</t>
  </si>
  <si>
    <t>RJO, Replacement of Water Supply &amp; Cooling System Pipings for Jolo DPP (S3-JOL20-005)</t>
  </si>
  <si>
    <t>Beaching and Other Related Repairs of SURC 03 and SURC 04</t>
  </si>
  <si>
    <t>Purchase of Mini Fire Truck</t>
  </si>
  <si>
    <t>20GEF010 Cluster V -1. Supply and Delivery of Oil and Lubricants for use of Heavy Equipment, Service Vehicles, Grass Cutter and Chainsaw assigned at DPWH Palawan 2nd District Engineering Office 2. Sup</t>
  </si>
  <si>
    <t>Purchase of Construction Materials for Use in Pavement Markings along National Roads and Bridges within DPWH- Pampanga 2nd District Engineering Office, San Antonio, Guagua, Pampanga</t>
  </si>
  <si>
    <t>UPGRADING</t>
  </si>
  <si>
    <t>SUPPLY AND DELIVERY OF FERTILIZER, VEGETABLE SEEDS AND OTHER SUPPLIES &amp; MATERIALS</t>
  </si>
  <si>
    <t>INVITATION TO BID FOR THE PROCUREMENT OF VARIOUS IT EQUIPMENT AND ACCESSORIES FOR BUSINESS ONE-STOP SHOP CENTER (BOSS CENTER),  CITY OF ALAMINOS, PANGASINAN</t>
  </si>
  <si>
    <t>Construction  and Imrpovement of various Municipal Projects (Package 20-05)</t>
  </si>
  <si>
    <t>Proposed Painting of Flooring Outdoor Court @ Marikina Sports Complex, Brgy. Sta Elena, Marikina City</t>
  </si>
  <si>
    <t>Proposed Repainting of MSP Building @ Jacamar St., Brgy. Sta Elena, Marikina City</t>
  </si>
  <si>
    <t>Proposed Construction and Improvement of Road, Arabit St. Brgy. Mambog, Binangonan Rizal</t>
  </si>
  <si>
    <t>ROAD OPENING TO SITIO CALBAYUGAY BRGY. CABADSAN, ALANGALANG, LEYTE</t>
  </si>
  <si>
    <t>20HN0114 -Rehabilitation of DICT Building, Nat'l. Telecommunication  Commission, Brgy. Subangdaku, Mandaue City</t>
  </si>
  <si>
    <t>Improvement of Farm to Market Road Leading to Eco-Tourism Park, Abaya, Galimuyod, Ilocos Sur</t>
  </si>
  <si>
    <t>Construction of Watch Tower (Brgy. Zone - 1A, Pulupandan, Negros Occ.)</t>
  </si>
  <si>
    <t>Supply and Delivery of Foodstuff Requirements of Residential Care Facilities (RCFs) of the Department of Social Welfare and Development – National Capital Region (DSWD-NCR) for the period of August 1,</t>
  </si>
  <si>
    <t>20CSLC03 CONSULTANCY SERVICES FOR GEOTECHNICAL, GEOLOGICAL SURVEYS/ INVESTIGATIONS &amp; STRUCTURAL ANALYSIS &amp; DESIGN FOR THE PROPOSED CONSTRUCTION OF MULTI-PURPOSE BUILDING (FISH LANDING FACILITY)</t>
  </si>
  <si>
    <t>Proposed Construction of Canal, Purok 2 &amp; 3, Brgy. Bangad, Binangonan Rizal</t>
  </si>
  <si>
    <t>Proposed Improvement of Road, Kaimito St. Sta. Ursula Subd. Brgy. Batingan, Binangonan Rizal</t>
  </si>
  <si>
    <t>Hauling Services for the Shipment of 1 x 545KW Genset from Basilan DPP to Sitangkai DPP, Tawi Tawi  (S3-WMO20-007 (Re-bid)</t>
  </si>
  <si>
    <t>CLUSTER 26-2020</t>
  </si>
  <si>
    <t>Supply &amp; Delivery of Various O-Rings for Power Barge 119 (S3-B1920-009)</t>
  </si>
  <si>
    <t>Construction/Improvement of C.H.B. Covered Drainage Canal with Concrete Slab &amp; Manhole, Zone 1, Barangay Lipit Norte, Manaoag, Pangsinan</t>
  </si>
  <si>
    <t>Supplying of Fuel, Oil and Gasoline for Heavy Equipment and Various Vehicle (PR#20-06-0569)</t>
  </si>
  <si>
    <t>Proposed Installation and Rectification of Road Sign around Binangonan Area</t>
  </si>
  <si>
    <t>Proposed Construction  of Inter connecting Road from Barangay Kalawaan to Brgy. Pantok to Brgy. Palangoy (Phase II)</t>
  </si>
  <si>
    <t>WDDSP-TWD-IFB-G03b</t>
  </si>
  <si>
    <t>PARCELLARY SURVEY OF BUKAL-ANTIPOLO-TUKALAN ROAD</t>
  </si>
  <si>
    <t>Proposed Widening of Road/Improvement of Barrio Road, Barangay Pag-asa, Binangonan Rizal</t>
  </si>
  <si>
    <t>Procurement of Nutrition and Dietetics Service Equipment</t>
  </si>
  <si>
    <t>Proposed Construction of Waiting Shed &amp; Concrete Benches, Municipal Cemetery, Brgy. Kaytome, Binangonan Rizal</t>
  </si>
  <si>
    <t>CONSTRUCTION OF CONCRETE FOOT BRIDGE (CALAIS)</t>
  </si>
  <si>
    <t>INVITATION TO BID FOR THE CONSTRUCTION OF SLOPE PROTECTION, CROSS DRAINAGE, RAIL GUARD AND CONCRETE SLAB AT NARRA ST., BRGY. SAN JOSE, CITY OF ALAMINOS, PANGASINAN</t>
  </si>
  <si>
    <t>Procurement of Freon for aircondition uint of RFIMC Building office, PFO-office, ORD office, CFRDC Building and Maso Farm Station office.</t>
  </si>
  <si>
    <t>Proposed Construction of Covered Court, Barangay Gulod, Binangonan Rizal</t>
  </si>
  <si>
    <t>Proposed Site Development of Government Center, Antolines St. Brgy. Calumpang, Binangonan Rizal</t>
  </si>
  <si>
    <t>CONSTRUCTION OF BARANGAY ROADS- CLUSTER 5 (BRGY. BATAAN, IMELDA, BULSA)</t>
  </si>
  <si>
    <t>Proposed Improvement of Barangay Hall, Brgy. Layunan, Binangonan Rizal</t>
  </si>
  <si>
    <t>PROVISION OF LABOR, MATERIALS, EQUIPMENT RENTALS AND OTHER INCIDENTALS NEEDED FOR THE REHABILITATION AND ENHANCEMENT OF DUPLEX ROOFING AT DA-INREC, DINGRAS, ILOCOS NORTE</t>
  </si>
  <si>
    <t>Purchase of Rescue Ambulance</t>
  </si>
  <si>
    <t>Proposed Construction of Barangay Hall Extension, Barangay Hall Compound, Brgy. Pag-asa, Binangonan Rizal</t>
  </si>
  <si>
    <t>Proposed Construction of Waiting Shed and Concrete Benches, Wharf, Sitio Makambong, Brgy. Habagatan, Binangonan Rizal</t>
  </si>
  <si>
    <t>Construction of 2nd Floor of RHU Building</t>
  </si>
  <si>
    <t>CONCRETING OF LOCAL  ROAD -Liwayway, Brgy. Lalig, Tiaong, Quezon</t>
  </si>
  <si>
    <t>INVITATION TO BID FOR THE SUPPLY AND DELIVERY OF ONE(1) UNIT SERVICE VEHICLE</t>
  </si>
  <si>
    <t>20GA0063 - Aklan River Flood Control Project, Lezo, Aklan</t>
  </si>
  <si>
    <t>PROVISION OF LABOR, MATERIALS, EQUIPMENT RENTALS AND OTHER INCIDENTALS NEEDED FOR THE RECONSTRUCTION/ENHANCEMENT OF PIGGERY FENCE AT DA-PREC, SUAL, PANGASINAN</t>
  </si>
  <si>
    <t>20CSHN02 -Conduct of Appraisal Services involving Road Widening – Tertiary Roads - Hernan Cortes St - Chainage 1380 –  Chainage 2330, Mandaue City</t>
  </si>
  <si>
    <t>Proposed Improvement and Construction of Creekwall Protection, Brgy. Malakaban, Binangonan Rizal</t>
  </si>
  <si>
    <t>Proposed Improvement of Mini Park Extension, Barangay Bombong, Binangonan Rizal</t>
  </si>
  <si>
    <t>Proposed Installation of Streetlights, A. Bonifacio St. (from JM Basa St. to Libid Elementary School) Brgy. Libid, Binangonan Rizal</t>
  </si>
  <si>
    <t>Procurement of Vacuum Truck for the Septage Treatment Plant of Norzagaray Water District</t>
  </si>
  <si>
    <t>Proposed Construction of Slope Protection, upper side Barangay Kinaboogan, Binangonan Rizal</t>
  </si>
  <si>
    <t>Construction of Slaughterhouse at Municipal Agriculture Office Compound</t>
  </si>
  <si>
    <t>20GA0064 - Aklan River Flood Control Projects, Numancia, Aklan</t>
  </si>
  <si>
    <t>CONSTRUCTION OF MALUMA SITIO SANGAYAN - ALVANIZ HANGING BRIDGE (PHASE II) , BARANGAY CUYAPIAO , PATNONGON, ANTIQUE</t>
  </si>
  <si>
    <t>Proposed Installation of Streetlights, J.M. Basa St. Brgy. Libid, Binangonan Rizal</t>
  </si>
  <si>
    <t>Concreting of Municipal Road at Tamayo Street, Barangay Poblacion and Canomay, Dimasalang, Masbate</t>
  </si>
  <si>
    <t>Proposed Improvement of Wharf, Brgy. Ginoong Sanay, Binangonan Rizal</t>
  </si>
  <si>
    <t>Supply and Delivery of various sizes of Brass Water Meter complete with accessories (2-Tailpiece, 2-Nut, 2-Gasket)</t>
  </si>
  <si>
    <t>Proposed Demolition of Structure and Construction of Steel Fence and Laying of Tiles, Binangonan Fishport, Brgy. Libid, Binangonan Riza</t>
  </si>
  <si>
    <t>CONSTRUCTION OF BARANGAY ROADS- CLUSTER 6 (BRGY. LAIYA APLAYA, COLOCONTO, NAGSAULAY)</t>
  </si>
  <si>
    <t>20HD0017 - Construction of Multi-Purpose Building, Brgy. Taba-ao, Tabogon, Cebu</t>
  </si>
  <si>
    <t>PROCUREMENT OF INFRASTRUCTURE PROJECT:  CONSTRUCTION OF LOWER BOLO BOX CULVERT</t>
  </si>
  <si>
    <t>20N00002; NRJ CUEVAS – BISLIG RD- K1379+800 – K1382+558, K1382+777.3 – K1384+020, AGUSAN DEL SUR</t>
  </si>
  <si>
    <t>20CG0026 - Replacement of Permanent Weak Bridges-Lagundi Br. (B01477LZ) along Jose Abad Santos Ave. (JASA), Mexico, Pampanga</t>
  </si>
  <si>
    <t>REHABILITATION OF BARANGAY STREETS</t>
  </si>
  <si>
    <t>20N00050; LIANGA COASTAL BYPASS ROAD (SDCR ALTERNATE ROUTE), SURIGAO DEL SUR</t>
  </si>
  <si>
    <t>PROPOSED REHABILITATION OF POTOL BRGY. HALL</t>
  </si>
  <si>
    <t>ROAD CONCRETING AT CONCEPCION Cpd., SANTIAGO &amp; STO. NINO</t>
  </si>
  <si>
    <t>Metro Manila</t>
  </si>
  <si>
    <t>Tawi-Tawi</t>
  </si>
  <si>
    <t>Batangas</t>
  </si>
  <si>
    <t>Zamboanga Sibugay</t>
  </si>
  <si>
    <t>Masbate</t>
  </si>
  <si>
    <t>Davao Del Norte</t>
  </si>
  <si>
    <t>Camarines Sur</t>
  </si>
  <si>
    <t>Bulacan</t>
  </si>
  <si>
    <t>Ilocos Norte</t>
  </si>
  <si>
    <t>Maguindanao</t>
  </si>
  <si>
    <t>Cavite</t>
  </si>
  <si>
    <t>Cagayan</t>
  </si>
  <si>
    <t>Pangasinan</t>
  </si>
  <si>
    <t>Albay</t>
  </si>
  <si>
    <t>Cotabato</t>
  </si>
  <si>
    <t>Kalinga</t>
  </si>
  <si>
    <t>Misamis Oriental</t>
  </si>
  <si>
    <t>Davao Occidental</t>
  </si>
  <si>
    <t>Iloilo</t>
  </si>
  <si>
    <t>Negros Occidental</t>
  </si>
  <si>
    <t>Southern Leyte</t>
  </si>
  <si>
    <t>Agusan Del Sur</t>
  </si>
  <si>
    <t>Bukidnon</t>
  </si>
  <si>
    <t>Laguna</t>
  </si>
  <si>
    <t>Antique</t>
  </si>
  <si>
    <t>Agusan Del Norte</t>
  </si>
  <si>
    <t>Apayao</t>
  </si>
  <si>
    <t>Zamboanga Del Norte</t>
  </si>
  <si>
    <t>Lanao Del Norte</t>
  </si>
  <si>
    <t>(Independent City)</t>
  </si>
  <si>
    <t>Zamboanga Del Sur</t>
  </si>
  <si>
    <t>Ilocos Sur</t>
  </si>
  <si>
    <t>Sorsogon</t>
  </si>
  <si>
    <t>Capiz</t>
  </si>
  <si>
    <t>Leyte</t>
  </si>
  <si>
    <t>Bataan</t>
  </si>
  <si>
    <t>Palawan</t>
  </si>
  <si>
    <t>Negros Oriental</t>
  </si>
  <si>
    <t>Tarlac</t>
  </si>
  <si>
    <t>Batanes</t>
  </si>
  <si>
    <t>Aklan</t>
  </si>
  <si>
    <t>Nueva Ecija</t>
  </si>
  <si>
    <t>Biliran</t>
  </si>
  <si>
    <t>Davao Del Sur</t>
  </si>
  <si>
    <t>Quezon</t>
  </si>
  <si>
    <t>Samar</t>
  </si>
  <si>
    <t>Nueva Vizcaya</t>
  </si>
  <si>
    <t>Compostela Valley</t>
  </si>
  <si>
    <t>Dinagat Island</t>
  </si>
  <si>
    <t>Isabela</t>
  </si>
  <si>
    <t>South Cotabato</t>
  </si>
  <si>
    <t>Bohol</t>
  </si>
  <si>
    <t>La Union</t>
  </si>
  <si>
    <t>Benguet</t>
  </si>
  <si>
    <t>Oriental Mindoro</t>
  </si>
  <si>
    <t>Siquijor</t>
  </si>
  <si>
    <t>Eastern Samar</t>
  </si>
  <si>
    <t>Cebu</t>
  </si>
  <si>
    <t>Surigao Del Sur</t>
  </si>
  <si>
    <t>sample province</t>
  </si>
  <si>
    <t>Aurora</t>
  </si>
  <si>
    <t>Abra</t>
  </si>
  <si>
    <t>Pampanga</t>
  </si>
  <si>
    <t>Surigao Del Norte</t>
  </si>
  <si>
    <t>Leyte,Samar</t>
  </si>
  <si>
    <t>Guimaras</t>
  </si>
  <si>
    <t>Mountain Province</t>
  </si>
  <si>
    <t>Quirino</t>
  </si>
  <si>
    <t>Misamis Occidental</t>
  </si>
  <si>
    <t>Northern Samar</t>
  </si>
  <si>
    <t>Davao Oriental</t>
  </si>
  <si>
    <t>Zambales</t>
  </si>
  <si>
    <t>Occidental Mindoro</t>
  </si>
  <si>
    <t>Rizal</t>
  </si>
  <si>
    <t>Sultan Kudarat</t>
  </si>
  <si>
    <t>Bukidnon,Bulacan</t>
  </si>
  <si>
    <t>Basilan</t>
  </si>
  <si>
    <t>Ifugao</t>
  </si>
  <si>
    <t>Camarines Norte</t>
  </si>
  <si>
    <t>Sarangani</t>
  </si>
  <si>
    <t>Catanduanes</t>
  </si>
  <si>
    <t>Marinduque</t>
  </si>
  <si>
    <t>Camiguin</t>
  </si>
  <si>
    <t>Bulacan,Cagayan</t>
  </si>
  <si>
    <t>Philippines</t>
  </si>
  <si>
    <t>Romblon</t>
  </si>
  <si>
    <t>Lanao Del Sur</t>
  </si>
  <si>
    <t>Bataan,Batanes,Batangas</t>
  </si>
  <si>
    <t>Batangas,Bukidnon,Cagayan,Camarines Sur,Cotabato,Davao Del Sur,Isabela,Pampanga,Tarlac</t>
  </si>
  <si>
    <t>Marinduque,Occidental Mindoro,Oriental Mindoro,Palawan,Romblon</t>
  </si>
  <si>
    <t>Sulu</t>
  </si>
  <si>
    <t>Cotabato,Davao Del Norte</t>
  </si>
  <si>
    <t>Metro Manila,Rizal</t>
  </si>
  <si>
    <t>Aklan,Antique,Capiz,Guimaras</t>
  </si>
  <si>
    <t>Aklan,Antique,Capiz,Iloilo</t>
  </si>
  <si>
    <t>Aklan,Antique,Capiz,Guimaras,Iloilo,Negros Occidental</t>
  </si>
  <si>
    <t>Batanes,Metro Manila</t>
  </si>
  <si>
    <t>La Union,Laguna</t>
  </si>
  <si>
    <t>Zamboanga Del Norte,Zamboanga Del Sur,Zamboanga Sibugay</t>
  </si>
  <si>
    <t>Zamboanga Del Norte,Zamboanga Del Sur</t>
  </si>
  <si>
    <t>Biliran,Leyte,Samar</t>
  </si>
  <si>
    <t>20-03-0255</t>
  </si>
  <si>
    <t>20-0020</t>
  </si>
  <si>
    <t>Bac-Pg-003-20</t>
  </si>
  <si>
    <t>2020-06-05</t>
  </si>
  <si>
    <t>20-167</t>
  </si>
  <si>
    <t>20-22</t>
  </si>
  <si>
    <t>BV-16-20</t>
  </si>
  <si>
    <t>003</t>
  </si>
  <si>
    <t>20-1302</t>
  </si>
  <si>
    <t>20-1339</t>
  </si>
  <si>
    <t>ATI2020-06-112</t>
  </si>
  <si>
    <t>R1-INIMO-20-05-015</t>
  </si>
  <si>
    <t>20-1298</t>
  </si>
  <si>
    <t>2020-13</t>
  </si>
  <si>
    <t>ATI2020-06-113</t>
  </si>
  <si>
    <t>20-1338</t>
  </si>
  <si>
    <t>19-010-002</t>
  </si>
  <si>
    <t>2020-12</t>
  </si>
  <si>
    <t>20-1380</t>
  </si>
  <si>
    <t>BV-11-20</t>
  </si>
  <si>
    <t>ME2020-06-026.1</t>
  </si>
  <si>
    <t>20GFO0014</t>
  </si>
  <si>
    <t>BV-13-20</t>
  </si>
  <si>
    <t>PB037-20</t>
  </si>
  <si>
    <t>BV-15-20</t>
  </si>
  <si>
    <t>2020-02-20</t>
  </si>
  <si>
    <t>20GFO0015</t>
  </si>
  <si>
    <t>2020-06-09-001</t>
  </si>
  <si>
    <t>MS2020-06-026.4</t>
  </si>
  <si>
    <t>MGBX-06-046-2020</t>
  </si>
  <si>
    <t>2020-06-09-002</t>
  </si>
  <si>
    <t>ATI2020-06-115</t>
  </si>
  <si>
    <t>MS2020-06-026.2</t>
  </si>
  <si>
    <t>N2006 -348</t>
  </si>
  <si>
    <t>20-1385</t>
  </si>
  <si>
    <t>PPD-20-043 NP3(SV)</t>
  </si>
  <si>
    <t>MS2020-06-026.3</t>
  </si>
  <si>
    <t>ATI2020-06-114</t>
  </si>
  <si>
    <t>2020-003</t>
  </si>
  <si>
    <t>BAC-2020-580</t>
  </si>
  <si>
    <t>20-1243</t>
  </si>
  <si>
    <t>20-1212</t>
  </si>
  <si>
    <t>2020-06-011</t>
  </si>
  <si>
    <t>2020-07-07-035CW</t>
  </si>
  <si>
    <t>PR# 20-05-0563</t>
  </si>
  <si>
    <t>2020-02-0003</t>
  </si>
  <si>
    <t>2020-07-07-030CW</t>
  </si>
  <si>
    <t>2020-07-07-036CW</t>
  </si>
  <si>
    <t>2020-001</t>
  </si>
  <si>
    <t>2020-07-07-041CW</t>
  </si>
  <si>
    <t>2020-07-07-031CW</t>
  </si>
  <si>
    <t>2020-02-0001</t>
  </si>
  <si>
    <t>2020-07-07-040CW</t>
  </si>
  <si>
    <t>LSPUMCG20-01</t>
  </si>
  <si>
    <t>2020-02-0002</t>
  </si>
  <si>
    <t>2020-07-07-034CW</t>
  </si>
  <si>
    <t>2020-07-07-046CW</t>
  </si>
  <si>
    <t>2020-07-07-038CW</t>
  </si>
  <si>
    <t>2020-07-07-037CW</t>
  </si>
  <si>
    <t>2</t>
  </si>
  <si>
    <t>2020-043</t>
  </si>
  <si>
    <t>2020-07-07-049CW</t>
  </si>
  <si>
    <t>2020-069</t>
  </si>
  <si>
    <t>2020-GOODS-4B</t>
  </si>
  <si>
    <t>2020-INFRA-17B</t>
  </si>
  <si>
    <t>2020-07-07-039CW</t>
  </si>
  <si>
    <t>2020-07-07-048CW</t>
  </si>
  <si>
    <t>2020-068</t>
  </si>
  <si>
    <t>2020-INFRA-23</t>
  </si>
  <si>
    <t>P.R. No. X11-20-02-104</t>
  </si>
  <si>
    <t>P.R. No. X4-20-03-137</t>
  </si>
  <si>
    <t>2020-07-07-047CW</t>
  </si>
  <si>
    <t>2020-044</t>
  </si>
  <si>
    <t>PR 329-20</t>
  </si>
  <si>
    <t>BFAR IV-A.PR20-0300</t>
  </si>
  <si>
    <t>P.R. No. X11-20-04-194</t>
  </si>
  <si>
    <t>2020-002</t>
  </si>
  <si>
    <t>20CSN012</t>
  </si>
  <si>
    <t>20-0799</t>
  </si>
  <si>
    <t>MG-A5M20-076</t>
  </si>
  <si>
    <t>2020-INFRA-6D</t>
  </si>
  <si>
    <t>2020-070</t>
  </si>
  <si>
    <t>PR-162-100-2020</t>
  </si>
  <si>
    <t>2020-INFRA-7D</t>
  </si>
  <si>
    <t>2020-LGU-Cuenca-046</t>
  </si>
  <si>
    <t>2020-071</t>
  </si>
  <si>
    <t>PR-2020-0350</t>
  </si>
  <si>
    <t>PR-2020-0734</t>
  </si>
  <si>
    <t>ATI2020-06-116</t>
  </si>
  <si>
    <t>2020-072</t>
  </si>
  <si>
    <t>PR-2020-1189</t>
  </si>
  <si>
    <t>PR-2020-1190</t>
  </si>
  <si>
    <t>2020-06-06</t>
  </si>
  <si>
    <t>2020-06-001</t>
  </si>
  <si>
    <t>2020-INFRA-18B</t>
  </si>
  <si>
    <t>PR-2020-0783</t>
  </si>
  <si>
    <t>PR-2020-1268</t>
  </si>
  <si>
    <t>PR 1-20-01-0118 - CMO - SPORTS (REBIDDING LOTS 1-3</t>
  </si>
  <si>
    <t>20-00044</t>
  </si>
  <si>
    <t>PR 1-20-03-0497 - PESO</t>
  </si>
  <si>
    <t>20-06-08</t>
  </si>
  <si>
    <t>20-06-001</t>
  </si>
  <si>
    <t>PR 1-20-03-0437 - SPORTS</t>
  </si>
  <si>
    <t>PR 1-20-03-0429 - CTO</t>
  </si>
  <si>
    <t>RFQ No. 0155</t>
  </si>
  <si>
    <t>PR 1-20-02-0402 - CEMO</t>
  </si>
  <si>
    <t>ITB-140</t>
  </si>
  <si>
    <t>2020-INFRA-22A</t>
  </si>
  <si>
    <t>PR 1-20-03-0490 - SPORTS</t>
  </si>
  <si>
    <t>PR-2020-0465</t>
  </si>
  <si>
    <t>PR 1-20-03-0487 - CED</t>
  </si>
  <si>
    <t>PR 1-20-03-0489 - CEMO</t>
  </si>
  <si>
    <t>PR-2020-0665</t>
  </si>
  <si>
    <t>202003019</t>
  </si>
  <si>
    <t>PR 1-20-03-0473 - LEGAL</t>
  </si>
  <si>
    <t>100(01)20-05-1100</t>
  </si>
  <si>
    <t>PR-2020-0352</t>
  </si>
  <si>
    <t>2020030012</t>
  </si>
  <si>
    <t>PR 1-20-03-0482 - AGRI</t>
  </si>
  <si>
    <t>2020 002</t>
  </si>
  <si>
    <t>100(01)20-02-0356</t>
  </si>
  <si>
    <t>20-012</t>
  </si>
  <si>
    <t>PR 1-20-03-0501 - PPMO</t>
  </si>
  <si>
    <t>JR# 020-0057</t>
  </si>
  <si>
    <t>20-06-09</t>
  </si>
  <si>
    <t>2020-PR-98</t>
  </si>
  <si>
    <t>PR 1-20-03-0515 - PESO</t>
  </si>
  <si>
    <t>2020-07-07-332PG</t>
  </si>
  <si>
    <t>SB6 HDMP19 300-20-06-06236</t>
  </si>
  <si>
    <t>GHQPC-CYBER-TRNG-1112-20</t>
  </si>
  <si>
    <t>2020-073</t>
  </si>
  <si>
    <t>20-06-002</t>
  </si>
  <si>
    <t>2020-07-07-331PG</t>
  </si>
  <si>
    <t>JR# 020-0058</t>
  </si>
  <si>
    <t>2020-074</t>
  </si>
  <si>
    <t>2020-07-07-333PG</t>
  </si>
  <si>
    <t>BSWM PR 2020-05-1290</t>
  </si>
  <si>
    <t>2020-075</t>
  </si>
  <si>
    <t>2020-082</t>
  </si>
  <si>
    <t>2020-078</t>
  </si>
  <si>
    <t>2020-077</t>
  </si>
  <si>
    <t>117213</t>
  </si>
  <si>
    <t>2020-076</t>
  </si>
  <si>
    <t>2020-080</t>
  </si>
  <si>
    <t>ISPQ 058-2020</t>
  </si>
  <si>
    <t>PR 1-20-05-0603 - ADMIN OFFICE (PIO)</t>
  </si>
  <si>
    <t>PR 1-20-04-0551 - AGRI</t>
  </si>
  <si>
    <t>2020-083</t>
  </si>
  <si>
    <t>PR 1-20-05-0586 - CEMO</t>
  </si>
  <si>
    <t>PR 1-20-03-0517 - CED</t>
  </si>
  <si>
    <t>2020-07-07-334PG</t>
  </si>
  <si>
    <t>ISPQ 057-2020</t>
  </si>
  <si>
    <t>PR 1-20-04-0526 - CED</t>
  </si>
  <si>
    <t>2020-081</t>
  </si>
  <si>
    <t>ISPQ 056-2020</t>
  </si>
  <si>
    <t>PR 1-20-06-0657 - AGRI</t>
  </si>
  <si>
    <t>PR 1-20-04-0532 - PNP</t>
  </si>
  <si>
    <t>2020-079</t>
  </si>
  <si>
    <t>PR 4-20-06-0634 - CWD</t>
  </si>
  <si>
    <t>PR 1-20-06-0649 - CED</t>
  </si>
  <si>
    <t>PR 2-20-03-0492 - PMSD</t>
  </si>
  <si>
    <t>PR 1-20-06-0631 - CED</t>
  </si>
  <si>
    <t>PR 4-20-03-0461 - CWD</t>
  </si>
  <si>
    <t>2020-PR20-812-176</t>
  </si>
  <si>
    <t>2020-PR20-803-173</t>
  </si>
  <si>
    <t>2020-PR20-813-175</t>
  </si>
  <si>
    <t>2020-PR20-799-174</t>
  </si>
  <si>
    <t>PR 18-20-04-0550 - CED</t>
  </si>
  <si>
    <t>SVP 20-06-113</t>
  </si>
  <si>
    <t>PR 9-20-04-0533 - CITY HOSPITAL</t>
  </si>
  <si>
    <t>PR 401-20-03-0453 - CWD</t>
  </si>
  <si>
    <t>ISPQ 055-2020</t>
  </si>
  <si>
    <t>PR 401-20-03-0494 - CEMO</t>
  </si>
  <si>
    <t>20ID0070</t>
  </si>
  <si>
    <t>2020-07-07-346PG</t>
  </si>
  <si>
    <t>2020-07-07-345PG</t>
  </si>
  <si>
    <t>PR 1-20-06-0659 - AGRI</t>
  </si>
  <si>
    <t>0215-2020</t>
  </si>
  <si>
    <t>2020-07-07-335PG</t>
  </si>
  <si>
    <t>2020-07-07-344PG</t>
  </si>
  <si>
    <t>2020-07-07-340PG</t>
  </si>
  <si>
    <t>2020-07-07-342PG</t>
  </si>
  <si>
    <t>2020-06-19-092NP</t>
  </si>
  <si>
    <t>2020-07-07-338PG</t>
  </si>
  <si>
    <t>2020-07-07-337PG</t>
  </si>
  <si>
    <t>2020-07-07-348PG</t>
  </si>
  <si>
    <t>2020-06-19-089NP</t>
  </si>
  <si>
    <t>2020-06-19-090NP</t>
  </si>
  <si>
    <t>2020-401-05</t>
  </si>
  <si>
    <t>2020-03</t>
  </si>
  <si>
    <t>2020-07-07-347PG</t>
  </si>
  <si>
    <t>2020-07-07-339PG</t>
  </si>
  <si>
    <t>2020-07-07-336PG</t>
  </si>
  <si>
    <t>2020-07-07-349PG</t>
  </si>
  <si>
    <t>2020-06-19-091NP</t>
  </si>
  <si>
    <t>2020-06-19-093NP</t>
  </si>
  <si>
    <t>2020-06-19-099NP</t>
  </si>
  <si>
    <t>2020-06-19-098NP</t>
  </si>
  <si>
    <t>004</t>
  </si>
  <si>
    <t>2020-06-19-096NP</t>
  </si>
  <si>
    <t>2020-06-19-097NP</t>
  </si>
  <si>
    <t>2020-06-19-101NP</t>
  </si>
  <si>
    <t>2020-06-19-095NP</t>
  </si>
  <si>
    <t>2020-06-19-100NP</t>
  </si>
  <si>
    <t>2020-INFRA-016</t>
  </si>
  <si>
    <t>2020-06-19-106NP</t>
  </si>
  <si>
    <t>2020-06-19-094NP</t>
  </si>
  <si>
    <t>2020-06-19-105NP</t>
  </si>
  <si>
    <t>2020-06-19-103NP</t>
  </si>
  <si>
    <t>2020-06-19-102NP</t>
  </si>
  <si>
    <t>01-2020</t>
  </si>
  <si>
    <t>AKLAN BAC ITB 339 SERIES 2020</t>
  </si>
  <si>
    <t>2020-07-07-352PG</t>
  </si>
  <si>
    <t>AKLAN BAC ITB 204 SERIES 2020</t>
  </si>
  <si>
    <t>AKLAN BAC ITB 203 SERIES 2020</t>
  </si>
  <si>
    <t>2020-07-07-350PG</t>
  </si>
  <si>
    <t>2020-07-07-356PG</t>
  </si>
  <si>
    <t>2020-07-07-355PG</t>
  </si>
  <si>
    <t>2020-07-07-351PG</t>
  </si>
  <si>
    <t>2020-07-07-357PG</t>
  </si>
  <si>
    <t>2020-07-07-353PG</t>
  </si>
  <si>
    <t>RNAFS-2020-06-010</t>
  </si>
  <si>
    <t>2020-07-07-058PG</t>
  </si>
  <si>
    <t>RNAFS-2020-06-009</t>
  </si>
  <si>
    <t>AKLAN BAC ITB 338 SERIES 2020</t>
  </si>
  <si>
    <t>RNAFS-2020-06-011</t>
  </si>
  <si>
    <t>AKLAN BAC ITB 337 SERIES 2020</t>
  </si>
  <si>
    <t>AKLAN BAC ITB 340 SERIES 2020</t>
  </si>
  <si>
    <t>AKLAN BAC ITB 341 SERIES 2020</t>
  </si>
  <si>
    <t>2020-06-002</t>
  </si>
  <si>
    <t>6-33-20</t>
  </si>
  <si>
    <t>2020-06-03</t>
  </si>
  <si>
    <t>2020-06-003</t>
  </si>
  <si>
    <t>RFQ NO. SVP-009-2020</t>
  </si>
  <si>
    <t>202-02</t>
  </si>
  <si>
    <t>2020 Caib 088</t>
  </si>
  <si>
    <t>2020-0615-0010</t>
  </si>
  <si>
    <t>2020-06-018</t>
  </si>
  <si>
    <t>6-20-38</t>
  </si>
  <si>
    <t>2020-01-004</t>
  </si>
  <si>
    <t>2020-06-0264</t>
  </si>
  <si>
    <t>DCFO-2020-06-038</t>
  </si>
  <si>
    <t>VS-2020-06-01</t>
  </si>
  <si>
    <t>06152020</t>
  </si>
  <si>
    <t>2020-06-08</t>
  </si>
  <si>
    <t>20201501</t>
  </si>
  <si>
    <t>2020-06-017</t>
  </si>
  <si>
    <t>S0-134</t>
  </si>
  <si>
    <t>RFQ-012-2020</t>
  </si>
  <si>
    <t>20GFD0009</t>
  </si>
  <si>
    <t>6-20-39</t>
  </si>
  <si>
    <t>A-2020-15</t>
  </si>
  <si>
    <t>RFQ NO. SVP-010-2020</t>
  </si>
  <si>
    <t>S0-135</t>
  </si>
  <si>
    <t>202003013</t>
  </si>
  <si>
    <t>S-2020-0031</t>
  </si>
  <si>
    <t>2020-06-0030</t>
  </si>
  <si>
    <t>2020-06-065</t>
  </si>
  <si>
    <t>061520-01</t>
  </si>
  <si>
    <t>CSI-2020-015</t>
  </si>
  <si>
    <t>LGUPROC 2020 -103R</t>
  </si>
  <si>
    <t>20GFD0010</t>
  </si>
  <si>
    <t>2020-0468</t>
  </si>
  <si>
    <t>PDI PR No. 2020-05-030</t>
  </si>
  <si>
    <t>20BH0141</t>
  </si>
  <si>
    <t>0018-0006-0595-2020</t>
  </si>
  <si>
    <t>2020-219</t>
  </si>
  <si>
    <t>100-8751-20-182</t>
  </si>
  <si>
    <t>ITB-021-2020</t>
  </si>
  <si>
    <t>2020-220</t>
  </si>
  <si>
    <t>A-2020-16</t>
  </si>
  <si>
    <t>R.I.S. No.: 20-88-076</t>
  </si>
  <si>
    <t>BSWM PR 2020-05-1222</t>
  </si>
  <si>
    <t>20050041</t>
  </si>
  <si>
    <t>100-8751-20-318</t>
  </si>
  <si>
    <t>2020-221</t>
  </si>
  <si>
    <t>SVP055-2020</t>
  </si>
  <si>
    <t>20GFD0011</t>
  </si>
  <si>
    <t>016</t>
  </si>
  <si>
    <t>2020-01</t>
  </si>
  <si>
    <t>023-06-2020</t>
  </si>
  <si>
    <t>2020-02-138</t>
  </si>
  <si>
    <t>2020-15</t>
  </si>
  <si>
    <t>LGU_Piddig_2020_041</t>
  </si>
  <si>
    <t>20-06-60</t>
  </si>
  <si>
    <t>0018-0005-0574-2020</t>
  </si>
  <si>
    <t>P-05-20</t>
  </si>
  <si>
    <t>03a-G-2020 (SB)</t>
  </si>
  <si>
    <t>RFQ No. 2020 SVP - 039</t>
  </si>
  <si>
    <t>RFQ-DVO-PR.NO. 2006043 CAT. 70 BUSINESS AND BICYCL</t>
  </si>
  <si>
    <t>GOODS-52-2020</t>
  </si>
  <si>
    <t>20-06-011</t>
  </si>
  <si>
    <t>proc123</t>
  </si>
  <si>
    <t>2020-222</t>
  </si>
  <si>
    <t>105CO-10288-5MIB-2020</t>
  </si>
  <si>
    <t>2020-055</t>
  </si>
  <si>
    <t>JUNE152020</t>
  </si>
  <si>
    <t>FOG NSRRDC 2020-06-039</t>
  </si>
  <si>
    <t>RFQ No. 2020 Shopping 089</t>
  </si>
  <si>
    <t>2020-06-0258</t>
  </si>
  <si>
    <t>3-01-001-20-081</t>
  </si>
  <si>
    <t>2020-0221</t>
  </si>
  <si>
    <t>06152020-A</t>
  </si>
  <si>
    <t>M-20-006-A</t>
  </si>
  <si>
    <t>06152020-</t>
  </si>
  <si>
    <t>LTFRB-2020-06</t>
  </si>
  <si>
    <t>ITB-ATI-CO-2020-07</t>
  </si>
  <si>
    <t>2020-004</t>
  </si>
  <si>
    <t>20-0610-4411</t>
  </si>
  <si>
    <t>25</t>
  </si>
  <si>
    <t>PR# 20-0733</t>
  </si>
  <si>
    <t>20GFD0012</t>
  </si>
  <si>
    <t>20-45010</t>
  </si>
  <si>
    <t>POW - 8751 - 2020 - LBS - 01</t>
  </si>
  <si>
    <t xml:space="preserve">RFQ-DVO-PR.NO. 2006087 CAT. 46 PAINTING TOOLS AND </t>
  </si>
  <si>
    <t>100(01)20-06-312(A)</t>
  </si>
  <si>
    <t>2020-06-050</t>
  </si>
  <si>
    <t>SJ 2020-42-GOODS</t>
  </si>
  <si>
    <t>2020-06-165-B</t>
  </si>
  <si>
    <t>0003-0078-0984-2020</t>
  </si>
  <si>
    <t>FOG PNAD</t>
  </si>
  <si>
    <t>7FPAO-18-20</t>
  </si>
  <si>
    <t>20-06-039</t>
  </si>
  <si>
    <t>2020-091</t>
  </si>
  <si>
    <t>P-06-20</t>
  </si>
  <si>
    <t>RFQ No.: BIR-RR11-2020-011</t>
  </si>
  <si>
    <t>PROPERTY 2020-06-15</t>
  </si>
  <si>
    <t>2020-005</t>
  </si>
  <si>
    <t>2020-067</t>
  </si>
  <si>
    <t>20GFD0013</t>
  </si>
  <si>
    <t>0003-0077-0983-2020</t>
  </si>
  <si>
    <t>2020-06-166-B</t>
  </si>
  <si>
    <t>RFQ 408</t>
  </si>
  <si>
    <t>100(01)20-06-323(O)</t>
  </si>
  <si>
    <t>027</t>
  </si>
  <si>
    <t>272-2020</t>
  </si>
  <si>
    <t>ITB No. 032-2020  GQ</t>
  </si>
  <si>
    <t>2020-0183</t>
  </si>
  <si>
    <t>BSWM PR 2020-02-0940</t>
  </si>
  <si>
    <t>2020-06-327</t>
  </si>
  <si>
    <t>100(01)20-06-009(K)</t>
  </si>
  <si>
    <t>2020-03-189</t>
  </si>
  <si>
    <t>20-03-396</t>
  </si>
  <si>
    <t>2020-03-188</t>
  </si>
  <si>
    <t>20-05-387a</t>
  </si>
  <si>
    <t>2020-06-051</t>
  </si>
  <si>
    <t>200-2020-04-138</t>
  </si>
  <si>
    <t>GSO-20-0349</t>
  </si>
  <si>
    <t>06-60-2020</t>
  </si>
  <si>
    <t>2020-066</t>
  </si>
  <si>
    <t>PEO-20-0676 NP (SV)</t>
  </si>
  <si>
    <t>20-0106</t>
  </si>
  <si>
    <t>POW - 8751 - 2020 - PCO - 02</t>
  </si>
  <si>
    <t>ITB No. (INF) 2020-06-089 CONCRETING OF CAROLINA –</t>
  </si>
  <si>
    <t>SVP056-2020</t>
  </si>
  <si>
    <t>RFQ-DVO-PR.NO. 2006045 CAT. 21 ELECTRICAL SUPPLIES</t>
  </si>
  <si>
    <t>RFQ-DVO-PR.NO. 2005193 CAT. 41.1 ELECTRONIC CONSUM</t>
  </si>
  <si>
    <t>2020 Dallag 1</t>
  </si>
  <si>
    <t>ITB No. 033-2020 GQ</t>
  </si>
  <si>
    <t>2020LGU-04-39A</t>
  </si>
  <si>
    <t>100(01)20-06-313(A)</t>
  </si>
  <si>
    <t>2020-06-22-20DF20 (INFRA)</t>
  </si>
  <si>
    <t>20JBG0041</t>
  </si>
  <si>
    <t>2020-092</t>
  </si>
  <si>
    <t>2020-290</t>
  </si>
  <si>
    <t>2020 Dallag 2</t>
  </si>
  <si>
    <t>RFQ 2020-06-019 - PR 2020-05-023</t>
  </si>
  <si>
    <t>RFQ-DVO-PR.NO. 2006055 CAT. 60 TIRE, BATTERIES AND</t>
  </si>
  <si>
    <t>TF-20-06-010(T)</t>
  </si>
  <si>
    <t>2020-02-136</t>
  </si>
  <si>
    <t>ITB No. (INF) 2020-06-090 CONSTRUCTION OF MULTI-PU</t>
  </si>
  <si>
    <t>2020-06-304-16</t>
  </si>
  <si>
    <t>TF-20-06-009(T)</t>
  </si>
  <si>
    <t>100(01)20-06-024(AA)</t>
  </si>
  <si>
    <t>AKLAN BAC ITB 345 SERIES 2020</t>
  </si>
  <si>
    <t>RFQ-DVO-PR.NO. 2005253 CAT. 65 VETERINARY SUPPLIES</t>
  </si>
  <si>
    <t>028</t>
  </si>
  <si>
    <t>AKLAN BAC ITB 344 SERIES 2020</t>
  </si>
  <si>
    <t>S0-136</t>
  </si>
  <si>
    <t>20-44536</t>
  </si>
  <si>
    <t>INFRA-2020-06-002</t>
  </si>
  <si>
    <t>ITB No. (INF) 2020-06-091 REHABILITATION/CONSTRUCT</t>
  </si>
  <si>
    <t>100(01)20-06-025(AA)</t>
  </si>
  <si>
    <t>PR#20-02-0024 - Rebid</t>
  </si>
  <si>
    <t>ADS-0467-20</t>
  </si>
  <si>
    <t>2020-02-140</t>
  </si>
  <si>
    <t>SJ 2020-10-GOODS</t>
  </si>
  <si>
    <t>06-20-11</t>
  </si>
  <si>
    <t>2020-0001</t>
  </si>
  <si>
    <t>100(01)20-06-023(AA)</t>
  </si>
  <si>
    <t>061520-02</t>
  </si>
  <si>
    <t>SVP057-2020</t>
  </si>
  <si>
    <t>20ID0071</t>
  </si>
  <si>
    <t>SVP 028-2020</t>
  </si>
  <si>
    <t>2020-06-15</t>
  </si>
  <si>
    <t>P-07-20</t>
  </si>
  <si>
    <t>2020 Kabalantian 2</t>
  </si>
  <si>
    <t>MIL-GOODS-2020-06-02</t>
  </si>
  <si>
    <t>001</t>
  </si>
  <si>
    <t>20-0107</t>
  </si>
  <si>
    <t>2020-06-052</t>
  </si>
  <si>
    <t>100(01)20-03-025(N)</t>
  </si>
  <si>
    <t>PBG-2020-06-77</t>
  </si>
  <si>
    <t>2020-06-09-20DF20 (INFRA)</t>
  </si>
  <si>
    <t>2020-06-0441</t>
  </si>
  <si>
    <t>2020-186</t>
  </si>
  <si>
    <t>Invitation to Bid 07-2020</t>
  </si>
  <si>
    <t>2020-06-0114</t>
  </si>
  <si>
    <t>2020-03-186</t>
  </si>
  <si>
    <t>ITB No. (INF) 2020-06-092 CONSTRUCTION OF TRIPLE B</t>
  </si>
  <si>
    <t>ITB No. 034-2020 GQ</t>
  </si>
  <si>
    <t>20-006-006</t>
  </si>
  <si>
    <t>PR No. 401-048 dated 5/21/2020</t>
  </si>
  <si>
    <t>273-2020</t>
  </si>
  <si>
    <t>2020-14</t>
  </si>
  <si>
    <t>2020 - 06 -21</t>
  </si>
  <si>
    <t>2020-GOODS-033</t>
  </si>
  <si>
    <t>ISPSC-2020-G-K007</t>
  </si>
  <si>
    <t>BAC 2020-30</t>
  </si>
  <si>
    <t>100(01)20-03-026(N)</t>
  </si>
  <si>
    <t>MG-A5C20-050</t>
  </si>
  <si>
    <t>20-06124PR</t>
  </si>
  <si>
    <t>20-06-097</t>
  </si>
  <si>
    <t>RFQ-DVO-PR.NO. 2006047 CAT. 27 FURNITURE AND FIXTU</t>
  </si>
  <si>
    <t>2020-G-072</t>
  </si>
  <si>
    <t>2020-032</t>
  </si>
  <si>
    <t>P-08-20</t>
  </si>
  <si>
    <t>100-20-06-105</t>
  </si>
  <si>
    <t>100(01)20-02-0437</t>
  </si>
  <si>
    <t>772</t>
  </si>
  <si>
    <t>100(01)20-03-027(N)</t>
  </si>
  <si>
    <t>2020-0002</t>
  </si>
  <si>
    <t>002</t>
  </si>
  <si>
    <t>2020-15-06-25</t>
  </si>
  <si>
    <t>20ID0072</t>
  </si>
  <si>
    <t>2020-06-122 (06207512)</t>
  </si>
  <si>
    <t>goods2020_30</t>
  </si>
  <si>
    <t>RFQ-DVO-PR.NO. 2006050 CAT. 25 FOOD AND CATERING S</t>
  </si>
  <si>
    <t>2020-0142</t>
  </si>
  <si>
    <t>013-SVP-2020</t>
  </si>
  <si>
    <t>01</t>
  </si>
  <si>
    <t>G19-2020</t>
  </si>
  <si>
    <t>2020 Allab 2</t>
  </si>
  <si>
    <t>Brgy. Bersamin - 2020 - 016</t>
  </si>
  <si>
    <t>100(01)20-04-029(N)</t>
  </si>
  <si>
    <t>SVP058-2020</t>
  </si>
  <si>
    <t>4</t>
  </si>
  <si>
    <t>2020-15-06-26</t>
  </si>
  <si>
    <t>100(01)20-04-0897</t>
  </si>
  <si>
    <t>Brgy. Bersamin - 2020 - 017</t>
  </si>
  <si>
    <t>2020-0003</t>
  </si>
  <si>
    <t>2020-06-22</t>
  </si>
  <si>
    <t>RFQ-DVO-PR.NO. 2005197 CAT. 14 CONSTRUCTION SUPPLI</t>
  </si>
  <si>
    <t>RFQ 2020-0239</t>
  </si>
  <si>
    <t>2020-796</t>
  </si>
  <si>
    <t>C-2020-006</t>
  </si>
  <si>
    <t>Invitation to Bid 08-2020</t>
  </si>
  <si>
    <t>TF-20-06-328(O)</t>
  </si>
  <si>
    <t>2020-356</t>
  </si>
  <si>
    <t>274-2020</t>
  </si>
  <si>
    <t>PR No. 401-047 dated 5/21/20</t>
  </si>
  <si>
    <t>2020 Anapolon 3</t>
  </si>
  <si>
    <t>2020-06-21</t>
  </si>
  <si>
    <t>RFQ 407</t>
  </si>
  <si>
    <t>S0-137</t>
  </si>
  <si>
    <t>DA 8 SVP Goods 2020-06-0070 (Corn 20-05-28-0163)</t>
  </si>
  <si>
    <t>JUNE152020-2</t>
  </si>
  <si>
    <t>20-03-486</t>
  </si>
  <si>
    <t>2020-02-004</t>
  </si>
  <si>
    <t>100(01)20-06-026(AA)</t>
  </si>
  <si>
    <t>2020-06-07</t>
  </si>
  <si>
    <t>2020-06-053</t>
  </si>
  <si>
    <t>100-20-06-106</t>
  </si>
  <si>
    <t>20-06-175</t>
  </si>
  <si>
    <t>MIL-GOODS-2020-06-03</t>
  </si>
  <si>
    <t>1331-06-20</t>
  </si>
  <si>
    <t>ITB No. 035-2020 GQ</t>
  </si>
  <si>
    <t>2020-439</t>
  </si>
  <si>
    <t>02</t>
  </si>
  <si>
    <t>goods2020_31</t>
  </si>
  <si>
    <t>06192020-086</t>
  </si>
  <si>
    <t>2020-06-305-17</t>
  </si>
  <si>
    <t>2020-04</t>
  </si>
  <si>
    <t>SVP 2020-352</t>
  </si>
  <si>
    <t>20-45216</t>
  </si>
  <si>
    <t>WV1-20-06-020</t>
  </si>
  <si>
    <t>mos-20-0237</t>
  </si>
  <si>
    <t>RFQ 489</t>
  </si>
  <si>
    <t>2020-200</t>
  </si>
  <si>
    <t>100(01)20-06-315(A)</t>
  </si>
  <si>
    <t>1251</t>
  </si>
  <si>
    <t>20-06-098</t>
  </si>
  <si>
    <t>100(01)20-06-331(O)</t>
  </si>
  <si>
    <t>2020-06-118 (0207512)</t>
  </si>
  <si>
    <t>6-34-20</t>
  </si>
  <si>
    <t>2020 Tumanding 5</t>
  </si>
  <si>
    <t>2020-15-06-27</t>
  </si>
  <si>
    <t>2020-0004</t>
  </si>
  <si>
    <t>RFQ-DVO-PR.NO. 2005210 CAT. 49 PRINTED FORMS AND P</t>
  </si>
  <si>
    <t>Brgy. Bersamin - 2020 - 018</t>
  </si>
  <si>
    <t>2020-05</t>
  </si>
  <si>
    <t>RMASS-LAU-032020-428</t>
  </si>
  <si>
    <t>PBG-2020-06-20</t>
  </si>
  <si>
    <t>MGB_RF-2020-0033</t>
  </si>
  <si>
    <t>100(01)20-06-091(Q)</t>
  </si>
  <si>
    <t>ADS-0195-20</t>
  </si>
  <si>
    <t>Brgy. Bersamin  - 2020 - 019</t>
  </si>
  <si>
    <t>RFQ NO 20-06-058</t>
  </si>
  <si>
    <t>100-2020-006-022</t>
  </si>
  <si>
    <t>2020-20-001</t>
  </si>
  <si>
    <t>ITB No. 036-2020 GQ</t>
  </si>
  <si>
    <t>RFQ 2020-0238</t>
  </si>
  <si>
    <t>DDOP-20-4361</t>
  </si>
  <si>
    <t>RFQ-DVO-PR.NO. 2005231 CAT. 49 PRINTED FORMS AND P</t>
  </si>
  <si>
    <t>275-2020</t>
  </si>
  <si>
    <t>2020 Meocan 20</t>
  </si>
  <si>
    <t>G20-2020</t>
  </si>
  <si>
    <t>RFQ-106-2020</t>
  </si>
  <si>
    <t>2020-06-04-20DF20 (INFRA)</t>
  </si>
  <si>
    <t>CS-OCM-062020-112</t>
  </si>
  <si>
    <t>2020-035</t>
  </si>
  <si>
    <t>NCMH-SVP-Live Streaming Material CY-2020</t>
  </si>
  <si>
    <t>JUNE152020-3</t>
  </si>
  <si>
    <t>PR No. 101-201 dated 6/5/2020</t>
  </si>
  <si>
    <t>MG-A5M20-086</t>
  </si>
  <si>
    <t>SVP 2020-347</t>
  </si>
  <si>
    <t>SFP-2020-06-0188</t>
  </si>
  <si>
    <t>100-20-05-104</t>
  </si>
  <si>
    <t>RFQ-DVO-PR.NO. 2005233 CAT. 87 OXYGEN AND ACETYLEN</t>
  </si>
  <si>
    <t>PEO-20-0504 B (REBID)</t>
  </si>
  <si>
    <t>06-20-12</t>
  </si>
  <si>
    <t>pal-20-06-012</t>
  </si>
  <si>
    <t>JFMH-047-20-RFQ</t>
  </si>
  <si>
    <t>V01-June-20</t>
  </si>
  <si>
    <t>276-2020</t>
  </si>
  <si>
    <t>PR#20-06-0308</t>
  </si>
  <si>
    <t>Brgy. Pindangan Centro - 2020 - 020</t>
  </si>
  <si>
    <t>ITB No. 037-2020 GQ</t>
  </si>
  <si>
    <t>Brgy. Kisikis - 2020 - 021</t>
  </si>
  <si>
    <t>20ID0073</t>
  </si>
  <si>
    <t>6152020-025</t>
  </si>
  <si>
    <t>RMASS-LAU-032020-218</t>
  </si>
  <si>
    <t>RFQ-DVO-PR.NO. 2006017 CAT. 32 JANITORIAL SUPPLIES</t>
  </si>
  <si>
    <t>RFQ 2020-0237</t>
  </si>
  <si>
    <t>20-06-099</t>
  </si>
  <si>
    <t>508-2020</t>
  </si>
  <si>
    <t>06-20-13</t>
  </si>
  <si>
    <t>goods2020_32</t>
  </si>
  <si>
    <t>RFQ-DVO-PR.NO. 2006089 CAT. 87 OXYGEN AND ACETYLEN</t>
  </si>
  <si>
    <t>06-20-14</t>
  </si>
  <si>
    <t>JUNE152020-4</t>
  </si>
  <si>
    <t>BFARIX-FMRED-20-03-255</t>
  </si>
  <si>
    <t>2020 Napalico 5</t>
  </si>
  <si>
    <t>20-45358</t>
  </si>
  <si>
    <t>PR#20-06-0309</t>
  </si>
  <si>
    <t>2020-06-152</t>
  </si>
  <si>
    <t>2020-02-006</t>
  </si>
  <si>
    <t>RFQ-125-2020-CDD</t>
  </si>
  <si>
    <t>Brgy. Kisikis - 2020 - 022</t>
  </si>
  <si>
    <t>ADS-0421-20</t>
  </si>
  <si>
    <t>S0-138</t>
  </si>
  <si>
    <t>BACRFQ2020-086</t>
  </si>
  <si>
    <t>06-00737</t>
  </si>
  <si>
    <t>029</t>
  </si>
  <si>
    <t>06-20-15</t>
  </si>
  <si>
    <t>rfq#2020-04-1,972-vice governor's office</t>
  </si>
  <si>
    <t>200-20-05-003</t>
  </si>
  <si>
    <t>CG-RFQ-111-2020</t>
  </si>
  <si>
    <t>2020-06-0135</t>
  </si>
  <si>
    <t>014-2020</t>
  </si>
  <si>
    <t>2020-07-07-358PG</t>
  </si>
  <si>
    <t>pal-20-06-013</t>
  </si>
  <si>
    <t>2020-06-</t>
  </si>
  <si>
    <t>2020-2076-03-152-B</t>
  </si>
  <si>
    <t>depedilocossur-2020-06-015</t>
  </si>
  <si>
    <t>PPSC BAC IB NO.007 (G) 2020</t>
  </si>
  <si>
    <t>117220LCES</t>
  </si>
  <si>
    <t>277-2020</t>
  </si>
  <si>
    <t>rfq#2020-04-2,156-vice governor's office</t>
  </si>
  <si>
    <t>2020-06-02</t>
  </si>
  <si>
    <t>06-20-17</t>
  </si>
  <si>
    <t>0023-0060-0838-2020</t>
  </si>
  <si>
    <t>0436</t>
  </si>
  <si>
    <t>JUNE152020-5</t>
  </si>
  <si>
    <t>2020-06-392</t>
  </si>
  <si>
    <t>06-20-16</t>
  </si>
  <si>
    <t>1250</t>
  </si>
  <si>
    <t>20-06-101</t>
  </si>
  <si>
    <t>2020-06-028-SB2 2019 (INFRA)</t>
  </si>
  <si>
    <t>UPB2020.036</t>
  </si>
  <si>
    <t>2020-06-0342</t>
  </si>
  <si>
    <t>2020-05-09</t>
  </si>
  <si>
    <t>2020-17</t>
  </si>
  <si>
    <t>2020-PLA-059</t>
  </si>
  <si>
    <t>SVP 2020-333</t>
  </si>
  <si>
    <t>PCADG-6-15-2020</t>
  </si>
  <si>
    <t>blguamot-2019</t>
  </si>
  <si>
    <t>20-06-100</t>
  </si>
  <si>
    <t>RFQ-DVO-PR.NO. 2005160 CAT. 27 FURNITURE AND FIXTU</t>
  </si>
  <si>
    <t>rfq#2020-05-2,544-pgo-popdev</t>
  </si>
  <si>
    <t>24-2020-001</t>
  </si>
  <si>
    <t>H02-June-20</t>
  </si>
  <si>
    <t>06-20-18</t>
  </si>
  <si>
    <t>UCT-2020-06-0189</t>
  </si>
  <si>
    <t>202044</t>
  </si>
  <si>
    <t>NCMH-SVP-PM-VARIOUS MEDICAL EQUIPMENT CY2020</t>
  </si>
  <si>
    <t>2020-26</t>
  </si>
  <si>
    <t>PR2020-06-02-073</t>
  </si>
  <si>
    <t>06-20-19</t>
  </si>
  <si>
    <t>RFG-2020-G-143</t>
  </si>
  <si>
    <t>2020-06-029-SB2019 (INFRA)</t>
  </si>
  <si>
    <t>2020-100</t>
  </si>
  <si>
    <t>2020-06-005</t>
  </si>
  <si>
    <t>RFQ-DVO-PR.NO. 2005265 CAT. 27 FURNITURE AND FIXTU</t>
  </si>
  <si>
    <t>2020-1150</t>
  </si>
  <si>
    <t>FAS-20-09</t>
  </si>
  <si>
    <t>PR#20-06-0317</t>
  </si>
  <si>
    <t>MMO-030-2020</t>
  </si>
  <si>
    <t>PR. 20-06-212 (2020-06-204)</t>
  </si>
  <si>
    <t>2020 Caib 089</t>
  </si>
  <si>
    <t>100(01)20-03-0849</t>
  </si>
  <si>
    <t>SVP 2020-349</t>
  </si>
  <si>
    <t>RFQ 04-064-2020</t>
  </si>
  <si>
    <t>06-20-20</t>
  </si>
  <si>
    <t>20-06-445</t>
  </si>
  <si>
    <t>LB-DF-20-4</t>
  </si>
  <si>
    <t>2020-06-0343</t>
  </si>
  <si>
    <t>GHQPC-AFPMCC-TELM-1117-20</t>
  </si>
  <si>
    <t>20JI0086</t>
  </si>
  <si>
    <t>2020-101</t>
  </si>
  <si>
    <t>CW-1-112-2020</t>
  </si>
  <si>
    <t>FAS-20-10</t>
  </si>
  <si>
    <t>2020-05-0003</t>
  </si>
  <si>
    <t>RB-06-2020-I</t>
  </si>
  <si>
    <t>FAS-20-12</t>
  </si>
  <si>
    <t>06-20-21</t>
  </si>
  <si>
    <t>278-2020</t>
  </si>
  <si>
    <t>0677</t>
  </si>
  <si>
    <t>2020-1424</t>
  </si>
  <si>
    <t>rfq#2020-05-2,548-pgo-popdev</t>
  </si>
  <si>
    <t>RFQ 405</t>
  </si>
  <si>
    <t>20-CRG-20-06-1030</t>
  </si>
  <si>
    <t>FAS-20-11</t>
  </si>
  <si>
    <t>20GBE0017</t>
  </si>
  <si>
    <t>06-20-22</t>
  </si>
  <si>
    <t>300-20-05-0023 (LOT 1)</t>
  </si>
  <si>
    <t>20-06-0633</t>
  </si>
  <si>
    <t>bac-20-0615a</t>
  </si>
  <si>
    <t>MIL-INFR-2020-06-01</t>
  </si>
  <si>
    <t>SVP 2020-348</t>
  </si>
  <si>
    <t>2020-310</t>
  </si>
  <si>
    <t>RFQ-DVO-PR.NO. 2005254 CAT. 65 VETERINARY SUPPLIES</t>
  </si>
  <si>
    <t>2020-07-07-359PG</t>
  </si>
  <si>
    <t>20-06-SA0097</t>
  </si>
  <si>
    <t>2020-02</t>
  </si>
  <si>
    <t>236A</t>
  </si>
  <si>
    <t>BIDSTAC # NP-SVP 105-(1)-2020</t>
  </si>
  <si>
    <t>mos-20-0238</t>
  </si>
  <si>
    <t>6FSSU-006</t>
  </si>
  <si>
    <t>PAPC-NCRRCDG_ARESCOM-2020-11247-5250</t>
  </si>
  <si>
    <t>CG-RFQ-113-2020</t>
  </si>
  <si>
    <t>PEO-20-0695 B</t>
  </si>
  <si>
    <t>100-20-02-015</t>
  </si>
  <si>
    <t>20-06-036</t>
  </si>
  <si>
    <t>rfq#2020-05-2,560-pgo-bac secretariat</t>
  </si>
  <si>
    <t>RFQ-DVO-PR.NO. 2006044 CAT. 39 MEDICAL SUPPLIES AN</t>
  </si>
  <si>
    <t>V03-June-20</t>
  </si>
  <si>
    <t>06-20-23</t>
  </si>
  <si>
    <t>BXU-2020-28</t>
  </si>
  <si>
    <t>2020-01-001</t>
  </si>
  <si>
    <t>rfq#2020-06-2,582-pgo-pdea</t>
  </si>
  <si>
    <t>2020-06-09</t>
  </si>
  <si>
    <t>bac-20-0615b</t>
  </si>
  <si>
    <t>PSU-INFRA-2020-004</t>
  </si>
  <si>
    <t>06-20-24</t>
  </si>
  <si>
    <t>2020-06-043</t>
  </si>
  <si>
    <t>2020-27</t>
  </si>
  <si>
    <t>RFQ-DVO-PR.NO. 2005208 CAT. 64 VETERINARY DRUGS AN</t>
  </si>
  <si>
    <t>BIDSTAC # NP-SVP 099-(1)-2020</t>
  </si>
  <si>
    <t>BACRFQ2020-087</t>
  </si>
  <si>
    <t>20-407</t>
  </si>
  <si>
    <t>2020-06-0344</t>
  </si>
  <si>
    <t>FAS-20-13</t>
  </si>
  <si>
    <t>2020-058</t>
  </si>
  <si>
    <t>436-06-2020 (IPHO)</t>
  </si>
  <si>
    <t>1280-06-00125</t>
  </si>
  <si>
    <t>2020-06-15-01</t>
  </si>
  <si>
    <t>RFQ-DVO-PR.NO. 2005237 CAT. 49 PRINTED FORMS AND P</t>
  </si>
  <si>
    <t>2020-06-05E</t>
  </si>
  <si>
    <t xml:space="preserve">RFQ-DVO-PR.NO. 2006011 CAT. 46 PAINTING TOOLS AND </t>
  </si>
  <si>
    <t>FAS-20-14</t>
  </si>
  <si>
    <t>2020-06-0103</t>
  </si>
  <si>
    <t>300-20-03-0047</t>
  </si>
  <si>
    <t>PGL-20 NEGO 24-06</t>
  </si>
  <si>
    <t>PR 1-20-06-0669 - CEMO</t>
  </si>
  <si>
    <t>BACRFQ2020-088</t>
  </si>
  <si>
    <t>20-06-037</t>
  </si>
  <si>
    <t>CW-1-114-2020</t>
  </si>
  <si>
    <t>FAS-20-15</t>
  </si>
  <si>
    <t>INFRA-BGCMEDF-012020</t>
  </si>
  <si>
    <t>06192020-087</t>
  </si>
  <si>
    <t>AVRC -2020-06-0190</t>
  </si>
  <si>
    <t>PR# 20-03-0438</t>
  </si>
  <si>
    <t>2020-06-291</t>
  </si>
  <si>
    <t>2020- 06-001</t>
  </si>
  <si>
    <t>SVP 2020-351</t>
  </si>
  <si>
    <t>PR 1-19-09-1639 - CITY HOSPITAL (REBIDDING LOT 3 O</t>
  </si>
  <si>
    <t>RFQ-2020-06-01</t>
  </si>
  <si>
    <t>20-06-057</t>
  </si>
  <si>
    <t>ITB 20-0062</t>
  </si>
  <si>
    <t>ITB No. 038-2020 GQ</t>
  </si>
  <si>
    <t>2020-2041</t>
  </si>
  <si>
    <t>ris 20-13-098</t>
  </si>
  <si>
    <t>2020-GOODS-NP-71</t>
  </si>
  <si>
    <t>CYBER-TRNG-1118-20</t>
  </si>
  <si>
    <t>CW43-2020</t>
  </si>
  <si>
    <t>200-20-06-0100</t>
  </si>
  <si>
    <t>RQ 06-112</t>
  </si>
  <si>
    <t>IB 2020-028</t>
  </si>
  <si>
    <t>2020-028</t>
  </si>
  <si>
    <t>MMO-076-2020</t>
  </si>
  <si>
    <t>FAS-20-16</t>
  </si>
  <si>
    <t>QNV-030-2020</t>
  </si>
  <si>
    <t>lamak 2020-06</t>
  </si>
  <si>
    <t>BIDSTAC # NP-SVP 104-(1)-2020</t>
  </si>
  <si>
    <t>015-2020</t>
  </si>
  <si>
    <t>ITB-DIESEL2020</t>
  </si>
  <si>
    <t>2020-6-1459</t>
  </si>
  <si>
    <t>2020 Caib 090</t>
  </si>
  <si>
    <t>LGU-ROX-31-2020</t>
  </si>
  <si>
    <t>2020-6-15-1</t>
  </si>
  <si>
    <t>ris 20-83-069</t>
  </si>
  <si>
    <t>SN-2020-36</t>
  </si>
  <si>
    <t>20-06-038</t>
  </si>
  <si>
    <t>0685</t>
  </si>
  <si>
    <t>FAS-20-17</t>
  </si>
  <si>
    <t>2020-07-07-379PG</t>
  </si>
  <si>
    <t>IB No. GS-2020 – 051-A</t>
  </si>
  <si>
    <t>2020-GOODS-NP-72</t>
  </si>
  <si>
    <t>CG-RFQ-115-2020</t>
  </si>
  <si>
    <t>2020-06-0164 FMD</t>
  </si>
  <si>
    <t>lamak-2020-07</t>
  </si>
  <si>
    <t>ITB 20-0063</t>
  </si>
  <si>
    <t>2020 Sumalili 1</t>
  </si>
  <si>
    <t>SVP 2020-350</t>
  </si>
  <si>
    <t>SVP-2020-06-15-01</t>
  </si>
  <si>
    <t>PB NO. 2020-036</t>
  </si>
  <si>
    <t>RFQ-DVO-PR.NO. 2004142 CAT. 78 FIRE AND RESCUE EQU</t>
  </si>
  <si>
    <t>RFQ2020-06-01</t>
  </si>
  <si>
    <t>2020-6-15-2</t>
  </si>
  <si>
    <t>MOOE JUNE 2020</t>
  </si>
  <si>
    <t>2020-101-051</t>
  </si>
  <si>
    <t>100-20-06-0093</t>
  </si>
  <si>
    <t>IB No. GS-2020 – 052-A</t>
  </si>
  <si>
    <t>RQ 06-029A</t>
  </si>
  <si>
    <t>RFQ PR NO. 824</t>
  </si>
  <si>
    <t>ITB No. 039-2020 GQ</t>
  </si>
  <si>
    <t>BACRFQ2020-089</t>
  </si>
  <si>
    <t>2020-06-13-20DF20 (INFRA)</t>
  </si>
  <si>
    <t>2020-Brgy.13-004</t>
  </si>
  <si>
    <t>CHMSC 20-017-0615-G</t>
  </si>
  <si>
    <t>ITB 20-0064</t>
  </si>
  <si>
    <t>20-06-429</t>
  </si>
  <si>
    <t>20-06-156</t>
  </si>
  <si>
    <t>RFQ PR NO. 860</t>
  </si>
  <si>
    <t>200-20-06-0014</t>
  </si>
  <si>
    <t>BIDSTAC # NP-SVP 001-(2)-2020</t>
  </si>
  <si>
    <t>CB-2020-016</t>
  </si>
  <si>
    <t>20-06-118</t>
  </si>
  <si>
    <t>016-2020</t>
  </si>
  <si>
    <t>OM-188-TBA-2020</t>
  </si>
  <si>
    <t>2020-79</t>
  </si>
  <si>
    <t>2020-06-093</t>
  </si>
  <si>
    <t>PB NO. 2020-037</t>
  </si>
  <si>
    <t>HPMA-2020-05-0331</t>
  </si>
  <si>
    <t>IB No. GS-2020 – 041-A</t>
  </si>
  <si>
    <t>2020-06-0001</t>
  </si>
  <si>
    <t>100-20-06-0092</t>
  </si>
  <si>
    <t>2020-06-0151 PSMD</t>
  </si>
  <si>
    <t>RB-07-2020-M</t>
  </si>
  <si>
    <t>IB No. GS-2020 – 048-A</t>
  </si>
  <si>
    <t>BACRFQ2020-090</t>
  </si>
  <si>
    <t>2020-06-03E</t>
  </si>
  <si>
    <t>20-06-040</t>
  </si>
  <si>
    <t>2020-06-015</t>
  </si>
  <si>
    <t>2020-06-0002</t>
  </si>
  <si>
    <t>LGU-ROX-32-2020</t>
  </si>
  <si>
    <t>PR. 20-05-169 (2020-05-176 2ND QUOTE)</t>
  </si>
  <si>
    <t>UPB-2020-037</t>
  </si>
  <si>
    <t>DFPC 20 055</t>
  </si>
  <si>
    <t>Q-092-20</t>
  </si>
  <si>
    <t>2020-07-07-375PG</t>
  </si>
  <si>
    <t>2020-06-004</t>
  </si>
  <si>
    <t>20JI0087</t>
  </si>
  <si>
    <t>20-5244</t>
  </si>
  <si>
    <t>GF-20-02-00338B</t>
  </si>
  <si>
    <t>MMO-031-2020</t>
  </si>
  <si>
    <t>BACRFQ2020-091</t>
  </si>
  <si>
    <t>MG-A5M20-094</t>
  </si>
  <si>
    <t>2020-029</t>
  </si>
  <si>
    <t>ITB 2020-06-003</t>
  </si>
  <si>
    <t>2020-G-073</t>
  </si>
  <si>
    <t>2020-06-15-02</t>
  </si>
  <si>
    <t>ITB 20-0065</t>
  </si>
  <si>
    <t>20-06-318</t>
  </si>
  <si>
    <t>2020-6-15-3</t>
  </si>
  <si>
    <t>IB No. GS-2020 – 046-A</t>
  </si>
  <si>
    <t>NPgoods010-2020</t>
  </si>
  <si>
    <t>20-06-446</t>
  </si>
  <si>
    <t>020-06-058</t>
  </si>
  <si>
    <t>2020</t>
  </si>
  <si>
    <t>016-0720-CP</t>
  </si>
  <si>
    <t>ITB-19-08018</t>
  </si>
  <si>
    <t>SRESC3_202005</t>
  </si>
  <si>
    <t>BACRFQ2020-092</t>
  </si>
  <si>
    <t>CG-RFQ-116-2020</t>
  </si>
  <si>
    <t>2020-05-343</t>
  </si>
  <si>
    <t>2020-07-07-376PG</t>
  </si>
  <si>
    <t>RQ 06-031A</t>
  </si>
  <si>
    <t>RFQ 95-2020</t>
  </si>
  <si>
    <t>CG-RFQ-117-2020</t>
  </si>
  <si>
    <t>100-20-05-103</t>
  </si>
  <si>
    <t>ROSAL 0328-2020</t>
  </si>
  <si>
    <t>2020-6-1469</t>
  </si>
  <si>
    <t>2020-06-10-20DF20 (INFRA)</t>
  </si>
  <si>
    <t>2020-6-15-4</t>
  </si>
  <si>
    <t>2020-06-023</t>
  </si>
  <si>
    <t>SVP-2020-06-15-02</t>
  </si>
  <si>
    <t>1BCT-NAF-06-20</t>
  </si>
  <si>
    <t>SVP-2020-06-91</t>
  </si>
  <si>
    <t>CW44-2020</t>
  </si>
  <si>
    <t>BACRFQ2020-093</t>
  </si>
  <si>
    <t>cgb2020-200</t>
  </si>
  <si>
    <t>20-06-387</t>
  </si>
  <si>
    <t>2020-045</t>
  </si>
  <si>
    <t>06-115-2020</t>
  </si>
  <si>
    <t>2020-29</t>
  </si>
  <si>
    <t>CabSur2020-001</t>
  </si>
  <si>
    <t>2020-10</t>
  </si>
  <si>
    <t>IB No. GS-2020 – 071</t>
  </si>
  <si>
    <t>20JI0088</t>
  </si>
  <si>
    <t>20-06-102</t>
  </si>
  <si>
    <t>2020-06-07E</t>
  </si>
  <si>
    <t>2020-6-15-5</t>
  </si>
  <si>
    <t>PRMS-06-20-01</t>
  </si>
  <si>
    <t>2020-GOODS-245</t>
  </si>
  <si>
    <t>RFQ No. 2020-02-002</t>
  </si>
  <si>
    <t>RFQ QN-0157</t>
  </si>
  <si>
    <t>DF-20-005</t>
  </si>
  <si>
    <t>2020-6-15-6</t>
  </si>
  <si>
    <t>2020-07-07-360PG</t>
  </si>
  <si>
    <t>APR No. 100-20-06-386</t>
  </si>
  <si>
    <t>MPP-2020-02</t>
  </si>
  <si>
    <t>GF-20-02-00301B</t>
  </si>
  <si>
    <t>IB No. GS-2020 – 072</t>
  </si>
  <si>
    <t>100-2006-0330</t>
  </si>
  <si>
    <t>2020-B-06-024</t>
  </si>
  <si>
    <t>SVP-2020-06-15-03</t>
  </si>
  <si>
    <t>DES 1135-20</t>
  </si>
  <si>
    <t>2020-06-02E</t>
  </si>
  <si>
    <t>C2C-20-09</t>
  </si>
  <si>
    <t>1BCT-NAF-07-20</t>
  </si>
  <si>
    <t>MPP-2020-03</t>
  </si>
  <si>
    <t>RFQ-2020-06-11</t>
  </si>
  <si>
    <t>PB-11-2020</t>
  </si>
  <si>
    <t>QNV-029-2020</t>
  </si>
  <si>
    <t>06-15-2020-210</t>
  </si>
  <si>
    <t>007-2020</t>
  </si>
  <si>
    <t>DAVOR-G-2020-09</t>
  </si>
  <si>
    <t>2020-07-07-362PG</t>
  </si>
  <si>
    <t>PB-12-2020</t>
  </si>
  <si>
    <t>RFG-2020-G-146</t>
  </si>
  <si>
    <t>cgb2020-202</t>
  </si>
  <si>
    <t>cgb2020-201</t>
  </si>
  <si>
    <t>DSB-2020-020</t>
  </si>
  <si>
    <t>6-132-2020</t>
  </si>
  <si>
    <t>06152001</t>
  </si>
  <si>
    <t>2020-02-001</t>
  </si>
  <si>
    <t>cgb2020-203</t>
  </si>
  <si>
    <t>80-20-02-026</t>
  </si>
  <si>
    <t>2020-06-08E</t>
  </si>
  <si>
    <t>6-8-20-ID5</t>
  </si>
  <si>
    <t>1280-06-00126</t>
  </si>
  <si>
    <t>GF-20-02-00300B</t>
  </si>
  <si>
    <t>GSO-20-06-0263</t>
  </si>
  <si>
    <t>2020-06-09-108NP</t>
  </si>
  <si>
    <t>bcnhs00143</t>
  </si>
  <si>
    <t>42</t>
  </si>
  <si>
    <t>DES 1133-20</t>
  </si>
  <si>
    <t>APR No. 100-20-06-379</t>
  </si>
  <si>
    <t>101-20-06-137</t>
  </si>
  <si>
    <t>20-06-119</t>
  </si>
  <si>
    <t>RFQ-2020-021</t>
  </si>
  <si>
    <t>200-20-06-0099</t>
  </si>
  <si>
    <t>20BE0088</t>
  </si>
  <si>
    <t>2020-046</t>
  </si>
  <si>
    <t>0058</t>
  </si>
  <si>
    <t>2020-PR-100</t>
  </si>
  <si>
    <t>20-06-103</t>
  </si>
  <si>
    <t>S-2020-0033</t>
  </si>
  <si>
    <t>2020-06-33-20DF20 (INFRA)</t>
  </si>
  <si>
    <t>20GA0191</t>
  </si>
  <si>
    <t>2020130</t>
  </si>
  <si>
    <t>RFQ-2020-06-12</t>
  </si>
  <si>
    <t>CGS-2020-0134</t>
  </si>
  <si>
    <t>2020-06-19-109NP</t>
  </si>
  <si>
    <t>CW45-2020</t>
  </si>
  <si>
    <t>CHMSC 20-018-0615-G</t>
  </si>
  <si>
    <t>DES 1134-20</t>
  </si>
  <si>
    <t>DES 0909-20</t>
  </si>
  <si>
    <t>GEPS-2020-001</t>
  </si>
  <si>
    <t>IB-05-0399-20HRND</t>
  </si>
  <si>
    <t>020-06-059</t>
  </si>
  <si>
    <t>GSO-20-06-0264</t>
  </si>
  <si>
    <t>GF-20-02-00337B</t>
  </si>
  <si>
    <t>R1-670-2020</t>
  </si>
  <si>
    <t>2020-06-19-111NP</t>
  </si>
  <si>
    <t>RPQ 2020-06-082</t>
  </si>
  <si>
    <t>2020-06-19-110NP</t>
  </si>
  <si>
    <t>20060454</t>
  </si>
  <si>
    <t>QNV-025-2020</t>
  </si>
  <si>
    <t>2020-48</t>
  </si>
  <si>
    <t>5</t>
  </si>
  <si>
    <t>100-2020-05-098</t>
  </si>
  <si>
    <t>Aklan BAC ITB 352 Series of 2020</t>
  </si>
  <si>
    <t>GEPS-2020-002</t>
  </si>
  <si>
    <t>2020-06-19-113NP</t>
  </si>
  <si>
    <t>2020-012</t>
  </si>
  <si>
    <t>20-06-041</t>
  </si>
  <si>
    <t>2020-06-01</t>
  </si>
  <si>
    <t>2020-06-19-114NP</t>
  </si>
  <si>
    <t>NONE</t>
  </si>
  <si>
    <t>20060453</t>
  </si>
  <si>
    <t>SN-2020-009</t>
  </si>
  <si>
    <t>GSO-20-06-0265</t>
  </si>
  <si>
    <t>20-06-042</t>
  </si>
  <si>
    <t>0059</t>
  </si>
  <si>
    <t>MCT 20-002</t>
  </si>
  <si>
    <t>PROJECT ID NO. I-2020-007</t>
  </si>
  <si>
    <t>2020-311</t>
  </si>
  <si>
    <t>20BE0089</t>
  </si>
  <si>
    <t>20BC0157 re-adv.</t>
  </si>
  <si>
    <t>20BC0212</t>
  </si>
  <si>
    <t>2020-06-19-112NP</t>
  </si>
  <si>
    <t>06152020-B</t>
  </si>
  <si>
    <t>20GA0195</t>
  </si>
  <si>
    <t>0028-S-2020</t>
  </si>
  <si>
    <t>2020-312</t>
  </si>
  <si>
    <t>20060452</t>
  </si>
  <si>
    <t>PNU2020-0002</t>
  </si>
  <si>
    <t>M-20-20</t>
  </si>
  <si>
    <t>20-06-043</t>
  </si>
  <si>
    <t>20GGF0015</t>
  </si>
  <si>
    <t>20BC0205</t>
  </si>
  <si>
    <t>06-196</t>
  </si>
  <si>
    <t>0027-S-20</t>
  </si>
  <si>
    <t>20HN0083</t>
  </si>
  <si>
    <t>Supplies 301-2020</t>
  </si>
  <si>
    <t>COMAGASCAS1</t>
  </si>
  <si>
    <t>2020-03-086</t>
  </si>
  <si>
    <t>SEF-I-47-2020</t>
  </si>
  <si>
    <t>0029-S-2020</t>
  </si>
  <si>
    <t>2020-313</t>
  </si>
  <si>
    <t>2020-030</t>
  </si>
  <si>
    <t>HMD-2020-02-0115</t>
  </si>
  <si>
    <t>2020-013</t>
  </si>
  <si>
    <t>PSU ITB 2001-008</t>
  </si>
  <si>
    <t>0030-S-20</t>
  </si>
  <si>
    <t>20GGF0016</t>
  </si>
  <si>
    <t>20060451</t>
  </si>
  <si>
    <t>CW RA 7171-24</t>
  </si>
  <si>
    <t>20ID0074</t>
  </si>
  <si>
    <t>SEF-I-48-2020</t>
  </si>
  <si>
    <t>20ID0075</t>
  </si>
  <si>
    <t>RFQ-2020-169</t>
  </si>
  <si>
    <t>0031-S-2020</t>
  </si>
  <si>
    <t>Aklan BAC RFQ 353 Series of 2020</t>
  </si>
  <si>
    <t>GF-20-02-00030B</t>
  </si>
  <si>
    <t>2020-PLA-060</t>
  </si>
  <si>
    <t>300-20-05-0399</t>
  </si>
  <si>
    <t>19-12-308</t>
  </si>
  <si>
    <t>0032-S-2020</t>
  </si>
  <si>
    <t>20-04-00296</t>
  </si>
  <si>
    <t>ADS-1368-20</t>
  </si>
  <si>
    <t>2020-06-024</t>
  </si>
  <si>
    <t>2020-11</t>
  </si>
  <si>
    <t>0033-S-2020</t>
  </si>
  <si>
    <t>005</t>
  </si>
  <si>
    <t>GS-GF-2020-0253</t>
  </si>
  <si>
    <t>GF-20-02-00061B</t>
  </si>
  <si>
    <t>2020-06-025</t>
  </si>
  <si>
    <t>2020-07-07-363PG</t>
  </si>
  <si>
    <t>GS-GF-2020-0254</t>
  </si>
  <si>
    <t>2020-PR-99</t>
  </si>
  <si>
    <t>20-06-059</t>
  </si>
  <si>
    <t>RQ No. 2020-06-72</t>
  </si>
  <si>
    <t>2020-102</t>
  </si>
  <si>
    <t>30060444,0447-0449</t>
  </si>
  <si>
    <t>lgu padada-0019-06-15-2020</t>
  </si>
  <si>
    <t>RFQ2020-06-0918</t>
  </si>
  <si>
    <t>ADS-1367-20</t>
  </si>
  <si>
    <t>2020-06-32-20DF20 (INFRA)</t>
  </si>
  <si>
    <t>ITB NO. 010 OF 2020</t>
  </si>
  <si>
    <t>2020-06-030</t>
  </si>
  <si>
    <t>20-06-PM013</t>
  </si>
  <si>
    <t>06-197</t>
  </si>
  <si>
    <t>2020-06-012</t>
  </si>
  <si>
    <t>THWRDEC-Water Analysis</t>
  </si>
  <si>
    <t>RFQ2020-06-0917</t>
  </si>
  <si>
    <t>2020-06-0106</t>
  </si>
  <si>
    <t>SP(LEGIS)20-099(NP/SV)</t>
  </si>
  <si>
    <t>RDTD-2019-11-0887</t>
  </si>
  <si>
    <t>2020-016</t>
  </si>
  <si>
    <t>RQ 06-001A</t>
  </si>
  <si>
    <t>RQ No. 2020-06-74</t>
  </si>
  <si>
    <t>41</t>
  </si>
  <si>
    <t>P.R. No.:DARFO2.QES.115.20-05-018</t>
  </si>
  <si>
    <t>100(01)20-04-0896</t>
  </si>
  <si>
    <t>2020-047</t>
  </si>
  <si>
    <t>20-06-0650</t>
  </si>
  <si>
    <t>ADS-1366-20</t>
  </si>
  <si>
    <t>20-06-0648</t>
  </si>
  <si>
    <t>20GA0199</t>
  </si>
  <si>
    <t>SVP 2020-13</t>
  </si>
  <si>
    <t>072020</t>
  </si>
  <si>
    <t>ITB NO. 011 OF 2020</t>
  </si>
  <si>
    <t>ADS-1372-20</t>
  </si>
  <si>
    <t>RQ No. 2020-06-75</t>
  </si>
  <si>
    <t>B-20-25</t>
  </si>
  <si>
    <t>2020-06-339</t>
  </si>
  <si>
    <t>2020-402-06</t>
  </si>
  <si>
    <t>2020-07-07-364PG</t>
  </si>
  <si>
    <t>RFQ No. 81-2020-G (1 Canvass)</t>
  </si>
  <si>
    <t>2020-040169</t>
  </si>
  <si>
    <t>lgu padada 0018-06-15-2020</t>
  </si>
  <si>
    <t>P.R. No.:DARFO2.QES.115.20-06-014</t>
  </si>
  <si>
    <t>20-06-031</t>
  </si>
  <si>
    <t>HMD-2020-01-0042</t>
  </si>
  <si>
    <t>LGUBal2020-03</t>
  </si>
  <si>
    <t>LGU-Valencia, Bohol 2020-060</t>
  </si>
  <si>
    <t>RFQ No. 82-2020-G (1 Canvass)</t>
  </si>
  <si>
    <t>061520-TFB1</t>
  </si>
  <si>
    <t>ADS-1376-20</t>
  </si>
  <si>
    <t>4-S-2020</t>
  </si>
  <si>
    <t>ITB NO. 012 OF 2020</t>
  </si>
  <si>
    <t>INFRA-2020-03</t>
  </si>
  <si>
    <t>SMAC-NEG-16-20</t>
  </si>
  <si>
    <t>2020-06-0015</t>
  </si>
  <si>
    <t>2020-06-032</t>
  </si>
  <si>
    <t>INFRA-2020-04</t>
  </si>
  <si>
    <t>SV20-06-003ILO Lot - 1</t>
  </si>
  <si>
    <t>2020-06-35-GF18 (INFRA)</t>
  </si>
  <si>
    <t>ADS-1370-20</t>
  </si>
  <si>
    <t>20-04-225</t>
  </si>
  <si>
    <t>VIN BAC 028-2020</t>
  </si>
  <si>
    <t>2020-07-07-365PG</t>
  </si>
  <si>
    <t>20-06-225</t>
  </si>
  <si>
    <t>RFQ No. 83-2020-G (1 Canvass)</t>
  </si>
  <si>
    <t>SVP 2020-345</t>
  </si>
  <si>
    <t>2020-014</t>
  </si>
  <si>
    <t>NIAREG9-06-2020-FUND501LFPS-077 (SH)</t>
  </si>
  <si>
    <t>2020-06-0099</t>
  </si>
  <si>
    <t>100(01)20-05-1121</t>
  </si>
  <si>
    <t>2020-06-148</t>
  </si>
  <si>
    <t>2020-06-031</t>
  </si>
  <si>
    <t>KC-2020-06-0191</t>
  </si>
  <si>
    <t>BMC-N-20-179</t>
  </si>
  <si>
    <t>061520-TFB3</t>
  </si>
  <si>
    <t>2020-04-126</t>
  </si>
  <si>
    <t>20-06-104</t>
  </si>
  <si>
    <t>2020-01-17</t>
  </si>
  <si>
    <t>20-06-319</t>
  </si>
  <si>
    <t>VIN BAC 029-2020</t>
  </si>
  <si>
    <t>50-1</t>
  </si>
  <si>
    <t>RFQ No. 84-2020-G (1 Canvass)</t>
  </si>
  <si>
    <t>2020-05-051</t>
  </si>
  <si>
    <t>061520-TFB2</t>
  </si>
  <si>
    <t>BMC-N-20-180</t>
  </si>
  <si>
    <t>20-06-054</t>
  </si>
  <si>
    <t>P.R. No. 20-06-159</t>
  </si>
  <si>
    <t>6152020</t>
  </si>
  <si>
    <t>SJ20-01</t>
  </si>
  <si>
    <t>Aklan BAC RFQ 354 Series of 2020</t>
  </si>
  <si>
    <t>RFQ No. 85-2020-G (1 Canvass)</t>
  </si>
  <si>
    <t>06152020-C</t>
  </si>
  <si>
    <t>SVP-2020-06-92</t>
  </si>
  <si>
    <t>100(01)20-05-1128</t>
  </si>
  <si>
    <t>102-1011-017</t>
  </si>
  <si>
    <t>PR No 08-2020 Fundado</t>
  </si>
  <si>
    <t>bk-cw-1-2020</t>
  </si>
  <si>
    <t>SV20-06-003ILO Lot - 2</t>
  </si>
  <si>
    <t>VIN BAC 030-2020</t>
  </si>
  <si>
    <t>2020-196-03</t>
  </si>
  <si>
    <t>SJ20-02</t>
  </si>
  <si>
    <t>363-2020</t>
  </si>
  <si>
    <t>01-01-2020-06-558</t>
  </si>
  <si>
    <t>20-06-107</t>
  </si>
  <si>
    <t>MKWD-BAC-2020-048</t>
  </si>
  <si>
    <t>2020-06-393</t>
  </si>
  <si>
    <t>2020-06-0095</t>
  </si>
  <si>
    <t>BLGU-PBD-Sta. Elena-2020-24</t>
  </si>
  <si>
    <t>DENR XII-SP-25-2020</t>
  </si>
  <si>
    <t>051520-TFB4</t>
  </si>
  <si>
    <t>2020-06-34-20DF20 (INFRA)</t>
  </si>
  <si>
    <t>2020-06-095</t>
  </si>
  <si>
    <t>BMC-N-20-181</t>
  </si>
  <si>
    <t>SJ20-03</t>
  </si>
  <si>
    <t>SN No 2020-001</t>
  </si>
  <si>
    <t>MEO-004-2020</t>
  </si>
  <si>
    <t>LGUBal2020-04</t>
  </si>
  <si>
    <t>20GA0054</t>
  </si>
  <si>
    <t>BACII-2020-15</t>
  </si>
  <si>
    <t>NLPRSD-2020-06-0292</t>
  </si>
  <si>
    <t>P.R. No. 20-06-162</t>
  </si>
  <si>
    <t>364-2020</t>
  </si>
  <si>
    <t>RFQ-2020-170</t>
  </si>
  <si>
    <t>RFQ 2020-0236</t>
  </si>
  <si>
    <t>2020-06-096</t>
  </si>
  <si>
    <t>BAY-TF-2020-06-429</t>
  </si>
  <si>
    <t>2020-6-171</t>
  </si>
  <si>
    <t>061520-TFB5</t>
  </si>
  <si>
    <t>100(01)20-01-0130</t>
  </si>
  <si>
    <t>2020-06-36-20DF20 (INFRA)</t>
  </si>
  <si>
    <t>GOODS - 2020-06-044</t>
  </si>
  <si>
    <t>BAC-HO GS No. 2020-0243</t>
  </si>
  <si>
    <t>SV-0736-2020</t>
  </si>
  <si>
    <t>2020-g-191</t>
  </si>
  <si>
    <t>P.R. No. 20-06-161</t>
  </si>
  <si>
    <t>2020-06-037</t>
  </si>
  <si>
    <t>DARROV-4-2020</t>
  </si>
  <si>
    <t>2020-06-026</t>
  </si>
  <si>
    <t>037-2020 Procurement of various equipment for tele</t>
  </si>
  <si>
    <t>365-2020</t>
  </si>
  <si>
    <t>BMC-N-20-182</t>
  </si>
  <si>
    <t>SJ20-04</t>
  </si>
  <si>
    <t>06-0652-19</t>
  </si>
  <si>
    <t>101-1011-017</t>
  </si>
  <si>
    <t>2020-06-016</t>
  </si>
  <si>
    <t>2020-308-03</t>
  </si>
  <si>
    <t>20-06-052</t>
  </si>
  <si>
    <t>khs-2020-004</t>
  </si>
  <si>
    <t>20-06-110</t>
  </si>
  <si>
    <t>2020-05-047</t>
  </si>
  <si>
    <t>20-009-R</t>
  </si>
  <si>
    <t>SJ20-05</t>
  </si>
  <si>
    <t>20CB-GSC-327 PURCHASE OF ENGINE OIL FOR MOTOR VEHI</t>
  </si>
  <si>
    <t>366-2020</t>
  </si>
  <si>
    <t>LGU-TAN-GOODS-2020-068</t>
  </si>
  <si>
    <t>SJ20-06</t>
  </si>
  <si>
    <t>Waste Water Analysis thwrdec</t>
  </si>
  <si>
    <t>RFQ No. 86-2020-G (1 Canvass)</t>
  </si>
  <si>
    <t>100-20-04-493</t>
  </si>
  <si>
    <t>101-2020-06-159-041</t>
  </si>
  <si>
    <t>06152020-D</t>
  </si>
  <si>
    <t>LGU-Valencia, Bohol 2020-061</t>
  </si>
  <si>
    <t>MKWD-BAC-2020-049</t>
  </si>
  <si>
    <t>popcom2020-049</t>
  </si>
  <si>
    <t>0051-2020</t>
  </si>
  <si>
    <t>LGUBal2020-05</t>
  </si>
  <si>
    <t>NP280-TIRES-2020</t>
  </si>
  <si>
    <t>2020-06-335</t>
  </si>
  <si>
    <t>100-2020-Goods-352</t>
  </si>
  <si>
    <t>LGU-100-2020-06-G-435</t>
  </si>
  <si>
    <t>2020-06-038</t>
  </si>
  <si>
    <t>BACRFQ2020-094</t>
  </si>
  <si>
    <t>20GA0203</t>
  </si>
  <si>
    <t>2020-258-03</t>
  </si>
  <si>
    <t>2020-Brgy.13-005</t>
  </si>
  <si>
    <t>362-2020</t>
  </si>
  <si>
    <t>SF-GOODS NO. 63-(06-15-20)</t>
  </si>
  <si>
    <t>BMC-N-20-183</t>
  </si>
  <si>
    <t>S-0213</t>
  </si>
  <si>
    <t>PR# 020-0174</t>
  </si>
  <si>
    <t>013-2020-PB</t>
  </si>
  <si>
    <t>ITB No. 2020-154-bpmc</t>
  </si>
  <si>
    <t>06152020-E</t>
  </si>
  <si>
    <t>20-06-111</t>
  </si>
  <si>
    <t>20CB-GSC-329 PURCHASE OF MATERIALS FOR SLAUGHTERHO</t>
  </si>
  <si>
    <t>P.R NO. 100-2020-03-0323</t>
  </si>
  <si>
    <t>MKWD-BAC-2020-050</t>
  </si>
  <si>
    <t>7</t>
  </si>
  <si>
    <t>AFPPS-REPE-0932-20</t>
  </si>
  <si>
    <t>005-Goods-2020</t>
  </si>
  <si>
    <t>RFQ No. 20-0543 Shopping B</t>
  </si>
  <si>
    <t>20GAC0018</t>
  </si>
  <si>
    <t>B-ITB-19-2020-M</t>
  </si>
  <si>
    <t>P.R. No. 20-06-157</t>
  </si>
  <si>
    <t>Aklan BAC RFQ 355 Series of 2020</t>
  </si>
  <si>
    <t>100-20-04-492</t>
  </si>
  <si>
    <t>DOSTR01-RFQ2020-25</t>
  </si>
  <si>
    <t>2020-06-37-20DF20 (INFRA)</t>
  </si>
  <si>
    <t>RFQ-2020-06-002</t>
  </si>
  <si>
    <t>06152020-G</t>
  </si>
  <si>
    <t>074-20-A</t>
  </si>
  <si>
    <t>POG/TF/42-2020</t>
  </si>
  <si>
    <t>06152020-F</t>
  </si>
  <si>
    <t>RFQ 080 101</t>
  </si>
  <si>
    <t>2020-5-1280</t>
  </si>
  <si>
    <t>BARANGAY TAGNATE 2</t>
  </si>
  <si>
    <t>2020-SVP-05-014</t>
  </si>
  <si>
    <t>2020-405</t>
  </si>
  <si>
    <t>20CB-GSC-331 PURCHASE OF FUELS &amp; LUBRICANTS (RE-BI</t>
  </si>
  <si>
    <t>2020-06-336</t>
  </si>
  <si>
    <t>2020-06-0345</t>
  </si>
  <si>
    <t>2020-Bgry. 04 Pob. 002</t>
  </si>
  <si>
    <t>MKWD-BAC-2020-051</t>
  </si>
  <si>
    <t>2020-245-03</t>
  </si>
  <si>
    <t>014-2020-PB</t>
  </si>
  <si>
    <t>ITB No. 2020-155-bph-kalilangan</t>
  </si>
  <si>
    <t>DIM-INFRA-2020-09</t>
  </si>
  <si>
    <t>MALAMA 2020-001</t>
  </si>
  <si>
    <t>20-06-106</t>
  </si>
  <si>
    <t>06152020-H</t>
  </si>
  <si>
    <t>074-20-E</t>
  </si>
  <si>
    <t>20-06-113</t>
  </si>
  <si>
    <t>G291-20</t>
  </si>
  <si>
    <t>MMWD-0016-2020</t>
  </si>
  <si>
    <t>RFQ-2020-053</t>
  </si>
  <si>
    <t>20GAC0019</t>
  </si>
  <si>
    <t>100-20-05-659</t>
  </si>
  <si>
    <t>2020-204</t>
  </si>
  <si>
    <t>2020-449</t>
  </si>
  <si>
    <t>RFQ 2020-81</t>
  </si>
  <si>
    <t>103-1011-017</t>
  </si>
  <si>
    <t>6-15-2020</t>
  </si>
  <si>
    <t>2020131</t>
  </si>
  <si>
    <t>ADMIN 2020-03-030</t>
  </si>
  <si>
    <t>MKWD-BAC-2020-052</t>
  </si>
  <si>
    <t>2020-0143</t>
  </si>
  <si>
    <t>2020-07-07-366PG</t>
  </si>
  <si>
    <t>2020-I-13</t>
  </si>
  <si>
    <t>MALAMA 2020-002</t>
  </si>
  <si>
    <t>RFQ No. 20-0545 NP-SV</t>
  </si>
  <si>
    <t>ITB No. UATLMC2020-101-03-005L1</t>
  </si>
  <si>
    <t>HPMA-2020-06-0364</t>
  </si>
  <si>
    <t>RFQ-004 MPDO</t>
  </si>
  <si>
    <t>2020132</t>
  </si>
  <si>
    <t>GB 2002-006</t>
  </si>
  <si>
    <t>2020-05-1002</t>
  </si>
  <si>
    <t>Aklan BAC ITB 334 Series of 2020</t>
  </si>
  <si>
    <t>2020-06-04</t>
  </si>
  <si>
    <t>ITB No. 2020-156-sp-maramara</t>
  </si>
  <si>
    <t>2020-022</t>
  </si>
  <si>
    <t>PAPC-OG3_ASCOM-2020-11185-5251</t>
  </si>
  <si>
    <t xml:space="preserve">20CB-GSC-333 PURCHASE OF CORE VALUE T-SHIRTS WITH </t>
  </si>
  <si>
    <t>RFQ 2020-06-0108</t>
  </si>
  <si>
    <t>BMC-N-20-186</t>
  </si>
  <si>
    <t>5-S-2020</t>
  </si>
  <si>
    <t>2020-208</t>
  </si>
  <si>
    <t>BAC-PG-00132-20</t>
  </si>
  <si>
    <t>CG-RFQ-118-2020</t>
  </si>
  <si>
    <t>2020133</t>
  </si>
  <si>
    <t>06-20-001</t>
  </si>
  <si>
    <t>RFQ ADMIN 2020 03 029</t>
  </si>
  <si>
    <t>1021-1011-017</t>
  </si>
  <si>
    <t>2020-06-38-20DF20(INFRA)</t>
  </si>
  <si>
    <t>CB 05 - 2020</t>
  </si>
  <si>
    <t>2020-06-013</t>
  </si>
  <si>
    <t>BAC-PG-00133-20</t>
  </si>
  <si>
    <t>20GA0221</t>
  </si>
  <si>
    <t>G303-20</t>
  </si>
  <si>
    <t>LGU-SIN-2020-06-219</t>
  </si>
  <si>
    <t>100-20-05-657</t>
  </si>
  <si>
    <t>2020-02-039 &amp; 051</t>
  </si>
  <si>
    <t>2020-355</t>
  </si>
  <si>
    <t>RFQ 2020-83</t>
  </si>
  <si>
    <t>ITB No. 2020-157-sp-maramara, sp-dinlayan and sp-g</t>
  </si>
  <si>
    <t>2020-358</t>
  </si>
  <si>
    <t>RQ No. 2020-06-76</t>
  </si>
  <si>
    <t>CB 06 - 2020</t>
  </si>
  <si>
    <t>23-S-20</t>
  </si>
  <si>
    <t>20-06-028</t>
  </si>
  <si>
    <t>ATI2020-06-117</t>
  </si>
  <si>
    <t>20-034</t>
  </si>
  <si>
    <t>PNU2020-0055</t>
  </si>
  <si>
    <t>PAPC-APAO-2020-11300-5252</t>
  </si>
  <si>
    <t>APR No. 100-20-06-410</t>
  </si>
  <si>
    <t>RFQ No. 0156</t>
  </si>
  <si>
    <t>020-2020</t>
  </si>
  <si>
    <t>2020-442</t>
  </si>
  <si>
    <t>BMC-N-20-185</t>
  </si>
  <si>
    <t>HB 2003-016</t>
  </si>
  <si>
    <t>RFQ-2020-084-GOODS</t>
  </si>
  <si>
    <t>2020136</t>
  </si>
  <si>
    <t>DHSUD-RFQ-R7-20-001</t>
  </si>
  <si>
    <t>0020-20- SVP</t>
  </si>
  <si>
    <t>100-20-05-656</t>
  </si>
  <si>
    <t>2020-402</t>
  </si>
  <si>
    <t>2020-095</t>
  </si>
  <si>
    <t>BMC-N-20-187</t>
  </si>
  <si>
    <t>NUB-20-06-0459</t>
  </si>
  <si>
    <t>24-S-20</t>
  </si>
  <si>
    <t>20-06-0418</t>
  </si>
  <si>
    <t>2020-2014</t>
  </si>
  <si>
    <t>2020-01-IT-01</t>
  </si>
  <si>
    <t>2020-0270</t>
  </si>
  <si>
    <t>20CB-GSC-332 PURCHASE OF SPARE PARTS FOR MOTOR VEH</t>
  </si>
  <si>
    <t>2020-RFQ-024G</t>
  </si>
  <si>
    <t>DAS2020-046</t>
  </si>
  <si>
    <t>PAPC-HHSG-2020-11147-5253</t>
  </si>
  <si>
    <t>2020-SRV-012</t>
  </si>
  <si>
    <t>DARCII-2020-009</t>
  </si>
  <si>
    <t>RFQ-09</t>
  </si>
  <si>
    <t>2020-324</t>
  </si>
  <si>
    <t>LGN-GOODS-2020-001</t>
  </si>
  <si>
    <t>goods2020037</t>
  </si>
  <si>
    <t>2020-RFQ-025G</t>
  </si>
  <si>
    <t>20-018</t>
  </si>
  <si>
    <t>20GOF0010</t>
  </si>
  <si>
    <t>ITB No. 06-GOODS-2019</t>
  </si>
  <si>
    <t>25-S-20</t>
  </si>
  <si>
    <t>2020-328</t>
  </si>
  <si>
    <t>100-20-05-639</t>
  </si>
  <si>
    <t>2020-330</t>
  </si>
  <si>
    <t>2020134</t>
  </si>
  <si>
    <t>Jiab-2020-25A</t>
  </si>
  <si>
    <t>PR-2020-06-13</t>
  </si>
  <si>
    <t>0095-2020</t>
  </si>
  <si>
    <t>DILG-2020-03</t>
  </si>
  <si>
    <t>2020-06-011 Procurement of Resuce and Communicatio</t>
  </si>
  <si>
    <t>2020-399</t>
  </si>
  <si>
    <t>06-15-2020</t>
  </si>
  <si>
    <t>2020-334</t>
  </si>
  <si>
    <t>DTIMP-INREMP-2020-03</t>
  </si>
  <si>
    <t>BAC 2020-31</t>
  </si>
  <si>
    <t>95</t>
  </si>
  <si>
    <t>ITB No. UATLMC2020-101-03-005L2</t>
  </si>
  <si>
    <t>06-15-2020-211</t>
  </si>
  <si>
    <t>APR No. 100-20-06-416</t>
  </si>
  <si>
    <t>2020-333</t>
  </si>
  <si>
    <t>LGU-SIN-2020-06-220</t>
  </si>
  <si>
    <t>RFQ-2020-085-GOODS</t>
  </si>
  <si>
    <t>20GOF0011</t>
  </si>
  <si>
    <t>TASS-06-06-2020</t>
  </si>
  <si>
    <t>20GOF0012</t>
  </si>
  <si>
    <t>CG-1-119-2020</t>
  </si>
  <si>
    <t>20-0612-1061</t>
  </si>
  <si>
    <t>2020-448</t>
  </si>
  <si>
    <t>LGUPROC 2020 -104R</t>
  </si>
  <si>
    <t>101-2020-06-01IF</t>
  </si>
  <si>
    <t>RFQ-004-2020</t>
  </si>
  <si>
    <t>2020-0615-01</t>
  </si>
  <si>
    <t>2020-03-099</t>
  </si>
  <si>
    <t>2020-06-15-03</t>
  </si>
  <si>
    <t>BAC-2020-0018</t>
  </si>
  <si>
    <t>2020-06-007</t>
  </si>
  <si>
    <t>0427</t>
  </si>
  <si>
    <t>June 15, 2020</t>
  </si>
  <si>
    <t>2020-337</t>
  </si>
  <si>
    <t>0021-20-SVP</t>
  </si>
  <si>
    <t>115-1011-017</t>
  </si>
  <si>
    <t>20GOF0013</t>
  </si>
  <si>
    <t>20GOF0015</t>
  </si>
  <si>
    <t>2020-0265</t>
  </si>
  <si>
    <t>2020-018</t>
  </si>
  <si>
    <t>2020-343</t>
  </si>
  <si>
    <t>PR 2020-06-031</t>
  </si>
  <si>
    <t>20-06-053</t>
  </si>
  <si>
    <t>PR No. 20-04-033</t>
  </si>
  <si>
    <t>20-06-049</t>
  </si>
  <si>
    <t>2020-0044</t>
  </si>
  <si>
    <t>CGS-2020-0135</t>
  </si>
  <si>
    <t>20GOF0014</t>
  </si>
  <si>
    <t>2020-341</t>
  </si>
  <si>
    <t>CG-RFQ-120-2020</t>
  </si>
  <si>
    <t>2020-433</t>
  </si>
  <si>
    <t>ORF BBG-2020-05</t>
  </si>
  <si>
    <t>2020-GOODS-246</t>
  </si>
  <si>
    <t>9998-20-059</t>
  </si>
  <si>
    <t>RFQ-2020-086-GOODS</t>
  </si>
  <si>
    <t>DVO-200623-19</t>
  </si>
  <si>
    <t>2020-338</t>
  </si>
  <si>
    <t>2020137</t>
  </si>
  <si>
    <t>RFQ 96-2020</t>
  </si>
  <si>
    <t>CB 07 - 2020</t>
  </si>
  <si>
    <t>RFQ No. 0796-20</t>
  </si>
  <si>
    <t>LGUPROC 2020 -105R</t>
  </si>
  <si>
    <t>RFQ No. 0795-20</t>
  </si>
  <si>
    <t>bac-azds-rfq-022-2020</t>
  </si>
  <si>
    <t>RFQ-2020-06-012</t>
  </si>
  <si>
    <t>2020-01-CONS</t>
  </si>
  <si>
    <t>2020-41</t>
  </si>
  <si>
    <t>RFQ-005-2020</t>
  </si>
  <si>
    <t>pgeps#0251-2020</t>
  </si>
  <si>
    <t>20GOF0016</t>
  </si>
  <si>
    <t>2020-1835</t>
  </si>
  <si>
    <t>2020-06-0179</t>
  </si>
  <si>
    <t>2020-03-087</t>
  </si>
  <si>
    <t>2020-348</t>
  </si>
  <si>
    <t>2020-353</t>
  </si>
  <si>
    <t>RFQ No. 0785-20</t>
  </si>
  <si>
    <t>2020-340</t>
  </si>
  <si>
    <t>ITB No. UATLMC2020-101-03-005L3</t>
  </si>
  <si>
    <t>HPMA-2020-06-0362</t>
  </si>
  <si>
    <t>CG-RFQ-121-2020</t>
  </si>
  <si>
    <t>2020-06-012 Procurement of Common-Use Office Suppl</t>
  </si>
  <si>
    <t>QNV-028-2020</t>
  </si>
  <si>
    <t>2020-084</t>
  </si>
  <si>
    <t>2020-0052</t>
  </si>
  <si>
    <t>1011-20-06-12</t>
  </si>
  <si>
    <t>Amagbagan-001</t>
  </si>
  <si>
    <t>RFQ-2020-087-GOODS</t>
  </si>
  <si>
    <t>pgeps#0252-2020</t>
  </si>
  <si>
    <t>2020-0059</t>
  </si>
  <si>
    <t>2020-2058</t>
  </si>
  <si>
    <t>2020-06-033</t>
  </si>
  <si>
    <t>PR No. 2020-267</t>
  </si>
  <si>
    <t>2020-020</t>
  </si>
  <si>
    <t>2020-019</t>
  </si>
  <si>
    <t>CG-RFQ-122-2020</t>
  </si>
  <si>
    <t>20-04-218</t>
  </si>
  <si>
    <t>20-26</t>
  </si>
  <si>
    <t>ITBRA7171-2020-009</t>
  </si>
  <si>
    <t>RFQ No. 0793-20</t>
  </si>
  <si>
    <t>ITB No. UATLMC2020-101-03-005L4</t>
  </si>
  <si>
    <t>ATI2020-06-118</t>
  </si>
  <si>
    <t>APR No. 100-20-04-295</t>
  </si>
  <si>
    <t>pgeps#0253-2020</t>
  </si>
  <si>
    <t>409THCO-GHQ&amp;HSC-SVCJ-95-20</t>
  </si>
  <si>
    <t>RFQ 97-2020</t>
  </si>
  <si>
    <t>024-06-2020</t>
  </si>
  <si>
    <t>2020-136</t>
  </si>
  <si>
    <t>RFQ-2020-06-013</t>
  </si>
  <si>
    <t>2020-362</t>
  </si>
  <si>
    <t>2020-GOODS-247</t>
  </si>
  <si>
    <t>1016-03-007</t>
  </si>
  <si>
    <t>2020-361</t>
  </si>
  <si>
    <t>IL-2020-U-26</t>
  </si>
  <si>
    <t>1011-20-06-13</t>
  </si>
  <si>
    <t>BAC 2020-32</t>
  </si>
  <si>
    <t xml:space="preserve">RFQ 2020 - 06 - 21 Upgrade Equiptment for Barista </t>
  </si>
  <si>
    <t>RFQ-005</t>
  </si>
  <si>
    <t>ITB No. UATLMC2020-101-03-005L5</t>
  </si>
  <si>
    <t>109CO - 06 - 2020 - 087</t>
  </si>
  <si>
    <t>APR No. 100-20-06-417</t>
  </si>
  <si>
    <t>2020-456</t>
  </si>
  <si>
    <t>4411-20-06-023</t>
  </si>
  <si>
    <t>PG-2020-045</t>
  </si>
  <si>
    <t>maniboc2020-01</t>
  </si>
  <si>
    <t>2020-07-07-367PG</t>
  </si>
  <si>
    <t>INFRA-2020-06-36</t>
  </si>
  <si>
    <t>2020-1895</t>
  </si>
  <si>
    <t>RFQ-2020-089-GOODS</t>
  </si>
  <si>
    <t>DVO-200623-20</t>
  </si>
  <si>
    <t>2020-Lamitan-26</t>
  </si>
  <si>
    <t>INFRA-2020-06-35</t>
  </si>
  <si>
    <t>20-crg-20-05-1009</t>
  </si>
  <si>
    <t>RFQ No. 2020-012</t>
  </si>
  <si>
    <t>DVO-200623-21</t>
  </si>
  <si>
    <t>MGBX-06-076-2020 (8)</t>
  </si>
  <si>
    <t>CW2020-10</t>
  </si>
  <si>
    <t>06192020-088</t>
  </si>
  <si>
    <t>105CO-10329-54IB-2020</t>
  </si>
  <si>
    <t>20-06-105</t>
  </si>
  <si>
    <t>2020-58</t>
  </si>
  <si>
    <t>INFRA-2020-06-37</t>
  </si>
  <si>
    <t>RFQ-Goods-86-2020</t>
  </si>
  <si>
    <t>DOH-MMCHD-2020-06-157-G</t>
  </si>
  <si>
    <t>MOOE2020 2ND QTR REPAIR AND MAINTENANCE</t>
  </si>
  <si>
    <t>2020-07-07-368PG</t>
  </si>
  <si>
    <t>2020 INFRA 002</t>
  </si>
  <si>
    <t>2020-6-15-7</t>
  </si>
  <si>
    <t>2020-109</t>
  </si>
  <si>
    <t>ITB01-GOODS-SUPPLIES-LABOR-2020</t>
  </si>
  <si>
    <t>BOC-GOODS-RFQ-51-2020</t>
  </si>
  <si>
    <t>ITB No. UATLMC2020-101-03-005L6</t>
  </si>
  <si>
    <t>2020-027</t>
  </si>
  <si>
    <t>20NA0070</t>
  </si>
  <si>
    <t>2020-80</t>
  </si>
  <si>
    <t>2020-Lamitan-27</t>
  </si>
  <si>
    <t>RFQ 2020-001 GOODS</t>
  </si>
  <si>
    <t>0046-2020</t>
  </si>
  <si>
    <t>2020-1953</t>
  </si>
  <si>
    <t>CG-RFQ-123-2020</t>
  </si>
  <si>
    <t>DVO-200623-22</t>
  </si>
  <si>
    <t>2020-07-07-369PG</t>
  </si>
  <si>
    <t>INFRA-2020-06-38</t>
  </si>
  <si>
    <t>2020-06-061</t>
  </si>
  <si>
    <t>2020 INFRA 003</t>
  </si>
  <si>
    <t>2020-021</t>
  </si>
  <si>
    <t>RFQ-10</t>
  </si>
  <si>
    <t>2020-06-0440 RSCC</t>
  </si>
  <si>
    <t>DAPA-077-2020</t>
  </si>
  <si>
    <t>IB. NO. 2020-176</t>
  </si>
  <si>
    <t>100-20-06-0105</t>
  </si>
  <si>
    <t>MGCP-20G-579A</t>
  </si>
  <si>
    <t>INFRA-2020-06-39</t>
  </si>
  <si>
    <t>ITBRA7171-2020-010</t>
  </si>
  <si>
    <t>2020-28</t>
  </si>
  <si>
    <t>2020-407</t>
  </si>
  <si>
    <t>DVO-200623-23</t>
  </si>
  <si>
    <t>SPC PR No. 2000005462</t>
  </si>
  <si>
    <t>CG-RFQ-124-2020</t>
  </si>
  <si>
    <t>RFQ NO. 20-0541 NP-SVP</t>
  </si>
  <si>
    <t>RFQ-2020-171</t>
  </si>
  <si>
    <t>GOODS2020-71</t>
  </si>
  <si>
    <t>ITB No. UATLMC2020-101-03-005L7</t>
  </si>
  <si>
    <t>MGBX-06-094-2020</t>
  </si>
  <si>
    <t>2020 INFRA 005</t>
  </si>
  <si>
    <t>LGUBTA 20-058</t>
  </si>
  <si>
    <t>AMP-019-2020</t>
  </si>
  <si>
    <t>IB No. 2020-189</t>
  </si>
  <si>
    <t>BAC 2020-33</t>
  </si>
  <si>
    <t>CW2020-11</t>
  </si>
  <si>
    <t>BFARIX-FLEG-20-06-367</t>
  </si>
  <si>
    <t>22</t>
  </si>
  <si>
    <t>DVO-200623-25</t>
  </si>
  <si>
    <t>LCWD-2020-048 Mechanical Gate vAlves and Universal</t>
  </si>
  <si>
    <t>RFQ-2020-006</t>
  </si>
  <si>
    <t>2020-07-07-370PG</t>
  </si>
  <si>
    <t>DVO-200623-24</t>
  </si>
  <si>
    <t>CG-RFQ-125-2020</t>
  </si>
  <si>
    <t>LGU-SCM 2020-201</t>
  </si>
  <si>
    <t>CGS-2020-0136</t>
  </si>
  <si>
    <t>N2FB-07-2020(B)</t>
  </si>
  <si>
    <t>2020 INFRA 004</t>
  </si>
  <si>
    <t>N2FB-23-2020(B)</t>
  </si>
  <si>
    <t>OD-2020-05-006</t>
  </si>
  <si>
    <t>ITB No. UATLMC2020-101-03-003L1</t>
  </si>
  <si>
    <t>109CO - 06 - 2020 - 088</t>
  </si>
  <si>
    <t>2020 - 98</t>
  </si>
  <si>
    <t>BAC2020-06-022</t>
  </si>
  <si>
    <t>RFQ-2020-090-GOODS-SWMO</t>
  </si>
  <si>
    <t>RFQ2020-06-085</t>
  </si>
  <si>
    <t>LGUBTA-059</t>
  </si>
  <si>
    <t>06112020187</t>
  </si>
  <si>
    <t>DOH-MMCHD-2020-06-158-G</t>
  </si>
  <si>
    <t>BOC-GOODS-RFQ-52-2020</t>
  </si>
  <si>
    <t>2020-05-13-0094</t>
  </si>
  <si>
    <t>RFQ2020-06-02</t>
  </si>
  <si>
    <t>2020-03-066(1)</t>
  </si>
  <si>
    <t>PR 226-020</t>
  </si>
  <si>
    <t>2020-06-006</t>
  </si>
  <si>
    <t>SVP-2020-06-93</t>
  </si>
  <si>
    <t>BUSO – 001-20</t>
  </si>
  <si>
    <t>2020-PB-016</t>
  </si>
  <si>
    <t>2020-Lamitan-28</t>
  </si>
  <si>
    <t>BLGU-PBD-Binisitahan Norte-2020-25</t>
  </si>
  <si>
    <t>40</t>
  </si>
  <si>
    <t>CG-RFQ-126-2020</t>
  </si>
  <si>
    <t>CBSUA-SIP-GOODS-11-2020</t>
  </si>
  <si>
    <t>PG-RFQ-2020-12</t>
  </si>
  <si>
    <t>2020-72</t>
  </si>
  <si>
    <t>03-2020-0184</t>
  </si>
  <si>
    <t>2020-05-089</t>
  </si>
  <si>
    <t>100-20-06-0164</t>
  </si>
  <si>
    <t>2020-06-021</t>
  </si>
  <si>
    <t>2020-314</t>
  </si>
  <si>
    <t>RFQ-2020-091-GOODS-FCSMO</t>
  </si>
  <si>
    <t>2020 INFRA 001</t>
  </si>
  <si>
    <t>Mkna-GSO-20-271</t>
  </si>
  <si>
    <t>CGS-2020-0137</t>
  </si>
  <si>
    <t>ITB No. UATLMC2020-101-03-003L2</t>
  </si>
  <si>
    <t>cgb2020-204</t>
  </si>
  <si>
    <t>100(01)20-06-321(A)</t>
  </si>
  <si>
    <t>2020-06-35</t>
  </si>
  <si>
    <t>RFQ-SHS-0015</t>
  </si>
  <si>
    <t>1</t>
  </si>
  <si>
    <t>RFQ-2020-0010 (Re-Advertised)</t>
  </si>
  <si>
    <t>BAC-2020-582</t>
  </si>
  <si>
    <t>0444-20</t>
  </si>
  <si>
    <t>20-06-003</t>
  </si>
  <si>
    <t>P.R. No. 00452-2020</t>
  </si>
  <si>
    <t>2020-MGBX-06-069-2020 (3) A</t>
  </si>
  <si>
    <t>2020-PB-017</t>
  </si>
  <si>
    <t>MOOE2020 2ND QTR OFFICE SUPPLIES</t>
  </si>
  <si>
    <t>RFQ-2019-0021</t>
  </si>
  <si>
    <t>2020-73</t>
  </si>
  <si>
    <t>06-20-030</t>
  </si>
  <si>
    <t>2020-315</t>
  </si>
  <si>
    <t>2020-316</t>
  </si>
  <si>
    <t>CG-RFQ-127-2020</t>
  </si>
  <si>
    <t>INF-ITB 20-003</t>
  </si>
  <si>
    <t>guincam2020-06-001</t>
  </si>
  <si>
    <t>MGCP-20I-580A</t>
  </si>
  <si>
    <t>ESPERANZA-GDS-2020-06-11</t>
  </si>
  <si>
    <t>GOODS#0121, ITB#0123,  PR#0364: SCG-2020</t>
  </si>
  <si>
    <t>KAPALONG2020103</t>
  </si>
  <si>
    <t>2020-PB-018</t>
  </si>
  <si>
    <t>FRANCISCO C. JONGKO ES1</t>
  </si>
  <si>
    <t>PR NO. 2020-06-0268</t>
  </si>
  <si>
    <t>OJ6-RMME-ICTE-1120-20</t>
  </si>
  <si>
    <t>BINAN-SVP-005-2020</t>
  </si>
  <si>
    <t>39</t>
  </si>
  <si>
    <t>03-2020-0190</t>
  </si>
  <si>
    <t>cgb2020-205</t>
  </si>
  <si>
    <t>guincam2020-06-002</t>
  </si>
  <si>
    <t>06-085-2020</t>
  </si>
  <si>
    <t>0439</t>
  </si>
  <si>
    <t>0177-20</t>
  </si>
  <si>
    <t>PR#2020-06-PR071</t>
  </si>
  <si>
    <t>KAPALONG2020104</t>
  </si>
  <si>
    <t>N091-2020</t>
  </si>
  <si>
    <t>P.R. No. 00309-2020</t>
  </si>
  <si>
    <t>rfq2020-6-03</t>
  </si>
  <si>
    <t>GOODS#0091, ITB#0092,  PR#0276: SCG-2020</t>
  </si>
  <si>
    <t>2020 - 12</t>
  </si>
  <si>
    <t>2020-02-003</t>
  </si>
  <si>
    <t>RFQ 0320-016</t>
  </si>
  <si>
    <t>2020-PB-019</t>
  </si>
  <si>
    <t>109CO - 06 - 2020 - 089</t>
  </si>
  <si>
    <t>cgb2020-206</t>
  </si>
  <si>
    <t>03-2020-0177</t>
  </si>
  <si>
    <t>SVP 20-06-114</t>
  </si>
  <si>
    <t>NP-FPA-2006-044</t>
  </si>
  <si>
    <t>KAPALONG2020105</t>
  </si>
  <si>
    <t>CW2020-</t>
  </si>
  <si>
    <t>2020-03-0071</t>
  </si>
  <si>
    <t>20-06-RES0413</t>
  </si>
  <si>
    <t>20-06-412</t>
  </si>
  <si>
    <t>PR0027-20 DOPHLUPON REBID</t>
  </si>
  <si>
    <t>2020-02-0046</t>
  </si>
  <si>
    <t>cgb2020-207</t>
  </si>
  <si>
    <t>RFQ 494</t>
  </si>
  <si>
    <t>DOH-MMCHD-2020-06-159-G</t>
  </si>
  <si>
    <t>00016</t>
  </si>
  <si>
    <t>0182-20</t>
  </si>
  <si>
    <t>DA 8 SVP Goods 2020-06-0071 (STO 20-06-11-0276)</t>
  </si>
  <si>
    <t>20-06-413</t>
  </si>
  <si>
    <t>PR 126-2020</t>
  </si>
  <si>
    <t>R-BFARIX-FM-IPIL-20-03-309</t>
  </si>
  <si>
    <t>20-02-00150</t>
  </si>
  <si>
    <t>PR0033-20 to 0036-20 TOURISM REBID</t>
  </si>
  <si>
    <t>ITB 20-004</t>
  </si>
  <si>
    <t>DepEd.Pang.2 2020-006-0001</t>
  </si>
  <si>
    <t>RFQ#162-2020</t>
  </si>
  <si>
    <t>0620-485-476</t>
  </si>
  <si>
    <t>Bidding-01-Amilongan-June2020</t>
  </si>
  <si>
    <t>20-01-2020</t>
  </si>
  <si>
    <t>P.R. No. 2020-06-0014</t>
  </si>
  <si>
    <t>2020-PB-020</t>
  </si>
  <si>
    <t>ISQ 2020-06-064</t>
  </si>
  <si>
    <t>2020-PR-101</t>
  </si>
  <si>
    <t>082020</t>
  </si>
  <si>
    <t>GEPS2006-005</t>
  </si>
  <si>
    <t>guincam2020-06-003</t>
  </si>
  <si>
    <t>LIN 2020-03</t>
  </si>
  <si>
    <t>03-2020-0170</t>
  </si>
  <si>
    <t>PR#2020-06-PR072</t>
  </si>
  <si>
    <t>PR0033-20 PEO REBID</t>
  </si>
  <si>
    <t>2020 - 99</t>
  </si>
  <si>
    <t>61520201</t>
  </si>
  <si>
    <t>goods2020_33</t>
  </si>
  <si>
    <t>PR #00671</t>
  </si>
  <si>
    <t>2020-PR-102</t>
  </si>
  <si>
    <t>ITB 20-134</t>
  </si>
  <si>
    <t>PR NO. 2020-03-0212</t>
  </si>
  <si>
    <t>HE-2020-06-0006</t>
  </si>
  <si>
    <t>INFRA-2020-06-001</t>
  </si>
  <si>
    <t>2020-M-06-0003</t>
  </si>
  <si>
    <t>PR0069-20 DOPHLUPON</t>
  </si>
  <si>
    <t>2020-RBAC8-GOODS- 13</t>
  </si>
  <si>
    <t>2020-09</t>
  </si>
  <si>
    <t>cgb2020-208</t>
  </si>
  <si>
    <t>20PJ0053</t>
  </si>
  <si>
    <t>ITB NO. GOP/20-DSWD-041</t>
  </si>
  <si>
    <t>2020-01-0047</t>
  </si>
  <si>
    <t>2020-PB-021</t>
  </si>
  <si>
    <t>ITB No. 2020 – 73</t>
  </si>
  <si>
    <t>MGCP-20G-581A</t>
  </si>
  <si>
    <t>0620-444-436</t>
  </si>
  <si>
    <t>100-20-06-327</t>
  </si>
  <si>
    <t>ITB 20-135</t>
  </si>
  <si>
    <t>2020-06-027</t>
  </si>
  <si>
    <t>rfq2020-6-04</t>
  </si>
  <si>
    <t>L-07-2020</t>
  </si>
  <si>
    <t>PR 127-2020</t>
  </si>
  <si>
    <t>DOH-MMCHD-2020-06-160-G</t>
  </si>
  <si>
    <t>ITB 2020-060</t>
  </si>
  <si>
    <t>20PJ0054</t>
  </si>
  <si>
    <t>0620-453-445</t>
  </si>
  <si>
    <t>20-46011</t>
  </si>
  <si>
    <t>111-2020</t>
  </si>
  <si>
    <t>2020-01-0048</t>
  </si>
  <si>
    <t>guincam2020-06-004</t>
  </si>
  <si>
    <t>20-06-0002</t>
  </si>
  <si>
    <t>2020-06-008</t>
  </si>
  <si>
    <t>20-03-00264</t>
  </si>
  <si>
    <t>ITB 20-136</t>
  </si>
  <si>
    <t>CRS-SPOF-1121-20</t>
  </si>
  <si>
    <t>2020-06-035</t>
  </si>
  <si>
    <t>ESP-GOODS-014-2020</t>
  </si>
  <si>
    <t>CGS-2020-0139</t>
  </si>
  <si>
    <t>PR0074-20 PAGRO</t>
  </si>
  <si>
    <t>RFQ147 For use of TB Reference Laboratory Xpert Xp</t>
  </si>
  <si>
    <t>20-06-058</t>
  </si>
  <si>
    <t>20-06-108</t>
  </si>
  <si>
    <t>30-20-03-034</t>
  </si>
  <si>
    <t>Bac-Pg-001-20</t>
  </si>
  <si>
    <t>SVP2020-153</t>
  </si>
  <si>
    <t>2020-01-0049</t>
  </si>
  <si>
    <t>DAVOR-G-2020-10</t>
  </si>
  <si>
    <t>20-06-179</t>
  </si>
  <si>
    <t>CG-RFQ-128-2020</t>
  </si>
  <si>
    <t>SPC PR No. 1000032081</t>
  </si>
  <si>
    <t>20PJ0055</t>
  </si>
  <si>
    <t>RFQ-SHS-0017</t>
  </si>
  <si>
    <t>2020-01-0050</t>
  </si>
  <si>
    <t>ITB 2020-061</t>
  </si>
  <si>
    <t>20-05-0528</t>
  </si>
  <si>
    <t>MGBX-06-069-2020 (3) B</t>
  </si>
  <si>
    <t>PR 2020-06-1798</t>
  </si>
  <si>
    <t>2020-06-028</t>
  </si>
  <si>
    <t>002-S2020</t>
  </si>
  <si>
    <t>AGGDS2020-0616A</t>
  </si>
  <si>
    <t>0620-445-437</t>
  </si>
  <si>
    <t>100200600772</t>
  </si>
  <si>
    <t>guincam2020-06-005</t>
  </si>
  <si>
    <t>PR0100-20 PEO</t>
  </si>
  <si>
    <t>ATI2020-06-120</t>
  </si>
  <si>
    <t>2020-034J</t>
  </si>
  <si>
    <t>CG-RFQ-129-2020</t>
  </si>
  <si>
    <t>AGGDS2020-0616B</t>
  </si>
  <si>
    <t>AREA V- 2020- SVP-022</t>
  </si>
  <si>
    <t>Other Supplies and Materials ferd</t>
  </si>
  <si>
    <t>CG-RFQ-130-2020</t>
  </si>
  <si>
    <t>GOODS-002-2020</t>
  </si>
  <si>
    <t>409thCO-GHQ&amp;HSC-RMBD-96-20</t>
  </si>
  <si>
    <t>RFQ-20-06-0463</t>
  </si>
  <si>
    <t>2020-01-0051</t>
  </si>
  <si>
    <t>ITB 20-137</t>
  </si>
  <si>
    <t>2020-07-07-371PG</t>
  </si>
  <si>
    <t>797</t>
  </si>
  <si>
    <t>PR0101-20 PEO</t>
  </si>
  <si>
    <t>CGS-2020-0138</t>
  </si>
  <si>
    <t>MGBX-06-069-2020 (3)</t>
  </si>
  <si>
    <t>GHQPC-OJ4-RMOS-1123-20</t>
  </si>
  <si>
    <t>2020-06-306-18</t>
  </si>
  <si>
    <t>2020-097</t>
  </si>
  <si>
    <t>20PJ0056</t>
  </si>
  <si>
    <t>2020-PB-022</t>
  </si>
  <si>
    <t>003-S2020</t>
  </si>
  <si>
    <t>100200600773</t>
  </si>
  <si>
    <t>PR #00669</t>
  </si>
  <si>
    <t>2020-06-23</t>
  </si>
  <si>
    <t>PR 05-3532</t>
  </si>
  <si>
    <t>RFQ 2020-06-0067-B</t>
  </si>
  <si>
    <t>2020-06-SG-061</t>
  </si>
  <si>
    <t>100-2002-137-GF</t>
  </si>
  <si>
    <t>2020-38</t>
  </si>
  <si>
    <t>doc</t>
  </si>
  <si>
    <t>AREA V- 2020- SVP-023</t>
  </si>
  <si>
    <t>IB No. MM-2020-024(m)</t>
  </si>
  <si>
    <t>2020-06-009</t>
  </si>
  <si>
    <t>2020-01-0052</t>
  </si>
  <si>
    <t>2020-05-0992</t>
  </si>
  <si>
    <t>020-001</t>
  </si>
  <si>
    <t>20PL0104</t>
  </si>
  <si>
    <t>2020-06-24</t>
  </si>
  <si>
    <t>DOT BAC REI No. 2020-010</t>
  </si>
  <si>
    <t>SVP 20-06-115</t>
  </si>
  <si>
    <t>CNVH-2020-0002</t>
  </si>
  <si>
    <t>RFQ-11</t>
  </si>
  <si>
    <t>RFQ-20-06-0461</t>
  </si>
  <si>
    <t>2020-06-25</t>
  </si>
  <si>
    <t>PR NO. 020004003</t>
  </si>
  <si>
    <t>GOOdS 04-2020</t>
  </si>
  <si>
    <t>cw-2020-016</t>
  </si>
  <si>
    <t>DTI XII 2020-007</t>
  </si>
  <si>
    <t>00017</t>
  </si>
  <si>
    <t>RFQ-20-06-0465</t>
  </si>
  <si>
    <t>20-06-060</t>
  </si>
  <si>
    <t>112-2020</t>
  </si>
  <si>
    <t>2020-PB-023</t>
  </si>
  <si>
    <t>SVP No. U-2020-06-001</t>
  </si>
  <si>
    <t>NM-2020-06-0001</t>
  </si>
  <si>
    <t>SVP No. T-2020-06-009</t>
  </si>
  <si>
    <t>2020-07-07-372PG</t>
  </si>
  <si>
    <t>20-06-215</t>
  </si>
  <si>
    <t>20PL0116</t>
  </si>
  <si>
    <t>2020-06-26</t>
  </si>
  <si>
    <t>KAPALONG2020106</t>
  </si>
  <si>
    <t>2020-01-0053</t>
  </si>
  <si>
    <t>2020-01-0054</t>
  </si>
  <si>
    <t>001-2020</t>
  </si>
  <si>
    <t>DARCII-2020-010</t>
  </si>
  <si>
    <t>MCIAA 06-474-20</t>
  </si>
  <si>
    <t>2020-01-0055</t>
  </si>
  <si>
    <t>AREA V- 2020- SVP-024</t>
  </si>
  <si>
    <t>2020-06-020-101</t>
  </si>
  <si>
    <t>Ibaan/2020/233</t>
  </si>
  <si>
    <t>RFQ No. 0158</t>
  </si>
  <si>
    <t>20-06-061</t>
  </si>
  <si>
    <t>2020-6-1</t>
  </si>
  <si>
    <t>FSDE19-CS-036-20</t>
  </si>
  <si>
    <t>RPC-2020-E-02</t>
  </si>
  <si>
    <t>PR #00670</t>
  </si>
  <si>
    <t>2020-06-271</t>
  </si>
  <si>
    <t>PSMO20-06-0268</t>
  </si>
  <si>
    <t>LP2020LG</t>
  </si>
  <si>
    <t>20PL0117</t>
  </si>
  <si>
    <t>IB No. 2020-020</t>
  </si>
  <si>
    <t>002-2020</t>
  </si>
  <si>
    <t>20-06-063</t>
  </si>
  <si>
    <t>AREA V- 2020- SVP-025</t>
  </si>
  <si>
    <t>ITB 20-138</t>
  </si>
  <si>
    <t>2020-06-307-19</t>
  </si>
  <si>
    <t>2020-06-SG-062</t>
  </si>
  <si>
    <t>PR 06-3509</t>
  </si>
  <si>
    <t>goods 152-2020</t>
  </si>
  <si>
    <t>IB. NO. K-2020-023(SC)</t>
  </si>
  <si>
    <t>2020-06-27</t>
  </si>
  <si>
    <t>G-2020-06-016-GF 2020- Capital Outlay</t>
  </si>
  <si>
    <t>PSMO20-06-0277</t>
  </si>
  <si>
    <t>20-06-062</t>
  </si>
  <si>
    <t>BFP Caraga 2020-06-008</t>
  </si>
  <si>
    <t>2020-02-0056</t>
  </si>
  <si>
    <t>IB. NO. K-2020-024(SC)</t>
  </si>
  <si>
    <t>MCIAA 06-469-20</t>
  </si>
  <si>
    <t>goods 153-2020</t>
  </si>
  <si>
    <t>RFQ No.2020-029</t>
  </si>
  <si>
    <t>105CO-10336-HHSBN-2020</t>
  </si>
  <si>
    <t>2020-PR20-838-177</t>
  </si>
  <si>
    <t>2020-INFRA-14B</t>
  </si>
  <si>
    <t>cgb2020-209</t>
  </si>
  <si>
    <t>BCS-2020-0125</t>
  </si>
  <si>
    <t>2020-07-07-374PG</t>
  </si>
  <si>
    <t>MCIAA 06-476-20</t>
  </si>
  <si>
    <t>102CO-2020-227</t>
  </si>
  <si>
    <t>IB. NO. K-2020-028(SC)</t>
  </si>
  <si>
    <t>RFQ-2020-03_hdpe-sdr 11 half</t>
  </si>
  <si>
    <t>2020-06-28</t>
  </si>
  <si>
    <t>2020-07-07-373PG</t>
  </si>
  <si>
    <t>IB. NO. K-2020-049(SC)</t>
  </si>
  <si>
    <t>bata2- 2020- 06- 0014</t>
  </si>
  <si>
    <t>20-014</t>
  </si>
  <si>
    <t>PR #00668</t>
  </si>
  <si>
    <t>2020-06-19</t>
  </si>
  <si>
    <t>G-2020-06-015 GF 2020</t>
  </si>
  <si>
    <t>2020 020</t>
  </si>
  <si>
    <t>B2020-075-A</t>
  </si>
  <si>
    <t>IB. NO. K-2020-056(SC)</t>
  </si>
  <si>
    <t>2020-G-001</t>
  </si>
  <si>
    <t>MGBX-06-069-2020 (2)</t>
  </si>
  <si>
    <t>MCIAA 06-480-20</t>
  </si>
  <si>
    <t>2020-06-308-20</t>
  </si>
  <si>
    <t>RFQ 20-06-067</t>
  </si>
  <si>
    <t>PR #00667</t>
  </si>
  <si>
    <t>NL-06-02</t>
  </si>
  <si>
    <t>20-06-064</t>
  </si>
  <si>
    <t>BOCPOL06032020</t>
  </si>
  <si>
    <t>ITB 20-139</t>
  </si>
  <si>
    <t>MCIAA 06-468-20</t>
  </si>
  <si>
    <t>RFQ-2020-04_hdpe-sdr 11 8</t>
  </si>
  <si>
    <t>2020-06</t>
  </si>
  <si>
    <t>2020-0218</t>
  </si>
  <si>
    <t>BFP BAC IB No. 002 (G) s. 2020</t>
  </si>
  <si>
    <t>2020-NCOT-011GOODS</t>
  </si>
  <si>
    <t>MinSCAT RFQ 2020-36</t>
  </si>
  <si>
    <t>DENR-AIPLS 2020-05</t>
  </si>
  <si>
    <t>RFQ-2020-05_uPVC</t>
  </si>
  <si>
    <t>G-JHS-2020-004</t>
  </si>
  <si>
    <t>2020-035J</t>
  </si>
  <si>
    <t>PR #00666</t>
  </si>
  <si>
    <t>GOODS-20-28</t>
  </si>
  <si>
    <t>BCS-2020-0126</t>
  </si>
  <si>
    <t>2020-G-004</t>
  </si>
  <si>
    <t>2020-009</t>
  </si>
  <si>
    <t>RFQ 20-144</t>
  </si>
  <si>
    <t>PR #00665</t>
  </si>
  <si>
    <t>20-06-051</t>
  </si>
  <si>
    <t>102CO-2020-228</t>
  </si>
  <si>
    <t>2020-07-07-377PG</t>
  </si>
  <si>
    <t>2020-0179</t>
  </si>
  <si>
    <t>BCS-2020-0127</t>
  </si>
  <si>
    <t>2020-NCOT-012GOODS</t>
  </si>
  <si>
    <t>BFP BAC IB No. 001 (I) s. 2020</t>
  </si>
  <si>
    <t>20060455</t>
  </si>
  <si>
    <t>RFQ-2020-06_motorcycle</t>
  </si>
  <si>
    <t>2020-NCOT-013GOODS</t>
  </si>
  <si>
    <t>BOC-GOODS-RFQ-53-2020</t>
  </si>
  <si>
    <t>LTO R4A-SPS-2020-006</t>
  </si>
  <si>
    <t>2020-06-20</t>
  </si>
  <si>
    <t>lu-200615-01</t>
  </si>
  <si>
    <t>20-06-055</t>
  </si>
  <si>
    <t>20-06-056</t>
  </si>
  <si>
    <t>lu-200615-02</t>
  </si>
  <si>
    <t>RFQ No.27.June 15,2020.GSO.LGU-Lugait</t>
  </si>
  <si>
    <t>ITB No. 2020-14</t>
  </si>
  <si>
    <t>2020-06-14</t>
  </si>
  <si>
    <t>2020-06-090-GS</t>
  </si>
  <si>
    <t>018-2020</t>
  </si>
  <si>
    <t>PR 0729-20</t>
  </si>
  <si>
    <t>2020-06-088-GS</t>
  </si>
  <si>
    <t>2020-05-085-GS</t>
  </si>
  <si>
    <t>2020-010</t>
  </si>
  <si>
    <t>RFQ-JUNE_1</t>
  </si>
  <si>
    <t>06172020</t>
  </si>
  <si>
    <t>2020-APP- BOOKS- NCSM-001</t>
  </si>
  <si>
    <t>06162020</t>
  </si>
  <si>
    <t>2020-39</t>
  </si>
  <si>
    <t>PR-2020</t>
  </si>
  <si>
    <t>BAC 06/15/20-01</t>
  </si>
  <si>
    <t>DEPED-BOHOL-2020-06-076</t>
  </si>
  <si>
    <t>DEPED-BOHOL-2020-06-077</t>
  </si>
  <si>
    <t>RFQ 2020-236</t>
  </si>
  <si>
    <t>2020-PBGOODS-06-009</t>
  </si>
  <si>
    <t>2020-PBGOODS-06-008</t>
  </si>
  <si>
    <t>MGBX-06-069-2020 (1)</t>
  </si>
  <si>
    <t>ITB-2020-06-012</t>
  </si>
  <si>
    <t>1011-20-06-14</t>
  </si>
  <si>
    <t>06182020</t>
  </si>
  <si>
    <t>Various PR's</t>
  </si>
  <si>
    <t>004 2020 LML</t>
  </si>
  <si>
    <t>2020-07-07-378PG</t>
  </si>
  <si>
    <t>RFQ NO. 411</t>
  </si>
  <si>
    <t>2020-07-07-380PG</t>
  </si>
  <si>
    <t>RB2020-06-199</t>
  </si>
  <si>
    <t>20-06-263</t>
  </si>
  <si>
    <t>PR 0793-20</t>
  </si>
  <si>
    <t>ATI-RTC3-2020-0077</t>
  </si>
  <si>
    <t>RFQ-JUNE_2</t>
  </si>
  <si>
    <t>2020-59</t>
  </si>
  <si>
    <t>DTIRO1-2020-002</t>
  </si>
  <si>
    <t>RFQ 20-06-040</t>
  </si>
  <si>
    <t>2020-07-07-381PG</t>
  </si>
  <si>
    <t>2020-07-07-341PG</t>
  </si>
  <si>
    <t>20NC0126</t>
  </si>
  <si>
    <t>20PD0087</t>
  </si>
  <si>
    <t>ATI-RTC3-2020-0078</t>
  </si>
  <si>
    <t>2020-ICT- PB-001</t>
  </si>
  <si>
    <t>ATI-RTC3-2020-0081</t>
  </si>
  <si>
    <t>20-06-132</t>
  </si>
  <si>
    <t>ATI-RTC3-2020-0079</t>
  </si>
  <si>
    <t>20NC0127</t>
  </si>
  <si>
    <t>2020-07-07-382PG</t>
  </si>
  <si>
    <t>ATI-RTC3-2020-0080</t>
  </si>
  <si>
    <t>ATI-RTC3-2020-0082</t>
  </si>
  <si>
    <t>20PD0096</t>
  </si>
  <si>
    <t>JHV-20-06-0458</t>
  </si>
  <si>
    <t>ISMS 36119</t>
  </si>
  <si>
    <t>20-06-15E</t>
  </si>
  <si>
    <t>RFQ ATI-RTC 02-021</t>
  </si>
  <si>
    <t>20-06-15C</t>
  </si>
  <si>
    <t>20-06-15A</t>
  </si>
  <si>
    <t>2020-06-146</t>
  </si>
  <si>
    <t>SN-GOODS-20-002</t>
  </si>
  <si>
    <t>20-06-15B</t>
  </si>
  <si>
    <t>20PD0100</t>
  </si>
  <si>
    <t>1234561</t>
  </si>
  <si>
    <t>RFQ ATI-RTC 02-022</t>
  </si>
  <si>
    <t>ITB-2020-06-013</t>
  </si>
  <si>
    <t>20-06-15</t>
  </si>
  <si>
    <t>20-06-15D</t>
  </si>
  <si>
    <t>20PD0095</t>
  </si>
  <si>
    <t>RFQ ATI-RTC 02-023</t>
  </si>
  <si>
    <t>1102Bde-2020-14</t>
  </si>
  <si>
    <t>PR No. 2020-03-215</t>
  </si>
  <si>
    <t>2020-049</t>
  </si>
  <si>
    <t>2020-07</t>
  </si>
  <si>
    <t>2020-048</t>
  </si>
  <si>
    <t>2020-05-0881 Two Times Preventive Maintenance of M</t>
  </si>
  <si>
    <t>RFQ ATI-RTC 02-029</t>
  </si>
  <si>
    <t>calbayog 2020-06-01</t>
  </si>
  <si>
    <t>DepED-RO6-D1- Educational Equipment/Support Instru</t>
  </si>
  <si>
    <t>SPNHS2020-06-01</t>
  </si>
  <si>
    <t>SMAC-NP-001-2020</t>
  </si>
  <si>
    <t>Ada-2020-06-002</t>
  </si>
  <si>
    <t>RFQ-06162020</t>
  </si>
  <si>
    <t>20GD00003</t>
  </si>
  <si>
    <t>Ada-2020-06-001</t>
  </si>
  <si>
    <t>2020-05-0882 Two Times Preventive Maintenance of F</t>
  </si>
  <si>
    <t>2020-03-023G</t>
  </si>
  <si>
    <t>03</t>
  </si>
  <si>
    <t>RFQ ATI-RTC 02-024</t>
  </si>
  <si>
    <t>20-06-55</t>
  </si>
  <si>
    <t>KHS-2020-003</t>
  </si>
  <si>
    <t>2020-140-04</t>
  </si>
  <si>
    <t>lgu sta. Barbara</t>
  </si>
  <si>
    <t>june2020-1</t>
  </si>
  <si>
    <t>DPWH-SK2DEO-20GMH047</t>
  </si>
  <si>
    <t>ITDI-200004_REBID</t>
  </si>
  <si>
    <t>124563</t>
  </si>
  <si>
    <t>2nd Quarter MOOE 2020 - 001</t>
  </si>
  <si>
    <t>2020-08</t>
  </si>
  <si>
    <t>DPWH-SK2DEO-20GMH048</t>
  </si>
  <si>
    <t>DPWH-SK2DEO-20MH0103</t>
  </si>
  <si>
    <t>20-5-54</t>
  </si>
  <si>
    <t>june2020-2</t>
  </si>
  <si>
    <t>KHS-2020-004</t>
  </si>
  <si>
    <t>PR # 20-06-0736</t>
  </si>
  <si>
    <t>G-2020-04-03</t>
  </si>
  <si>
    <t>2020-06-0047</t>
  </si>
  <si>
    <t>2020-06-070</t>
  </si>
  <si>
    <t>DPWH-SK2DEO-20MH0085</t>
  </si>
  <si>
    <t>RFQ ATI-RTC 02-031</t>
  </si>
  <si>
    <t>2nd Quarter MOOE 2020 - 002</t>
  </si>
  <si>
    <t>RFQ ATI-RTC 02-032</t>
  </si>
  <si>
    <t>1234562</t>
  </si>
  <si>
    <t>2020-06-0046</t>
  </si>
  <si>
    <t>202006019</t>
  </si>
  <si>
    <t>5432918</t>
  </si>
  <si>
    <t>2020-06-0949 Source Emission Testing for Generator</t>
  </si>
  <si>
    <t>4327128</t>
  </si>
  <si>
    <t>2020-006-004</t>
  </si>
  <si>
    <t>1234564</t>
  </si>
  <si>
    <t>2020-06-324</t>
  </si>
  <si>
    <t>2020-06-071</t>
  </si>
  <si>
    <t>202006018</t>
  </si>
  <si>
    <t>202006020</t>
  </si>
  <si>
    <t>202006021</t>
  </si>
  <si>
    <t>2020-06-325</t>
  </si>
  <si>
    <t>INF2020-06-017</t>
  </si>
  <si>
    <t>2020-06-072</t>
  </si>
  <si>
    <t>948920</t>
  </si>
  <si>
    <t>BAC-HO GS 2020-0239 and BAC-HO GS 2020-0231</t>
  </si>
  <si>
    <t>2020-06-074</t>
  </si>
  <si>
    <t>RFQ ATI-RTC 02-025</t>
  </si>
  <si>
    <t>2nd Quarter MOOE 2020 - 003</t>
  </si>
  <si>
    <t>2020-02-0397 Supply of Labor and Materials for Rep</t>
  </si>
  <si>
    <t>RFQ ATI-RTC 02-027</t>
  </si>
  <si>
    <t>INF2020-06-018</t>
  </si>
  <si>
    <t>014</t>
  </si>
  <si>
    <t>DSWD 4B 2020-06-0653</t>
  </si>
  <si>
    <t>06022020A</t>
  </si>
  <si>
    <t>RFQ ATI-RTC 02-028</t>
  </si>
  <si>
    <t>PB-INF-19-005</t>
  </si>
  <si>
    <t>RFQ ATI-RTC 02-026</t>
  </si>
  <si>
    <t>LES 2020-06-03</t>
  </si>
  <si>
    <t>0614-001</t>
  </si>
  <si>
    <t>MGPQ-RML-2020-06-004</t>
  </si>
  <si>
    <t>948915</t>
  </si>
  <si>
    <t>2020-06-073</t>
  </si>
  <si>
    <t>2020-06-076</t>
  </si>
  <si>
    <t>ITB -2020-019</t>
  </si>
  <si>
    <t>2020-06-075</t>
  </si>
  <si>
    <t>DSWD 4B 2020-06-0651</t>
  </si>
  <si>
    <t>2020-06-077</t>
  </si>
  <si>
    <t>PB-INF-19-006</t>
  </si>
  <si>
    <t>2nd Quarter MOOE 2020 - 004</t>
  </si>
  <si>
    <t>202006023</t>
  </si>
  <si>
    <t>RF INFRA GAA CY 2020-06-001</t>
  </si>
  <si>
    <t>948869</t>
  </si>
  <si>
    <t>2nd Quarter MOOE 2020 - 005</t>
  </si>
  <si>
    <t>ITB2020-018</t>
  </si>
  <si>
    <t>20GDK0036</t>
  </si>
  <si>
    <t>2020-06-078</t>
  </si>
  <si>
    <t>2020-05-0931 Supply of Patient Monitor Accessories</t>
  </si>
  <si>
    <t>202006022</t>
  </si>
  <si>
    <t>G2020-06-0001</t>
  </si>
  <si>
    <t>2nd Quarter MOOE 2020 - 006</t>
  </si>
  <si>
    <t>2020-06-079</t>
  </si>
  <si>
    <t>007</t>
  </si>
  <si>
    <t>948867</t>
  </si>
  <si>
    <t>20BBG0030</t>
  </si>
  <si>
    <t>0615-2020</t>
  </si>
  <si>
    <t>2020-GOODS-034</t>
  </si>
  <si>
    <t>006</t>
  </si>
  <si>
    <t>948916</t>
  </si>
  <si>
    <t>20BBG0022 (Re-advertised)</t>
  </si>
  <si>
    <t>948868</t>
  </si>
  <si>
    <t>20BB0121</t>
  </si>
  <si>
    <t>2020-06-080</t>
  </si>
  <si>
    <t>008</t>
  </si>
  <si>
    <t>V01-June2020</t>
  </si>
  <si>
    <t>948917</t>
  </si>
  <si>
    <t>20BB0122</t>
  </si>
  <si>
    <t>2020-06-0975 Rubber Tubing 1/4 x 1/8 x 50 ft, 100%</t>
  </si>
  <si>
    <t>2020-06-0968 C-Reactive Protein (CRP) 100 Test/ Ki</t>
  </si>
  <si>
    <t>20BB0123</t>
  </si>
  <si>
    <t>ITB2020-024</t>
  </si>
  <si>
    <t>PZDS-2020-06-022-RFQ</t>
  </si>
  <si>
    <t>2020-GOODS-035</t>
  </si>
  <si>
    <t>PROJECT # 20-053</t>
  </si>
  <si>
    <t>H02-June2020</t>
  </si>
  <si>
    <t>2020-06-014</t>
  </si>
  <si>
    <t>PROJECT # 20-043</t>
  </si>
  <si>
    <t>ITB2020-026</t>
  </si>
  <si>
    <t>ITB2020-027</t>
  </si>
  <si>
    <t>PROJECT # 20-039</t>
  </si>
  <si>
    <t>PROJECT # 20-055</t>
  </si>
  <si>
    <t>PZDS-2020-06-044-IB</t>
  </si>
  <si>
    <t>305THCO-10288-220AW-90-2020</t>
  </si>
  <si>
    <t>2020-031</t>
  </si>
  <si>
    <t>MZDS-BAC-CW-2020-06</t>
  </si>
  <si>
    <t>20-06-424</t>
  </si>
  <si>
    <t>305THCO-10287-220AW-89-2020</t>
  </si>
  <si>
    <t>019-013</t>
  </si>
  <si>
    <t>PROJECT # 20-047</t>
  </si>
  <si>
    <t>ITB2020-025</t>
  </si>
  <si>
    <t>ITB2020-028</t>
  </si>
  <si>
    <t>Sapa Pequeña-0615-2</t>
  </si>
  <si>
    <t>202000768</t>
  </si>
  <si>
    <t>2020-6</t>
  </si>
  <si>
    <t>ITB2020-029</t>
  </si>
  <si>
    <t>PR # 20-06-0690</t>
  </si>
  <si>
    <t>PROJECT # 20-050</t>
  </si>
  <si>
    <t>Sapa Pequeña-0615-1</t>
  </si>
  <si>
    <t>N-14-2020</t>
  </si>
  <si>
    <t>2020-ZP06-00008</t>
  </si>
  <si>
    <t>202000766</t>
  </si>
  <si>
    <t>CB 08-2020</t>
  </si>
  <si>
    <t>305THCO-10268-220AW-88-2020</t>
  </si>
  <si>
    <t>RFQ-ATI-RTC4A-2020-06-054</t>
  </si>
  <si>
    <t>0216-2020</t>
  </si>
  <si>
    <t>06-15-202003015</t>
  </si>
  <si>
    <t>2020-06-PR036</t>
  </si>
  <si>
    <t>305THCO-10285-205THW-112-2020</t>
  </si>
  <si>
    <t>geps villaaglipaydepedtarlac-0002-2020</t>
  </si>
  <si>
    <t>PROJECT # 20-054</t>
  </si>
  <si>
    <t>ECNVHS-JUNIOR HS 00002-2020</t>
  </si>
  <si>
    <t>2020-ZP06-00009</t>
  </si>
  <si>
    <t>PROJECT # 20-049</t>
  </si>
  <si>
    <t>305THCO-10284-205THW-111-2020</t>
  </si>
  <si>
    <t>06-01</t>
  </si>
  <si>
    <t>PR # 20-06-0735</t>
  </si>
  <si>
    <t>RFQ-ATI-RTC4A-2020-06-055</t>
  </si>
  <si>
    <t>PROJECT # 20-071</t>
  </si>
  <si>
    <t>MZDS-BAC-G-2020-02</t>
  </si>
  <si>
    <t>PEDHS2020S0010</t>
  </si>
  <si>
    <t>ECNVHS-SHS00003-2020</t>
  </si>
  <si>
    <t>MGPIN-2020-06-052</t>
  </si>
  <si>
    <t>OSAG PR No. 1000032901</t>
  </si>
  <si>
    <t>PEDHS2020S0011</t>
  </si>
  <si>
    <t>RFQ-ATI-RTC4A-2020-06-057</t>
  </si>
  <si>
    <t>BAC-HO GS 2020-0326</t>
  </si>
  <si>
    <t>PROJECT # 20-062</t>
  </si>
  <si>
    <t>RFQ-ATI-RTC4A-2020-06-056</t>
  </si>
  <si>
    <t>BNS-0520-065</t>
  </si>
  <si>
    <t>BNS-0520-059</t>
  </si>
  <si>
    <t>Papallasen-0615-1</t>
  </si>
  <si>
    <t>MGPIN-2020-06-053</t>
  </si>
  <si>
    <t>CW47-2020</t>
  </si>
  <si>
    <t>CW46-2020</t>
  </si>
  <si>
    <t>R4-RFQ-050-06-2020</t>
  </si>
  <si>
    <t>PROJECT # 20-072</t>
  </si>
  <si>
    <t>PROJECT # 20-070</t>
  </si>
  <si>
    <t>06-15-20200020020300606001</t>
  </si>
  <si>
    <t>MGPIN-2020-06-055</t>
  </si>
  <si>
    <t>MZDS-BAC-G-2020-03</t>
  </si>
  <si>
    <t>HPN-0520-221</t>
  </si>
  <si>
    <t>CW48-2020</t>
  </si>
  <si>
    <t>BDIGON-BAC-2020-02</t>
  </si>
  <si>
    <t>IPQ2020--23</t>
  </si>
  <si>
    <t>PROJECT # 20-073</t>
  </si>
  <si>
    <t>BDIGON-BAC-2020-01</t>
  </si>
  <si>
    <t>MGPIN-2020-06-056</t>
  </si>
  <si>
    <t>CB 10-2020</t>
  </si>
  <si>
    <t>MGPIN-2020-06-054</t>
  </si>
  <si>
    <t>Tambacan-0615-1</t>
  </si>
  <si>
    <t>305THCO-10282-205THW-102-2020</t>
  </si>
  <si>
    <t>RFQ-ATI-RTC4A-2020-06-059</t>
  </si>
  <si>
    <t>305THCO-10283-205THW-103-2020</t>
  </si>
  <si>
    <t>BgySanVicente 001 - 2020</t>
  </si>
  <si>
    <t>019-014</t>
  </si>
  <si>
    <t>IPQ2020-022</t>
  </si>
  <si>
    <t>BgySanVicente 002 - 2020</t>
  </si>
  <si>
    <t>MGPIN-2020-06-057</t>
  </si>
  <si>
    <t>HPN-0420-209</t>
  </si>
  <si>
    <t>HPN-0520-246</t>
  </si>
  <si>
    <t>G2020-06-027E</t>
  </si>
  <si>
    <t>RFQ-ATI-RTC4A-2020-06-058</t>
  </si>
  <si>
    <t>RFQ-ATI-RTC4A-2020-06-060</t>
  </si>
  <si>
    <t>RFQ-ATI-RTC4A-2020-06-061</t>
  </si>
  <si>
    <t>305THCO-10281-205THW-101-2020</t>
  </si>
  <si>
    <t>RFQ-TPB-PR.2020.06.167</t>
  </si>
  <si>
    <t>252-878-056-000</t>
  </si>
  <si>
    <t>MGPIN-2020-06-058</t>
  </si>
  <si>
    <t>HPN-0520-247</t>
  </si>
  <si>
    <t>305THCO-10279-205THW-99-2020</t>
  </si>
  <si>
    <t>100-20-06-300</t>
  </si>
  <si>
    <t>DAVOR-G-2020-11</t>
  </si>
  <si>
    <t>305THCO-10280-220AW-100-2020</t>
  </si>
  <si>
    <t>PA-2020-03</t>
  </si>
  <si>
    <t>BgySanVicente 003 - 2020</t>
  </si>
  <si>
    <t>G2020-06-029E</t>
  </si>
  <si>
    <t>388548441</t>
  </si>
  <si>
    <t>305THCO-9519-205THW-86-2020</t>
  </si>
  <si>
    <t>RFQ-ATI-RTC4A-2020-06-064</t>
  </si>
  <si>
    <t>G2020-06-028E</t>
  </si>
  <si>
    <t>RFQ-ATI-RTC4A-2020-06-062</t>
  </si>
  <si>
    <t>388548445</t>
  </si>
  <si>
    <t>388548444</t>
  </si>
  <si>
    <t>BAC SVP 2020-43</t>
  </si>
  <si>
    <t>05</t>
  </si>
  <si>
    <t>H01-June-2020</t>
  </si>
  <si>
    <t>snajose2020-06-001</t>
  </si>
  <si>
    <t>388548443</t>
  </si>
  <si>
    <t>RFQ-ATI-RTC4A-2020-06-063</t>
  </si>
  <si>
    <t>388548442</t>
  </si>
  <si>
    <t>RFQ-ATI-RTC4A-2020-06-065</t>
  </si>
  <si>
    <t>sanjose2020-06-003</t>
  </si>
  <si>
    <t>sanjose2020-06-002</t>
  </si>
  <si>
    <t>RFQ-2020-54</t>
  </si>
  <si>
    <t>06-2020</t>
  </si>
  <si>
    <t>sanjose2020-06-004</t>
  </si>
  <si>
    <t>388548446</t>
  </si>
  <si>
    <t>IB 2020-062</t>
  </si>
  <si>
    <t>05-2020</t>
  </si>
  <si>
    <t>2020-007</t>
  </si>
  <si>
    <t>124-2020</t>
  </si>
  <si>
    <t>100-2020-02-390</t>
  </si>
  <si>
    <t>IB 2020-06-001I</t>
  </si>
  <si>
    <t>IB 2020-064</t>
  </si>
  <si>
    <t>100-2020-05-669</t>
  </si>
  <si>
    <t>100-2020-05-713</t>
  </si>
  <si>
    <t>INFRA-CNO-20-0004</t>
  </si>
  <si>
    <t>100-2020-05-665</t>
  </si>
  <si>
    <t>100-2020-03-504</t>
  </si>
  <si>
    <t>PR NO. 100-1101-20-06-0610</t>
  </si>
  <si>
    <t>100-2020-05-705</t>
  </si>
  <si>
    <t>IB 2020-063</t>
  </si>
  <si>
    <t>2020-Brgy. 09 Poblacion-002</t>
  </si>
  <si>
    <t>100-2020-05-715</t>
  </si>
  <si>
    <t>14</t>
  </si>
  <si>
    <t>20GEB0064-R1</t>
  </si>
  <si>
    <t>2020-Barangay Bagongon-002</t>
  </si>
  <si>
    <t>20GEB0005-R1</t>
  </si>
  <si>
    <t>20GEB0042-B-R1</t>
  </si>
  <si>
    <t>20GEB0032-R1</t>
  </si>
  <si>
    <t>1-070720</t>
  </si>
  <si>
    <t>100-2020-02-403</t>
  </si>
  <si>
    <t>20GEB0047-A-R1</t>
  </si>
  <si>
    <t>2020-CW-06-05</t>
  </si>
  <si>
    <t>2020-CW-06-04</t>
  </si>
  <si>
    <t>RFQ-GF-79</t>
  </si>
  <si>
    <t>20GEB0041-R1</t>
  </si>
  <si>
    <t>100-2020-05-657</t>
  </si>
  <si>
    <t>LGU-POZ 2020-0028</t>
  </si>
  <si>
    <t>2020-CW-06-03</t>
  </si>
  <si>
    <t>RPT-20-0296-B</t>
  </si>
  <si>
    <t>RPT-20-0295-B</t>
  </si>
  <si>
    <t>RPT-20-0397-B</t>
  </si>
  <si>
    <t>RPT-20-0401-B</t>
  </si>
  <si>
    <t>EBSO-PPE-0451-20</t>
  </si>
  <si>
    <t>PB NO. 2020-035</t>
  </si>
  <si>
    <t>RPT-20-0398-B</t>
  </si>
  <si>
    <t>RPT-20-0431-B</t>
  </si>
  <si>
    <t>100-2020-05-666</t>
  </si>
  <si>
    <t>RPT-20-0357-B</t>
  </si>
  <si>
    <t>IB 2020-037(AMV)</t>
  </si>
  <si>
    <t>GOODS-007-2020</t>
  </si>
  <si>
    <t>NP-02-2020</t>
  </si>
  <si>
    <t>RPT-20-0400-B</t>
  </si>
  <si>
    <t>NP-01-2020</t>
  </si>
  <si>
    <t>OTSG-OSME-1092-20</t>
  </si>
  <si>
    <t>PB NO. 2020-034</t>
  </si>
  <si>
    <t>RPT-20-0429-B</t>
  </si>
  <si>
    <t>RPT-20-0399-B</t>
  </si>
  <si>
    <t>OJ8-RMDRRE-1083-20</t>
  </si>
  <si>
    <t>ETDC-OSE-1084-20</t>
  </si>
  <si>
    <t>2020-06-0608 TDG</t>
  </si>
  <si>
    <t>ODCOP-SEME-ICT-1087-20</t>
  </si>
  <si>
    <t>268-2020</t>
  </si>
  <si>
    <t>1-062320</t>
  </si>
  <si>
    <t>266-2020</t>
  </si>
  <si>
    <t>GO-2020-06-84</t>
  </si>
  <si>
    <t>ISAFP-OSE-1094-20</t>
  </si>
  <si>
    <t>GO-2020-06-82</t>
  </si>
  <si>
    <t>GO-2020-06-81</t>
  </si>
  <si>
    <t>2020-02-055</t>
  </si>
  <si>
    <t>267-2020</t>
  </si>
  <si>
    <t>271-2020</t>
  </si>
  <si>
    <t>GO-2020-06-83</t>
  </si>
  <si>
    <t>DepED-RO6-D1-2020QRF(REPAIR)-C1-018-2020</t>
  </si>
  <si>
    <t>269-2020</t>
  </si>
  <si>
    <t>3-062320</t>
  </si>
  <si>
    <t>4-062320</t>
  </si>
  <si>
    <t>270-2020</t>
  </si>
  <si>
    <t>2-062320</t>
  </si>
  <si>
    <t>21-2020</t>
  </si>
  <si>
    <t>2020-33</t>
  </si>
  <si>
    <t>5-062320</t>
  </si>
  <si>
    <t>SDH-20-0395-B</t>
  </si>
  <si>
    <t>SanJoseBatsAeb2020-085</t>
  </si>
  <si>
    <t>17202006054</t>
  </si>
  <si>
    <t>SDH-20-0363-B</t>
  </si>
  <si>
    <t>2020-34</t>
  </si>
  <si>
    <t>2020-36</t>
  </si>
  <si>
    <t>110620201</t>
  </si>
  <si>
    <t>202006249</t>
  </si>
  <si>
    <t>CW2020-07</t>
  </si>
  <si>
    <t>RFQ NO. 38</t>
  </si>
  <si>
    <t>SDH-20-0362-B</t>
  </si>
  <si>
    <t>SDH-20-0273-B</t>
  </si>
  <si>
    <t>AGR-20-0668-B</t>
  </si>
  <si>
    <t>SDH-20-0446-B</t>
  </si>
  <si>
    <t>2020-35</t>
  </si>
  <si>
    <t>20-06-00379</t>
  </si>
  <si>
    <t>2020-37</t>
  </si>
  <si>
    <t>SanJoseBatsAeb2020-035</t>
  </si>
  <si>
    <t>SDH-20-0449-B</t>
  </si>
  <si>
    <t>2-06112020</t>
  </si>
  <si>
    <t>MSSC-20-06-013</t>
  </si>
  <si>
    <t>SDH-20-0441-B</t>
  </si>
  <si>
    <t>SDH-20-0444-B</t>
  </si>
  <si>
    <t>SDH-20-0445-B</t>
  </si>
  <si>
    <t>1-06112020</t>
  </si>
  <si>
    <t>3-06112020</t>
  </si>
  <si>
    <t>7-06112020</t>
  </si>
  <si>
    <t>6-06112020</t>
  </si>
  <si>
    <t>CW20-03</t>
  </si>
  <si>
    <t>200029</t>
  </si>
  <si>
    <t>4-06112020</t>
  </si>
  <si>
    <t>2020-40</t>
  </si>
  <si>
    <t>5-06112020</t>
  </si>
  <si>
    <t>PR# 20-0709</t>
  </si>
  <si>
    <t>2020-06-2175</t>
  </si>
  <si>
    <t>2020-AMP-056</t>
  </si>
  <si>
    <t>DFPPURCH20-054</t>
  </si>
  <si>
    <t>202006248</t>
  </si>
  <si>
    <t>AGR-19-1448-B</t>
  </si>
  <si>
    <t>20GBD0025</t>
  </si>
  <si>
    <t>SDH-20-0443-B</t>
  </si>
  <si>
    <t>N-20-06-057</t>
  </si>
  <si>
    <t>SDH-20-0448-B</t>
  </si>
  <si>
    <t>N-20-06-060</t>
  </si>
  <si>
    <t>N-20-06-056</t>
  </si>
  <si>
    <t>P.R. No. 20-0043</t>
  </si>
  <si>
    <t>RSU-2020-0014</t>
  </si>
  <si>
    <t>2020-03-187</t>
  </si>
  <si>
    <t>N-20-06-059</t>
  </si>
  <si>
    <t>8-06112020</t>
  </si>
  <si>
    <t>20-01-00051 (LATE POSTING)</t>
  </si>
  <si>
    <t>RSU-2020-0013</t>
  </si>
  <si>
    <t>N-20-06-058</t>
  </si>
  <si>
    <t>SanJoseBatsAeb2020-083</t>
  </si>
  <si>
    <t>SDH-20-0447-B</t>
  </si>
  <si>
    <t>SDH-20-0442-B</t>
  </si>
  <si>
    <t>20EHG007</t>
  </si>
  <si>
    <t>N-20-06-064</t>
  </si>
  <si>
    <t>N-20-06-063</t>
  </si>
  <si>
    <t>N-20-06-065</t>
  </si>
  <si>
    <t>N-20-06-062</t>
  </si>
  <si>
    <t>PMC-020-172</t>
  </si>
  <si>
    <t>IB 2020-038(AMV)</t>
  </si>
  <si>
    <t>N-20-06-061</t>
  </si>
  <si>
    <t>PR0017-20 SP SUPPORT SERVICES</t>
  </si>
  <si>
    <t>PBI-2020-14</t>
  </si>
  <si>
    <t>LGU RFQ 2020-55</t>
  </si>
  <si>
    <t>Barangay Erenas Payao-001-2020</t>
  </si>
  <si>
    <t>GHQPC-OTCN-RMMV-1100-20</t>
  </si>
  <si>
    <t>GHQPC-AFPRC-OTSM-1095-20</t>
  </si>
  <si>
    <t>PBI-2020-16</t>
  </si>
  <si>
    <t>300-agriculturaldevt-20-009</t>
  </si>
  <si>
    <t>20EHG010</t>
  </si>
  <si>
    <t>PBI-2020-15</t>
  </si>
  <si>
    <t>PBI-2020-17</t>
  </si>
  <si>
    <t>100-20-06-1815</t>
  </si>
  <si>
    <t>20EHG009</t>
  </si>
  <si>
    <t>20EHG008</t>
  </si>
  <si>
    <t>CGDNELZN-2020-06-001</t>
  </si>
  <si>
    <t>CGDNELZN-2020-06-002</t>
  </si>
  <si>
    <t>2020-034R</t>
  </si>
  <si>
    <t>2020-04-036</t>
  </si>
  <si>
    <t>STC-GOODS - NO. -2020 -0040</t>
  </si>
  <si>
    <t>300-agriculturaldevt-20-008</t>
  </si>
  <si>
    <t>2020-036R</t>
  </si>
  <si>
    <t>CAHS 2020-006-004</t>
  </si>
  <si>
    <t>20-06-11</t>
  </si>
  <si>
    <t>GHQPC-AFPEBSO-RMB-1105-20</t>
  </si>
  <si>
    <t>2020-01-1011-43</t>
  </si>
  <si>
    <t>2020-035R</t>
  </si>
  <si>
    <t>20GJC0193</t>
  </si>
  <si>
    <t>2020-037R</t>
  </si>
  <si>
    <t>RFQ-2020-05-15</t>
  </si>
  <si>
    <t>GHQPC-AFPEBSO-RMOS-1106-20</t>
  </si>
  <si>
    <t>2020-06-117 (06207512)</t>
  </si>
  <si>
    <t>20GJC0191</t>
  </si>
  <si>
    <t>2020-ANT-GOODS-0107</t>
  </si>
  <si>
    <t>2020-PR20-797-166</t>
  </si>
  <si>
    <t>SV20-06-001BAC</t>
  </si>
  <si>
    <t>2020-ANT-GOODS-0106</t>
  </si>
  <si>
    <t>2020-0071</t>
  </si>
  <si>
    <t>2020-PR20-695-165</t>
  </si>
  <si>
    <t>20GJC0192</t>
  </si>
  <si>
    <t>20-06-094</t>
  </si>
  <si>
    <t>20-06-095</t>
  </si>
  <si>
    <t>2020-PR20-796-164</t>
  </si>
  <si>
    <t>20-06-092</t>
  </si>
  <si>
    <t>2020-PR20-628-167</t>
  </si>
  <si>
    <t>20GJC0190</t>
  </si>
  <si>
    <t>2020-ANT-GOODS-0108</t>
  </si>
  <si>
    <t>20-06-096</t>
  </si>
  <si>
    <t>ITB-2020-05</t>
  </si>
  <si>
    <t>BIDSTAC # SB 024-2020</t>
  </si>
  <si>
    <t>PB-0620-40</t>
  </si>
  <si>
    <t>2020-PR20-681-169</t>
  </si>
  <si>
    <t>PB-2020-05-030</t>
  </si>
  <si>
    <t>ADS-0366-20 LOT B</t>
  </si>
  <si>
    <t>2005-025-04R</t>
  </si>
  <si>
    <t>2020-PR20-689-170</t>
  </si>
  <si>
    <t>20-83-037</t>
  </si>
  <si>
    <t>RFQ 0520-006</t>
  </si>
  <si>
    <t>2020-PR20-700-168</t>
  </si>
  <si>
    <t>PB-0620-39</t>
  </si>
  <si>
    <t>BIDSTAC # NP-SVP 111-2020</t>
  </si>
  <si>
    <t>2020-GOODS-014-01-0615</t>
  </si>
  <si>
    <t>RFQ 2020-029</t>
  </si>
  <si>
    <t>PB-2020-05-032</t>
  </si>
  <si>
    <t>2020-85</t>
  </si>
  <si>
    <t>IB No. 2020-221</t>
  </si>
  <si>
    <t>PB-0620-41</t>
  </si>
  <si>
    <t>ITB 20-072</t>
  </si>
  <si>
    <t>BOD20-086</t>
  </si>
  <si>
    <t>ITB No. 2020-30</t>
  </si>
  <si>
    <t>BLGU-ANIBONGON-AL-01-2020</t>
  </si>
  <si>
    <t>BIDSTAC # SB 023-2020</t>
  </si>
  <si>
    <t>03-2020</t>
  </si>
  <si>
    <t>20-00045</t>
  </si>
  <si>
    <t>P.R. No. 20-0041</t>
  </si>
  <si>
    <t>20GLF0031</t>
  </si>
  <si>
    <t>PB-0220-08</t>
  </si>
  <si>
    <t>2020-PR20-699-171</t>
  </si>
  <si>
    <t>2020-ANT-GOODS-0109</t>
  </si>
  <si>
    <t>IAEB 041-20</t>
  </si>
  <si>
    <t>2020-06-431</t>
  </si>
  <si>
    <t>2020-895-001</t>
  </si>
  <si>
    <t>PB-2020-05-031</t>
  </si>
  <si>
    <t>BOD20-088</t>
  </si>
  <si>
    <t>Bac-Pg-002-20</t>
  </si>
  <si>
    <t>BOD20-87</t>
  </si>
  <si>
    <t>BIDSTAC # NP-SVP 112-2020</t>
  </si>
  <si>
    <t>R.I.S. No.: 20-93-017</t>
  </si>
  <si>
    <t>100-2020-0588 &amp; 0695</t>
  </si>
  <si>
    <t>100-2020-0683, 0750a-b &amp; 0810</t>
  </si>
  <si>
    <t>LGU-AL-28-2020</t>
  </si>
  <si>
    <t>100-2020-0634, 0723 &amp; 0761</t>
  </si>
  <si>
    <t>100-2020-0662, 0785 &amp; 0786</t>
  </si>
  <si>
    <t>BOD20-090</t>
  </si>
  <si>
    <t xml:space="preserve">100-2020-0130, 0132, 0289, 0570, 0581, 0711, 0713 </t>
  </si>
  <si>
    <t>20BF0060</t>
  </si>
  <si>
    <t>BOD20-089</t>
  </si>
  <si>
    <t>LGU-AL-29-2020</t>
  </si>
  <si>
    <t>283</t>
  </si>
  <si>
    <t>20 - OG - 001 (G)</t>
  </si>
  <si>
    <t>Bac-Pg-004-20</t>
  </si>
  <si>
    <t>GHQPC-OSPS-OTSM-1107-20</t>
  </si>
  <si>
    <t>SVP 2020-346</t>
  </si>
  <si>
    <t>100-2020-0730</t>
  </si>
  <si>
    <t>P.O.W. 2020-02-130</t>
  </si>
  <si>
    <t>Bac-Pg-005-20</t>
  </si>
  <si>
    <t>0198-2020</t>
  </si>
  <si>
    <t>100-2020-0714, 0716 &amp; 0760</t>
  </si>
  <si>
    <t>100-2020-0725</t>
  </si>
  <si>
    <t>PR 20-06-0243</t>
  </si>
  <si>
    <t>100-2020-0707</t>
  </si>
  <si>
    <t>100-2020-0766</t>
  </si>
  <si>
    <t>GHQPC-OSPS-SEMEFF-1108-20</t>
  </si>
  <si>
    <t>20 - OG - 002 (G)</t>
  </si>
  <si>
    <t>100-2020-0733a-b</t>
  </si>
  <si>
    <t>20GLF0032</t>
  </si>
  <si>
    <t>100-2020-0769</t>
  </si>
  <si>
    <t>CONTRACT ID: 20-06-085</t>
  </si>
  <si>
    <t>Bac-Pg-006-20</t>
  </si>
  <si>
    <t>2020-GSIS-PB-073</t>
  </si>
  <si>
    <t>20-012-002</t>
  </si>
  <si>
    <t>0199-2020</t>
  </si>
  <si>
    <t>GHQPC-OSPS-OTSM-1109-20</t>
  </si>
  <si>
    <t>BANTAYAN-2020-03-0091</t>
  </si>
  <si>
    <t>CONTRACT ID: 20-06-084</t>
  </si>
  <si>
    <t>20CSKG01</t>
  </si>
  <si>
    <t>0200-2020</t>
  </si>
  <si>
    <t>0201-2020</t>
  </si>
  <si>
    <t>20GLF0033</t>
  </si>
  <si>
    <t>BANTAYAN-2020-03-0090</t>
  </si>
  <si>
    <t>0202-2020</t>
  </si>
  <si>
    <t>2020-GSIS-PB-072</t>
  </si>
  <si>
    <t>RFQ2020-06-056</t>
  </si>
  <si>
    <t>AGGDS2020-0611A</t>
  </si>
  <si>
    <t>100-2020-0809a-c</t>
  </si>
  <si>
    <t>2020-06-PR035</t>
  </si>
  <si>
    <t>100-2020-0770</t>
  </si>
  <si>
    <t>20GG0042-G</t>
  </si>
  <si>
    <t>0203-2020</t>
  </si>
  <si>
    <t>AGGDS2020-0611B</t>
  </si>
  <si>
    <t>IB-2020-066</t>
  </si>
  <si>
    <t>0206-2020</t>
  </si>
  <si>
    <t>PF-0520-561</t>
  </si>
  <si>
    <t>20GG0043-G</t>
  </si>
  <si>
    <t>0204-2020</t>
  </si>
  <si>
    <t>2020-06-01-25</t>
  </si>
  <si>
    <t>ITB PR No.: 0776-20BAC</t>
  </si>
  <si>
    <t>IB-2020-065</t>
  </si>
  <si>
    <t>BNLSL-LCB-30-2020</t>
  </si>
  <si>
    <t>RFQ2020-06-057</t>
  </si>
  <si>
    <t>IB 2020-061</t>
  </si>
  <si>
    <t>BNLSL-LCB-31-2020</t>
  </si>
  <si>
    <t>PF-0520-558</t>
  </si>
  <si>
    <t>2020-06-01-26</t>
  </si>
  <si>
    <t>BNLSL-LCB-31A-2020</t>
  </si>
  <si>
    <t>2020-042</t>
  </si>
  <si>
    <t>2020-06-2176</t>
  </si>
  <si>
    <t>IB-2020-068</t>
  </si>
  <si>
    <t>2020-041</t>
  </si>
  <si>
    <t>IB-2020-067</t>
  </si>
  <si>
    <t>ITB PR No.: 0777-20BAC</t>
  </si>
  <si>
    <t>2020 A-06.091</t>
  </si>
  <si>
    <t>2020-06-02-20</t>
  </si>
  <si>
    <t>RFQ2020-06-055</t>
  </si>
  <si>
    <t>DepED-RO6-D1-COVIDSUPPLIES-046-2020</t>
  </si>
  <si>
    <t>0208-2020</t>
  </si>
  <si>
    <t>0207-2020</t>
  </si>
  <si>
    <t>DepED-RO6-D1-BRIGAD ESKWELA2020-045-2020</t>
  </si>
  <si>
    <t>2020-320</t>
  </si>
  <si>
    <t>102</t>
  </si>
  <si>
    <t>MUNPINCE-2006-111</t>
  </si>
  <si>
    <t>103</t>
  </si>
  <si>
    <t>MUNPINCE-2006-109</t>
  </si>
  <si>
    <t>PR-2020-5-078C</t>
  </si>
  <si>
    <t>104</t>
  </si>
  <si>
    <t>2020-POBLACION-008</t>
  </si>
  <si>
    <t>2020-POBLACION-009</t>
  </si>
  <si>
    <t>MUNPINCE-2006-110</t>
  </si>
  <si>
    <t>PR-20-06-26</t>
  </si>
  <si>
    <t>20200611</t>
  </si>
  <si>
    <t>2020 A-06.093</t>
  </si>
  <si>
    <t>2020-POBLACION-011</t>
  </si>
  <si>
    <t>2020-POBLACION-010</t>
  </si>
  <si>
    <t>PR-20-06-25</t>
  </si>
  <si>
    <t>PR-2020-6-082</t>
  </si>
  <si>
    <t>ITB PR No.: 0205-20BAC</t>
  </si>
  <si>
    <t>ls1d-2020-06-003</t>
  </si>
  <si>
    <t>2020-POBLACION-007</t>
  </si>
  <si>
    <t>ITB PR No.: 1087-20BAC</t>
  </si>
  <si>
    <t>RFQ2020-06-058</t>
  </si>
  <si>
    <t>2020-POBLACION-015</t>
  </si>
  <si>
    <t>8986655</t>
  </si>
  <si>
    <t>2020-06-16</t>
  </si>
  <si>
    <t>2020-POBLACION-0012</t>
  </si>
  <si>
    <t>PGR-INFRA-2020-07-5</t>
  </si>
  <si>
    <t>PGR-INFRA-2020-07-3</t>
  </si>
  <si>
    <t>PGR-INFRA-2020-07-2</t>
  </si>
  <si>
    <t>2020-POBLACION-014</t>
  </si>
  <si>
    <t>2020-POBLACION-013</t>
  </si>
  <si>
    <t>PGR-INFRA-2020-07-1</t>
  </si>
  <si>
    <t>PGR-INFRA-2020-07-4</t>
  </si>
  <si>
    <t>PF-0220-162</t>
  </si>
  <si>
    <t>06122020</t>
  </si>
  <si>
    <t>PGR-INFRA-2020-07-10</t>
  </si>
  <si>
    <t>2020-PR20-690-172</t>
  </si>
  <si>
    <t>2020 Caib 087</t>
  </si>
  <si>
    <t>PGR-INFRA-2020-07-8</t>
  </si>
  <si>
    <t>PB2020-013</t>
  </si>
  <si>
    <t>6/12/2020</t>
  </si>
  <si>
    <t>109899-2020-05</t>
  </si>
  <si>
    <t>PGR-INFRA-2020-07-7</t>
  </si>
  <si>
    <t>PGR-INFRA-2020-07-9</t>
  </si>
  <si>
    <t>PGR-INFRA-2020-07-6</t>
  </si>
  <si>
    <t>2020-06-010</t>
  </si>
  <si>
    <t>109899-2020-04</t>
  </si>
  <si>
    <t>109881-2020-05-01</t>
  </si>
  <si>
    <t>109822-2020-05</t>
  </si>
  <si>
    <t>CP 2020-38</t>
  </si>
  <si>
    <t>109899-2020-06</t>
  </si>
  <si>
    <t>109881-2020-04</t>
  </si>
  <si>
    <t>0002-20</t>
  </si>
  <si>
    <t>Pr062000630</t>
  </si>
  <si>
    <t>109882-2020-04-02</t>
  </si>
  <si>
    <t>PR062000632</t>
  </si>
  <si>
    <t>109882-2020-04</t>
  </si>
  <si>
    <t>109881-2020-05-02</t>
  </si>
  <si>
    <t>ST2020-06006</t>
  </si>
  <si>
    <t>CP 2020-37</t>
  </si>
  <si>
    <t>ST2020-06005</t>
  </si>
  <si>
    <t>0001-20</t>
  </si>
  <si>
    <t>2020-S-27</t>
  </si>
  <si>
    <t>ST2020-06009</t>
  </si>
  <si>
    <t>ST2020-06004</t>
  </si>
  <si>
    <t>2020-06-328</t>
  </si>
  <si>
    <t>ST2020-06008</t>
  </si>
  <si>
    <t>302775-2020-06-027</t>
  </si>
  <si>
    <t>ST2020-06007</t>
  </si>
  <si>
    <t>ST2020-06003</t>
  </si>
  <si>
    <t>ST2020-06001</t>
  </si>
  <si>
    <t>ST2020-06002</t>
  </si>
  <si>
    <t>2020-06-329</t>
  </si>
  <si>
    <t>ST2020-06011</t>
  </si>
  <si>
    <t>ST2020-06010</t>
  </si>
  <si>
    <t>2020-06-307</t>
  </si>
  <si>
    <t>2020-ITB-06-027</t>
  </si>
  <si>
    <t>2020-ITB-06-033</t>
  </si>
  <si>
    <t>2020-ITB-06-034</t>
  </si>
  <si>
    <t>ST2020-06012</t>
  </si>
  <si>
    <t>2020-ITB-06-037</t>
  </si>
  <si>
    <t>2020-ITB-06-026</t>
  </si>
  <si>
    <t>2020-06-330</t>
  </si>
  <si>
    <t>2020-ITB-06-028</t>
  </si>
  <si>
    <t>2020-ITB-06-036</t>
  </si>
  <si>
    <t>2020-06-331</t>
  </si>
  <si>
    <t>2020-ITB-06-035</t>
  </si>
  <si>
    <t>RFQ-2020-036</t>
  </si>
  <si>
    <t>ST2020-06014</t>
  </si>
  <si>
    <t>2020-ITB-06-038</t>
  </si>
  <si>
    <t>2020-ITB-06-039</t>
  </si>
  <si>
    <t>Infra EDF 08-2020</t>
  </si>
  <si>
    <t>2020-06-333</t>
  </si>
  <si>
    <t>ITB 06-014-2020</t>
  </si>
  <si>
    <t>2020-039R</t>
  </si>
  <si>
    <t>gsis/npsvp-221-20</t>
  </si>
  <si>
    <t>SNCHS# 2020-0013</t>
  </si>
  <si>
    <t>301725</t>
  </si>
  <si>
    <t>PGR-INFRA-2020-03-05</t>
  </si>
  <si>
    <t>6/12/2020_01</t>
  </si>
  <si>
    <t>2020-040R</t>
  </si>
  <si>
    <t>0213-2020</t>
  </si>
  <si>
    <t>0209-2020</t>
  </si>
  <si>
    <t>PR 2020-06</t>
  </si>
  <si>
    <t>2020-06-13</t>
  </si>
  <si>
    <t>0214-2020</t>
  </si>
  <si>
    <t>0211-2020</t>
  </si>
  <si>
    <t>0210-2020</t>
  </si>
  <si>
    <t>PHILGEPS-2020-12</t>
  </si>
  <si>
    <t>0212-2020</t>
  </si>
  <si>
    <t>goods 2020-001</t>
  </si>
  <si>
    <t>PGR-INFRA-2020-07-11</t>
  </si>
  <si>
    <t>20202-038R</t>
  </si>
  <si>
    <t>6-062320</t>
  </si>
  <si>
    <t>2-070720</t>
  </si>
  <si>
    <t>20GNE0025</t>
  </si>
  <si>
    <t>06-002-2020</t>
  </si>
  <si>
    <t>DC-20-17</t>
  </si>
  <si>
    <t>3-070720</t>
  </si>
  <si>
    <t>PHILGEPS-2020-13</t>
  </si>
  <si>
    <t>9-062320</t>
  </si>
  <si>
    <t>10-062320</t>
  </si>
  <si>
    <t>06-001</t>
  </si>
  <si>
    <t>RFQ-2020-06-116</t>
  </si>
  <si>
    <t>PGL-20 NEGO 23-06</t>
  </si>
  <si>
    <t>2020-INFRA-027</t>
  </si>
  <si>
    <t>8-062320</t>
  </si>
  <si>
    <t>7-062320</t>
  </si>
  <si>
    <t>11-062320</t>
  </si>
  <si>
    <t>20GNE0026</t>
  </si>
  <si>
    <t>2020-06-0010</t>
  </si>
  <si>
    <t>2020-ITB-06-040</t>
  </si>
  <si>
    <t>2020-ITB-06-032</t>
  </si>
  <si>
    <t>GOODS2020-034</t>
  </si>
  <si>
    <t>2020-ITB-06-043</t>
  </si>
  <si>
    <t>2020-ITB-06-041</t>
  </si>
  <si>
    <t>2020-ITB-06-029</t>
  </si>
  <si>
    <t>2020-ITB-06-045</t>
  </si>
  <si>
    <t>2020-ITB-06-042</t>
  </si>
  <si>
    <t>GTLMH-20-086</t>
  </si>
  <si>
    <t>PGR-INFRA-2020-03-07</t>
  </si>
  <si>
    <t>GOODS2020-035</t>
  </si>
  <si>
    <t>06-02</t>
  </si>
  <si>
    <t>PR 2020-06-01</t>
  </si>
  <si>
    <t>2020-ITB-06-031</t>
  </si>
  <si>
    <t>PGR-INFRA-2020-03-13</t>
  </si>
  <si>
    <t>20-01-014;034;082;083;095;20-02-014</t>
  </si>
  <si>
    <t>GTLMH-20-069</t>
  </si>
  <si>
    <t>2020-INFRA-032</t>
  </si>
  <si>
    <t>2020-ITB-06-030</t>
  </si>
  <si>
    <t>2020-ITB-06-046</t>
  </si>
  <si>
    <t>2020-INFRA-028</t>
  </si>
  <si>
    <t>PGR-INFRA-2020-03-22</t>
  </si>
  <si>
    <t>2020-ITB-06-044</t>
  </si>
  <si>
    <t>2020-INFRA-031</t>
  </si>
  <si>
    <t>PGR-INFRA-2020-03-14</t>
  </si>
  <si>
    <t>DA3-2020-06-04-61</t>
  </si>
  <si>
    <t>PGR-INFRA-2020-03-18</t>
  </si>
  <si>
    <t>2020-06-132</t>
  </si>
  <si>
    <t>2020-3-17</t>
  </si>
  <si>
    <t>RFQ20-21-Ref-Case480F-F19-214</t>
  </si>
  <si>
    <t>BAC-ITIO GS No. 2020-0053 dated 02 June 2020</t>
  </si>
  <si>
    <t>BAC-ITIO GS No. 2020-0026 dated 21 April 2020</t>
  </si>
  <si>
    <t>2020-INFRA-029</t>
  </si>
  <si>
    <t>DA3-2020-06-09-358</t>
  </si>
  <si>
    <t>PGR-INFRA-2020-03-16</t>
  </si>
  <si>
    <t>June 13, 2020 C</t>
  </si>
  <si>
    <t>2020-INFRA-030</t>
  </si>
  <si>
    <t>DA3-2020-06-09-359</t>
  </si>
  <si>
    <t>DA3-2020-06-09-360</t>
  </si>
  <si>
    <t>20-01-0101</t>
  </si>
  <si>
    <t>RFQ20-22-Ref-Case480F-F19-264</t>
  </si>
  <si>
    <t>BAL-06-13-2020-Construction of Roofing in the Park</t>
  </si>
  <si>
    <t>PVNHSJHS06132020</t>
  </si>
  <si>
    <t>SHOP GOODS 2020-06-13</t>
  </si>
  <si>
    <t>02172020</t>
  </si>
  <si>
    <t>RFQ20-23-Ref-UDDT-MM13-6</t>
  </si>
  <si>
    <t>RFQ No. 20-0549 Shopping B</t>
  </si>
  <si>
    <t>DA3-2020-06-09-361</t>
  </si>
  <si>
    <t>DA3-2020-06-09-362</t>
  </si>
  <si>
    <t>4-070720</t>
  </si>
  <si>
    <t>20-05-0579</t>
  </si>
  <si>
    <t>DA3-06-04-60</t>
  </si>
  <si>
    <t>JHS-01-001</t>
  </si>
  <si>
    <t>DA3-2020-06-04-63</t>
  </si>
  <si>
    <t>006-2020</t>
  </si>
  <si>
    <t>PMO-20-28</t>
  </si>
  <si>
    <t>CY2020QRF</t>
  </si>
  <si>
    <t>005-2020</t>
  </si>
  <si>
    <t>AMP-018-2020</t>
  </si>
  <si>
    <t>2020-199</t>
  </si>
  <si>
    <t>brgy. carayrayan 2020-3</t>
  </si>
  <si>
    <t>brgy. carayrayan 2020-2</t>
  </si>
  <si>
    <t>2020-2</t>
  </si>
  <si>
    <t>brgy. carayrayan 2020-1</t>
  </si>
  <si>
    <t>2020-010-06</t>
  </si>
  <si>
    <t>2020-209</t>
  </si>
  <si>
    <t>2020-011-06</t>
  </si>
  <si>
    <t>PIN2020-077</t>
  </si>
  <si>
    <t>2020-06-098</t>
  </si>
  <si>
    <t>SVP 2020-06-309</t>
  </si>
  <si>
    <t>2020-212</t>
  </si>
  <si>
    <t>302775-2020-06-033</t>
  </si>
  <si>
    <t>2020-210</t>
  </si>
  <si>
    <t>PB-ALBAYINFRA-20-01</t>
  </si>
  <si>
    <t>2020-211</t>
  </si>
  <si>
    <t>RFQ 2020-07</t>
  </si>
  <si>
    <t>302775-2020-06-031</t>
  </si>
  <si>
    <t>San Antonio-2020-06-001</t>
  </si>
  <si>
    <t>2020-Centro 8-005</t>
  </si>
  <si>
    <t>SP-SV 2020-33</t>
  </si>
  <si>
    <t>2020-216</t>
  </si>
  <si>
    <t>SVP 2020-06-308</t>
  </si>
  <si>
    <t>SVP 2020-06-310</t>
  </si>
  <si>
    <t>Amandiego-2020-06-001</t>
  </si>
  <si>
    <t>GSD-20-96797 (ECA)</t>
  </si>
  <si>
    <t>NP-SV 2020-35</t>
  </si>
  <si>
    <t>NP-SV 34</t>
  </si>
  <si>
    <t>2020-244</t>
  </si>
  <si>
    <t>2020-228</t>
  </si>
  <si>
    <t>QSU-BAC-F-24-2020 01D Aux &amp; HES</t>
  </si>
  <si>
    <t>NP-SV 2020-36</t>
  </si>
  <si>
    <t>2020-177</t>
  </si>
  <si>
    <t>QNV-024-2020</t>
  </si>
  <si>
    <t>DepED-RO6-D1-2020QRF(REPAIR)-C2-019-2020</t>
  </si>
  <si>
    <t>20-006-070</t>
  </si>
  <si>
    <t>2020-242</t>
  </si>
  <si>
    <t>2020-63</t>
  </si>
  <si>
    <t>ITDI-200323</t>
  </si>
  <si>
    <t>2020-233</t>
  </si>
  <si>
    <t>20-006-072</t>
  </si>
  <si>
    <t>2020-162</t>
  </si>
  <si>
    <t>2020-46</t>
  </si>
  <si>
    <t>2020-246</t>
  </si>
  <si>
    <t>2020-250</t>
  </si>
  <si>
    <t>ITDI-200288_REBID</t>
  </si>
  <si>
    <t>ITB-BONE SOUTH ES SLOPE PROTECTION-20-06-01</t>
  </si>
  <si>
    <t>2020-47</t>
  </si>
  <si>
    <t>ITDI-200233_REBID</t>
  </si>
  <si>
    <t>DepED-RO6-D1-2020QRF(REPAIR)-C5-022-2020</t>
  </si>
  <si>
    <t>DepED-RO6-D1-2020QRF(REPAIR)-C4-021-2020</t>
  </si>
  <si>
    <t>ITDI-200227_REBID</t>
  </si>
  <si>
    <t>ITDI-200216_REBID</t>
  </si>
  <si>
    <t>ITDI-200220_REBID</t>
  </si>
  <si>
    <t>DepED-RO6-D1-2020QRF(REPAIR)-C10-027-2020</t>
  </si>
  <si>
    <t>ITDI-200191_REBID</t>
  </si>
  <si>
    <t>ITDI-200218_REBID</t>
  </si>
  <si>
    <t>ITDI-200231_REBID</t>
  </si>
  <si>
    <t>DepED-RO6-D1-2020QRF(REPAIR)-C6-023-2020</t>
  </si>
  <si>
    <t>DepED-RO6-D1-2020QRF(REPAIR)-C9-026-2020</t>
  </si>
  <si>
    <t>ITDI-200208_REBID</t>
  </si>
  <si>
    <t>DepED-RO6-D1-2020QRF(REPAIR)-C8-025-2020</t>
  </si>
  <si>
    <t>DepED-RO6-D1-2020QRF(REPAIR)-C3-020-2020</t>
  </si>
  <si>
    <t>DepED-RO6-D1-2020QRF(REPAIR)-C7-024-2020</t>
  </si>
  <si>
    <t>DepED-RO6-D1-2020QRF(REPAIR)-C18-035-2020</t>
  </si>
  <si>
    <t>101-20-06-005</t>
  </si>
  <si>
    <t>DepED-RO6-D1-2020QRF(REPAIR)-C11-028-2020</t>
  </si>
  <si>
    <t>DepED-RO6-D1-2020QRF(REPAIR)-C17-034-2020</t>
  </si>
  <si>
    <t>PRIS-2020-03-0236</t>
  </si>
  <si>
    <t>DepED-RO6-D1-2020QRF(REPAIR)-C15-032-2020</t>
  </si>
  <si>
    <t>2020-05-014</t>
  </si>
  <si>
    <t>061420</t>
  </si>
  <si>
    <t>DepED-RO6-D1-2020QRF(REPAIR)-C12-029-2020</t>
  </si>
  <si>
    <t>DepED-RO6-D1-2020QRF(REPAIR)-C13-030-2020</t>
  </si>
  <si>
    <t>DepED-RO6-D1-2020QRF(REPAIR)-C16-033-2020</t>
  </si>
  <si>
    <t>302775-2020-06-069</t>
  </si>
  <si>
    <t>2020-05-015</t>
  </si>
  <si>
    <t>DepED-RO6-D1-2020QRF(REPAIR)-C21-038-2020</t>
  </si>
  <si>
    <t>ITDI-200259_REBID</t>
  </si>
  <si>
    <t>DepED-RO6-D1-2020QRF(REPAIR)-C14-031-2020</t>
  </si>
  <si>
    <t>ITDI-200300_REBID</t>
  </si>
  <si>
    <t>DepED-RO6-D1-2020QRF(REPAIR)-C20-037-2020</t>
  </si>
  <si>
    <t>ITDI-200217_REBID</t>
  </si>
  <si>
    <t>101-20-06-002</t>
  </si>
  <si>
    <t>PUR20-05-0391</t>
  </si>
  <si>
    <t>DepED-RO6-D1-2020QRF(REPAIR)-C19-036-2020</t>
  </si>
  <si>
    <t>DepED-RO6-D1-2020QRF(REPAIR)-C22-039-2020</t>
  </si>
  <si>
    <t>ITDI-200240_REBID</t>
  </si>
  <si>
    <t>302775-2020-06-070</t>
  </si>
  <si>
    <t>DepED-RO6-D1-2020QRF(REPAIR)-C27-044-2020</t>
  </si>
  <si>
    <t>DepED-RO6-D1-2020QRF(REPAIR)-C24-041-2020</t>
  </si>
  <si>
    <t>DepED-RO6-D1-2020QRF(REPAIR)-C26-043-2020</t>
  </si>
  <si>
    <t>2020-07-009</t>
  </si>
  <si>
    <t>2020-05-013</t>
  </si>
  <si>
    <t>DepED-RO6-D1-2020QRF(REPAIR)-C25-042-2020</t>
  </si>
  <si>
    <t>101-20-05-087</t>
  </si>
  <si>
    <t>DepED-RO6-D1-2020QRF(REPAIR)-C23-040-2020</t>
  </si>
  <si>
    <t>PUR20-03-0248</t>
  </si>
  <si>
    <t>2020-144</t>
  </si>
  <si>
    <t>PUR20-05-0443</t>
  </si>
  <si>
    <t>6064</t>
  </si>
  <si>
    <t>2020-07-008</t>
  </si>
  <si>
    <t>PUR20-06-0456</t>
  </si>
  <si>
    <t>302775-2020-06-063</t>
  </si>
  <si>
    <t>NOSO-Goods-SIP-04-2020</t>
  </si>
  <si>
    <t>NP2020-03-176B</t>
  </si>
  <si>
    <t>302775-2020-06-074</t>
  </si>
  <si>
    <t>BAC1-20-013</t>
  </si>
  <si>
    <t>NP2020-02-116B</t>
  </si>
  <si>
    <t>PUR20-03-0241</t>
  </si>
  <si>
    <t>20GAA0072</t>
  </si>
  <si>
    <t>NP2020-06</t>
  </si>
  <si>
    <t>20GAA0073</t>
  </si>
  <si>
    <t>NOSO-Goods-SIP-05-2020</t>
  </si>
  <si>
    <t>TFB 19-304C</t>
  </si>
  <si>
    <t>20201406</t>
  </si>
  <si>
    <t>NP2020-06-313</t>
  </si>
  <si>
    <t>SVP-GSD-062020-106</t>
  </si>
  <si>
    <t>20GAA0074</t>
  </si>
  <si>
    <t>NP2020-06-321</t>
  </si>
  <si>
    <t>PUR20-04-0356</t>
  </si>
  <si>
    <t>RFQ-2020-03-171</t>
  </si>
  <si>
    <t>ITB No. 2020-026</t>
  </si>
  <si>
    <t>RFQ-2020-03-264</t>
  </si>
  <si>
    <t>20GAA0071</t>
  </si>
  <si>
    <t>SVP-GSD-062020-107</t>
  </si>
  <si>
    <t>NP2020-06-314</t>
  </si>
  <si>
    <t>BAC1-20-003</t>
  </si>
  <si>
    <t>RFQ-2020-03-233</t>
  </si>
  <si>
    <t>NP2020-02-120B</t>
  </si>
  <si>
    <t>SVP-GSD-062020-109</t>
  </si>
  <si>
    <t>NP2020-02-117B</t>
  </si>
  <si>
    <t>20HA0131</t>
  </si>
  <si>
    <t>RFQ-2020-03-334</t>
  </si>
  <si>
    <t>RFQ-2020-05-18</t>
  </si>
  <si>
    <t>NP2020-06-317</t>
  </si>
  <si>
    <t>SVP-GSD-062020-108</t>
  </si>
  <si>
    <t>SVP-GSD-062020-111</t>
  </si>
  <si>
    <t>ITB No. 2020-016</t>
  </si>
  <si>
    <t>NP2020-02-123</t>
  </si>
  <si>
    <t>SVP-GSD-062020-110</t>
  </si>
  <si>
    <t>PUR20-03-0274</t>
  </si>
  <si>
    <t>RFQ-2020-05-17</t>
  </si>
  <si>
    <t>2020-FLOODCONTROL-002</t>
  </si>
  <si>
    <t>BP-20-022</t>
  </si>
  <si>
    <t>ITB No. 2020-018</t>
  </si>
  <si>
    <t>2020-04-01</t>
  </si>
  <si>
    <t>ITB No. 2020-017</t>
  </si>
  <si>
    <t>RFQ-2020-05-73</t>
  </si>
  <si>
    <t>2020-MPBLDG-ESTRELLAP1-002</t>
  </si>
  <si>
    <t>RFQ-2020-05-122</t>
  </si>
  <si>
    <t>BP-20-021</t>
  </si>
  <si>
    <t>ITB No. 2020-020</t>
  </si>
  <si>
    <t>WPU-2020-034</t>
  </si>
  <si>
    <t>RFQ-2020-05-155</t>
  </si>
  <si>
    <t>PUR20-03-0308</t>
  </si>
  <si>
    <t>2020-OMA-002</t>
  </si>
  <si>
    <t>2020-FENCE-IPILAN-002</t>
  </si>
  <si>
    <t>ITB No. 2020-019</t>
  </si>
  <si>
    <t>PM20-010</t>
  </si>
  <si>
    <t>2020-WTP-P.URDUJA-002</t>
  </si>
  <si>
    <t>RFQ-2020-157</t>
  </si>
  <si>
    <t>2020-MPDP-ANTIPULUAN-002</t>
  </si>
  <si>
    <t>svp-20-05-c-08</t>
  </si>
  <si>
    <t>sh-20-06-b-03</t>
  </si>
  <si>
    <t>ITB No. 2020-022</t>
  </si>
  <si>
    <t>svp-20-05-c-01</t>
  </si>
  <si>
    <t>RFQ-2020-05-161</t>
  </si>
  <si>
    <t>WPU-2020-035</t>
  </si>
  <si>
    <t>2020-WTP-CALATEGAS-002</t>
  </si>
  <si>
    <t>RFQ-2020-05-216</t>
  </si>
  <si>
    <t>WPU-2020-036</t>
  </si>
  <si>
    <t>RFQ-2020-05-217</t>
  </si>
  <si>
    <t>sh-20-06-c-06</t>
  </si>
  <si>
    <t>N090-2020</t>
  </si>
  <si>
    <t>ITB No. 2020-021</t>
  </si>
  <si>
    <t>sh-20-06-b-06</t>
  </si>
  <si>
    <t>RFQ-2020-05-218</t>
  </si>
  <si>
    <t>RFQ-2020-05-166</t>
  </si>
  <si>
    <t>ITB No. 2020-023</t>
  </si>
  <si>
    <t>svp-20-06-b-05</t>
  </si>
  <si>
    <t>PB20-01-015CORa-06</t>
  </si>
  <si>
    <t>RFQ-DARFO12-2020-0534</t>
  </si>
  <si>
    <t>ITB No. 2020-024</t>
  </si>
  <si>
    <t>RFQ-2020-06-20</t>
  </si>
  <si>
    <t>2020-SVP-DENR-EMB-028-02</t>
  </si>
  <si>
    <t>RFQ-2020-05-219</t>
  </si>
  <si>
    <t>RFQ-2020-06-21</t>
  </si>
  <si>
    <t>RFQ-2020-05-220</t>
  </si>
  <si>
    <t>svp-20-06-c-01</t>
  </si>
  <si>
    <t>ITB No. 2020-025</t>
  </si>
  <si>
    <t>DOST XI 2020-022</t>
  </si>
  <si>
    <t>RFQ-2020-05-181</t>
  </si>
  <si>
    <t>RFQ-2020-06-84</t>
  </si>
  <si>
    <t>2020-373-017</t>
  </si>
  <si>
    <t>20GPF0011</t>
  </si>
  <si>
    <t>2020-373-018</t>
  </si>
  <si>
    <t>RFQ-2020-06-100</t>
  </si>
  <si>
    <t>ITB-2020-06-01</t>
  </si>
  <si>
    <t>DOST XI 2020-021</t>
  </si>
  <si>
    <t>ITB GOODS 2020-06-30</t>
  </si>
  <si>
    <t>RFQ-2020-06-102</t>
  </si>
  <si>
    <t>ITB-2020-06-02</t>
  </si>
  <si>
    <t>RFQ-2020-05-231</t>
  </si>
  <si>
    <t>BAC-ITO GS No. 2020-048 dated 27 May 2020</t>
  </si>
  <si>
    <t>ITB-2020-06-03</t>
  </si>
  <si>
    <t>SHS-2020-006</t>
  </si>
  <si>
    <t>SHS-2020-005</t>
  </si>
  <si>
    <t>2020-06-02-014</t>
  </si>
  <si>
    <t>SHS-2020-007</t>
  </si>
  <si>
    <t>SHS-2020-004</t>
  </si>
  <si>
    <t>ITB GOODS 2020-06-31</t>
  </si>
  <si>
    <t>20GFG0017</t>
  </si>
  <si>
    <t>20GFG0016</t>
  </si>
  <si>
    <t>SHS-2020-008</t>
  </si>
  <si>
    <t>2020-06-02-012</t>
  </si>
  <si>
    <t>2020-06-01B</t>
  </si>
  <si>
    <t>JHS-2020-019</t>
  </si>
  <si>
    <t>2020-07-02-015</t>
  </si>
  <si>
    <t>2020-06-02-013</t>
  </si>
  <si>
    <t>SHS-2020-009</t>
  </si>
  <si>
    <t>PG-20-06-011</t>
  </si>
  <si>
    <t>ITB GOODS 2020-06-32</t>
  </si>
  <si>
    <t>JHS-2020-022</t>
  </si>
  <si>
    <t>JHS-2020-023</t>
  </si>
  <si>
    <t>JHS-2020-020</t>
  </si>
  <si>
    <t>2020-0614</t>
  </si>
  <si>
    <t>RFQ20-24-Ref-UDDT-SEN-620</t>
  </si>
  <si>
    <t>JHS-2020-021</t>
  </si>
  <si>
    <t>JHS-2020-025</t>
  </si>
  <si>
    <t>JHS-2020-024</t>
  </si>
  <si>
    <t>2020-07-02-016</t>
  </si>
  <si>
    <t>JHS-2020-026</t>
  </si>
  <si>
    <t>2020-006</t>
  </si>
  <si>
    <t>RFQ20-25-Ref-HinoDT-I3-662</t>
  </si>
  <si>
    <t>LGU-Banayoyo, ISur 2020-06-042</t>
  </si>
  <si>
    <t>505</t>
  </si>
  <si>
    <t>LGU-Banayoyo, ISur 2020-06-043</t>
  </si>
  <si>
    <t>INFRA-09-20-05</t>
  </si>
  <si>
    <t>RFQ20-26-Ref-HinoDT-KPI3</t>
  </si>
  <si>
    <t>INFRA-09-20-02</t>
  </si>
  <si>
    <t>INFRA-09-20-01</t>
  </si>
  <si>
    <t>LGU-Banayoyo, ISur 2020-06-044</t>
  </si>
  <si>
    <t>INFRA-09-20-03</t>
  </si>
  <si>
    <t>INFRA-09-20-04</t>
  </si>
  <si>
    <t>LGU-Banayoyo, ISur 2020-06-046</t>
  </si>
  <si>
    <t>ITB GOODS 2020-06-33</t>
  </si>
  <si>
    <t>LGU-Banayoyo, ISur 2020-06-045</t>
  </si>
  <si>
    <t>CULABA 2020-04</t>
  </si>
  <si>
    <t>RFQ 2020-06-018</t>
  </si>
  <si>
    <t>RFQ20-27-Ref-Mit-Paj-SCA-508</t>
  </si>
  <si>
    <t>INFRA-09-20-06</t>
  </si>
  <si>
    <t>RFQ-2020-65</t>
  </si>
  <si>
    <t>RFQ-ASDI-SDN-2020-012</t>
  </si>
  <si>
    <t>RFQ-006-2020</t>
  </si>
  <si>
    <t>ITB GOODS 2020-06-34</t>
  </si>
  <si>
    <t>RFQ-2020-69</t>
  </si>
  <si>
    <t>RFQ-2020-68</t>
  </si>
  <si>
    <t>2020-0042</t>
  </si>
  <si>
    <t>RFQ-2020-67</t>
  </si>
  <si>
    <t>PR#100-20-06-421</t>
  </si>
  <si>
    <t>SH-006-2020</t>
  </si>
  <si>
    <t>RFQ-2020-71</t>
  </si>
  <si>
    <t>RFQ-2020-66</t>
  </si>
  <si>
    <t>GTLMH-20-081</t>
  </si>
  <si>
    <t>RFQ-2020-72</t>
  </si>
  <si>
    <t>DOST XI 2020-023</t>
  </si>
  <si>
    <t>RFQ-2020-70</t>
  </si>
  <si>
    <t>RFQ-007-2020</t>
  </si>
  <si>
    <t>ITB GOODS 2020-06-35</t>
  </si>
  <si>
    <t>PB-20-294</t>
  </si>
  <si>
    <t>fatima-001</t>
  </si>
  <si>
    <t>PB-20-295</t>
  </si>
  <si>
    <t>015-SHS-2020</t>
  </si>
  <si>
    <t>BPS-35979</t>
  </si>
  <si>
    <t>101-020-006-065</t>
  </si>
  <si>
    <t>PB-20-324</t>
  </si>
  <si>
    <t>PB-20-317</t>
  </si>
  <si>
    <t>PB-20-322</t>
  </si>
  <si>
    <t>none</t>
  </si>
  <si>
    <t>PB-20-323</t>
  </si>
  <si>
    <t>PB-20-319</t>
  </si>
  <si>
    <t>PB-20-296</t>
  </si>
  <si>
    <t>BAC SVP 2020-42</t>
  </si>
  <si>
    <t>20050399</t>
  </si>
  <si>
    <t>PB-20-320</t>
  </si>
  <si>
    <t>PB-20-318</t>
  </si>
  <si>
    <t>PB-20-321</t>
  </si>
  <si>
    <t>BAC SVP 2020-41</t>
  </si>
  <si>
    <t>014-SHS-2020</t>
  </si>
  <si>
    <t>012-SHS-2020</t>
  </si>
  <si>
    <t>2020-06-0003</t>
  </si>
  <si>
    <t>013-SHS-2020</t>
  </si>
  <si>
    <t>20-06-144</t>
  </si>
  <si>
    <t>20M0026</t>
  </si>
  <si>
    <t>2583-20</t>
  </si>
  <si>
    <t>20M0027</t>
  </si>
  <si>
    <t>G17-2020</t>
  </si>
  <si>
    <t>2265-20</t>
  </si>
  <si>
    <t>BAC-06-1036</t>
  </si>
  <si>
    <t>G18-2020</t>
  </si>
  <si>
    <t>01-2020-06M</t>
  </si>
  <si>
    <t>2484-20</t>
  </si>
  <si>
    <t>RFQ No. 2020-003</t>
  </si>
  <si>
    <t>PMN2-MD-01</t>
  </si>
  <si>
    <t>MGB4B-20-012</t>
  </si>
  <si>
    <t>20-06-031JHS</t>
  </si>
  <si>
    <t>20DF0188 - 20DF0190</t>
  </si>
  <si>
    <t>BSTM-2020-01</t>
  </si>
  <si>
    <t>2020-438</t>
  </si>
  <si>
    <t>SHS Construction Materials and Supplies</t>
  </si>
  <si>
    <t>Nasugbu 0431-0725</t>
  </si>
  <si>
    <t>NWD-013</t>
  </si>
  <si>
    <t>Nasugbu 0738</t>
  </si>
  <si>
    <t>Nasugbu 0649-0728</t>
  </si>
  <si>
    <t>bk-2020-02</t>
  </si>
  <si>
    <t>2020-FMP-06-01</t>
  </si>
  <si>
    <t>Nasugbu 0678-0679-0709</t>
  </si>
  <si>
    <t>BSTM-2020-02</t>
  </si>
  <si>
    <t>2020-0900-004</t>
  </si>
  <si>
    <t>20-MC-MOOE-1</t>
  </si>
  <si>
    <t>2020-8</t>
  </si>
  <si>
    <t>117568-2020-030</t>
  </si>
  <si>
    <t>June 13, 2020 B</t>
  </si>
  <si>
    <t>117568-2020-035</t>
  </si>
  <si>
    <t>RFQ 200247</t>
  </si>
  <si>
    <t>June 13, 2020</t>
  </si>
  <si>
    <t>SPPF2020-PR 179</t>
  </si>
  <si>
    <t>73511</t>
  </si>
  <si>
    <t>117568-2020-031</t>
  </si>
  <si>
    <t>RFQ 200248</t>
  </si>
  <si>
    <t>2020-06-010-RFQ</t>
  </si>
  <si>
    <t>117568-2020-034</t>
  </si>
  <si>
    <t>117568-2020-032</t>
  </si>
  <si>
    <t>DDN_06/18/2020</t>
  </si>
  <si>
    <t>117568-2020-033</t>
  </si>
  <si>
    <t>PR000094</t>
  </si>
  <si>
    <t>gsis/npsvp-222-20</t>
  </si>
  <si>
    <t>BugaNHScivilworks2020-004</t>
  </si>
  <si>
    <t>2020-INFRA-015</t>
  </si>
  <si>
    <t>2020-06-020</t>
  </si>
  <si>
    <t>2020-06-022</t>
  </si>
  <si>
    <t>BugaNHScivilworks2020-003</t>
  </si>
  <si>
    <t>burgos-2020-150-047</t>
  </si>
  <si>
    <t>PB2020-003 (GDS)</t>
  </si>
  <si>
    <t>G-2020-028</t>
  </si>
  <si>
    <t>002-05-2020</t>
  </si>
  <si>
    <t>BAL-06-13-2020-Concreting of 100 Linear Meter Sori</t>
  </si>
  <si>
    <t>395209</t>
  </si>
  <si>
    <t>R1-PIMO-20-05-042</t>
  </si>
  <si>
    <t>DMPD-2020-0052</t>
  </si>
  <si>
    <t>GAAS202001</t>
  </si>
  <si>
    <t>BAL-06-13-2020-Concreting of 100 Linear Meter Bara</t>
  </si>
  <si>
    <t>G-2020-025</t>
  </si>
  <si>
    <t>LTFRB-006-016</t>
  </si>
  <si>
    <t>burgos-2020-151-048</t>
  </si>
  <si>
    <t>BAC 2020-003</t>
  </si>
  <si>
    <t>395822</t>
  </si>
  <si>
    <t>2020 - SNPABLO - 0001</t>
  </si>
  <si>
    <t>BAL-06-13-2020-Concreting of 700 Linear Meter Bara</t>
  </si>
  <si>
    <t>2020-011R</t>
  </si>
  <si>
    <t>20DL0209</t>
  </si>
  <si>
    <t>0252020</t>
  </si>
  <si>
    <t>053-2020</t>
  </si>
  <si>
    <t>0272020</t>
  </si>
  <si>
    <t>20DL0217</t>
  </si>
  <si>
    <t>20DL0216</t>
  </si>
  <si>
    <t>20DL0214</t>
  </si>
  <si>
    <t>PR No. 13765 - 021120</t>
  </si>
  <si>
    <t>20DL0213</t>
  </si>
  <si>
    <t>20DL0215</t>
  </si>
  <si>
    <t>KAMBONGGAN202001</t>
  </si>
  <si>
    <t>132 – 2020</t>
  </si>
  <si>
    <t>20DL0212</t>
  </si>
  <si>
    <t>20-06-001-RFQ</t>
  </si>
  <si>
    <t>0262020</t>
  </si>
  <si>
    <t>20-06-019-052</t>
  </si>
  <si>
    <t>20-06-022-052</t>
  </si>
  <si>
    <t>20DL0211</t>
  </si>
  <si>
    <t>20-06-002-RFQ</t>
  </si>
  <si>
    <t>20PD0127</t>
  </si>
  <si>
    <t>2020-06-09-20-03-22</t>
  </si>
  <si>
    <t>20DL0208</t>
  </si>
  <si>
    <t>202005038</t>
  </si>
  <si>
    <t>20PB0030</t>
  </si>
  <si>
    <t>ITB-0035</t>
  </si>
  <si>
    <t>2020-06-09-20-03-21</t>
  </si>
  <si>
    <t>20DL0210</t>
  </si>
  <si>
    <t>GOODS-2020-02-003</t>
  </si>
  <si>
    <t>pal-20-06-011</t>
  </si>
  <si>
    <t>20PB0029</t>
  </si>
  <si>
    <t>ITB - 0034</t>
  </si>
  <si>
    <t>20-06-021-052</t>
  </si>
  <si>
    <t>20PD0129</t>
  </si>
  <si>
    <t>ISPQ 054-2020</t>
  </si>
  <si>
    <t>SNIS-JHS-2020-06-001</t>
  </si>
  <si>
    <t>133 – 2020</t>
  </si>
  <si>
    <t>20PB0032</t>
  </si>
  <si>
    <t>20200612</t>
  </si>
  <si>
    <t>20PB0031</t>
  </si>
  <si>
    <t>20-06-020-052</t>
  </si>
  <si>
    <t>ITB-0036</t>
  </si>
  <si>
    <t>134-2020 RFQ</t>
  </si>
  <si>
    <t>ITB 2020-058</t>
  </si>
  <si>
    <t>2020-SRV-004</t>
  </si>
  <si>
    <t>2020-0209</t>
  </si>
  <si>
    <t>Atabay_2020_02</t>
  </si>
  <si>
    <t>ITB 2020-057</t>
  </si>
  <si>
    <t>BCS-2020-0121</t>
  </si>
  <si>
    <t>2020-SRV-007</t>
  </si>
  <si>
    <t>1902119012-1n-2020059</t>
  </si>
  <si>
    <t>2020-06-0025</t>
  </si>
  <si>
    <t>ARTA-34714</t>
  </si>
  <si>
    <t>2020-SRV-001</t>
  </si>
  <si>
    <t>Atabay_2020_03</t>
  </si>
  <si>
    <t>BCS-2020-0122</t>
  </si>
  <si>
    <t>20202-SRV-005</t>
  </si>
  <si>
    <t>NP-GRMS-2006-042</t>
  </si>
  <si>
    <t>BCS-2020-0123</t>
  </si>
  <si>
    <t>2020-SRV-009</t>
  </si>
  <si>
    <t>2020-SRV-006</t>
  </si>
  <si>
    <t>GDS-124</t>
  </si>
  <si>
    <t>20-06-2020</t>
  </si>
  <si>
    <t>PR-2020-048</t>
  </si>
  <si>
    <t>Atabay_2020_04</t>
  </si>
  <si>
    <t>2006011</t>
  </si>
  <si>
    <t>2020-SRV-011</t>
  </si>
  <si>
    <t>20-06-394</t>
  </si>
  <si>
    <t>PSCbac 20-06-001</t>
  </si>
  <si>
    <t>BCS-2020-0124</t>
  </si>
  <si>
    <t>2020-SRV-010</t>
  </si>
  <si>
    <t>20-06-414</t>
  </si>
  <si>
    <t>20-05-351</t>
  </si>
  <si>
    <t>RFQ No. 20-0552 NP-SV</t>
  </si>
  <si>
    <t>20-06-411</t>
  </si>
  <si>
    <t>NP-GRMS-2006-043</t>
  </si>
  <si>
    <t>2020-241-001</t>
  </si>
  <si>
    <t>DENR-NCR, PR No. 2020-398 dated 06/11/2020</t>
  </si>
  <si>
    <t>ITB 2020-059</t>
  </si>
  <si>
    <t>2020-06-034</t>
  </si>
  <si>
    <t>2020-06-10</t>
  </si>
  <si>
    <t>DENR-NCR, PR No. 2020-397 dated 06/11/2020</t>
  </si>
  <si>
    <t>2020-07-02</t>
  </si>
  <si>
    <t>G-22-2020</t>
  </si>
  <si>
    <t>BAC 2020-004</t>
  </si>
  <si>
    <t>ITB#23-2020</t>
  </si>
  <si>
    <t>2020-225-001</t>
  </si>
  <si>
    <t>G-23-2020</t>
  </si>
  <si>
    <t>MNHS0001-S2020</t>
  </si>
  <si>
    <t>G-24-2020</t>
  </si>
  <si>
    <t>VNHS-00004-2020</t>
  </si>
  <si>
    <t>Budget Certificate No. 220-2020</t>
  </si>
  <si>
    <t>2020-06-11</t>
  </si>
  <si>
    <t>Budget Certificate No. 233 - 2020</t>
  </si>
  <si>
    <t>INFRA-2020-06-005</t>
  </si>
  <si>
    <t>LNHS2020-0003</t>
  </si>
  <si>
    <t>INFRA-2020-06-006</t>
  </si>
  <si>
    <t>LNHS2020-0004</t>
  </si>
  <si>
    <t>2020-06-12</t>
  </si>
  <si>
    <t>G-25-2020</t>
  </si>
  <si>
    <t>INFRA-2020-06-004</t>
  </si>
  <si>
    <t>Goods 2020-013(NP)</t>
  </si>
  <si>
    <t>AMP SVP 20-06-0348</t>
  </si>
  <si>
    <t>INFRA-2020-02</t>
  </si>
  <si>
    <t>G-2020-293</t>
  </si>
  <si>
    <t>ITB 2020-006</t>
  </si>
  <si>
    <t>SNCHS SHS #2020-0006</t>
  </si>
  <si>
    <t>G-2020-332</t>
  </si>
  <si>
    <t>G-2020-311</t>
  </si>
  <si>
    <t>SNCHS SHS #2020-0005</t>
  </si>
  <si>
    <t>2020-03-0068-BAC0046</t>
  </si>
  <si>
    <t>POW-1041-2020-PGS-01B</t>
  </si>
  <si>
    <t>RFQ No.: 047</t>
  </si>
  <si>
    <t>Barangay Iguid-003-2020</t>
  </si>
  <si>
    <t>BRGHGMC-GS-2020-04</t>
  </si>
  <si>
    <t>20CSA004</t>
  </si>
  <si>
    <t>20CSA003</t>
  </si>
  <si>
    <t>2020-Barangay Mombon-002</t>
  </si>
  <si>
    <t>2020-Barangay Bunuanan-006</t>
  </si>
  <si>
    <t>2020-Barangay socorro-002</t>
  </si>
  <si>
    <t>GOODS2020-005</t>
  </si>
  <si>
    <t>20CSDM03</t>
  </si>
  <si>
    <t>20CSAD03</t>
  </si>
  <si>
    <t>36-2020</t>
  </si>
  <si>
    <t>20-05-0319</t>
  </si>
  <si>
    <t>20EB0125</t>
  </si>
  <si>
    <t>RSPQ NO. 2020-03-023</t>
  </si>
  <si>
    <t>2020-06-137</t>
  </si>
  <si>
    <t>DENR-ORMIN-017-2020</t>
  </si>
  <si>
    <t>MOB-BAC-2020-06-020-INFRA</t>
  </si>
  <si>
    <t>RSPQ NO. 2020-03-024</t>
  </si>
  <si>
    <t>06102020</t>
  </si>
  <si>
    <t>37-2020</t>
  </si>
  <si>
    <t>MC1-2006-030</t>
  </si>
  <si>
    <t>INFRA 2020-006</t>
  </si>
  <si>
    <t>015</t>
  </si>
  <si>
    <t>20II0061</t>
  </si>
  <si>
    <t>2020-03-162</t>
  </si>
  <si>
    <t>IB-01-0186-20 COE-CE SUPPLY AND DELIVERY OF LABORA</t>
  </si>
  <si>
    <t>2020-02-148</t>
  </si>
  <si>
    <t>01-07-2020</t>
  </si>
  <si>
    <t>2020-03-150</t>
  </si>
  <si>
    <t>IB-01-0206-20 VPAFEA SUPPLY, DELIVERY AND INSTALLA</t>
  </si>
  <si>
    <t>PANG-2020-0782</t>
  </si>
  <si>
    <t>20GEB0006</t>
  </si>
  <si>
    <t>PANG-2020-0780</t>
  </si>
  <si>
    <t>2020-03-170</t>
  </si>
  <si>
    <t>PANG-2020-0781</t>
  </si>
  <si>
    <t>PRDP-PSO-Admin-2020-013 (AF)</t>
  </si>
  <si>
    <t>MSBAC 2020-01-010</t>
  </si>
  <si>
    <t>PANG-2020-0778</t>
  </si>
  <si>
    <t>ITB INFRA-023-2020</t>
  </si>
  <si>
    <t>2020-714</t>
  </si>
  <si>
    <t>PANG-2020-0779</t>
  </si>
  <si>
    <t>Bid No. 20-0274</t>
  </si>
  <si>
    <t>Goods-2020-PB-O1</t>
  </si>
  <si>
    <t>3</t>
  </si>
  <si>
    <t>Goods-2020-PB-O3</t>
  </si>
  <si>
    <t>M-12-20</t>
  </si>
  <si>
    <t>ITB 2020-06-033 (GOODS)</t>
  </si>
  <si>
    <t>PANG-2020-0783</t>
  </si>
  <si>
    <t>618</t>
  </si>
  <si>
    <t>PANG-2020-0784</t>
  </si>
  <si>
    <t>Goods-2020-PB-O2</t>
  </si>
  <si>
    <t>2021-001</t>
  </si>
  <si>
    <t>RFQ-202001</t>
  </si>
  <si>
    <t>6112020-023</t>
  </si>
  <si>
    <t>PR NO. 2020-05-105</t>
  </si>
  <si>
    <t>2020-149</t>
  </si>
  <si>
    <t>ITB 2020-06-034(GOODS)</t>
  </si>
  <si>
    <t>2020-BrgyIV-01</t>
  </si>
  <si>
    <t>mgc2020-infra038</t>
  </si>
  <si>
    <t>2020-03-02</t>
  </si>
  <si>
    <t>PR NO. 2020-05-095</t>
  </si>
  <si>
    <t>06-10-2020</t>
  </si>
  <si>
    <t>2020-BrgyIV-02</t>
  </si>
  <si>
    <t>MG-PAS20-010</t>
  </si>
  <si>
    <t>C-0113-0038-20</t>
  </si>
  <si>
    <t>PURCHASE OF 75" LED TV, AIRCON, OFFICE TABLES AND</t>
  </si>
  <si>
    <t>mgc2020-infra036</t>
  </si>
  <si>
    <t>2020-G010</t>
  </si>
  <si>
    <t>mgc2020-infra037</t>
  </si>
  <si>
    <t>2020-18</t>
  </si>
  <si>
    <t>PN 2020-12</t>
  </si>
  <si>
    <t>2020-06-0259</t>
  </si>
  <si>
    <t>2020-03-01</t>
  </si>
  <si>
    <t>2020-0264</t>
  </si>
  <si>
    <t>2020-06-0336</t>
  </si>
  <si>
    <t>021-06-2020</t>
  </si>
  <si>
    <t>2020-101-048</t>
  </si>
  <si>
    <t>022-06-2020</t>
  </si>
  <si>
    <t>Purchase of Meals, Snacks and other Supplies to be</t>
  </si>
  <si>
    <t>2020-06-3091</t>
  </si>
  <si>
    <t>2020-0430</t>
  </si>
  <si>
    <t>PR 325-20</t>
  </si>
  <si>
    <t>2020-RFQ-017</t>
  </si>
  <si>
    <t>20-06-018</t>
  </si>
  <si>
    <t>PR No 2020-001</t>
  </si>
  <si>
    <t>mgc2020-infra039</t>
  </si>
  <si>
    <t>PR. 20-02-085 (2020-02-086 3RD QUOTE)</t>
  </si>
  <si>
    <t>PR NO. 2020-05-094</t>
  </si>
  <si>
    <t>GA-BAC-AM # 2020-012-R</t>
  </si>
  <si>
    <t>2020-0263</t>
  </si>
  <si>
    <t>110620202</t>
  </si>
  <si>
    <t>Bid No. 20-0275</t>
  </si>
  <si>
    <t>GA-BAC-AM # 2020-016-R</t>
  </si>
  <si>
    <t>PN 2020-13</t>
  </si>
  <si>
    <t>MMWD-0015-2020</t>
  </si>
  <si>
    <t>076 - 2020</t>
  </si>
  <si>
    <t>20JBG0040</t>
  </si>
  <si>
    <t>2020-06-0337</t>
  </si>
  <si>
    <t>101-20-03-068</t>
  </si>
  <si>
    <t>2020-061103</t>
  </si>
  <si>
    <t>INFRA-20-47</t>
  </si>
  <si>
    <t>2020-061101</t>
  </si>
  <si>
    <t>2020-061102</t>
  </si>
  <si>
    <t>2020-061104</t>
  </si>
  <si>
    <t>2020-SVP-005</t>
  </si>
  <si>
    <t>TAGABAKID-2020-01</t>
  </si>
  <si>
    <t>2020-061106</t>
  </si>
  <si>
    <t>2020-061105</t>
  </si>
  <si>
    <t>KB-INFRA-2020-06</t>
  </si>
  <si>
    <t>101-20-06-149</t>
  </si>
  <si>
    <t>001-01-2020</t>
  </si>
  <si>
    <t>2020-6-270</t>
  </si>
  <si>
    <t>20-02</t>
  </si>
  <si>
    <t>2020-06-157</t>
  </si>
  <si>
    <t>PR#20-083</t>
  </si>
  <si>
    <t>Cas007-2020</t>
  </si>
  <si>
    <t>20-06-028TF</t>
  </si>
  <si>
    <t>PR 03-3299</t>
  </si>
  <si>
    <t>Bid No. 20-0276</t>
  </si>
  <si>
    <t>2020-06-0071</t>
  </si>
  <si>
    <t>20-0040-06</t>
  </si>
  <si>
    <t>20-06-0012</t>
  </si>
  <si>
    <t>101-20-06-152</t>
  </si>
  <si>
    <t>2020-PBGOODS-05-006</t>
  </si>
  <si>
    <t>2020-6-273</t>
  </si>
  <si>
    <t>INFRA 2020-001</t>
  </si>
  <si>
    <t>RFQ-DARFO12-2020-0502</t>
  </si>
  <si>
    <t>101-20-06-145</t>
  </si>
  <si>
    <t>20-06-0010</t>
  </si>
  <si>
    <t>wawa2sk-001</t>
  </si>
  <si>
    <t>20-06-027TF</t>
  </si>
  <si>
    <t>20-06-0015</t>
  </si>
  <si>
    <t>SN-2020-06-011</t>
  </si>
  <si>
    <t>PR 03-3298</t>
  </si>
  <si>
    <t>SV-0732-2020</t>
  </si>
  <si>
    <t>PR#20-082</t>
  </si>
  <si>
    <t>12-01-2020-06-557</t>
  </si>
  <si>
    <t>2020-032J</t>
  </si>
  <si>
    <t>20-NFA-EPS-06-001</t>
  </si>
  <si>
    <t>20A-02-0039</t>
  </si>
  <si>
    <t>PR 03-3301</t>
  </si>
  <si>
    <t>20-06-0011</t>
  </si>
  <si>
    <t>60011012020</t>
  </si>
  <si>
    <t>PR#20-079</t>
  </si>
  <si>
    <t>PR#20-078</t>
  </si>
  <si>
    <t>101-20-06-154</t>
  </si>
  <si>
    <t>RFQ-DARFO12-2020-0503</t>
  </si>
  <si>
    <t>Bid No. 20-0277</t>
  </si>
  <si>
    <t>6112020-024</t>
  </si>
  <si>
    <t>PR No. 14115 - 060920</t>
  </si>
  <si>
    <t>20CN0149</t>
  </si>
  <si>
    <t>06-0032-20</t>
  </si>
  <si>
    <t>2020-06-11-009</t>
  </si>
  <si>
    <t>080-2020</t>
  </si>
  <si>
    <t>PB-2020-06-002</t>
  </si>
  <si>
    <t>20013012020</t>
  </si>
  <si>
    <t>19A-12-1158</t>
  </si>
  <si>
    <t>PR 03-3300</t>
  </si>
  <si>
    <t>20013032020</t>
  </si>
  <si>
    <t>20013022020</t>
  </si>
  <si>
    <t>26-2020</t>
  </si>
  <si>
    <t>RFQ-DARFO12-2020-0504</t>
  </si>
  <si>
    <t>28-2020</t>
  </si>
  <si>
    <t>RFQ-DARFO12-2020-0505</t>
  </si>
  <si>
    <t>2020-03004</t>
  </si>
  <si>
    <t>2020-0041</t>
  </si>
  <si>
    <t>2020-RFQ-005</t>
  </si>
  <si>
    <t>2020-0249</t>
  </si>
  <si>
    <t>20A-02-0035</t>
  </si>
  <si>
    <t>20-06-139</t>
  </si>
  <si>
    <t>20A-01-0011</t>
  </si>
  <si>
    <t>PR#20-081</t>
  </si>
  <si>
    <t>INF-16-June 11, 2020</t>
  </si>
  <si>
    <t>RFQ 2020-100</t>
  </si>
  <si>
    <t>2020-0045</t>
  </si>
  <si>
    <t>SV-0725-2020</t>
  </si>
  <si>
    <t>19A-10-0953</t>
  </si>
  <si>
    <t>PR0057-20 PAGRO REBID</t>
  </si>
  <si>
    <t>RFQ-DARFO12-2020-0506</t>
  </si>
  <si>
    <t>VIN BAC 026-2020</t>
  </si>
  <si>
    <t>27-2020</t>
  </si>
  <si>
    <t>RFQ NO. 2020-06-141</t>
  </si>
  <si>
    <t>P.R. No. 2020-06-057</t>
  </si>
  <si>
    <t>SN-2020-06-012</t>
  </si>
  <si>
    <t>RFQ-DARFO12-2020-0508</t>
  </si>
  <si>
    <t>RFQ-DARFO12-2020-0507</t>
  </si>
  <si>
    <t>PR#20-080</t>
  </si>
  <si>
    <t>2020 -</t>
  </si>
  <si>
    <t>29-2020</t>
  </si>
  <si>
    <t>PR#20-077</t>
  </si>
  <si>
    <t>RFQ-DARFO12-2020-0510</t>
  </si>
  <si>
    <t>UPLB-RQ-6-124-20-RES CHEMICALS &amp; CHEMICAL PRODUCTS</t>
  </si>
  <si>
    <t>RQ 06-081</t>
  </si>
  <si>
    <t>INF-17-June 11, 2020</t>
  </si>
  <si>
    <t>IB No. 01-2020</t>
  </si>
  <si>
    <t>RFQ-DARFO12-2020-0509</t>
  </si>
  <si>
    <t>2020-06-11A</t>
  </si>
  <si>
    <t>RFQ-NP-SVP-245-2020</t>
  </si>
  <si>
    <t>RFQ-DARFO12-2020-0512</t>
  </si>
  <si>
    <t>UPLB-RQ-6-123-20-RES LABORATORY SUPPLIES &amp; EQUIPME</t>
  </si>
  <si>
    <t>BRGY. CAPAYAWAN- INFRA- 2020-01</t>
  </si>
  <si>
    <t>PR 20-06-0173</t>
  </si>
  <si>
    <t>30-2020</t>
  </si>
  <si>
    <t>RFQ 2020-101</t>
  </si>
  <si>
    <t>VIN BAC 024-2020</t>
  </si>
  <si>
    <t>MG-PLM20-074</t>
  </si>
  <si>
    <t>RFQ-DARFO12-2020-0511</t>
  </si>
  <si>
    <t>MG-PLM20-071</t>
  </si>
  <si>
    <t>MG-PLM20-084</t>
  </si>
  <si>
    <t>MG-PLM20-082</t>
  </si>
  <si>
    <t>ATI-RTC 2020-0034</t>
  </si>
  <si>
    <t>LGU Valencia, Bohol 2020 - 059</t>
  </si>
  <si>
    <t>RQ 06-082</t>
  </si>
  <si>
    <t>MG-PLM20-081</t>
  </si>
  <si>
    <t>MG-PLM20-079</t>
  </si>
  <si>
    <t>CRF No. 20-004</t>
  </si>
  <si>
    <t>2020-06-11B</t>
  </si>
  <si>
    <t>MG-PLM20-085</t>
  </si>
  <si>
    <t>RFQ - CPR No. GS-27-32-33-34-39-41-43-47-49-52-58-</t>
  </si>
  <si>
    <t>ITB NO. 2020-0014N</t>
  </si>
  <si>
    <t>RFQ-DARFO12-2020-0513</t>
  </si>
  <si>
    <t>MG-PLM20-096</t>
  </si>
  <si>
    <t>2020-06-0338</t>
  </si>
  <si>
    <t>06-2020-002</t>
  </si>
  <si>
    <t>RQ 06-097</t>
  </si>
  <si>
    <t>PB-2020-06-003</t>
  </si>
  <si>
    <t>2020-6-1441</t>
  </si>
  <si>
    <t>INFR-019-2020</t>
  </si>
  <si>
    <t>S1-A1-002</t>
  </si>
  <si>
    <t>ATI-RTC 2020-0035</t>
  </si>
  <si>
    <t>DTI-IS -2020-05</t>
  </si>
  <si>
    <t>ITB-2020-06-15</t>
  </si>
  <si>
    <t>061-20</t>
  </si>
  <si>
    <t>Cas008-2020</t>
  </si>
  <si>
    <t>BP2020-001</t>
  </si>
  <si>
    <t>FPMD-2020-06-0289</t>
  </si>
  <si>
    <t>FPR-20-037/038/048-052/060/074</t>
  </si>
  <si>
    <t>RQ 06-099</t>
  </si>
  <si>
    <t>2020-07-007</t>
  </si>
  <si>
    <t>2020-06-0339</t>
  </si>
  <si>
    <t>GOODS 2020-18</t>
  </si>
  <si>
    <t>JHS - 001 - 06 - 2020</t>
  </si>
  <si>
    <t>PB-Sparts-2020-03</t>
  </si>
  <si>
    <t>waw 2- 01 -002 CLWC</t>
  </si>
  <si>
    <t>2020-06-0560</t>
  </si>
  <si>
    <t>RFQ - 2020-06 - 042</t>
  </si>
  <si>
    <t>037-LGU-LAOANG-2020</t>
  </si>
  <si>
    <t>2020-06-0340</t>
  </si>
  <si>
    <t>RFQ-DARFO12-2020-0514</t>
  </si>
  <si>
    <t>20-05-203</t>
  </si>
  <si>
    <t>JHS - 002 - 06 - 2020</t>
  </si>
  <si>
    <t>2020-090</t>
  </si>
  <si>
    <t>Bid No. 20-0278</t>
  </si>
  <si>
    <t>BAC-IB 2020-31</t>
  </si>
  <si>
    <t>RFQ 2020-102</t>
  </si>
  <si>
    <t>DENR XII-SP-23-2020</t>
  </si>
  <si>
    <t>2020-06-0069</t>
  </si>
  <si>
    <t>60011022020</t>
  </si>
  <si>
    <t>20-06-SO102</t>
  </si>
  <si>
    <t>20-00043</t>
  </si>
  <si>
    <t>2020-06-0070</t>
  </si>
  <si>
    <t>794</t>
  </si>
  <si>
    <t>2020-LUZON-003</t>
  </si>
  <si>
    <t>2020-LUZON-004</t>
  </si>
  <si>
    <t>JHS -003 - 06 - 2020</t>
  </si>
  <si>
    <t>520200302592</t>
  </si>
  <si>
    <t>017</t>
  </si>
  <si>
    <t>CA-20-06-33</t>
  </si>
  <si>
    <t>20KB0165</t>
  </si>
  <si>
    <t>cal06102020-01</t>
  </si>
  <si>
    <t>061120</t>
  </si>
  <si>
    <t>60011032020</t>
  </si>
  <si>
    <t>02-07-2020</t>
  </si>
  <si>
    <t>MOB-BAC-2020-06-021-INFRA</t>
  </si>
  <si>
    <t>ITB GOODS 20-06-009</t>
  </si>
  <si>
    <t>ATI-RTC 2020-0036</t>
  </si>
  <si>
    <t>Bid No. 20-0279</t>
  </si>
  <si>
    <t>PR 2020-03-038</t>
  </si>
  <si>
    <t>20-NFA-EPS-06-002</t>
  </si>
  <si>
    <t>PR 2020-03-044</t>
  </si>
  <si>
    <t>PR 2020-03-043</t>
  </si>
  <si>
    <t>GEPS-008-2020</t>
  </si>
  <si>
    <t>20PI0096</t>
  </si>
  <si>
    <t>2020-6-1430</t>
  </si>
  <si>
    <t>pn 2020-14</t>
  </si>
  <si>
    <t>PR 2020-03-042</t>
  </si>
  <si>
    <t>07</t>
  </si>
  <si>
    <t>LGU - Quirino INFRA 2020 - 004</t>
  </si>
  <si>
    <t>NF 2006-0210</t>
  </si>
  <si>
    <t>philgeps06112020</t>
  </si>
  <si>
    <t>RFQ-DARFO12-2020-0515</t>
  </si>
  <si>
    <t>PN 2020-15</t>
  </si>
  <si>
    <t>LGU - Quirino INFRA 2020 - 005</t>
  </si>
  <si>
    <t>Bid No. 20-0280</t>
  </si>
  <si>
    <t>2020-6-1431</t>
  </si>
  <si>
    <t>20-06-233</t>
  </si>
  <si>
    <t>NF 2006-0211</t>
  </si>
  <si>
    <t>PILAR-20-06-004</t>
  </si>
  <si>
    <t>20KB0166</t>
  </si>
  <si>
    <t>061020</t>
  </si>
  <si>
    <t>#096</t>
  </si>
  <si>
    <t>#150</t>
  </si>
  <si>
    <t>2020-321</t>
  </si>
  <si>
    <t>2020-104-4</t>
  </si>
  <si>
    <t>2020-0056</t>
  </si>
  <si>
    <t>20-06-068</t>
  </si>
  <si>
    <t>RFQ-DARFO12-2020-0516</t>
  </si>
  <si>
    <t>2020-54-9</t>
  </si>
  <si>
    <t>BAC-PG-002-20</t>
  </si>
  <si>
    <t>PAD (ESP) FUND 2020-06-33</t>
  </si>
  <si>
    <t>29654</t>
  </si>
  <si>
    <t>RFQ-DARFO12-2020-0518</t>
  </si>
  <si>
    <t>2020-GOODS-NP-64</t>
  </si>
  <si>
    <t>ADO FUND 2020-05-08</t>
  </si>
  <si>
    <t>RFQ-DARFO12-2020-0517</t>
  </si>
  <si>
    <t>CA-20-06-36</t>
  </si>
  <si>
    <t>2020-050</t>
  </si>
  <si>
    <t>MR2020-06-001</t>
  </si>
  <si>
    <t>ITB 20-06-003</t>
  </si>
  <si>
    <t>CA-20-06-34</t>
  </si>
  <si>
    <t>RFQ-DARFO12-2020-0520</t>
  </si>
  <si>
    <t>RFQ-DARFO12-2020-0519</t>
  </si>
  <si>
    <t>O-020-008</t>
  </si>
  <si>
    <t>CA-20-06-35</t>
  </si>
  <si>
    <t>CA-20-06-37</t>
  </si>
  <si>
    <t>2020-49</t>
  </si>
  <si>
    <t>2020-RFQ-007</t>
  </si>
  <si>
    <t>RFQ-DARFO12-2020-0521</t>
  </si>
  <si>
    <t>#106</t>
  </si>
  <si>
    <t>SUBM#2020 -06 - 15</t>
  </si>
  <si>
    <t>TAS20-06-156</t>
  </si>
  <si>
    <t>2020-GOODS-NP-68</t>
  </si>
  <si>
    <t>2020-Barangay new mahayag-03</t>
  </si>
  <si>
    <t>I.D. NO. –June10-2020-471</t>
  </si>
  <si>
    <t>PR 2020-03-048</t>
  </si>
  <si>
    <t>ADMIN FUND 2020-06-36A</t>
  </si>
  <si>
    <t>PR 2020-03-045</t>
  </si>
  <si>
    <t>I.D. NO. –June10-2020-467</t>
  </si>
  <si>
    <t>2020-MS-101</t>
  </si>
  <si>
    <t>2020-GOODS-NP-66</t>
  </si>
  <si>
    <t>ITB 20-06-004</t>
  </si>
  <si>
    <t>ADMIN FUND 2020-06-39</t>
  </si>
  <si>
    <t>2020-GOODS-NP-67</t>
  </si>
  <si>
    <t>PR 2020-03-052</t>
  </si>
  <si>
    <t>PR NO. 2020-06-0273</t>
  </si>
  <si>
    <t>SAF-2020-01</t>
  </si>
  <si>
    <t>335410</t>
  </si>
  <si>
    <t>2020-GOODS-NP-70</t>
  </si>
  <si>
    <t>PR 2020-03-053</t>
  </si>
  <si>
    <t>PR No. 2020-06-144</t>
  </si>
  <si>
    <t>rfq#2020-02-1,312-pgo-pictd</t>
  </si>
  <si>
    <t>2020-06-0341</t>
  </si>
  <si>
    <t>145-2020</t>
  </si>
  <si>
    <t>PR 2020-04-059</t>
  </si>
  <si>
    <t>146-2020</t>
  </si>
  <si>
    <t>I.D. NO. –June10-2020-468</t>
  </si>
  <si>
    <t>PR-OE-2020-6-09</t>
  </si>
  <si>
    <t>rfq#2020-03-1,611-provl agriculture office</t>
  </si>
  <si>
    <t>PROCUREMENT OF GENUINE HP TONER CARTRIDGES (For Ex</t>
  </si>
  <si>
    <t>LGU - Quirino GOODS 2020 - 003</t>
  </si>
  <si>
    <t>06112020</t>
  </si>
  <si>
    <t>2020-06-0017</t>
  </si>
  <si>
    <t>BAC-20-06-052 (PMED-UNPF)</t>
  </si>
  <si>
    <t>PR 2020-04-060</t>
  </si>
  <si>
    <t>DENR XII-SP-24-2020</t>
  </si>
  <si>
    <t>I.D. NO. –June10-2020-472</t>
  </si>
  <si>
    <t>RFQ - PR No. 2020-06-0109 dated 6-10-20</t>
  </si>
  <si>
    <t>I.D. NO. –June10-2020-473</t>
  </si>
  <si>
    <t>PR 2020-05-068</t>
  </si>
  <si>
    <t>RFQ-NP-SVP-243-2020</t>
  </si>
  <si>
    <t>PR 2020-04-064</t>
  </si>
  <si>
    <t>147-2020</t>
  </si>
  <si>
    <t>PR 2020-05-069</t>
  </si>
  <si>
    <t>rfq#2020-05-2,530-pgo-inremp-ptas</t>
  </si>
  <si>
    <t>rfq#2020-05-2,499-pswdo</t>
  </si>
  <si>
    <t>SEF-G-026-2020</t>
  </si>
  <si>
    <t>PRDP-PSO-Admin-2020-05-017 (AF)</t>
  </si>
  <si>
    <t>itb no. 2020-14</t>
  </si>
  <si>
    <t>NFA-PBAC-2K-06-002</t>
  </si>
  <si>
    <t>I.D. NO. –June10-2020-474</t>
  </si>
  <si>
    <t>01-01-2020-06-559</t>
  </si>
  <si>
    <t>RFQ-DARFO12-2020-0522</t>
  </si>
  <si>
    <t>PILAR-20-06-005</t>
  </si>
  <si>
    <t>RFQ-NP-SVP-242-2020</t>
  </si>
  <si>
    <t>I.D. NO. –June10-2020-469</t>
  </si>
  <si>
    <t>101-20-06-144</t>
  </si>
  <si>
    <t>itb no. 2020-15</t>
  </si>
  <si>
    <t>PR 2020-05-084</t>
  </si>
  <si>
    <t>PR 2020-05-083</t>
  </si>
  <si>
    <t>ITB GOODS 20-06-010</t>
  </si>
  <si>
    <t>PR# 20-06-0604</t>
  </si>
  <si>
    <t>06-11-2020-207</t>
  </si>
  <si>
    <t>PUBLIC BIDDING PR NO. 110-2020</t>
  </si>
  <si>
    <t>PR 2020-05-078</t>
  </si>
  <si>
    <t>I.D. NO. –June10-2020-470</t>
  </si>
  <si>
    <t>itb no. 2020-16</t>
  </si>
  <si>
    <t>RFQ-NP-SVP-244-2020</t>
  </si>
  <si>
    <t>06-11-2020-209</t>
  </si>
  <si>
    <t>PR 2020-05-081</t>
  </si>
  <si>
    <t>20Fk0054</t>
  </si>
  <si>
    <t>RFQ-DARFO12-2020-0524</t>
  </si>
  <si>
    <t>CMO(ADM)-20-040NP/SV)</t>
  </si>
  <si>
    <t>2020-06-063</t>
  </si>
  <si>
    <t>RFQ-DARFO12-2020-0525</t>
  </si>
  <si>
    <t>RFQ-NP-SVP-1re-135-2020</t>
  </si>
  <si>
    <t>RFQ-2020-G-130</t>
  </si>
  <si>
    <t>023-FTC 2020</t>
  </si>
  <si>
    <t>Ivitation to Bid 06-2020</t>
  </si>
  <si>
    <t>101-20-06-141</t>
  </si>
  <si>
    <t>brgy20200213</t>
  </si>
  <si>
    <t>RFQ-NP-SVP-rere135-2020</t>
  </si>
  <si>
    <t>PR 2020-05-093</t>
  </si>
  <si>
    <t>PR 2020-05-090</t>
  </si>
  <si>
    <t>RFQ-DARFO12-2020-0523</t>
  </si>
  <si>
    <t>RFQ-2020-G-142</t>
  </si>
  <si>
    <t>06-11-2020-208</t>
  </si>
  <si>
    <t>20-06-141</t>
  </si>
  <si>
    <t>RFQ - PR No. 2020-06-0112 dated 6-10-20</t>
  </si>
  <si>
    <t>PR 2020-05-092</t>
  </si>
  <si>
    <t>PR 2020-05-094</t>
  </si>
  <si>
    <t>LGU BASILISA - 2020 - 0122</t>
  </si>
  <si>
    <t>LGU BASILISA - 2020 - 0123</t>
  </si>
  <si>
    <t>2020-PR-95</t>
  </si>
  <si>
    <t>CGSO-20-026(NP/SV)</t>
  </si>
  <si>
    <t>PR 2020-06-097</t>
  </si>
  <si>
    <t>003-07-2020</t>
  </si>
  <si>
    <t>20-06-332</t>
  </si>
  <si>
    <t>I.D. NO. –June10-2020-475</t>
  </si>
  <si>
    <t>PR 2020-05-095</t>
  </si>
  <si>
    <t>SRF2020-02</t>
  </si>
  <si>
    <t>2020-B5-02</t>
  </si>
  <si>
    <t>04-RFQ-2020</t>
  </si>
  <si>
    <t>2020-B5-01</t>
  </si>
  <si>
    <t>RFQ-DARFO12-2020-0527</t>
  </si>
  <si>
    <t>BAC-20-06-053(IMCD)</t>
  </si>
  <si>
    <t>I.D. NO. –June10-2020-476</t>
  </si>
  <si>
    <t>RFQ-DARFO12-2020-0528</t>
  </si>
  <si>
    <t>CEISS-RMICTE-1107-20</t>
  </si>
  <si>
    <t>RFQ-DARFO12-2020-0526</t>
  </si>
  <si>
    <t>2020-B5-03</t>
  </si>
  <si>
    <t>20FK0055</t>
  </si>
  <si>
    <t>ITB GOODS 20-06-011</t>
  </si>
  <si>
    <t>2020-58-001</t>
  </si>
  <si>
    <t>20 06 009b</t>
  </si>
  <si>
    <t>2020-021 CLA</t>
  </si>
  <si>
    <t>20-293</t>
  </si>
  <si>
    <t>DA8-Goods-2020-40 (PR No. RICE 20-05-12-0686)</t>
  </si>
  <si>
    <t>024-FTC 2020</t>
  </si>
  <si>
    <t>11-01-2020-06-505</t>
  </si>
  <si>
    <t>CMO-CDRRMO(C-3)19-009(NP/SV)</t>
  </si>
  <si>
    <t>CEO(MOTORPOOL)20-004(NP/SV)</t>
  </si>
  <si>
    <t>RFQ-DARFO12-2020-0529</t>
  </si>
  <si>
    <t>RFQ-DARFO12-2020-0530</t>
  </si>
  <si>
    <t>PR-OE-2020-06-08</t>
  </si>
  <si>
    <t>20-20</t>
  </si>
  <si>
    <t>ITB No. 2020-12-EFS</t>
  </si>
  <si>
    <t>43</t>
  </si>
  <si>
    <t>RFQ-DARFO12-2020-0531</t>
  </si>
  <si>
    <t>SEC PB 2020-011</t>
  </si>
  <si>
    <t>RFQ-DARFO12-2020-0532</t>
  </si>
  <si>
    <t>0538</t>
  </si>
  <si>
    <t>PN 2020-16</t>
  </si>
  <si>
    <t>CA-20-06-38</t>
  </si>
  <si>
    <t>2020-62 (GAS)</t>
  </si>
  <si>
    <t>ITB # 2020 - 001</t>
  </si>
  <si>
    <t>06112020-A</t>
  </si>
  <si>
    <t>0547</t>
  </si>
  <si>
    <t>2020-15 Lot 1</t>
  </si>
  <si>
    <t>PR 2020-03-049</t>
  </si>
  <si>
    <t>20-301</t>
  </si>
  <si>
    <t>056-20</t>
  </si>
  <si>
    <t>DA8-Goods-2020-41 (PR No. HVCDP 20-04-28-0551)</t>
  </si>
  <si>
    <t>LTO-SU-20-036</t>
  </si>
  <si>
    <t>SL-2020-007</t>
  </si>
  <si>
    <t>0106112020</t>
  </si>
  <si>
    <t>20-300</t>
  </si>
  <si>
    <t>0671</t>
  </si>
  <si>
    <t>RFQ-DARFO12-2020-0533</t>
  </si>
  <si>
    <t>CEO(MAINT)20-008(NP/SV)</t>
  </si>
  <si>
    <t>PR 02-20-077</t>
  </si>
  <si>
    <t>CVO-20-029(NP/SV)</t>
  </si>
  <si>
    <t>001-S2020</t>
  </si>
  <si>
    <t>SEC PB 2020-012</t>
  </si>
  <si>
    <t>057-20</t>
  </si>
  <si>
    <t>ITB-0611 #1 Package 48</t>
  </si>
  <si>
    <t>SL-2020-006</t>
  </si>
  <si>
    <t>2020-033J</t>
  </si>
  <si>
    <t>2020-101-049</t>
  </si>
  <si>
    <t>CVO-20-019(NP/SV)</t>
  </si>
  <si>
    <t>DOH4A-RFQ-TFB-2020-007</t>
  </si>
  <si>
    <t>60011042020</t>
  </si>
  <si>
    <t>PR 2020-04-061</t>
  </si>
  <si>
    <t>SRAVIS 20-06-279</t>
  </si>
  <si>
    <t>PR 03-20-007</t>
  </si>
  <si>
    <t>60011052020</t>
  </si>
  <si>
    <t>20CI0095</t>
  </si>
  <si>
    <t>CMO-CDRRMO(C)20-004(NP/SV)</t>
  </si>
  <si>
    <t>2020-15 Lot 2</t>
  </si>
  <si>
    <t>2020svp - 220-516</t>
  </si>
  <si>
    <t>NFW-05-016-20</t>
  </si>
  <si>
    <t>20-299</t>
  </si>
  <si>
    <t>CA-20-06-39</t>
  </si>
  <si>
    <t>BAC-20-06-054 (IMCD)</t>
  </si>
  <si>
    <t>20CI0094</t>
  </si>
  <si>
    <t>(2FB)N20-06-035 PURCHASE OF HORMONES ANTAGONISTS M</t>
  </si>
  <si>
    <t>20CI0096</t>
  </si>
  <si>
    <t>ITB-0611 #2 Package 49</t>
  </si>
  <si>
    <t>CVO-20-022(NP/SV)</t>
  </si>
  <si>
    <t>CA-20-06-40</t>
  </si>
  <si>
    <t>2020-16</t>
  </si>
  <si>
    <t>CMO(ADM)20-057(NP/SV)</t>
  </si>
  <si>
    <t>20-154</t>
  </si>
  <si>
    <t>sra20 shipping permit</t>
  </si>
  <si>
    <t>ILI-2719-20</t>
  </si>
  <si>
    <t>20-297</t>
  </si>
  <si>
    <t>pal-20-06-010</t>
  </si>
  <si>
    <t>20-298</t>
  </si>
  <si>
    <t>6-20-36</t>
  </si>
  <si>
    <t>H-2020-06-02</t>
  </si>
  <si>
    <t>60011062020</t>
  </si>
  <si>
    <t>20PA0134</t>
  </si>
  <si>
    <t>mgc2020-infra040</t>
  </si>
  <si>
    <t>PBgoods015-2020</t>
  </si>
  <si>
    <t>CW-MP-13-2020</t>
  </si>
  <si>
    <t>2020-011-001</t>
  </si>
  <si>
    <t>BAC-20-06-055 (OED)</t>
  </si>
  <si>
    <t>2020-06-004 (SHOP)</t>
  </si>
  <si>
    <t>20-155</t>
  </si>
  <si>
    <t>20-296</t>
  </si>
  <si>
    <t>20R1017</t>
  </si>
  <si>
    <t>2020-06-006 (SHOP)</t>
  </si>
  <si>
    <t>CAC-20-053(SHOPPING)</t>
  </si>
  <si>
    <t>2020-06-007 (SHOP)</t>
  </si>
  <si>
    <t>2020-09 (20DI0129)</t>
  </si>
  <si>
    <t>REQ 2020-02 Supply, delivery and installation of s</t>
  </si>
  <si>
    <t>BAC 2020-06-39</t>
  </si>
  <si>
    <t>GEPS - 2020 - 78</t>
  </si>
  <si>
    <t>RFQ 007-2020</t>
  </si>
  <si>
    <t>20GAF0028SVP</t>
  </si>
  <si>
    <t>2020-09 (20DI0130)</t>
  </si>
  <si>
    <t>2020-06-008 (SHOP)</t>
  </si>
  <si>
    <t>20R1018</t>
  </si>
  <si>
    <t>ITB-0611 #3 Package 50</t>
  </si>
  <si>
    <t>2020-101-050</t>
  </si>
  <si>
    <t>2020-06-005 (SHOP)</t>
  </si>
  <si>
    <t>CEO(MOTORPOOL)20-018(NP/SV)</t>
  </si>
  <si>
    <t>2020-09 (20DI0131)</t>
  </si>
  <si>
    <t>FPR 20 - 055</t>
  </si>
  <si>
    <t>20CSPA001</t>
  </si>
  <si>
    <t>2020-09 (20DI0128)</t>
  </si>
  <si>
    <t>GEPS - 2020 - 79</t>
  </si>
  <si>
    <t>20-294</t>
  </si>
  <si>
    <t>INFRA 20-25A GENERAL FUND</t>
  </si>
  <si>
    <t>GA-BAC-AM # 2020-025</t>
  </si>
  <si>
    <t>2020-16-018</t>
  </si>
  <si>
    <t>20GAF0029SVP</t>
  </si>
  <si>
    <t>BCS-2020-0116</t>
  </si>
  <si>
    <t>BAC-0043-2020</t>
  </si>
  <si>
    <t>2020-09 (20DI0132)</t>
  </si>
  <si>
    <t>BAC 2020-06-40</t>
  </si>
  <si>
    <t>20R1019</t>
  </si>
  <si>
    <t>20-04-0288</t>
  </si>
  <si>
    <t>NFA-PBAC-2K-06-003</t>
  </si>
  <si>
    <t>RFQ No.: 2020-06-0470</t>
  </si>
  <si>
    <t>INFRA 20-26A DEVELOPMENT FUND</t>
  </si>
  <si>
    <t>20FN0099</t>
  </si>
  <si>
    <t>2020-09 (20DI0133)</t>
  </si>
  <si>
    <t>06-JO-095</t>
  </si>
  <si>
    <t>SEF-I-45-2020</t>
  </si>
  <si>
    <t>APR No. 100-20-06-378</t>
  </si>
  <si>
    <t>Bid No. 20-0281</t>
  </si>
  <si>
    <t>2020-63 (GAS)</t>
  </si>
  <si>
    <t>sj 2020 soe 011</t>
  </si>
  <si>
    <t>20FN0098</t>
  </si>
  <si>
    <t>ITB-0611 #4 Package 51</t>
  </si>
  <si>
    <t>20-04-0287</t>
  </si>
  <si>
    <t>20-156</t>
  </si>
  <si>
    <t>20</t>
  </si>
  <si>
    <t>GOODS-2020-131</t>
  </si>
  <si>
    <t>RFQ#2020-018</t>
  </si>
  <si>
    <t>GOODS2020-006</t>
  </si>
  <si>
    <t>GA-BAC-2020-IA-12</t>
  </si>
  <si>
    <t>20FN0100</t>
  </si>
  <si>
    <t>RFQ No.: 2020-06-0471</t>
  </si>
  <si>
    <t>APR No. 300-20-01-020</t>
  </si>
  <si>
    <t>PR-132-100-2020</t>
  </si>
  <si>
    <t>00206112020</t>
  </si>
  <si>
    <t>ITB-0611 #5 Package 52</t>
  </si>
  <si>
    <t>20FN0101</t>
  </si>
  <si>
    <t>P.R. No. 20-05-147</t>
  </si>
  <si>
    <t>0620-017</t>
  </si>
  <si>
    <t>BACSVP-12-2020</t>
  </si>
  <si>
    <t>DA8-Goods-2020-42 (PR No. CORN 20-05-29-0164)</t>
  </si>
  <si>
    <t>baccaoayan0120</t>
  </si>
  <si>
    <t>LGU - Quirino INFRA 2020 - 006</t>
  </si>
  <si>
    <t>ITB-0611 #6 Package 53</t>
  </si>
  <si>
    <t>2020-06-00467</t>
  </si>
  <si>
    <t>20FN0102</t>
  </si>
  <si>
    <t>RFQ#2020-019</t>
  </si>
  <si>
    <t>2020-06-3</t>
  </si>
  <si>
    <t>BCS-2020-0117</t>
  </si>
  <si>
    <t>ITB-0611 #1 Package 54</t>
  </si>
  <si>
    <t>SVP 2020-119</t>
  </si>
  <si>
    <t>20-157</t>
  </si>
  <si>
    <t>PNU2020-0052</t>
  </si>
  <si>
    <t>APR No. 100-20-05-376</t>
  </si>
  <si>
    <t>6-20-37</t>
  </si>
  <si>
    <t>darposoleyte_2020-01-0013</t>
  </si>
  <si>
    <t>S-20-04</t>
  </si>
  <si>
    <t>2020-09 (20DI0135)</t>
  </si>
  <si>
    <t>RFQ 2020-06-008</t>
  </si>
  <si>
    <t>2020-09 (20DI0134)</t>
  </si>
  <si>
    <t>BAC2020-10</t>
  </si>
  <si>
    <t>007-20</t>
  </si>
  <si>
    <t>APR No. 100-20-06-375</t>
  </si>
  <si>
    <t>2020-06-65</t>
  </si>
  <si>
    <t>BCS-2020-0119</t>
  </si>
  <si>
    <t>20-06-045</t>
  </si>
  <si>
    <t>GOODS-2020-132</t>
  </si>
  <si>
    <t>ITB-0611 #2 Package 55</t>
  </si>
  <si>
    <t>SEF-I-46-2020</t>
  </si>
  <si>
    <t>00306112020</t>
  </si>
  <si>
    <t>2020-09 (20DI0137)</t>
  </si>
  <si>
    <t>BCS-2020-0118</t>
  </si>
  <si>
    <t>2020-09 (20DI0138)</t>
  </si>
  <si>
    <t>2020-09 (20DI0136)</t>
  </si>
  <si>
    <t>BCS-2020-0120</t>
  </si>
  <si>
    <t>ITB-0611 #3 Package 56</t>
  </si>
  <si>
    <t>062920-01A</t>
  </si>
  <si>
    <t>pb-infra-2020-036</t>
  </si>
  <si>
    <t>APR No. 100-20-06-409</t>
  </si>
  <si>
    <t>2020-09 (20DI0139)</t>
  </si>
  <si>
    <t>C-001-20</t>
  </si>
  <si>
    <t>20NH0089(RE-AD)</t>
  </si>
  <si>
    <t>20DK0135</t>
  </si>
  <si>
    <t>062920-02B</t>
  </si>
  <si>
    <t>ITB-0611 #4 Package 57</t>
  </si>
  <si>
    <t>C-018-20</t>
  </si>
  <si>
    <t>2020-09 (20DI0142)</t>
  </si>
  <si>
    <t>mgc2020-infra041</t>
  </si>
  <si>
    <t>APR No. 100-20-06-391</t>
  </si>
  <si>
    <t>2020-09 (20DI0141)</t>
  </si>
  <si>
    <t>BAC-PROP-2020-05</t>
  </si>
  <si>
    <t>GOODS-2020-133</t>
  </si>
  <si>
    <t>INFR-020-2020</t>
  </si>
  <si>
    <t>APR No. 100-20-06-393</t>
  </si>
  <si>
    <t>2020-452</t>
  </si>
  <si>
    <t>2020-09 (20DI0140)</t>
  </si>
  <si>
    <t>INFR-021-2020</t>
  </si>
  <si>
    <t>2020-02-00122</t>
  </si>
  <si>
    <t>20DK0136</t>
  </si>
  <si>
    <t>SVP-20-36</t>
  </si>
  <si>
    <t>062320-03</t>
  </si>
  <si>
    <t>INFR-022-2020</t>
  </si>
  <si>
    <t>002-06-11-2020</t>
  </si>
  <si>
    <t>APR No. 100-20-06-399</t>
  </si>
  <si>
    <t>003-06-11-2020</t>
  </si>
  <si>
    <t>RFQ#2020-020</t>
  </si>
  <si>
    <t>2020-09 (20DI0143)</t>
  </si>
  <si>
    <t>MGB MIMA-20-011</t>
  </si>
  <si>
    <t>C-019-20</t>
  </si>
  <si>
    <t>LPP-20-036</t>
  </si>
  <si>
    <t>NDA-20-06-063-SM</t>
  </si>
  <si>
    <t>2020-453</t>
  </si>
  <si>
    <t>LSPUSinC-2020-021A</t>
  </si>
  <si>
    <t>2020-455</t>
  </si>
  <si>
    <t>2020-09 (20DI0144)</t>
  </si>
  <si>
    <t>2020-50</t>
  </si>
  <si>
    <t>RFQ#2020-021</t>
  </si>
  <si>
    <t>004-06-11-2020</t>
  </si>
  <si>
    <t>BFAR5BAC-2020-104</t>
  </si>
  <si>
    <t>062920-04</t>
  </si>
  <si>
    <t>2020 001</t>
  </si>
  <si>
    <t>F501-RO-049-20</t>
  </si>
  <si>
    <t>20-001</t>
  </si>
  <si>
    <t>100-18(06-29-2020)</t>
  </si>
  <si>
    <t>RFQ 2020-06-009</t>
  </si>
  <si>
    <t>APR No. 100-20-05-323</t>
  </si>
  <si>
    <t>0668</t>
  </si>
  <si>
    <t>0620</t>
  </si>
  <si>
    <t>MG-PLM20-083</t>
  </si>
  <si>
    <t>RSPQ NO. 2020-06-PRS-018</t>
  </si>
  <si>
    <t>Goods 0017-2020</t>
  </si>
  <si>
    <t>20-06-409</t>
  </si>
  <si>
    <t>RFQ#2020-022</t>
  </si>
  <si>
    <t>APR No. 100-20-06-382</t>
  </si>
  <si>
    <t>PR062000629</t>
  </si>
  <si>
    <t>100-18(06-29-2020)1</t>
  </si>
  <si>
    <t>SAM0022020</t>
  </si>
  <si>
    <t>062320-05</t>
  </si>
  <si>
    <t>005-06-11-2020</t>
  </si>
  <si>
    <t>RFQ#2020-023</t>
  </si>
  <si>
    <t>2020-454</t>
  </si>
  <si>
    <t>RFQ146 Procurment of Alcohol For use in response t</t>
  </si>
  <si>
    <t>20-06-10</t>
  </si>
  <si>
    <t>Goods 0024-2020</t>
  </si>
  <si>
    <t>PR No.20-0984</t>
  </si>
  <si>
    <t>OUS2020-05-050</t>
  </si>
  <si>
    <t>Goods 0025-2020</t>
  </si>
  <si>
    <t>RFQ-GS-20200605-01</t>
  </si>
  <si>
    <t>2020-06-66</t>
  </si>
  <si>
    <t>20GEF009 (Re-bid 1)</t>
  </si>
  <si>
    <t>AREA V- 2020- SVP-021</t>
  </si>
  <si>
    <t>0674</t>
  </si>
  <si>
    <t>C-053-2020</t>
  </si>
  <si>
    <t>20-06-410</t>
  </si>
  <si>
    <t>Goods 0023-2020</t>
  </si>
  <si>
    <t>06-11-20-215-29NLUC</t>
  </si>
  <si>
    <t>MG-PLM20-103</t>
  </si>
  <si>
    <t>GOODS-2020-134</t>
  </si>
  <si>
    <t>38</t>
  </si>
  <si>
    <t>2LSSM2020A-133</t>
  </si>
  <si>
    <t>2020-06-67</t>
  </si>
  <si>
    <t>20HH0135</t>
  </si>
  <si>
    <t>ITB 11-2020</t>
  </si>
  <si>
    <t>20HC0180</t>
  </si>
  <si>
    <t>2LSSM2020A-132</t>
  </si>
  <si>
    <t>HFEP ITB 2020-002</t>
  </si>
  <si>
    <t>CJR-004-2020</t>
  </si>
  <si>
    <t>0698</t>
  </si>
  <si>
    <t>APR No. 100-20-06-381</t>
  </si>
  <si>
    <t>RFQ-GS-20200605-02</t>
  </si>
  <si>
    <t>2LSSM2020A-135</t>
  </si>
  <si>
    <t>20-005</t>
  </si>
  <si>
    <t>2020-11-06-007OUS</t>
  </si>
  <si>
    <t>CJR-005-2020</t>
  </si>
  <si>
    <t>cat2020-002</t>
  </si>
  <si>
    <t>2LSSM2020A-134</t>
  </si>
  <si>
    <t>20EF0119</t>
  </si>
  <si>
    <t>20HH0136</t>
  </si>
  <si>
    <t>20GDK0034</t>
  </si>
  <si>
    <t>2020-116</t>
  </si>
  <si>
    <t>baccaoayan0220</t>
  </si>
  <si>
    <t>20GDK0035</t>
  </si>
  <si>
    <t>RFQ 2020-06-010</t>
  </si>
  <si>
    <t>TUB 0022020</t>
  </si>
  <si>
    <t>2020-11-06-006CA</t>
  </si>
  <si>
    <t>2020-12-05-004SRDI</t>
  </si>
  <si>
    <t>2020-118</t>
  </si>
  <si>
    <t>20EF0118</t>
  </si>
  <si>
    <t>CJR-006-2020</t>
  </si>
  <si>
    <t>2LSSM2020A-136</t>
  </si>
  <si>
    <t>20HH0138</t>
  </si>
  <si>
    <t>20CSE008</t>
  </si>
  <si>
    <t>2LSSM2020A-141</t>
  </si>
  <si>
    <t>2020-06-069</t>
  </si>
  <si>
    <t>20OD0191</t>
  </si>
  <si>
    <t>2LSSM2020A-138</t>
  </si>
  <si>
    <t>2LSSM2020A-139</t>
  </si>
  <si>
    <t>2LSSM2020A-140</t>
  </si>
  <si>
    <t>02-838-2020</t>
  </si>
  <si>
    <t>20HH0139</t>
  </si>
  <si>
    <t>2LSSM2020A-137</t>
  </si>
  <si>
    <t>2LSSM2020A-142</t>
  </si>
  <si>
    <t>PR 2020-05-086</t>
  </si>
  <si>
    <t>20MC0086</t>
  </si>
  <si>
    <t>OUS2020-05-050A</t>
  </si>
  <si>
    <t>2020-06-068</t>
  </si>
  <si>
    <t>G-2020-268</t>
  </si>
  <si>
    <t>VILLAPAN-2020-002</t>
  </si>
  <si>
    <t>RFQ 2020-06-011</t>
  </si>
  <si>
    <t>20EF0121</t>
  </si>
  <si>
    <t>ITB-2020-002</t>
  </si>
  <si>
    <t>PR 2020-05-087</t>
  </si>
  <si>
    <t>2LSSM2020A-170</t>
  </si>
  <si>
    <t>20EF0120</t>
  </si>
  <si>
    <t>2LSSM2020A-171</t>
  </si>
  <si>
    <t>2LSSM2020B-169</t>
  </si>
  <si>
    <t>RFQ-GS-20200323-02</t>
  </si>
  <si>
    <t>20-05-114 to 117</t>
  </si>
  <si>
    <t>SVP 20-1097-1</t>
  </si>
  <si>
    <t>20HH0140</t>
  </si>
  <si>
    <t>G-2020-341</t>
  </si>
  <si>
    <t>20-06-127</t>
  </si>
  <si>
    <t>20-06-3130</t>
  </si>
  <si>
    <t>PR-20-06-24</t>
  </si>
  <si>
    <t>G-2020-344</t>
  </si>
  <si>
    <t>2LSSM2020A-143</t>
  </si>
  <si>
    <t>20200611-28</t>
  </si>
  <si>
    <t>20DQ0112</t>
  </si>
  <si>
    <t>2LSSM2020A-176</t>
  </si>
  <si>
    <t>pinya 2020</t>
  </si>
  <si>
    <t>M2003-207</t>
  </si>
  <si>
    <t>BG-2020-11</t>
  </si>
  <si>
    <t>BG-2020-12</t>
  </si>
  <si>
    <t>I-2020-015</t>
  </si>
  <si>
    <t>G-2020-345</t>
  </si>
  <si>
    <t>20CSBG002</t>
  </si>
  <si>
    <t>PR 2020-05-088</t>
  </si>
  <si>
    <t>2LSSM2020A-175</t>
  </si>
  <si>
    <t>20DQ0113</t>
  </si>
  <si>
    <t>2LSSM2020A-172</t>
  </si>
  <si>
    <t>2LSSM2020A-173</t>
  </si>
  <si>
    <t>2LSSM2020A-174</t>
  </si>
  <si>
    <t>20DQ0115</t>
  </si>
  <si>
    <t>G-2020-346</t>
  </si>
  <si>
    <t>20CSBG003</t>
  </si>
  <si>
    <t>2LSSM2020A-177</t>
  </si>
  <si>
    <t>G-16-2020</t>
  </si>
  <si>
    <t>20DQ0114</t>
  </si>
  <si>
    <t>20CSJ002</t>
  </si>
  <si>
    <t>G-17-2020</t>
  </si>
  <si>
    <t>G-18-2020</t>
  </si>
  <si>
    <t>geps-2020-001</t>
  </si>
  <si>
    <t>20BG0147</t>
  </si>
  <si>
    <t>2LSSM2020A-178</t>
  </si>
  <si>
    <t>20CSJ003</t>
  </si>
  <si>
    <t>20DQ0116</t>
  </si>
  <si>
    <t>G-19-2020</t>
  </si>
  <si>
    <t>2LSSM2020A-179</t>
  </si>
  <si>
    <t>20CSBG004</t>
  </si>
  <si>
    <t>20E00084</t>
  </si>
  <si>
    <t>2LSSM2020A-180</t>
  </si>
  <si>
    <t>GSS-002-2020</t>
  </si>
  <si>
    <t>BG-2020-13</t>
  </si>
  <si>
    <t>2LSSM2020A-181</t>
  </si>
  <si>
    <t>20DQ0117</t>
  </si>
  <si>
    <t>NIAZDSIMO-DONGOS SIP PHASE III-CY 2018-025(GOODS)</t>
  </si>
  <si>
    <t>geps-2020-0001</t>
  </si>
  <si>
    <t>G-20-2020</t>
  </si>
  <si>
    <t>06-084-2020</t>
  </si>
  <si>
    <t>G-21-2020</t>
  </si>
  <si>
    <t>NIAZDSIMO-CANIPAY SIP PHASE VI - CY 2020-005 (INFR</t>
  </si>
  <si>
    <t>deguzman-0611-2020-1</t>
  </si>
  <si>
    <t>SNIS-Elem-2020-06-001</t>
  </si>
  <si>
    <t>cabanaetan-0611-2020-1</t>
  </si>
  <si>
    <t>38-2020</t>
  </si>
  <si>
    <t>2020-216-001</t>
  </si>
  <si>
    <t>2020-06-0102</t>
  </si>
  <si>
    <t>NIAZDSIMO-DONGOS SIP PHASE III-CY 2018-004 (INFRA)</t>
  </si>
  <si>
    <t>RFQ 2020-06-012</t>
  </si>
  <si>
    <t>202006093</t>
  </si>
  <si>
    <t>20GKC0007</t>
  </si>
  <si>
    <t>SPC PR NO. BSPD-2020-0003</t>
  </si>
  <si>
    <t>geps-2020-002</t>
  </si>
  <si>
    <t>2020-06-0101</t>
  </si>
  <si>
    <t>PB2020-007 (PR No. 19-10-1288 and 19-10-1296)</t>
  </si>
  <si>
    <t>GOODS-2020-06-10</t>
  </si>
  <si>
    <t>2020-245-001</t>
  </si>
  <si>
    <t>2020-GOODS-030</t>
  </si>
  <si>
    <t>2020-GOODS-031</t>
  </si>
  <si>
    <t>2020-06-0096</t>
  </si>
  <si>
    <t>2020-06-11-01</t>
  </si>
  <si>
    <t>2020-012-C</t>
  </si>
  <si>
    <t>2020-06-11-02</t>
  </si>
  <si>
    <t>2020-012-A</t>
  </si>
  <si>
    <t>DA RFO-1-2019-GOODS-053-N (b)</t>
  </si>
  <si>
    <t>2020-216-002</t>
  </si>
  <si>
    <t>2020-012-B</t>
  </si>
  <si>
    <t>20M00182</t>
  </si>
  <si>
    <t>20M00181</t>
  </si>
  <si>
    <t>DTI-IS 2020-007</t>
  </si>
  <si>
    <t>2020-GOODS-032</t>
  </si>
  <si>
    <t>2020-06-11-05</t>
  </si>
  <si>
    <t>DTI-IS 2020-006</t>
  </si>
  <si>
    <t>20GM00148</t>
  </si>
  <si>
    <t>20M00180</t>
  </si>
  <si>
    <t>20GM00146</t>
  </si>
  <si>
    <t>ITB2020-06-001</t>
  </si>
  <si>
    <t>RFQ 2020-06-013</t>
  </si>
  <si>
    <t>2020-06-11-04</t>
  </si>
  <si>
    <t>2020-06-11-03</t>
  </si>
  <si>
    <t>2020-2-0006</t>
  </si>
  <si>
    <t>O6112020</t>
  </si>
  <si>
    <t>20GM00147</t>
  </si>
  <si>
    <t>20GM00149</t>
  </si>
  <si>
    <t>IB 2020-07-007 PVSV</t>
  </si>
  <si>
    <t>20M00179</t>
  </si>
  <si>
    <t>LIMAO-BAC-07-20</t>
  </si>
  <si>
    <t>LIMAO-BAC-08-20</t>
  </si>
  <si>
    <t>DA7-2020-05-FOD-L-20-0295(R2)</t>
  </si>
  <si>
    <t>20CW-GSC-022</t>
  </si>
  <si>
    <t>Pb-001-20</t>
  </si>
  <si>
    <t>PEO-19-1501-B</t>
  </si>
  <si>
    <t>2020-AP-06-022</t>
  </si>
  <si>
    <t>DA7-2020-05-FOD-L-20-1271(R1)</t>
  </si>
  <si>
    <t>2020-AP-06-021</t>
  </si>
  <si>
    <t>PEO-19-1500-B</t>
  </si>
  <si>
    <t>SA2020-022</t>
  </si>
  <si>
    <t>2020-06-10-174</t>
  </si>
  <si>
    <t>DA7-2020-05-SAAD-20-0981(R2)</t>
  </si>
  <si>
    <t>2006086</t>
  </si>
  <si>
    <t>QIIREI2005-001</t>
  </si>
  <si>
    <t>1960-S3-06</t>
  </si>
  <si>
    <t>G-2020-040</t>
  </si>
  <si>
    <t>G-2020-039</t>
  </si>
  <si>
    <t>RFQ PR 1912-417</t>
  </si>
  <si>
    <t>100-20-03-0283</t>
  </si>
  <si>
    <t>2020-AP-06-020</t>
  </si>
  <si>
    <t>20GM00150</t>
  </si>
  <si>
    <t>2020-06-46A</t>
  </si>
  <si>
    <t>CRN 2020-01</t>
  </si>
  <si>
    <t>300-20-05-0496</t>
  </si>
  <si>
    <t>100-20-03-0312</t>
  </si>
  <si>
    <t>075 - 2020</t>
  </si>
  <si>
    <t>1870-S1-07</t>
  </si>
  <si>
    <t>1960-36-001</t>
  </si>
  <si>
    <t>PB-SP-EE-2020-13</t>
  </si>
  <si>
    <t>G-2020-042</t>
  </si>
  <si>
    <t>PB-GE1-2020-15</t>
  </si>
  <si>
    <t>PB-GB1-2020-14</t>
  </si>
  <si>
    <t>2020-041-snq</t>
  </si>
  <si>
    <t>2020-06-08-003</t>
  </si>
  <si>
    <t>sj 2020 b jul 001</t>
  </si>
  <si>
    <t>PB-GB1-2020-12</t>
  </si>
  <si>
    <t>127 - 2020</t>
  </si>
  <si>
    <t>G-2020-043</t>
  </si>
  <si>
    <t>20-062</t>
  </si>
  <si>
    <t>20-111</t>
  </si>
  <si>
    <t>PEO-19-1503-B</t>
  </si>
  <si>
    <t>20-120</t>
  </si>
  <si>
    <t>sj 2020 b jul 002</t>
  </si>
  <si>
    <t>DENR-ORMIN-016-2020</t>
  </si>
  <si>
    <t>2020-043-snq</t>
  </si>
  <si>
    <t>20-116</t>
  </si>
  <si>
    <t>20-108</t>
  </si>
  <si>
    <t>20-115</t>
  </si>
  <si>
    <t>2020-042-snq</t>
  </si>
  <si>
    <t>2020-044-snq</t>
  </si>
  <si>
    <t>20-112</t>
  </si>
  <si>
    <t>20-109</t>
  </si>
  <si>
    <t>20-113</t>
  </si>
  <si>
    <t>20-110</t>
  </si>
  <si>
    <t>J.R. 020-0051</t>
  </si>
  <si>
    <t>20-114</t>
  </si>
  <si>
    <t>20-123</t>
  </si>
  <si>
    <t>20-119</t>
  </si>
  <si>
    <t>LGU_Piddig_2020_040</t>
  </si>
  <si>
    <t>2020-0609-33G</t>
  </si>
  <si>
    <t>20-121</t>
  </si>
  <si>
    <t>2020-0609-32G</t>
  </si>
  <si>
    <t>20-122</t>
  </si>
  <si>
    <t>J.R. 020-0054</t>
  </si>
  <si>
    <t>J.R. 020-0053</t>
  </si>
  <si>
    <t>20-117</t>
  </si>
  <si>
    <t>20FO0100</t>
  </si>
  <si>
    <t>PB NO. 2020-033</t>
  </si>
  <si>
    <t>J.R. 020-0052</t>
  </si>
  <si>
    <t>20CSKK0004</t>
  </si>
  <si>
    <t>2020-06-65A</t>
  </si>
  <si>
    <t>164-20-06-92</t>
  </si>
  <si>
    <t>2020-06-55A</t>
  </si>
  <si>
    <t>20-118</t>
  </si>
  <si>
    <t>PB-CW-2020-06-18</t>
  </si>
  <si>
    <t>128 - 2020</t>
  </si>
  <si>
    <t>2020-06-56A</t>
  </si>
  <si>
    <t>2020-06-51A</t>
  </si>
  <si>
    <t>NOTD-2020-0137</t>
  </si>
  <si>
    <t>VET-2020-0098</t>
  </si>
  <si>
    <t>pmma-svp-34-20</t>
  </si>
  <si>
    <t>ITB2020-06-03</t>
  </si>
  <si>
    <t>AVRC-2020-07-0182</t>
  </si>
  <si>
    <t>5020399000-06-20-03</t>
  </si>
  <si>
    <t>2019-DII-ICSR#3-Alicia-Savings POW</t>
  </si>
  <si>
    <t>PAFF-2020-0080 &amp; 0081</t>
  </si>
  <si>
    <t>PESO-2020-0010</t>
  </si>
  <si>
    <t>msj-2020-18</t>
  </si>
  <si>
    <t>GOV-2020-0092</t>
  </si>
  <si>
    <t>2019-DII-ICSR#3-Angadanan-Savings POW</t>
  </si>
  <si>
    <t>HOD-2020-0386</t>
  </si>
  <si>
    <t>20-05-141</t>
  </si>
  <si>
    <t>20BF0059</t>
  </si>
  <si>
    <t>20BF0058</t>
  </si>
  <si>
    <t>2020-05-035</t>
  </si>
  <si>
    <t>RMHS-2020-06-25</t>
  </si>
  <si>
    <t>VET-2020-0140</t>
  </si>
  <si>
    <t>SVP 20-1097-4</t>
  </si>
  <si>
    <t>RMHS-2020-06-26</t>
  </si>
  <si>
    <t>20200601</t>
  </si>
  <si>
    <t>20-1097-2</t>
  </si>
  <si>
    <t>PEO-2020-0856</t>
  </si>
  <si>
    <t>DepED-RO6-D1- Hygiene and Sanitation Supplies-002-</t>
  </si>
  <si>
    <t>PR NO. 2020-06-015</t>
  </si>
  <si>
    <t>INFRA-NO. 01</t>
  </si>
  <si>
    <t>RE-IB No. MM-2020-017(m)</t>
  </si>
  <si>
    <t>ADMI-2020-0021</t>
  </si>
  <si>
    <t>BNLSL-LCB-05A-2019</t>
  </si>
  <si>
    <t>2020024</t>
  </si>
  <si>
    <t>RE-IB No. MM-2020-011(m)</t>
  </si>
  <si>
    <t>sanpedro123</t>
  </si>
  <si>
    <t>NEG. PROC. No. MM-2020-005(m)</t>
  </si>
  <si>
    <t>RE-IB No. MM-2020-013(m)</t>
  </si>
  <si>
    <t>BS 20-03-0498 &amp; 05-0651</t>
  </si>
  <si>
    <t>0373-20BAC</t>
  </si>
  <si>
    <t>RE-IB No. MM-2020-014(m)</t>
  </si>
  <si>
    <t>RE-IB No. MM-2020-018(m)</t>
  </si>
  <si>
    <t>20-05-145</t>
  </si>
  <si>
    <t>1110-20BAC</t>
  </si>
  <si>
    <t>SVP No. MM-2020-04-006</t>
  </si>
  <si>
    <t>1080-20BAC</t>
  </si>
  <si>
    <t>MG-A5M20-102</t>
  </si>
  <si>
    <t>BS 20-02-0193</t>
  </si>
  <si>
    <t>BS 20-03-0485</t>
  </si>
  <si>
    <t>SVP No. DD-2020-02-011(m)</t>
  </si>
  <si>
    <t>BS20-06-JS002</t>
  </si>
  <si>
    <t>BS 20-06-ME01</t>
  </si>
  <si>
    <t>BS2 0-06-GR003</t>
  </si>
  <si>
    <t>cgb2020-196</t>
  </si>
  <si>
    <t>cgb2020-195</t>
  </si>
  <si>
    <t>SVP No. K-2020-06-002</t>
  </si>
  <si>
    <t>cgb2020-197</t>
  </si>
  <si>
    <t>BS 20-06-OE005</t>
  </si>
  <si>
    <t>2020-101-047</t>
  </si>
  <si>
    <t>lgu-es-20-118</t>
  </si>
  <si>
    <t>101-2020-06-260</t>
  </si>
  <si>
    <t>SVP No. K-2020-06-006</t>
  </si>
  <si>
    <t>BS 20-06-OE006</t>
  </si>
  <si>
    <t>cgb2020-198</t>
  </si>
  <si>
    <t>SVP No. K-2020-06-003</t>
  </si>
  <si>
    <t>2020-05-0421 PPD-NHTU</t>
  </si>
  <si>
    <t>20CN0151</t>
  </si>
  <si>
    <t>Procurement of Courier Services for PSO Bukidnon 1</t>
  </si>
  <si>
    <t>PR 20-06-1672</t>
  </si>
  <si>
    <t>BS 20-02-0286</t>
  </si>
  <si>
    <t>101-2020-06-259</t>
  </si>
  <si>
    <t>020-002-002</t>
  </si>
  <si>
    <t>BS20-02-0192</t>
  </si>
  <si>
    <t>SanJoseBatsAeb2020-063</t>
  </si>
  <si>
    <t>2020-300-003</t>
  </si>
  <si>
    <t>12345</t>
  </si>
  <si>
    <t>cgb2020-199</t>
  </si>
  <si>
    <t>20CN0152</t>
  </si>
  <si>
    <t>020-006-001</t>
  </si>
  <si>
    <t>20CSPH01</t>
  </si>
  <si>
    <t>20CN0150</t>
  </si>
  <si>
    <t>101-2020-06-258</t>
  </si>
  <si>
    <t>PR 20-06-1673</t>
  </si>
  <si>
    <t>20FB0150</t>
  </si>
  <si>
    <t>SanJoseBatsAeb2020-065</t>
  </si>
  <si>
    <t>47151C</t>
  </si>
  <si>
    <t>2020-05-0427 PPD-NHTU</t>
  </si>
  <si>
    <t>2020-0610</t>
  </si>
  <si>
    <t>20-06-02</t>
  </si>
  <si>
    <t>San Joaquin-Goods-2020-02</t>
  </si>
  <si>
    <t>SanJoseBatsAeb2020-064</t>
  </si>
  <si>
    <t>ITB2020-06-04</t>
  </si>
  <si>
    <t>PRO2 BAC 2020-0601</t>
  </si>
  <si>
    <t>101-2020-06-268</t>
  </si>
  <si>
    <t>MPBRIS-LCB-08A-2019</t>
  </si>
  <si>
    <t>ITB2020-06-05</t>
  </si>
  <si>
    <t>ITB-MPR-Goods-2020-019</t>
  </si>
  <si>
    <t>2020-03-0236 SOCIAL PENSION</t>
  </si>
  <si>
    <t>baz-azds-20-06-015</t>
  </si>
  <si>
    <t>SanJoseBatsAeb2020-066</t>
  </si>
  <si>
    <t>1280-06-00127</t>
  </si>
  <si>
    <t>GOODS-NP-2020-091</t>
  </si>
  <si>
    <t>SanJoseBatsAeb2020-082</t>
  </si>
  <si>
    <t>BAG2020-06-002</t>
  </si>
  <si>
    <t>PR 06-3531</t>
  </si>
  <si>
    <t>ppn-086-2020</t>
  </si>
  <si>
    <t>2020 -01</t>
  </si>
  <si>
    <t>2020-06-298-10</t>
  </si>
  <si>
    <t>SR2020-005</t>
  </si>
  <si>
    <t>ITB2020-06-01 BRGY. SAN VICENTE</t>
  </si>
  <si>
    <t>072(A) - 2020</t>
  </si>
  <si>
    <t>cw-2020-015</t>
  </si>
  <si>
    <t>20-434</t>
  </si>
  <si>
    <t>2020-06-001-101</t>
  </si>
  <si>
    <t>2020-GOODS-NP-63</t>
  </si>
  <si>
    <t>2020-06-102</t>
  </si>
  <si>
    <t>RFQ-2020-06-024</t>
  </si>
  <si>
    <t>BAC-PGCS-007-2020</t>
  </si>
  <si>
    <t>Bid No. 20-0266</t>
  </si>
  <si>
    <t>ITB 2020-06-001</t>
  </si>
  <si>
    <t>BAC No. 07-05-2020</t>
  </si>
  <si>
    <t>GOODS-2020-19</t>
  </si>
  <si>
    <t>20-06-006</t>
  </si>
  <si>
    <t>2020-0149</t>
  </si>
  <si>
    <t>DARFO2.CVRC.115.REC.2020-06-669.00</t>
  </si>
  <si>
    <t>SR2020-006</t>
  </si>
  <si>
    <t>VET-2020-0123 &amp; 0124</t>
  </si>
  <si>
    <t>PR 06-3514</t>
  </si>
  <si>
    <t>20-435</t>
  </si>
  <si>
    <t>RFQ 2020-AS-06-019</t>
  </si>
  <si>
    <t>BAC LURO PR No. 2020-206</t>
  </si>
  <si>
    <t>DARFO2.CVRC.115.REC.2020-06-672.00</t>
  </si>
  <si>
    <t>OPA-2020-0277, 0280, 0281, 0282</t>
  </si>
  <si>
    <t>BMC-N-20-176</t>
  </si>
  <si>
    <t>PR NO. 2020-06-014</t>
  </si>
  <si>
    <t>BMC-N-20-177</t>
  </si>
  <si>
    <t>2020-0000-014</t>
  </si>
  <si>
    <t>106</t>
  </si>
  <si>
    <t>20GFD0007</t>
  </si>
  <si>
    <t>REF #040-06-2020</t>
  </si>
  <si>
    <t>2020-05-103</t>
  </si>
  <si>
    <t>20CSAI002</t>
  </si>
  <si>
    <t>20GFD0008</t>
  </si>
  <si>
    <t>2020-05-002-GF</t>
  </si>
  <si>
    <t>2020-06-0113</t>
  </si>
  <si>
    <t>ITB 2020-06-002</t>
  </si>
  <si>
    <t>ANTIPOLO-01JULY2020-01</t>
  </si>
  <si>
    <t>105</t>
  </si>
  <si>
    <t>PR-2020-05-748</t>
  </si>
  <si>
    <t>IB-GOODS-2020-09 Procurement of Drugs and Medicine</t>
  </si>
  <si>
    <t>20-06-007</t>
  </si>
  <si>
    <t>GFW-2020-06-018</t>
  </si>
  <si>
    <t>BMC-N-20-178</t>
  </si>
  <si>
    <t>06-013-20</t>
  </si>
  <si>
    <t>RFQ No. 2020-SVP-36</t>
  </si>
  <si>
    <t>OPA-2020-0251</t>
  </si>
  <si>
    <t>BAG2020-06-003</t>
  </si>
  <si>
    <t>2020-06-29</t>
  </si>
  <si>
    <t>INF ITB 20-028</t>
  </si>
  <si>
    <t>20-06-242</t>
  </si>
  <si>
    <t>2020-093</t>
  </si>
  <si>
    <t>ANTIPOLO-01JULY2020-03</t>
  </si>
  <si>
    <t>ANTIPOLO-01JULY2020-02</t>
  </si>
  <si>
    <t>SVP 2020-51</t>
  </si>
  <si>
    <t>2020-06-00021</t>
  </si>
  <si>
    <t>06-10-01</t>
  </si>
  <si>
    <t>COVID19-009</t>
  </si>
  <si>
    <t>2020-063</t>
  </si>
  <si>
    <t>SINS-G-2020-11</t>
  </si>
  <si>
    <t>DA3-2020-06-05-73</t>
  </si>
  <si>
    <t>PR NO. 2020-06-013</t>
  </si>
  <si>
    <t>2020-06-103</t>
  </si>
  <si>
    <t>ANTIPOLO-01JULY2020-04</t>
  </si>
  <si>
    <t>ANTIPOLO-01JULY2020-07</t>
  </si>
  <si>
    <t>PBI-2020-03</t>
  </si>
  <si>
    <t>ANTIPOLO-01JULY2020-05</t>
  </si>
  <si>
    <t>Infra-20-08</t>
  </si>
  <si>
    <t>06-10-02</t>
  </si>
  <si>
    <t>100-2006-1083</t>
  </si>
  <si>
    <t>CARC- 2020-GS-02</t>
  </si>
  <si>
    <t>2020-06-00023</t>
  </si>
  <si>
    <t>ANTIPOLO-01JULY2020-08</t>
  </si>
  <si>
    <t>2020-05-0423 RRCY</t>
  </si>
  <si>
    <t>ANTIPOLO-01JULY2020-06</t>
  </si>
  <si>
    <t>20-027</t>
  </si>
  <si>
    <t>0020-0139-0819B2020</t>
  </si>
  <si>
    <t>ANTIPOLO-01JULY2020-09</t>
  </si>
  <si>
    <t>PR 106-06-2020</t>
  </si>
  <si>
    <t>RFQ - PR No. 2020-06-0100 dated 6-9-20</t>
  </si>
  <si>
    <t>Bid No. 20-0267</t>
  </si>
  <si>
    <t>2020-155</t>
  </si>
  <si>
    <t>PBI-2020-06</t>
  </si>
  <si>
    <t>PBI-2020-05</t>
  </si>
  <si>
    <t>2020-06-0094</t>
  </si>
  <si>
    <t>20-028</t>
  </si>
  <si>
    <t>PBI-2020-04</t>
  </si>
  <si>
    <t>ANTIPOLO-01JULY2020-10</t>
  </si>
  <si>
    <t>2020-154</t>
  </si>
  <si>
    <t>RFQ for Goods and Services No. 2020-009</t>
  </si>
  <si>
    <t>ANTIPOLO-01JULY2020-11</t>
  </si>
  <si>
    <t>20-06-333</t>
  </si>
  <si>
    <t>2020-06-30</t>
  </si>
  <si>
    <t>PBI-2020-12</t>
  </si>
  <si>
    <t>INFRA-2020-10</t>
  </si>
  <si>
    <t>06-10-03</t>
  </si>
  <si>
    <t>BXU-2020-20</t>
  </si>
  <si>
    <t>20-06-008</t>
  </si>
  <si>
    <t>INFRA-2020-P3</t>
  </si>
  <si>
    <t>2020-06-121</t>
  </si>
  <si>
    <t>100(01)20-06-052(M)</t>
  </si>
  <si>
    <t>2020-05-104</t>
  </si>
  <si>
    <t>2020-160</t>
  </si>
  <si>
    <t>SVP2020-31</t>
  </si>
  <si>
    <t>CARC-2020-GS-03</t>
  </si>
  <si>
    <t>2020-158</t>
  </si>
  <si>
    <t>INFRA-11</t>
  </si>
  <si>
    <t>GFW-2020-06-019</t>
  </si>
  <si>
    <t>100(01)20-06-053(M)</t>
  </si>
  <si>
    <t>2020-SVP-002</t>
  </si>
  <si>
    <t>ITB No. 2020-008</t>
  </si>
  <si>
    <t>0020-0139-0819-2020</t>
  </si>
  <si>
    <t>RFQ - PR No. 2020-06-0107 dated 6-9-20</t>
  </si>
  <si>
    <t>ANTIPOLO-01JULY2020-12</t>
  </si>
  <si>
    <t>20K00349</t>
  </si>
  <si>
    <t>20-06-243</t>
  </si>
  <si>
    <t>0020-0056-0320-2020</t>
  </si>
  <si>
    <t>2020-166</t>
  </si>
  <si>
    <t>EMBR02-SVP-GGSS-MIS062020-009</t>
  </si>
  <si>
    <t>2020-167</t>
  </si>
  <si>
    <t>100(01)20-06-054(M)</t>
  </si>
  <si>
    <t>06-10-04</t>
  </si>
  <si>
    <t>lgu-es-20-119</t>
  </si>
  <si>
    <t>ANTIPOLO-01JULY2020-13</t>
  </si>
  <si>
    <t>CWD 24-2020</t>
  </si>
  <si>
    <t>2020-171</t>
  </si>
  <si>
    <t>20K00350</t>
  </si>
  <si>
    <t>GOODS-05</t>
  </si>
  <si>
    <t>DA7-2020-06-ILD-20-1946(R1)</t>
  </si>
  <si>
    <t>2020-172</t>
  </si>
  <si>
    <t>20GLD0035</t>
  </si>
  <si>
    <t>60010012020</t>
  </si>
  <si>
    <t>PR. 20-05-170 (2020-05-174 2ND QUOTE)</t>
  </si>
  <si>
    <t>IB 2020-027</t>
  </si>
  <si>
    <t>20K00351</t>
  </si>
  <si>
    <t>DENR-RFQMS-2020-031</t>
  </si>
  <si>
    <t>BXU-2020-21</t>
  </si>
  <si>
    <t>2020-06-120</t>
  </si>
  <si>
    <t>ANTIPOLO-01JULY2020-15</t>
  </si>
  <si>
    <t>ANTIPOLO-01JULY2020-14</t>
  </si>
  <si>
    <t>2020-173</t>
  </si>
  <si>
    <t>RFQ - Assorted Construction Materials for use in M</t>
  </si>
  <si>
    <t>GOODS-06</t>
  </si>
  <si>
    <t>SINS-G-2020-06</t>
  </si>
  <si>
    <t>INFRA-2020-022</t>
  </si>
  <si>
    <t>ATI-RTC 2020-0028</t>
  </si>
  <si>
    <t>06-10-05</t>
  </si>
  <si>
    <t>100-20-03-0353</t>
  </si>
  <si>
    <t>20-06-009</t>
  </si>
  <si>
    <t>06-10-06</t>
  </si>
  <si>
    <t>PR NO. 2020-06-012</t>
  </si>
  <si>
    <t>2020-001-06</t>
  </si>
  <si>
    <t>01-01-2020-06-546</t>
  </si>
  <si>
    <t>GOODS-07</t>
  </si>
  <si>
    <t>P.R. No. X1-20-03-187</t>
  </si>
  <si>
    <t>PR 110-06-2020</t>
  </si>
  <si>
    <t>20GLD0036</t>
  </si>
  <si>
    <t>4431-2020-03-09</t>
  </si>
  <si>
    <t>2020-178</t>
  </si>
  <si>
    <t>ITB No. 2020-009</t>
  </si>
  <si>
    <t>OPOL 2020-055</t>
  </si>
  <si>
    <t>20GE024G</t>
  </si>
  <si>
    <t>2020-192</t>
  </si>
  <si>
    <t>ANTIPOLO-01JULY2020-16</t>
  </si>
  <si>
    <t>GOODS-08</t>
  </si>
  <si>
    <t>BXU-2020-22</t>
  </si>
  <si>
    <t>2020-180</t>
  </si>
  <si>
    <t>RB-ITB-2020-001</t>
  </si>
  <si>
    <t>2020-002-06</t>
  </si>
  <si>
    <t>2020 Goods and Services No. 2020-010</t>
  </si>
  <si>
    <t>ANTIPOLO-01JULY2020-17</t>
  </si>
  <si>
    <t>337-06/08/2020</t>
  </si>
  <si>
    <t>2020-184</t>
  </si>
  <si>
    <t>2020-185</t>
  </si>
  <si>
    <t>2020-0017</t>
  </si>
  <si>
    <t>2020-05-106</t>
  </si>
  <si>
    <t>20GLD0037</t>
  </si>
  <si>
    <t>ANTIPOLO-01JULY2020-18</t>
  </si>
  <si>
    <t>2020-05-107</t>
  </si>
  <si>
    <t>BBU-2020-001</t>
  </si>
  <si>
    <t>0020-0139-0819A2020</t>
  </si>
  <si>
    <t>JAE-SVP-2020-04-0452 GAA</t>
  </si>
  <si>
    <t>20GLD0038</t>
  </si>
  <si>
    <t>2020-195</t>
  </si>
  <si>
    <t>INFRA-12</t>
  </si>
  <si>
    <t>RFQ - PR No. 2020-06-0103 dated 6-9-20</t>
  </si>
  <si>
    <t>2020-0018</t>
  </si>
  <si>
    <t>2020-197</t>
  </si>
  <si>
    <t>20HG0174</t>
  </si>
  <si>
    <t>ANTIPOLO-01JULY2020-19</t>
  </si>
  <si>
    <t>RFQ - PR No. 2020-06-0105 dated 6-9-20</t>
  </si>
  <si>
    <t>20GLD0039</t>
  </si>
  <si>
    <t>PR NO. 2020-06-017</t>
  </si>
  <si>
    <t>ANTIPOLO-01JULY2020-20</t>
  </si>
  <si>
    <t>INFRA-13</t>
  </si>
  <si>
    <t>NS-06-11-20</t>
  </si>
  <si>
    <t>20CSHN08</t>
  </si>
  <si>
    <t>2020-06-299-11</t>
  </si>
  <si>
    <t>ANTIPOLO-01JULY2020-21</t>
  </si>
  <si>
    <t>NP 53.6</t>
  </si>
  <si>
    <t>2020-018-PB</t>
  </si>
  <si>
    <t>20GE025G</t>
  </si>
  <si>
    <t>SINS-G-2019-18</t>
  </si>
  <si>
    <t>INF ITB 20-029</t>
  </si>
  <si>
    <t>20GLD0040</t>
  </si>
  <si>
    <t>20HG0175</t>
  </si>
  <si>
    <t>EMBR02-SVP-GGSS-MIS032020-010</t>
  </si>
  <si>
    <t>2020-103</t>
  </si>
  <si>
    <t>SV-0723-2020</t>
  </si>
  <si>
    <t>2020-BC-001</t>
  </si>
  <si>
    <t>UPLB-RQ-6-121-20-RES CHEMICALS AND CHEMICAL PRODUC</t>
  </si>
  <si>
    <t>BXU-2020-23</t>
  </si>
  <si>
    <t>CW001</t>
  </si>
  <si>
    <t>Pr No. 2020-06-000001</t>
  </si>
  <si>
    <t>20-06-010</t>
  </si>
  <si>
    <t>INF ITB 20-030</t>
  </si>
  <si>
    <t>2020-05-088</t>
  </si>
  <si>
    <t>2020-60</t>
  </si>
  <si>
    <t>ATI-RTC 2020-0029</t>
  </si>
  <si>
    <t>20CSHN09</t>
  </si>
  <si>
    <t>Bid No. 20-0268</t>
  </si>
  <si>
    <t>PR 040-02-2020</t>
  </si>
  <si>
    <t>20FB0151</t>
  </si>
  <si>
    <t>INFRA-2020-018</t>
  </si>
  <si>
    <t>2020-094</t>
  </si>
  <si>
    <t>DGPD2020-RFQ06-002-G</t>
  </si>
  <si>
    <t>LGUPROC 2020 -102R</t>
  </si>
  <si>
    <t>INFRA-14</t>
  </si>
  <si>
    <t>2020-107</t>
  </si>
  <si>
    <t>SVP 20-007</t>
  </si>
  <si>
    <t>BXU-2020-24</t>
  </si>
  <si>
    <t>PR No. 2020-06-000006</t>
  </si>
  <si>
    <t>PR NO. 2020-06-016</t>
  </si>
  <si>
    <t>2020-020 CLA</t>
  </si>
  <si>
    <t>SA2020-023</t>
  </si>
  <si>
    <t>IMELDA202001</t>
  </si>
  <si>
    <t>1000032032</t>
  </si>
  <si>
    <t>2020-SVP-03</t>
  </si>
  <si>
    <t>INFRA-15</t>
  </si>
  <si>
    <t>20-05-0622</t>
  </si>
  <si>
    <t>2020-126</t>
  </si>
  <si>
    <t>Infra-02</t>
  </si>
  <si>
    <t>SINS-Inf-2020-03</t>
  </si>
  <si>
    <t>INFRA-2020-16</t>
  </si>
  <si>
    <t>062920-01</t>
  </si>
  <si>
    <t>DapDap202001</t>
  </si>
  <si>
    <t>INFRA-2020-17</t>
  </si>
  <si>
    <t>1400</t>
  </si>
  <si>
    <t>20FK0051</t>
  </si>
  <si>
    <t>SVP 20-008</t>
  </si>
  <si>
    <t>INFRA-2020-023</t>
  </si>
  <si>
    <t>396268</t>
  </si>
  <si>
    <t>LDF20-06-031</t>
  </si>
  <si>
    <t>2020-127</t>
  </si>
  <si>
    <t>2020-131</t>
  </si>
  <si>
    <t>RFQ-2020-06-0035</t>
  </si>
  <si>
    <t>BXU-2020-25</t>
  </si>
  <si>
    <t>PR #2020-01-0089S</t>
  </si>
  <si>
    <t>HMD-2020-06-0283</t>
  </si>
  <si>
    <t>LGU-RFQ-2020-54</t>
  </si>
  <si>
    <t>ITB No. 031-2020 GQ</t>
  </si>
  <si>
    <t>G-01-2020</t>
  </si>
  <si>
    <t>RFQ-2020-06-0036</t>
  </si>
  <si>
    <t>RFQ No. 2020-045 NP SSAWETMS</t>
  </si>
  <si>
    <t>RFQ-2020-06-0038</t>
  </si>
  <si>
    <t>06-10-2020-206</t>
  </si>
  <si>
    <t>INFRA_2020_REPAIR&amp;IMPROVEMENT_03</t>
  </si>
  <si>
    <t>20FK0052</t>
  </si>
  <si>
    <t>INFRA_2020_REPAIR&amp;IMPROVEMENT_04</t>
  </si>
  <si>
    <t>2020-06-0012</t>
  </si>
  <si>
    <t>RFQ-2020-06-0040</t>
  </si>
  <si>
    <t>RFQ-2020-06-0037</t>
  </si>
  <si>
    <t>20FK0053-Invitation to Bid</t>
  </si>
  <si>
    <t>20-39 RD</t>
  </si>
  <si>
    <t>20-38 RD</t>
  </si>
  <si>
    <t>153</t>
  </si>
  <si>
    <t>20-37 RD</t>
  </si>
  <si>
    <t>COB BAC INFRA 2020-003-001</t>
  </si>
  <si>
    <t>2020/06/052</t>
  </si>
  <si>
    <t>ITB (CW-06-2020-018) 20DD0326</t>
  </si>
  <si>
    <t>ITB (CW-06-2020-018) 20DD0327</t>
  </si>
  <si>
    <t>20-41 BLDG</t>
  </si>
  <si>
    <t>RFQ-2020-06-0039</t>
  </si>
  <si>
    <t>2020-153</t>
  </si>
  <si>
    <t>O-020-007</t>
  </si>
  <si>
    <t>ITB-2020-JDL-004</t>
  </si>
  <si>
    <t>062920-02A</t>
  </si>
  <si>
    <t>LEE19-06-025</t>
  </si>
  <si>
    <t>70-2020</t>
  </si>
  <si>
    <t>2020-174</t>
  </si>
  <si>
    <t>20-42 BLDG</t>
  </si>
  <si>
    <t>20-40 BLDG</t>
  </si>
  <si>
    <t>UPLB-RQ-6-122-20-RES INFORMATION TECHNOLOGY</t>
  </si>
  <si>
    <t>RFQ-2020-06-0041</t>
  </si>
  <si>
    <t>ITB (CW-06-2020-018) 20DD0325</t>
  </si>
  <si>
    <t>N-20-06-052</t>
  </si>
  <si>
    <t>ITB (CW-06-2020-018) 20DD0328</t>
  </si>
  <si>
    <t>2020-183</t>
  </si>
  <si>
    <t>2020-181</t>
  </si>
  <si>
    <t>2020-198</t>
  </si>
  <si>
    <t>ITB (CW-06-2020-018) 20DD0330</t>
  </si>
  <si>
    <t>2020-06-60</t>
  </si>
  <si>
    <t>06102020-01</t>
  </si>
  <si>
    <t>ITB (CW-06-2020-018) 20DD0331</t>
  </si>
  <si>
    <t>2020-203</t>
  </si>
  <si>
    <t>2020-06-59</t>
  </si>
  <si>
    <t>ITB (CW-06-2020-018) 20DD0332</t>
  </si>
  <si>
    <t>2020-165</t>
  </si>
  <si>
    <t>MAPULO-001</t>
  </si>
  <si>
    <t>LIB2020-001</t>
  </si>
  <si>
    <t>ITB No. 2020-010</t>
  </si>
  <si>
    <t>PERIMETER FENCE - SAN NICOLAS ELEM.</t>
  </si>
  <si>
    <t>PR No. 2020-05-000002</t>
  </si>
  <si>
    <t>ITB (CW-06-2020-018) 20DD0329</t>
  </si>
  <si>
    <t>2020-245</t>
  </si>
  <si>
    <t>ITB (CW-06-2020-018) 20DD0334</t>
  </si>
  <si>
    <t>NP 083-20</t>
  </si>
  <si>
    <t>SINS-Inf-2020-04</t>
  </si>
  <si>
    <t>2020-02-1</t>
  </si>
  <si>
    <t>06102020-02</t>
  </si>
  <si>
    <t>2020-98</t>
  </si>
  <si>
    <t>211414</t>
  </si>
  <si>
    <t>ITB (CW-06-2020-018) 20DD0335</t>
  </si>
  <si>
    <t>2020-249</t>
  </si>
  <si>
    <t>2020-251</t>
  </si>
  <si>
    <t>ITB (CW-06-2020-018) 20DD0333</t>
  </si>
  <si>
    <t>2020-234</t>
  </si>
  <si>
    <t>211415</t>
  </si>
  <si>
    <t>100-06-20-441</t>
  </si>
  <si>
    <t>SF-GOODS NO. 62-(6-10-20)</t>
  </si>
  <si>
    <t>P.R. No. 2020-06-0026</t>
  </si>
  <si>
    <t>PR 9-20-05-0601 - CITY HOSPITAL</t>
  </si>
  <si>
    <t>ITB (CW-06-2020-018) 20DD0336</t>
  </si>
  <si>
    <t>ITB (CW-06-2020-018) 20DD0337</t>
  </si>
  <si>
    <t>20010809</t>
  </si>
  <si>
    <t>405-06-2020 (IPHO)</t>
  </si>
  <si>
    <t>211417</t>
  </si>
  <si>
    <t>B-20-24</t>
  </si>
  <si>
    <t>20010456</t>
  </si>
  <si>
    <t>2020-006-01</t>
  </si>
  <si>
    <t>PERIMETER FENCE - SAN MIGUEL ELEM.</t>
  </si>
  <si>
    <t>PR 9-20-05-0588 - CITY HOSPITAL</t>
  </si>
  <si>
    <t>PR# 20-06-0603</t>
  </si>
  <si>
    <t>20-192</t>
  </si>
  <si>
    <t>20-06-0001</t>
  </si>
  <si>
    <t>COB BAC INFRA 2020-003-002</t>
  </si>
  <si>
    <t>211416</t>
  </si>
  <si>
    <t>INFRA-2K20-39</t>
  </si>
  <si>
    <t>NP 092-20</t>
  </si>
  <si>
    <t>2019-10-06-24</t>
  </si>
  <si>
    <t>2020-PBINFRA-05-004</t>
  </si>
  <si>
    <t>COB BAC INFRA 2020-003-003</t>
  </si>
  <si>
    <t>BACC-2020-0019</t>
  </si>
  <si>
    <t>DTI-NE-20-06-01</t>
  </si>
  <si>
    <t>TF-PB-034</t>
  </si>
  <si>
    <t>SEF-I-43-2020</t>
  </si>
  <si>
    <t>Bid No. 20-0269</t>
  </si>
  <si>
    <t>N-20-06-053</t>
  </si>
  <si>
    <t>SN-20-06-003</t>
  </si>
  <si>
    <t>ITB (CW-06-2020-018) 20DD0338</t>
  </si>
  <si>
    <t>CDH-2020-0036-0038,0040,0048-0050,0056,0057,0059-0</t>
  </si>
  <si>
    <t>20011320</t>
  </si>
  <si>
    <t>mabpang-0610-2020-ENGR</t>
  </si>
  <si>
    <t>DSWD4B-2020-011</t>
  </si>
  <si>
    <t>COB BAC INFRA 2020-003-004</t>
  </si>
  <si>
    <t>ITB No. 2020-135-A-pgo-pictd</t>
  </si>
  <si>
    <t>2020-224</t>
  </si>
  <si>
    <t>20-06-012</t>
  </si>
  <si>
    <t>211418</t>
  </si>
  <si>
    <t>bas 2020-01</t>
  </si>
  <si>
    <t>ITB No. 2020-012</t>
  </si>
  <si>
    <t>2020-223</t>
  </si>
  <si>
    <t>20-06-09-0017</t>
  </si>
  <si>
    <t>RFQ-2020-165</t>
  </si>
  <si>
    <t>100200300476</t>
  </si>
  <si>
    <t>EMBR02-SVP-GOODS-MIS032020-009</t>
  </si>
  <si>
    <t>2020-033</t>
  </si>
  <si>
    <t>2020-225</t>
  </si>
  <si>
    <t>COB BAC INFRA 2020-003-005</t>
  </si>
  <si>
    <t>SVP 20-0693</t>
  </si>
  <si>
    <t>06102020-A</t>
  </si>
  <si>
    <t>945</t>
  </si>
  <si>
    <t>2020-03-0055</t>
  </si>
  <si>
    <t>211419</t>
  </si>
  <si>
    <t>100(01)20-06-327(O)</t>
  </si>
  <si>
    <t>ITB No. 2020-013</t>
  </si>
  <si>
    <t>20-06-0003</t>
  </si>
  <si>
    <t>2020-227</t>
  </si>
  <si>
    <t>N-20-06-054</t>
  </si>
  <si>
    <t>RFQ-2020-166</t>
  </si>
  <si>
    <t>20CSPH02</t>
  </si>
  <si>
    <t>2020-226</t>
  </si>
  <si>
    <t>P.R. No. X1-20-04-192</t>
  </si>
  <si>
    <t>273-20</t>
  </si>
  <si>
    <t>274-20</t>
  </si>
  <si>
    <t>ITB NO. OCD 2020-10 (INFRA)</t>
  </si>
  <si>
    <t>2020-06-0161</t>
  </si>
  <si>
    <t>DGS PR No. 1000032736</t>
  </si>
  <si>
    <t>100(01)20-06-310(A)</t>
  </si>
  <si>
    <t>DENR XII-SP-21-2020</t>
  </si>
  <si>
    <t>2020-248</t>
  </si>
  <si>
    <t>20-06-013</t>
  </si>
  <si>
    <t>BOD20-083</t>
  </si>
  <si>
    <t>TF-PB-035</t>
  </si>
  <si>
    <t>276-20</t>
  </si>
  <si>
    <t>212020</t>
  </si>
  <si>
    <t>2020-Lamitan-24</t>
  </si>
  <si>
    <t>ITB No. 2020-014</t>
  </si>
  <si>
    <t>100(01)20-06-326(O)</t>
  </si>
  <si>
    <t>Bid No. 20-0270</t>
  </si>
  <si>
    <t>275-20</t>
  </si>
  <si>
    <t>951</t>
  </si>
  <si>
    <t>100(01)20-05-007(K)</t>
  </si>
  <si>
    <t>2020-06-300-12</t>
  </si>
  <si>
    <t>20IC0076</t>
  </si>
  <si>
    <t>GF 2020-21</t>
  </si>
  <si>
    <t>211420</t>
  </si>
  <si>
    <t>2020-19</t>
  </si>
  <si>
    <t>N-20-06-055</t>
  </si>
  <si>
    <t>INFRA 2K20-41</t>
  </si>
  <si>
    <t>2020-Lamitan-25</t>
  </si>
  <si>
    <t>111THCO-2020-06-041</t>
  </si>
  <si>
    <t>277-20</t>
  </si>
  <si>
    <t>SEF-I-44-2020</t>
  </si>
  <si>
    <t>C-046-2020</t>
  </si>
  <si>
    <t>100(01)20-06-311(A)</t>
  </si>
  <si>
    <t>ITB 2020-06-004</t>
  </si>
  <si>
    <t>PACOL ELEMENTARY SCHOOL MOOE 2ND QUARTER 2020-2021</t>
  </si>
  <si>
    <t>GD31-2020</t>
  </si>
  <si>
    <t>2020-036</t>
  </si>
  <si>
    <t>LGU-TAN-INFRA-2020-069</t>
  </si>
  <si>
    <t>20-06-014</t>
  </si>
  <si>
    <t>ITB No. 2020-015</t>
  </si>
  <si>
    <t>20DB0134</t>
  </si>
  <si>
    <t>BCS-2020-0104</t>
  </si>
  <si>
    <t>TF-PB-036</t>
  </si>
  <si>
    <t>952</t>
  </si>
  <si>
    <t>2020-06-301-13</t>
  </si>
  <si>
    <t>19-11-00624 (LATE POSTING)</t>
  </si>
  <si>
    <t>278-20</t>
  </si>
  <si>
    <t>geps-2020-023</t>
  </si>
  <si>
    <t>ATI-RTC 2020-0030</t>
  </si>
  <si>
    <t>GF 2020-22</t>
  </si>
  <si>
    <t>OE-20-01</t>
  </si>
  <si>
    <t>BCS-2020-0105</t>
  </si>
  <si>
    <t>279-20</t>
  </si>
  <si>
    <t>C-051-2020</t>
  </si>
  <si>
    <t>202006100001</t>
  </si>
  <si>
    <t>MG-PLM20-089</t>
  </si>
  <si>
    <t>MG-PLM20-090</t>
  </si>
  <si>
    <t>LS2-2020-22</t>
  </si>
  <si>
    <t>RFQ 2020-06-0105</t>
  </si>
  <si>
    <t>280-20</t>
  </si>
  <si>
    <t>ITB 2020-06-005</t>
  </si>
  <si>
    <t>geps-2020-024</t>
  </si>
  <si>
    <t>Poblacion202001</t>
  </si>
  <si>
    <t>BCS-2020-0113</t>
  </si>
  <si>
    <t>MG-PLM20-091</t>
  </si>
  <si>
    <t>PR No. :   2020 - 06 - 021</t>
  </si>
  <si>
    <t>RFQ-GOODS-2020-064</t>
  </si>
  <si>
    <t>geps-2020-025</t>
  </si>
  <si>
    <t>2020-06-02(PB)</t>
  </si>
  <si>
    <t>211422</t>
  </si>
  <si>
    <t>2020-06-302-14</t>
  </si>
  <si>
    <t>2020-20</t>
  </si>
  <si>
    <t>281-20</t>
  </si>
  <si>
    <t>2020-06-01(PB)</t>
  </si>
  <si>
    <t>NV 2020-033</t>
  </si>
  <si>
    <t>20010616</t>
  </si>
  <si>
    <t>geps-2020-026</t>
  </si>
  <si>
    <t>211424</t>
  </si>
  <si>
    <t>211423</t>
  </si>
  <si>
    <t>DA7-2020-06-SAAD-20-1979</t>
  </si>
  <si>
    <t>AC-2020-05-001</t>
  </si>
  <si>
    <t>RFQ-GOODS-2020-065</t>
  </si>
  <si>
    <t>ITB 2020-06-006</t>
  </si>
  <si>
    <t>geps-2020-027</t>
  </si>
  <si>
    <t>ITB-2020-PR0903</t>
  </si>
  <si>
    <t>20CB-GSC-313 PURCHASE OF SPARE PARTS FOR HINO EQUI</t>
  </si>
  <si>
    <t>100-7611-20-326</t>
  </si>
  <si>
    <t>20CB-GSC-314 PURCHASE OF SPARE PARTS FOR VOLVO EQU</t>
  </si>
  <si>
    <t>20021734</t>
  </si>
  <si>
    <t>201496</t>
  </si>
  <si>
    <t>202006100002</t>
  </si>
  <si>
    <t>BXU-2020-26</t>
  </si>
  <si>
    <t>20PA0131</t>
  </si>
  <si>
    <t>2020-06-303-15</t>
  </si>
  <si>
    <t>20GKG0027</t>
  </si>
  <si>
    <t>2020-0019</t>
  </si>
  <si>
    <t>DM-BAC-2020-0031</t>
  </si>
  <si>
    <t>2020-06-045</t>
  </si>
  <si>
    <t>2020-06-03(PB)</t>
  </si>
  <si>
    <t>RFQ-GOODS-2020-066</t>
  </si>
  <si>
    <t>Poblacion202002</t>
  </si>
  <si>
    <t>ATI-RTC 2020-0031</t>
  </si>
  <si>
    <t>0020-0159-0927-2020</t>
  </si>
  <si>
    <t>geps-2020-028</t>
  </si>
  <si>
    <t>NV 2020-034</t>
  </si>
  <si>
    <t>2020-06-0061</t>
  </si>
  <si>
    <t>201464</t>
  </si>
  <si>
    <t>PR No. 2020-03-000025</t>
  </si>
  <si>
    <t>20021637</t>
  </si>
  <si>
    <t>NV 2020-035</t>
  </si>
  <si>
    <t>P.R. No. X2-20-03-181</t>
  </si>
  <si>
    <t>20LA0337</t>
  </si>
  <si>
    <t>IT-20-06-001</t>
  </si>
  <si>
    <t>ITB 20-070</t>
  </si>
  <si>
    <t>DENR XII-SP-22-2020</t>
  </si>
  <si>
    <t>DM-BAC-2020-0032</t>
  </si>
  <si>
    <t>PBI-2020-23</t>
  </si>
  <si>
    <t>2020-06-046</t>
  </si>
  <si>
    <t>20LA0338</t>
  </si>
  <si>
    <t>216136</t>
  </si>
  <si>
    <t>RFQ-GOODS-2020-067</t>
  </si>
  <si>
    <t>TF-PB-037</t>
  </si>
  <si>
    <t>211425</t>
  </si>
  <si>
    <t>201553</t>
  </si>
  <si>
    <t>2020-06-0181-NMSF</t>
  </si>
  <si>
    <t>SEC PB No. 2020-013</t>
  </si>
  <si>
    <t>200774</t>
  </si>
  <si>
    <t>RFQ-GOODS-2020-069</t>
  </si>
  <si>
    <t>20-05-1393</t>
  </si>
  <si>
    <t>20LA0339</t>
  </si>
  <si>
    <t>211426</t>
  </si>
  <si>
    <t>20GBD0024</t>
  </si>
  <si>
    <t>RFQ-GOODS-2020-068</t>
  </si>
  <si>
    <t>062320-01B</t>
  </si>
  <si>
    <t>BXU-2020-27</t>
  </si>
  <si>
    <t>20LA0340</t>
  </si>
  <si>
    <t>BCS-2020-0106</t>
  </si>
  <si>
    <t>20CSAJ03</t>
  </si>
  <si>
    <t>2020-06-04(PB)</t>
  </si>
  <si>
    <t>Bid No. 20-0271</t>
  </si>
  <si>
    <t>P.R. No. X7-20-02-047</t>
  </si>
  <si>
    <t>2020-04-20-B</t>
  </si>
  <si>
    <t>BCS-2020-0107</t>
  </si>
  <si>
    <t>2020-05-154</t>
  </si>
  <si>
    <t>2020-04-15</t>
  </si>
  <si>
    <t>JGE2020-015</t>
  </si>
  <si>
    <t>IB-2020-VI-30-01- RE-EGENTS (DIAGNOSTIC LABORATORY</t>
  </si>
  <si>
    <t>2020-096</t>
  </si>
  <si>
    <t>201558</t>
  </si>
  <si>
    <t>G-062020-00845</t>
  </si>
  <si>
    <t>2020-IG-020</t>
  </si>
  <si>
    <t>2020-06-047</t>
  </si>
  <si>
    <t>20LA0341</t>
  </si>
  <si>
    <t>RFQ-2020-12</t>
  </si>
  <si>
    <t>20-0105</t>
  </si>
  <si>
    <t>P.R. No. X7-20-02-124</t>
  </si>
  <si>
    <t>BCS-2020-0108</t>
  </si>
  <si>
    <t>20GME0043</t>
  </si>
  <si>
    <t>2020-06-048</t>
  </si>
  <si>
    <t>201565</t>
  </si>
  <si>
    <t>2020-06-0111</t>
  </si>
  <si>
    <t>LGA-PhilGEPS 2020-06-036</t>
  </si>
  <si>
    <t>2020-06-049</t>
  </si>
  <si>
    <t>202006100003</t>
  </si>
  <si>
    <t>BCS-2020-0109</t>
  </si>
  <si>
    <t>UPB-BID-2020-04A</t>
  </si>
  <si>
    <t>896-20</t>
  </si>
  <si>
    <t>0020-0160-0937-2020</t>
  </si>
  <si>
    <t>20NA0073 (CLUSTER)</t>
  </si>
  <si>
    <t>2020-03-14</t>
  </si>
  <si>
    <t>BCS-2020-0110</t>
  </si>
  <si>
    <t>Bid No. 20-0272</t>
  </si>
  <si>
    <t>201396</t>
  </si>
  <si>
    <t>ITB No. 2020-011</t>
  </si>
  <si>
    <t>RFQ 2020-06-0106</t>
  </si>
  <si>
    <t>JGE2020-016</t>
  </si>
  <si>
    <t>201345</t>
  </si>
  <si>
    <t>NMF GOODS 2020-04</t>
  </si>
  <si>
    <t>B-82-2020</t>
  </si>
  <si>
    <t>062320-04</t>
  </si>
  <si>
    <t>B-ITB-2020-001</t>
  </si>
  <si>
    <t>062320-5</t>
  </si>
  <si>
    <t>NUB-20-06-0449</t>
  </si>
  <si>
    <t>NMF GOODS 2020-05</t>
  </si>
  <si>
    <t>MWD-PR-0520-020</t>
  </si>
  <si>
    <t>BCS-2020-0112</t>
  </si>
  <si>
    <t>BCS-2020-0111</t>
  </si>
  <si>
    <t>P.R. No. X7-20-02-091</t>
  </si>
  <si>
    <t>2020-06-05(PB)</t>
  </si>
  <si>
    <t>201576</t>
  </si>
  <si>
    <t>ICRFQ06102020A</t>
  </si>
  <si>
    <t>103-06-2020</t>
  </si>
  <si>
    <t>JGE2020-017</t>
  </si>
  <si>
    <t>burgos-2020-143-043</t>
  </si>
  <si>
    <t>0020-0159-0927A2020</t>
  </si>
  <si>
    <t>GO-20-06-039</t>
  </si>
  <si>
    <t>RFQ2020-02-131-MTPB-MAO</t>
  </si>
  <si>
    <t>P.R. No. X7-20-04-190</t>
  </si>
  <si>
    <t>ITB 2020-055</t>
  </si>
  <si>
    <t>MG-A5M20-103</t>
  </si>
  <si>
    <t>2020-03-13</t>
  </si>
  <si>
    <t>NMF INFRA 2020-25</t>
  </si>
  <si>
    <t>104-06-2020</t>
  </si>
  <si>
    <t>RFQ-2020-167</t>
  </si>
  <si>
    <t>SEC PB No. 2020-014</t>
  </si>
  <si>
    <t>GO-20-06-040</t>
  </si>
  <si>
    <t>20GKG0028</t>
  </si>
  <si>
    <t>burgos-2020-144-044</t>
  </si>
  <si>
    <t>bcwd-2020-056</t>
  </si>
  <si>
    <t>burgos-2020-146-046</t>
  </si>
  <si>
    <t>2020-06-318</t>
  </si>
  <si>
    <t>RFQ-2020-06-025</t>
  </si>
  <si>
    <t>20BA0054</t>
  </si>
  <si>
    <t>MWD-PR-0620-024</t>
  </si>
  <si>
    <t>NMF INFRA 2020-24</t>
  </si>
  <si>
    <t>TF-PB-038</t>
  </si>
  <si>
    <t>JGE2020-018</t>
  </si>
  <si>
    <t>2020-06-048RFQ</t>
  </si>
  <si>
    <t>20201006</t>
  </si>
  <si>
    <t>burgos-2020-145-045</t>
  </si>
  <si>
    <t>INFRA 2K20-46</t>
  </si>
  <si>
    <t>1133-1135-20BAC</t>
  </si>
  <si>
    <t>MWD-PR-0620-023</t>
  </si>
  <si>
    <t>2020-05-074a</t>
  </si>
  <si>
    <t>SV-0711-2020</t>
  </si>
  <si>
    <t>Sta. Barbara202001</t>
  </si>
  <si>
    <t>ITB 2020-056</t>
  </si>
  <si>
    <t>2020-02-0384-MAIN</t>
  </si>
  <si>
    <t>COB-CS-151-20</t>
  </si>
  <si>
    <t>TF-PB-039</t>
  </si>
  <si>
    <t>JGE2020-019</t>
  </si>
  <si>
    <t>COB-CS-149-20</t>
  </si>
  <si>
    <t>JGE2020-020</t>
  </si>
  <si>
    <t>GO-20-06-041</t>
  </si>
  <si>
    <t>1011-20-06-09</t>
  </si>
  <si>
    <t>P.R. No. X7-20-04-191</t>
  </si>
  <si>
    <t>2020-JUNE-010</t>
  </si>
  <si>
    <t>ITB No. 2020-I-01-01</t>
  </si>
  <si>
    <t>ITB 2020-06-007</t>
  </si>
  <si>
    <t>F501-CS-152-20</t>
  </si>
  <si>
    <t>MZSP-2020-042</t>
  </si>
  <si>
    <t>Sta. Barbara202002</t>
  </si>
  <si>
    <t>PR#2020-06-077</t>
  </si>
  <si>
    <t>SV-0719-2020</t>
  </si>
  <si>
    <t>2020-02-0293-MAIN</t>
  </si>
  <si>
    <t>IB-2020-VI-30-02-CONSTRUCTION MATERIALS (TORDESILL</t>
  </si>
  <si>
    <t>IB NO. 2020-041-A</t>
  </si>
  <si>
    <t>ATI-RTC 2020-0032</t>
  </si>
  <si>
    <t>300-20-04-0430</t>
  </si>
  <si>
    <t>PNPTR-AKG-DP-20-03</t>
  </si>
  <si>
    <t>2020-06-0173</t>
  </si>
  <si>
    <t>IB-2020-VI-30-04 TRAFFIC SIGN WITH STAND (SITMO)</t>
  </si>
  <si>
    <t>CA-20-06-29</t>
  </si>
  <si>
    <t>P.R. No. X7-20-03-184</t>
  </si>
  <si>
    <t>INFRA 2K20-49</t>
  </si>
  <si>
    <t>GOODS-20-27</t>
  </si>
  <si>
    <t>ITB 2020-06-008</t>
  </si>
  <si>
    <t>F501-CS-153-20</t>
  </si>
  <si>
    <t>BOD20-084</t>
  </si>
  <si>
    <t>ITB No. 2020-I-P2-01</t>
  </si>
  <si>
    <t>2020-02-0192-MAIN</t>
  </si>
  <si>
    <t>2020-31</t>
  </si>
  <si>
    <t>ITB No. 2020-I-P3-01</t>
  </si>
  <si>
    <t>20NA0072</t>
  </si>
  <si>
    <t>F501-CS-154-20</t>
  </si>
  <si>
    <t>ITB 2020-06-009</t>
  </si>
  <si>
    <t>2020-02-0190-MAIN</t>
  </si>
  <si>
    <t>2020-0022</t>
  </si>
  <si>
    <t>2020-06-058</t>
  </si>
  <si>
    <t>IB-2020-VI-30-05 CONSTRUCTION OF BRGY HEALTH STATI</t>
  </si>
  <si>
    <t>419-06-2020 (PDRRMO)</t>
  </si>
  <si>
    <t>SV-0722-2020</t>
  </si>
  <si>
    <t>2020-06-0441 PPD-NHTU</t>
  </si>
  <si>
    <t>ITB No. 2020-I-P4-01</t>
  </si>
  <si>
    <t>ITB 20-071</t>
  </si>
  <si>
    <t>PR Nos. 1000031284, 1000031790</t>
  </si>
  <si>
    <t>20PG0061</t>
  </si>
  <si>
    <t>BAC-GS-011-2020</t>
  </si>
  <si>
    <t>SVP 2020-029</t>
  </si>
  <si>
    <t>REF #041-06-2020</t>
  </si>
  <si>
    <t>P.R. No. X11-19-11-609</t>
  </si>
  <si>
    <t>2020-308</t>
  </si>
  <si>
    <t>2020-157</t>
  </si>
  <si>
    <t>ITB 2020-06-010</t>
  </si>
  <si>
    <t>Bid No. 20-0273</t>
  </si>
  <si>
    <t>LGU-Las Navas:001-06-2020</t>
  </si>
  <si>
    <t>PNPTR-DL-DP-20-04</t>
  </si>
  <si>
    <t>2OCB-GSC-315 PURCHASE OF DESKTOP COMPUTERS (RE-BID</t>
  </si>
  <si>
    <t>20NA0074</t>
  </si>
  <si>
    <t>37</t>
  </si>
  <si>
    <t>RFQ - PR No. 2020-06-0106 dated 6-9-20</t>
  </si>
  <si>
    <t>HMD-2020-03-0211</t>
  </si>
  <si>
    <t>P-0597</t>
  </si>
  <si>
    <t>IB-2020-VI-30-07 CONSTRUCTIONNOF BARANGAY HEALTH S</t>
  </si>
  <si>
    <t>NDA-20-06-064-SM</t>
  </si>
  <si>
    <t>RFQ - PR No. 2020-06-0111 dated 6-9-20</t>
  </si>
  <si>
    <t>2020-309</t>
  </si>
  <si>
    <t>202006001</t>
  </si>
  <si>
    <t>20OI0121</t>
  </si>
  <si>
    <t>PR# 020-0172</t>
  </si>
  <si>
    <t>ADS-1365-20</t>
  </si>
  <si>
    <t>WPU-2020-010</t>
  </si>
  <si>
    <t>1171130007</t>
  </si>
  <si>
    <t>20-06-294</t>
  </si>
  <si>
    <t>P-0599</t>
  </si>
  <si>
    <t>20OI0122</t>
  </si>
  <si>
    <t>IBTGH 2020-005</t>
  </si>
  <si>
    <t>20PG0062</t>
  </si>
  <si>
    <t>PR NO. 004-06-20</t>
  </si>
  <si>
    <t>IB-2020-VI-30-07-CONSTRUCTION OF BARANGAY HEALTH S</t>
  </si>
  <si>
    <t>2020-02-023(05206441)</t>
  </si>
  <si>
    <t>DARFO2.CVRC.115.REC.2020-06-558.00</t>
  </si>
  <si>
    <t>SV-0713-2020</t>
  </si>
  <si>
    <t>ITB No. 2020-G-03-02</t>
  </si>
  <si>
    <t>039-2020</t>
  </si>
  <si>
    <t>INFRA 2K20-50</t>
  </si>
  <si>
    <t>2020-99</t>
  </si>
  <si>
    <t>RFQ 2020-AS-05-017</t>
  </si>
  <si>
    <t>202006002</t>
  </si>
  <si>
    <t>2020-06-269</t>
  </si>
  <si>
    <t>P-0600</t>
  </si>
  <si>
    <t>ITB-2020-JDL-005 Re-Bid</t>
  </si>
  <si>
    <t>20GGM0011</t>
  </si>
  <si>
    <t>202006112</t>
  </si>
  <si>
    <t>2020-06-0442 PPD-NHTU</t>
  </si>
  <si>
    <t>20-05-203 &amp; etc.</t>
  </si>
  <si>
    <t>DA3-2020-06-08-92</t>
  </si>
  <si>
    <t>ITB No.005.June 9,2020.GSO.LGU.Lugait</t>
  </si>
  <si>
    <t>20CB-GSC-316 PURCHASE OF SPARE PARTS FOR MOTOR VEH</t>
  </si>
  <si>
    <t>2020-06-059</t>
  </si>
  <si>
    <t>100-20-06-323</t>
  </si>
  <si>
    <t>20BA0056</t>
  </si>
  <si>
    <t>201518</t>
  </si>
  <si>
    <t>IB-2020-VI-30-08 CONSTRUCTION BARANGAY HEALTH STAT</t>
  </si>
  <si>
    <t>202006113</t>
  </si>
  <si>
    <t>202006114</t>
  </si>
  <si>
    <t>101-20-05-426</t>
  </si>
  <si>
    <t>LGU-Las Navas:002-06-2020</t>
  </si>
  <si>
    <t>BAC 06/10/20-01</t>
  </si>
  <si>
    <t>PENROSOR-MOTORCYCLE-2020-007</t>
  </si>
  <si>
    <t>m12020-002</t>
  </si>
  <si>
    <t>2020-06-003DN</t>
  </si>
  <si>
    <t>19-11-1126 Re-bid</t>
  </si>
  <si>
    <t>PRDP-PSO-Admin-2020-03-016 (AF)</t>
  </si>
  <si>
    <t>ITB-Goods-2020-06-036</t>
  </si>
  <si>
    <t>ITB 2020 - 077</t>
  </si>
  <si>
    <t>B15-1</t>
  </si>
  <si>
    <t>200-2020-03-003</t>
  </si>
  <si>
    <t>20-03-0161</t>
  </si>
  <si>
    <t>2020-GS-021-A</t>
  </si>
  <si>
    <t>LGU-Las Navas:003-06-2020</t>
  </si>
  <si>
    <t>ITB 2020 - 076</t>
  </si>
  <si>
    <t>ITB No.006.June 9,2020.GSO.LGU.Lugait</t>
  </si>
  <si>
    <t>2020-04-0360 PPD-RICTMU</t>
  </si>
  <si>
    <t>IB-2020-VI-30-10 CONSTRUCTION MATERIALS (EGANA &amp; S</t>
  </si>
  <si>
    <t>01062020</t>
  </si>
  <si>
    <t>BAC 06/10/20-02</t>
  </si>
  <si>
    <t>Jiab-2020-20A</t>
  </si>
  <si>
    <t>328-2020</t>
  </si>
  <si>
    <t>CRPIP-2020-05-061</t>
  </si>
  <si>
    <t>TFB-2020-004Recanvass (BAC EP 2020-003)</t>
  </si>
  <si>
    <t>PR 1000033000</t>
  </si>
  <si>
    <t>TFB-2020-003Recanvass (BAC EP 2020-001)</t>
  </si>
  <si>
    <t>BOD20-085</t>
  </si>
  <si>
    <t>TFB-2020-005 (BAC EP 2020-001)</t>
  </si>
  <si>
    <t>B15-2</t>
  </si>
  <si>
    <t>PR0066-20 DOPHGG</t>
  </si>
  <si>
    <t>cav 010-2020</t>
  </si>
  <si>
    <t>m12020-03</t>
  </si>
  <si>
    <t>INFRA 2020-03-001</t>
  </si>
  <si>
    <t>Invitation to Bid 20-33</t>
  </si>
  <si>
    <t>ITB-KOR: 20-06-0675 CMO</t>
  </si>
  <si>
    <t>015-ECE20</t>
  </si>
  <si>
    <t>202006041</t>
  </si>
  <si>
    <t>Calaca 2020-048</t>
  </si>
  <si>
    <t>PR NO. 005-06-20</t>
  </si>
  <si>
    <t>202006C</t>
  </si>
  <si>
    <t>02062020</t>
  </si>
  <si>
    <t>ITB 2020-06</t>
  </si>
  <si>
    <t>20PA0132</t>
  </si>
  <si>
    <t>ITB PR No.: 0770-20BAC</t>
  </si>
  <si>
    <t>NIA-NOIMO-JO-2020-06-0154</t>
  </si>
  <si>
    <t>RFQ-1</t>
  </si>
  <si>
    <t>ITB-KOR: 20-06-0676 CMO</t>
  </si>
  <si>
    <t>PR0094-20 PGO</t>
  </si>
  <si>
    <t>20PA0133</t>
  </si>
  <si>
    <t>016-ECE20</t>
  </si>
  <si>
    <t>IAEB 217-20</t>
  </si>
  <si>
    <t>IAEB 218-20</t>
  </si>
  <si>
    <t>06062020</t>
  </si>
  <si>
    <t>PR0095-20 PGO</t>
  </si>
  <si>
    <t>202001</t>
  </si>
  <si>
    <t>Jiab-2020-21A</t>
  </si>
  <si>
    <t>PR0093-20 PGO</t>
  </si>
  <si>
    <t>sal-2020-003</t>
  </si>
  <si>
    <t>PB 2020-10</t>
  </si>
  <si>
    <t>ATI-RTC 2020-0033</t>
  </si>
  <si>
    <t>04062020</t>
  </si>
  <si>
    <t>CID No. 19IO0159</t>
  </si>
  <si>
    <t>202006D</t>
  </si>
  <si>
    <t>Publication No. 28-2020-G</t>
  </si>
  <si>
    <t>PR0097-20 PGO</t>
  </si>
  <si>
    <t>ITB PR No.: 0816-20BAC</t>
  </si>
  <si>
    <t>20GGJ0050</t>
  </si>
  <si>
    <t>ITB-KOR: 20-06-0674 CMO</t>
  </si>
  <si>
    <t>ITB PR 0224</t>
  </si>
  <si>
    <t>P.R. 20-06-151</t>
  </si>
  <si>
    <t>ITB PR No.: 0852-20BAC</t>
  </si>
  <si>
    <t>PR0005-20 PAGRO</t>
  </si>
  <si>
    <t>Publication No. 30-2020-G</t>
  </si>
  <si>
    <t>05062020</t>
  </si>
  <si>
    <t>Calaca 2020-050</t>
  </si>
  <si>
    <t>08062020</t>
  </si>
  <si>
    <t>SERV-20-06-024</t>
  </si>
  <si>
    <t>Calaca 2020-049</t>
  </si>
  <si>
    <t>20GHF0006</t>
  </si>
  <si>
    <t>Publication No. 31-2020-G</t>
  </si>
  <si>
    <t>PSD-2020-06-0187</t>
  </si>
  <si>
    <t>2020-71</t>
  </si>
  <si>
    <t>ITB-KOR: 20-06-0673 PNP</t>
  </si>
  <si>
    <t>ITB PR No.: 0854-20BAC</t>
  </si>
  <si>
    <t>ITB PR No.: 0853-20BAC</t>
  </si>
  <si>
    <t>Publication No. 29-2020-G</t>
  </si>
  <si>
    <t>2020-69</t>
  </si>
  <si>
    <t>2020-70</t>
  </si>
  <si>
    <t>P.R. No. X11-20-02-084</t>
  </si>
  <si>
    <t>07062020</t>
  </si>
  <si>
    <t>IB No. 2020-039</t>
  </si>
  <si>
    <t>ITB-KOR: 20-06-0677 CSU</t>
  </si>
  <si>
    <t>2020-738</t>
  </si>
  <si>
    <t>PR0031-20 IPHO</t>
  </si>
  <si>
    <t>I-2020-011</t>
  </si>
  <si>
    <t>19CSOD26</t>
  </si>
  <si>
    <t>I-2020-012</t>
  </si>
  <si>
    <t>2020-739</t>
  </si>
  <si>
    <t>12062020</t>
  </si>
  <si>
    <t>ITB-KOR: 20-06-0645 CENRO</t>
  </si>
  <si>
    <t>Publication No. 32-2020-G</t>
  </si>
  <si>
    <t>IB No. 2020-040</t>
  </si>
  <si>
    <t>09062020</t>
  </si>
  <si>
    <t>03062020</t>
  </si>
  <si>
    <t>Calaca 2020-051</t>
  </si>
  <si>
    <t>10062020</t>
  </si>
  <si>
    <t>BAC-ZDN-No. 2020-005</t>
  </si>
  <si>
    <t>13062020</t>
  </si>
  <si>
    <t>16062020</t>
  </si>
  <si>
    <t>2020-740</t>
  </si>
  <si>
    <t>G-2020-204</t>
  </si>
  <si>
    <t>11062020</t>
  </si>
  <si>
    <t>I-2020-013</t>
  </si>
  <si>
    <t>14062020</t>
  </si>
  <si>
    <t>2020-06-097</t>
  </si>
  <si>
    <t>2020-74</t>
  </si>
  <si>
    <t>19CSOD27</t>
  </si>
  <si>
    <t>19CSOD28</t>
  </si>
  <si>
    <t>2020-75</t>
  </si>
  <si>
    <t>2020-03-004</t>
  </si>
  <si>
    <t>18062020</t>
  </si>
  <si>
    <t>15062020</t>
  </si>
  <si>
    <t>2020-76</t>
  </si>
  <si>
    <t>Calaca 2019-133</t>
  </si>
  <si>
    <t>17062020</t>
  </si>
  <si>
    <t>HS-5020399000-069-2020</t>
  </si>
  <si>
    <t>19062020</t>
  </si>
  <si>
    <t>HS-5021299000-020-2020</t>
  </si>
  <si>
    <t>IB. NO. 2020-206</t>
  </si>
  <si>
    <t>2020-77</t>
  </si>
  <si>
    <t>PR20-06-44</t>
  </si>
  <si>
    <t>HS-5020308000-070-2020</t>
  </si>
  <si>
    <t>23062020</t>
  </si>
  <si>
    <t>19CSOD30</t>
  </si>
  <si>
    <t>NTC-PB-2020-06-006</t>
  </si>
  <si>
    <t>22062020</t>
  </si>
  <si>
    <t>NTC-PB-2020-06-007</t>
  </si>
  <si>
    <t>HS-5021299000-027-2020</t>
  </si>
  <si>
    <t>19CSOD32</t>
  </si>
  <si>
    <t>19CSOD29</t>
  </si>
  <si>
    <t>21062020</t>
  </si>
  <si>
    <t>HS-5021299000-043-2020</t>
  </si>
  <si>
    <t>20062020</t>
  </si>
  <si>
    <t>PB 2020-06-08</t>
  </si>
  <si>
    <t>ITB -2020-017</t>
  </si>
  <si>
    <t>19CSOD31</t>
  </si>
  <si>
    <t>NTC-PB-2020-06-008</t>
  </si>
  <si>
    <t>2020-0306</t>
  </si>
  <si>
    <t>2006002</t>
  </si>
  <si>
    <t>244</t>
  </si>
  <si>
    <t>2006001</t>
  </si>
  <si>
    <t>245</t>
  </si>
  <si>
    <t>NTC-PB-2020-06-009</t>
  </si>
  <si>
    <t>19CSOD33</t>
  </si>
  <si>
    <t>2006003</t>
  </si>
  <si>
    <t>Goods GF 03-2020</t>
  </si>
  <si>
    <t>PB-INFRA-05-2020</t>
  </si>
  <si>
    <t>246</t>
  </si>
  <si>
    <t>PB-Goods-12-2020</t>
  </si>
  <si>
    <t>C-2020-01</t>
  </si>
  <si>
    <t>K-020-011</t>
  </si>
  <si>
    <t>PB-Goods-11-2020</t>
  </si>
  <si>
    <t>2020-06-10-175</t>
  </si>
  <si>
    <t>DepEd-R06-D1-OTHER SUPPLIES-001-2020</t>
  </si>
  <si>
    <t>BAC-PB-2020-38</t>
  </si>
  <si>
    <t>247</t>
  </si>
  <si>
    <t>BCS-2020-0114</t>
  </si>
  <si>
    <t>MG-A5M20-101</t>
  </si>
  <si>
    <t>BAC-PB-2020-39</t>
  </si>
  <si>
    <t>K-020-013</t>
  </si>
  <si>
    <t>BCS-2020-0115</t>
  </si>
  <si>
    <t>2020-6-001</t>
  </si>
  <si>
    <t>6/10/2020</t>
  </si>
  <si>
    <t>K-020-012</t>
  </si>
  <si>
    <t>20GFE0011</t>
  </si>
  <si>
    <t>37-2020-02</t>
  </si>
  <si>
    <t>K-020-014</t>
  </si>
  <si>
    <t>2020-78</t>
  </si>
  <si>
    <t>K-020-015</t>
  </si>
  <si>
    <t>ICR-20GEE0021</t>
  </si>
  <si>
    <t>2020-6-002</t>
  </si>
  <si>
    <t>MG-A5A20-003</t>
  </si>
  <si>
    <t>2020-6-003</t>
  </si>
  <si>
    <t>K-020-016</t>
  </si>
  <si>
    <t>PB-Goods-14-2020</t>
  </si>
  <si>
    <t>N001-2020</t>
  </si>
  <si>
    <t>MG-A5M20-056</t>
  </si>
  <si>
    <t>PIKCOT-002020-011</t>
  </si>
  <si>
    <t>05-06-2020</t>
  </si>
  <si>
    <t>2020-6-004</t>
  </si>
  <si>
    <t>19MC0244 (Re-Published)</t>
  </si>
  <si>
    <t>20-03-011</t>
  </si>
  <si>
    <t>2020-0248</t>
  </si>
  <si>
    <t>2020-06-18</t>
  </si>
  <si>
    <t>PIKCOT-002020-012</t>
  </si>
  <si>
    <t>PBD 20-061A</t>
  </si>
  <si>
    <t>PB-Goods-13-2020</t>
  </si>
  <si>
    <t>2020-0247</t>
  </si>
  <si>
    <t>ICR-20GEE0022</t>
  </si>
  <si>
    <t>2020-144-I</t>
  </si>
  <si>
    <t>MKWD2020-047</t>
  </si>
  <si>
    <t>20HI0071</t>
  </si>
  <si>
    <t>20HI0072</t>
  </si>
  <si>
    <t>2020-145-I</t>
  </si>
  <si>
    <t>PIKCOT-002020-013</t>
  </si>
  <si>
    <t>PR NO. 007-06-20</t>
  </si>
  <si>
    <t>PR NO. 006-06-20</t>
  </si>
  <si>
    <t>20-044</t>
  </si>
  <si>
    <t>20HI0075</t>
  </si>
  <si>
    <t>ESPERANZA-GDS-2020-06-10</t>
  </si>
  <si>
    <t>BrgyHitoog 2020 - 001</t>
  </si>
  <si>
    <t>20-DO-0083</t>
  </si>
  <si>
    <t>BrgyHitoog 2020 - 002</t>
  </si>
  <si>
    <t>20HI0080</t>
  </si>
  <si>
    <t>20-278</t>
  </si>
  <si>
    <t>PIKCOT-002020-015</t>
  </si>
  <si>
    <t>BWWGEBAC #2020-004</t>
  </si>
  <si>
    <t>20-237</t>
  </si>
  <si>
    <t>PR NO. 009-06-20</t>
  </si>
  <si>
    <t>20-082</t>
  </si>
  <si>
    <t>PIKCOT-002020-014</t>
  </si>
  <si>
    <t>gsis/npsvp-218-20</t>
  </si>
  <si>
    <t>IB_CivilWorks_2020-06-034</t>
  </si>
  <si>
    <t>2020-05-07A</t>
  </si>
  <si>
    <t>PR NO. 008-06-20</t>
  </si>
  <si>
    <t>sdn-2020-06-032</t>
  </si>
  <si>
    <t>2020-6-2</t>
  </si>
  <si>
    <t>DA3-2020-04-29-81</t>
  </si>
  <si>
    <t>20-288</t>
  </si>
  <si>
    <t>20-292</t>
  </si>
  <si>
    <t>GHS0004-2020</t>
  </si>
  <si>
    <t>2020-02-0037</t>
  </si>
  <si>
    <t>gsis/npsvp-220-20</t>
  </si>
  <si>
    <t>ITB- 2020-06</t>
  </si>
  <si>
    <t>INFRA-PB-2020-010</t>
  </si>
  <si>
    <t>20-409</t>
  </si>
  <si>
    <t>PR 2020-06-002</t>
  </si>
  <si>
    <t>20-432</t>
  </si>
  <si>
    <t>sdn-2020-06-033</t>
  </si>
  <si>
    <t>042020662</t>
  </si>
  <si>
    <t>EOI 2020-006</t>
  </si>
  <si>
    <t>BAC-HO GS No. 2020-0227 dated 26 May 2020 (SSD)</t>
  </si>
  <si>
    <t>519</t>
  </si>
  <si>
    <t>IB No. 2020-222</t>
  </si>
  <si>
    <t>2020-1a</t>
  </si>
  <si>
    <t>2020-227-003</t>
  </si>
  <si>
    <t>INFRA-PB-2020-012</t>
  </si>
  <si>
    <t>INFRA-PB-2020-011</t>
  </si>
  <si>
    <t>20CSA002</t>
  </si>
  <si>
    <t>2020-227-002</t>
  </si>
  <si>
    <t>2020-03-001</t>
  </si>
  <si>
    <t>J.O. No. 2020-05-JO61</t>
  </si>
  <si>
    <t>INFRA-PB-2020-014</t>
  </si>
  <si>
    <t>2020-AP-06-19</t>
  </si>
  <si>
    <t>MISC-2020-06-`106A</t>
  </si>
  <si>
    <t>2002-06-013</t>
  </si>
  <si>
    <t>REI No. 2020-013</t>
  </si>
  <si>
    <t>OE-2020-04-75/OE-2020-04-75A/IT-2020-06-107</t>
  </si>
  <si>
    <t>INFRA-PB-2020-013</t>
  </si>
  <si>
    <t>AGR-20-0581-B Purchase of Agricultural Seeds &amp; Sup</t>
  </si>
  <si>
    <t>IN-BAC-2020-06-058</t>
  </si>
  <si>
    <t>AGR20-0349-B Purchase of Agricultural Seeds &amp; Mate</t>
  </si>
  <si>
    <t>20-1268</t>
  </si>
  <si>
    <t>ALA-INFRA-C1</t>
  </si>
  <si>
    <t>20-0946</t>
  </si>
  <si>
    <t>PEN-20-0488-NP(SV)</t>
  </si>
  <si>
    <t>PEN-20-0312-B</t>
  </si>
  <si>
    <t>IN-BAC-2020-06-057</t>
  </si>
  <si>
    <t>PEN-20-0130-B</t>
  </si>
  <si>
    <t>INFRA-2020-006</t>
  </si>
  <si>
    <t>20-1263</t>
  </si>
  <si>
    <t>AGR-20-0339-B Purchase of Office Furniture and Fix</t>
  </si>
  <si>
    <t>19GPC0018</t>
  </si>
  <si>
    <t>20-1108</t>
  </si>
  <si>
    <t>RFQ NO. 2020-06-039</t>
  </si>
  <si>
    <t>06042020</t>
  </si>
  <si>
    <t>20GSDG0011</t>
  </si>
  <si>
    <t>IB No. GS-2020 – 070</t>
  </si>
  <si>
    <t>RFQ NO: 2020-06-040</t>
  </si>
  <si>
    <t>2020-368-04 (02)</t>
  </si>
  <si>
    <t>20-00042</t>
  </si>
  <si>
    <t>2020-285-03 (02)</t>
  </si>
  <si>
    <t>AGR-20-0594-B Purchase of Construction Supplies an</t>
  </si>
  <si>
    <t>2020-01-051 Re-bid</t>
  </si>
  <si>
    <t>2020-392-05 (02)</t>
  </si>
  <si>
    <t>20GSDG0013</t>
  </si>
  <si>
    <t>2020-467-06</t>
  </si>
  <si>
    <t>2020-464-05</t>
  </si>
  <si>
    <t>2020-404-05 (02)</t>
  </si>
  <si>
    <t>2020-391-05 (02)</t>
  </si>
  <si>
    <t>2020-463-05</t>
  </si>
  <si>
    <t>20GSDG0012</t>
  </si>
  <si>
    <t>2020-462-05</t>
  </si>
  <si>
    <t>20GSDG0014</t>
  </si>
  <si>
    <t>NPPH 200-20-05-05697</t>
  </si>
  <si>
    <t>2020-427-05</t>
  </si>
  <si>
    <t>20-013</t>
  </si>
  <si>
    <t>msj-2020-17</t>
  </si>
  <si>
    <t>20-0898</t>
  </si>
  <si>
    <t>2020-436-05</t>
  </si>
  <si>
    <t>20-0901</t>
  </si>
  <si>
    <t>ISC-20-0546-B</t>
  </si>
  <si>
    <t>RIZAL-30JUNE2020-2</t>
  </si>
  <si>
    <t>RIZAL-30JUNE2020-12</t>
  </si>
  <si>
    <t>2020-456-05</t>
  </si>
  <si>
    <t>RIZAL-30JUNE2020-1</t>
  </si>
  <si>
    <t>MGPQ-RML-2020-06-002(2)</t>
  </si>
  <si>
    <t>RIZAL-30JUNE2020-11</t>
  </si>
  <si>
    <t>2020-06-319</t>
  </si>
  <si>
    <t>RIZAL-30JUNE2020-19</t>
  </si>
  <si>
    <t>2020-461-05</t>
  </si>
  <si>
    <t>RIZAL-30JUNE2020-18</t>
  </si>
  <si>
    <t>RIZAL-30JUNE2020-16</t>
  </si>
  <si>
    <t>RIZAL-30JUNE2020-20</t>
  </si>
  <si>
    <t>RIZAL-30JUNE2020-17</t>
  </si>
  <si>
    <t>RIZAL-30JUNE2020-14</t>
  </si>
  <si>
    <t>RIZAL-30JUNE2020-10</t>
  </si>
  <si>
    <t>RIZAL-30JUNE2020-13</t>
  </si>
  <si>
    <t>RIZAL-30JUNE2020-15</t>
  </si>
  <si>
    <t>RIZAL-30JUNE2020-6</t>
  </si>
  <si>
    <t>GAMOT 200-20-06-06111</t>
  </si>
  <si>
    <t>RIZAL-30JUNE2020-7</t>
  </si>
  <si>
    <t>RIZAL-30JUNE2020-3</t>
  </si>
  <si>
    <t>RIZAL-30JUNE2020-5</t>
  </si>
  <si>
    <t>RIZAL-30JUNE2020-9</t>
  </si>
  <si>
    <t>RIZAL-30JUNE2020-22</t>
  </si>
  <si>
    <t>RIZAL-30JUNE2020-4</t>
  </si>
  <si>
    <t>RIZAL-30JUNE2020-8</t>
  </si>
  <si>
    <t>RIZAL-30JUNE2020-25</t>
  </si>
  <si>
    <t>RIZAL-30JUNE2020-24</t>
  </si>
  <si>
    <t>PB-INT-2006-037</t>
  </si>
  <si>
    <t>RIZAL-30JUNE2020-23</t>
  </si>
  <si>
    <t>RIZAL-30JUNE2020-21</t>
  </si>
  <si>
    <t>PB-INT-2006-038</t>
  </si>
  <si>
    <t>PPDO-2020-1023</t>
  </si>
  <si>
    <t>20-02-00139</t>
  </si>
  <si>
    <t>512-2020</t>
  </si>
  <si>
    <t>200028</t>
  </si>
  <si>
    <t>2020-06-260</t>
  </si>
  <si>
    <t>20-03-00177</t>
  </si>
  <si>
    <t>COO-20-0650-B</t>
  </si>
  <si>
    <t>2020-13-001</t>
  </si>
  <si>
    <t>517-2020</t>
  </si>
  <si>
    <t>MIWD</t>
  </si>
  <si>
    <t>20-03-00221</t>
  </si>
  <si>
    <t>20CSHN03</t>
  </si>
  <si>
    <t>RFQ NO. 2020-06-041</t>
  </si>
  <si>
    <t>ITB No. GOODS-20-103</t>
  </si>
  <si>
    <t>PB2020-06-001</t>
  </si>
  <si>
    <t>20-0589-A</t>
  </si>
  <si>
    <t>2020-06-310</t>
  </si>
  <si>
    <t>20GGM0010</t>
  </si>
  <si>
    <t>20CSHN06</t>
  </si>
  <si>
    <t>2020-05-278</t>
  </si>
  <si>
    <t>2020-06-311</t>
  </si>
  <si>
    <t>CLI-20-0355-B</t>
  </si>
  <si>
    <t>20CSHN04</t>
  </si>
  <si>
    <t>20CSHN05</t>
  </si>
  <si>
    <t>20CSHN07</t>
  </si>
  <si>
    <t>ITB No. GOODS-20-104</t>
  </si>
  <si>
    <t>PL2020-06-001</t>
  </si>
  <si>
    <t>2020-002g</t>
  </si>
  <si>
    <t xml:space="preserve">AGR-20-0346-B Purchase of Agricultural Supplies &amp; </t>
  </si>
  <si>
    <t>19CSK00052</t>
  </si>
  <si>
    <t>20GLF0025</t>
  </si>
  <si>
    <t>SB-2020-006</t>
  </si>
  <si>
    <t>ITB No. GOODS-20-106</t>
  </si>
  <si>
    <t>Binmisor 022-2020</t>
  </si>
  <si>
    <t>HMD-2020-06-0284</t>
  </si>
  <si>
    <t>20GLF0022</t>
  </si>
  <si>
    <t>AD-2020-06-0285</t>
  </si>
  <si>
    <t>ITB No. GOODS-20-105</t>
  </si>
  <si>
    <t>2020LGUMROFDL031</t>
  </si>
  <si>
    <t>LOS BANOS-20-27</t>
  </si>
  <si>
    <t>20CB-GSC-302-PURCHASE OF COMMUNICATION EQUIPMENT (</t>
  </si>
  <si>
    <t>20ITB-G-02-00033</t>
  </si>
  <si>
    <t>20CB-GSC-303-REPAIR OF MOTOR VEHICLE  (RE-BID)</t>
  </si>
  <si>
    <t>235-2020</t>
  </si>
  <si>
    <t>ITB No. GOODS-20-107</t>
  </si>
  <si>
    <t>PARIAN-ITB-01-20</t>
  </si>
  <si>
    <t>239-2020</t>
  </si>
  <si>
    <t>237-2020</t>
  </si>
  <si>
    <t>PR NO. 100-8751-20-05-0561</t>
  </si>
  <si>
    <t>240-2020</t>
  </si>
  <si>
    <t>236-2020</t>
  </si>
  <si>
    <t>238-2020</t>
  </si>
  <si>
    <t>33-2020</t>
  </si>
  <si>
    <t>SIDP 200-20-02-01330</t>
  </si>
  <si>
    <t>242-2020</t>
  </si>
  <si>
    <t>SB-2020-012</t>
  </si>
  <si>
    <t>35-2020</t>
  </si>
  <si>
    <t>SB-2020-009</t>
  </si>
  <si>
    <t>34-2020</t>
  </si>
  <si>
    <t>umcbac20-14</t>
  </si>
  <si>
    <t>241-2020</t>
  </si>
  <si>
    <t>247-2020</t>
  </si>
  <si>
    <t>244-2020</t>
  </si>
  <si>
    <t>I-062020-00837</t>
  </si>
  <si>
    <t>I-062020-00834</t>
  </si>
  <si>
    <t>I-062020-00833</t>
  </si>
  <si>
    <t>I-062020-00835</t>
  </si>
  <si>
    <t>LOS BANOS-20-28</t>
  </si>
  <si>
    <t>245-2020</t>
  </si>
  <si>
    <t>I-062020-00836</t>
  </si>
  <si>
    <t>INFRA 2020-009</t>
  </si>
  <si>
    <t>2020023</t>
  </si>
  <si>
    <t>246-2020</t>
  </si>
  <si>
    <t>I-062020-00840</t>
  </si>
  <si>
    <t>PB-PAFBAC-151-20</t>
  </si>
  <si>
    <t>I-062020-00838</t>
  </si>
  <si>
    <t>I-062020-00839</t>
  </si>
  <si>
    <t>PB 06-04-2020</t>
  </si>
  <si>
    <t>243-2020</t>
  </si>
  <si>
    <t>G-2020-200</t>
  </si>
  <si>
    <t>91700</t>
  </si>
  <si>
    <t>G-2020-277</t>
  </si>
  <si>
    <t>248-2020</t>
  </si>
  <si>
    <t>G-2020-209</t>
  </si>
  <si>
    <t>G-2020-284</t>
  </si>
  <si>
    <t>051-06-2020</t>
  </si>
  <si>
    <t>I-2020-008</t>
  </si>
  <si>
    <t>I-2020-010</t>
  </si>
  <si>
    <t>G-2020-278</t>
  </si>
  <si>
    <t>G-2020-324</t>
  </si>
  <si>
    <t>G-2020-279</t>
  </si>
  <si>
    <t>06082020</t>
  </si>
  <si>
    <t>SL-20200609</t>
  </si>
  <si>
    <t>20HI0092</t>
  </si>
  <si>
    <t>2020 Caib 086</t>
  </si>
  <si>
    <t>20HI0073 (re-ad)</t>
  </si>
  <si>
    <t>GOOD-2020-001</t>
  </si>
  <si>
    <t>20HI0093</t>
  </si>
  <si>
    <t>2020-Cabalanggan-03</t>
  </si>
  <si>
    <t>2020-Cabalanggan-02</t>
  </si>
  <si>
    <t>001-infra-2020</t>
  </si>
  <si>
    <t>GSO-20-0576-NP(SV)</t>
  </si>
  <si>
    <t>GOOD-2020-002</t>
  </si>
  <si>
    <t>LOS BANOS-20-30</t>
  </si>
  <si>
    <t>ISC-20-0468-B</t>
  </si>
  <si>
    <t>2020-Cabalanggan-01</t>
  </si>
  <si>
    <t>JCH-20-0226-B</t>
  </si>
  <si>
    <t>BLGU-PBD-Salvacion-2020-22</t>
  </si>
  <si>
    <t>LOS BANOS-20-29</t>
  </si>
  <si>
    <t>2020-06-0602 TDG</t>
  </si>
  <si>
    <t>2020-06-0604 TDG</t>
  </si>
  <si>
    <t>2020-06-0600 TDG</t>
  </si>
  <si>
    <t>GSO-20-0498-NP(SV)</t>
  </si>
  <si>
    <t>JCH-20-0171-B</t>
  </si>
  <si>
    <t xml:space="preserve">PAPALLASEN 01-2020 - Repair &amp; impvt. of perimeter </t>
  </si>
  <si>
    <t>RFQ No. 2020-SVP-15</t>
  </si>
  <si>
    <t>GOOD-2020-003</t>
  </si>
  <si>
    <t>06-59-2020</t>
  </si>
  <si>
    <t>FRT-19-1689-B(REBID)</t>
  </si>
  <si>
    <t>MG-A7C20-026</t>
  </si>
  <si>
    <t>QSU-BAC-F-02-2020 DA-ACEF</t>
  </si>
  <si>
    <t>RTH-20-0183-B(RE-BID)</t>
  </si>
  <si>
    <t>MG-A7T20-051</t>
  </si>
  <si>
    <t>249-20</t>
  </si>
  <si>
    <t>LF 2020-023</t>
  </si>
  <si>
    <t>JCH-20-0225-B</t>
  </si>
  <si>
    <t>DDH-19-2097-B</t>
  </si>
  <si>
    <t>MG-A7C20-025</t>
  </si>
  <si>
    <t>MG-A7M20-053</t>
  </si>
  <si>
    <t>251-20</t>
  </si>
  <si>
    <t>QSU-BAC-F-12-2020 05D Grad Fee</t>
  </si>
  <si>
    <t>PAPALLASEN 02-2020 - Repair &amp; impvt. of multi-purp</t>
  </si>
  <si>
    <t>20LC0155</t>
  </si>
  <si>
    <t>20PL0113</t>
  </si>
  <si>
    <t>20LC0154</t>
  </si>
  <si>
    <t>12-01-2020-06-533</t>
  </si>
  <si>
    <t>20-003</t>
  </si>
  <si>
    <t>CB(B)-20-012 (GTLMH)</t>
  </si>
  <si>
    <t>G-MDH-040-20</t>
  </si>
  <si>
    <t>252-20</t>
  </si>
  <si>
    <t>INFRA-2020-044</t>
  </si>
  <si>
    <t>06-01-2020</t>
  </si>
  <si>
    <t>0855</t>
  </si>
  <si>
    <t>12-01-2020-06-532</t>
  </si>
  <si>
    <t>06092020</t>
  </si>
  <si>
    <t>028-80</t>
  </si>
  <si>
    <t>253-20</t>
  </si>
  <si>
    <t>6059</t>
  </si>
  <si>
    <t>254-20</t>
  </si>
  <si>
    <t>GS-PNBAC2-2020-24</t>
  </si>
  <si>
    <t>250-20</t>
  </si>
  <si>
    <t>10-01-2020-06-541</t>
  </si>
  <si>
    <t>20PL0112</t>
  </si>
  <si>
    <t>255-20</t>
  </si>
  <si>
    <t>BLGU-PBD-Behia-2020-23</t>
  </si>
  <si>
    <t>G-PAROLE-041-20</t>
  </si>
  <si>
    <t>2020-6-1427</t>
  </si>
  <si>
    <t>bacgal-49-2020</t>
  </si>
  <si>
    <t>LF 2020-024</t>
  </si>
  <si>
    <t>RFQ-125-2020</t>
  </si>
  <si>
    <t>infra-2020-04</t>
  </si>
  <si>
    <t>RFQ-126-2020</t>
  </si>
  <si>
    <t>20PL0114</t>
  </si>
  <si>
    <t>JCH-20-0175-B</t>
  </si>
  <si>
    <t>JCH-20-0172-B</t>
  </si>
  <si>
    <t>258-20</t>
  </si>
  <si>
    <t>LF 2020-026</t>
  </si>
  <si>
    <t>RFQ-128-2020</t>
  </si>
  <si>
    <t>MG-A5M20-116</t>
  </si>
  <si>
    <t>bacgal-50-2020</t>
  </si>
  <si>
    <t>6060</t>
  </si>
  <si>
    <t>IPIL-2020-001</t>
  </si>
  <si>
    <t>LF 2020-025</t>
  </si>
  <si>
    <t>20IB0142</t>
  </si>
  <si>
    <t>257-20</t>
  </si>
  <si>
    <t>GEPS-14-2020</t>
  </si>
  <si>
    <t>256-20</t>
  </si>
  <si>
    <t>06-01-2020-06-540</t>
  </si>
  <si>
    <t>PEO-20-0665 B</t>
  </si>
  <si>
    <t>2020-04-0046</t>
  </si>
  <si>
    <t>GS-PNBAC2-2020-26</t>
  </si>
  <si>
    <t>G-CON-043-20</t>
  </si>
  <si>
    <t>G-HMO-039-20</t>
  </si>
  <si>
    <t>100-1917-20-288</t>
  </si>
  <si>
    <t>263-20</t>
  </si>
  <si>
    <t>G-CON-042-20</t>
  </si>
  <si>
    <t>2020-06-09-01</t>
  </si>
  <si>
    <t>RFQ-131-2020</t>
  </si>
  <si>
    <t>262-20</t>
  </si>
  <si>
    <t>261-20</t>
  </si>
  <si>
    <t>GOODS#0113, ITB#0115  PR#0257: SCG-2020</t>
  </si>
  <si>
    <t>20-06-044</t>
  </si>
  <si>
    <t>12-2020_INFR</t>
  </si>
  <si>
    <t>06-01-2020-06-545</t>
  </si>
  <si>
    <t>260-20</t>
  </si>
  <si>
    <t>259-20</t>
  </si>
  <si>
    <t>RFQ-127-2020</t>
  </si>
  <si>
    <t>RFQ-129-2020</t>
  </si>
  <si>
    <t>G-DILG-044-20</t>
  </si>
  <si>
    <t>RFQ-130-2020</t>
  </si>
  <si>
    <t>GOODS#0111, ITB#0113,  PR#0222: SCG-2020</t>
  </si>
  <si>
    <t>264-20</t>
  </si>
  <si>
    <t>058-20</t>
  </si>
  <si>
    <t>300-20-02-0073</t>
  </si>
  <si>
    <t>2020-06-09-02</t>
  </si>
  <si>
    <t>268-20</t>
  </si>
  <si>
    <t>PR NO. 202006027</t>
  </si>
  <si>
    <t>012-svp-2020</t>
  </si>
  <si>
    <t>266-20</t>
  </si>
  <si>
    <t>RFQ-134-2020</t>
  </si>
  <si>
    <t>2020-0170-PR2020-0403</t>
  </si>
  <si>
    <t>2020-03-002</t>
  </si>
  <si>
    <t>267-20</t>
  </si>
  <si>
    <t>20-06-0299</t>
  </si>
  <si>
    <t>265-20</t>
  </si>
  <si>
    <t>RFQ-135-2020</t>
  </si>
  <si>
    <t>RFQ-133-2020</t>
  </si>
  <si>
    <t>ITDI-200318</t>
  </si>
  <si>
    <t>RFQ-132-2020</t>
  </si>
  <si>
    <t>0007-0031-0915-2020</t>
  </si>
  <si>
    <t>GOOD-2020-004</t>
  </si>
  <si>
    <t>270-20</t>
  </si>
  <si>
    <t>ITDI-200316</t>
  </si>
  <si>
    <t>ITB No. 2020-29</t>
  </si>
  <si>
    <t>BAGO-BAC-2020-0109</t>
  </si>
  <si>
    <t>GS-PNBAC2-2020-28</t>
  </si>
  <si>
    <t>ITDI-200335</t>
  </si>
  <si>
    <t>BAGO-BAC-2020-0107</t>
  </si>
  <si>
    <t>S-2020-001</t>
  </si>
  <si>
    <t>2020 - 10</t>
  </si>
  <si>
    <t>269-20</t>
  </si>
  <si>
    <t>ITDI-200353</t>
  </si>
  <si>
    <t>S-2020-002</t>
  </si>
  <si>
    <t>272-20</t>
  </si>
  <si>
    <t>ITDI-200352</t>
  </si>
  <si>
    <t>271-20</t>
  </si>
  <si>
    <t>BAGO-BAC-2020-0113</t>
  </si>
  <si>
    <t>059-20</t>
  </si>
  <si>
    <t>S-2020-003</t>
  </si>
  <si>
    <t>6-20-21</t>
  </si>
  <si>
    <t>BAGO-BAC-2020-0114</t>
  </si>
  <si>
    <t>bacgal-51-2020</t>
  </si>
  <si>
    <t>BAGO-BAC-2020-0115</t>
  </si>
  <si>
    <t>ITDI-200354</t>
  </si>
  <si>
    <t>lgu-es-20-06-116</t>
  </si>
  <si>
    <t>2020-06-294-06</t>
  </si>
  <si>
    <t>HBAC-CW-2020-03-0368</t>
  </si>
  <si>
    <t>20-031</t>
  </si>
  <si>
    <t>PR#20-06-0290</t>
  </si>
  <si>
    <t>2020-03-003</t>
  </si>
  <si>
    <t>060-20</t>
  </si>
  <si>
    <t>PR No. 20-0936</t>
  </si>
  <si>
    <t>2020-06-3089</t>
  </si>
  <si>
    <t>2020-06-3090</t>
  </si>
  <si>
    <t>100-06-20-002-BARANGAY LANGON</t>
  </si>
  <si>
    <t>0044-05-2020</t>
  </si>
  <si>
    <t>PCADG-06-09-2020</t>
  </si>
  <si>
    <t>20CSM00101</t>
  </si>
  <si>
    <t>NC#2020-0273-PR2020-0382</t>
  </si>
  <si>
    <t>san agustin 2020-005</t>
  </si>
  <si>
    <t>2020-06-295-07</t>
  </si>
  <si>
    <t>ITDI-200365</t>
  </si>
  <si>
    <t>BUE-06092020-01</t>
  </si>
  <si>
    <t>ITDI-200350</t>
  </si>
  <si>
    <t>ITDI-200351</t>
  </si>
  <si>
    <t>PR No. 20-0699</t>
  </si>
  <si>
    <t>ITDI-200347</t>
  </si>
  <si>
    <t>LGU-RFQ-2020-52</t>
  </si>
  <si>
    <t>BFP R3 BAC IB No. 2020-004 (INFRA)</t>
  </si>
  <si>
    <t>ITDI-200345</t>
  </si>
  <si>
    <t>2020-006-001</t>
  </si>
  <si>
    <t>BAGO-BAC-2020-0121</t>
  </si>
  <si>
    <t>buhatan202007</t>
  </si>
  <si>
    <t>2020-05-254</t>
  </si>
  <si>
    <t>TINOC-2020-04-GOODS</t>
  </si>
  <si>
    <t>lgu-es-20-06-117</t>
  </si>
  <si>
    <t>036-2020</t>
  </si>
  <si>
    <t>20PK0070</t>
  </si>
  <si>
    <t>100-06-20-003 -BARANGAY BATUNGAN</t>
  </si>
  <si>
    <t>PR No. 20-0935</t>
  </si>
  <si>
    <t>HILONGOS 2020-180</t>
  </si>
  <si>
    <t>ITDI-200344</t>
  </si>
  <si>
    <t>BAC-GOOD-20-06-01</t>
  </si>
  <si>
    <t>Procurement of One (1) unit Service Vehicle  Pick-</t>
  </si>
  <si>
    <t>Buhatan202008</t>
  </si>
  <si>
    <t>062-20</t>
  </si>
  <si>
    <t>ITDI-200341</t>
  </si>
  <si>
    <t>2020-06-296-08</t>
  </si>
  <si>
    <t>PR NO. 100-8751-20-05-0564</t>
  </si>
  <si>
    <t>LR_2020_05_2005</t>
  </si>
  <si>
    <t>BAGO-BAC-2020-0123</t>
  </si>
  <si>
    <t>SUBM#2020 -06 - 14</t>
  </si>
  <si>
    <t>SN# 2020-009</t>
  </si>
  <si>
    <t>BAGO-BAC-2020-0122</t>
  </si>
  <si>
    <t>037-2020</t>
  </si>
  <si>
    <t>good-2020-014</t>
  </si>
  <si>
    <t>Bilbao202002</t>
  </si>
  <si>
    <t>BTG3-2020-0207</t>
  </si>
  <si>
    <t>101-2020-05-0187</t>
  </si>
  <si>
    <t>P.R. 0482 SERIES 2020</t>
  </si>
  <si>
    <t>ITB No. 2020-11-EFS</t>
  </si>
  <si>
    <t>2020086</t>
  </si>
  <si>
    <t>2020-06-297-09</t>
  </si>
  <si>
    <t>177-20</t>
  </si>
  <si>
    <t>TINOC-2020-05-GOODS</t>
  </si>
  <si>
    <t>PR-2020-06-026</t>
  </si>
  <si>
    <t>BAGO-BAC-2020-0124</t>
  </si>
  <si>
    <t>BFP R3 BAC IB No. 2020-002 (INFRA)</t>
  </si>
  <si>
    <t>BAGO-BAC-2020-0126</t>
  </si>
  <si>
    <t>2020085</t>
  </si>
  <si>
    <t>2020-06-0011</t>
  </si>
  <si>
    <t>101-2020-05-0189</t>
  </si>
  <si>
    <t>203-20</t>
  </si>
  <si>
    <t>20GII0009</t>
  </si>
  <si>
    <t>PR#20-06-0292</t>
  </si>
  <si>
    <t>hamorawon202002</t>
  </si>
  <si>
    <t>ITDI-200340</t>
  </si>
  <si>
    <t>05-066P-W</t>
  </si>
  <si>
    <t>LR_2020_05_2006</t>
  </si>
  <si>
    <t>ITB 2020-001</t>
  </si>
  <si>
    <t>PR #036</t>
  </si>
  <si>
    <t>101-20-06-267</t>
  </si>
  <si>
    <t>2006-0614</t>
  </si>
  <si>
    <t>101-2020-05-0188</t>
  </si>
  <si>
    <t>BAGO-BAC-2020-0128</t>
  </si>
  <si>
    <t>BAGO-BAC-2020-0125</t>
  </si>
  <si>
    <t>INFRA-2020-05-30</t>
  </si>
  <si>
    <t>ITDI-200339</t>
  </si>
  <si>
    <t>2020-008</t>
  </si>
  <si>
    <t>2020-04-246</t>
  </si>
  <si>
    <t>101-2020-05-0191</t>
  </si>
  <si>
    <t>ITB 2020 - 02</t>
  </si>
  <si>
    <t>DA7-2020-06-R&amp;DR-20-1216(R1)</t>
  </si>
  <si>
    <t>LGU Nasipit-2020-045</t>
  </si>
  <si>
    <t>BAGO-BAC-2020-0129</t>
  </si>
  <si>
    <t>101-2020-05-0190</t>
  </si>
  <si>
    <t>2020-5-1201</t>
  </si>
  <si>
    <t>GOODS 2020-011</t>
  </si>
  <si>
    <t>2006-0615</t>
  </si>
  <si>
    <t>PR-2020-06-025</t>
  </si>
  <si>
    <t>BAGO-BAC-2020-0127</t>
  </si>
  <si>
    <t>101-2020-05-0192</t>
  </si>
  <si>
    <t>2006-0603</t>
  </si>
  <si>
    <t>BAGO-BAC-2020-0133</t>
  </si>
  <si>
    <t>PR#2020-06-107</t>
  </si>
  <si>
    <t>20CB-GSC-304-PURCHASE OF FUEL &amp; LUBRICANTS (RE-BID</t>
  </si>
  <si>
    <t>BAGO-BAC-2020-0130</t>
  </si>
  <si>
    <t>Galicia202002</t>
  </si>
  <si>
    <t>INFRA-2020-05-31</t>
  </si>
  <si>
    <t>012-2020</t>
  </si>
  <si>
    <t>BFP R3 BAC IB No. 2020-003 (INFRA)</t>
  </si>
  <si>
    <t>PBG-2020-04-10</t>
  </si>
  <si>
    <t>2006-0599</t>
  </si>
  <si>
    <t>18-20</t>
  </si>
  <si>
    <t>2020-06-09-003</t>
  </si>
  <si>
    <t>BAGO-BAC-2020-0131</t>
  </si>
  <si>
    <t>BAGO-BAC-2020-0132</t>
  </si>
  <si>
    <t>101-2020-05-0193</t>
  </si>
  <si>
    <t>2020-PLA-058</t>
  </si>
  <si>
    <t>BAGO-BAC-2020-0134</t>
  </si>
  <si>
    <t>2020-06-09-004</t>
  </si>
  <si>
    <t>2020-06-0334</t>
  </si>
  <si>
    <t>2020-06-0333</t>
  </si>
  <si>
    <t>2020-ANT-GOODS-0105</t>
  </si>
  <si>
    <t>2020-03-203</t>
  </si>
  <si>
    <t>INFRA-2020-05-32</t>
  </si>
  <si>
    <t>BAGO-BAC-2020-0135</t>
  </si>
  <si>
    <t>20-06-0274</t>
  </si>
  <si>
    <t>MG-A7M20-074</t>
  </si>
  <si>
    <t>ITB 2020- 002</t>
  </si>
  <si>
    <t>PR No. 1000031980</t>
  </si>
  <si>
    <t>2020-06-0335</t>
  </si>
  <si>
    <t>BAGO-BAC-2020-0136</t>
  </si>
  <si>
    <t>2020-06-09 SH</t>
  </si>
  <si>
    <t>2006-0600</t>
  </si>
  <si>
    <t>GF 2020-06-02</t>
  </si>
  <si>
    <t>2020-POBLACION-001</t>
  </si>
  <si>
    <t>2006-0601</t>
  </si>
  <si>
    <t>20CB-GSC-307	PURCHASE OF IT EQUIPMENT</t>
  </si>
  <si>
    <t>2020-011</t>
  </si>
  <si>
    <t>MAILHI200601</t>
  </si>
  <si>
    <t>F-008-0373-20</t>
  </si>
  <si>
    <t>INFRA-2020-05-33</t>
  </si>
  <si>
    <t>170-2020-001</t>
  </si>
  <si>
    <t>ITDI-200337</t>
  </si>
  <si>
    <t>2020-06-001 GD</t>
  </si>
  <si>
    <t>DA7-2020-06-AMAD-20-1302(R1)</t>
  </si>
  <si>
    <t>309-2020-001</t>
  </si>
  <si>
    <t>PR No. 1000031884</t>
  </si>
  <si>
    <t>ITDI-200338</t>
  </si>
  <si>
    <t>05-066P-B</t>
  </si>
  <si>
    <t>2020-Barangay Old Mahayag-002</t>
  </si>
  <si>
    <t>ITDI-200336</t>
  </si>
  <si>
    <t>BAC-GOOD-20-06-02</t>
  </si>
  <si>
    <t>INFRA-2020-05-34</t>
  </si>
  <si>
    <t>bacgal-52-2020</t>
  </si>
  <si>
    <t>D-032-0284-20</t>
  </si>
  <si>
    <t>ITDI-200326</t>
  </si>
  <si>
    <t>174-2020-001</t>
  </si>
  <si>
    <t>dcm-2020-06-003</t>
  </si>
  <si>
    <t>LGU-RFQ-2020-53</t>
  </si>
  <si>
    <t>ITDI-200325</t>
  </si>
  <si>
    <t>2020-54</t>
  </si>
  <si>
    <t>2020-POBLACION-002</t>
  </si>
  <si>
    <t>PB-INF-001-2020</t>
  </si>
  <si>
    <t>ITDI-200206</t>
  </si>
  <si>
    <t>RFQ NO. 075-2020 MGB 12</t>
  </si>
  <si>
    <t>171-2020-001</t>
  </si>
  <si>
    <t>PR-2020-06-01-SH</t>
  </si>
  <si>
    <t>DCWD 016 - 2020</t>
  </si>
  <si>
    <t>BAC-INFRA-20-06-01</t>
  </si>
  <si>
    <t>ITDI-200314</t>
  </si>
  <si>
    <t>ITDI-200294</t>
  </si>
  <si>
    <t>PR-2020-06-02</t>
  </si>
  <si>
    <t>2020-06-02 SH</t>
  </si>
  <si>
    <t>ITB No. 20-23</t>
  </si>
  <si>
    <t>2020-POBLACION-003</t>
  </si>
  <si>
    <t>RFQ NO. 077-2020 MGB 12</t>
  </si>
  <si>
    <t>G-062020-00841</t>
  </si>
  <si>
    <t>ITB-09-001-2020</t>
  </si>
  <si>
    <t>PR-2020-06-03-SH</t>
  </si>
  <si>
    <t>ITDI-200297</t>
  </si>
  <si>
    <t>ITDI-200296</t>
  </si>
  <si>
    <t>2020-55</t>
  </si>
  <si>
    <t>2020-POBLACION-005</t>
  </si>
  <si>
    <t>RFQ NO. 076-2020 MGB 12</t>
  </si>
  <si>
    <t>PB-INF-002-2020</t>
  </si>
  <si>
    <t>kolwd 2020-06-198</t>
  </si>
  <si>
    <t>2020-POBLACION-004</t>
  </si>
  <si>
    <t>BDM-BAC-2020-006</t>
  </si>
  <si>
    <t>N20-094</t>
  </si>
  <si>
    <t>JAE-SVP-2020-03-0406 GAA</t>
  </si>
  <si>
    <t>AB-2020-0012</t>
  </si>
  <si>
    <t>20PE0085</t>
  </si>
  <si>
    <t>20-1235</t>
  </si>
  <si>
    <t>PB-INF-003-2020</t>
  </si>
  <si>
    <t>20PC0052</t>
  </si>
  <si>
    <t>N20-LDF-095</t>
  </si>
  <si>
    <t>20GAB0003</t>
  </si>
  <si>
    <t>20PE0086</t>
  </si>
  <si>
    <t>20PE0087</t>
  </si>
  <si>
    <t>20PE0088</t>
  </si>
  <si>
    <t>GOODS 2020-019</t>
  </si>
  <si>
    <t>20NF0077</t>
  </si>
  <si>
    <t>20PE0089</t>
  </si>
  <si>
    <t>IB NO. 2020-220</t>
  </si>
  <si>
    <t>LGU-100-2020-06-I-007</t>
  </si>
  <si>
    <t>0020-0125.0755A2020</t>
  </si>
  <si>
    <t>LGU-100-2020-06-I-008</t>
  </si>
  <si>
    <t>20NF0078</t>
  </si>
  <si>
    <t>20CB-GSC-308	PURCHASE OF NOTEBOOK AND DESKTOP COMP</t>
  </si>
  <si>
    <t>20-06-029</t>
  </si>
  <si>
    <t>TAS20-06-154</t>
  </si>
  <si>
    <t>20-05-097</t>
  </si>
  <si>
    <t>MG-A5M20-091</t>
  </si>
  <si>
    <t>LGU-100-2020-06-G-416</t>
  </si>
  <si>
    <t>20PC0059</t>
  </si>
  <si>
    <t>02-2020 pongol</t>
  </si>
  <si>
    <t>20CB-GSC-311 PURCHASE OF DRUGS AND MEDICINES FOR B</t>
  </si>
  <si>
    <t>Aklan BAC ITB 335 Series of 2020</t>
  </si>
  <si>
    <t>20CB-GSC-310	PURCHASE OF DIESEL AND GASOLINE FOR C</t>
  </si>
  <si>
    <t>20-06-0273</t>
  </si>
  <si>
    <t>2020.6.9./1ST POSTINGST.LIGHTCABUGAO</t>
  </si>
  <si>
    <t>20-06-0269</t>
  </si>
  <si>
    <t>0020-0137-0811-2020</t>
  </si>
  <si>
    <t>2020-06-43</t>
  </si>
  <si>
    <t>01-2020 pongol</t>
  </si>
  <si>
    <t>20-06-023</t>
  </si>
  <si>
    <t>ITB No. 074=NP-2020</t>
  </si>
  <si>
    <t>2020-06-46</t>
  </si>
  <si>
    <t>8918-9-1778-20</t>
  </si>
  <si>
    <t>06092020-A</t>
  </si>
  <si>
    <t>01-595-2020</t>
  </si>
  <si>
    <t>2020-06-090</t>
  </si>
  <si>
    <t>2020-06-0315 et al.</t>
  </si>
  <si>
    <t>2020-06-45</t>
  </si>
  <si>
    <t>0700-2020-06-018</t>
  </si>
  <si>
    <t>2020-152</t>
  </si>
  <si>
    <t>Lot 1 (Lucio Vivero CS)-Bid Docs_2020 QRF-Repair -</t>
  </si>
  <si>
    <t>SM-20-001</t>
  </si>
  <si>
    <t>03-2020 pongol</t>
  </si>
  <si>
    <t>Bid No. 20-0254</t>
  </si>
  <si>
    <t>20-06-074</t>
  </si>
  <si>
    <t>2020-0644</t>
  </si>
  <si>
    <t>IB No. 2020-210</t>
  </si>
  <si>
    <t>0020-0135-0806B2020</t>
  </si>
  <si>
    <t>0020-0137-0811A2020</t>
  </si>
  <si>
    <t>2020-06-48</t>
  </si>
  <si>
    <t>C4ISR-PNBAC1-2020-24</t>
  </si>
  <si>
    <t>2020-08 (20DI0115)</t>
  </si>
  <si>
    <t>2020-0609-1</t>
  </si>
  <si>
    <t>PB-0520-20</t>
  </si>
  <si>
    <t>8911-08-2032-20</t>
  </si>
  <si>
    <t>02-2020 capihan</t>
  </si>
  <si>
    <t>2020-0609-2</t>
  </si>
  <si>
    <t>2020-06-47</t>
  </si>
  <si>
    <t>2020-0609-3</t>
  </si>
  <si>
    <t>Bid No. 20-0255</t>
  </si>
  <si>
    <t>Aklan BAC ITB 333 Series of 2020</t>
  </si>
  <si>
    <t>BOD20-078</t>
  </si>
  <si>
    <t>PB-0520-26</t>
  </si>
  <si>
    <t>2020-06-49</t>
  </si>
  <si>
    <t>2020-06-50</t>
  </si>
  <si>
    <t>2020-06-0013</t>
  </si>
  <si>
    <t>6911-9-957-20</t>
  </si>
  <si>
    <t>PG-RFQ-2020-11</t>
  </si>
  <si>
    <t>lam-bac-206-020</t>
  </si>
  <si>
    <t>2LSSM2020A-144</t>
  </si>
  <si>
    <t>geps-2020-003</t>
  </si>
  <si>
    <t>2020-019(Re-Bid)</t>
  </si>
  <si>
    <t>Goods-112-2020</t>
  </si>
  <si>
    <t>RFQ 0620-008</t>
  </si>
  <si>
    <t>20NC0121</t>
  </si>
  <si>
    <t>2LSSM2020A-146</t>
  </si>
  <si>
    <t>2020-0609-4</t>
  </si>
  <si>
    <t>0020-0136-0810A2020</t>
  </si>
  <si>
    <t>Aklan BAC ITB 336 Series of 336</t>
  </si>
  <si>
    <t>PGO 200-20-04-04693</t>
  </si>
  <si>
    <t>C4ISR-PNBAC1-2020-25</t>
  </si>
  <si>
    <t>2020-08 (20DI0116)</t>
  </si>
  <si>
    <t>geps-2020-004</t>
  </si>
  <si>
    <t>DA7-2020-06-SAAD-20-1708(R1)</t>
  </si>
  <si>
    <t>GSS-001-2020</t>
  </si>
  <si>
    <t>20053297</t>
  </si>
  <si>
    <t>038-2020</t>
  </si>
  <si>
    <t>0020-0137-0811B2020</t>
  </si>
  <si>
    <t>20-0673</t>
  </si>
  <si>
    <t>2020-06-51</t>
  </si>
  <si>
    <t>PB-0320-10</t>
  </si>
  <si>
    <t>2LSSM2020A-145</t>
  </si>
  <si>
    <t>2020-06-57</t>
  </si>
  <si>
    <t>SVP-071-2020</t>
  </si>
  <si>
    <t>2020-062</t>
  </si>
  <si>
    <t>2020-03-0187 &amp; 2020-03-0168</t>
  </si>
  <si>
    <t>2020-06-53</t>
  </si>
  <si>
    <t>06-10-2020-01</t>
  </si>
  <si>
    <t>05-215P-A</t>
  </si>
  <si>
    <t>2020-0609</t>
  </si>
  <si>
    <t>BAC-GS-2020-06-003</t>
  </si>
  <si>
    <t>20JG0051 - rebid</t>
  </si>
  <si>
    <t>20053369</t>
  </si>
  <si>
    <t>SAR-GOODS-06-039-2020</t>
  </si>
  <si>
    <t>2LSSM2020A-147</t>
  </si>
  <si>
    <t>2LSSM2020A-148</t>
  </si>
  <si>
    <t>infra-2020-001</t>
  </si>
  <si>
    <t>2020-08 (20DI0117)</t>
  </si>
  <si>
    <t>2020-06-56</t>
  </si>
  <si>
    <t>01-838-2020</t>
  </si>
  <si>
    <t>RFQ 0620-011</t>
  </si>
  <si>
    <t>2LSSM2020A-149</t>
  </si>
  <si>
    <t>361-2020 Bidding</t>
  </si>
  <si>
    <t>06-10-2020-03</t>
  </si>
  <si>
    <t>2020-06-55</t>
  </si>
  <si>
    <t>RFQ 0620-006</t>
  </si>
  <si>
    <t>PB-0320-16</t>
  </si>
  <si>
    <t>2020-06-58</t>
  </si>
  <si>
    <t>RSQ-E 20-06-003 / PR 20-05-151</t>
  </si>
  <si>
    <t>20H00061</t>
  </si>
  <si>
    <t>06-10-2020-02</t>
  </si>
  <si>
    <t>Tinocawan202001</t>
  </si>
  <si>
    <t>06-10-2020-04</t>
  </si>
  <si>
    <t>2LSSM2020A-150</t>
  </si>
  <si>
    <t>SAR-GOODS-06-038-2020</t>
  </si>
  <si>
    <t>BOD20-079</t>
  </si>
  <si>
    <t>2020-06-044</t>
  </si>
  <si>
    <t>CEISS-RMMV-1008-20</t>
  </si>
  <si>
    <t>geps-2020-005</t>
  </si>
  <si>
    <t>BGY-706</t>
  </si>
  <si>
    <t>GDS-2020-07</t>
  </si>
  <si>
    <t>B13-2</t>
  </si>
  <si>
    <t>INFRA -01- 2020</t>
  </si>
  <si>
    <t>Tinocawan202002</t>
  </si>
  <si>
    <t>06-10-2020-05</t>
  </si>
  <si>
    <t>RFQ-6-9-2020B</t>
  </si>
  <si>
    <t>2LSSM2020A-151</t>
  </si>
  <si>
    <t>06-10-2020-06</t>
  </si>
  <si>
    <t>6-30-20</t>
  </si>
  <si>
    <t>MAVS 200-20-04-03275</t>
  </si>
  <si>
    <t>PR# 20-05-940</t>
  </si>
  <si>
    <t>PB-0520-28</t>
  </si>
  <si>
    <t>2020-0611</t>
  </si>
  <si>
    <t>20-0661</t>
  </si>
  <si>
    <t>2LSSM2020A-152</t>
  </si>
  <si>
    <t>BAC-PG-001-20</t>
  </si>
  <si>
    <t>geps-2020-006</t>
  </si>
  <si>
    <t>HRMO 300-20-02-00622</t>
  </si>
  <si>
    <t>2005337</t>
  </si>
  <si>
    <t>06-10-2020-08</t>
  </si>
  <si>
    <t>2020-08 (20DI0120)</t>
  </si>
  <si>
    <t>infra-2020-002</t>
  </si>
  <si>
    <t>ITB2020-06-01</t>
  </si>
  <si>
    <t>06-10-2020-07</t>
  </si>
  <si>
    <t>PCAG 200-20-03-02436</t>
  </si>
  <si>
    <t>PR# 20-05-804</t>
  </si>
  <si>
    <t>BXU-2020-17</t>
  </si>
  <si>
    <t>06-10-2020-09</t>
  </si>
  <si>
    <t>MAVS 200-20-04-04640</t>
  </si>
  <si>
    <t>geps-2020-007</t>
  </si>
  <si>
    <t>geps-2020-008</t>
  </si>
  <si>
    <t>OJ7-TELM-1085-20</t>
  </si>
  <si>
    <t>SB-2020-020</t>
  </si>
  <si>
    <t>2005-249</t>
  </si>
  <si>
    <t>DA RFO-1-2019-INFRA-058-R</t>
  </si>
  <si>
    <t>06-10-2020-10</t>
  </si>
  <si>
    <t>20CSAH01</t>
  </si>
  <si>
    <t>2020-300-06-018</t>
  </si>
  <si>
    <t>2LSSM2020A-154</t>
  </si>
  <si>
    <t>BAC SV 2020-46</t>
  </si>
  <si>
    <t>20GGI0033</t>
  </si>
  <si>
    <t>2LSSM2020A-153</t>
  </si>
  <si>
    <t>CawExt2020-001</t>
  </si>
  <si>
    <t>20200609-15</t>
  </si>
  <si>
    <t>INFRA-2020-06-042</t>
  </si>
  <si>
    <t>2020-08 (20DI0118)</t>
  </si>
  <si>
    <t>20CSA001</t>
  </si>
  <si>
    <t>MH-GOODS-CULIPAPA-CR-PHASE3-2020-001</t>
  </si>
  <si>
    <t>geps-2020-009</t>
  </si>
  <si>
    <t>2020-08 (20DI0119)</t>
  </si>
  <si>
    <t>2020-25</t>
  </si>
  <si>
    <t>2020-03-0221</t>
  </si>
  <si>
    <t>POPDEV 200-20-02-01100</t>
  </si>
  <si>
    <t>infra-2020-003</t>
  </si>
  <si>
    <t>2020-08 (20DI0121)</t>
  </si>
  <si>
    <t>mabpang-0609-2020-01</t>
  </si>
  <si>
    <t>DA RFO-1-2019-INFRA-060-R</t>
  </si>
  <si>
    <t>Bid No. 20-0262</t>
  </si>
  <si>
    <t>Sagrada202001</t>
  </si>
  <si>
    <t>2020-08 (20DI0122)</t>
  </si>
  <si>
    <t>525-2020</t>
  </si>
  <si>
    <t>DA RFO-1-2019-INFRA-061-R</t>
  </si>
  <si>
    <t>PGO 200-20-05-05205</t>
  </si>
  <si>
    <t>QES-06-009-20</t>
  </si>
  <si>
    <t>SB-2020-021</t>
  </si>
  <si>
    <t>ITDI-200367</t>
  </si>
  <si>
    <t>ITNTGH No. 2020-001</t>
  </si>
  <si>
    <t>SPPH 200-20-02-01411</t>
  </si>
  <si>
    <t>VMC-2020-064</t>
  </si>
  <si>
    <t>B13-3</t>
  </si>
  <si>
    <t>infra-2020-004</t>
  </si>
  <si>
    <t>ITB2020-06-02</t>
  </si>
  <si>
    <t>LSIFR 200-20-03-02706</t>
  </si>
  <si>
    <t>25020-06-02</t>
  </si>
  <si>
    <t>ITB 2020-053</t>
  </si>
  <si>
    <t>geps-2020-010</t>
  </si>
  <si>
    <t>DV -2020-G14</t>
  </si>
  <si>
    <t>C-011-20</t>
  </si>
  <si>
    <t>ITDI-200295</t>
  </si>
  <si>
    <t>GEPS 01 2020</t>
  </si>
  <si>
    <t>mabpang-0609-2020-02</t>
  </si>
  <si>
    <t>DA RFO-1-2019-INFRA-062-R</t>
  </si>
  <si>
    <t>ITDI-200343</t>
  </si>
  <si>
    <t>Sagrada202002</t>
  </si>
  <si>
    <t>Lot 2 (Tagpuro ES)-Bid Docs_2020 QRF-Repair - Tacl</t>
  </si>
  <si>
    <t>20GKG0023</t>
  </si>
  <si>
    <t>SVP 2020-027</t>
  </si>
  <si>
    <t>DA RFO-1-2019-INFRA-066-R</t>
  </si>
  <si>
    <t>20GKG0024</t>
  </si>
  <si>
    <t>ITDI-200293</t>
  </si>
  <si>
    <t>100(01)20-06-324(O)</t>
  </si>
  <si>
    <t>2020-08 (20DI0123)</t>
  </si>
  <si>
    <t>B13-4</t>
  </si>
  <si>
    <t>100(01)20-06-325(O)</t>
  </si>
  <si>
    <t>C-017-20</t>
  </si>
  <si>
    <t>BXU-2020-18</t>
  </si>
  <si>
    <t>QES-06-010-20</t>
  </si>
  <si>
    <t>0020-0135-0806A2020</t>
  </si>
  <si>
    <t>ITB 2020-052</t>
  </si>
  <si>
    <t>2020-08 (20DI0124)</t>
  </si>
  <si>
    <t>ITB No. GOODS-20-108</t>
  </si>
  <si>
    <t>ITDI-200368</t>
  </si>
  <si>
    <t>BOD20-080</t>
  </si>
  <si>
    <t>Lot 3 (Cabalawan ES)-Bid Docs_2020 QRF-Repair - Ta</t>
  </si>
  <si>
    <t>ITB 2020-054</t>
  </si>
  <si>
    <t>2020-0140</t>
  </si>
  <si>
    <t>0020-0136-0810-2020</t>
  </si>
  <si>
    <t>2020-08 (20DI0125)</t>
  </si>
  <si>
    <t>20GGI0034</t>
  </si>
  <si>
    <t>2020-0609-5</t>
  </si>
  <si>
    <t>ITB 006-038-2020</t>
  </si>
  <si>
    <t>2020-08 (20DI0126)</t>
  </si>
  <si>
    <t>E-018-0318-20</t>
  </si>
  <si>
    <t>ITB-GS-20200313-01</t>
  </si>
  <si>
    <t>INFRA-20-05</t>
  </si>
  <si>
    <t>20GKG0025</t>
  </si>
  <si>
    <t>BrgyPresGarcia 2020 - 001</t>
  </si>
  <si>
    <t>Binmisor 023-2020</t>
  </si>
  <si>
    <t>BAC-MAGATOS-2020-02</t>
  </si>
  <si>
    <t>B13-5</t>
  </si>
  <si>
    <t>2020-0609-6</t>
  </si>
  <si>
    <t>SVP 2020-028</t>
  </si>
  <si>
    <t>BXU-2020-19</t>
  </si>
  <si>
    <t>2020-0609-7</t>
  </si>
  <si>
    <t>0033/June/2020</t>
  </si>
  <si>
    <t>2020-08 (20DI0127)</t>
  </si>
  <si>
    <t>RFQ 0620-012</t>
  </si>
  <si>
    <t>0020-0135-0806-2020</t>
  </si>
  <si>
    <t>20PL0115</t>
  </si>
  <si>
    <t>20GKG0026</t>
  </si>
  <si>
    <t>Ibaan/2020/231</t>
  </si>
  <si>
    <t>2020 GDS JUN - 02</t>
  </si>
  <si>
    <t>RFQ 0620-013</t>
  </si>
  <si>
    <t>IB No. 2020-219</t>
  </si>
  <si>
    <t>AIEB 2020-021</t>
  </si>
  <si>
    <t>B13-6</t>
  </si>
  <si>
    <t>06092003</t>
  </si>
  <si>
    <t>geps-2020-012</t>
  </si>
  <si>
    <t>PB-0620-29</t>
  </si>
  <si>
    <t>QN-200608-16/ MS-20-0673</t>
  </si>
  <si>
    <t>065-20</t>
  </si>
  <si>
    <t>2020-0141</t>
  </si>
  <si>
    <t>RFQ 0620-014</t>
  </si>
  <si>
    <t>Binmisor 024-2020</t>
  </si>
  <si>
    <t>ITB No. GOODS-20-109</t>
  </si>
  <si>
    <t>geps-2020-011</t>
  </si>
  <si>
    <t>064-20</t>
  </si>
  <si>
    <t>BrgyPresGarcia 2020 - 003</t>
  </si>
  <si>
    <t>101-2020-05-0194</t>
  </si>
  <si>
    <t>Lot 4 (Sta. Elena ES)-Bid Docs_2020 QRF-Repair - T</t>
  </si>
  <si>
    <t>20NE0089</t>
  </si>
  <si>
    <t>B13-7</t>
  </si>
  <si>
    <t>PR2020-05-015</t>
  </si>
  <si>
    <t>geps-2020-013</t>
  </si>
  <si>
    <t>RFQ 0620-015</t>
  </si>
  <si>
    <t>AIEB 2020-022</t>
  </si>
  <si>
    <t>ITB-020-2020</t>
  </si>
  <si>
    <t>101-2020-05-0240</t>
  </si>
  <si>
    <t>PB-0620-30</t>
  </si>
  <si>
    <t>20PA0129</t>
  </si>
  <si>
    <t>geps-2020-015</t>
  </si>
  <si>
    <t>013</t>
  </si>
  <si>
    <t>ITB No. GOODS-20-110</t>
  </si>
  <si>
    <t>063-20</t>
  </si>
  <si>
    <t>ITB No. GOODS-20-111</t>
  </si>
  <si>
    <t>101-2020-05-0218</t>
  </si>
  <si>
    <t>geps-2020-014</t>
  </si>
  <si>
    <t>LGU Nasipit-2020-047</t>
  </si>
  <si>
    <t>20PA0130</t>
  </si>
  <si>
    <t>2020-5-378</t>
  </si>
  <si>
    <t>B-005-2020</t>
  </si>
  <si>
    <t>BAC-GS-0010-2020</t>
  </si>
  <si>
    <t>2020-05-036</t>
  </si>
  <si>
    <t>GOOD20200201</t>
  </si>
  <si>
    <t>101-2020-05-0238</t>
  </si>
  <si>
    <t>geps-2020-017</t>
  </si>
  <si>
    <t>GO-2020-0149 Rebidding</t>
  </si>
  <si>
    <t>Lot 5 (Sagkahan NHS)-Bid Docs_2020 QRF-Repair - Ta</t>
  </si>
  <si>
    <t>2020-06-151</t>
  </si>
  <si>
    <t>STF-PB-028</t>
  </si>
  <si>
    <t>2020-06-03-45</t>
  </si>
  <si>
    <t>BNLSL-LCB-24-2020</t>
  </si>
  <si>
    <t>geps-2020-016</t>
  </si>
  <si>
    <t>2020-03-005</t>
  </si>
  <si>
    <t>PB-0620-32</t>
  </si>
  <si>
    <t>PB-0620-31</t>
  </si>
  <si>
    <t>BOD20-081</t>
  </si>
  <si>
    <t>2020-05-083</t>
  </si>
  <si>
    <t>B-006-2020</t>
  </si>
  <si>
    <t>2LSSM2020C-156</t>
  </si>
  <si>
    <t>06092004</t>
  </si>
  <si>
    <t>2LSSM2020A-155</t>
  </si>
  <si>
    <t>2020-ODY-06-176</t>
  </si>
  <si>
    <t>Lot 6 (NTCNHS)-Bid Docs_2020 QRF-Repair - Tacloban</t>
  </si>
  <si>
    <t>101-2020-05-0239</t>
  </si>
  <si>
    <t>BNLSL-LCB-28-2020</t>
  </si>
  <si>
    <t>20C00046</t>
  </si>
  <si>
    <t>geps-2020-018</t>
  </si>
  <si>
    <t>2005-255</t>
  </si>
  <si>
    <t>2LSSM2020B-157</t>
  </si>
  <si>
    <t>241</t>
  </si>
  <si>
    <t>96</t>
  </si>
  <si>
    <t>IBTGH No. 2020 – 004</t>
  </si>
  <si>
    <t>20CSNH03</t>
  </si>
  <si>
    <t>PHO-2020-037 Rebidding</t>
  </si>
  <si>
    <t>2LSSM2020A-158</t>
  </si>
  <si>
    <t>2020-03-006</t>
  </si>
  <si>
    <t>PEO-2020-0065 &amp; 2020-0082 Rebidding</t>
  </si>
  <si>
    <t>BNLSL-LCB-28A-2020</t>
  </si>
  <si>
    <t>97</t>
  </si>
  <si>
    <t>GOODS-NP-2020-088</t>
  </si>
  <si>
    <t>DM 2020-007-001</t>
  </si>
  <si>
    <t>STF-PB-029</t>
  </si>
  <si>
    <t>2006-261</t>
  </si>
  <si>
    <t>2020-ODY-06-177</t>
  </si>
  <si>
    <t>2020-42</t>
  </si>
  <si>
    <t>GOOD20200303</t>
  </si>
  <si>
    <t>20C00047</t>
  </si>
  <si>
    <t>98</t>
  </si>
  <si>
    <t>GOODS-NP-2020-089</t>
  </si>
  <si>
    <t>B-81-2020</t>
  </si>
  <si>
    <t>243</t>
  </si>
  <si>
    <t>202042</t>
  </si>
  <si>
    <t>Quotation No.20-06-327</t>
  </si>
  <si>
    <t>geps-2020-019</t>
  </si>
  <si>
    <t>2020-03-007</t>
  </si>
  <si>
    <t>PB-0620-33</t>
  </si>
  <si>
    <t>ORF 10923-2020-07</t>
  </si>
  <si>
    <t>20GG0031-G (Rebid)</t>
  </si>
  <si>
    <t>BCS-2020-0099</t>
  </si>
  <si>
    <t>LGU LAUREL 20-06-001</t>
  </si>
  <si>
    <t>PR. No. 101-20-05-015</t>
  </si>
  <si>
    <t>2020-05-00426</t>
  </si>
  <si>
    <t>GF-PB-030</t>
  </si>
  <si>
    <t>bgy-793</t>
  </si>
  <si>
    <t>BOD20-082</t>
  </si>
  <si>
    <t>100-1917-20-303</t>
  </si>
  <si>
    <t>20-04-00321</t>
  </si>
  <si>
    <t>100</t>
  </si>
  <si>
    <t>20CSNH04</t>
  </si>
  <si>
    <t>GOODS-NP-2020-090</t>
  </si>
  <si>
    <t>INFRA-20-06</t>
  </si>
  <si>
    <t>060920</t>
  </si>
  <si>
    <t>2020-0610-1G</t>
  </si>
  <si>
    <t>99</t>
  </si>
  <si>
    <t>2020-03-009</t>
  </si>
  <si>
    <t>04-2020</t>
  </si>
  <si>
    <t>PN 10-2020</t>
  </si>
  <si>
    <t>2020-56</t>
  </si>
  <si>
    <t>geps-2020-020</t>
  </si>
  <si>
    <t>2020-03-008</t>
  </si>
  <si>
    <t>2LSSM2020B-159</t>
  </si>
  <si>
    <t>MJJLEC009-2020-02</t>
  </si>
  <si>
    <t>INFRA20200604</t>
  </si>
  <si>
    <t>202043</t>
  </si>
  <si>
    <t>PR. No. 101-20-05-017</t>
  </si>
  <si>
    <t>101</t>
  </si>
  <si>
    <t>2020-BGY353</t>
  </si>
  <si>
    <t>6061</t>
  </si>
  <si>
    <t>2020-03-010</t>
  </si>
  <si>
    <t>Goods 0028-2020</t>
  </si>
  <si>
    <t>17-2020</t>
  </si>
  <si>
    <t>2020-06-03-46</t>
  </si>
  <si>
    <t>BCS-2020-0100</t>
  </si>
  <si>
    <t>2020-0610-2G</t>
  </si>
  <si>
    <t>RGMO-PB-031</t>
  </si>
  <si>
    <t>BACII-2020-14</t>
  </si>
  <si>
    <t>2020-06-029</t>
  </si>
  <si>
    <t>2020-0610-3G</t>
  </si>
  <si>
    <t>geps-2020-021</t>
  </si>
  <si>
    <t>PR. No. 101-20-05-018</t>
  </si>
  <si>
    <t>20HD0093</t>
  </si>
  <si>
    <t>2020-03-011</t>
  </si>
  <si>
    <t>4Ps-2020-07-0183</t>
  </si>
  <si>
    <t>20GG0033-G (Rebid)</t>
  </si>
  <si>
    <t>2020-PB-008</t>
  </si>
  <si>
    <t>2LSSM2020A-161</t>
  </si>
  <si>
    <t>2020-PB-009</t>
  </si>
  <si>
    <t>2020-0610-5G</t>
  </si>
  <si>
    <t>geps-2020-022</t>
  </si>
  <si>
    <t>ITB No. GOP/20-DSWD-037</t>
  </si>
  <si>
    <t>2LSSM2020B-160</t>
  </si>
  <si>
    <t>19B00061</t>
  </si>
  <si>
    <t>2020-0610-4G</t>
  </si>
  <si>
    <t>20-03-00191</t>
  </si>
  <si>
    <t>20CSNH05</t>
  </si>
  <si>
    <t>RGMO-PB-032</t>
  </si>
  <si>
    <t>PB-0620-34</t>
  </si>
  <si>
    <t>2020-PB-013</t>
  </si>
  <si>
    <t>19B00060</t>
  </si>
  <si>
    <t>2LSSM2020B-163</t>
  </si>
  <si>
    <t>2LSSM2020B-164</t>
  </si>
  <si>
    <t>STF-PB-033</t>
  </si>
  <si>
    <t>PB 20-020-5</t>
  </si>
  <si>
    <t>2LSSM2020A-165</t>
  </si>
  <si>
    <t>20CSBG001</t>
  </si>
  <si>
    <t>2020-07-17-INFRA</t>
  </si>
  <si>
    <t>PB-0620-35</t>
  </si>
  <si>
    <t>2LSSM2020B-162</t>
  </si>
  <si>
    <t>2020-064</t>
  </si>
  <si>
    <t>2020-PB-011</t>
  </si>
  <si>
    <t>20NC0122</t>
  </si>
  <si>
    <t>PRDP-RPCOXI-SIC-011-2020</t>
  </si>
  <si>
    <t>2020-04-0331  CIS</t>
  </si>
  <si>
    <t>2020 - 021</t>
  </si>
  <si>
    <t>20BC0184</t>
  </si>
  <si>
    <t>100-1917-20-321</t>
  </si>
  <si>
    <t>03-06-2020</t>
  </si>
  <si>
    <t>2020-065</t>
  </si>
  <si>
    <t>20NC0124</t>
  </si>
  <si>
    <t>M-20-013</t>
  </si>
  <si>
    <t>2LSSM2020A-167</t>
  </si>
  <si>
    <t>2020-PB-014</t>
  </si>
  <si>
    <t>20NC0123</t>
  </si>
  <si>
    <t>PB-0620-36</t>
  </si>
  <si>
    <t>RVII-SQR-2020-06-001</t>
  </si>
  <si>
    <t>PB-0620-37</t>
  </si>
  <si>
    <t>110-2020</t>
  </si>
  <si>
    <t>2020-68</t>
  </si>
  <si>
    <t>20BC0202</t>
  </si>
  <si>
    <t>2LSSM2020A-168</t>
  </si>
  <si>
    <t>QRF2020-B1-NS-REPAIR-L2</t>
  </si>
  <si>
    <t>DWD-03-2020</t>
  </si>
  <si>
    <t>20CB0065</t>
  </si>
  <si>
    <t>20CB0068</t>
  </si>
  <si>
    <t>20BC0207</t>
  </si>
  <si>
    <t>2LSSM2020B-166</t>
  </si>
  <si>
    <t>BSI-PPRLESS BRGY CNCL</t>
  </si>
  <si>
    <t>20CB0067</t>
  </si>
  <si>
    <t>20NC0125</t>
  </si>
  <si>
    <t>20CB0066</t>
  </si>
  <si>
    <t>PB-0620-38</t>
  </si>
  <si>
    <t>20BC0204</t>
  </si>
  <si>
    <t>2020-01-0003</t>
  </si>
  <si>
    <t>QRF2020-B1-NS-REPAIR-L3</t>
  </si>
  <si>
    <t>06092005</t>
  </si>
  <si>
    <t>06092006</t>
  </si>
  <si>
    <t>BSI-HHOLD TRASHBINS</t>
  </si>
  <si>
    <t>20CB0069</t>
  </si>
  <si>
    <t>QRF2020-B1-NS-REPAIR-L1</t>
  </si>
  <si>
    <t>04-06-2020</t>
  </si>
  <si>
    <t>wpu-2020-007</t>
  </si>
  <si>
    <t>20BC0209</t>
  </si>
  <si>
    <t>20CB0070</t>
  </si>
  <si>
    <t>BARANGAY LISON VALLEY-1</t>
  </si>
  <si>
    <t>PB 20-02-14A</t>
  </si>
  <si>
    <t>2020-06-09 LGU</t>
  </si>
  <si>
    <t>6062</t>
  </si>
  <si>
    <t>QRF2020-B1-NS-REPAIR-L4</t>
  </si>
  <si>
    <t>20BC0210</t>
  </si>
  <si>
    <t>QRF2020-B1-NS-REPAIR-L6</t>
  </si>
  <si>
    <t>4PS-2020-06-0186</t>
  </si>
  <si>
    <t>09087 &amp; 09320</t>
  </si>
  <si>
    <t>QRF2020-B1-NS-REPAIR-L5</t>
  </si>
  <si>
    <t>WPU-2020-008</t>
  </si>
  <si>
    <t>240</t>
  </si>
  <si>
    <t>QRF2020-B1-NS-REPAIR-L8</t>
  </si>
  <si>
    <t>20MF0082</t>
  </si>
  <si>
    <t>QRF2020-B1-NS-REPAIR-L7</t>
  </si>
  <si>
    <t>20MF0081</t>
  </si>
  <si>
    <t>20MF0080</t>
  </si>
  <si>
    <t>ITB - Infra - 2020 - 06-001</t>
  </si>
  <si>
    <t>2020-PB-012</t>
  </si>
  <si>
    <t>WPU-2020-009</t>
  </si>
  <si>
    <t>20DL0203</t>
  </si>
  <si>
    <t>20DL0204</t>
  </si>
  <si>
    <t>KAP-20-05 (2nd Posting)</t>
  </si>
  <si>
    <t>2020-053</t>
  </si>
  <si>
    <t>20DL0205</t>
  </si>
  <si>
    <t>PB 20-02-15A</t>
  </si>
  <si>
    <t>20MF0084</t>
  </si>
  <si>
    <t>QRF2020-B1-NS-REPAIR-L9</t>
  </si>
  <si>
    <t>MG-A5O20-002</t>
  </si>
  <si>
    <t>20MF0083</t>
  </si>
  <si>
    <t>Lgn1 - SVP2020-06-0006</t>
  </si>
  <si>
    <t>20DL0206</t>
  </si>
  <si>
    <t>Lgn1 - SVP2020-06-0007</t>
  </si>
  <si>
    <t>2020-015</t>
  </si>
  <si>
    <t>sjom-goods-0003-2020</t>
  </si>
  <si>
    <t>20DL0207</t>
  </si>
  <si>
    <t>20MF0086</t>
  </si>
  <si>
    <t>QRF2020-B1-NS-REPAIR-L11</t>
  </si>
  <si>
    <t>20MF0085</t>
  </si>
  <si>
    <t>QRF2020-B1-NS-REPAIR-L10</t>
  </si>
  <si>
    <t>242</t>
  </si>
  <si>
    <t>ITB-2020-038</t>
  </si>
  <si>
    <t>MGPQ-RML-2020-06-003</t>
  </si>
  <si>
    <t>sjom-goods-0006-2020</t>
  </si>
  <si>
    <t>2020-06-0156</t>
  </si>
  <si>
    <t>MG-A5M20-100</t>
  </si>
  <si>
    <t>MGPIN-2020-02-013</t>
  </si>
  <si>
    <t>QRF2020-B1-NS-REPAIR-L12</t>
  </si>
  <si>
    <t>sjom-goods-0005-2020</t>
  </si>
  <si>
    <t>QRF2020-B1-NS-REPAIR-L13</t>
  </si>
  <si>
    <t>2020-06-0157</t>
  </si>
  <si>
    <t>sjom-goods-0007-2020</t>
  </si>
  <si>
    <t>MGPIN-2020-02-015</t>
  </si>
  <si>
    <t>MGPIN-2020-06-050</t>
  </si>
  <si>
    <t>MGPIN-2020-06-051</t>
  </si>
  <si>
    <t>ITB-2020-063</t>
  </si>
  <si>
    <t>QRF2020-B1-NS-REPAIR-L14</t>
  </si>
  <si>
    <t>ITB-2020-064</t>
  </si>
  <si>
    <t>sjom-goods-0004-2020</t>
  </si>
  <si>
    <t>2020-06-0004</t>
  </si>
  <si>
    <t>202006015</t>
  </si>
  <si>
    <t>20MF0087</t>
  </si>
  <si>
    <t>2020-06-0005</t>
  </si>
  <si>
    <t>127 – 2020</t>
  </si>
  <si>
    <t>2020-06-0160</t>
  </si>
  <si>
    <t>QRF2020-B1-NS-REPAIR-L16</t>
  </si>
  <si>
    <t>MKWD2020-046</t>
  </si>
  <si>
    <t>126 – 2020</t>
  </si>
  <si>
    <t>202006017</t>
  </si>
  <si>
    <t>202006016</t>
  </si>
  <si>
    <t>QRF2020-B1-NS-REPAIR-L17</t>
  </si>
  <si>
    <t>DV -2020-G15</t>
  </si>
  <si>
    <t>128 – 2020</t>
  </si>
  <si>
    <t>20CE0209</t>
  </si>
  <si>
    <t>REI - 2020 - 01</t>
  </si>
  <si>
    <t>QRF2020-B1-NS-REPAIR-L18</t>
  </si>
  <si>
    <t>QRF2020-B1-NS-REPAIR-L23</t>
  </si>
  <si>
    <t>QRF2020-B1-NS-REPAIR-L22</t>
  </si>
  <si>
    <t>QRF2020-B1-NS-REPAIR-L15</t>
  </si>
  <si>
    <t>QRF2020-B1-NS-REPAIR-L19</t>
  </si>
  <si>
    <t>ANTI-10-20</t>
  </si>
  <si>
    <t>202005245</t>
  </si>
  <si>
    <t>512</t>
  </si>
  <si>
    <t>202005249</t>
  </si>
  <si>
    <t>2020-06-0008</t>
  </si>
  <si>
    <t>202006255</t>
  </si>
  <si>
    <t>QRF2020-B1-NS-REPAIR-L25</t>
  </si>
  <si>
    <t>2020-06-0006</t>
  </si>
  <si>
    <t>2020-06-0007</t>
  </si>
  <si>
    <t>2019-01</t>
  </si>
  <si>
    <t>QRF2020-B1-NS-REPAIR-L20</t>
  </si>
  <si>
    <t>QRF2020-B1-NS-REPAIR-L24</t>
  </si>
  <si>
    <t>20-006</t>
  </si>
  <si>
    <t>QNV-020-2020</t>
  </si>
  <si>
    <t>QNV-022-2020</t>
  </si>
  <si>
    <t>202005247</t>
  </si>
  <si>
    <t>100-20-05-264</t>
  </si>
  <si>
    <t>2020-06-0009</t>
  </si>
  <si>
    <t>20GKF0031</t>
  </si>
  <si>
    <t>100-20-03-223</t>
  </si>
  <si>
    <t>20GKF0035</t>
  </si>
  <si>
    <t>RDD-GO 2020-03</t>
  </si>
  <si>
    <t>20-007</t>
  </si>
  <si>
    <t>QRF2020-B1-NS-REPAIR-L21</t>
  </si>
  <si>
    <t>RDD-CW2020-13</t>
  </si>
  <si>
    <t>rdd-cw-2020-12</t>
  </si>
  <si>
    <t>20GKF0034</t>
  </si>
  <si>
    <t>20GKF0029</t>
  </si>
  <si>
    <t>20GKF0033</t>
  </si>
  <si>
    <t>20GKF0032</t>
  </si>
  <si>
    <t>20GKF0038</t>
  </si>
  <si>
    <t>QNV-023-2020</t>
  </si>
  <si>
    <t>RFQ-20-0002</t>
  </si>
  <si>
    <t>20GKF0036</t>
  </si>
  <si>
    <t>ESPERANZA-GDS-2020-06-08</t>
  </si>
  <si>
    <t>20GKF0037</t>
  </si>
  <si>
    <t>PB-20-212</t>
  </si>
  <si>
    <t>DGS PR No. 1000032961</t>
  </si>
  <si>
    <t>2020 - 06 - 017 (85 - Shopping)</t>
  </si>
  <si>
    <t>3-01-001-20-076</t>
  </si>
  <si>
    <t>QNV-021-2020</t>
  </si>
  <si>
    <t>20GKF0039</t>
  </si>
  <si>
    <t>DGS PR No. 1000032340</t>
  </si>
  <si>
    <t>91-20</t>
  </si>
  <si>
    <t>20GKF0030</t>
  </si>
  <si>
    <t>VMC-2020-047</t>
  </si>
  <si>
    <t>90-20</t>
  </si>
  <si>
    <t>BAC-HO-GS No. 2020-0250 dated 29 May 2020 (ITIOD)</t>
  </si>
  <si>
    <t>100-20-05-262</t>
  </si>
  <si>
    <t>20GKF0040</t>
  </si>
  <si>
    <t>PB-20-303</t>
  </si>
  <si>
    <t>CONDUCT INSET (May 2020 &amp; October 2020)</t>
  </si>
  <si>
    <t>PB-20-306</t>
  </si>
  <si>
    <t>CONDUCT DISTRICT PROFESSIONAL MEETING</t>
  </si>
  <si>
    <t>202005013</t>
  </si>
  <si>
    <t>20OH0148</t>
  </si>
  <si>
    <t>PB-20-312</t>
  </si>
  <si>
    <t>20OH0149</t>
  </si>
  <si>
    <t>PB-20-311</t>
  </si>
  <si>
    <t>PB-20-313</t>
  </si>
  <si>
    <t>PB-20-310</t>
  </si>
  <si>
    <t>PB-20-305</t>
  </si>
  <si>
    <t>PB-20-309</t>
  </si>
  <si>
    <t>20OH0102 Re-ads</t>
  </si>
  <si>
    <t>PB-20-304</t>
  </si>
  <si>
    <t>20OH0151</t>
  </si>
  <si>
    <t>PB-20-308</t>
  </si>
  <si>
    <t>2002-068</t>
  </si>
  <si>
    <t>100-20-05-269</t>
  </si>
  <si>
    <t>PB-20-316</t>
  </si>
  <si>
    <t>PB-20-307</t>
  </si>
  <si>
    <t>PB2020-07-042I</t>
  </si>
  <si>
    <t>2020-CW-016</t>
  </si>
  <si>
    <t>GOODS-009-2020</t>
  </si>
  <si>
    <t>2020-INFRA-5C</t>
  </si>
  <si>
    <t>2020025</t>
  </si>
  <si>
    <t>DM2020-06-023.1</t>
  </si>
  <si>
    <t>PB2020-07-043I</t>
  </si>
  <si>
    <t>PB2020-06-041I</t>
  </si>
  <si>
    <t>20CB-GSC-299 PRINTING OF VARIOUS NON-ACCOUNTABLE F</t>
  </si>
  <si>
    <t>20CSZ004</t>
  </si>
  <si>
    <t>DM2020-06-023.5</t>
  </si>
  <si>
    <t>DM2020-06-023.7</t>
  </si>
  <si>
    <t>DM2020-06-023.4</t>
  </si>
  <si>
    <t>DM2020-06-023.6</t>
  </si>
  <si>
    <t>200003</t>
  </si>
  <si>
    <t>20CB-GSC-298 PURCHASE OF TOOLS AND MATERIALS FOR R</t>
  </si>
  <si>
    <t>AFP-RSBS 2020 PSSL395M02</t>
  </si>
  <si>
    <t>2020-031 LOT 5</t>
  </si>
  <si>
    <t>100-20-05-0543</t>
  </si>
  <si>
    <t>17202005052</t>
  </si>
  <si>
    <t>PB2020-06-057G</t>
  </si>
  <si>
    <t>20F00124</t>
  </si>
  <si>
    <t>20OH0150</t>
  </si>
  <si>
    <t>17202005053</t>
  </si>
  <si>
    <t>2020-INFRA-13A</t>
  </si>
  <si>
    <t>PB2020-06-059G</t>
  </si>
  <si>
    <t>20-06-02-055</t>
  </si>
  <si>
    <t>PB2020-06-060G</t>
  </si>
  <si>
    <t>LGU-I-016-2020</t>
  </si>
  <si>
    <t>20GA0214</t>
  </si>
  <si>
    <t>19GF00030</t>
  </si>
  <si>
    <t>PB2020-06-058G</t>
  </si>
  <si>
    <t>63-2020</t>
  </si>
  <si>
    <t>GS 2020-006-020</t>
  </si>
  <si>
    <t>20-00040</t>
  </si>
  <si>
    <t>20GA0215</t>
  </si>
  <si>
    <t>2020-GOODS-20A</t>
  </si>
  <si>
    <t>BAC-SBSL-MENRO-2020-10A</t>
  </si>
  <si>
    <t>61-2020</t>
  </si>
  <si>
    <t>20GA0157</t>
  </si>
  <si>
    <t>PR - 11</t>
  </si>
  <si>
    <t>20GA0167</t>
  </si>
  <si>
    <t>60-2020</t>
  </si>
  <si>
    <t>20GA0142</t>
  </si>
  <si>
    <t>2020-GOODS-243</t>
  </si>
  <si>
    <t>INFRA-20-06-0592</t>
  </si>
  <si>
    <t>B-19-20-002</t>
  </si>
  <si>
    <t>2020-INFRA-11A</t>
  </si>
  <si>
    <t>2020-GOODS-19A</t>
  </si>
  <si>
    <t>20GA0130</t>
  </si>
  <si>
    <t>BAC 2020-E06</t>
  </si>
  <si>
    <t>GAMOT 200-20-06-06112</t>
  </si>
  <si>
    <t>IB NO. 2020-06-29 (12)</t>
  </si>
  <si>
    <t>DPF 300-20-01-00296</t>
  </si>
  <si>
    <t>PB2020-07-045I</t>
  </si>
  <si>
    <t>PB20-002</t>
  </si>
  <si>
    <t>PB2020-07-046I</t>
  </si>
  <si>
    <t>GOV-20-0331-NP (SV)</t>
  </si>
  <si>
    <t>66-2020</t>
  </si>
  <si>
    <t>65-2020</t>
  </si>
  <si>
    <t>20-101-013</t>
  </si>
  <si>
    <t>64-2020</t>
  </si>
  <si>
    <t>100-20-05-0210</t>
  </si>
  <si>
    <t>2020-06-78</t>
  </si>
  <si>
    <t>2020-06-75</t>
  </si>
  <si>
    <t>ITB 2020-06-032 (GOODS)</t>
  </si>
  <si>
    <t>2020-0900-003</t>
  </si>
  <si>
    <t>M-20-010</t>
  </si>
  <si>
    <t>MMP - 12</t>
  </si>
  <si>
    <t>2020-06-072bid</t>
  </si>
  <si>
    <t>2020-INFRA-10A</t>
  </si>
  <si>
    <t>PB-06092020-1</t>
  </si>
  <si>
    <t>PB2020-07-044I</t>
  </si>
  <si>
    <t>2020-GOODS-10B</t>
  </si>
  <si>
    <t>2020-06-82</t>
  </si>
  <si>
    <t>PEPO 200-20-05-05989</t>
  </si>
  <si>
    <t>ME2020-05-024</t>
  </si>
  <si>
    <t>ME2020-06-023.3</t>
  </si>
  <si>
    <t>DM2020-06-023.2</t>
  </si>
  <si>
    <t>19GF00029</t>
  </si>
  <si>
    <t>CONDUCT WORLD TEACHER'S DAY 2020</t>
  </si>
  <si>
    <t>IB NO. 2020-06-29 (13)</t>
  </si>
  <si>
    <t>2020-06-81</t>
  </si>
  <si>
    <t>PEO-20-0383-B</t>
  </si>
  <si>
    <t>2020-06-79</t>
  </si>
  <si>
    <t>2020-06-76</t>
  </si>
  <si>
    <t>2020-06-63A</t>
  </si>
  <si>
    <t>AGINF2020-0609</t>
  </si>
  <si>
    <t>PEO-19-2099-B</t>
  </si>
  <si>
    <t>PEO-20-0381-B</t>
  </si>
  <si>
    <t>PEO-20-0551-B</t>
  </si>
  <si>
    <t>PEO-19-1502-B</t>
  </si>
  <si>
    <t>COA-20-020-B</t>
  </si>
  <si>
    <t>FRT-19-628-B (Re-Bid 2)</t>
  </si>
  <si>
    <t>IPH-19-1021-B (Re-Bid)</t>
  </si>
  <si>
    <t>PEO-19-1487-B (Re-Bid)</t>
  </si>
  <si>
    <t>PEO-19-2036-B</t>
  </si>
  <si>
    <t>2020-06-88</t>
  </si>
  <si>
    <t>PEO-19-1489-B (Re-Bid)</t>
  </si>
  <si>
    <t>SDH-18-2253-B (Re-Bid)</t>
  </si>
  <si>
    <t>2020-06-53A</t>
  </si>
  <si>
    <t>SB1 NPPH 200-20-05-05696</t>
  </si>
  <si>
    <t>2020-06-83</t>
  </si>
  <si>
    <t>ITB-2020-002-CSL</t>
  </si>
  <si>
    <t>PEO-20-0554-B</t>
  </si>
  <si>
    <t>GAMOT 200-20-06-06109</t>
  </si>
  <si>
    <t>EN 200-20-05-06083</t>
  </si>
  <si>
    <t>SV 200-20-04-04637</t>
  </si>
  <si>
    <t>IAEB 2020-005</t>
  </si>
  <si>
    <t>INFRASIB-2020-06</t>
  </si>
  <si>
    <t>IAEB 2020-002</t>
  </si>
  <si>
    <t>2020-06-08-001</t>
  </si>
  <si>
    <t>INFRASIB-2020-03</t>
  </si>
  <si>
    <t>DJRDH 200-20-05-06027</t>
  </si>
  <si>
    <t>INFRASIB-2020-01</t>
  </si>
  <si>
    <t>2020-06-80</t>
  </si>
  <si>
    <t>INFRASIB-2020-04</t>
  </si>
  <si>
    <t>GOODS 2020-21</t>
  </si>
  <si>
    <t>BulSU-BAC-G-2020-14</t>
  </si>
  <si>
    <t>INFRASIB-2020-02</t>
  </si>
  <si>
    <t>PEO-20-0482-B</t>
  </si>
  <si>
    <t>Kapalong2020093</t>
  </si>
  <si>
    <t>ITB No. 2020-003-CSL</t>
  </si>
  <si>
    <t>OLI-20-03</t>
  </si>
  <si>
    <t>INFRASIB-2020-05</t>
  </si>
  <si>
    <t>CY 2020 QRF-SCHOOL GROUND SLOPE PROTECTION AT GOHA</t>
  </si>
  <si>
    <t>ENG'G PASBAC 001-20</t>
  </si>
  <si>
    <t>2020-BrgyV-02</t>
  </si>
  <si>
    <t>Kapalong2020094</t>
  </si>
  <si>
    <t>Kapalong2020095</t>
  </si>
  <si>
    <t>2020-Naguiddayan-01</t>
  </si>
  <si>
    <t>0853</t>
  </si>
  <si>
    <t>2020-06-0582 TGD</t>
  </si>
  <si>
    <t>0854</t>
  </si>
  <si>
    <t>2020-05-0109/2020-06-0110</t>
  </si>
  <si>
    <t>036-20</t>
  </si>
  <si>
    <t>05-063P-B</t>
  </si>
  <si>
    <t>Kapalong2020096</t>
  </si>
  <si>
    <t>Kapalong2020098</t>
  </si>
  <si>
    <t>PPSC BAC IB NO.005 (G) 2020</t>
  </si>
  <si>
    <t>2020-06-0587 TDG</t>
  </si>
  <si>
    <t>CB-INFRA-2020-002</t>
  </si>
  <si>
    <t>20GA0141</t>
  </si>
  <si>
    <t>Tadian LGU 2020-03</t>
  </si>
  <si>
    <t>Kapalong2020101</t>
  </si>
  <si>
    <t>ADS-1325-20</t>
  </si>
  <si>
    <t>ENG’G PASBAC 013-20 Supply and Delivery of Materia</t>
  </si>
  <si>
    <t>M-20-012</t>
  </si>
  <si>
    <t>Kapalong2020100</t>
  </si>
  <si>
    <t>G-093-20</t>
  </si>
  <si>
    <t>Kapalong2020102</t>
  </si>
  <si>
    <t>Kapalong2020097</t>
  </si>
  <si>
    <t>SB1 NPPH 200-20-05-05922</t>
  </si>
  <si>
    <t>B-79-2020</t>
  </si>
  <si>
    <t>ENG’G PASBAC 012-20 Supply and Delivery of Materia</t>
  </si>
  <si>
    <t>Kapalong2020099</t>
  </si>
  <si>
    <t>2020-017cw</t>
  </si>
  <si>
    <t>Mayo – 03-20</t>
  </si>
  <si>
    <t>SF-GOODS-2020-006</t>
  </si>
  <si>
    <t>060820-55</t>
  </si>
  <si>
    <t>RFQ-GS-20200603-02</t>
  </si>
  <si>
    <t>ADS-1326-20</t>
  </si>
  <si>
    <t>PR062000627</t>
  </si>
  <si>
    <t>SRAVIS 20-06-273</t>
  </si>
  <si>
    <t>SF-GOODS-2020-007</t>
  </si>
  <si>
    <t>ADS-1327-20</t>
  </si>
  <si>
    <t>108-2020</t>
  </si>
  <si>
    <t>064-2020</t>
  </si>
  <si>
    <t>GOODS2020-06-001</t>
  </si>
  <si>
    <t>2020-B-06-023</t>
  </si>
  <si>
    <t>LANCA-2020-01</t>
  </si>
  <si>
    <t>LF 2020-022</t>
  </si>
  <si>
    <t>109-2020</t>
  </si>
  <si>
    <t>IB 2020-026</t>
  </si>
  <si>
    <t>1280-06-00124</t>
  </si>
  <si>
    <t>PR No. 20-0923</t>
  </si>
  <si>
    <t>2020-GOODS-04</t>
  </si>
  <si>
    <t>20OF0312</t>
  </si>
  <si>
    <t>20OF0314</t>
  </si>
  <si>
    <t>2020-100-06-009</t>
  </si>
  <si>
    <t>INFRA-2020-042</t>
  </si>
  <si>
    <t>INFRA-2020-043</t>
  </si>
  <si>
    <t>PG2020-06-01</t>
  </si>
  <si>
    <t>SB1 SPPH 200-20-05-05924</t>
  </si>
  <si>
    <t>20OF0316</t>
  </si>
  <si>
    <t>RFQ-2020-06-0029</t>
  </si>
  <si>
    <t>20200608</t>
  </si>
  <si>
    <t>20OF0315</t>
  </si>
  <si>
    <t>PPSC BAC IB NO.006 (G) 2020</t>
  </si>
  <si>
    <t>RFQ-2020-06-0031</t>
  </si>
  <si>
    <t>RFQ 2020-01</t>
  </si>
  <si>
    <t>04-020P-R</t>
  </si>
  <si>
    <t>2020-06-74</t>
  </si>
  <si>
    <t>cgb2020-185</t>
  </si>
  <si>
    <t>ABC20-06-001</t>
  </si>
  <si>
    <t>RFQ-2020-06-0030</t>
  </si>
  <si>
    <t>InTB-PGAPEO2020OIP-CW1</t>
  </si>
  <si>
    <t>004-2020</t>
  </si>
  <si>
    <t>BOD20-076</t>
  </si>
  <si>
    <t>INFRA-ETG-20-06-011</t>
  </si>
  <si>
    <t>20OF0313</t>
  </si>
  <si>
    <t>InTB-PGAPEOROADS2020EDF-CW1</t>
  </si>
  <si>
    <t>ITB-2020-01</t>
  </si>
  <si>
    <t>cgb2020-186</t>
  </si>
  <si>
    <t>SN20-04-412</t>
  </si>
  <si>
    <t>2020021</t>
  </si>
  <si>
    <t>2020-g-005-A</t>
  </si>
  <si>
    <t>BUE-06082020-01</t>
  </si>
  <si>
    <t>2020-098</t>
  </si>
  <si>
    <t>blgucabungalunan-2019</t>
  </si>
  <si>
    <t>RFQ-2020-06-0032</t>
  </si>
  <si>
    <t>003-2020</t>
  </si>
  <si>
    <t>2020-G-006-A</t>
  </si>
  <si>
    <t>EN 200-20-05-06084</t>
  </si>
  <si>
    <t>RFQ-2020-06-0034</t>
  </si>
  <si>
    <t>RFQ-2020-06-0033</t>
  </si>
  <si>
    <t>20GIA004 Procurement of Instant Cold Mix Asphalt (</t>
  </si>
  <si>
    <t>PLAWD 2020-06-37</t>
  </si>
  <si>
    <t>CYN-BAC-2020-30</t>
  </si>
  <si>
    <t>008-2020-G</t>
  </si>
  <si>
    <t>INFRA-ETG-20-06-010</t>
  </si>
  <si>
    <t>2020-019cw</t>
  </si>
  <si>
    <t>NMF GOODS 2020-03</t>
  </si>
  <si>
    <t>CANINGAY INFRA 06-01</t>
  </si>
  <si>
    <t>2020-G-007-A</t>
  </si>
  <si>
    <t>00012-2020</t>
  </si>
  <si>
    <t>2020-3</t>
  </si>
  <si>
    <t>06292020-058</t>
  </si>
  <si>
    <t>REP 200-20-05-04850</t>
  </si>
  <si>
    <t>06292020-074</t>
  </si>
  <si>
    <t>20GG00017</t>
  </si>
  <si>
    <t>2020-G-008-A</t>
  </si>
  <si>
    <t>2020-021cw</t>
  </si>
  <si>
    <t>06 – JO – 093 / 094</t>
  </si>
  <si>
    <t>2019-001-I</t>
  </si>
  <si>
    <t>20GAG0001</t>
  </si>
  <si>
    <t>INFRA-ETG-20-06-012</t>
  </si>
  <si>
    <t>INFRA-ETG-20-06-009</t>
  </si>
  <si>
    <t>PR No. 1000032456 dtd. March 9, 2020</t>
  </si>
  <si>
    <t>2020-020cw</t>
  </si>
  <si>
    <t>ITB 2020-011</t>
  </si>
  <si>
    <t>SN20-03-313</t>
  </si>
  <si>
    <t>RFQ-F-01-2020</t>
  </si>
  <si>
    <t>100-2003-281-GF</t>
  </si>
  <si>
    <t>20-06-35AA</t>
  </si>
  <si>
    <t>20GAG0002</t>
  </si>
  <si>
    <t>ITB-2020-02</t>
  </si>
  <si>
    <t>100-20-03-0119</t>
  </si>
  <si>
    <t>PR No. 1000032455 dtd. March 9, 2020</t>
  </si>
  <si>
    <t>NTCR9-SVP-2020-05</t>
  </si>
  <si>
    <t>92</t>
  </si>
  <si>
    <t>N 31 C 2020</t>
  </si>
  <si>
    <t>20-45382</t>
  </si>
  <si>
    <t>ITB-2020-046</t>
  </si>
  <si>
    <t>2020-GOODS-32</t>
  </si>
  <si>
    <t>KAT-06-2020-001</t>
  </si>
  <si>
    <t>ITB-2020-045</t>
  </si>
  <si>
    <t>06292020-073</t>
  </si>
  <si>
    <t>300-20-06-0215</t>
  </si>
  <si>
    <t>GOODS-PROJECT REF. NO. 39-2020-APR</t>
  </si>
  <si>
    <t>PR062000628</t>
  </si>
  <si>
    <t>20-06-40</t>
  </si>
  <si>
    <t>BOD20-077</t>
  </si>
  <si>
    <t>PR #433</t>
  </si>
  <si>
    <t>20GAG0003</t>
  </si>
  <si>
    <t>ITB INFRA-022-2020</t>
  </si>
  <si>
    <t>ITB-2020-044</t>
  </si>
  <si>
    <t>PB20200608-036</t>
  </si>
  <si>
    <t>20-45422</t>
  </si>
  <si>
    <t>44</t>
  </si>
  <si>
    <t>PG-RFQ-2020-01</t>
  </si>
  <si>
    <t>20GKI0027</t>
  </si>
  <si>
    <t>Quotation No.20-05-312 REBID</t>
  </si>
  <si>
    <t>45</t>
  </si>
  <si>
    <t>20PI0092</t>
  </si>
  <si>
    <t>100-2005-038-20%</t>
  </si>
  <si>
    <t>6911-01-1453-19/LDRRM</t>
  </si>
  <si>
    <t>CAT-SIP-2020-01-06INF</t>
  </si>
  <si>
    <t>DF-2020-19</t>
  </si>
  <si>
    <t>20LA0336</t>
  </si>
  <si>
    <t>20KI0066 (Re-ad)</t>
  </si>
  <si>
    <t>20NA0068</t>
  </si>
  <si>
    <t>NP/PB 20-0672</t>
  </si>
  <si>
    <t>14-2020</t>
  </si>
  <si>
    <t>15-2020</t>
  </si>
  <si>
    <t>20-04-096</t>
  </si>
  <si>
    <t>20-06-39</t>
  </si>
  <si>
    <t>20GGH0024</t>
  </si>
  <si>
    <t>PB20200608-037</t>
  </si>
  <si>
    <t>RQ 06-010</t>
  </si>
  <si>
    <t>20PI0093</t>
  </si>
  <si>
    <t>11-2020</t>
  </si>
  <si>
    <t>20-45311</t>
  </si>
  <si>
    <t>N 32 C 2020</t>
  </si>
  <si>
    <t>ITB2020-06-87-MPOC</t>
  </si>
  <si>
    <t>NTCR9-TFB-2020-01</t>
  </si>
  <si>
    <t>16-2020</t>
  </si>
  <si>
    <t>GEN-1011-09-2020</t>
  </si>
  <si>
    <t>RQ 06-041</t>
  </si>
  <si>
    <t>OLYMPIA 20-05-006</t>
  </si>
  <si>
    <t>20NA0069</t>
  </si>
  <si>
    <t>RQ 06-043</t>
  </si>
  <si>
    <t>HCC2020013</t>
  </si>
  <si>
    <t>mda125</t>
  </si>
  <si>
    <t>OLYMPIA 20-05-005</t>
  </si>
  <si>
    <t>RQ 06-016</t>
  </si>
  <si>
    <t>NTCR9-SVP-2020-06</t>
  </si>
  <si>
    <t>19-2020</t>
  </si>
  <si>
    <t>INFR-2020-10</t>
  </si>
  <si>
    <t>18-2020</t>
  </si>
  <si>
    <t>20KI0087</t>
  </si>
  <si>
    <t>20PI0094</t>
  </si>
  <si>
    <t>202039</t>
  </si>
  <si>
    <t>20GGH0023</t>
  </si>
  <si>
    <t>20LA0335</t>
  </si>
  <si>
    <t>22-2020</t>
  </si>
  <si>
    <t>BUE-06082020-02</t>
  </si>
  <si>
    <t>RQ 06-040</t>
  </si>
  <si>
    <t>100-20-06-64</t>
  </si>
  <si>
    <t>23-2020</t>
  </si>
  <si>
    <t>20-45741</t>
  </si>
  <si>
    <t>BAC2020-06-016</t>
  </si>
  <si>
    <t>2000005277</t>
  </si>
  <si>
    <t>139-2020</t>
  </si>
  <si>
    <t>138-2020</t>
  </si>
  <si>
    <t>20-038 (Re-bid)</t>
  </si>
  <si>
    <t>2020-GEN. FUND-RFQ-020</t>
  </si>
  <si>
    <t>20PI0095</t>
  </si>
  <si>
    <t>RQ 06-012</t>
  </si>
  <si>
    <t>PG-RFQ-2020-04</t>
  </si>
  <si>
    <t>2020-95</t>
  </si>
  <si>
    <t>CSU-CARIG-OCD-2020- 06-001</t>
  </si>
  <si>
    <t>BAC2020-06-017</t>
  </si>
  <si>
    <t>RQ 06-039</t>
  </si>
  <si>
    <t>20NA0071</t>
  </si>
  <si>
    <t>2020-06-293-05</t>
  </si>
  <si>
    <t>ITB 300-2020-06-04</t>
  </si>
  <si>
    <t>ITB No. 028-2020 GQ</t>
  </si>
  <si>
    <t>2020-06-170-RFQ</t>
  </si>
  <si>
    <t>140-2020</t>
  </si>
  <si>
    <t>20-039</t>
  </si>
  <si>
    <t>20-2020</t>
  </si>
  <si>
    <t>BUE-06082020-03</t>
  </si>
  <si>
    <t>RQ 06-034</t>
  </si>
  <si>
    <t>PG-RFQ-2020-05</t>
  </si>
  <si>
    <t>PG-RFQ-2020-07</t>
  </si>
  <si>
    <t>LGU-TAN-GOODS-2020-067</t>
  </si>
  <si>
    <t>2020-96</t>
  </si>
  <si>
    <t>20-06-083</t>
  </si>
  <si>
    <t>PG-RFQ-2020-08</t>
  </si>
  <si>
    <t>GEN-3918-10-2010</t>
  </si>
  <si>
    <t>RQ 06-027</t>
  </si>
  <si>
    <t>PB20200608-038</t>
  </si>
  <si>
    <t>CYN-BAC-2020-31</t>
  </si>
  <si>
    <t>2020-099</t>
  </si>
  <si>
    <t>141-2020</t>
  </si>
  <si>
    <t>BAC2020-06-020</t>
  </si>
  <si>
    <t>100-20-06-65</t>
  </si>
  <si>
    <t>20CG0141</t>
  </si>
  <si>
    <t>BAC2020-06-018</t>
  </si>
  <si>
    <t>PG-RFQ-2020-06</t>
  </si>
  <si>
    <t>20CG0140</t>
  </si>
  <si>
    <t>PG-RFQ-2020-10</t>
  </si>
  <si>
    <t>RQ 06-029</t>
  </si>
  <si>
    <t>20-45737</t>
  </si>
  <si>
    <t>RFQ - CPR No. GS-75-90-Cons.4</t>
  </si>
  <si>
    <t>Quotation No.20-03-272 REBID</t>
  </si>
  <si>
    <t>142-2020</t>
  </si>
  <si>
    <t>ITB No. 029-2020  GQ</t>
  </si>
  <si>
    <t>02-2020</t>
  </si>
  <si>
    <t>RFQ 0520-028</t>
  </si>
  <si>
    <t>PR No. 20-0905</t>
  </si>
  <si>
    <t>RQ 06-026</t>
  </si>
  <si>
    <t>itb no. 2020-12</t>
  </si>
  <si>
    <t>RFQ-GS-20200521-01</t>
  </si>
  <si>
    <t>RQ 06-025</t>
  </si>
  <si>
    <t>144-2020</t>
  </si>
  <si>
    <t>143-2020</t>
  </si>
  <si>
    <t>IB No.2020-06-30(05)Goods Cat I Med/Lab Supplies &amp;</t>
  </si>
  <si>
    <t>20FL0084</t>
  </si>
  <si>
    <t>Bidding-01-June2020</t>
  </si>
  <si>
    <t>PG-RFQ-2020-09</t>
  </si>
  <si>
    <t>2020-97</t>
  </si>
  <si>
    <t>037-20</t>
  </si>
  <si>
    <t>20GFB03</t>
  </si>
  <si>
    <t>Camansi-001</t>
  </si>
  <si>
    <t>20FL0085</t>
  </si>
  <si>
    <t>PR 9-20-04-0560 - HOSPITAL</t>
  </si>
  <si>
    <t>19CSK00054</t>
  </si>
  <si>
    <t>Barangay 1-20-01</t>
  </si>
  <si>
    <t>NIAREG9-0629-2020-FSDECY2017-076 (GOODS)</t>
  </si>
  <si>
    <t>ITB 20-130 R20-121</t>
  </si>
  <si>
    <t>ITB 20-128</t>
  </si>
  <si>
    <t>RFQ - PR No. 2020-05-0094 dated 5-27-20</t>
  </si>
  <si>
    <t>BXU-2020-16</t>
  </si>
  <si>
    <t>2020-03-05</t>
  </si>
  <si>
    <t>NP - Goods-2020-007</t>
  </si>
  <si>
    <t>19CSK00053</t>
  </si>
  <si>
    <t>ITB 20-129 R20-116</t>
  </si>
  <si>
    <t>682020</t>
  </si>
  <si>
    <t>ITB 20-131 R20-122</t>
  </si>
  <si>
    <t>2020-01-002</t>
  </si>
  <si>
    <t>ITB 20-132 R20-123</t>
  </si>
  <si>
    <t>6820201</t>
  </si>
  <si>
    <t>2020-02-0099</t>
  </si>
  <si>
    <t>RFQ - CPR No. GS-04-43-52-Cons.1</t>
  </si>
  <si>
    <t>PR 18-20-04-0549 - CED</t>
  </si>
  <si>
    <t>19CSK00056</t>
  </si>
  <si>
    <t>2020-061-14-2</t>
  </si>
  <si>
    <t>ITB 20-133 R20-124</t>
  </si>
  <si>
    <t>20GID0016</t>
  </si>
  <si>
    <t>06-001-20</t>
  </si>
  <si>
    <t>2020-061-14-1</t>
  </si>
  <si>
    <t>20-06-38</t>
  </si>
  <si>
    <t>PR 1-20-03-0520 - CEMO (BD)</t>
  </si>
  <si>
    <t>PR 31-20-02-0344 - DEPED</t>
  </si>
  <si>
    <t>Calaca 2020-032</t>
  </si>
  <si>
    <t>19CSK00055</t>
  </si>
  <si>
    <t>BAC2020-06-019</t>
  </si>
  <si>
    <t>ITB2020-06-77-MTPB</t>
  </si>
  <si>
    <t>RFP 2020-05-0075</t>
  </si>
  <si>
    <t>20GSK00010</t>
  </si>
  <si>
    <t>ITB GOODS 20-06-008</t>
  </si>
  <si>
    <t>PCW-01-2020</t>
  </si>
  <si>
    <t>2020-06-0330</t>
  </si>
  <si>
    <t>ITB 026-2020</t>
  </si>
  <si>
    <t>Bid No. 2020-015</t>
  </si>
  <si>
    <t>20-011</t>
  </si>
  <si>
    <t>ITB No. 2020-03-003</t>
  </si>
  <si>
    <t>Invitation to Bid 20-32</t>
  </si>
  <si>
    <t>2020-06-0329</t>
  </si>
  <si>
    <t>RFQ - CPR No. GS-04-28-32-33-34-35-40-41-43-47-48-</t>
  </si>
  <si>
    <t>20GSK00011</t>
  </si>
  <si>
    <t>2020022</t>
  </si>
  <si>
    <t>Invitation to Bid 20-31</t>
  </si>
  <si>
    <t>20FL0078</t>
  </si>
  <si>
    <t>20-06-241</t>
  </si>
  <si>
    <t>CYN-BAC-2020-32</t>
  </si>
  <si>
    <t>PG-RFQ-2020-15</t>
  </si>
  <si>
    <t>100-20-06-66</t>
  </si>
  <si>
    <t>2020-06-0332</t>
  </si>
  <si>
    <t>20FO0096</t>
  </si>
  <si>
    <t>IB. NO. K-2020-025(SC)</t>
  </si>
  <si>
    <t>20-02-0124</t>
  </si>
  <si>
    <t>PG-RFQ-2020-13</t>
  </si>
  <si>
    <t>100-20-06-67</t>
  </si>
  <si>
    <t>2020-06-0331</t>
  </si>
  <si>
    <t>PG-RFQ-2020-14</t>
  </si>
  <si>
    <t>20FO0097</t>
  </si>
  <si>
    <t>2020-02-0100</t>
  </si>
  <si>
    <t>20GSK00012</t>
  </si>
  <si>
    <t>pwr-03-022</t>
  </si>
  <si>
    <t>IB. NO. K-2020-026(SC)</t>
  </si>
  <si>
    <t>PR # 20-05-0585</t>
  </si>
  <si>
    <t>pwr-03-016</t>
  </si>
  <si>
    <t>ITB-001</t>
  </si>
  <si>
    <t>Calaca 2020- 033</t>
  </si>
  <si>
    <t>2020-06-0067</t>
  </si>
  <si>
    <t>100-20-06-68</t>
  </si>
  <si>
    <t>20FO0098</t>
  </si>
  <si>
    <t>CONSTRUCTION OF VARIOUS INFRASTRUCTURE PROJECTS FO</t>
  </si>
  <si>
    <t>2020-061-14-3</t>
  </si>
  <si>
    <t>ADS-1335-20</t>
  </si>
  <si>
    <t>IB. NO. K-2020-054(SC)</t>
  </si>
  <si>
    <t>20FO0099</t>
  </si>
  <si>
    <t>BAC-2020-0017</t>
  </si>
  <si>
    <t>TF-LDRRMF S. 2019 20-016/20-017</t>
  </si>
  <si>
    <t>ms-202003001</t>
  </si>
  <si>
    <t>pwr-03-013</t>
  </si>
  <si>
    <t>PB-INF-2020-035</t>
  </si>
  <si>
    <t>PB-INF-2020-034</t>
  </si>
  <si>
    <t>2020-061-14-5</t>
  </si>
  <si>
    <t>GOODS-2020-PB-023</t>
  </si>
  <si>
    <t>2020-012 GOODS "SUPPLY AND INSTALLATION OF SOLAR P</t>
  </si>
  <si>
    <t>2020-061-14-6</t>
  </si>
  <si>
    <t>20-05-0564</t>
  </si>
  <si>
    <t>2020-061-14-4</t>
  </si>
  <si>
    <t>2020-06-JD57</t>
  </si>
  <si>
    <t>G-104-20C</t>
  </si>
  <si>
    <t>2020-061-14-7</t>
  </si>
  <si>
    <t>2020-151</t>
  </si>
  <si>
    <t>CONTRACT ID: 19-10-208 REBID</t>
  </si>
  <si>
    <t>2020-150</t>
  </si>
  <si>
    <t>OC-63(JLGMH-17) 20 GD</t>
  </si>
  <si>
    <t>PB-INF-2020-033</t>
  </si>
  <si>
    <t>20LC0152</t>
  </si>
  <si>
    <t>VMC-2020-060</t>
  </si>
  <si>
    <t>OC-64(DRRMO-05) 20 GD</t>
  </si>
  <si>
    <t>OC-65(DRRMO-06) 20 GD</t>
  </si>
  <si>
    <t>ITB No. 030-2020  GQ</t>
  </si>
  <si>
    <t>CYN-BAC-2020-34</t>
  </si>
  <si>
    <t>Calaca 2020-034</t>
  </si>
  <si>
    <t>2020-06-JD58</t>
  </si>
  <si>
    <t>0589</t>
  </si>
  <si>
    <t>2020-06-JD59</t>
  </si>
  <si>
    <t>RFQ NO 20-06-378</t>
  </si>
  <si>
    <t>20LC0153</t>
  </si>
  <si>
    <t>PEO-19-1450-B (Re-Bid)</t>
  </si>
  <si>
    <t>GOODS 2020-017</t>
  </si>
  <si>
    <t>2020-06-0029</t>
  </si>
  <si>
    <t>SWADT-ISABELA-2020-06-0179</t>
  </si>
  <si>
    <t>I-2020</t>
  </si>
  <si>
    <t>20PA0128</t>
  </si>
  <si>
    <t>RFQ NO 20-04-346</t>
  </si>
  <si>
    <t>ITB 2020-003</t>
  </si>
  <si>
    <t>USTP-GSPB-06-5020321099-2020</t>
  </si>
  <si>
    <t>IB No. 2020-019</t>
  </si>
  <si>
    <t>NIAREG9-0226-2020-RESTOCISCY2020-024 (NP 53.1)</t>
  </si>
  <si>
    <t>B2020-074-A</t>
  </si>
  <si>
    <t>Calaca 2020- 035</t>
  </si>
  <si>
    <t>G-04-2020</t>
  </si>
  <si>
    <t>NIAREG9-0219-2020-FSDECY2013-2014-021 (NP 53.1)</t>
  </si>
  <si>
    <t>Calaca 2020- 036</t>
  </si>
  <si>
    <t>IPH-19-616-B (Re-Bid)</t>
  </si>
  <si>
    <t>RFQ 2020-008</t>
  </si>
  <si>
    <t>20PK0069</t>
  </si>
  <si>
    <t>PEO-20-0382-B</t>
  </si>
  <si>
    <t>BARRM-SUL-06-SIA-03-20</t>
  </si>
  <si>
    <t>GOODS 2020-018</t>
  </si>
  <si>
    <t>B2020-073-A</t>
  </si>
  <si>
    <t>20GHF0005</t>
  </si>
  <si>
    <t>IB NO. 2020-06-30 (05) Goods Category II – Drugs a</t>
  </si>
  <si>
    <t>OLYMPIA 20-05-007</t>
  </si>
  <si>
    <t>FY2019DILG-AM-01</t>
  </si>
  <si>
    <t>Calaca 2020- 038</t>
  </si>
  <si>
    <t>NCB Publication No. 2020- 17</t>
  </si>
  <si>
    <t>Calaca 2020- 039</t>
  </si>
  <si>
    <t>PB-PAFBAC-222-19</t>
  </si>
  <si>
    <t>RFQ-GS-20200603-01</t>
  </si>
  <si>
    <t>401-1011-2020-06-12</t>
  </si>
  <si>
    <t>Goods 2020-06-016</t>
  </si>
  <si>
    <t>2020-06-0031</t>
  </si>
  <si>
    <t>NCB Publication No. 2020- 18</t>
  </si>
  <si>
    <t>PB-PAFBAC-141-20</t>
  </si>
  <si>
    <t>Calaca 2020- 040</t>
  </si>
  <si>
    <t>PB-PAFBAC-152-20</t>
  </si>
  <si>
    <t>PB-PAFBAC-150-20</t>
  </si>
  <si>
    <t>Calaca 2020-042</t>
  </si>
  <si>
    <t>OLYMPIA 20-05-008</t>
  </si>
  <si>
    <t>PB-PAFBAC-153-20</t>
  </si>
  <si>
    <t>2020-2076-03-151</t>
  </si>
  <si>
    <t>PB-PAFBAC-154-20</t>
  </si>
  <si>
    <t>Calaca 2020- 037</t>
  </si>
  <si>
    <t>03-2020-0195</t>
  </si>
  <si>
    <t>09088, 09082 &amp; 08993</t>
  </si>
  <si>
    <t>401-1011-2020-06-13</t>
  </si>
  <si>
    <t>GEPS-01-2020</t>
  </si>
  <si>
    <t>FY2019DILG-AM-02</t>
  </si>
  <si>
    <t>20LD0129</t>
  </si>
  <si>
    <t>Calaca 2020- 041</t>
  </si>
  <si>
    <t>IPH-19-1149-B (Re-Bid)</t>
  </si>
  <si>
    <t>PB-PAFBAC-156-20</t>
  </si>
  <si>
    <t>401-1011-2020-06-14</t>
  </si>
  <si>
    <t>INVITATION TO BID No. 2020-06-001</t>
  </si>
  <si>
    <t>PEO-20-0553-B</t>
  </si>
  <si>
    <t>PB-PAFBAC-155-20</t>
  </si>
  <si>
    <t>HFW-2020-06-0180</t>
  </si>
  <si>
    <t>Calaca 2020-043</t>
  </si>
  <si>
    <t>03-2020-0197</t>
  </si>
  <si>
    <t>Calaca 2020-047</t>
  </si>
  <si>
    <t>PEO-20-0613-B</t>
  </si>
  <si>
    <t>Calaca 2020-045</t>
  </si>
  <si>
    <t>20CSZ017</t>
  </si>
  <si>
    <t>401-1011-2020-06-15</t>
  </si>
  <si>
    <t>03-2020-0162</t>
  </si>
  <si>
    <t>Calaca 2020-044</t>
  </si>
  <si>
    <t>388548437</t>
  </si>
  <si>
    <t>PB-06302020</t>
  </si>
  <si>
    <t>03-2020-0163</t>
  </si>
  <si>
    <t>2020-06-86</t>
  </si>
  <si>
    <t>PEO-19-1551-B</t>
  </si>
  <si>
    <t>ITB 2020-049</t>
  </si>
  <si>
    <t>388548440</t>
  </si>
  <si>
    <t>388548438</t>
  </si>
  <si>
    <t>INF2020-002</t>
  </si>
  <si>
    <t>388548439</t>
  </si>
  <si>
    <t>Calaca 2020-046</t>
  </si>
  <si>
    <t>322020a</t>
  </si>
  <si>
    <t>20OE0198</t>
  </si>
  <si>
    <t>014-06-2020</t>
  </si>
  <si>
    <t>PB 06-03-2020</t>
  </si>
  <si>
    <t>Solano-2020-06-001</t>
  </si>
  <si>
    <t>17-FEB-2020-INFRA-PANAMIN</t>
  </si>
  <si>
    <t>20HI0060</t>
  </si>
  <si>
    <t>352020a</t>
  </si>
  <si>
    <t>20OE0200</t>
  </si>
  <si>
    <t>INF2020-004</t>
  </si>
  <si>
    <t>G2020-008</t>
  </si>
  <si>
    <t>20HI0059</t>
  </si>
  <si>
    <t>20OE0199</t>
  </si>
  <si>
    <t>332020a</t>
  </si>
  <si>
    <t>ITB 2020-036</t>
  </si>
  <si>
    <t>20HI0035</t>
  </si>
  <si>
    <t>20OE0201</t>
  </si>
  <si>
    <t>ITB 2020-039</t>
  </si>
  <si>
    <t>INF2020-003</t>
  </si>
  <si>
    <t>20HI0067</t>
  </si>
  <si>
    <t>PR-20-05-0113</t>
  </si>
  <si>
    <t>36020a</t>
  </si>
  <si>
    <t>BCS-2020-0094</t>
  </si>
  <si>
    <t>342020a</t>
  </si>
  <si>
    <t>INFRASIB-2020-09</t>
  </si>
  <si>
    <t>INFRASIB-2020-08</t>
  </si>
  <si>
    <t>G2020-009</t>
  </si>
  <si>
    <t>20GM00138</t>
  </si>
  <si>
    <t>82020</t>
  </si>
  <si>
    <t>20HI0088</t>
  </si>
  <si>
    <t>20GM00135</t>
  </si>
  <si>
    <t>20GM00134</t>
  </si>
  <si>
    <t>2020-494-015</t>
  </si>
  <si>
    <t>20GM00137</t>
  </si>
  <si>
    <t>20HI0078</t>
  </si>
  <si>
    <t>92020</t>
  </si>
  <si>
    <t>ITB 2020-051</t>
  </si>
  <si>
    <t>102020</t>
  </si>
  <si>
    <t>INFRASIB-2020-07</t>
  </si>
  <si>
    <t>ITB 2020-050</t>
  </si>
  <si>
    <t>20DK0134 (Cluster III)</t>
  </si>
  <si>
    <t>20CC0246</t>
  </si>
  <si>
    <t>LIMAO-BAC-06-20</t>
  </si>
  <si>
    <t>20DK0133 (Cluster  II)</t>
  </si>
  <si>
    <t>20DK0130</t>
  </si>
  <si>
    <t>GOODS JUNE 2020-001</t>
  </si>
  <si>
    <t>20CC0244</t>
  </si>
  <si>
    <t>20E00109</t>
  </si>
  <si>
    <t>20DK0131</t>
  </si>
  <si>
    <t>20DK0132 (Cluster I)</t>
  </si>
  <si>
    <t>20CC0249</t>
  </si>
  <si>
    <t>20CC0247</t>
  </si>
  <si>
    <t>20CC0248</t>
  </si>
  <si>
    <t>20CC0250</t>
  </si>
  <si>
    <t>20CC0251</t>
  </si>
  <si>
    <t>BTG3-2020-0206</t>
  </si>
  <si>
    <t>20CC0245</t>
  </si>
  <si>
    <t>DSWD NNP No. 20-GOP-SVC-002-A</t>
  </si>
  <si>
    <t>PB-G-20-001-2020</t>
  </si>
  <si>
    <t>GOODS JUNE 2020-003</t>
  </si>
  <si>
    <t>BTG3-2020-0204</t>
  </si>
  <si>
    <t>BTG3-2020-0205</t>
  </si>
  <si>
    <t>BTG3-2020-0203</t>
  </si>
  <si>
    <t>BTG3-2020-0201</t>
  </si>
  <si>
    <t>IB No. 2020-037</t>
  </si>
  <si>
    <t>2020-03-INFR</t>
  </si>
  <si>
    <t>GOODS JUNE 2020-004</t>
  </si>
  <si>
    <t>20CC0254</t>
  </si>
  <si>
    <t>IB No. 2020-038</t>
  </si>
  <si>
    <t>BTG3-2020-0202</t>
  </si>
  <si>
    <t>GOODS JUNE 2020-002</t>
  </si>
  <si>
    <t>2020 GDS JUN</t>
  </si>
  <si>
    <t>2020-04-INFR</t>
  </si>
  <si>
    <t>BARANGAY PAG-ASA 2020-002</t>
  </si>
  <si>
    <t>20CC0252</t>
  </si>
  <si>
    <t>IB 2020-06-006 PSS</t>
  </si>
  <si>
    <t>GOODS 2020-06-PLA004</t>
  </si>
  <si>
    <t>GOODS 2020-06-PLA003</t>
  </si>
  <si>
    <t>2020-CW-06-01</t>
  </si>
  <si>
    <t>0608-002</t>
  </si>
  <si>
    <t>INFRA 2020-06-PLA011</t>
  </si>
  <si>
    <t>2020-CW-06-02</t>
  </si>
  <si>
    <t>2020-01-INFR</t>
  </si>
  <si>
    <t>INFRA 2020-06-PLA012</t>
  </si>
  <si>
    <t>2020-GD-06-01</t>
  </si>
  <si>
    <t>IB 2020-06-005 PORL</t>
  </si>
  <si>
    <t>0608-001</t>
  </si>
  <si>
    <t>pmma-IB-05-20</t>
  </si>
  <si>
    <t>Infra Projects 14-2020</t>
  </si>
  <si>
    <t>2020-02-INFR</t>
  </si>
  <si>
    <t>20CC0253</t>
  </si>
  <si>
    <t>pmma-IB-03-20</t>
  </si>
  <si>
    <t>Infra Projects 13-2020</t>
  </si>
  <si>
    <t>Infra Projects 12-2020</t>
  </si>
  <si>
    <t>pmma-IB-04-20</t>
  </si>
  <si>
    <t>pmma-IB-08-20</t>
  </si>
  <si>
    <t>LGU Nasipit-2020-043</t>
  </si>
  <si>
    <t>pmma-IB-07-20</t>
  </si>
  <si>
    <t>101-2020-03-0016</t>
  </si>
  <si>
    <t>101-2020-05-0220</t>
  </si>
  <si>
    <t>pmma-IB-09-20</t>
  </si>
  <si>
    <t>pmma-IB-06-20</t>
  </si>
  <si>
    <t>ITB No. 20-06-11</t>
  </si>
  <si>
    <t>pmma-IB-10-20</t>
  </si>
  <si>
    <t>101-2020-05-0219</t>
  </si>
  <si>
    <t>LGU Nasipit-2020-044</t>
  </si>
  <si>
    <t>BAC 2020-I01</t>
  </si>
  <si>
    <t>101-2020-05-0222</t>
  </si>
  <si>
    <t>101-2020-03-0043</t>
  </si>
  <si>
    <t>ITB 2020-007</t>
  </si>
  <si>
    <t>ITB 2020-008</t>
  </si>
  <si>
    <t>msj-2020-16</t>
  </si>
  <si>
    <t>INFRA 2020-06</t>
  </si>
  <si>
    <t>DILG (CMGP)</t>
  </si>
  <si>
    <t>101-2020-05-0221</t>
  </si>
  <si>
    <t>PDDO-20-4299</t>
  </si>
  <si>
    <t>2020-02-0082</t>
  </si>
  <si>
    <t>6-4-2020-1</t>
  </si>
  <si>
    <t>6-4-2020-2</t>
  </si>
  <si>
    <t>MAWADWORKS#1, S. 2020</t>
  </si>
  <si>
    <t>Infra 2020-06-005</t>
  </si>
  <si>
    <t>S3-SPUGM20-001 (S3-MMT20-006 &amp; 007)</t>
  </si>
  <si>
    <t>Infra 2020-06-007</t>
  </si>
  <si>
    <t>PDDO-20-4165</t>
  </si>
  <si>
    <t>6-4-2020-3</t>
  </si>
  <si>
    <t>100-20-03-0378</t>
  </si>
  <si>
    <t>InTB-PGA2020OPAG-GDS1</t>
  </si>
  <si>
    <t>CW2020-06-001(PB)</t>
  </si>
  <si>
    <t>20-06-68</t>
  </si>
  <si>
    <t>Infra 2020-06-009</t>
  </si>
  <si>
    <t>3-9-20-ID3</t>
  </si>
  <si>
    <t>2020-052</t>
  </si>
  <si>
    <t>IB No. 2020-035</t>
  </si>
  <si>
    <t>Infra 2020-06-006</t>
  </si>
  <si>
    <t>IB No. 2020-183</t>
  </si>
  <si>
    <t>IB No. 2020-036</t>
  </si>
  <si>
    <t>2020-051</t>
  </si>
  <si>
    <t>ITB 2020-013</t>
  </si>
  <si>
    <t>ITB 2020-009</t>
  </si>
  <si>
    <t>20LF0139</t>
  </si>
  <si>
    <t>20LF0140</t>
  </si>
  <si>
    <t>20LF0141</t>
  </si>
  <si>
    <t>ITB 2020-012</t>
  </si>
  <si>
    <t>ITB 2020-014</t>
  </si>
  <si>
    <t>20LF0142</t>
  </si>
  <si>
    <t xml:space="preserve">INSTALLATION OF WINDOW BLINDS AT MP Bldg (Mayor's </t>
  </si>
  <si>
    <t>GS 2020-006-019</t>
  </si>
  <si>
    <t>ITB 2020-010</t>
  </si>
  <si>
    <t>BUE-06052020-01</t>
  </si>
  <si>
    <t>2020-054</t>
  </si>
  <si>
    <t>IAEB 214-20</t>
  </si>
  <si>
    <t>RIO-LMC-11b-2020</t>
  </si>
  <si>
    <t>IAEB 086-20</t>
  </si>
  <si>
    <t>2020-05-046</t>
  </si>
  <si>
    <t>00045-20-0220-0169</t>
  </si>
  <si>
    <t>2020-CW-33</t>
  </si>
  <si>
    <t>IAEB 085-20</t>
  </si>
  <si>
    <t>RIO-LMC-11a-2020</t>
  </si>
  <si>
    <t>PW#02-12-20(1)</t>
  </si>
  <si>
    <t>MAR-00033G-2020</t>
  </si>
  <si>
    <t>SVP 20-976</t>
  </si>
  <si>
    <t>00045-20-0221-0174</t>
  </si>
  <si>
    <t>PW#02-26-20(1)</t>
  </si>
  <si>
    <t>100-1917-20-308</t>
  </si>
  <si>
    <t>BSVP 2040</t>
  </si>
  <si>
    <t>IAEB 178-20</t>
  </si>
  <si>
    <t>8911-10-2224-19</t>
  </si>
  <si>
    <t>itb20-06-025</t>
  </si>
  <si>
    <t>1918-10-440-20</t>
  </si>
  <si>
    <t>6911-2-872-20</t>
  </si>
  <si>
    <t>2020-0064</t>
  </si>
  <si>
    <t>8911-03-2455-19</t>
  </si>
  <si>
    <t>POW#12-17-19</t>
  </si>
  <si>
    <t>101-2020-04-0146</t>
  </si>
  <si>
    <t>3918-10-602-20</t>
  </si>
  <si>
    <t>2020-06-042</t>
  </si>
  <si>
    <t>TAL-07-01-2020</t>
  </si>
  <si>
    <t>108-0304-2020</t>
  </si>
  <si>
    <t>PGL 20-077</t>
  </si>
  <si>
    <t>20L00171</t>
  </si>
  <si>
    <t>PGL 20-076</t>
  </si>
  <si>
    <t>PGL INFRA 20-056</t>
  </si>
  <si>
    <t>6911-9-1344-20</t>
  </si>
  <si>
    <t>8918-23-1569-20(SUPPLEMENTAL #01-2020)</t>
  </si>
  <si>
    <t>PGL 20-074</t>
  </si>
  <si>
    <t>NP-PB 20-0658</t>
  </si>
  <si>
    <t>03-00506</t>
  </si>
  <si>
    <t>NFA-NCR-RBAC-2020-06-05-008</t>
  </si>
  <si>
    <t>PGL 20-075</t>
  </si>
  <si>
    <t>PB NO. 2020-032</t>
  </si>
  <si>
    <t>20-0051</t>
  </si>
  <si>
    <t>6911-02-1059-19 CONTINUING 2019</t>
  </si>
  <si>
    <t>101-2020-03-0021</t>
  </si>
  <si>
    <t>6911-03-1054-19</t>
  </si>
  <si>
    <t>PB NO. 2020-031</t>
  </si>
  <si>
    <t>SVP 2020-338</t>
  </si>
  <si>
    <t>TALB-06-01-2020LAP</t>
  </si>
  <si>
    <t>20BE0085</t>
  </si>
  <si>
    <t>SVP 2020-339</t>
  </si>
  <si>
    <t>IB No. 2020-144</t>
  </si>
  <si>
    <t>100-2020-0806</t>
  </si>
  <si>
    <t>SVP 20-1096</t>
  </si>
  <si>
    <t>100-2020-0781</t>
  </si>
  <si>
    <t>SVP 2020-343</t>
  </si>
  <si>
    <t>20BE0084</t>
  </si>
  <si>
    <t>100-2020-0736</t>
  </si>
  <si>
    <t>2020-61 (GAS)</t>
  </si>
  <si>
    <t>20BE0083</t>
  </si>
  <si>
    <t>GS 2020-004</t>
  </si>
  <si>
    <t>SVP 2020-341</t>
  </si>
  <si>
    <t>PR NO. 100-8751-20-04-0509</t>
  </si>
  <si>
    <t>100-2020-0756</t>
  </si>
  <si>
    <t>ITB202006</t>
  </si>
  <si>
    <t>100-2020-0734</t>
  </si>
  <si>
    <t>PBG-2020-22</t>
  </si>
  <si>
    <t>AB 2020-01</t>
  </si>
  <si>
    <t>PRRI-2020-030</t>
  </si>
  <si>
    <t>SMN-2020-002</t>
  </si>
  <si>
    <t>AB 2020-06</t>
  </si>
  <si>
    <t>INFRA 2020-005</t>
  </si>
  <si>
    <t>PB2020-06-004 GAA</t>
  </si>
  <si>
    <t>INFRA 2020-004</t>
  </si>
  <si>
    <t>AB 2020-05</t>
  </si>
  <si>
    <t>GOODS 2020-013</t>
  </si>
  <si>
    <t>2020-PLA-057</t>
  </si>
  <si>
    <t>2020-22</t>
  </si>
  <si>
    <t>PROJECT # 19 - 171</t>
  </si>
  <si>
    <t>PR# 20-05-897</t>
  </si>
  <si>
    <t>05-003-20</t>
  </si>
  <si>
    <t>BBC2020-003</t>
  </si>
  <si>
    <t>ITB 20-03-142</t>
  </si>
  <si>
    <t>ITB-2020-036</t>
  </si>
  <si>
    <t>2020-18A</t>
  </si>
  <si>
    <t>TESDA-CO-2020-02 _Provision of Security Services R</t>
  </si>
  <si>
    <t>2020-17A</t>
  </si>
  <si>
    <t>04-G-2020 (MEO)</t>
  </si>
  <si>
    <t>300-20-03-0408</t>
  </si>
  <si>
    <t>STC-GOOD- NO. 2020-0039</t>
  </si>
  <si>
    <t>2020-21</t>
  </si>
  <si>
    <t>300-20-03-0409</t>
  </si>
  <si>
    <t>PIA-0003G-2020</t>
  </si>
  <si>
    <t>AB 2020-07</t>
  </si>
  <si>
    <t>PR# 20-05-939</t>
  </si>
  <si>
    <t>BRizal#001-2020</t>
  </si>
  <si>
    <t>2020-06-01-06</t>
  </si>
  <si>
    <t>ITB No. (INF) 2020-06-081 REPAIR/REHABILITATION OF</t>
  </si>
  <si>
    <t>202006B</t>
  </si>
  <si>
    <t>CW 2020-006-015</t>
  </si>
  <si>
    <t>PR# 20-05-941</t>
  </si>
  <si>
    <t>ITB No. (INF) 2020-06-083 CONSTRUCTION OF BUABUA –</t>
  </si>
  <si>
    <t>2020-03-07</t>
  </si>
  <si>
    <t>300-20-03-0407</t>
  </si>
  <si>
    <t>ITB No. (INF) 2020-05-079 CONCRETING OF BARANGAY R</t>
  </si>
  <si>
    <t>RFP 2020-03</t>
  </si>
  <si>
    <t>ITB No. (INF) 2020-06-082 ROAD CONCRETING OF MACAA</t>
  </si>
  <si>
    <t>ITB No. (INF) 2020-06-080 CONSTRUCTION/IMPROVEMENT</t>
  </si>
  <si>
    <t>2020-01-003</t>
  </si>
  <si>
    <t>2020-02-03</t>
  </si>
  <si>
    <t>GOODS 05-2020-001</t>
  </si>
  <si>
    <t>LGU-PI-2020-06-13PB</t>
  </si>
  <si>
    <t>20BE0087</t>
  </si>
  <si>
    <t>BACII-2020-PB-14</t>
  </si>
  <si>
    <t>2020-06-01-Goods</t>
  </si>
  <si>
    <t>LGU-PI-2020-06-14PB</t>
  </si>
  <si>
    <t>IB NO. 033-20</t>
  </si>
  <si>
    <t>IB NO. 032-20</t>
  </si>
  <si>
    <t>ITB No. (INF) 2020-06-088 CONSTRUCTION OF BRGY. RO</t>
  </si>
  <si>
    <t>GS 2020-006-021</t>
  </si>
  <si>
    <t>19-82-071</t>
  </si>
  <si>
    <t>20BE0086</t>
  </si>
  <si>
    <t>2020-06-02-Goods - GSS</t>
  </si>
  <si>
    <t xml:space="preserve">ITB No. (INF) 2020-06-087 CONCRETING OF HOLLYWOOD </t>
  </si>
  <si>
    <t>VMC-2020-046</t>
  </si>
  <si>
    <t>ITB No. (INF) 2020-06-086 CONSTRUCTION/IMPROVEMENT</t>
  </si>
  <si>
    <t>IB NO. 034-20</t>
  </si>
  <si>
    <t>IB NO. 031-20</t>
  </si>
  <si>
    <t>2020-06-01 Goods - GSS</t>
  </si>
  <si>
    <t>ITB No. (INF) 2020-06-085 CONSTRUCTION/IMPROVEMENT</t>
  </si>
  <si>
    <t>IB No. 2020-216</t>
  </si>
  <si>
    <t>ITB No. (INF) 2020-06-084 CONSTRUCTION/IMPROVEMENT</t>
  </si>
  <si>
    <t>MJES-06072020</t>
  </si>
  <si>
    <t>MJES-06072020A</t>
  </si>
  <si>
    <t>CW 2020-006-017</t>
  </si>
  <si>
    <t>GS 2020-006-018</t>
  </si>
  <si>
    <t>bagong silang 3 pr1</t>
  </si>
  <si>
    <t>05-04-2020</t>
  </si>
  <si>
    <t>INFRA-08-20-02</t>
  </si>
  <si>
    <t>TAG-SDS-051-2020</t>
  </si>
  <si>
    <t>TAG-SDS-053-2020</t>
  </si>
  <si>
    <t>INFRA-08-20-01</t>
  </si>
  <si>
    <t>2020-05-</t>
  </si>
  <si>
    <t>2020-PBG-01</t>
  </si>
  <si>
    <t>2020-05-0670</t>
  </si>
  <si>
    <t>100-2020-05-695</t>
  </si>
  <si>
    <t>INFRA-08-20-03</t>
  </si>
  <si>
    <t>INFRA-08-20-05</t>
  </si>
  <si>
    <t>20BF0057</t>
  </si>
  <si>
    <t>BS-0003-2020</t>
  </si>
  <si>
    <t>INFRA-08-20-04</t>
  </si>
  <si>
    <t>ITB No. (GDS) 2020-06-014 PROCUREMENT OF CONSTRUCT</t>
  </si>
  <si>
    <t>BAL-06-08-2020-Concreting of 200 Linear Meter Brgy</t>
  </si>
  <si>
    <t>INFRA-08-20-06</t>
  </si>
  <si>
    <t>BAL-06-08-2020-Concreting of 150 Linear Meter Brgy</t>
  </si>
  <si>
    <t>06072020</t>
  </si>
  <si>
    <t>BAL-05-18-2020-Concreting of 250 Linear Meter Brgy</t>
  </si>
  <si>
    <t>BAL-06-08-2020-Concreting of 150 Linear Meter Siga</t>
  </si>
  <si>
    <t>BAL-06-08-2020-Concreting of 250 Linear Meter Siti</t>
  </si>
  <si>
    <t>52020786</t>
  </si>
  <si>
    <t>PEO-2020-0070</t>
  </si>
  <si>
    <t>PEO-2020-0603</t>
  </si>
  <si>
    <t>PEO-2020-0745</t>
  </si>
  <si>
    <t>BAL-06-08-2020-Concreting of 400 Linear Meter Brgy</t>
  </si>
  <si>
    <t>2020-N-003</t>
  </si>
  <si>
    <t>PEO-2020-0413</t>
  </si>
  <si>
    <t>PEO-2020-0485</t>
  </si>
  <si>
    <t>BAL-05-18-2020-Concreting of 330 Linear Meter Exec</t>
  </si>
  <si>
    <t>MG-ADM20-005..REPLACEMENT OF EXISTING STREET LIGHT</t>
  </si>
  <si>
    <t>INFRA-08-20-07</t>
  </si>
  <si>
    <t>2005021</t>
  </si>
  <si>
    <t>2020-03-0068</t>
  </si>
  <si>
    <t>INFRA-08-20-08</t>
  </si>
  <si>
    <t>RO6-2020-03</t>
  </si>
  <si>
    <t>2821-20</t>
  </si>
  <si>
    <t>BAC 2020-68</t>
  </si>
  <si>
    <t>062320-02</t>
  </si>
  <si>
    <t>MG-PLM20-015..REPLACEMENT OF POWERHOUSE STATION BA</t>
  </si>
  <si>
    <t>BUGASS-2020-039</t>
  </si>
  <si>
    <t>MG-A5M20-001..OIL, WATER SEPARATOR AT SUMP PIT</t>
  </si>
  <si>
    <t>PEO-2020-0695</t>
  </si>
  <si>
    <t>REC-2020-10</t>
  </si>
  <si>
    <t>062320-01A</t>
  </si>
  <si>
    <t>BAC INFRA 2020-05</t>
  </si>
  <si>
    <t>BUGASS-2020-040</t>
  </si>
  <si>
    <t>036</t>
  </si>
  <si>
    <t>52020785</t>
  </si>
  <si>
    <t>B20-17-13</t>
  </si>
  <si>
    <t>2020-24</t>
  </si>
  <si>
    <t>REC-2020-11</t>
  </si>
  <si>
    <t>ITB NO. 2020-0012</t>
  </si>
  <si>
    <t>2020-Infra-03</t>
  </si>
  <si>
    <t>2020-05-0218</t>
  </si>
  <si>
    <t>REC-2020-09</t>
  </si>
  <si>
    <t>662020-002</t>
  </si>
  <si>
    <t>2020-23</t>
  </si>
  <si>
    <t>662020-001</t>
  </si>
  <si>
    <t>038</t>
  </si>
  <si>
    <t>20DF0182 - 20DF0187</t>
  </si>
  <si>
    <t>ITB-2020-035</t>
  </si>
  <si>
    <t>2020-G-01 (2)</t>
  </si>
  <si>
    <t>2020-Infra-01 (2)</t>
  </si>
  <si>
    <t>IB NO. CW 2020 - 084</t>
  </si>
  <si>
    <t>20OI0103</t>
  </si>
  <si>
    <t>039</t>
  </si>
  <si>
    <t>IB NO. CW 2020-084</t>
  </si>
  <si>
    <t>IB NO. CW 2020 -085</t>
  </si>
  <si>
    <t>2020-010R</t>
  </si>
  <si>
    <t>2020-Goods-11</t>
  </si>
  <si>
    <t>IB NO. CW 2020 - 082</t>
  </si>
  <si>
    <t>PB-CW-2020-024</t>
  </si>
  <si>
    <t>PB-CW-2020-023</t>
  </si>
  <si>
    <t>20-05-0550</t>
  </si>
  <si>
    <t>2020-009R</t>
  </si>
  <si>
    <t>ITB NO. 2020-0013</t>
  </si>
  <si>
    <t>PB-CW-2020-021</t>
  </si>
  <si>
    <t>PB-CW-2020-022</t>
  </si>
  <si>
    <t>2020-0011</t>
  </si>
  <si>
    <t>100-20-06-355</t>
  </si>
  <si>
    <t>IB NO. CW 2020 - 081</t>
  </si>
  <si>
    <t>20-05-0545</t>
  </si>
  <si>
    <t>IB NO. CW 2020 - 086</t>
  </si>
  <si>
    <t>2020-148</t>
  </si>
  <si>
    <t>itb20-06-024</t>
  </si>
  <si>
    <t>300-20-04-09</t>
  </si>
  <si>
    <t>IB NO. CW 2020 - 088</t>
  </si>
  <si>
    <t>IAEB 2020-009</t>
  </si>
  <si>
    <t>20OI0119</t>
  </si>
  <si>
    <t>20OI0118</t>
  </si>
  <si>
    <t>20OI0120</t>
  </si>
  <si>
    <t>2020-0361</t>
  </si>
  <si>
    <t>2020-0448</t>
  </si>
  <si>
    <t>202038</t>
  </si>
  <si>
    <t>2020-0459</t>
  </si>
  <si>
    <t>074 - 2020</t>
  </si>
  <si>
    <t>infra 2020-06-001</t>
  </si>
  <si>
    <t>1-06052020</t>
  </si>
  <si>
    <t>M-11-20</t>
  </si>
  <si>
    <t>2-06052020</t>
  </si>
  <si>
    <t>20236</t>
  </si>
  <si>
    <t>2020-086</t>
  </si>
  <si>
    <t>M-10-20</t>
  </si>
  <si>
    <t>2020-0348</t>
  </si>
  <si>
    <t>037</t>
  </si>
  <si>
    <t>PRO1GDS-2020-11</t>
  </si>
  <si>
    <t>4ARO-LOB-19-017</t>
  </si>
  <si>
    <t>2020-0349</t>
  </si>
  <si>
    <t>PRO1GDS-2020-10</t>
  </si>
  <si>
    <t>2020-06-215</t>
  </si>
  <si>
    <t>2020-0461</t>
  </si>
  <si>
    <t>20-153</t>
  </si>
  <si>
    <t>PRO1GDS-2020-12</t>
  </si>
  <si>
    <t>2020-087</t>
  </si>
  <si>
    <t>2020065</t>
  </si>
  <si>
    <t>3-06052020</t>
  </si>
  <si>
    <t>6-06052020</t>
  </si>
  <si>
    <t>2020-INFRA-043</t>
  </si>
  <si>
    <t>7-06052020</t>
  </si>
  <si>
    <t>PRO1GDS-2020-13</t>
  </si>
  <si>
    <t>5-06052020</t>
  </si>
  <si>
    <t>BFO No. 20-001: Supply and Delivery Five Hundred S</t>
  </si>
  <si>
    <t>DENR-ENGP-MMFN-HAULING-2020-001</t>
  </si>
  <si>
    <t>6005012020</t>
  </si>
  <si>
    <t>0003-2020</t>
  </si>
  <si>
    <t>2020-009-I</t>
  </si>
  <si>
    <t>10-06052020</t>
  </si>
  <si>
    <t>8-06052020</t>
  </si>
  <si>
    <t>9-06052020</t>
  </si>
  <si>
    <t>2020-06-062</t>
  </si>
  <si>
    <t>20HH0133</t>
  </si>
  <si>
    <t>DAPA-076-2020</t>
  </si>
  <si>
    <t>20LH0078</t>
  </si>
  <si>
    <t>20-06-05</t>
  </si>
  <si>
    <t>202006050001</t>
  </si>
  <si>
    <t>20HH0134</t>
  </si>
  <si>
    <t>2020-G1-007</t>
  </si>
  <si>
    <t>50011012020</t>
  </si>
  <si>
    <t>20LH0081</t>
  </si>
  <si>
    <t>20LH0084</t>
  </si>
  <si>
    <t>CBSUA-SIP-GOODS-09-2020</t>
  </si>
  <si>
    <t>4-06052020</t>
  </si>
  <si>
    <t>27611-001</t>
  </si>
  <si>
    <t>20FL0066</t>
  </si>
  <si>
    <t>tgs 10-20</t>
  </si>
  <si>
    <t>ITB No. 20-22</t>
  </si>
  <si>
    <t>2020-05-0104</t>
  </si>
  <si>
    <t>20B00022</t>
  </si>
  <si>
    <t>27619-001 to 27619-003</t>
  </si>
  <si>
    <t>100-20-05-324</t>
  </si>
  <si>
    <t>27388-001</t>
  </si>
  <si>
    <t>20LH0086</t>
  </si>
  <si>
    <t>2020 - 006 - 016</t>
  </si>
  <si>
    <t>27608-001</t>
  </si>
  <si>
    <t>019-2020</t>
  </si>
  <si>
    <t>20LH0090</t>
  </si>
  <si>
    <t>2020-05-0105</t>
  </si>
  <si>
    <t>20LH0091</t>
  </si>
  <si>
    <t>BS20-03-0402</t>
  </si>
  <si>
    <t>20FL0070</t>
  </si>
  <si>
    <t>20DJ0091</t>
  </si>
  <si>
    <t>KAP-20-15</t>
  </si>
  <si>
    <t>BS20-03-0410</t>
  </si>
  <si>
    <t>101-20-06-666</t>
  </si>
  <si>
    <t>SVP-2020-054</t>
  </si>
  <si>
    <t>GDS 20-054</t>
  </si>
  <si>
    <t>20LH0092</t>
  </si>
  <si>
    <t>BS20-02-0296</t>
  </si>
  <si>
    <t>101-20-06-667</t>
  </si>
  <si>
    <t>BS20-02-0346</t>
  </si>
  <si>
    <t>20DJ0090</t>
  </si>
  <si>
    <t>MH-GOODS-MEO-HISTORICAL-BLDG-2587</t>
  </si>
  <si>
    <t>BS20-06-MS005</t>
  </si>
  <si>
    <t>BS20-06-OE004</t>
  </si>
  <si>
    <t>BS20-02-MME004</t>
  </si>
  <si>
    <t>B20-17-09</t>
  </si>
  <si>
    <t>BS20-03-0520</t>
  </si>
  <si>
    <t>BS20-03-0609</t>
  </si>
  <si>
    <t>20LH0093</t>
  </si>
  <si>
    <t>BS20-03-0607</t>
  </si>
  <si>
    <t>BS20-06-HS003</t>
  </si>
  <si>
    <t>SVP-2020-055</t>
  </si>
  <si>
    <t>ITB No. 2020-06-2</t>
  </si>
  <si>
    <t>ORM-2011-20</t>
  </si>
  <si>
    <t>2020-05-350</t>
  </si>
  <si>
    <t>BS20-03-0467</t>
  </si>
  <si>
    <t>06052020-D</t>
  </si>
  <si>
    <t>20DJ0092</t>
  </si>
  <si>
    <t>20FL0064</t>
  </si>
  <si>
    <t>20LH0094</t>
  </si>
  <si>
    <t>BS20-06-OS003</t>
  </si>
  <si>
    <t>101-20-006-665</t>
  </si>
  <si>
    <t>SVP-060520-1</t>
  </si>
  <si>
    <t>HILONGOS 2020-179</t>
  </si>
  <si>
    <t>20FL0069</t>
  </si>
  <si>
    <t>BS20-03-0590</t>
  </si>
  <si>
    <t>BS20-06-M008</t>
  </si>
  <si>
    <t>20DJ0093</t>
  </si>
  <si>
    <t>20DJ0094</t>
  </si>
  <si>
    <t>20DE0143</t>
  </si>
  <si>
    <t>20G00098</t>
  </si>
  <si>
    <t>BS20-03-0511</t>
  </si>
  <si>
    <t>BS20-03-0433</t>
  </si>
  <si>
    <t>BS20-06-PR004</t>
  </si>
  <si>
    <t>20-20-02-044</t>
  </si>
  <si>
    <t>50-20-05-042</t>
  </si>
  <si>
    <t>SVP-060520-3</t>
  </si>
  <si>
    <t>2020-06-17</t>
  </si>
  <si>
    <t>20FL0083</t>
  </si>
  <si>
    <t>2020-LP-22</t>
  </si>
  <si>
    <t>20GHC0003</t>
  </si>
  <si>
    <t>20GP00033</t>
  </si>
  <si>
    <t>BS20-02-0215-1</t>
  </si>
  <si>
    <t>2020-LP-21</t>
  </si>
  <si>
    <t>20GH00002 (Cluster)</t>
  </si>
  <si>
    <t>BS20-04-0635</t>
  </si>
  <si>
    <t>20DJ0095</t>
  </si>
  <si>
    <t>ASTGOODS06</t>
  </si>
  <si>
    <t>BACII-2020-13</t>
  </si>
  <si>
    <t>6-6-20</t>
  </si>
  <si>
    <t>20PA0126</t>
  </si>
  <si>
    <t>CW-APAYAO-LARIP-02-2020</t>
  </si>
  <si>
    <t>20CSNE0001</t>
  </si>
  <si>
    <t>2020-002C</t>
  </si>
  <si>
    <t>CW-KALINGA-UCRIS-03-2020</t>
  </si>
  <si>
    <t>6-5-20</t>
  </si>
  <si>
    <t>ICITB06052020A</t>
  </si>
  <si>
    <t>ITB# 89-2020 Medical, Dental &amp; Supplies</t>
  </si>
  <si>
    <t>Poblacion-2020-001</t>
  </si>
  <si>
    <t>006-20</t>
  </si>
  <si>
    <t>2020-06-31</t>
  </si>
  <si>
    <t>USTP-GSPB-06-5050105003-2020</t>
  </si>
  <si>
    <t>ITB PR 0390</t>
  </si>
  <si>
    <t>CW-APAYAO-LARIP-01-2020</t>
  </si>
  <si>
    <t>PR-2020-05-116</t>
  </si>
  <si>
    <t>Calaca 2020-031</t>
  </si>
  <si>
    <t>20PA0127</t>
  </si>
  <si>
    <t>2020-06-39</t>
  </si>
  <si>
    <t>GOODS-2020-06-008</t>
  </si>
  <si>
    <t>2020-06-38</t>
  </si>
  <si>
    <t>ITB PR 0406</t>
  </si>
  <si>
    <t>2020-INFRA-044</t>
  </si>
  <si>
    <t>2020-06-40</t>
  </si>
  <si>
    <t>2020-06-36</t>
  </si>
  <si>
    <t>20PK0066</t>
  </si>
  <si>
    <t>2020-06-33</t>
  </si>
  <si>
    <t>ITB brgy 25</t>
  </si>
  <si>
    <t>2020-06-34</t>
  </si>
  <si>
    <t>20GF0101</t>
  </si>
  <si>
    <t>202006111</t>
  </si>
  <si>
    <t>20OD0190</t>
  </si>
  <si>
    <t>SPC PR No. 202004-026</t>
  </si>
  <si>
    <t>2020-06-0028</t>
  </si>
  <si>
    <t>20OD0189</t>
  </si>
  <si>
    <t>20-406</t>
  </si>
  <si>
    <t>2020-06-32</t>
  </si>
  <si>
    <t>20PK0067</t>
  </si>
  <si>
    <t>PR-2020-05-100</t>
  </si>
  <si>
    <t>20-391</t>
  </si>
  <si>
    <t>PUR20-05-0433</t>
  </si>
  <si>
    <t>20PK0068</t>
  </si>
  <si>
    <t>5-11-20</t>
  </si>
  <si>
    <t>ITB 2020-05</t>
  </si>
  <si>
    <t>20-308</t>
  </si>
  <si>
    <t>20FN0093</t>
  </si>
  <si>
    <t>20-425</t>
  </si>
  <si>
    <t>GA-BAC-2020DP-12</t>
  </si>
  <si>
    <t>20-426</t>
  </si>
  <si>
    <t>ITB Brgy30</t>
  </si>
  <si>
    <t>GA-BAC-2019C-DP-21</t>
  </si>
  <si>
    <t>2020-PBINFRA-06-006</t>
  </si>
  <si>
    <t>2020-018-II</t>
  </si>
  <si>
    <t>0605-004</t>
  </si>
  <si>
    <t>20-417</t>
  </si>
  <si>
    <t>BAC-GS 2020-152 (DGS PR No. 2000005253)</t>
  </si>
  <si>
    <t>20FN0096</t>
  </si>
  <si>
    <t>0605-002</t>
  </si>
  <si>
    <t>20-427</t>
  </si>
  <si>
    <t>2020-020-II</t>
  </si>
  <si>
    <t>0605-003</t>
  </si>
  <si>
    <t>0605-001</t>
  </si>
  <si>
    <t>20-429</t>
  </si>
  <si>
    <t>20FN0095</t>
  </si>
  <si>
    <t>2020-019-II</t>
  </si>
  <si>
    <t>0605-007</t>
  </si>
  <si>
    <t>20-428</t>
  </si>
  <si>
    <t>20PF0066</t>
  </si>
  <si>
    <t>20FN0094</t>
  </si>
  <si>
    <t>0605-006</t>
  </si>
  <si>
    <t>20FN0097</t>
  </si>
  <si>
    <t>0605-005</t>
  </si>
  <si>
    <t>2020-05-066</t>
  </si>
  <si>
    <t>101-020-006-064</t>
  </si>
  <si>
    <t>Poblacion-2020-002</t>
  </si>
  <si>
    <t>20-431</t>
  </si>
  <si>
    <t>20-430</t>
  </si>
  <si>
    <t>20GA0136</t>
  </si>
  <si>
    <t>20GA0146</t>
  </si>
  <si>
    <t>20CSDM01</t>
  </si>
  <si>
    <t>2019-05</t>
  </si>
  <si>
    <t>20GA0144</t>
  </si>
  <si>
    <t>20CSNI02</t>
  </si>
  <si>
    <t>20CSDM02</t>
  </si>
  <si>
    <t>ITB-PB-02</t>
  </si>
  <si>
    <t>20CSNI01</t>
  </si>
  <si>
    <t>DAR-2020-03</t>
  </si>
  <si>
    <t>20CSNI03</t>
  </si>
  <si>
    <t>2020-0034</t>
  </si>
  <si>
    <t>20GA0149</t>
  </si>
  <si>
    <t>Budget Certificate No. 213-2020 dated May 29, 2020</t>
  </si>
  <si>
    <t>20GA0147</t>
  </si>
  <si>
    <t>PR No. 101-186 dated June 1, 2020</t>
  </si>
  <si>
    <t>014-ECE20</t>
  </si>
  <si>
    <t>M-20-17</t>
  </si>
  <si>
    <t>M-20-18</t>
  </si>
  <si>
    <t>2020-2406-001</t>
  </si>
  <si>
    <t>MUNPINCE-2006-101</t>
  </si>
  <si>
    <t>IN-BAC-2020-06-056</t>
  </si>
  <si>
    <t>MUNPINCE-2006-099</t>
  </si>
  <si>
    <t>NAVOTAS WEST 2020-001</t>
  </si>
  <si>
    <t>20GA0152</t>
  </si>
  <si>
    <t>S3-TAL20-007</t>
  </si>
  <si>
    <t>S3-KDP20-009</t>
  </si>
  <si>
    <t>MUNPINCE-2006-100</t>
  </si>
  <si>
    <t>S3-KDP20-006</t>
  </si>
  <si>
    <t>20PI0089</t>
  </si>
  <si>
    <t>20PI0087</t>
  </si>
  <si>
    <t>20PI0076</t>
  </si>
  <si>
    <t>INFRA 2020-002</t>
  </si>
  <si>
    <t>S3-BLD20-010</t>
  </si>
  <si>
    <t>S3-BLD20-009</t>
  </si>
  <si>
    <t>20PI0088</t>
  </si>
  <si>
    <t>20PI0082</t>
  </si>
  <si>
    <t>030</t>
  </si>
  <si>
    <t>IN-BAC-2020-06-055</t>
  </si>
  <si>
    <t>S3-LOR20-001</t>
  </si>
  <si>
    <t>29</t>
  </si>
  <si>
    <t>30</t>
  </si>
  <si>
    <t>32</t>
  </si>
  <si>
    <t>LGU-Sagay-4745</t>
  </si>
  <si>
    <t>msj-2020-15</t>
  </si>
  <si>
    <t>NAVOTAS WEST 2020-002</t>
  </si>
  <si>
    <t>2020-015R</t>
  </si>
  <si>
    <t>20GFG0015</t>
  </si>
  <si>
    <t>31</t>
  </si>
  <si>
    <t>S3-TAL20-008</t>
  </si>
  <si>
    <t>34</t>
  </si>
  <si>
    <t>20FG0100</t>
  </si>
  <si>
    <t>BAC 06/04/20-01</t>
  </si>
  <si>
    <t>20PI0091</t>
  </si>
  <si>
    <t>2020-06-0177</t>
  </si>
  <si>
    <t>pontevedra-20-CW06</t>
  </si>
  <si>
    <t>20PI0090</t>
  </si>
  <si>
    <t>pontevedra-20-CW07</t>
  </si>
  <si>
    <t>2020-32</t>
  </si>
  <si>
    <t>Contract ID: 20KH0045</t>
  </si>
  <si>
    <t>100(01)20-06-321(O)</t>
  </si>
  <si>
    <t>GOODS2020-70</t>
  </si>
  <si>
    <t>MKWD2020-041</t>
  </si>
  <si>
    <t>pontevedra-20-CW05</t>
  </si>
  <si>
    <t>2020-135-I</t>
  </si>
  <si>
    <t>pontevedra-20-CW-04</t>
  </si>
  <si>
    <t>ITB No. 024-2020  GQ</t>
  </si>
  <si>
    <t>MG-A7C20-019</t>
  </si>
  <si>
    <t>33</t>
  </si>
  <si>
    <t>G-102-20</t>
  </si>
  <si>
    <t>ITB No. 026-2020  GQ</t>
  </si>
  <si>
    <t>BRGHGMC-GS-2020-03</t>
  </si>
  <si>
    <t>SN-2020-6</t>
  </si>
  <si>
    <t>CWD06-202001</t>
  </si>
  <si>
    <t>20GKI0017 (Re-ad)</t>
  </si>
  <si>
    <t>SN-2020-7</t>
  </si>
  <si>
    <t>ITB No. 023-2020  GQ</t>
  </si>
  <si>
    <t>20GKI0025 (Re-ad)</t>
  </si>
  <si>
    <t>20GKI0026</t>
  </si>
  <si>
    <t>20GKI0024 (Re-ad)</t>
  </si>
  <si>
    <t>ITB No. 027-2020 GQ</t>
  </si>
  <si>
    <t>C-013-0183-20</t>
  </si>
  <si>
    <t>B-8661-20-11</t>
  </si>
  <si>
    <t>S3-MMT20-015</t>
  </si>
  <si>
    <t>RFQ NO. 34</t>
  </si>
  <si>
    <t>MMO-2020-06-04-001</t>
  </si>
  <si>
    <t>PR NO. 2020-06-058</t>
  </si>
  <si>
    <t>RFQ No. 053-2020 GQ</t>
  </si>
  <si>
    <t>20HA0130</t>
  </si>
  <si>
    <t>C-0113-0030-20</t>
  </si>
  <si>
    <t>20BJ0060</t>
  </si>
  <si>
    <t>philgeps06042020</t>
  </si>
  <si>
    <t>06-04-01</t>
  </si>
  <si>
    <t>S3-PLM20-003</t>
  </si>
  <si>
    <t>06-05-2020-01</t>
  </si>
  <si>
    <t>S3-NAQ20-008</t>
  </si>
  <si>
    <t>20-149</t>
  </si>
  <si>
    <t>RFQ NO. 33</t>
  </si>
  <si>
    <t xml:space="preserve">REQ 2020-025 Supply and delivery of Tires for NCR </t>
  </si>
  <si>
    <t>RFQ No. 054-2020  GQ</t>
  </si>
  <si>
    <t>GO-20-06-038</t>
  </si>
  <si>
    <t>2020-292</t>
  </si>
  <si>
    <t>35</t>
  </si>
  <si>
    <t>2020 ITB - 027</t>
  </si>
  <si>
    <t>ITB No. 20-017</t>
  </si>
  <si>
    <t>ITB No. 20-018</t>
  </si>
  <si>
    <t>PROJECT ID NO. G-2020-003</t>
  </si>
  <si>
    <t>M-20-19</t>
  </si>
  <si>
    <t>2020 ADP steelfootbridge</t>
  </si>
  <si>
    <t>2020-05-0063</t>
  </si>
  <si>
    <t>20KB0162</t>
  </si>
  <si>
    <t>20-022</t>
  </si>
  <si>
    <t>642020-022</t>
  </si>
  <si>
    <t>2020-06-0577 TDG</t>
  </si>
  <si>
    <t>GOODS 2020-016</t>
  </si>
  <si>
    <t>014-0620-GD</t>
  </si>
  <si>
    <t>36</t>
  </si>
  <si>
    <t>20KB0163</t>
  </si>
  <si>
    <t>20-037</t>
  </si>
  <si>
    <t>INFRA 2020-003</t>
  </si>
  <si>
    <t>PROJECT ID NO. I-2020-012</t>
  </si>
  <si>
    <t>20BD0111</t>
  </si>
  <si>
    <t>20-036</t>
  </si>
  <si>
    <t>20BD00108</t>
  </si>
  <si>
    <t>PR-2020-</t>
  </si>
  <si>
    <t>20-038</t>
  </si>
  <si>
    <t>20KB0164</t>
  </si>
  <si>
    <t>20BD00109</t>
  </si>
  <si>
    <t>INFR-02-2020</t>
  </si>
  <si>
    <t>311</t>
  </si>
  <si>
    <t>20GG00016</t>
  </si>
  <si>
    <t>20BD0110</t>
  </si>
  <si>
    <t>sfbac2020-SAIP NO. 04-1000-05</t>
  </si>
  <si>
    <t>001-06052020</t>
  </si>
  <si>
    <t>20bd0116</t>
  </si>
  <si>
    <t>20BD0117</t>
  </si>
  <si>
    <t>20-505</t>
  </si>
  <si>
    <t>20NA0067</t>
  </si>
  <si>
    <t>SVP 2020-026</t>
  </si>
  <si>
    <t>20BD0115</t>
  </si>
  <si>
    <t>20-035</t>
  </si>
  <si>
    <t>20BD0112</t>
  </si>
  <si>
    <t>420200302576</t>
  </si>
  <si>
    <t>DA3-2020-3-10-144</t>
  </si>
  <si>
    <t>20BD0114</t>
  </si>
  <si>
    <t>20BD0113</t>
  </si>
  <si>
    <t>20BD0122</t>
  </si>
  <si>
    <t>004-0605</t>
  </si>
  <si>
    <t>20BD0120</t>
  </si>
  <si>
    <t>20bd0118</t>
  </si>
  <si>
    <t>20BD0121</t>
  </si>
  <si>
    <t>20GM0077</t>
  </si>
  <si>
    <t>20GM0073</t>
  </si>
  <si>
    <t>20BG0146</t>
  </si>
  <si>
    <t>Competitive Bidding 2020-18</t>
  </si>
  <si>
    <t>20BD0119</t>
  </si>
  <si>
    <t>20GM0079</t>
  </si>
  <si>
    <t>Competitive Bidding 2020-17</t>
  </si>
  <si>
    <t>20GM0078</t>
  </si>
  <si>
    <t>20BD0123</t>
  </si>
  <si>
    <t>20BD0124</t>
  </si>
  <si>
    <t>2020-G-27</t>
  </si>
  <si>
    <t>INF-SFO-04-20</t>
  </si>
  <si>
    <t>005-06042020</t>
  </si>
  <si>
    <t>20BD0125</t>
  </si>
  <si>
    <t>Adv. 20-007</t>
  </si>
  <si>
    <t>MRB-2020-BLDG</t>
  </si>
  <si>
    <t>20-054</t>
  </si>
  <si>
    <t>20-041</t>
  </si>
  <si>
    <t>BAC-NP NO. 2020-05</t>
  </si>
  <si>
    <t>2020-296</t>
  </si>
  <si>
    <t>Competitive Bidding 2020-19</t>
  </si>
  <si>
    <t>20GM0076</t>
  </si>
  <si>
    <t>20NH0081 (RE-AD)</t>
  </si>
  <si>
    <t>I-2020-014</t>
  </si>
  <si>
    <t>20GM0075</t>
  </si>
  <si>
    <t>2020-297</t>
  </si>
  <si>
    <t>2020-298</t>
  </si>
  <si>
    <t>420200302577</t>
  </si>
  <si>
    <t>RFQ-6-4-2020</t>
  </si>
  <si>
    <t>20-029</t>
  </si>
  <si>
    <t>20GM0074</t>
  </si>
  <si>
    <t>6004012020</t>
  </si>
  <si>
    <t>6-28-20</t>
  </si>
  <si>
    <t>2020-300</t>
  </si>
  <si>
    <t>20-503</t>
  </si>
  <si>
    <t>20013052020</t>
  </si>
  <si>
    <t>CHEDRO12 ITB2020-06-002</t>
  </si>
  <si>
    <t>ITB 2020-06-024</t>
  </si>
  <si>
    <t>JUNE42020</t>
  </si>
  <si>
    <t>ITB2020-01-01</t>
  </si>
  <si>
    <t>2020-INFRA-037</t>
  </si>
  <si>
    <t>lgm</t>
  </si>
  <si>
    <t>2020-INFRA-038</t>
  </si>
  <si>
    <t>CW-259-2020</t>
  </si>
  <si>
    <t>CW-258-2020</t>
  </si>
  <si>
    <t>2020-299</t>
  </si>
  <si>
    <t>2020-301</t>
  </si>
  <si>
    <t>BCS-2020-097</t>
  </si>
  <si>
    <t>B-8661-20-12</t>
  </si>
  <si>
    <t>2020-303</t>
  </si>
  <si>
    <t>2020-302</t>
  </si>
  <si>
    <t>20NC0117</t>
  </si>
  <si>
    <t>ITB-2019-PW-01</t>
  </si>
  <si>
    <t>MH-GOODS-SBO-WATER-FACILITIES-164/165/166</t>
  </si>
  <si>
    <t>2020-5</t>
  </si>
  <si>
    <t>INFRA-2020-05</t>
  </si>
  <si>
    <t>D-009-0259-20</t>
  </si>
  <si>
    <t>CEO-2018-C14 and CEO-2018-11</t>
  </si>
  <si>
    <t>E-042-0342-20</t>
  </si>
  <si>
    <t>Infra-2020-06</t>
  </si>
  <si>
    <t>020-06-2020</t>
  </si>
  <si>
    <t>E-065-0365-20</t>
  </si>
  <si>
    <t>INFRA-017-2020</t>
  </si>
  <si>
    <t>D-005-0255-20</t>
  </si>
  <si>
    <t>2020-INFRA-039</t>
  </si>
  <si>
    <t>2020-ODY-06-175</t>
  </si>
  <si>
    <t>bac-baquioen-01-20</t>
  </si>
  <si>
    <t>20GDF0015</t>
  </si>
  <si>
    <t>SOLANO 056-2020</t>
  </si>
  <si>
    <t>FLGU-CW-2020-09</t>
  </si>
  <si>
    <t>2020-PB-015</t>
  </si>
  <si>
    <t>RM-2020-02-002</t>
  </si>
  <si>
    <t>SF2020-AIP-1000-25</t>
  </si>
  <si>
    <t>20GDF0014</t>
  </si>
  <si>
    <t>06-04-02</t>
  </si>
  <si>
    <t>IB No. 2020-029</t>
  </si>
  <si>
    <t>ITB 100-2020-06-01</t>
  </si>
  <si>
    <t>20GDF0017</t>
  </si>
  <si>
    <t>ITB 100-2020-06-02</t>
  </si>
  <si>
    <t>Publication no. 2020-05</t>
  </si>
  <si>
    <t>SanJoseBatsAeb2020-067</t>
  </si>
  <si>
    <t>20GDF0016</t>
  </si>
  <si>
    <t>NFA-NCR-RBAC-2020-06-04-005</t>
  </si>
  <si>
    <t>2020-05-0062</t>
  </si>
  <si>
    <t>INFR-018-2020</t>
  </si>
  <si>
    <t>ITB 100-2020-06-03</t>
  </si>
  <si>
    <t>20PG0059</t>
  </si>
  <si>
    <t>DA3-2020-06-01-13</t>
  </si>
  <si>
    <t>NAVOTAS WEST 2020-003</t>
  </si>
  <si>
    <t>20GDF0018</t>
  </si>
  <si>
    <t>SanJoseBatsAeb2020-069</t>
  </si>
  <si>
    <t>SanJoseBatsAeb2020-068</t>
  </si>
  <si>
    <t>MIA-2020-06-001</t>
  </si>
  <si>
    <t>060420</t>
  </si>
  <si>
    <t>20NC0118</t>
  </si>
  <si>
    <t>FLGU-CW-2020-10</t>
  </si>
  <si>
    <t>CID NO. 20IF0137</t>
  </si>
  <si>
    <t>NAVOTAS WEST 2020-004</t>
  </si>
  <si>
    <t>GFG-2020-06-017</t>
  </si>
  <si>
    <t>20NC0119</t>
  </si>
  <si>
    <t>IB No. 2020-030</t>
  </si>
  <si>
    <t>JUNE42020-1</t>
  </si>
  <si>
    <t>GFW-2020-06-017</t>
  </si>
  <si>
    <t>BUENAVISTA202001</t>
  </si>
  <si>
    <t>NAVOTAS WEST 2020-006</t>
  </si>
  <si>
    <t>20NC0120</t>
  </si>
  <si>
    <t>tag-07-20</t>
  </si>
  <si>
    <t>Publication no. 2020-07</t>
  </si>
  <si>
    <t>IB No. 2020-031</t>
  </si>
  <si>
    <t>FLGU-CW-2020-11</t>
  </si>
  <si>
    <t>20PG0060</t>
  </si>
  <si>
    <t>SURGERY-2020-02-0002</t>
  </si>
  <si>
    <t>NAVOTAS WEST 2020-005</t>
  </si>
  <si>
    <t>2020-INFRA-040</t>
  </si>
  <si>
    <t>CID NO. 20IF0138</t>
  </si>
  <si>
    <t>PEO-20-0663 B</t>
  </si>
  <si>
    <t>LGU2020-06-46</t>
  </si>
  <si>
    <t>20GDM0098</t>
  </si>
  <si>
    <t>2020-S001</t>
  </si>
  <si>
    <t>RFQ-6-4-2020B</t>
  </si>
  <si>
    <t>IB No. 2020-032</t>
  </si>
  <si>
    <t>PGLDN 101-20-05-1052</t>
  </si>
  <si>
    <t>BCS-2020-098</t>
  </si>
  <si>
    <t>IB No. 2020-033</t>
  </si>
  <si>
    <t>PEO-20-0667 B</t>
  </si>
  <si>
    <t>RFQ-6-4-2020C</t>
  </si>
  <si>
    <t>I.D. NO. –June2-2020-460</t>
  </si>
  <si>
    <t>tagongon01-20</t>
  </si>
  <si>
    <t>BUE-06042020-01</t>
  </si>
  <si>
    <t>I.D. NO. –June2-2020-461</t>
  </si>
  <si>
    <t>2020-S002</t>
  </si>
  <si>
    <t>CW20-19</t>
  </si>
  <si>
    <t>IB No. 2020-034</t>
  </si>
  <si>
    <t>I.D. NO. –June2-2020-462</t>
  </si>
  <si>
    <t>PB INFRA 001-2020</t>
  </si>
  <si>
    <t>SWEP-PNBAC1-2020-02</t>
  </si>
  <si>
    <t>I.D. NO. –June2-2020-466</t>
  </si>
  <si>
    <t>2020-05-789-MEO</t>
  </si>
  <si>
    <t>R1-ISIMO-20-06-020</t>
  </si>
  <si>
    <t>I.D. NO. –June2-2020-464</t>
  </si>
  <si>
    <t>PB INFRA 02-2020</t>
  </si>
  <si>
    <t>I.D. NO. –June2-2020-463</t>
  </si>
  <si>
    <t>PN 09-2020</t>
  </si>
  <si>
    <t>20-06-047</t>
  </si>
  <si>
    <t>20HF0098</t>
  </si>
  <si>
    <t>2020-INFRA-041</t>
  </si>
  <si>
    <t>R1-ISIMO-20-06-022</t>
  </si>
  <si>
    <t>20-06-046</t>
  </si>
  <si>
    <t>R1-ISIMO-20-06-021</t>
  </si>
  <si>
    <t>I.D. NO. –June2-2020-456</t>
  </si>
  <si>
    <t>I.D. NO. –June2-2020-455</t>
  </si>
  <si>
    <t>R1-ISIMO-20-06-023</t>
  </si>
  <si>
    <t>2020-0006-0001</t>
  </si>
  <si>
    <t>ITB PR No.: 0295, 0317-20BAC</t>
  </si>
  <si>
    <t>20HF0093</t>
  </si>
  <si>
    <t>I.D. NO. –June2-2020-458</t>
  </si>
  <si>
    <t>I.D. NO. –June2-2020-457</t>
  </si>
  <si>
    <t>2020-PBG-</t>
  </si>
  <si>
    <t>2020-INFRA-042</t>
  </si>
  <si>
    <t>PR NO. 020-06-040</t>
  </si>
  <si>
    <t>ITB PR No.: 0206-20BAC</t>
  </si>
  <si>
    <t>PR0035-20 +0036-20 MotorPool</t>
  </si>
  <si>
    <t>2020-0006-0002</t>
  </si>
  <si>
    <t>I.D. NO. –June2-2020-459</t>
  </si>
  <si>
    <t>I.D. NO. –June2-2020-465</t>
  </si>
  <si>
    <t>20-06-048</t>
  </si>
  <si>
    <t>lgutangcalldn-096</t>
  </si>
  <si>
    <t>RO4-GOODS-2020-18</t>
  </si>
  <si>
    <t>MH-GOODS-MEO-CARPENTRY-SHOP-761</t>
  </si>
  <si>
    <t>SWEP-PNBAC1-2020-03</t>
  </si>
  <si>
    <t>lgutangcalldn-095</t>
  </si>
  <si>
    <t>2020-133-I</t>
  </si>
  <si>
    <t>2020-134-I</t>
  </si>
  <si>
    <t>2020-136-I</t>
  </si>
  <si>
    <t>20MB0153</t>
  </si>
  <si>
    <t>2020-PBCW-04</t>
  </si>
  <si>
    <t>PRDP ID No.: PRDP-IR-R011-DDS-006-DAV-003-2018</t>
  </si>
  <si>
    <t>BAC-HO GS No. 2020-0242 dated 28 May 2020 (ASD)</t>
  </si>
  <si>
    <t>ITB PR No.: 0207-20BAC</t>
  </si>
  <si>
    <t>20DQ0107</t>
  </si>
  <si>
    <t>ITB PR No.: 1123-20BAC</t>
  </si>
  <si>
    <t>ITB PR No.: 1155-20BAC</t>
  </si>
  <si>
    <t>ITB PR No.: 0193-20BAC</t>
  </si>
  <si>
    <t>20DQ00106</t>
  </si>
  <si>
    <t>20DQ0109</t>
  </si>
  <si>
    <t>GSV2020-06-025</t>
  </si>
  <si>
    <t>20DQ0108</t>
  </si>
  <si>
    <t>lam-bac-189-020</t>
  </si>
  <si>
    <t>20DQ0110</t>
  </si>
  <si>
    <t>20DQ0111</t>
  </si>
  <si>
    <t>20-06-37A</t>
  </si>
  <si>
    <t>AGINF2020-0605A</t>
  </si>
  <si>
    <t>2020-06-68</t>
  </si>
  <si>
    <t>20FC0073</t>
  </si>
  <si>
    <t>DPWH-SK2DEO-20GMH043</t>
  </si>
  <si>
    <t>20FC0084</t>
  </si>
  <si>
    <t>20FC0091</t>
  </si>
  <si>
    <t>DPWH-SK2DEO-20GMH046</t>
  </si>
  <si>
    <t>DPWH-SK2DEO-20GMH045</t>
  </si>
  <si>
    <t>AGINF2020-0605B</t>
  </si>
  <si>
    <t>20FC0105</t>
  </si>
  <si>
    <t>DPWH-SK2DEO-20GMH044</t>
  </si>
  <si>
    <t>DPWH-SK2DEO-20GMH042</t>
  </si>
  <si>
    <t>20-06-36A</t>
  </si>
  <si>
    <t>NIAREG9-06032020-687</t>
  </si>
  <si>
    <t>033</t>
  </si>
  <si>
    <t>20-05-399</t>
  </si>
  <si>
    <t>NIAREG9-06032020-686</t>
  </si>
  <si>
    <t>06-04-202002036</t>
  </si>
  <si>
    <t>20-06-443</t>
  </si>
  <si>
    <t>ITB PR No.: 0691-20BAC</t>
  </si>
  <si>
    <t>031</t>
  </si>
  <si>
    <t>ITB PR No.: 0772-20BAC</t>
  </si>
  <si>
    <t>035</t>
  </si>
  <si>
    <t>20LG0113</t>
  </si>
  <si>
    <t>032</t>
  </si>
  <si>
    <t>034</t>
  </si>
  <si>
    <t>ITB PR No.: 0177-20BAC</t>
  </si>
  <si>
    <t>ITB PR No.: 0499-20BAC</t>
  </si>
  <si>
    <t>ITB PR No.: 0694-20BAC</t>
  </si>
  <si>
    <t>ITB PR No.: 0204-20BAC</t>
  </si>
  <si>
    <t>ITB PR No.: 0774-20BAC</t>
  </si>
  <si>
    <t>qis_NFRA_2020#28</t>
  </si>
  <si>
    <t>BAC-PG-00116-20</t>
  </si>
  <si>
    <t>2020-0401</t>
  </si>
  <si>
    <t>ITB PR No.: 3310-19BAC</t>
  </si>
  <si>
    <t>20CSZ005</t>
  </si>
  <si>
    <t>ITB PR No.: 0697-20BAC</t>
  </si>
  <si>
    <t>ITB PR No.: 0604-20BAC</t>
  </si>
  <si>
    <t>ITB PR No.: 0952-20BAC</t>
  </si>
  <si>
    <t>ITB PR No.: 0698-20BAC</t>
  </si>
  <si>
    <t>BAC-PG-00118-20</t>
  </si>
  <si>
    <t>2020-0402</t>
  </si>
  <si>
    <t>BAC-PG-00117-20</t>
  </si>
  <si>
    <t>ITB PR No.: 0605-20BAC</t>
  </si>
  <si>
    <t>004-06042020</t>
  </si>
  <si>
    <t>003-06042020</t>
  </si>
  <si>
    <t>001-06042020</t>
  </si>
  <si>
    <t>BAC 2020-69</t>
  </si>
  <si>
    <t>20csd01</t>
  </si>
  <si>
    <t>BAC-PG-00119-20</t>
  </si>
  <si>
    <t>011-06042020</t>
  </si>
  <si>
    <t>002-06042020</t>
  </si>
  <si>
    <t>009-06042020</t>
  </si>
  <si>
    <t>008-06042020</t>
  </si>
  <si>
    <t>006-06042020</t>
  </si>
  <si>
    <t>018-06042020</t>
  </si>
  <si>
    <t>019-0506042020</t>
  </si>
  <si>
    <t>021-06042020</t>
  </si>
  <si>
    <t>020-06042020</t>
  </si>
  <si>
    <t>016-06042020</t>
  </si>
  <si>
    <t>017-06042020</t>
  </si>
  <si>
    <t>014-06042020</t>
  </si>
  <si>
    <t>015-06042020</t>
  </si>
  <si>
    <t>20GA0185</t>
  </si>
  <si>
    <t>20GA0189</t>
  </si>
  <si>
    <t>022-06042020</t>
  </si>
  <si>
    <t>013-06042020</t>
  </si>
  <si>
    <t>029-06042020</t>
  </si>
  <si>
    <t>20GA0188</t>
  </si>
  <si>
    <t>20GA0212</t>
  </si>
  <si>
    <t>026-06042020</t>
  </si>
  <si>
    <t>007-06042020</t>
  </si>
  <si>
    <t>025-06042020</t>
  </si>
  <si>
    <t>028-06042020</t>
  </si>
  <si>
    <t>012-06042020</t>
  </si>
  <si>
    <t>010-06042020</t>
  </si>
  <si>
    <t>027-06042020</t>
  </si>
  <si>
    <t>B1-2020-04-010</t>
  </si>
  <si>
    <t>DENR-ORMIN-015-2020</t>
  </si>
  <si>
    <t>B2-2020-03-004</t>
  </si>
  <si>
    <t>024-06042020</t>
  </si>
  <si>
    <t>20GA0213</t>
  </si>
  <si>
    <t>20GA0190</t>
  </si>
  <si>
    <t>030-06042020</t>
  </si>
  <si>
    <t>20GA0209</t>
  </si>
  <si>
    <t>035-06042020</t>
  </si>
  <si>
    <t>036-06042020</t>
  </si>
  <si>
    <t>031-06042020</t>
  </si>
  <si>
    <t>037-06042020</t>
  </si>
  <si>
    <t>043-06042020</t>
  </si>
  <si>
    <t>032-06042020</t>
  </si>
  <si>
    <t>034-06042020</t>
  </si>
  <si>
    <t>042-06042020</t>
  </si>
  <si>
    <t>041-06042020</t>
  </si>
  <si>
    <t>033-06042020</t>
  </si>
  <si>
    <t>039-06042020</t>
  </si>
  <si>
    <t>MG-A7T20-050</t>
  </si>
  <si>
    <t>038-06042020</t>
  </si>
  <si>
    <t>044-06042020</t>
  </si>
  <si>
    <t>ME2020-05-022.3</t>
  </si>
  <si>
    <t>040-06042020</t>
  </si>
  <si>
    <t>ME2020-05-022.2</t>
  </si>
  <si>
    <t>045-06042020</t>
  </si>
  <si>
    <t>ME2020-05-022.1</t>
  </si>
  <si>
    <t>049-06042020</t>
  </si>
  <si>
    <t>ME2020-05-022.9</t>
  </si>
  <si>
    <t>050-06042020</t>
  </si>
  <si>
    <t>ME2020-05-022.7</t>
  </si>
  <si>
    <t>048-06042020</t>
  </si>
  <si>
    <t>ME2020-05-022.5</t>
  </si>
  <si>
    <t>ME2020-05-022.8</t>
  </si>
  <si>
    <t>Infra-2020-07</t>
  </si>
  <si>
    <t>054-06042020</t>
  </si>
  <si>
    <t>ME2020-05-022.6</t>
  </si>
  <si>
    <t>053-06042020</t>
  </si>
  <si>
    <t>ME2020-05-022.4</t>
  </si>
  <si>
    <t>056-06042020</t>
  </si>
  <si>
    <t>Infra-2020-08</t>
  </si>
  <si>
    <t>051-06042020</t>
  </si>
  <si>
    <t>057-06042020</t>
  </si>
  <si>
    <t>052-06042020</t>
  </si>
  <si>
    <t>063-06042020</t>
  </si>
  <si>
    <t>PB20200601-031</t>
  </si>
  <si>
    <t>2020-B1-04-011</t>
  </si>
  <si>
    <t>060-06042020</t>
  </si>
  <si>
    <t>2020-B2-05-013</t>
  </si>
  <si>
    <t>061-06042020</t>
  </si>
  <si>
    <t>062-06042020</t>
  </si>
  <si>
    <t>BAC-PG-00131-20</t>
  </si>
  <si>
    <t>2020-B1-05-012</t>
  </si>
  <si>
    <t>PB20200601-030</t>
  </si>
  <si>
    <t>20GFI0002</t>
  </si>
  <si>
    <t>064-06042020</t>
  </si>
  <si>
    <t>ME2020-05-022.10</t>
  </si>
  <si>
    <t>059-06042020</t>
  </si>
  <si>
    <t>058-06042020</t>
  </si>
  <si>
    <t>ME2020-05-022.11</t>
  </si>
  <si>
    <t>ME2020-05-022.12</t>
  </si>
  <si>
    <t>PB20200601-032</t>
  </si>
  <si>
    <t>PB20200601-029</t>
  </si>
  <si>
    <t>065-06042020</t>
  </si>
  <si>
    <t>ME2020-05-022.14</t>
  </si>
  <si>
    <t>UMB-TAG-SDS-01-2020</t>
  </si>
  <si>
    <t>ME2020-05-022.15</t>
  </si>
  <si>
    <t>122 - 2020</t>
  </si>
  <si>
    <t>067-06042020</t>
  </si>
  <si>
    <t>066-06042020</t>
  </si>
  <si>
    <t>2020-B1-03-007</t>
  </si>
  <si>
    <t>PB20200602-034</t>
  </si>
  <si>
    <t>ME2020-05-022.16</t>
  </si>
  <si>
    <t>068-06042020</t>
  </si>
  <si>
    <t>20ME0137</t>
  </si>
  <si>
    <t>20ME0135</t>
  </si>
  <si>
    <t>20ME0138</t>
  </si>
  <si>
    <t>070-06042020</t>
  </si>
  <si>
    <t>20ME0136</t>
  </si>
  <si>
    <t>20-100</t>
  </si>
  <si>
    <t>PB20200602-033</t>
  </si>
  <si>
    <t>20ME0141</t>
  </si>
  <si>
    <t>PB NO. 2020-029</t>
  </si>
  <si>
    <t>PB NO. 2020-030</t>
  </si>
  <si>
    <t>20-096</t>
  </si>
  <si>
    <t>20-102</t>
  </si>
  <si>
    <t>125 - 2020</t>
  </si>
  <si>
    <t>20-104</t>
  </si>
  <si>
    <t>20-097</t>
  </si>
  <si>
    <t>072-06042020</t>
  </si>
  <si>
    <t>2020-B1-04</t>
  </si>
  <si>
    <t>20ME0142</t>
  </si>
  <si>
    <t>20-105</t>
  </si>
  <si>
    <t>96a - 2020</t>
  </si>
  <si>
    <t>069-06042020</t>
  </si>
  <si>
    <t>20ME0139</t>
  </si>
  <si>
    <t>20-103</t>
  </si>
  <si>
    <t>20ME0140</t>
  </si>
  <si>
    <t>20-02-0080</t>
  </si>
  <si>
    <t>124 - 2020</t>
  </si>
  <si>
    <t>20-101</t>
  </si>
  <si>
    <t>121 - 2020</t>
  </si>
  <si>
    <t>2020-B1-03-009</t>
  </si>
  <si>
    <t>075-06042020</t>
  </si>
  <si>
    <t>LGU-2020-038</t>
  </si>
  <si>
    <t>ADS-0649-20</t>
  </si>
  <si>
    <t>ADS-1241-20</t>
  </si>
  <si>
    <t>ADS-1242-20</t>
  </si>
  <si>
    <t>20AA0350</t>
  </si>
  <si>
    <t>ADS-0647-20</t>
  </si>
  <si>
    <t>ADS-0648-20</t>
  </si>
  <si>
    <t>ADS-0669-20</t>
  </si>
  <si>
    <t>ADS-0646-20</t>
  </si>
  <si>
    <t>ADS-0668-20</t>
  </si>
  <si>
    <t>POW - 8751 - 2020 - AMB - 02</t>
  </si>
  <si>
    <t>ADS-0670-20</t>
  </si>
  <si>
    <t>RIZAL-23JUNE2020-2</t>
  </si>
  <si>
    <t>ITB-2020-10-I</t>
  </si>
  <si>
    <t>ADS-0671-20</t>
  </si>
  <si>
    <t>RIZAL-23JUNE2020-1</t>
  </si>
  <si>
    <t>20HL0109</t>
  </si>
  <si>
    <t>RIZAL-23JUNE2020-4</t>
  </si>
  <si>
    <t>POW - 8751 - 2020 - BTG - 01</t>
  </si>
  <si>
    <t>POW - 8751 - 2020 - PUG - 03</t>
  </si>
  <si>
    <t>RIZAL-23JUNE2020-3</t>
  </si>
  <si>
    <t>RIZAL-23JUNE2020-6</t>
  </si>
  <si>
    <t>RIZAL-23JUNE2020-10</t>
  </si>
  <si>
    <t>RIZAL-23JUNE2020-11</t>
  </si>
  <si>
    <t>RIZAL-23JUNE2020-12</t>
  </si>
  <si>
    <t>RIZAL-23JUNE2020-5</t>
  </si>
  <si>
    <t>RIZAL-23JUNE2020-8</t>
  </si>
  <si>
    <t>RIZAL-23JUNE2020-14</t>
  </si>
  <si>
    <t>RIZAL-23JUNE2020-13</t>
  </si>
  <si>
    <t>RIZAL-23JUNE2020-17</t>
  </si>
  <si>
    <t>RIZAL-23JUNE2020-7</t>
  </si>
  <si>
    <t>RIZAL-23JUNE2020-9</t>
  </si>
  <si>
    <t>POW - 8751 - 2020 - PCO - 04</t>
  </si>
  <si>
    <t>RIZAL-23JUNE2020-16</t>
  </si>
  <si>
    <t>RIZAL-23JUNE2020-24</t>
  </si>
  <si>
    <t>RIZAL-23JUNE2020-25</t>
  </si>
  <si>
    <t>RIZAL-23JUNE2020-22</t>
  </si>
  <si>
    <t>RIZAL-23JUNE2020-27</t>
  </si>
  <si>
    <t>RIZAL-23JUNE2020-21</t>
  </si>
  <si>
    <t>RIZAL-23JUNE2020-26</t>
  </si>
  <si>
    <t>RIZAL-23JUNE2020-23</t>
  </si>
  <si>
    <t>RIZAL-23JUNE2020-28</t>
  </si>
  <si>
    <t>RIZAL-23JUNE2020-19</t>
  </si>
  <si>
    <t>RIZAL-23JUNE2020-15</t>
  </si>
  <si>
    <t>RIZAL-23JUNE2020-20</t>
  </si>
  <si>
    <t>20CSEB04</t>
  </si>
  <si>
    <t>RIZAL-23JUNE2020-30</t>
  </si>
  <si>
    <t>20CSEB03</t>
  </si>
  <si>
    <t>RIZAL-23JUNE2020-18</t>
  </si>
  <si>
    <t>RIZAL-23JUNE2020-29</t>
  </si>
  <si>
    <t>20CSEB05</t>
  </si>
  <si>
    <t>RIZAL-23JUNE2020-31</t>
  </si>
  <si>
    <t>20L00028</t>
  </si>
  <si>
    <t>20L00152</t>
  </si>
  <si>
    <t>20L00150</t>
  </si>
  <si>
    <t>20CN0142</t>
  </si>
  <si>
    <t>20L00151</t>
  </si>
  <si>
    <t>ITB-2020-06-01 bayambang</t>
  </si>
  <si>
    <t>INF-ITB 20-025</t>
  </si>
  <si>
    <t>OM-175-L-2020</t>
  </si>
  <si>
    <t>06032020A</t>
  </si>
  <si>
    <t>20L00154</t>
  </si>
  <si>
    <t>SVP-2020-044</t>
  </si>
  <si>
    <t>20MD0131</t>
  </si>
  <si>
    <t>20MD0132</t>
  </si>
  <si>
    <t>INF-ITB 20-026</t>
  </si>
  <si>
    <t>20MD0133</t>
  </si>
  <si>
    <t>MG-A7O20-007</t>
  </si>
  <si>
    <t>BAC 2020-61</t>
  </si>
  <si>
    <t>BAC 2020-64</t>
  </si>
  <si>
    <t>INF-ITB 20-024</t>
  </si>
  <si>
    <t>2020-02a</t>
  </si>
  <si>
    <t>2020-029 D&amp;M ONC</t>
  </si>
  <si>
    <t>2020-030 RHU</t>
  </si>
  <si>
    <t>BAC 2020-63</t>
  </si>
  <si>
    <t>Q-085-20</t>
  </si>
  <si>
    <t>100-20-06-0638</t>
  </si>
  <si>
    <t>2020-028 Lab and hospital supplies</t>
  </si>
  <si>
    <t>LPZ - 2020 - 008</t>
  </si>
  <si>
    <t>20GB0123</t>
  </si>
  <si>
    <t>20AI0169</t>
  </si>
  <si>
    <t>020-10 Lot 1</t>
  </si>
  <si>
    <t>RFQ.2020-008</t>
  </si>
  <si>
    <t>DVO-200623-01</t>
  </si>
  <si>
    <t>OGDS 06-3-20</t>
  </si>
  <si>
    <t>20MD0130</t>
  </si>
  <si>
    <t>100-20-05-0602</t>
  </si>
  <si>
    <t>INF-ITB 20-027</t>
  </si>
  <si>
    <t>2020-03-90-B</t>
  </si>
  <si>
    <t>100-20-06-0631</t>
  </si>
  <si>
    <t>PBI-2020-19</t>
  </si>
  <si>
    <t>20GB0122</t>
  </si>
  <si>
    <t>020-10 Lot 3</t>
  </si>
  <si>
    <t>DVO-200623-04</t>
  </si>
  <si>
    <t>Competitive Bidding 2020-16</t>
  </si>
  <si>
    <t>DVO-200623-05</t>
  </si>
  <si>
    <t>20GB0121</t>
  </si>
  <si>
    <t>2020-06-03-01</t>
  </si>
  <si>
    <t>020-10 Lot 4</t>
  </si>
  <si>
    <t>020-10 Lot 2</t>
  </si>
  <si>
    <t>24</t>
  </si>
  <si>
    <t>DVO-200623-06</t>
  </si>
  <si>
    <t>DVO-200623-03</t>
  </si>
  <si>
    <t>BB-2020-002</t>
  </si>
  <si>
    <t>DVO-200623-02</t>
  </si>
  <si>
    <t>2020-06-517</t>
  </si>
  <si>
    <t>2020-06-516</t>
  </si>
  <si>
    <t>23</t>
  </si>
  <si>
    <t>21</t>
  </si>
  <si>
    <t>ITB-011-2020</t>
  </si>
  <si>
    <t>2020-023</t>
  </si>
  <si>
    <t>19-09-0386</t>
  </si>
  <si>
    <t>BAC 2020-62</t>
  </si>
  <si>
    <t>Civil Works 019-2020</t>
  </si>
  <si>
    <t>LGUTMO BAC 2020-13</t>
  </si>
  <si>
    <t>PR NO. 2020-06-2014</t>
  </si>
  <si>
    <t>DVO-200623-08</t>
  </si>
  <si>
    <t>20LA0319</t>
  </si>
  <si>
    <t>BAC 2020-65</t>
  </si>
  <si>
    <t>CRN 2020-06-001</t>
  </si>
  <si>
    <t>DVO-200623-07</t>
  </si>
  <si>
    <t>20LA0320</t>
  </si>
  <si>
    <t>2020-038</t>
  </si>
  <si>
    <t>DVO-200623-11</t>
  </si>
  <si>
    <t>DVO-200623-09</t>
  </si>
  <si>
    <t>2020-037</t>
  </si>
  <si>
    <t>BAC 2020-66</t>
  </si>
  <si>
    <t>2020-039</t>
  </si>
  <si>
    <t>DVO-200623-13</t>
  </si>
  <si>
    <t>06032020-A</t>
  </si>
  <si>
    <t>Contract No. PB-CW-2020-017</t>
  </si>
  <si>
    <t>DVO-200623-10</t>
  </si>
  <si>
    <t>20LA0325</t>
  </si>
  <si>
    <t>20LA0323</t>
  </si>
  <si>
    <t>20LA0324</t>
  </si>
  <si>
    <t>GOODS-ETG-20-05-012</t>
  </si>
  <si>
    <t>PB-CW-2020-019</t>
  </si>
  <si>
    <t>20-06-020</t>
  </si>
  <si>
    <t>LGUTMO BAC 2020-15</t>
  </si>
  <si>
    <t>100-20-06-0634</t>
  </si>
  <si>
    <t>PB-CW-2020-018</t>
  </si>
  <si>
    <t>20CSGB01</t>
  </si>
  <si>
    <t>DVO-200623-12</t>
  </si>
  <si>
    <t>2020-040</t>
  </si>
  <si>
    <t>20LA0322</t>
  </si>
  <si>
    <t>GOOD-005-2020</t>
  </si>
  <si>
    <t>QRF-CY2020-SLOPE PROTECTION</t>
  </si>
  <si>
    <t>197</t>
  </si>
  <si>
    <t>20LA0321</t>
  </si>
  <si>
    <t>DVO-200623-15</t>
  </si>
  <si>
    <t>20LA0332</t>
  </si>
  <si>
    <t>20LA0330</t>
  </si>
  <si>
    <t>06032020-B</t>
  </si>
  <si>
    <t>DVO-200623-14</t>
  </si>
  <si>
    <t>PB-CW-2020-016</t>
  </si>
  <si>
    <t>PANG-2020-0761</t>
  </si>
  <si>
    <t>DVO-200623-16</t>
  </si>
  <si>
    <t>20LA0327</t>
  </si>
  <si>
    <t>20LA0328</t>
  </si>
  <si>
    <t>20EG0091</t>
  </si>
  <si>
    <t>20LA0331</t>
  </si>
  <si>
    <t>20LA0329</t>
  </si>
  <si>
    <t>PB-CW-2020-020</t>
  </si>
  <si>
    <t>20LA0326</t>
  </si>
  <si>
    <t>20LA0286</t>
  </si>
  <si>
    <t>20200603</t>
  </si>
  <si>
    <t>LGUTMO BAC 2020-14</t>
  </si>
  <si>
    <t>TAL-06-32-2020</t>
  </si>
  <si>
    <t>20LA0284</t>
  </si>
  <si>
    <t>20HN0116</t>
  </si>
  <si>
    <t>20LA0287</t>
  </si>
  <si>
    <t>20LA0285</t>
  </si>
  <si>
    <t>27</t>
  </si>
  <si>
    <t>20LA0283</t>
  </si>
  <si>
    <t>26</t>
  </si>
  <si>
    <t>TAL-06-31-2020</t>
  </si>
  <si>
    <t>DVO-200623-17</t>
  </si>
  <si>
    <t>TAL-06-30-2020</t>
  </si>
  <si>
    <t>DVO-200623-18</t>
  </si>
  <si>
    <t>164-20-05-64</t>
  </si>
  <si>
    <t>28</t>
  </si>
  <si>
    <t>20LA0333</t>
  </si>
  <si>
    <t>20HN0115</t>
  </si>
  <si>
    <t>ITB-019-2020</t>
  </si>
  <si>
    <t>041</t>
  </si>
  <si>
    <t>20LA0334</t>
  </si>
  <si>
    <t>20LA0299</t>
  </si>
  <si>
    <t>ITB (CW-06-2020-017) 20DD0219 (Re-Advertised)</t>
  </si>
  <si>
    <t>2005072</t>
  </si>
  <si>
    <t>20LA0292</t>
  </si>
  <si>
    <t>2005073</t>
  </si>
  <si>
    <t>2020-2076-06-203</t>
  </si>
  <si>
    <t>20LA0294</t>
  </si>
  <si>
    <t>20LA0295</t>
  </si>
  <si>
    <t>20LA0290</t>
  </si>
  <si>
    <t>GEPS-13-2020</t>
  </si>
  <si>
    <t>042</t>
  </si>
  <si>
    <t>20LA0293</t>
  </si>
  <si>
    <t>2005074</t>
  </si>
  <si>
    <t>20LA0291</t>
  </si>
  <si>
    <t>399-05-2020 (IPHO)</t>
  </si>
  <si>
    <t>100-1917-20-309</t>
  </si>
  <si>
    <t>2005075</t>
  </si>
  <si>
    <t>2006082</t>
  </si>
  <si>
    <t>20LA0308</t>
  </si>
  <si>
    <t>NS-06-04-20</t>
  </si>
  <si>
    <t>20LA0300</t>
  </si>
  <si>
    <t>20LA0302</t>
  </si>
  <si>
    <t>2006080</t>
  </si>
  <si>
    <t>2006081</t>
  </si>
  <si>
    <t>PR 2020-03-018</t>
  </si>
  <si>
    <t>SVP-2020-051</t>
  </si>
  <si>
    <t>20GM0072</t>
  </si>
  <si>
    <t>20LA0309</t>
  </si>
  <si>
    <t>20LA0301</t>
  </si>
  <si>
    <t>20LA0311</t>
  </si>
  <si>
    <t>07-01-2020-06-439</t>
  </si>
  <si>
    <t>20GM0071</t>
  </si>
  <si>
    <t>20LA0310</t>
  </si>
  <si>
    <t>05-0013-20</t>
  </si>
  <si>
    <t>ITB (CW-06-2020-017) 20DD0311</t>
  </si>
  <si>
    <t>DA RFO-1-2019-INFRA-049-R</t>
  </si>
  <si>
    <t>20PC0001CS</t>
  </si>
  <si>
    <t>PR 2020-03-022</t>
  </si>
  <si>
    <t>20IC0073</t>
  </si>
  <si>
    <t>07-01-2020-06-510</t>
  </si>
  <si>
    <t>20LA0312</t>
  </si>
  <si>
    <t>DA RFO-1-2019-INFRA-48-R</t>
  </si>
  <si>
    <t>ITB (CW-06-2020-017) 20DD0310</t>
  </si>
  <si>
    <t>bacgal-47-2020</t>
  </si>
  <si>
    <t>ITB (CW-06-2020-017) 20DD0312</t>
  </si>
  <si>
    <t>Aklan BAC ITB 327 Series of 2020</t>
  </si>
  <si>
    <t>20-06-075</t>
  </si>
  <si>
    <t>20LA0313</t>
  </si>
  <si>
    <t>20PC0002CS</t>
  </si>
  <si>
    <t>ITB (CW-06-2020-017) 20DD0314</t>
  </si>
  <si>
    <t>11-01-2020-06-511</t>
  </si>
  <si>
    <t>20FO0094</t>
  </si>
  <si>
    <t>ITB (CW-06-2020-017) 20DD0315</t>
  </si>
  <si>
    <t>BAC-CAN 2020-001</t>
  </si>
  <si>
    <t>DA RFO-1-2019-INFRA-051-R</t>
  </si>
  <si>
    <t>BS20-02-0398</t>
  </si>
  <si>
    <t>12-01-2020-06-512</t>
  </si>
  <si>
    <t>ITB-2020-010</t>
  </si>
  <si>
    <t>20ITB-INF-02-00032</t>
  </si>
  <si>
    <t>ITB (CW-06-2020-017) 20DD0313</t>
  </si>
  <si>
    <t>20FO0093</t>
  </si>
  <si>
    <t>PR 2020-03-027</t>
  </si>
  <si>
    <t>GO-20-06-035</t>
  </si>
  <si>
    <t>SJ-20-154</t>
  </si>
  <si>
    <t>ITB (CW-06-2020-017) 20DD0317</t>
  </si>
  <si>
    <t>Publication No. 26-2020-G</t>
  </si>
  <si>
    <t>FLGU-G-2020-29</t>
  </si>
  <si>
    <t>DA RFO-1-2019-INFRA-052-R</t>
  </si>
  <si>
    <t>ITB (CW-06-2020-017) 20DD0316</t>
  </si>
  <si>
    <t>20FO0095</t>
  </si>
  <si>
    <t>ITB-2020-012</t>
  </si>
  <si>
    <t>DA RFO-1-2019-INFRA-054-R</t>
  </si>
  <si>
    <t>ITB (CW-06-2020-017) 20DD0319</t>
  </si>
  <si>
    <t>ITB-2020-011</t>
  </si>
  <si>
    <t>20JB0076</t>
  </si>
  <si>
    <t>20LA0314</t>
  </si>
  <si>
    <t>NV 2020-030</t>
  </si>
  <si>
    <t>12-01-2020-06-515</t>
  </si>
  <si>
    <t>ITB (CW-06-2020-017) 20DD0318</t>
  </si>
  <si>
    <t>NV 2020-026 Re-bid</t>
  </si>
  <si>
    <t>BS20-03-0463</t>
  </si>
  <si>
    <t>19-83-408</t>
  </si>
  <si>
    <t>20LA0315</t>
  </si>
  <si>
    <t>ITB (CW-06-2020-017) 20DD0321</t>
  </si>
  <si>
    <t>DA RFO-1-2019-INFRA-053-R</t>
  </si>
  <si>
    <t>101-2020-05-272</t>
  </si>
  <si>
    <t>GO-20-06-036</t>
  </si>
  <si>
    <t>NV 2020-032</t>
  </si>
  <si>
    <t>SVP 2020-337</t>
  </si>
  <si>
    <t>ITB (CW-06-2020-017) 20DD0324</t>
  </si>
  <si>
    <t>2020-02-0267-MAIN</t>
  </si>
  <si>
    <t>ITB (CW-06-2020-017) 20DD0320</t>
  </si>
  <si>
    <t>NV 2020-031</t>
  </si>
  <si>
    <t>PR 2020-05-077</t>
  </si>
  <si>
    <t>ITB (CW-06-2020-017) 20DD0323</t>
  </si>
  <si>
    <t>ITB (CW-06-2020-017) 20DD0322</t>
  </si>
  <si>
    <t>20BH0135</t>
  </si>
  <si>
    <t>20AI0168</t>
  </si>
  <si>
    <t>19-83-180</t>
  </si>
  <si>
    <t>20IC0075</t>
  </si>
  <si>
    <t>20PG0044</t>
  </si>
  <si>
    <t>20IC0074</t>
  </si>
  <si>
    <t>GO-20-06-037</t>
  </si>
  <si>
    <t>PR # 20-03-0411</t>
  </si>
  <si>
    <t>BS20-03-0625</t>
  </si>
  <si>
    <t>J06-2020-001</t>
  </si>
  <si>
    <t>20NA0066</t>
  </si>
  <si>
    <t>20GP00062</t>
  </si>
  <si>
    <t>20PG0046</t>
  </si>
  <si>
    <t>100-202002-00479</t>
  </si>
  <si>
    <t>KAP-20-09</t>
  </si>
  <si>
    <t>20-0050</t>
  </si>
  <si>
    <t>20BH0136</t>
  </si>
  <si>
    <t>100-202003-00539</t>
  </si>
  <si>
    <t>20BH0138</t>
  </si>
  <si>
    <t>2020-003G</t>
  </si>
  <si>
    <t>101-2020-05-275</t>
  </si>
  <si>
    <t>KAP-20-12</t>
  </si>
  <si>
    <t>ITB 12-2020</t>
  </si>
  <si>
    <t>PR 523</t>
  </si>
  <si>
    <t>062320-01</t>
  </si>
  <si>
    <t>GF-20-02-00080</t>
  </si>
  <si>
    <t>BS20-04-0629</t>
  </si>
  <si>
    <t>20-00037</t>
  </si>
  <si>
    <t>20BH0137</t>
  </si>
  <si>
    <t>BS20-03-0623</t>
  </si>
  <si>
    <t>Aklan BAC ITB 328 Series of 2020</t>
  </si>
  <si>
    <t>BS20-03-0624</t>
  </si>
  <si>
    <t>BS20-04-0633</t>
  </si>
  <si>
    <t>KAP-20-10</t>
  </si>
  <si>
    <t>101-2020-05-279</t>
  </si>
  <si>
    <t>BS19N-11-1519-1</t>
  </si>
  <si>
    <t>PR 524</t>
  </si>
  <si>
    <t>2020-02-INFRA-JUNE-01</t>
  </si>
  <si>
    <t>BAC 2020-67</t>
  </si>
  <si>
    <t>Lgn1-20-DH-0075</t>
  </si>
  <si>
    <t>BS20-04-0641</t>
  </si>
  <si>
    <t>1000032689</t>
  </si>
  <si>
    <t>20BH0139</t>
  </si>
  <si>
    <t>BAYLEGOOD0620058</t>
  </si>
  <si>
    <t>REF #039-06-2020</t>
  </si>
  <si>
    <t>BS20-03-0483</t>
  </si>
  <si>
    <t>GF-20-02-00165</t>
  </si>
  <si>
    <t>BS19N-11-1667-1</t>
  </si>
  <si>
    <t>BS20-02-0173</t>
  </si>
  <si>
    <t>BS20-02-0379</t>
  </si>
  <si>
    <t>Lgn1-20-DH-0077</t>
  </si>
  <si>
    <t>Lgn1-20-DH-0076</t>
  </si>
  <si>
    <t>20GDM0094</t>
  </si>
  <si>
    <t>20PG0047</t>
  </si>
  <si>
    <t>BInfr-2020-04</t>
  </si>
  <si>
    <t>KAP-20-13</t>
  </si>
  <si>
    <t>BS20-06-MME007</t>
  </si>
  <si>
    <t>2020-02-INFRA-JUNE-02</t>
  </si>
  <si>
    <t>BAYLECON0620059</t>
  </si>
  <si>
    <t>BS20-06-MME08</t>
  </si>
  <si>
    <t>2020-06-147</t>
  </si>
  <si>
    <t>20-DSWDFO1-01</t>
  </si>
  <si>
    <t>CB(B)-20-012(GTLMH)</t>
  </si>
  <si>
    <t>BS20-06-CONS01</t>
  </si>
  <si>
    <t>Lgn1-20-DH-0078</t>
  </si>
  <si>
    <t>BAC-2020-0016</t>
  </si>
  <si>
    <t>GOODS-006-2020</t>
  </si>
  <si>
    <t>BS20-02-0368</t>
  </si>
  <si>
    <t>20BH0140</t>
  </si>
  <si>
    <t>20LB0264</t>
  </si>
  <si>
    <t>SRAVIS 20-06-272</t>
  </si>
  <si>
    <t>20PG0048</t>
  </si>
  <si>
    <t>20CSPG0001</t>
  </si>
  <si>
    <t>BInfr-2020-05</t>
  </si>
  <si>
    <t>20LB0236</t>
  </si>
  <si>
    <t>NV 2020-029</t>
  </si>
  <si>
    <t>BS20-02-0369</t>
  </si>
  <si>
    <t>CB(B)-20-015(CMO)</t>
  </si>
  <si>
    <t>BInfr-2020-06</t>
  </si>
  <si>
    <t>00827,00357.00302,00485,00500,00636,00541,00477,00</t>
  </si>
  <si>
    <t>20LB0265</t>
  </si>
  <si>
    <t>Lgn1-20-DH-0079</t>
  </si>
  <si>
    <t>2040-01M03</t>
  </si>
  <si>
    <t>00746</t>
  </si>
  <si>
    <t>20LB0287</t>
  </si>
  <si>
    <t>20LB0269</t>
  </si>
  <si>
    <t>KAP-20-11</t>
  </si>
  <si>
    <t>4AQ-BLD-20-024 NIA QIMO Building Interior Works</t>
  </si>
  <si>
    <t>2020-02-INFRA-JUNE-03</t>
  </si>
  <si>
    <t>2020-05-067</t>
  </si>
  <si>
    <t>BInfr-2020-07</t>
  </si>
  <si>
    <t>Lgn1-20-DH-0080</t>
  </si>
  <si>
    <t>20LB0276</t>
  </si>
  <si>
    <t>MNP-GOODS-080-2020</t>
  </si>
  <si>
    <t>2000005452</t>
  </si>
  <si>
    <t>2040-01C01</t>
  </si>
  <si>
    <t>00096</t>
  </si>
  <si>
    <t>BAYLEGOOD0620060</t>
  </si>
  <si>
    <t>BAC2020-015</t>
  </si>
  <si>
    <t>ITBO4-SERVICES-TIPPINGFEE</t>
  </si>
  <si>
    <t>06-02-2020-06-003</t>
  </si>
  <si>
    <t>20LB0288</t>
  </si>
  <si>
    <t>G-02-2020</t>
  </si>
  <si>
    <t>2050-01C02-02</t>
  </si>
  <si>
    <t>DA RFO-1-2020-GOODS-079</t>
  </si>
  <si>
    <t>PR 510</t>
  </si>
  <si>
    <t>015-0620-CP</t>
  </si>
  <si>
    <t>00858</t>
  </si>
  <si>
    <t>01-2020-0034</t>
  </si>
  <si>
    <t>G-2020-14</t>
  </si>
  <si>
    <t>20GE0105</t>
  </si>
  <si>
    <t>2020-05-091</t>
  </si>
  <si>
    <t>2020-03-1</t>
  </si>
  <si>
    <t>BAYLECON0620061</t>
  </si>
  <si>
    <t>2050-01C02-01</t>
  </si>
  <si>
    <t>BAYLECON0620062</t>
  </si>
  <si>
    <t>2050-01C02-03</t>
  </si>
  <si>
    <t>2020-05-090</t>
  </si>
  <si>
    <t>sj 2020 b jun 007</t>
  </si>
  <si>
    <t>2020-142</t>
  </si>
  <si>
    <t>BAC2020-016</t>
  </si>
  <si>
    <t>20PG0058</t>
  </si>
  <si>
    <t>BAC2-2020-02</t>
  </si>
  <si>
    <t>00240</t>
  </si>
  <si>
    <t>20DP0072</t>
  </si>
  <si>
    <t>1936-4-001</t>
  </si>
  <si>
    <t>2020-0603</t>
  </si>
  <si>
    <t>Lgn1-20-DH-0081</t>
  </si>
  <si>
    <t>BAC 06/03/20-01</t>
  </si>
  <si>
    <t>MNP-INFR-073-2020</t>
  </si>
  <si>
    <t>KAP-20-14</t>
  </si>
  <si>
    <t>20GE0106</t>
  </si>
  <si>
    <t>ITB NO. OCD 2020-08</t>
  </si>
  <si>
    <t>CW20-06-015</t>
  </si>
  <si>
    <t>20DE0142</t>
  </si>
  <si>
    <t>CW20-06-014</t>
  </si>
  <si>
    <t>G-2020-16</t>
  </si>
  <si>
    <t>20GNE0019</t>
  </si>
  <si>
    <t>2020-05-290</t>
  </si>
  <si>
    <t>ITB NO. OCD 2020-09</t>
  </si>
  <si>
    <t>2020-06-0178</t>
  </si>
  <si>
    <t>2020-03-164</t>
  </si>
  <si>
    <t>CW20-06-016</t>
  </si>
  <si>
    <t>20GNE0022</t>
  </si>
  <si>
    <t>5020503000-PNP-DICTM-20-04</t>
  </si>
  <si>
    <t>20-030</t>
  </si>
  <si>
    <t>20FN0089</t>
  </si>
  <si>
    <t>CW20-06-017</t>
  </si>
  <si>
    <t>CW20-06-019</t>
  </si>
  <si>
    <t>20GDE0001 (Re-advertised)</t>
  </si>
  <si>
    <t>2020-147</t>
  </si>
  <si>
    <t>05032020</t>
  </si>
  <si>
    <t>CW20-06-018</t>
  </si>
  <si>
    <t>20FN0090</t>
  </si>
  <si>
    <t>yen-06</t>
  </si>
  <si>
    <t>DPWH-SK2DEO-20GMH040</t>
  </si>
  <si>
    <t>2020-06-305</t>
  </si>
  <si>
    <t>CW20-06-021</t>
  </si>
  <si>
    <t>2020-03-163</t>
  </si>
  <si>
    <t>DPWH-SK2DEO-20GMH041</t>
  </si>
  <si>
    <t>SKT2020-02</t>
  </si>
  <si>
    <t>2020-05-263</t>
  </si>
  <si>
    <t>ITB 20CL0001</t>
  </si>
  <si>
    <t>CW20-06-022</t>
  </si>
  <si>
    <t>ITB 20CL0041</t>
  </si>
  <si>
    <t>2020-03-165</t>
  </si>
  <si>
    <t>CW20-06-024</t>
  </si>
  <si>
    <t>CW20-06-020</t>
  </si>
  <si>
    <t>CW20-06-023</t>
  </si>
  <si>
    <t>DA3-2019-10-29-03 (2020)</t>
  </si>
  <si>
    <t>20GDB0022</t>
  </si>
  <si>
    <t>CW20-06-027</t>
  </si>
  <si>
    <t>20KC0122</t>
  </si>
  <si>
    <t>PIN2020-075</t>
  </si>
  <si>
    <t>20IC0059 (2nd re-advertisement)</t>
  </si>
  <si>
    <t>20KC0123</t>
  </si>
  <si>
    <t>20KC0121</t>
  </si>
  <si>
    <t>PIN2020-074</t>
  </si>
  <si>
    <t>CW20-06-026</t>
  </si>
  <si>
    <t>20GDB0023</t>
  </si>
  <si>
    <t>CW20-06-025</t>
  </si>
  <si>
    <t>300-20-02-001</t>
  </si>
  <si>
    <t>BDG-2020-01R</t>
  </si>
  <si>
    <t>300-20-06-008</t>
  </si>
  <si>
    <t>CW20-06-030</t>
  </si>
  <si>
    <t>20CE0207</t>
  </si>
  <si>
    <t>CW20-06-029</t>
  </si>
  <si>
    <t>20KC0125</t>
  </si>
  <si>
    <t>300-20-02-004</t>
  </si>
  <si>
    <t>IB-2020-085-INFRA</t>
  </si>
  <si>
    <t>ITB-DARFO12-2020-0460</t>
  </si>
  <si>
    <t>20-010</t>
  </si>
  <si>
    <t>200-20-02-0048</t>
  </si>
  <si>
    <t>300-200-02-003</t>
  </si>
  <si>
    <t>PB 06-02-2020</t>
  </si>
  <si>
    <t>IB-2020-086-INFRA</t>
  </si>
  <si>
    <t>IB-2020-084-INFRA</t>
  </si>
  <si>
    <t>20FN0091</t>
  </si>
  <si>
    <t>200-20-02-0049</t>
  </si>
  <si>
    <t>CW20-06-032</t>
  </si>
  <si>
    <t>ITB-DARFO12-2020-0459</t>
  </si>
  <si>
    <t>20-314</t>
  </si>
  <si>
    <t>CW20-06-031</t>
  </si>
  <si>
    <t>ITB-DARFO12-2020-0458</t>
  </si>
  <si>
    <t>20LD0127</t>
  </si>
  <si>
    <t>20CE0208</t>
  </si>
  <si>
    <t>300-20-02-002</t>
  </si>
  <si>
    <t>BDG-2020-02</t>
  </si>
  <si>
    <t>20KC0124</t>
  </si>
  <si>
    <t>IB-2020-087-INFRA</t>
  </si>
  <si>
    <t>IB-2020-090-INFRA</t>
  </si>
  <si>
    <t>SKT2020-04</t>
  </si>
  <si>
    <t>CW20-06-035</t>
  </si>
  <si>
    <t>SKT2020-03</t>
  </si>
  <si>
    <t>CW20-06-028</t>
  </si>
  <si>
    <t>20LG0119</t>
  </si>
  <si>
    <t>BTG3-2020-0193</t>
  </si>
  <si>
    <t>IB-2020-088-INFRA</t>
  </si>
  <si>
    <t>DA3-2020-04-24-55</t>
  </si>
  <si>
    <t>IB-2020-089-INFRA</t>
  </si>
  <si>
    <t>DA3-2019-11-06-18(2020)</t>
  </si>
  <si>
    <t>20FN0092</t>
  </si>
  <si>
    <t>CW20-06-033</t>
  </si>
  <si>
    <t>2020-04-0041</t>
  </si>
  <si>
    <t>BTG3-2020-0194</t>
  </si>
  <si>
    <t>BTG3-2020-0197</t>
  </si>
  <si>
    <t>BTG3-2020-0198</t>
  </si>
  <si>
    <t>BTG3-2020-0196</t>
  </si>
  <si>
    <t>CW20-06-034</t>
  </si>
  <si>
    <t>20IC0064 (2nd re-advertisement)</t>
  </si>
  <si>
    <t>Bid Reference No. 2020-006; PR No. 2020-06-0165</t>
  </si>
  <si>
    <t>BTG3-2020-0195</t>
  </si>
  <si>
    <t>BTG3-2020-0200</t>
  </si>
  <si>
    <t>BTG3-2020-0199</t>
  </si>
  <si>
    <t>20IC0065 (2nd re-advertisement)</t>
  </si>
  <si>
    <t>20KC0126</t>
  </si>
  <si>
    <t>20IC0068 (2nd re-advertisement)</t>
  </si>
  <si>
    <t>DA3-2020-05-21-82</t>
  </si>
  <si>
    <t>2020-05-044</t>
  </si>
  <si>
    <t>20IC0066 (2nd re-advertisement)</t>
  </si>
  <si>
    <t>SKT2020-06</t>
  </si>
  <si>
    <t>20IC0067 (2nd re-advertisement)</t>
  </si>
  <si>
    <t>20IC0070 (2nd re-advertisement)</t>
  </si>
  <si>
    <t>20IC0069 (2nd re-advertisement)</t>
  </si>
  <si>
    <t>20PF0064</t>
  </si>
  <si>
    <t>20F00059</t>
  </si>
  <si>
    <t>20GA0180</t>
  </si>
  <si>
    <t>20GA0176</t>
  </si>
  <si>
    <t>20F00075</t>
  </si>
  <si>
    <t>20GA0169</t>
  </si>
  <si>
    <t>20GA0164</t>
  </si>
  <si>
    <t>20GA0174</t>
  </si>
  <si>
    <t>IB No.2020-06-010-G</t>
  </si>
  <si>
    <t>20GA0158</t>
  </si>
  <si>
    <t>GOODS-024-2020</t>
  </si>
  <si>
    <t>20PF0065</t>
  </si>
  <si>
    <t>20F00113</t>
  </si>
  <si>
    <t>20F00122</t>
  </si>
  <si>
    <t>20F00108</t>
  </si>
  <si>
    <t>20F00123</t>
  </si>
  <si>
    <t>20F00110</t>
  </si>
  <si>
    <t>PB-06032020-BALUC</t>
  </si>
  <si>
    <t>18FB0326</t>
  </si>
  <si>
    <t>18FB0325</t>
  </si>
  <si>
    <t>2020-05-41</t>
  </si>
  <si>
    <t>PB 2020-042</t>
  </si>
  <si>
    <t>B-010-2020-A</t>
  </si>
  <si>
    <t>2020-05-CS1</t>
  </si>
  <si>
    <t>PB NO. 2020-028</t>
  </si>
  <si>
    <t>B-031-2020</t>
  </si>
  <si>
    <t>PB NO. 2020-027</t>
  </si>
  <si>
    <t>AGR-20-0478-B Purchase of Agricultural Machinery &amp;</t>
  </si>
  <si>
    <t>B-014-2020</t>
  </si>
  <si>
    <t>20FD0065</t>
  </si>
  <si>
    <t>B-030-2020</t>
  </si>
  <si>
    <t>20EB0119-R1</t>
  </si>
  <si>
    <t>B-015-2020</t>
  </si>
  <si>
    <t>20EB0124</t>
  </si>
  <si>
    <t>CONTRACT ID NO. 20GN0090</t>
  </si>
  <si>
    <t>PANG-2020-0757</t>
  </si>
  <si>
    <t>20EB0123</t>
  </si>
  <si>
    <t>100(01)20-05-050(M)</t>
  </si>
  <si>
    <t>AGR-20-0479-B Purchase of Agricultural Machinery &amp;</t>
  </si>
  <si>
    <t>2020-05-286-ME</t>
  </si>
  <si>
    <t>100(01)20-05-051(M)</t>
  </si>
  <si>
    <t>20BF0055</t>
  </si>
  <si>
    <t>20BF0056</t>
  </si>
  <si>
    <t>PANG-2020-0756</t>
  </si>
  <si>
    <t>PANG-2020-0755</t>
  </si>
  <si>
    <t>20GBF0002</t>
  </si>
  <si>
    <t>20EB0122</t>
  </si>
  <si>
    <t>PANG-2020-0760</t>
  </si>
  <si>
    <t>CGS-2020-W013</t>
  </si>
  <si>
    <t>PANG-2020-0750</t>
  </si>
  <si>
    <t>ITB NO: 2020-006-027</t>
  </si>
  <si>
    <t>PANG-2020-0758</t>
  </si>
  <si>
    <t>20GHK0004</t>
  </si>
  <si>
    <t>PANG-2020-0759</t>
  </si>
  <si>
    <t>PANG-2020-0749</t>
  </si>
  <si>
    <t>IB NO. 2020-207</t>
  </si>
  <si>
    <t>AGR-20-0476-B Purchase of Agricultural Machinery &amp;</t>
  </si>
  <si>
    <t>20IK0096</t>
  </si>
  <si>
    <t>20IK0095</t>
  </si>
  <si>
    <t>PANG-2020-0754</t>
  </si>
  <si>
    <t>20IK0093</t>
  </si>
  <si>
    <t>PANG-2020-0752</t>
  </si>
  <si>
    <t>20IK0094</t>
  </si>
  <si>
    <t>20IK0097</t>
  </si>
  <si>
    <t>2020-PB-01</t>
  </si>
  <si>
    <t>MGBX-06-077-2020</t>
  </si>
  <si>
    <t>PANG-2020-0753</t>
  </si>
  <si>
    <t>msj-2020-13</t>
  </si>
  <si>
    <t>ITB No. GOODS-20-102</t>
  </si>
  <si>
    <t>ITB-2020-001</t>
  </si>
  <si>
    <t>PANG-2020-0751</t>
  </si>
  <si>
    <t>ITB No. GOODS-20-101</t>
  </si>
  <si>
    <t>20CC0240</t>
  </si>
  <si>
    <t>20CC0238</t>
  </si>
  <si>
    <t>BPB 2020-013</t>
  </si>
  <si>
    <t>20CC0235</t>
  </si>
  <si>
    <t>20CC0234</t>
  </si>
  <si>
    <t>20CC0239</t>
  </si>
  <si>
    <t>20CC0236</t>
  </si>
  <si>
    <t>20CC0243</t>
  </si>
  <si>
    <t>20CC0237</t>
  </si>
  <si>
    <t>20CC0241</t>
  </si>
  <si>
    <t>338-2020 Bidding</t>
  </si>
  <si>
    <t>334-2020 Bidding</t>
  </si>
  <si>
    <t>SJDB-2020-20</t>
  </si>
  <si>
    <t>NNP-2020-VI-22-01F TIRES,BATTERY, SPAREPARTS (GSO)</t>
  </si>
  <si>
    <t>20CC0242</t>
  </si>
  <si>
    <t>2020-G-060</t>
  </si>
  <si>
    <t>20GAA0062</t>
  </si>
  <si>
    <t>02-1</t>
  </si>
  <si>
    <t>336-2020 Bidding</t>
  </si>
  <si>
    <t>BAC PB 2020-011</t>
  </si>
  <si>
    <t>2020-363</t>
  </si>
  <si>
    <t>335-2020 Bidding</t>
  </si>
  <si>
    <t>20-05-0218</t>
  </si>
  <si>
    <t>013-0620-CP</t>
  </si>
  <si>
    <t>300-05-20-0010</t>
  </si>
  <si>
    <t>BGRY-2020-001</t>
  </si>
  <si>
    <t>BALZN9-2008</t>
  </si>
  <si>
    <t>PR NO. 2020-11</t>
  </si>
  <si>
    <t>SCM-INFRA-01072020-01</t>
  </si>
  <si>
    <t>2020-03-03</t>
  </si>
  <si>
    <t>2019-02-0085</t>
  </si>
  <si>
    <t>2020-02-0185, 2020-02-0299, 2020-02-0152, 2020-02-</t>
  </si>
  <si>
    <t>2019-02-0105</t>
  </si>
  <si>
    <t>2020-02-0415, 2020-02-0242</t>
  </si>
  <si>
    <t>2020-02-0398, 2020-02-0188</t>
  </si>
  <si>
    <t>PR NO. 2020-10</t>
  </si>
  <si>
    <t>TEJ-004</t>
  </si>
  <si>
    <t>339-2020 Bidding</t>
  </si>
  <si>
    <t>2020-02-0311, 2020-02-0380, 2020-02-0273, 2020-01-</t>
  </si>
  <si>
    <t>La Paz 2020-001</t>
  </si>
  <si>
    <t>20GA00001</t>
  </si>
  <si>
    <t>SCM-INFRA-01072020-02</t>
  </si>
  <si>
    <t>2020-02-01</t>
  </si>
  <si>
    <t>SCM-INFRA-01072020-03</t>
  </si>
  <si>
    <t>La Paz 2020-002</t>
  </si>
  <si>
    <t>20-06-03-IN</t>
  </si>
  <si>
    <t>PSU ITB 2005 097</t>
  </si>
  <si>
    <t>IB 2020-023</t>
  </si>
  <si>
    <t>06202002</t>
  </si>
  <si>
    <t>2020-062-13</t>
  </si>
  <si>
    <t>0001-2020</t>
  </si>
  <si>
    <t>20KB0160</t>
  </si>
  <si>
    <t>2020-02-0189</t>
  </si>
  <si>
    <t>20KB0138 Re-Advertisement</t>
  </si>
  <si>
    <t>20KB0159</t>
  </si>
  <si>
    <t>2020-02-0186, 2020-02-0184</t>
  </si>
  <si>
    <t>IB 2020-024</t>
  </si>
  <si>
    <t>Invitation to Bid 20-30</t>
  </si>
  <si>
    <t>20032821</t>
  </si>
  <si>
    <t>2020-05-04</t>
  </si>
  <si>
    <t>pb-infra-2020-034</t>
  </si>
  <si>
    <t>20-06-04-IN</t>
  </si>
  <si>
    <t>20032719</t>
  </si>
  <si>
    <t>SCM-INFRA-01072020-04</t>
  </si>
  <si>
    <t>La Paz 2020-004</t>
  </si>
  <si>
    <t>20053164</t>
  </si>
  <si>
    <t>La Paz 2020-005</t>
  </si>
  <si>
    <t>2020-06-040</t>
  </si>
  <si>
    <t>20-004</t>
  </si>
  <si>
    <t>La Paz 2020-003</t>
  </si>
  <si>
    <t>POW-032-2020</t>
  </si>
  <si>
    <t>PSU ITB 2005-098</t>
  </si>
  <si>
    <t>BALZN9-2009</t>
  </si>
  <si>
    <t>20KB0161</t>
  </si>
  <si>
    <t>Goods-106-2020</t>
  </si>
  <si>
    <t>20032713</t>
  </si>
  <si>
    <t>IB 2020-025</t>
  </si>
  <si>
    <t>POW-036-2020</t>
  </si>
  <si>
    <t>POW-033-2020</t>
  </si>
  <si>
    <t>019</t>
  </si>
  <si>
    <t>ITB NO. 06-20-01</t>
  </si>
  <si>
    <t>BAC 2020-06-25</t>
  </si>
  <si>
    <t>20GNH0004</t>
  </si>
  <si>
    <t>La Paz 2020-006</t>
  </si>
  <si>
    <t>2020-0033</t>
  </si>
  <si>
    <t>ITB NO. 06-20-02</t>
  </si>
  <si>
    <t>20053185</t>
  </si>
  <si>
    <t>ME-2020-001</t>
  </si>
  <si>
    <t>DENR-ENGP-MMFN-HARDENING-OFF-2020-001</t>
  </si>
  <si>
    <t>2020-0014</t>
  </si>
  <si>
    <t>POW-037-2020</t>
  </si>
  <si>
    <t>2020-0015</t>
  </si>
  <si>
    <t>BALZN9-2010</t>
  </si>
  <si>
    <t>ITB NO. 06-20-03</t>
  </si>
  <si>
    <t>infra 033-2020</t>
  </si>
  <si>
    <t>DENR-ENGP-MMFN-HARDENING-OFF-2020-002</t>
  </si>
  <si>
    <t>2020-04-0061-65</t>
  </si>
  <si>
    <t>POW-035-2020</t>
  </si>
  <si>
    <t>PEO-2020-0069</t>
  </si>
  <si>
    <t>infra 035-2020</t>
  </si>
  <si>
    <t>021</t>
  </si>
  <si>
    <t>TUPBACEQ-PB-01-CBP-F164-20-G-R</t>
  </si>
  <si>
    <t>PBI-2020-13</t>
  </si>
  <si>
    <t>BAC 2020-06-26</t>
  </si>
  <si>
    <t>ITB NO. 06-20-04</t>
  </si>
  <si>
    <t>IB NO. PB-2020-06-20</t>
  </si>
  <si>
    <t>infra  034-2020</t>
  </si>
  <si>
    <t>20-04020171</t>
  </si>
  <si>
    <t>ITB-2020-04</t>
  </si>
  <si>
    <t>infra 036-2020</t>
  </si>
  <si>
    <t>MAILHI200602</t>
  </si>
  <si>
    <t>022</t>
  </si>
  <si>
    <t>infra 037-2020</t>
  </si>
  <si>
    <t>TEJ-007</t>
  </si>
  <si>
    <t>TEJ-006</t>
  </si>
  <si>
    <t>INFRA 2020-08</t>
  </si>
  <si>
    <t>20GLH0013 (P.R. No. 2020-03-021 dated 03/17/2020)</t>
  </si>
  <si>
    <t>TEJ-005</t>
  </si>
  <si>
    <t>nego8</t>
  </si>
  <si>
    <t>ITB NO. 06-20-05</t>
  </si>
  <si>
    <t>BAC 2020-06-27</t>
  </si>
  <si>
    <t>BAC 2020-06-28</t>
  </si>
  <si>
    <t>GO-20-06-034</t>
  </si>
  <si>
    <t>01-2020-05M</t>
  </si>
  <si>
    <t>INFRA 2020-10</t>
  </si>
  <si>
    <t>infra 038-2020</t>
  </si>
  <si>
    <t>INFRA 2020-09</t>
  </si>
  <si>
    <t>06232020-079</t>
  </si>
  <si>
    <t>02-06-2020</t>
  </si>
  <si>
    <t>20KJ0176</t>
  </si>
  <si>
    <t>TEJ-008</t>
  </si>
  <si>
    <t>M-20-16</t>
  </si>
  <si>
    <t>PB GOODS 2020-04</t>
  </si>
  <si>
    <t>20KJ0174</t>
  </si>
  <si>
    <t>Solicitation No. Goods 20-0213-0015</t>
  </si>
  <si>
    <t>03-267-2020</t>
  </si>
  <si>
    <t>20KJ0175</t>
  </si>
  <si>
    <t>CW -20-0603-006R</t>
  </si>
  <si>
    <t>20KJ0178</t>
  </si>
  <si>
    <t>06232020-080</t>
  </si>
  <si>
    <t>Solicitation No. Goods 20-0603-0064</t>
  </si>
  <si>
    <t>Solicitation No. Goods 20-0603-0063</t>
  </si>
  <si>
    <t>Solicitation No. Goods 20-0603-0062</t>
  </si>
  <si>
    <t>20KJ0177</t>
  </si>
  <si>
    <t>02-319-2020</t>
  </si>
  <si>
    <t>CW -20-0603-020</t>
  </si>
  <si>
    <t>CW -20-0603-021</t>
  </si>
  <si>
    <t>CW -20-0603-034</t>
  </si>
  <si>
    <t>Solicitation No. Goods 20-0603-0066</t>
  </si>
  <si>
    <t>CW -20-0603-030</t>
  </si>
  <si>
    <t>CW -20-0603-025</t>
  </si>
  <si>
    <t>Solicitation No. Goods 20-0603-0065</t>
  </si>
  <si>
    <t>CW -20-0603-024</t>
  </si>
  <si>
    <t>CW -20-0603-031</t>
  </si>
  <si>
    <t>20-03-018</t>
  </si>
  <si>
    <t>16</t>
  </si>
  <si>
    <t>Solicitation No. Goods 20-0603-0067</t>
  </si>
  <si>
    <t>0031/June/2020</t>
  </si>
  <si>
    <t>04</t>
  </si>
  <si>
    <t>CW -20-0603-035</t>
  </si>
  <si>
    <t>CW -20-0603-0194</t>
  </si>
  <si>
    <t>ITB-131</t>
  </si>
  <si>
    <t>CW -20-0603-026</t>
  </si>
  <si>
    <t>G-096-20C</t>
  </si>
  <si>
    <t>20M00078</t>
  </si>
  <si>
    <t>CW RA 7171-22</t>
  </si>
  <si>
    <t>ITB No. 2020-146-provl government of bukidnon</t>
  </si>
  <si>
    <t>ITB-GS-20200323-01</t>
  </si>
  <si>
    <t>project Ref. no. 42-2020-JUNE-INFRA</t>
  </si>
  <si>
    <t>06-02-01</t>
  </si>
  <si>
    <t>project Ref. no. 43-2020-JUNE-INFRA</t>
  </si>
  <si>
    <t>2020-IG-018</t>
  </si>
  <si>
    <t>17</t>
  </si>
  <si>
    <t>2020-IG-019</t>
  </si>
  <si>
    <t>20M00079</t>
  </si>
  <si>
    <t>ITB No. 2020-148-bph-maramag and bph-kibawe</t>
  </si>
  <si>
    <t>CW RA 7171-23</t>
  </si>
  <si>
    <t>DAPA-073-2020</t>
  </si>
  <si>
    <t>06-02-02</t>
  </si>
  <si>
    <t>ITB No. 2020-09-EFS</t>
  </si>
  <si>
    <t>20-03-0226</t>
  </si>
  <si>
    <t>20GCJ0037</t>
  </si>
  <si>
    <t>OGDS 06-2-20</t>
  </si>
  <si>
    <t>RFQ-2020-0020</t>
  </si>
  <si>
    <t>PEO-2020-0795</t>
  </si>
  <si>
    <t>ITB No. 2020-149-provl government of bukidnon</t>
  </si>
  <si>
    <t>INFRA 2K20-43</t>
  </si>
  <si>
    <t>18</t>
  </si>
  <si>
    <t>20PE0084</t>
  </si>
  <si>
    <t>202006110</t>
  </si>
  <si>
    <t>PEO-2020-0852</t>
  </si>
  <si>
    <t>20-05-3125</t>
  </si>
  <si>
    <t>20FB0149</t>
  </si>
  <si>
    <t>20FH0094</t>
  </si>
  <si>
    <t>GOODS 006-2020</t>
  </si>
  <si>
    <t>20FH0095</t>
  </si>
  <si>
    <t>2020-06-070bid</t>
  </si>
  <si>
    <t>20HC0178</t>
  </si>
  <si>
    <t>INFRA 2K20-42</t>
  </si>
  <si>
    <t>101-20-05-126</t>
  </si>
  <si>
    <t>LPZ - 2020 - 007</t>
  </si>
  <si>
    <t>cal06012020-10</t>
  </si>
  <si>
    <t>19</t>
  </si>
  <si>
    <t>20BC0167</t>
  </si>
  <si>
    <t>20GCJ0040</t>
  </si>
  <si>
    <t>BTN-DVOOR-2020-09</t>
  </si>
  <si>
    <t>ITB-132</t>
  </si>
  <si>
    <t>20HC0179</t>
  </si>
  <si>
    <t>20GCJ0039</t>
  </si>
  <si>
    <t>0075-0009-0892-2020</t>
  </si>
  <si>
    <t>20-05-3123</t>
  </si>
  <si>
    <t>INFRA-2020-001</t>
  </si>
  <si>
    <t>INFRA 2K20-44</t>
  </si>
  <si>
    <t>PROCUREMENT OF POSTNATAL KIT WITH BABY BOX FOR MOT</t>
  </si>
  <si>
    <t>2020-FMP-032</t>
  </si>
  <si>
    <t>0020-0131-0798-2020</t>
  </si>
  <si>
    <t>2020-04-00272</t>
  </si>
  <si>
    <t>0075-0010-0893-2020</t>
  </si>
  <si>
    <t>B-CW-2020-012</t>
  </si>
  <si>
    <t>ITB-060220-1</t>
  </si>
  <si>
    <t>20PG0053</t>
  </si>
  <si>
    <t>2020-254</t>
  </si>
  <si>
    <t>20P00040</t>
  </si>
  <si>
    <t>ITB-060220-2</t>
  </si>
  <si>
    <t>LGU-BLU-20-06-037</t>
  </si>
  <si>
    <t>0032/June/2020</t>
  </si>
  <si>
    <t>345-2020 Bidding</t>
  </si>
  <si>
    <t>LGU-2020-037</t>
  </si>
  <si>
    <t>MKWD-BAC-2020-041</t>
  </si>
  <si>
    <t>20BC0168</t>
  </si>
  <si>
    <t>PROCUREMENT OF DUMP TRUCKS FOR THE USE OF CITY ENV</t>
  </si>
  <si>
    <t>ITB-060220-3</t>
  </si>
  <si>
    <t>LGU-BLU-20-06-038</t>
  </si>
  <si>
    <t>2020-304</t>
  </si>
  <si>
    <t>PEO-20-0639 B</t>
  </si>
  <si>
    <t>20200602-1</t>
  </si>
  <si>
    <t>PEO-20-0618 B</t>
  </si>
  <si>
    <t>20PG0054</t>
  </si>
  <si>
    <t>20200602-2</t>
  </si>
  <si>
    <t>PR-2020-1129</t>
  </si>
  <si>
    <t>GOODS 2020-015</t>
  </si>
  <si>
    <t>INFRA 2K20-40</t>
  </si>
  <si>
    <t>IB-2020-060</t>
  </si>
  <si>
    <t>TAR-2020-001</t>
  </si>
  <si>
    <t>PEO-20-0638 B</t>
  </si>
  <si>
    <t>PR-2005-501</t>
  </si>
  <si>
    <t>20FO0086</t>
  </si>
  <si>
    <t>20-06-383</t>
  </si>
  <si>
    <t>PEO-2020-0305</t>
  </si>
  <si>
    <t>ITB-060220-4</t>
  </si>
  <si>
    <t>PEO-20-0628 B</t>
  </si>
  <si>
    <t>B-CW-2020-013</t>
  </si>
  <si>
    <t>20PG0055</t>
  </si>
  <si>
    <t>bir_pb 2020-28</t>
  </si>
  <si>
    <t>LGU LAUREL 20-05-003</t>
  </si>
  <si>
    <t>2020-0165-PR2020-0398</t>
  </si>
  <si>
    <t>20FO0087</t>
  </si>
  <si>
    <t>20200602-3</t>
  </si>
  <si>
    <t>bir_pb 2020-29</t>
  </si>
  <si>
    <t>bir_pb 2020-30</t>
  </si>
  <si>
    <t>PRN 049</t>
  </si>
  <si>
    <t>B-CW-2020-014</t>
  </si>
  <si>
    <t>20ge0104</t>
  </si>
  <si>
    <t>20GE0103</t>
  </si>
  <si>
    <t>20PG0056</t>
  </si>
  <si>
    <t>20-05-0510</t>
  </si>
  <si>
    <t>06-01-2020-06-497</t>
  </si>
  <si>
    <t>20FO0088</t>
  </si>
  <si>
    <t>BJMP NCR 2020-27</t>
  </si>
  <si>
    <t>2020-0168-PR2020-0401</t>
  </si>
  <si>
    <t>2020-0169-PR2020-0402</t>
  </si>
  <si>
    <t>2020-05-297</t>
  </si>
  <si>
    <t>2020-0016</t>
  </si>
  <si>
    <t>4AQ-SIP-VAR-18</t>
  </si>
  <si>
    <t>20FO0090</t>
  </si>
  <si>
    <t>20FO0089</t>
  </si>
  <si>
    <t>qnv-017-2020</t>
  </si>
  <si>
    <t>B-74-2020</t>
  </si>
  <si>
    <t>C-013-20</t>
  </si>
  <si>
    <t>20FO0091</t>
  </si>
  <si>
    <t>20PG0057</t>
  </si>
  <si>
    <t>SVP 20-996-1</t>
  </si>
  <si>
    <t>06-01-2020-06-498</t>
  </si>
  <si>
    <t>C-016-20</t>
  </si>
  <si>
    <t>2020-05-302</t>
  </si>
  <si>
    <t>C-014-20</t>
  </si>
  <si>
    <t>B-77-2020</t>
  </si>
  <si>
    <t>B-76-2020</t>
  </si>
  <si>
    <t>06-01-2020-06-500</t>
  </si>
  <si>
    <t>B-75-2020</t>
  </si>
  <si>
    <t>06-01-2020-06-499</t>
  </si>
  <si>
    <t>2020-0167-PR2020-0400</t>
  </si>
  <si>
    <t>06-01-2020-06-501</t>
  </si>
  <si>
    <t>PR No. 2019-03-195</t>
  </si>
  <si>
    <t>BACII-2020-12</t>
  </si>
  <si>
    <t>RREIS20-MAS-001-20</t>
  </si>
  <si>
    <t>ITB-DARFO12-2020-0455</t>
  </si>
  <si>
    <t>PR0120-20 PDRRMO</t>
  </si>
  <si>
    <t>034-2020</t>
  </si>
  <si>
    <t>20HF0077 (Cluster 19)</t>
  </si>
  <si>
    <t>ITB-DARFO12-2020-0456</t>
  </si>
  <si>
    <t>20BC0179</t>
  </si>
  <si>
    <t>BJMP NCR 2020-28</t>
  </si>
  <si>
    <t>SVP 20-996-2</t>
  </si>
  <si>
    <t>20AE0067: Repair/Maintenance/Improvement of Draina</t>
  </si>
  <si>
    <t>12-01-2020-06-502</t>
  </si>
  <si>
    <t>20FO0092</t>
  </si>
  <si>
    <t>RRENIS20-SR-001-20</t>
  </si>
  <si>
    <t>PGLDN 101-20-01-0208</t>
  </si>
  <si>
    <t>20HF0074 (Cluster 16)</t>
  </si>
  <si>
    <t>23-GOODS-HVCDP-2020</t>
  </si>
  <si>
    <t>12-01-2020-06-503</t>
  </si>
  <si>
    <t>PGLDN 101-20-01-0241</t>
  </si>
  <si>
    <t>SVP 20-996-3</t>
  </si>
  <si>
    <t>BJMP NCR 2020-29</t>
  </si>
  <si>
    <t>RREIS20-MAS-002-20</t>
  </si>
  <si>
    <t>20-01-015</t>
  </si>
  <si>
    <t>035-2020</t>
  </si>
  <si>
    <t>ITB-DARFO12-2020-0457</t>
  </si>
  <si>
    <t>B-CW-2020-015</t>
  </si>
  <si>
    <t>6-20-05</t>
  </si>
  <si>
    <t>G-2020-020</t>
  </si>
  <si>
    <t>POW - 8751 - 2020 - ALN - 01</t>
  </si>
  <si>
    <t>POW - 8751 - 2020 - AMB - 01</t>
  </si>
  <si>
    <t>PEO-2020-0166 PR2020-0399</t>
  </si>
  <si>
    <t>RREIS20-MAS-003-20</t>
  </si>
  <si>
    <t>01-07-2020-06-504</t>
  </si>
  <si>
    <t>INFRA-20-04</t>
  </si>
  <si>
    <t>RREIS20-MAS-004-20</t>
  </si>
  <si>
    <t>20BC0181 re-adv.</t>
  </si>
  <si>
    <t>POW - 8751 - 2020 - BLL - 05</t>
  </si>
  <si>
    <t>24-GOODS-HVCDP-2020</t>
  </si>
  <si>
    <t>20PL0109</t>
  </si>
  <si>
    <t>AGGDS2020-0603</t>
  </si>
  <si>
    <t>20HF0078 (Cluster 20)</t>
  </si>
  <si>
    <t>POW - 8751 - 2020 - BLL - 06</t>
  </si>
  <si>
    <t>20-02-026</t>
  </si>
  <si>
    <t>20BC0191 re-adv.</t>
  </si>
  <si>
    <t>20PL0110</t>
  </si>
  <si>
    <t>6-20-06</t>
  </si>
  <si>
    <t>2020-061</t>
  </si>
  <si>
    <t>Infra-2020-PB-O1</t>
  </si>
  <si>
    <t>20-02-025</t>
  </si>
  <si>
    <t>25-GOODS-CORN-2020</t>
  </si>
  <si>
    <t>20GAF0002</t>
  </si>
  <si>
    <t>2020-NFA-RBAC08-GOODS-14</t>
  </si>
  <si>
    <t>20PL0111</t>
  </si>
  <si>
    <t>20PL0108</t>
  </si>
  <si>
    <t>AC-PNBAC1-2020-16</t>
  </si>
  <si>
    <t>20-02-024</t>
  </si>
  <si>
    <t>POW - 8751 - 2020 - BNG - 02</t>
  </si>
  <si>
    <t>20-03-074</t>
  </si>
  <si>
    <t>20HF0066</t>
  </si>
  <si>
    <t>20GM0007</t>
  </si>
  <si>
    <t>POW - 8751 - 2020 - BNG - 01</t>
  </si>
  <si>
    <t>20HF0071</t>
  </si>
  <si>
    <t>POW - 8751 - 2020 - PBN - 04</t>
  </si>
  <si>
    <t>POW - 8751 - 2020 - BKL - 03</t>
  </si>
  <si>
    <t>janiuay-2020-25</t>
  </si>
  <si>
    <t>BAC-NP NO. 2020-04</t>
  </si>
  <si>
    <t>POW - 8751 - 2020 - BLL - 07</t>
  </si>
  <si>
    <t>POW - 8751 - 2020 - PCO - 03</t>
  </si>
  <si>
    <t>17GF0110</t>
  </si>
  <si>
    <t>POW - 8751 - 2020 - PBN - 05</t>
  </si>
  <si>
    <t>POW - 8751 - 2020 - CRZ - 01</t>
  </si>
  <si>
    <t>B-CW-2020-019</t>
  </si>
  <si>
    <t>MR-PNBAC1-2020-13</t>
  </si>
  <si>
    <t>B-CW-2020-020</t>
  </si>
  <si>
    <t>B-CW-2020-016</t>
  </si>
  <si>
    <t>26-GOODS-CORN-2020</t>
  </si>
  <si>
    <t>B-CW-2020-017</t>
  </si>
  <si>
    <t>MR-PNBAC1-2020-29</t>
  </si>
  <si>
    <t>B-CW-2020-022</t>
  </si>
  <si>
    <t>MJJLECINFRA001-2020-01</t>
  </si>
  <si>
    <t>SVP-2020-050</t>
  </si>
  <si>
    <t>DOT BAC REI No. 2020-009</t>
  </si>
  <si>
    <t>ITB 2020-0008</t>
  </si>
  <si>
    <t>20LG0117</t>
  </si>
  <si>
    <t>POW - 8751 - 2020 - WNL - 04</t>
  </si>
  <si>
    <t>B-CW-2020-018</t>
  </si>
  <si>
    <t>B-CW-2020-021</t>
  </si>
  <si>
    <t>PB-06232020-A</t>
  </si>
  <si>
    <t>20LG0116</t>
  </si>
  <si>
    <t>20LG0118</t>
  </si>
  <si>
    <t>PB 06-01-2020</t>
  </si>
  <si>
    <t>PIKCOT-002020-009</t>
  </si>
  <si>
    <t>060220-H01</t>
  </si>
  <si>
    <t>PB-06232020-C</t>
  </si>
  <si>
    <t>20CSBF0001</t>
  </si>
  <si>
    <t>LGU-Banayoyo,ISur-2020-05-038</t>
  </si>
  <si>
    <t>B-G-2020-080</t>
  </si>
  <si>
    <t>LGU-Banayoyo, ISur 2020-05-040</t>
  </si>
  <si>
    <t>PB-06232020-B</t>
  </si>
  <si>
    <t>LGU-Banayoyo, ISur 2020-05-039</t>
  </si>
  <si>
    <t>PB-06232020-D</t>
  </si>
  <si>
    <t>DA-ACEF-04-20</t>
  </si>
  <si>
    <t>20GG0176</t>
  </si>
  <si>
    <t>060220-H02</t>
  </si>
  <si>
    <t>PB-20-077</t>
  </si>
  <si>
    <t>20GG0175</t>
  </si>
  <si>
    <t>BulSU-BAC-G-2020-22</t>
  </si>
  <si>
    <t>cab pr4 2020</t>
  </si>
  <si>
    <t>PB-20-159</t>
  </si>
  <si>
    <t>20BG0145</t>
  </si>
  <si>
    <t>060220-B2</t>
  </si>
  <si>
    <t>060220-B1</t>
  </si>
  <si>
    <t>20HF0095</t>
  </si>
  <si>
    <t>20HF0094</t>
  </si>
  <si>
    <t>PB-20-160</t>
  </si>
  <si>
    <t>PB-20-297</t>
  </si>
  <si>
    <t>PB-20-277</t>
  </si>
  <si>
    <t>PB-20-276</t>
  </si>
  <si>
    <t>ppn-083-2020</t>
  </si>
  <si>
    <t>20GPF0008</t>
  </si>
  <si>
    <t>060220-B5</t>
  </si>
  <si>
    <t>20HF0096</t>
  </si>
  <si>
    <t>020620-B4</t>
  </si>
  <si>
    <t>20HF0097</t>
  </si>
  <si>
    <t>PB-20-248</t>
  </si>
  <si>
    <t>060220-B3</t>
  </si>
  <si>
    <t>100-2020-04-641</t>
  </si>
  <si>
    <t>100-2020-05-655</t>
  </si>
  <si>
    <t>PEO-20-0543 B</t>
  </si>
  <si>
    <t>PEO-20-0545 B</t>
  </si>
  <si>
    <t>003-2019</t>
  </si>
  <si>
    <t>GEPS-12-2020</t>
  </si>
  <si>
    <t>100-2020-05-703</t>
  </si>
  <si>
    <t>100-2020-05-672</t>
  </si>
  <si>
    <t>05-0011-20</t>
  </si>
  <si>
    <t>PEO-20-0501 B</t>
  </si>
  <si>
    <t>05-0012-20</t>
  </si>
  <si>
    <t>19GF00028</t>
  </si>
  <si>
    <t>01-2020-0032</t>
  </si>
  <si>
    <t>17202005048</t>
  </si>
  <si>
    <t>19GF00027</t>
  </si>
  <si>
    <t>PEO-20-0597 B</t>
  </si>
  <si>
    <t>AC-PNBAC1-2020-01</t>
  </si>
  <si>
    <t>PR-2020-8751-0099</t>
  </si>
  <si>
    <t>17202005049</t>
  </si>
  <si>
    <t>PEO-20-0547 B</t>
  </si>
  <si>
    <t>Infra-02-2020</t>
  </si>
  <si>
    <t>GEPS-INFR-023-2020</t>
  </si>
  <si>
    <t>17202005050</t>
  </si>
  <si>
    <t>3-01-001-20-070</t>
  </si>
  <si>
    <t>071 - 2020</t>
  </si>
  <si>
    <t>GEPS-INFR-022-2020</t>
  </si>
  <si>
    <t>20-MDF-005</t>
  </si>
  <si>
    <t>DA7-06-FOD-R-20-2128</t>
  </si>
  <si>
    <t>C-05.007</t>
  </si>
  <si>
    <t>2020-05-16</t>
  </si>
  <si>
    <t>20-MDF-003</t>
  </si>
  <si>
    <t>GOODS-019-2020</t>
  </si>
  <si>
    <t>C-05.008</t>
  </si>
  <si>
    <t>C-05.005</t>
  </si>
  <si>
    <t>DA7-06-FOD-R-20-2127</t>
  </si>
  <si>
    <t>20202-09</t>
  </si>
  <si>
    <t>20-MDF-004</t>
  </si>
  <si>
    <t>C-05.013</t>
  </si>
  <si>
    <t>C-05.014</t>
  </si>
  <si>
    <t>C-05.006</t>
  </si>
  <si>
    <t>B-8661-20-09</t>
  </si>
  <si>
    <t>PB Infra 2020-06-002</t>
  </si>
  <si>
    <t>PB Infra 2020-06-001</t>
  </si>
  <si>
    <t>C-05.012</t>
  </si>
  <si>
    <t>C-05.015</t>
  </si>
  <si>
    <t>PB NO. 2020-025</t>
  </si>
  <si>
    <t>C-05.009</t>
  </si>
  <si>
    <t>211378</t>
  </si>
  <si>
    <t>PB NO. 2020-026</t>
  </si>
  <si>
    <t>C-05.010</t>
  </si>
  <si>
    <t>211382</t>
  </si>
  <si>
    <t>2020-05-01</t>
  </si>
  <si>
    <t>211379</t>
  </si>
  <si>
    <t>211381</t>
  </si>
  <si>
    <t>C-05.011</t>
  </si>
  <si>
    <t>211380</t>
  </si>
  <si>
    <t>20IA0089 Construction of Disinfection Facility at</t>
  </si>
  <si>
    <t>211387</t>
  </si>
  <si>
    <t>211383</t>
  </si>
  <si>
    <t>20KA0142</t>
  </si>
  <si>
    <t>211405</t>
  </si>
  <si>
    <t>211396</t>
  </si>
  <si>
    <t>211395</t>
  </si>
  <si>
    <t>211397</t>
  </si>
  <si>
    <t>211394</t>
  </si>
  <si>
    <t>211384</t>
  </si>
  <si>
    <t>211393</t>
  </si>
  <si>
    <t>211391</t>
  </si>
  <si>
    <t>211385</t>
  </si>
  <si>
    <t>211389</t>
  </si>
  <si>
    <t>211392</t>
  </si>
  <si>
    <t>211390</t>
  </si>
  <si>
    <t>AC-PNBAC1-2020-13</t>
  </si>
  <si>
    <t>20IA0090 Repair/Maintenance of DPWh</t>
  </si>
  <si>
    <t>20FF0090</t>
  </si>
  <si>
    <t>20-05-008</t>
  </si>
  <si>
    <t>2020-06-23-302PG</t>
  </si>
  <si>
    <t>2020-06-23-310PG</t>
  </si>
  <si>
    <t>211388</t>
  </si>
  <si>
    <t>2020-06-23-304PG</t>
  </si>
  <si>
    <t>211386</t>
  </si>
  <si>
    <t>BTG3-2020-0191</t>
  </si>
  <si>
    <t>BTG3-2020-0188</t>
  </si>
  <si>
    <t>BTG3-2020-0190</t>
  </si>
  <si>
    <t>BTG3-2020-0187</t>
  </si>
  <si>
    <t>20CSEB02-R1</t>
  </si>
  <si>
    <t>BTG3-2020-0189</t>
  </si>
  <si>
    <t>20FF0092</t>
  </si>
  <si>
    <t>DPWH-SK2DEO-20MH0101</t>
  </si>
  <si>
    <t>20FF0093</t>
  </si>
  <si>
    <t>20FF0091</t>
  </si>
  <si>
    <t>DPWH-SK2DEO-20MH0102</t>
  </si>
  <si>
    <t>AC-PNBAC1-2020-14</t>
  </si>
  <si>
    <t>2020-06-23-311PG</t>
  </si>
  <si>
    <t>2020-06-23-319PG</t>
  </si>
  <si>
    <t>6-20-02</t>
  </si>
  <si>
    <t>AC-PNBAC1-2020-15</t>
  </si>
  <si>
    <t>2020-06-23-318PG</t>
  </si>
  <si>
    <t>2020-06-23-325PG</t>
  </si>
  <si>
    <t>2020-06-23-323PG</t>
  </si>
  <si>
    <t>2020-06-23-316PG</t>
  </si>
  <si>
    <t>20GJ00004</t>
  </si>
  <si>
    <t>2020-06-23-324PG</t>
  </si>
  <si>
    <t>6-20-01</t>
  </si>
  <si>
    <t>2020-06-23-315PG</t>
  </si>
  <si>
    <t>2020-06-23-321PG</t>
  </si>
  <si>
    <t>2020-06-23-317PG</t>
  </si>
  <si>
    <t>2020-05-0171</t>
  </si>
  <si>
    <t>2020-06-23-322PG</t>
  </si>
  <si>
    <t>2020-06-23-320PG</t>
  </si>
  <si>
    <t>2020-06-23-312PG</t>
  </si>
  <si>
    <t>LGU-BLU-20-06-036</t>
  </si>
  <si>
    <t>388548421</t>
  </si>
  <si>
    <t>2020G1-005</t>
  </si>
  <si>
    <t>388548422</t>
  </si>
  <si>
    <t>bacgal-43-2020</t>
  </si>
  <si>
    <t>RFQ-2020-06-001</t>
  </si>
  <si>
    <t>LGU-BLU-20-06-035</t>
  </si>
  <si>
    <t>DA8-Goods-2020-38 (PR No.QRF URSULA 20-05-08-0006)</t>
  </si>
  <si>
    <t>DA8-Goods-2020-39 (PR No. RICE 20-04-16-0660)</t>
  </si>
  <si>
    <t>GOODS-062220-035</t>
  </si>
  <si>
    <t>DA8-Goods-2020-36 (PR No. CORN 20-05-20-0161)</t>
  </si>
  <si>
    <t>BTG3-2020_0186 (Readvertised)</t>
  </si>
  <si>
    <t>DA8-Goods-2020-37 (PR No. CORN 20-02-14-0126)</t>
  </si>
  <si>
    <t>GOODS-062220-036</t>
  </si>
  <si>
    <t>20G00097</t>
  </si>
  <si>
    <t>P. R. No. 2020-0004</t>
  </si>
  <si>
    <t>TAG-SDS-052-2020</t>
  </si>
  <si>
    <t>GOODS-062220-038</t>
  </si>
  <si>
    <t>GOODS-062220-039</t>
  </si>
  <si>
    <t>2020-06-064bid</t>
  </si>
  <si>
    <t>2020 B-05.239</t>
  </si>
  <si>
    <t>P. R. No. 2020-0005</t>
  </si>
  <si>
    <t>POBLACION-2020-006</t>
  </si>
  <si>
    <t>GOODS-062220-040</t>
  </si>
  <si>
    <t>MZSP-2020-041</t>
  </si>
  <si>
    <t>B2 TF-DUE TO NGAS-DILG-HALFWAY HOUSE 20-019</t>
  </si>
  <si>
    <t>20GPJ0001</t>
  </si>
  <si>
    <t>PEO-062220-081</t>
  </si>
  <si>
    <t>ITB 20-25</t>
  </si>
  <si>
    <t>P. R. No. 2020-0006</t>
  </si>
  <si>
    <t>2020 B-05.250</t>
  </si>
  <si>
    <t>20LA0254</t>
  </si>
  <si>
    <t>2020-06-065bid</t>
  </si>
  <si>
    <t>2020 B-05.255</t>
  </si>
  <si>
    <t>20LA0132</t>
  </si>
  <si>
    <t>20LA0255</t>
  </si>
  <si>
    <t>PR No. 2020-05-000010</t>
  </si>
  <si>
    <t>20LA0136</t>
  </si>
  <si>
    <t>20GAB0004</t>
  </si>
  <si>
    <t>bacgal-44-2020</t>
  </si>
  <si>
    <t>20LA0161</t>
  </si>
  <si>
    <t>20LA0135</t>
  </si>
  <si>
    <t>SB2 LREP19 300-20-03-02986</t>
  </si>
  <si>
    <t>GOODS-062220-034</t>
  </si>
  <si>
    <t>20LA0134</t>
  </si>
  <si>
    <t>20LA0258</t>
  </si>
  <si>
    <t>20LA0195</t>
  </si>
  <si>
    <t>20LA0259</t>
  </si>
  <si>
    <t>DPF19 300-20-03-02542</t>
  </si>
  <si>
    <t>20LA0257</t>
  </si>
  <si>
    <t>20LA0256</t>
  </si>
  <si>
    <t>20LA0261</t>
  </si>
  <si>
    <t>GEPS - 2020 - 75</t>
  </si>
  <si>
    <t>lgutangcalldn-093</t>
  </si>
  <si>
    <t>20LA0260</t>
  </si>
  <si>
    <t>2020-04-0369, 2020-05-0407-0411</t>
  </si>
  <si>
    <t>211410</t>
  </si>
  <si>
    <t>20LA0264</t>
  </si>
  <si>
    <t>QNV-004-2020</t>
  </si>
  <si>
    <t>211409</t>
  </si>
  <si>
    <t>20LA0263</t>
  </si>
  <si>
    <t>20LA0262</t>
  </si>
  <si>
    <t>20LA0265</t>
  </si>
  <si>
    <t>20LA0267</t>
  </si>
  <si>
    <t>20LA0266</t>
  </si>
  <si>
    <t>GOODS-062220-037</t>
  </si>
  <si>
    <t>211408</t>
  </si>
  <si>
    <t>2020-025 Office and Janitorial 2nd Qtr</t>
  </si>
  <si>
    <t>20LA0269</t>
  </si>
  <si>
    <t>SB2 POP19 300-20-02-01021</t>
  </si>
  <si>
    <t>20LA0272</t>
  </si>
  <si>
    <t>20LA0270</t>
  </si>
  <si>
    <t>CG-1-103-2020</t>
  </si>
  <si>
    <t>20IM0028</t>
  </si>
  <si>
    <t>ITB No. 025-2020 GQ</t>
  </si>
  <si>
    <t>20LA0275</t>
  </si>
  <si>
    <t>20-05-272</t>
  </si>
  <si>
    <t>013-06-2020</t>
  </si>
  <si>
    <t>lgutangcalldn-094</t>
  </si>
  <si>
    <t>20LA0280</t>
  </si>
  <si>
    <t>827-20</t>
  </si>
  <si>
    <t>20LA0279</t>
  </si>
  <si>
    <t>20LA0271</t>
  </si>
  <si>
    <t>SA-INF-2020-05-0003</t>
  </si>
  <si>
    <t>2020-026 Gasoline</t>
  </si>
  <si>
    <t>20LA0274</t>
  </si>
  <si>
    <t>20LA0276</t>
  </si>
  <si>
    <t>20LA0273</t>
  </si>
  <si>
    <t>20LA0277</t>
  </si>
  <si>
    <t>0862</t>
  </si>
  <si>
    <t>20LA0278</t>
  </si>
  <si>
    <t>INFRA-2020-002</t>
  </si>
  <si>
    <t>20IM0029</t>
  </si>
  <si>
    <t>20GFB02</t>
  </si>
  <si>
    <t>20LA0282</t>
  </si>
  <si>
    <t>20LA0281</t>
  </si>
  <si>
    <t>QNV-005-2020</t>
  </si>
  <si>
    <t>2020-027 ONC</t>
  </si>
  <si>
    <t>20-05-273</t>
  </si>
  <si>
    <t>GOODS-2020-58</t>
  </si>
  <si>
    <t>2020 B-05.256</t>
  </si>
  <si>
    <t>20BF0048</t>
  </si>
  <si>
    <t>20BF0049</t>
  </si>
  <si>
    <t>20BF0051</t>
  </si>
  <si>
    <t>INFRA-2020-003</t>
  </si>
  <si>
    <t>20BF0050</t>
  </si>
  <si>
    <t>PIKCOT-02020-010</t>
  </si>
  <si>
    <t>20BF0052</t>
  </si>
  <si>
    <t>SERV-2020-05</t>
  </si>
  <si>
    <t>20BF0053</t>
  </si>
  <si>
    <t>2020 B-05.259</t>
  </si>
  <si>
    <t>2020-06-23-326PG</t>
  </si>
  <si>
    <t>bacgal-45-2020</t>
  </si>
  <si>
    <t>20JG0074</t>
  </si>
  <si>
    <t>20HN0112</t>
  </si>
  <si>
    <t>2020-06-23-327PG</t>
  </si>
  <si>
    <t>PR0024-20 PGO REBID</t>
  </si>
  <si>
    <t>PR0025-20 PGO REBID</t>
  </si>
  <si>
    <t>S3-PPP20-005</t>
  </si>
  <si>
    <t>ITB - 01 JUNE 2020</t>
  </si>
  <si>
    <t>20BF0054</t>
  </si>
  <si>
    <t>CB-2020-015</t>
  </si>
  <si>
    <t>ITB - 02 JUNE 2020</t>
  </si>
  <si>
    <t>ITB - 07 JUNE 2020</t>
  </si>
  <si>
    <t>20HN0113</t>
  </si>
  <si>
    <t>PPSC BAC IB NO.004 (G) 2020</t>
  </si>
  <si>
    <t>ITB - 05 JUNE 2020</t>
  </si>
  <si>
    <t>2020 B-05.252</t>
  </si>
  <si>
    <t>PR# 20-05-1564</t>
  </si>
  <si>
    <t>20LE0121</t>
  </si>
  <si>
    <t>ITB - 04 JUNE 2020</t>
  </si>
  <si>
    <t>ITB - 03 JUNE 2020</t>
  </si>
  <si>
    <t>ITB - 06 JUNE 2020</t>
  </si>
  <si>
    <t>ITB No. 2020 – 70</t>
  </si>
  <si>
    <t>S3-JOL20-005</t>
  </si>
  <si>
    <t>MR-PNBAC1-2020-01</t>
  </si>
  <si>
    <t>20GEF010</t>
  </si>
  <si>
    <t>20GCH0002</t>
  </si>
  <si>
    <t>ITB O2-2020 UPGRADING</t>
  </si>
  <si>
    <t>2020 B-05.264</t>
  </si>
  <si>
    <t>Alaminos City</t>
  </si>
  <si>
    <t>Publication no. 2020-006</t>
  </si>
  <si>
    <t>Mkna-GSO-20-259</t>
  </si>
  <si>
    <t>Mkna-GSO-20-260</t>
  </si>
  <si>
    <t>ITB - 10 JUNE 2020</t>
  </si>
  <si>
    <t>20-05-274</t>
  </si>
  <si>
    <t>20HN0114</t>
  </si>
  <si>
    <t>bacgal-46-2020</t>
  </si>
  <si>
    <t>2020 - 03</t>
  </si>
  <si>
    <t>ITB 20-06-10</t>
  </si>
  <si>
    <t>20CSLC03</t>
  </si>
  <si>
    <t>ITB - 08 JUNE 2020</t>
  </si>
  <si>
    <t>ITB - 11 JUNE 2020</t>
  </si>
  <si>
    <t>S3-WMO20-007 (Re-bid)</t>
  </si>
  <si>
    <t>S3-B1920-009</t>
  </si>
  <si>
    <t>LG2020MP</t>
  </si>
  <si>
    <t>PR# 20-06-0569</t>
  </si>
  <si>
    <t>ITB - 09 JUNE 2020</t>
  </si>
  <si>
    <t>ITB - 13 JUNE 2020</t>
  </si>
  <si>
    <t>2020 B-05.261</t>
  </si>
  <si>
    <t>ITB - 14 JUNE 2020</t>
  </si>
  <si>
    <t>VMC-2020-057</t>
  </si>
  <si>
    <t>ITB - 18 JUNE 2020</t>
  </si>
  <si>
    <t>OGDS 06-1-20</t>
  </si>
  <si>
    <t>066</t>
  </si>
  <si>
    <t>ITB - 15 JUNE 2020</t>
  </si>
  <si>
    <t>ITB - 12 JUNE 2020</t>
  </si>
  <si>
    <t>sj 2020 b jun 001</t>
  </si>
  <si>
    <t>ITB - 16 JUNE 2020</t>
  </si>
  <si>
    <t>DA RFO-1-2019-INFRA-071</t>
  </si>
  <si>
    <t>20-002</t>
  </si>
  <si>
    <t>ITB - 17 JUNE 2020</t>
  </si>
  <si>
    <t>ITB - 19 JUNE 2020</t>
  </si>
  <si>
    <t>01-2020-0033</t>
  </si>
  <si>
    <t>ITB.JUNE1</t>
  </si>
  <si>
    <t>20GA0063</t>
  </si>
  <si>
    <t>DA RFO-1-2019-INFRA-070</t>
  </si>
  <si>
    <t>20CSHN02</t>
  </si>
  <si>
    <t>ITB - 21 JUNE 2020</t>
  </si>
  <si>
    <t>ITB - 23 JUNE 2020</t>
  </si>
  <si>
    <t>ITB - 26 JUNE 2020</t>
  </si>
  <si>
    <t>WDDSP-NorWD-IFB-G07c</t>
  </si>
  <si>
    <t>ITB - 22 JUNE 2020</t>
  </si>
  <si>
    <t>ITB-06-2020-002</t>
  </si>
  <si>
    <t>20GA0064</t>
  </si>
  <si>
    <t>ITB - 25 JUNE 2020</t>
  </si>
  <si>
    <t>ITB-06-2020-001</t>
  </si>
  <si>
    <t>ITB - 20 JUNE 2020</t>
  </si>
  <si>
    <t>2020-5-002</t>
  </si>
  <si>
    <t>ITB - 24 JUNE 2020</t>
  </si>
  <si>
    <t>sj 2020 b jun 002</t>
  </si>
  <si>
    <t>20HD0017</t>
  </si>
  <si>
    <t>PB2020-45</t>
  </si>
  <si>
    <t>20N00002</t>
  </si>
  <si>
    <t>20CG0026</t>
  </si>
  <si>
    <t>20N00050</t>
  </si>
  <si>
    <t>BP-2019-001</t>
  </si>
  <si>
    <t>BAC PB 2019 - 16</t>
  </si>
  <si>
    <t>Implementing Rules and Regulations</t>
  </si>
  <si>
    <t>Others</t>
  </si>
  <si>
    <t>WB Procurement Guidelines</t>
  </si>
  <si>
    <t>WB Guidelines on the use of Consultants</t>
  </si>
  <si>
    <t>International / Executive Agreement</t>
  </si>
  <si>
    <t>ADB Procurement Guidelines</t>
  </si>
  <si>
    <t>ADB Guidelines on the use of Consultants</t>
  </si>
  <si>
    <t>Negotiated Procurement - Small Value Procurement (Sec. 53.9)</t>
  </si>
  <si>
    <t>Public Bidding</t>
  </si>
  <si>
    <t>Shopping - Ordinary/Regular Office Supplies &amp; Equipment (Sec. 52.1.b)</t>
  </si>
  <si>
    <t>Shopping</t>
  </si>
  <si>
    <t>Negotiated Procurement - Two Failed Biddings (Sec. 53.1)</t>
  </si>
  <si>
    <t>Negotiated Procurement - NGO Participation (Sec. 53.11)</t>
  </si>
  <si>
    <t>Selection based on Consultants Qualification</t>
  </si>
  <si>
    <t>National Competitive Bidding</t>
  </si>
  <si>
    <t>International Competitive Bidding</t>
  </si>
  <si>
    <t>Goods</t>
  </si>
  <si>
    <t>Goods - General Support Services</t>
  </si>
  <si>
    <t>Civil Works</t>
  </si>
  <si>
    <t>Consulting Services</t>
  </si>
  <si>
    <t>Information Technology Parts &amp; Accessories &amp; Perip</t>
  </si>
  <si>
    <t>Security Services</t>
  </si>
  <si>
    <t>Hospital / Medical Equipment</t>
  </si>
  <si>
    <t>Electronic Parts and Components</t>
  </si>
  <si>
    <t>Office Supplies and Devices</t>
  </si>
  <si>
    <t>Agricultural Products (Seeds, Seedlings, Plants..)</t>
  </si>
  <si>
    <t>Veterinary Products and Supplies</t>
  </si>
  <si>
    <t>Medical Supplies and Laboratory Instrument</t>
  </si>
  <si>
    <t>Construction Equipment</t>
  </si>
  <si>
    <t>Hardware and Construction Supplies</t>
  </si>
  <si>
    <t>Printing Services</t>
  </si>
  <si>
    <t>Fuels/Fuel Additives &amp; Lubricants &amp; Anti Corrosive</t>
  </si>
  <si>
    <t>Electrical Supplies</t>
  </si>
  <si>
    <t>Information Technology</t>
  </si>
  <si>
    <t>Books, Maps and Other Publications</t>
  </si>
  <si>
    <t>Water Service Connection Materials/Fittings</t>
  </si>
  <si>
    <t>Printing Supplies</t>
  </si>
  <si>
    <t>Rice Milling Services</t>
  </si>
  <si>
    <t>Vehicles</t>
  </si>
  <si>
    <t>Transportation and Communications Services</t>
  </si>
  <si>
    <t>Airconditioning and Airconditioning Systems</t>
  </si>
  <si>
    <t>Hospital / Medical Equipment Services</t>
  </si>
  <si>
    <t>Audio and Visual Equipment</t>
  </si>
  <si>
    <t>Agricultural Machinery and Equipment</t>
  </si>
  <si>
    <t>Sporting Goods</t>
  </si>
  <si>
    <t>Hotel and Lodging and Meeting Facilities</t>
  </si>
  <si>
    <t>Furniture</t>
  </si>
  <si>
    <t>Garments</t>
  </si>
  <si>
    <t>Medical and Dental Equipment</t>
  </si>
  <si>
    <t>Water and Waste Water Treatment Supply &amp; Disposal</t>
  </si>
  <si>
    <t>Services</t>
  </si>
  <si>
    <t>Kitchenware</t>
  </si>
  <si>
    <t>Live Animals (Livestock, Birds, Live fish &amp; etc..)</t>
  </si>
  <si>
    <t>Chemicals and Chemical Products</t>
  </si>
  <si>
    <t>General Engineering Services</t>
  </si>
  <si>
    <t>Events Management</t>
  </si>
  <si>
    <t>Fertilizers</t>
  </si>
  <si>
    <t>Office Equipment Parts and Accessories</t>
  </si>
  <si>
    <t>Grocery Items</t>
  </si>
  <si>
    <t>Fixtures</t>
  </si>
  <si>
    <t>General Contractor</t>
  </si>
  <si>
    <t>Print and Broadcast and Aerial Advertising</t>
  </si>
  <si>
    <t>Corporate Giveaways</t>
  </si>
  <si>
    <t>Communication Equipment</t>
  </si>
  <si>
    <t>Textiles</t>
  </si>
  <si>
    <t>General Repair and Maintenance Services</t>
  </si>
  <si>
    <t>Laboratory Supplies and Equipment</t>
  </si>
  <si>
    <t>Photographic Equipment</t>
  </si>
  <si>
    <t>Security Surveillance and Detection Equipment</t>
  </si>
  <si>
    <t>Signage and Accessories</t>
  </si>
  <si>
    <t>Agricultural Chemicals</t>
  </si>
  <si>
    <t>Photography Services</t>
  </si>
  <si>
    <t>Fire Fighting &amp; Rescue and Safety Equipment</t>
  </si>
  <si>
    <t>Furniture Parts and Accessories</t>
  </si>
  <si>
    <t>Machine Tools</t>
  </si>
  <si>
    <t>Newspapers</t>
  </si>
  <si>
    <t>Communication Equipment &amp; Parts and Accessories</t>
  </si>
  <si>
    <t>Musical Instruments</t>
  </si>
  <si>
    <t>Funeral and Associated Services</t>
  </si>
  <si>
    <t>Metal Fabrication</t>
  </si>
  <si>
    <t>Education and Training Services</t>
  </si>
  <si>
    <t>Computer Furniture</t>
  </si>
  <si>
    <t>Surveying Instruments</t>
  </si>
  <si>
    <t>Airconditioning Maintenance Services</t>
  </si>
  <si>
    <t>Chemical Detergents</t>
  </si>
  <si>
    <t>Guns and Weapons</t>
  </si>
  <si>
    <t>Pest Control Products</t>
  </si>
  <si>
    <t>Surveying Services</t>
  </si>
  <si>
    <t>Industrial pumps and compressors</t>
  </si>
  <si>
    <t>Food Processing Equipment</t>
  </si>
  <si>
    <t>Well Drilling and Construction Services</t>
  </si>
  <si>
    <t>Diagnostic and Laboratory Services</t>
  </si>
  <si>
    <t>Navigation Equipment</t>
  </si>
  <si>
    <t>Internet Services</t>
  </si>
  <si>
    <t>Systems Integration</t>
  </si>
  <si>
    <t>Personal Care Products</t>
  </si>
  <si>
    <t>Public Relations Programs or Services</t>
  </si>
  <si>
    <t>Oil/Heat Chemical Resistant Rubber</t>
  </si>
  <si>
    <t>Janitorial Equipment</t>
  </si>
  <si>
    <t>Arts and Crafts Accessories and Supplies</t>
  </si>
  <si>
    <t>Quartermaster Items</t>
  </si>
  <si>
    <t>Marine Transport</t>
  </si>
  <si>
    <t>Architectural Design</t>
  </si>
  <si>
    <t>Cargo Forwarding and Hauling Services</t>
  </si>
  <si>
    <t>Power Generation and Distribution Machinery</t>
  </si>
  <si>
    <t>Flags</t>
  </si>
  <si>
    <t>Pest Control Services</t>
  </si>
  <si>
    <t>Timepieces and Jewelry and Gemstone Products</t>
  </si>
  <si>
    <t>Mail and Cargo Transport Services</t>
  </si>
  <si>
    <t>Advertising Agency Services</t>
  </si>
  <si>
    <t>Tokens and Awards</t>
  </si>
  <si>
    <t>Packaging Supplies and Materials</t>
  </si>
  <si>
    <t>Paper Materials and Products</t>
  </si>
  <si>
    <t>Engineering and Laboratory Testing Equipment</t>
  </si>
  <si>
    <t>Aircraft Spare Parts</t>
  </si>
  <si>
    <t>Beverages</t>
  </si>
  <si>
    <t>Travel, Food, Lodging and Entertainment Services</t>
  </si>
  <si>
    <t>Waste Management and Recycling</t>
  </si>
  <si>
    <t>Plastic Products</t>
  </si>
  <si>
    <t>Traffic Control Systems</t>
  </si>
  <si>
    <t>Investigative Equipment</t>
  </si>
  <si>
    <t>Reproduction Services</t>
  </si>
  <si>
    <t>Construction Management Services</t>
  </si>
  <si>
    <t>Automation Equipment</t>
  </si>
  <si>
    <t>IT Broadcasting and Telecommunications</t>
  </si>
  <si>
    <t>Lifting equipment and accessories</t>
  </si>
  <si>
    <t>Meteorological Equipments and Instruments</t>
  </si>
  <si>
    <t>Photographic Parts, Supplies and Accessories</t>
  </si>
  <si>
    <t>Transmission and Distribution Lines</t>
  </si>
  <si>
    <t>Lease and Rental of Property or Building</t>
  </si>
  <si>
    <t>Ammunitions and Explosives</t>
  </si>
  <si>
    <t>Maritime Spare Parts</t>
  </si>
  <si>
    <t>Financial and Insurance Services</t>
  </si>
  <si>
    <t>Freight Forwarder Services</t>
  </si>
  <si>
    <t>Games and Toys</t>
  </si>
  <si>
    <t>Aviation Services</t>
  </si>
  <si>
    <t>Bedclothes, Linens and Towels</t>
  </si>
  <si>
    <t>Structured Cabling</t>
  </si>
  <si>
    <t>Dairy Products</t>
  </si>
  <si>
    <t>Industrial Safety Equipment</t>
  </si>
  <si>
    <t>Radiological/Diagnostic Equipment</t>
  </si>
  <si>
    <t>Editorial, Design, Graphic and Fine Art Services</t>
  </si>
  <si>
    <t>Aviation Products</t>
  </si>
  <si>
    <t>Geotechnical Instrumentation</t>
  </si>
  <si>
    <t>Ordnance Products</t>
  </si>
  <si>
    <t>Landscaping Services</t>
  </si>
  <si>
    <t>851,500.00</t>
  </si>
  <si>
    <t>72,000.00</t>
  </si>
  <si>
    <t>94,000.00</t>
  </si>
  <si>
    <t>240,000.00</t>
  </si>
  <si>
    <t>65,900,000.00</t>
  </si>
  <si>
    <t>5,000,000.00</t>
  </si>
  <si>
    <t>75,000.00</t>
  </si>
  <si>
    <t>105,000.00</t>
  </si>
  <si>
    <t>262,672.00</t>
  </si>
  <si>
    <t>52,885.00</t>
  </si>
  <si>
    <t>64,200.00</t>
  </si>
  <si>
    <t>10,251,083.25</t>
  </si>
  <si>
    <t>129,950.00</t>
  </si>
  <si>
    <t>1,068,779.25</t>
  </si>
  <si>
    <t>3,400.00</t>
  </si>
  <si>
    <t>605,414.25</t>
  </si>
  <si>
    <t>198,900.00</t>
  </si>
  <si>
    <t>599,191.65</t>
  </si>
  <si>
    <t>153,800.00</t>
  </si>
  <si>
    <t>255,000.00</t>
  </si>
  <si>
    <t>133,892.00</t>
  </si>
  <si>
    <t>865,000.00</t>
  </si>
  <si>
    <t>1,909,229.04</t>
  </si>
  <si>
    <t>100,000.00</t>
  </si>
  <si>
    <t>597,900.00</t>
  </si>
  <si>
    <t>125,000.00</t>
  </si>
  <si>
    <t>2,740,831.80</t>
  </si>
  <si>
    <t>499,291.53</t>
  </si>
  <si>
    <t>121,000.00</t>
  </si>
  <si>
    <t>337,580.00</t>
  </si>
  <si>
    <t>798,283.33</t>
  </si>
  <si>
    <t>251,000.00</t>
  </si>
  <si>
    <t>1,700,000.00</t>
  </si>
  <si>
    <t>98,709.00</t>
  </si>
  <si>
    <t>150,000.00</t>
  </si>
  <si>
    <t>130,000.00</t>
  </si>
  <si>
    <t>1,895,000.00</t>
  </si>
  <si>
    <t>23,000.00</t>
  </si>
  <si>
    <t>108,000.00</t>
  </si>
  <si>
    <t>70,400.00</t>
  </si>
  <si>
    <t>218,977.50</t>
  </si>
  <si>
    <t>489,600.00</t>
  </si>
  <si>
    <t>2,300,000.00</t>
  </si>
  <si>
    <t>702,438.23</t>
  </si>
  <si>
    <t>622,206.26</t>
  </si>
  <si>
    <t>316,812.93</t>
  </si>
  <si>
    <t>1,385,697.71</t>
  </si>
  <si>
    <t>345,000.00</t>
  </si>
  <si>
    <t>836,161.87</t>
  </si>
  <si>
    <t>3,049,157.56</t>
  </si>
  <si>
    <t>587,052.26</t>
  </si>
  <si>
    <t>6,834,872.82</t>
  </si>
  <si>
    <t>2,000,000.00</t>
  </si>
  <si>
    <t>578,295.40</t>
  </si>
  <si>
    <t>1,486,362.56</t>
  </si>
  <si>
    <t>7,901,225.30</t>
  </si>
  <si>
    <t>517,493.59</t>
  </si>
  <si>
    <t>2,296,822.44</t>
  </si>
  <si>
    <t>200,000.00</t>
  </si>
  <si>
    <t>199,971.24</t>
  </si>
  <si>
    <t>1,823,906.33</t>
  </si>
  <si>
    <t>144,025.00</t>
  </si>
  <si>
    <t>248,888.99</t>
  </si>
  <si>
    <t>996,031.64</t>
  </si>
  <si>
    <t>394,821.24</t>
  </si>
  <si>
    <t>4,894,112.58</t>
  </si>
  <si>
    <t>187,650.00</t>
  </si>
  <si>
    <t>911,346.26</t>
  </si>
  <si>
    <t>65,350.00</t>
  </si>
  <si>
    <t>78,400.00</t>
  </si>
  <si>
    <t>6,093,007.95</t>
  </si>
  <si>
    <t>499,999.50</t>
  </si>
  <si>
    <t>120,000.00</t>
  </si>
  <si>
    <t>73,200.00</t>
  </si>
  <si>
    <t>68,950.00</t>
  </si>
  <si>
    <t>70,000.00</t>
  </si>
  <si>
    <t>752,979.20</t>
  </si>
  <si>
    <t>447,660.00</t>
  </si>
  <si>
    <t>137,899.90</t>
  </si>
  <si>
    <t>143,000.00</t>
  </si>
  <si>
    <t>995,170.80</t>
  </si>
  <si>
    <t>142,650.00</t>
  </si>
  <si>
    <t>182,500.00</t>
  </si>
  <si>
    <t>259,200.00</t>
  </si>
  <si>
    <t>485,730.58</t>
  </si>
  <si>
    <t>24,000.00</t>
  </si>
  <si>
    <t>3,991,600.00</t>
  </si>
  <si>
    <t>2,500,000.00</t>
  </si>
  <si>
    <t>517,600.00</t>
  </si>
  <si>
    <t>134,300.00</t>
  </si>
  <si>
    <t>250,695.00</t>
  </si>
  <si>
    <t>225,000.00</t>
  </si>
  <si>
    <t>350,000.00</t>
  </si>
  <si>
    <t>174,000.00</t>
  </si>
  <si>
    <t>969,103.43</t>
  </si>
  <si>
    <t>605,000.00</t>
  </si>
  <si>
    <t>573,980.00</t>
  </si>
  <si>
    <t>208,000.00</t>
  </si>
  <si>
    <t>299,323.92</t>
  </si>
  <si>
    <t>42,600.00</t>
  </si>
  <si>
    <t>309,800.00</t>
  </si>
  <si>
    <t>1,081,358.72</t>
  </si>
  <si>
    <t>25,300.00</t>
  </si>
  <si>
    <t>10,500.00</t>
  </si>
  <si>
    <t>186,300.00</t>
  </si>
  <si>
    <t>28,650.00</t>
  </si>
  <si>
    <t>5,925,225.30</t>
  </si>
  <si>
    <t>495,073.55</t>
  </si>
  <si>
    <t>94,500.00</t>
  </si>
  <si>
    <t>373,470.00</t>
  </si>
  <si>
    <t>50,000.00</t>
  </si>
  <si>
    <t>53,000.00</t>
  </si>
  <si>
    <t>330,000.00</t>
  </si>
  <si>
    <t>20,000.00</t>
  </si>
  <si>
    <t>73,800.00</t>
  </si>
  <si>
    <t>215,100.00</t>
  </si>
  <si>
    <t>2,053,800.00</t>
  </si>
  <si>
    <t>64,150.00</t>
  </si>
  <si>
    <t>40,000.00</t>
  </si>
  <si>
    <t>178,912.03</t>
  </si>
  <si>
    <t>104,200.50</t>
  </si>
  <si>
    <t>850,000.00</t>
  </si>
  <si>
    <t>80,000.00</t>
  </si>
  <si>
    <t>450,363.00</t>
  </si>
  <si>
    <t>160,000.00</t>
  </si>
  <si>
    <t>68,240.00</t>
  </si>
  <si>
    <t>73,100.00</t>
  </si>
  <si>
    <t>1,144,196.52</t>
  </si>
  <si>
    <t>138,000.00</t>
  </si>
  <si>
    <t>1,516,131.00</t>
  </si>
  <si>
    <t>59,500.00</t>
  </si>
  <si>
    <t>98,175.00</t>
  </si>
  <si>
    <t>9,800.00</t>
  </si>
  <si>
    <t>57,400.00</t>
  </si>
  <si>
    <t>190,400.00</t>
  </si>
  <si>
    <t>148,900.00</t>
  </si>
  <si>
    <t>145,700.00</t>
  </si>
  <si>
    <t>115,650.00</t>
  </si>
  <si>
    <t>134,350.00</t>
  </si>
  <si>
    <t>4,000.00</t>
  </si>
  <si>
    <t>137,650.00</t>
  </si>
  <si>
    <t>325,591.98</t>
  </si>
  <si>
    <t>57,000.00</t>
  </si>
  <si>
    <t>98,743.00</t>
  </si>
  <si>
    <t>145,925.00</t>
  </si>
  <si>
    <t>278,600.00</t>
  </si>
  <si>
    <t>119,970.00</t>
  </si>
  <si>
    <t>43,720.00</t>
  </si>
  <si>
    <t>964,413.51</t>
  </si>
  <si>
    <t>34,485.00</t>
  </si>
  <si>
    <t>144,475.00</t>
  </si>
  <si>
    <t>687,848.23</t>
  </si>
  <si>
    <t>156,300.00</t>
  </si>
  <si>
    <t>98,600.00</t>
  </si>
  <si>
    <t>270,940.00</t>
  </si>
  <si>
    <t>82,200.00</t>
  </si>
  <si>
    <t>21,750.00</t>
  </si>
  <si>
    <t>81,000.00</t>
  </si>
  <si>
    <t>12,000.00</t>
  </si>
  <si>
    <t>608,691.00</t>
  </si>
  <si>
    <t>647,000.00</t>
  </si>
  <si>
    <t>750,000.00</t>
  </si>
  <si>
    <t>491,749.51</t>
  </si>
  <si>
    <t>264,999.81</t>
  </si>
  <si>
    <t>45,500.00</t>
  </si>
  <si>
    <t>450,000.00</t>
  </si>
  <si>
    <t>54,823.72</t>
  </si>
  <si>
    <t>265,500.00</t>
  </si>
  <si>
    <t>990,000.00</t>
  </si>
  <si>
    <t>56,600.00</t>
  </si>
  <si>
    <t>9,520.00</t>
  </si>
  <si>
    <t>262,400.00</t>
  </si>
  <si>
    <t>78,778.00</t>
  </si>
  <si>
    <t>76,360.00</t>
  </si>
  <si>
    <t>65,520.00</t>
  </si>
  <si>
    <t>548,993.00</t>
  </si>
  <si>
    <t>210,000.00</t>
  </si>
  <si>
    <t>74,430.00</t>
  </si>
  <si>
    <t>21,520.00</t>
  </si>
  <si>
    <t>222,000.00</t>
  </si>
  <si>
    <t>84,785.00</t>
  </si>
  <si>
    <t>85,721.00</t>
  </si>
  <si>
    <t>62,422.55</t>
  </si>
  <si>
    <t>88,160.00</t>
  </si>
  <si>
    <t>128,000.00</t>
  </si>
  <si>
    <t>196,740.00</t>
  </si>
  <si>
    <t>264,110.00</t>
  </si>
  <si>
    <t>26,397.62</t>
  </si>
  <si>
    <t>63,323.00</t>
  </si>
  <si>
    <t>164,480.00</t>
  </si>
  <si>
    <t>1,156,500.00</t>
  </si>
  <si>
    <t>164,535.00</t>
  </si>
  <si>
    <t>195,196.00</t>
  </si>
  <si>
    <t>122,500.00</t>
  </si>
  <si>
    <t>165,108.00</t>
  </si>
  <si>
    <t>185,940.00</t>
  </si>
  <si>
    <t>460,190.00</t>
  </si>
  <si>
    <t>1,000,000.00</t>
  </si>
  <si>
    <t>75,950.00</t>
  </si>
  <si>
    <t>225,805.00</t>
  </si>
  <si>
    <t>40,856.68</t>
  </si>
  <si>
    <t>49,684.00</t>
  </si>
  <si>
    <t>744,848.00</t>
  </si>
  <si>
    <t>140,000.00</t>
  </si>
  <si>
    <t>216,220.00</t>
  </si>
  <si>
    <t>403,344.00</t>
  </si>
  <si>
    <t>300,000.00</t>
  </si>
  <si>
    <t>929,465.19</t>
  </si>
  <si>
    <t>37,772.00</t>
  </si>
  <si>
    <t>499,994.54</t>
  </si>
  <si>
    <t>572,999.54</t>
  </si>
  <si>
    <t>35,222.00</t>
  </si>
  <si>
    <t>19,200.00</t>
  </si>
  <si>
    <t>18,900.00</t>
  </si>
  <si>
    <t>14,475.00</t>
  </si>
  <si>
    <t>41,000.00</t>
  </si>
  <si>
    <t>65,000.00</t>
  </si>
  <si>
    <t>80,800.00</t>
  </si>
  <si>
    <t>85,000.00</t>
  </si>
  <si>
    <t>914,845.10</t>
  </si>
  <si>
    <t>260,000.00</t>
  </si>
  <si>
    <t>806,703.30</t>
  </si>
  <si>
    <t>756,205.64</t>
  </si>
  <si>
    <t>586,454.59</t>
  </si>
  <si>
    <t>250,000.00</t>
  </si>
  <si>
    <t>176,000.00</t>
  </si>
  <si>
    <t>149,990.00</t>
  </si>
  <si>
    <t>220,000.00</t>
  </si>
  <si>
    <t>82,500.00</t>
  </si>
  <si>
    <t>206,300.00</t>
  </si>
  <si>
    <t>1,010,000.00</t>
  </si>
  <si>
    <t>82,000.00</t>
  </si>
  <si>
    <t>113,457.00</t>
  </si>
  <si>
    <t>145,400.00</t>
  </si>
  <si>
    <t>208,732.00</t>
  </si>
  <si>
    <t>55,000.00</t>
  </si>
  <si>
    <t>195,000.00</t>
  </si>
  <si>
    <t>133,990.00</t>
  </si>
  <si>
    <t>227,000.00</t>
  </si>
  <si>
    <t>293,875.00</t>
  </si>
  <si>
    <t>215,030.00</t>
  </si>
  <si>
    <t>999,997.26</t>
  </si>
  <si>
    <t>290,000.00</t>
  </si>
  <si>
    <t>337,220.00</t>
  </si>
  <si>
    <t>192,500.00</t>
  </si>
  <si>
    <t>593,600.00</t>
  </si>
  <si>
    <t>23,655.00</t>
  </si>
  <si>
    <t>351,000.00</t>
  </si>
  <si>
    <t>798,000.00</t>
  </si>
  <si>
    <t>45,378.51</t>
  </si>
  <si>
    <t>81,083.25</t>
  </si>
  <si>
    <t>153,973.00</t>
  </si>
  <si>
    <t>1,300.00</t>
  </si>
  <si>
    <t>108,250.00</t>
  </si>
  <si>
    <t>110,000.00</t>
  </si>
  <si>
    <t>7,531,300.00</t>
  </si>
  <si>
    <t>70,600.00</t>
  </si>
  <si>
    <t>3,046,814.00</t>
  </si>
  <si>
    <t>26,200.00</t>
  </si>
  <si>
    <t>84,235.00</t>
  </si>
  <si>
    <t>188,310.00</t>
  </si>
  <si>
    <t>299,750.00</t>
  </si>
  <si>
    <t>21,825.00</t>
  </si>
  <si>
    <t>60,364.90</t>
  </si>
  <si>
    <t>334,500.00</t>
  </si>
  <si>
    <t>80,400.00</t>
  </si>
  <si>
    <t>71,570.00</t>
  </si>
  <si>
    <t>62,125.25</t>
  </si>
  <si>
    <t>56,410.00</t>
  </si>
  <si>
    <t>69,000.00</t>
  </si>
  <si>
    <t>36,726.50</t>
  </si>
  <si>
    <t>700,000.00</t>
  </si>
  <si>
    <t>699,966.00</t>
  </si>
  <si>
    <t>111,213.80</t>
  </si>
  <si>
    <t>8,000.00</t>
  </si>
  <si>
    <t>451,638.00</t>
  </si>
  <si>
    <t>135,000.00</t>
  </si>
  <si>
    <t>57,873.00</t>
  </si>
  <si>
    <t>71,500.00</t>
  </si>
  <si>
    <t>159,000.00</t>
  </si>
  <si>
    <t>62,500.00</t>
  </si>
  <si>
    <t>189,734.00</t>
  </si>
  <si>
    <t>100,350.00</t>
  </si>
  <si>
    <t>10,000.00</t>
  </si>
  <si>
    <t>177,550.00</t>
  </si>
  <si>
    <t>97,245.52</t>
  </si>
  <si>
    <t>114,816.00</t>
  </si>
  <si>
    <t>143,676.98</t>
  </si>
  <si>
    <t>95,490.00</t>
  </si>
  <si>
    <t>449,999.64</t>
  </si>
  <si>
    <t>124,000.00</t>
  </si>
  <si>
    <t>76,000.00</t>
  </si>
  <si>
    <t>60,000.00</t>
  </si>
  <si>
    <t>175,000.00</t>
  </si>
  <si>
    <t>223,614.00</t>
  </si>
  <si>
    <t>1,500,000.00</t>
  </si>
  <si>
    <t>35,000.00</t>
  </si>
  <si>
    <t>12,485,100.00</t>
  </si>
  <si>
    <t>147,355.74</t>
  </si>
  <si>
    <t>773,345.00</t>
  </si>
  <si>
    <t>51,725.50</t>
  </si>
  <si>
    <t>8,274.04</t>
  </si>
  <si>
    <t>35,250.00</t>
  </si>
  <si>
    <t>174,990.00</t>
  </si>
  <si>
    <t>38,158.00</t>
  </si>
  <si>
    <t>111,500.00</t>
  </si>
  <si>
    <t>499,930.16</t>
  </si>
  <si>
    <t>73,125.00</t>
  </si>
  <si>
    <t>53,970.00</t>
  </si>
  <si>
    <t>134,170.00</t>
  </si>
  <si>
    <t>87,500.00</t>
  </si>
  <si>
    <t>500,000.00</t>
  </si>
  <si>
    <t>98,000.00</t>
  </si>
  <si>
    <t>99,998.00</t>
  </si>
  <si>
    <t>114,000.00</t>
  </si>
  <si>
    <t>354,400.00</t>
  </si>
  <si>
    <t>710,000.00</t>
  </si>
  <si>
    <t>232,500.00</t>
  </si>
  <si>
    <t>22,050.00</t>
  </si>
  <si>
    <t>870,000.00</t>
  </si>
  <si>
    <t>436,000.00</t>
  </si>
  <si>
    <t>572,836.00</t>
  </si>
  <si>
    <t>89,991.60</t>
  </si>
  <si>
    <t>274,000.00</t>
  </si>
  <si>
    <t>70,256.50</t>
  </si>
  <si>
    <t>49,497.00</t>
  </si>
  <si>
    <t>100,163.00</t>
  </si>
  <si>
    <t>62,250.00</t>
  </si>
  <si>
    <t>119,000.00</t>
  </si>
  <si>
    <t>600,000.00</t>
  </si>
  <si>
    <t>51,620.00</t>
  </si>
  <si>
    <t>24,050.00</t>
  </si>
  <si>
    <t>149,000.00</t>
  </si>
  <si>
    <t>89,000.00</t>
  </si>
  <si>
    <t>6,305,514.32</t>
  </si>
  <si>
    <t>60,375.00</t>
  </si>
  <si>
    <t>59,350.00</t>
  </si>
  <si>
    <t>250,602.90</t>
  </si>
  <si>
    <t>499,955.16</t>
  </si>
  <si>
    <t>17,500,000.00</t>
  </si>
  <si>
    <t>112,000.00</t>
  </si>
  <si>
    <t>107,450.00</t>
  </si>
  <si>
    <t>131,700.00</t>
  </si>
  <si>
    <t>48,995.00</t>
  </si>
  <si>
    <t>212,320.00</t>
  </si>
  <si>
    <t>217,600.00</t>
  </si>
  <si>
    <t>395,000.00</t>
  </si>
  <si>
    <t>68,000.00</t>
  </si>
  <si>
    <t>103,900.00</t>
  </si>
  <si>
    <t>37,000.00</t>
  </si>
  <si>
    <t>70,308.00</t>
  </si>
  <si>
    <t>2,760.00</t>
  </si>
  <si>
    <t>335,840.00</t>
  </si>
  <si>
    <t>302,080.00</t>
  </si>
  <si>
    <t>1,200,000.00</t>
  </si>
  <si>
    <t>45,000.00</t>
  </si>
  <si>
    <t>801,547.12</t>
  </si>
  <si>
    <t>561,476.78</t>
  </si>
  <si>
    <t>49,422.00</t>
  </si>
  <si>
    <t>967,343.96</t>
  </si>
  <si>
    <t>77,424.90</t>
  </si>
  <si>
    <t>1,900,000.00</t>
  </si>
  <si>
    <t>73,562.50</t>
  </si>
  <si>
    <t>918,000.00</t>
  </si>
  <si>
    <t>997,429.13</t>
  </si>
  <si>
    <t>99,568.50</t>
  </si>
  <si>
    <t>514,500.00</t>
  </si>
  <si>
    <t>364,400.00</t>
  </si>
  <si>
    <t>100,430.00</t>
  </si>
  <si>
    <t>299,000.00</t>
  </si>
  <si>
    <t>19,799,990.70</t>
  </si>
  <si>
    <t>991,800.00</t>
  </si>
  <si>
    <t>156,090.00</t>
  </si>
  <si>
    <t>17,300.00</t>
  </si>
  <si>
    <t>235,000.00</t>
  </si>
  <si>
    <t>123,000.00</t>
  </si>
  <si>
    <t>188,279.40</t>
  </si>
  <si>
    <t>341,294.84</t>
  </si>
  <si>
    <t>3,000,000.00</t>
  </si>
  <si>
    <t>130,530.00</t>
  </si>
  <si>
    <t>164,500.00</t>
  </si>
  <si>
    <t>3,800,000.00</t>
  </si>
  <si>
    <t>279,350.00</t>
  </si>
  <si>
    <t>814,792.00</t>
  </si>
  <si>
    <t>1,875,000.00</t>
  </si>
  <si>
    <t>124,082.00</t>
  </si>
  <si>
    <t>240,690.00</t>
  </si>
  <si>
    <t>466,200.00</t>
  </si>
  <si>
    <t>1,300,000.00</t>
  </si>
  <si>
    <t>900,000.00</t>
  </si>
  <si>
    <t>91,800.00</t>
  </si>
  <si>
    <t>66,202.00</t>
  </si>
  <si>
    <t>230,910.00</t>
  </si>
  <si>
    <t>118,000.00</t>
  </si>
  <si>
    <t>384,386.50</t>
  </si>
  <si>
    <t>54,702.00</t>
  </si>
  <si>
    <t>20,108.00</t>
  </si>
  <si>
    <t>425,000.00</t>
  </si>
  <si>
    <t>39,800.00</t>
  </si>
  <si>
    <t>146,220.00</t>
  </si>
  <si>
    <t>72,606.00</t>
  </si>
  <si>
    <t>4,843,750.00</t>
  </si>
  <si>
    <t>150,445.00</t>
  </si>
  <si>
    <t>253,035.00</t>
  </si>
  <si>
    <t>15,000.00</t>
  </si>
  <si>
    <t>369,090.00</t>
  </si>
  <si>
    <t>19,600,000.01</t>
  </si>
  <si>
    <t>270,000.00</t>
  </si>
  <si>
    <t>1,717,079.00</t>
  </si>
  <si>
    <t>271,800.00</t>
  </si>
  <si>
    <t>94,358.10</t>
  </si>
  <si>
    <t>49,000.00</t>
  </si>
  <si>
    <t>143,666.00</t>
  </si>
  <si>
    <t>327,005.00</t>
  </si>
  <si>
    <t>79,960.00</t>
  </si>
  <si>
    <t>368,285.00</t>
  </si>
  <si>
    <t>135,819.00</t>
  </si>
  <si>
    <t>49,600.00</t>
  </si>
  <si>
    <t>324,380.00</t>
  </si>
  <si>
    <t>149,215.00</t>
  </si>
  <si>
    <t>172,399.00</t>
  </si>
  <si>
    <t>118,096.00</t>
  </si>
  <si>
    <t>126,500.00</t>
  </si>
  <si>
    <t>123,090.00</t>
  </si>
  <si>
    <t>5,240.00</t>
  </si>
  <si>
    <t>134,600.00</t>
  </si>
  <si>
    <t>194,000.00</t>
  </si>
  <si>
    <t>189,975.00</t>
  </si>
  <si>
    <t>299,265.00</t>
  </si>
  <si>
    <t>106,000.00</t>
  </si>
  <si>
    <t>392,000.00</t>
  </si>
  <si>
    <t>57,500.00</t>
  </si>
  <si>
    <t>679,000.00</t>
  </si>
  <si>
    <t>8,033,000.00</t>
  </si>
  <si>
    <t>1,232,500.00</t>
  </si>
  <si>
    <t>169,000.00</t>
  </si>
  <si>
    <t>73,250.00</t>
  </si>
  <si>
    <t>1,157,500.00</t>
  </si>
  <si>
    <t>96,838.50</t>
  </si>
  <si>
    <t>64,800.00</t>
  </si>
  <si>
    <t>87,000.00</t>
  </si>
  <si>
    <t>77,000.00</t>
  </si>
  <si>
    <t>638,800.00</t>
  </si>
  <si>
    <t>84,850.00</t>
  </si>
  <si>
    <t>36,005.00</t>
  </si>
  <si>
    <t>105,660.00</t>
  </si>
  <si>
    <t>5,557.00</t>
  </si>
  <si>
    <t>275,000.00</t>
  </si>
  <si>
    <t>61,000.00</t>
  </si>
  <si>
    <t>134,270.00</t>
  </si>
  <si>
    <t>114,940.00</t>
  </si>
  <si>
    <t>11,999,980.96</t>
  </si>
  <si>
    <t>124,310.00</t>
  </si>
  <si>
    <t>4,496,328.45</t>
  </si>
  <si>
    <t>5,000.00</t>
  </si>
  <si>
    <t>85,500.00</t>
  </si>
  <si>
    <t>49,900.00</t>
  </si>
  <si>
    <t>67,343.00</t>
  </si>
  <si>
    <t>892,180.00</t>
  </si>
  <si>
    <t>28,730.00</t>
  </si>
  <si>
    <t>177,444.00</t>
  </si>
  <si>
    <t>49,300.00</t>
  </si>
  <si>
    <t>772,800.00</t>
  </si>
  <si>
    <t>2,999,526.55</t>
  </si>
  <si>
    <t>1,384,925.50</t>
  </si>
  <si>
    <t>162,310.00</t>
  </si>
  <si>
    <t>53,345.00</t>
  </si>
  <si>
    <t>267,500.00</t>
  </si>
  <si>
    <t>374,500.00</t>
  </si>
  <si>
    <t>92,000.00</t>
  </si>
  <si>
    <t>2,030,000.00</t>
  </si>
  <si>
    <t>215,000.00</t>
  </si>
  <si>
    <t>95,400.00</t>
  </si>
  <si>
    <t>94,928.20</t>
  </si>
  <si>
    <t>49,462.00</t>
  </si>
  <si>
    <t>213,485.39</t>
  </si>
  <si>
    <t>673,920.00</t>
  </si>
  <si>
    <t>133,497.00</t>
  </si>
  <si>
    <t>252,715.00</t>
  </si>
  <si>
    <t>304,840.00</t>
  </si>
  <si>
    <t>147,000.00</t>
  </si>
  <si>
    <t>151,000.00</t>
  </si>
  <si>
    <t>4,999,737.09</t>
  </si>
  <si>
    <t>373,464.00</t>
  </si>
  <si>
    <t>960,000.00</t>
  </si>
  <si>
    <t>46,690.00</t>
  </si>
  <si>
    <t>49,960.00</t>
  </si>
  <si>
    <t>12,869,538.62</t>
  </si>
  <si>
    <t>638,980.10</t>
  </si>
  <si>
    <t>262,140.40</t>
  </si>
  <si>
    <t>81,549.50</t>
  </si>
  <si>
    <t>151,015.00</t>
  </si>
  <si>
    <t>42,950.00</t>
  </si>
  <si>
    <t>1,952,364.50</t>
  </si>
  <si>
    <t>115,000.00</t>
  </si>
  <si>
    <t>74,406.00</t>
  </si>
  <si>
    <t>392,760.38</t>
  </si>
  <si>
    <t>145,000.00</t>
  </si>
  <si>
    <t>91,190.00</t>
  </si>
  <si>
    <t>200,100.00</t>
  </si>
  <si>
    <t>119,400.00</t>
  </si>
  <si>
    <t>136,700.00</t>
  </si>
  <si>
    <t>95,200.00</t>
  </si>
  <si>
    <t>950,000.00</t>
  </si>
  <si>
    <t>23,350.00</t>
  </si>
  <si>
    <t>57,250.00</t>
  </si>
  <si>
    <t>49,490.00</t>
  </si>
  <si>
    <t>93,925.00</t>
  </si>
  <si>
    <t>58,000.00</t>
  </si>
  <si>
    <t>149,999.80</t>
  </si>
  <si>
    <t>149,500.00</t>
  </si>
  <si>
    <t>400,000.00</t>
  </si>
  <si>
    <t>215,720.00</t>
  </si>
  <si>
    <t>23,100.00</t>
  </si>
  <si>
    <t>54,000.00</t>
  </si>
  <si>
    <t>204,000.00</t>
  </si>
  <si>
    <t>237,500.00</t>
  </si>
  <si>
    <t>3,156,000.00</t>
  </si>
  <si>
    <t>51,470.00</t>
  </si>
  <si>
    <t>478,750.00</t>
  </si>
  <si>
    <t>462,480.00</t>
  </si>
  <si>
    <t>106,798.00</t>
  </si>
  <si>
    <t>166,830.00</t>
  </si>
  <si>
    <t>153,200.00</t>
  </si>
  <si>
    <t>199,663.80</t>
  </si>
  <si>
    <t>101,713.00</t>
  </si>
  <si>
    <t>454,670.00</t>
  </si>
  <si>
    <t>769,500.00</t>
  </si>
  <si>
    <t>77,550.00</t>
  </si>
  <si>
    <t>20,000,000.00</t>
  </si>
  <si>
    <t>171,300.00</t>
  </si>
  <si>
    <t>175,340.00</t>
  </si>
  <si>
    <t>13,500,000.00</t>
  </si>
  <si>
    <t>52,995.00</t>
  </si>
  <si>
    <t>88,440.00</t>
  </si>
  <si>
    <t>96,794.00</t>
  </si>
  <si>
    <t>107,470.00</t>
  </si>
  <si>
    <t>138,180.00</t>
  </si>
  <si>
    <t>90,000.00</t>
  </si>
  <si>
    <t>89,100.00</t>
  </si>
  <si>
    <t>469,045.35</t>
  </si>
  <si>
    <t>4,999,862.04</t>
  </si>
  <si>
    <t>325,000.00</t>
  </si>
  <si>
    <t>93,000.00</t>
  </si>
  <si>
    <t>129,450.50</t>
  </si>
  <si>
    <t>936,828.12</t>
  </si>
  <si>
    <t>929,000.00</t>
  </si>
  <si>
    <t>80,256.00</t>
  </si>
  <si>
    <t>30,000,000.00</t>
  </si>
  <si>
    <t>532,852.00</t>
  </si>
  <si>
    <t>601,000.00</t>
  </si>
  <si>
    <t>214,000.09</t>
  </si>
  <si>
    <t>140,400.00</t>
  </si>
  <si>
    <t>387,431.25</t>
  </si>
  <si>
    <t>1,299,211.49</t>
  </si>
  <si>
    <t>997,079.00</t>
  </si>
  <si>
    <t>50,012.00</t>
  </si>
  <si>
    <t>368,273.00</t>
  </si>
  <si>
    <t>154,650.00</t>
  </si>
  <si>
    <t>66,700.00</t>
  </si>
  <si>
    <t>65,700.00</t>
  </si>
  <si>
    <t>56,087.51</t>
  </si>
  <si>
    <t>1,206,250.00</t>
  </si>
  <si>
    <t>170,000.00</t>
  </si>
  <si>
    <t>178,627.23</t>
  </si>
  <si>
    <t>355,000.00</t>
  </si>
  <si>
    <t>311,659.00</t>
  </si>
  <si>
    <t>570,000.00</t>
  </si>
  <si>
    <t>178,874.00</t>
  </si>
  <si>
    <t>68,401.00</t>
  </si>
  <si>
    <t>295,465.00</t>
  </si>
  <si>
    <t>129,999.80</t>
  </si>
  <si>
    <t>61,600.00</t>
  </si>
  <si>
    <t>538,500.00</t>
  </si>
  <si>
    <t>140,800.00</t>
  </si>
  <si>
    <t>70,251.00</t>
  </si>
  <si>
    <t>959,825.00</t>
  </si>
  <si>
    <t>2,081,852.89</t>
  </si>
  <si>
    <t>190,920.00</t>
  </si>
  <si>
    <t>58,533.00</t>
  </si>
  <si>
    <t>12,500.00</t>
  </si>
  <si>
    <t>92,400.00</t>
  </si>
  <si>
    <t>112,749.00</t>
  </si>
  <si>
    <t>4,500.00</t>
  </si>
  <si>
    <t>407,017.50</t>
  </si>
  <si>
    <t>103,800.00</t>
  </si>
  <si>
    <t>58,930.00</t>
  </si>
  <si>
    <t>346,179.68</t>
  </si>
  <si>
    <t>100,240.00</t>
  </si>
  <si>
    <t>244,800.00</t>
  </si>
  <si>
    <t>53,750.00</t>
  </si>
  <si>
    <t>4,997,875.93</t>
  </si>
  <si>
    <t>186,602.80</t>
  </si>
  <si>
    <t>37,008,000.00</t>
  </si>
  <si>
    <t>126,920.00</t>
  </si>
  <si>
    <t>20,371.43</t>
  </si>
  <si>
    <t>810,000.00</t>
  </si>
  <si>
    <t>32,200,037.43</t>
  </si>
  <si>
    <t>365,276.00</t>
  </si>
  <si>
    <t>708,000.00</t>
  </si>
  <si>
    <t>190,000.00</t>
  </si>
  <si>
    <t>1,064,000.00</t>
  </si>
  <si>
    <t>977,400.00</t>
  </si>
  <si>
    <t>720,000.00</t>
  </si>
  <si>
    <t>141,085.00</t>
  </si>
  <si>
    <t>164,000.00</t>
  </si>
  <si>
    <t>52,500.00</t>
  </si>
  <si>
    <t>248,459.81</t>
  </si>
  <si>
    <t>340,665.00</t>
  </si>
  <si>
    <t>30,000.00</t>
  </si>
  <si>
    <t>63,600.00</t>
  </si>
  <si>
    <t>258,000.00</t>
  </si>
  <si>
    <t>157,790.00</t>
  </si>
  <si>
    <t>81,500.00</t>
  </si>
  <si>
    <t>717,000.00</t>
  </si>
  <si>
    <t>116,790.00</t>
  </si>
  <si>
    <t>136,000.00</t>
  </si>
  <si>
    <t>794,854.73</t>
  </si>
  <si>
    <t>117,000.00</t>
  </si>
  <si>
    <t>671,339.63</t>
  </si>
  <si>
    <t>5,500,000.00</t>
  </si>
  <si>
    <t>309,500.00</t>
  </si>
  <si>
    <t>873,000.00</t>
  </si>
  <si>
    <t>1,100,000.00</t>
  </si>
  <si>
    <t>335,590.62</t>
  </si>
  <si>
    <t>132,000.00</t>
  </si>
  <si>
    <t>1,912,500.00</t>
  </si>
  <si>
    <t>90,574.40</t>
  </si>
  <si>
    <t>109,500.00</t>
  </si>
  <si>
    <t>6,003,035.00</t>
  </si>
  <si>
    <t>169,490.00</t>
  </si>
  <si>
    <t>102,092.00</t>
  </si>
  <si>
    <t>119,550.00</t>
  </si>
  <si>
    <t>360,000.00</t>
  </si>
  <si>
    <t>66,000.00</t>
  </si>
  <si>
    <t>242,000.00</t>
  </si>
  <si>
    <t>239,155.02</t>
  </si>
  <si>
    <t>59,592.00</t>
  </si>
  <si>
    <t>912,717.00</t>
  </si>
  <si>
    <t>331,055.00</t>
  </si>
  <si>
    <t>61,500.00</t>
  </si>
  <si>
    <t>305,000.00</t>
  </si>
  <si>
    <t>2,649,500.20</t>
  </si>
  <si>
    <t>198,245.00</t>
  </si>
  <si>
    <t>180,000.00</t>
  </si>
  <si>
    <t>78,000.00</t>
  </si>
  <si>
    <t>60,800.00</t>
  </si>
  <si>
    <t>9,000.00</t>
  </si>
  <si>
    <t>3,599,958.00</t>
  </si>
  <si>
    <t>4,260,000.00</t>
  </si>
  <si>
    <t>966,410.00</t>
  </si>
  <si>
    <t>1,259,500.00</t>
  </si>
  <si>
    <t>25,000.00</t>
  </si>
  <si>
    <t>95,000.00</t>
  </si>
  <si>
    <t>524,254.00</t>
  </si>
  <si>
    <t>1,545,822.66</t>
  </si>
  <si>
    <t>5,001.00</t>
  </si>
  <si>
    <t>112,550.00</t>
  </si>
  <si>
    <t>2,999,845.00</t>
  </si>
  <si>
    <t>149,700.00</t>
  </si>
  <si>
    <t>1,536,000.00</t>
  </si>
  <si>
    <t>84,000.00</t>
  </si>
  <si>
    <t>836,217.00</t>
  </si>
  <si>
    <t>1,775,000.00</t>
  </si>
  <si>
    <t>184,231.25</t>
  </si>
  <si>
    <t>59,698.00</t>
  </si>
  <si>
    <t>70,741.08</t>
  </si>
  <si>
    <t>172,000.00</t>
  </si>
  <si>
    <t>125,715.00</t>
  </si>
  <si>
    <t>249,106.00</t>
  </si>
  <si>
    <t>1,455,302.52</t>
  </si>
  <si>
    <t>711,071.20</t>
  </si>
  <si>
    <t>2,430,000.00</t>
  </si>
  <si>
    <t>82,720.00</t>
  </si>
  <si>
    <t>94,250.00</t>
  </si>
  <si>
    <t>163,535.65</t>
  </si>
  <si>
    <t>999,930.75</t>
  </si>
  <si>
    <t>2,850,000.00</t>
  </si>
  <si>
    <t>510,500.00</t>
  </si>
  <si>
    <t>129,600.00</t>
  </si>
  <si>
    <t>96,300.00</t>
  </si>
  <si>
    <t>62,950.00</t>
  </si>
  <si>
    <t>113,500.00</t>
  </si>
  <si>
    <t>266,000.00</t>
  </si>
  <si>
    <t>100,440.00</t>
  </si>
  <si>
    <t>261,250.00</t>
  </si>
  <si>
    <t>4,800,000.00</t>
  </si>
  <si>
    <t>183,263.00</t>
  </si>
  <si>
    <t>241,376.24</t>
  </si>
  <si>
    <t>429,664.00</t>
  </si>
  <si>
    <t>349,579.26</t>
  </si>
  <si>
    <t>1,256,000.00</t>
  </si>
  <si>
    <t>3,100,000.00</t>
  </si>
  <si>
    <t>401,990.00</t>
  </si>
  <si>
    <t>6,500,000.00</t>
  </si>
  <si>
    <t>90,400.00</t>
  </si>
  <si>
    <t>1,800,000.00</t>
  </si>
  <si>
    <t>129,990.00</t>
  </si>
  <si>
    <t>93,360.00</t>
  </si>
  <si>
    <t>9,000,000.00</t>
  </si>
  <si>
    <t>430,250.00</t>
  </si>
  <si>
    <t>129,210.00</t>
  </si>
  <si>
    <t>55,299.00</t>
  </si>
  <si>
    <t>153,000.00</t>
  </si>
  <si>
    <t>1,547,500.00</t>
  </si>
  <si>
    <t>421,630.00</t>
  </si>
  <si>
    <t>51,000.00</t>
  </si>
  <si>
    <t>49,500.00</t>
  </si>
  <si>
    <t>796,366.00</t>
  </si>
  <si>
    <t>87,900.00</t>
  </si>
  <si>
    <t>223,629.50</t>
  </si>
  <si>
    <t>91,192.50</t>
  </si>
  <si>
    <t>59,484.00</t>
  </si>
  <si>
    <t>544,040.00</t>
  </si>
  <si>
    <t>199,946.62</t>
  </si>
  <si>
    <t>142,048.13</t>
  </si>
  <si>
    <t>1,092,970.00</t>
  </si>
  <si>
    <t>159,999.00</t>
  </si>
  <si>
    <t>317,050.00</t>
  </si>
  <si>
    <t>1,396,500.00</t>
  </si>
  <si>
    <t>892,209.00</t>
  </si>
  <si>
    <t>1,645,000.00</t>
  </si>
  <si>
    <t>331,256.68</t>
  </si>
  <si>
    <t>29,940.00</t>
  </si>
  <si>
    <t>340,000.00</t>
  </si>
  <si>
    <t>102,272.80</t>
  </si>
  <si>
    <t>14,350.00</t>
  </si>
  <si>
    <t>88,950.00</t>
  </si>
  <si>
    <t>99,981.00</t>
  </si>
  <si>
    <t>89,360.00</t>
  </si>
  <si>
    <t>123,612.76</t>
  </si>
  <si>
    <t>82,616.10</t>
  </si>
  <si>
    <t>83,839.28</t>
  </si>
  <si>
    <t>3,000.00</t>
  </si>
  <si>
    <t>4,500,000.00</t>
  </si>
  <si>
    <t>25,164.00</t>
  </si>
  <si>
    <t>3,799,170.80</t>
  </si>
  <si>
    <t>140,925.00</t>
  </si>
  <si>
    <t>82,028.00</t>
  </si>
  <si>
    <t>116,250.00</t>
  </si>
  <si>
    <t>903,339.22</t>
  </si>
  <si>
    <t>233,200.00</t>
  </si>
  <si>
    <t>66,753.33</t>
  </si>
  <si>
    <t>253,705.84</t>
  </si>
  <si>
    <t>6,400,000.00</t>
  </si>
  <si>
    <t>320,000.00</t>
  </si>
  <si>
    <t>835,000.00</t>
  </si>
  <si>
    <t>412,450.00</t>
  </si>
  <si>
    <t>1,088,175.00</t>
  </si>
  <si>
    <t>995,600.00</t>
  </si>
  <si>
    <t>474,082.28</t>
  </si>
  <si>
    <t>1,299,653.06</t>
  </si>
  <si>
    <t>145,861.28</t>
  </si>
  <si>
    <t>5,700.00</t>
  </si>
  <si>
    <t>183,200.00</t>
  </si>
  <si>
    <t>41,476.00</t>
  </si>
  <si>
    <t>224,035.00</t>
  </si>
  <si>
    <t>102,690.00</t>
  </si>
  <si>
    <t>131,530.00</t>
  </si>
  <si>
    <t>70,039.50</t>
  </si>
  <si>
    <t>40,190.00</t>
  </si>
  <si>
    <t>896,000.00</t>
  </si>
  <si>
    <t>199,821.56</t>
  </si>
  <si>
    <t>672,000.00</t>
  </si>
  <si>
    <t>59,020.00</t>
  </si>
  <si>
    <t>1,980,000.00</t>
  </si>
  <si>
    <t>1,365,000.00</t>
  </si>
  <si>
    <t>285,000.00</t>
  </si>
  <si>
    <t>4,000,000.00</t>
  </si>
  <si>
    <t>1,116,000.00</t>
  </si>
  <si>
    <t>1,825,000.00</t>
  </si>
  <si>
    <t>173,250.00</t>
  </si>
  <si>
    <t>55,290.00</t>
  </si>
  <si>
    <t>88,309.00</t>
  </si>
  <si>
    <t>800,000.00</t>
  </si>
  <si>
    <t>437,000.00</t>
  </si>
  <si>
    <t>236,430.00</t>
  </si>
  <si>
    <t>13,000.00</t>
  </si>
  <si>
    <t>72,900.00</t>
  </si>
  <si>
    <t>152,588.90</t>
  </si>
  <si>
    <t>181,169.00</t>
  </si>
  <si>
    <t>598,927.84</t>
  </si>
  <si>
    <t>106,555.00</t>
  </si>
  <si>
    <t>480,000.00</t>
  </si>
  <si>
    <t>184,800.00</t>
  </si>
  <si>
    <t>51,393.00</t>
  </si>
  <si>
    <t>23,024.00</t>
  </si>
  <si>
    <t>55,900.36</t>
  </si>
  <si>
    <t>69,500.00</t>
  </si>
  <si>
    <t>82,943.00</t>
  </si>
  <si>
    <t>90,150.00</t>
  </si>
  <si>
    <t>200,735.00</t>
  </si>
  <si>
    <t>225,757.00</t>
  </si>
  <si>
    <t>400,115.00</t>
  </si>
  <si>
    <t>128,100.00</t>
  </si>
  <si>
    <t>432,000.00</t>
  </si>
  <si>
    <t>64,000.00</t>
  </si>
  <si>
    <t>811,775.00</t>
  </si>
  <si>
    <t>1,313,000.00</t>
  </si>
  <si>
    <t>64,756.00</t>
  </si>
  <si>
    <t>9,360.00</t>
  </si>
  <si>
    <t>80,575.00</t>
  </si>
  <si>
    <t>1,960,000.00</t>
  </si>
  <si>
    <t>375,900.00</t>
  </si>
  <si>
    <t>119,470.00</t>
  </si>
  <si>
    <t>3,500,000.00</t>
  </si>
  <si>
    <t>89,244.90</t>
  </si>
  <si>
    <t>192,148.00</t>
  </si>
  <si>
    <t>1,764,000.00</t>
  </si>
  <si>
    <t>172,327.25</t>
  </si>
  <si>
    <t>117,393.97</t>
  </si>
  <si>
    <t>258,500.00</t>
  </si>
  <si>
    <t>349,132.30</t>
  </si>
  <si>
    <t>988,483.62</t>
  </si>
  <si>
    <t>1,783,109.00</t>
  </si>
  <si>
    <t>2,600,000.00</t>
  </si>
  <si>
    <t>97,350.00</t>
  </si>
  <si>
    <t>10,000,000.00</t>
  </si>
  <si>
    <t>11,879,669.71</t>
  </si>
  <si>
    <t>672,028.47</t>
  </si>
  <si>
    <t>1,411,491.00</t>
  </si>
  <si>
    <t>922,750.00</t>
  </si>
  <si>
    <t>99,000.00</t>
  </si>
  <si>
    <t>56,616.50</t>
  </si>
  <si>
    <t>759,977.46</t>
  </si>
  <si>
    <t>463,680.00</t>
  </si>
  <si>
    <t>449,620.00</t>
  </si>
  <si>
    <t>56,696.00</t>
  </si>
  <si>
    <t>78,310.00</t>
  </si>
  <si>
    <t>59,060.00</t>
  </si>
  <si>
    <t>59,104.00</t>
  </si>
  <si>
    <t>99,562.50</t>
  </si>
  <si>
    <t>90,916.00</t>
  </si>
  <si>
    <t>47,990.00</t>
  </si>
  <si>
    <t>77,920.00</t>
  </si>
  <si>
    <t>142,500.00</t>
  </si>
  <si>
    <t>58,500.00</t>
  </si>
  <si>
    <t>281,910.60</t>
  </si>
  <si>
    <t>723,683.00</t>
  </si>
  <si>
    <t>73,920.00</t>
  </si>
  <si>
    <t>88,244.80</t>
  </si>
  <si>
    <t>373,268.00</t>
  </si>
  <si>
    <t>104,000.00</t>
  </si>
  <si>
    <t>13,091.00</t>
  </si>
  <si>
    <t>407,580.00</t>
  </si>
  <si>
    <t>74,477.00</t>
  </si>
  <si>
    <t>809,100.00</t>
  </si>
  <si>
    <t>366,000.00</t>
  </si>
  <si>
    <t>998,565.31</t>
  </si>
  <si>
    <t>88,000.00</t>
  </si>
  <si>
    <t>260,289.80</t>
  </si>
  <si>
    <t>78,750.00</t>
  </si>
  <si>
    <t>96,000.00</t>
  </si>
  <si>
    <t>702,000.00</t>
  </si>
  <si>
    <t>1,118,500.00</t>
  </si>
  <si>
    <t>189,000.00</t>
  </si>
  <si>
    <t>399,999.00</t>
  </si>
  <si>
    <t>945,000.00</t>
  </si>
  <si>
    <t>46,300.00</t>
  </si>
  <si>
    <t>117,800.00</t>
  </si>
  <si>
    <t>200,500.00</t>
  </si>
  <si>
    <t>59,620.94</t>
  </si>
  <si>
    <t>13,469.40</t>
  </si>
  <si>
    <t>2,959,847.63</t>
  </si>
  <si>
    <t>389,870.00</t>
  </si>
  <si>
    <t>119,416.00</t>
  </si>
  <si>
    <t>960,640.00</t>
  </si>
  <si>
    <t>80,640.00</t>
  </si>
  <si>
    <t>1,505,927.25</t>
  </si>
  <si>
    <t>128,761.67</t>
  </si>
  <si>
    <t>377,490.00</t>
  </si>
  <si>
    <t>3,250,000.00</t>
  </si>
  <si>
    <t>80,500.00</t>
  </si>
  <si>
    <t>997,900.00</t>
  </si>
  <si>
    <t>55,760.00</t>
  </si>
  <si>
    <t>113,933.70</t>
  </si>
  <si>
    <t>127,500.00</t>
  </si>
  <si>
    <t>19,230.00</t>
  </si>
  <si>
    <t>238,000.00</t>
  </si>
  <si>
    <t>54,835.00</t>
  </si>
  <si>
    <t>202,414.87</t>
  </si>
  <si>
    <t>346,400.00</t>
  </si>
  <si>
    <t>154,000.00</t>
  </si>
  <si>
    <t>890,000.00</t>
  </si>
  <si>
    <t>23,055.00</t>
  </si>
  <si>
    <t>56,000.00</t>
  </si>
  <si>
    <t>1,499,814.60</t>
  </si>
  <si>
    <t>794,000.00</t>
  </si>
  <si>
    <t>999,940.00</t>
  </si>
  <si>
    <t>514,284.51</t>
  </si>
  <si>
    <t>1,360,800.00</t>
  </si>
  <si>
    <t>70,170.00</t>
  </si>
  <si>
    <t>416,951.00</t>
  </si>
  <si>
    <t>222,390.35</t>
  </si>
  <si>
    <t>102,323.00</t>
  </si>
  <si>
    <t>17,000.00</t>
  </si>
  <si>
    <t>76,776.00</t>
  </si>
  <si>
    <t>26,753.87</t>
  </si>
  <si>
    <t>369,695.00</t>
  </si>
  <si>
    <t>198,750.00</t>
  </si>
  <si>
    <t>176,550.00</t>
  </si>
  <si>
    <t>171,500.00</t>
  </si>
  <si>
    <t>224,000.00</t>
  </si>
  <si>
    <t>219,000.00</t>
  </si>
  <si>
    <t>135,347.00</t>
  </si>
  <si>
    <t>149,920.00</t>
  </si>
  <si>
    <t>2,700,000.00</t>
  </si>
  <si>
    <t>155,000.00</t>
  </si>
  <si>
    <t>157,683.11</t>
  </si>
  <si>
    <t>96,094.50</t>
  </si>
  <si>
    <t>1,177,296.74</t>
  </si>
  <si>
    <t>9,708,696.14</t>
  </si>
  <si>
    <t>341,005.00</t>
  </si>
  <si>
    <t>88,289.71</t>
  </si>
  <si>
    <t>112,530.00</t>
  </si>
  <si>
    <t>199,980.00</t>
  </si>
  <si>
    <t>99,970.00</t>
  </si>
  <si>
    <t>10,750.00</t>
  </si>
  <si>
    <t>82,185.00</t>
  </si>
  <si>
    <t>1,600.00</t>
  </si>
  <si>
    <t>3,960.00</t>
  </si>
  <si>
    <t>1,301,750.00</t>
  </si>
  <si>
    <t>280,770.00</t>
  </si>
  <si>
    <t>6,000,000.00</t>
  </si>
  <si>
    <t>56,015.00</t>
  </si>
  <si>
    <t>148,666.67</t>
  </si>
  <si>
    <t>167,500.00</t>
  </si>
  <si>
    <t>845,000.00</t>
  </si>
  <si>
    <t>311,500.00</t>
  </si>
  <si>
    <t>222,893.00</t>
  </si>
  <si>
    <t>520,500.00</t>
  </si>
  <si>
    <t>59,700.00</t>
  </si>
  <si>
    <t>32,000.00</t>
  </si>
  <si>
    <t>56,325.50</t>
  </si>
  <si>
    <t>5,400.00</t>
  </si>
  <si>
    <t>33,510.00</t>
  </si>
  <si>
    <t>99,930.00</t>
  </si>
  <si>
    <t>45,390.00</t>
  </si>
  <si>
    <t>210,052.00</t>
  </si>
  <si>
    <t>61,335.00</t>
  </si>
  <si>
    <t>129,870.00</t>
  </si>
  <si>
    <t>984,196.03</t>
  </si>
  <si>
    <t>199,950.00</t>
  </si>
  <si>
    <t>97,166.70</t>
  </si>
  <si>
    <t>217,990.00</t>
  </si>
  <si>
    <t>206,600.00</t>
  </si>
  <si>
    <t>1,260.00</t>
  </si>
  <si>
    <t>692,746.69</t>
  </si>
  <si>
    <t>6,402,200.00</t>
  </si>
  <si>
    <t>70,500.00</t>
  </si>
  <si>
    <t>210,420.00</t>
  </si>
  <si>
    <t>776,980.50</t>
  </si>
  <si>
    <t>241,400.00</t>
  </si>
  <si>
    <t>66,680.29</t>
  </si>
  <si>
    <t>205,600.00</t>
  </si>
  <si>
    <t>301,025.00</t>
  </si>
  <si>
    <t>298,635.00</t>
  </si>
  <si>
    <t>285,700.00</t>
  </si>
  <si>
    <t>199,200.00</t>
  </si>
  <si>
    <t>540,937.50</t>
  </si>
  <si>
    <t>637,480.00</t>
  </si>
  <si>
    <t>3,800.00</t>
  </si>
  <si>
    <t>132,500.00</t>
  </si>
  <si>
    <t>18,580.00</t>
  </si>
  <si>
    <t>160,875.00</t>
  </si>
  <si>
    <t>178,000.00</t>
  </si>
  <si>
    <t>650,943.76</t>
  </si>
  <si>
    <t>405,768.46</t>
  </si>
  <si>
    <t>53,760.00</t>
  </si>
  <si>
    <t>52,800.00</t>
  </si>
  <si>
    <t>999,675.56</t>
  </si>
  <si>
    <t>137,000.00</t>
  </si>
  <si>
    <t>87,470.00</t>
  </si>
  <si>
    <t>400,020.00</t>
  </si>
  <si>
    <t>10,197.00</t>
  </si>
  <si>
    <t>85,600.00</t>
  </si>
  <si>
    <t>114,600.00</t>
  </si>
  <si>
    <t>145,650.00</t>
  </si>
  <si>
    <t>74,155.00</t>
  </si>
  <si>
    <t>59,185.00</t>
  </si>
  <si>
    <t>74,000.00</t>
  </si>
  <si>
    <t>222,235.00</t>
  </si>
  <si>
    <t>17,961.75</t>
  </si>
  <si>
    <t>199,270.00</t>
  </si>
  <si>
    <t>930,123.21</t>
  </si>
  <si>
    <t>152,247.00</t>
  </si>
  <si>
    <t>99,100.00</t>
  </si>
  <si>
    <t>498,000.00</t>
  </si>
  <si>
    <t>59,300.00</t>
  </si>
  <si>
    <t>14,400.00</t>
  </si>
  <si>
    <t>262,472.00</t>
  </si>
  <si>
    <t>600,092.00</t>
  </si>
  <si>
    <t>976,098.92</t>
  </si>
  <si>
    <t>46,630.00</t>
  </si>
  <si>
    <t>162,800.00</t>
  </si>
  <si>
    <t>172,500.00</t>
  </si>
  <si>
    <t>9,500.00</t>
  </si>
  <si>
    <t>1,315,519.00</t>
  </si>
  <si>
    <t>258,405.00</t>
  </si>
  <si>
    <t>157,963.00</t>
  </si>
  <si>
    <t>61,429.26</t>
  </si>
  <si>
    <t>93,400.00</t>
  </si>
  <si>
    <t>171,700.00</t>
  </si>
  <si>
    <t>3,261,000.00</t>
  </si>
  <si>
    <t>53,125.00</t>
  </si>
  <si>
    <t>92,450.00</t>
  </si>
  <si>
    <t>116,262.00</t>
  </si>
  <si>
    <t>2,225,000.00</t>
  </si>
  <si>
    <t>194,523.00</t>
  </si>
  <si>
    <t>545,351.00</t>
  </si>
  <si>
    <t>692,134.00</t>
  </si>
  <si>
    <t>108,220.00</t>
  </si>
  <si>
    <t>799,924.00</t>
  </si>
  <si>
    <t>18,637.00</t>
  </si>
  <si>
    <t>541,100.00</t>
  </si>
  <si>
    <t>152,000.00</t>
  </si>
  <si>
    <t>550,000.00</t>
  </si>
  <si>
    <t>97,000.00</t>
  </si>
  <si>
    <t>377,336.00</t>
  </si>
  <si>
    <t>38,450.00</t>
  </si>
  <si>
    <t>247,950.00</t>
  </si>
  <si>
    <t>178,450.00</t>
  </si>
  <si>
    <t>11,940,000.00</t>
  </si>
  <si>
    <t>191,067.00</t>
  </si>
  <si>
    <t>926,965.55</t>
  </si>
  <si>
    <t>500,020.00</t>
  </si>
  <si>
    <t>5,789.00</t>
  </si>
  <si>
    <t>455,788.00</t>
  </si>
  <si>
    <t>1,650,000.00</t>
  </si>
  <si>
    <t>4,930.00</t>
  </si>
  <si>
    <t>940,000.00</t>
  </si>
  <si>
    <t>18,000.00</t>
  </si>
  <si>
    <t>144,413.00</t>
  </si>
  <si>
    <t>9,600.00</t>
  </si>
  <si>
    <t>686,755.00</t>
  </si>
  <si>
    <t>375,400.00</t>
  </si>
  <si>
    <t>59,748.00</t>
  </si>
  <si>
    <t>99,947.25</t>
  </si>
  <si>
    <t>888,200.00</t>
  </si>
  <si>
    <t>8,950,000.00</t>
  </si>
  <si>
    <t>617,890.00</t>
  </si>
  <si>
    <t>619,800.42</t>
  </si>
  <si>
    <t>15,750.00</t>
  </si>
  <si>
    <t>699,569.51</t>
  </si>
  <si>
    <t>66,730.00</t>
  </si>
  <si>
    <t>650,000.00</t>
  </si>
  <si>
    <t>191,000.00</t>
  </si>
  <si>
    <t>248,710.00</t>
  </si>
  <si>
    <t>7,800.00</t>
  </si>
  <si>
    <t>505,500.00</t>
  </si>
  <si>
    <t>2,800.00</t>
  </si>
  <si>
    <t>554,800.00</t>
  </si>
  <si>
    <t>217,687.00</t>
  </si>
  <si>
    <t>588,897.97</t>
  </si>
  <si>
    <t>164,220.00</t>
  </si>
  <si>
    <t>124,091.00</t>
  </si>
  <si>
    <t>11,000.00</t>
  </si>
  <si>
    <t>100,450.00</t>
  </si>
  <si>
    <t>112,560.00</t>
  </si>
  <si>
    <t>481,357.35</t>
  </si>
  <si>
    <t>217,017.08</t>
  </si>
  <si>
    <t>230,000.00</t>
  </si>
  <si>
    <t>153,049.00</t>
  </si>
  <si>
    <t>181,042.00</t>
  </si>
  <si>
    <t>126,688.00</t>
  </si>
  <si>
    <t>2,200.00</t>
  </si>
  <si>
    <t>183,566.40</t>
  </si>
  <si>
    <t>2,053,500.00</t>
  </si>
  <si>
    <t>8,835.00</t>
  </si>
  <si>
    <t>1,469,965.85</t>
  </si>
  <si>
    <t>348,750.00</t>
  </si>
  <si>
    <t>103,500.00</t>
  </si>
  <si>
    <t>296,000.00</t>
  </si>
  <si>
    <t>908,620.00</t>
  </si>
  <si>
    <t>99,172.14</t>
  </si>
  <si>
    <t>61,970.00</t>
  </si>
  <si>
    <t>871,355.00</t>
  </si>
  <si>
    <t>916,000.00</t>
  </si>
  <si>
    <t>997,728.50</t>
  </si>
  <si>
    <t>237,930.00</t>
  </si>
  <si>
    <t>281,050.00</t>
  </si>
  <si>
    <t>11,600.00</t>
  </si>
  <si>
    <t>52,000.00</t>
  </si>
  <si>
    <t>288,480.00</t>
  </si>
  <si>
    <t>204,975.00</t>
  </si>
  <si>
    <t>73,500.00</t>
  </si>
  <si>
    <t>146,236.00</t>
  </si>
  <si>
    <t>80,895.00</t>
  </si>
  <si>
    <t>53,240.00</t>
  </si>
  <si>
    <t>998,899.20</t>
  </si>
  <si>
    <t>999,763.60</t>
  </si>
  <si>
    <t>319,232.00</t>
  </si>
  <si>
    <t>124,500.00</t>
  </si>
  <si>
    <t>150,540.00</t>
  </si>
  <si>
    <t>236,300.00</t>
  </si>
  <si>
    <t>5,114.75</t>
  </si>
  <si>
    <t>998,775.00</t>
  </si>
  <si>
    <t>235,319.00</t>
  </si>
  <si>
    <t>68,800.00</t>
  </si>
  <si>
    <t>55,650.00</t>
  </si>
  <si>
    <t>500,640.00</t>
  </si>
  <si>
    <t>299,793.00</t>
  </si>
  <si>
    <t>55,380.00</t>
  </si>
  <si>
    <t>99,945.00</t>
  </si>
  <si>
    <t>335,960.00</t>
  </si>
  <si>
    <t>338,100.00</t>
  </si>
  <si>
    <t>1,485.00</t>
  </si>
  <si>
    <t>390,000.00</t>
  </si>
  <si>
    <t>281,541.52</t>
  </si>
  <si>
    <t>260,586.00</t>
  </si>
  <si>
    <t>4,970.00</t>
  </si>
  <si>
    <t>55,400.00</t>
  </si>
  <si>
    <t>545,000.00</t>
  </si>
  <si>
    <t>211,430.00</t>
  </si>
  <si>
    <t>123,312.00</t>
  </si>
  <si>
    <t>125,300.00</t>
  </si>
  <si>
    <t>299,577.00</t>
  </si>
  <si>
    <t>3,408,975.00</t>
  </si>
  <si>
    <t>985,000.00</t>
  </si>
  <si>
    <t>284,209.51</t>
  </si>
  <si>
    <t>101,000.00</t>
  </si>
  <si>
    <t>421,235.00</t>
  </si>
  <si>
    <t>138,200.00</t>
  </si>
  <si>
    <t>101,431.00</t>
  </si>
  <si>
    <t>449,688.65</t>
  </si>
  <si>
    <t>757,090.00</t>
  </si>
  <si>
    <t>71,200.00</t>
  </si>
  <si>
    <t>171,216.42</t>
  </si>
  <si>
    <t>4,790.00</t>
  </si>
  <si>
    <t>920.00</t>
  </si>
  <si>
    <t>324,740.00</t>
  </si>
  <si>
    <t>1,950,000.00</t>
  </si>
  <si>
    <t>66,154.00</t>
  </si>
  <si>
    <t>492,466.11</t>
  </si>
  <si>
    <t>3,915,409.87</t>
  </si>
  <si>
    <t>8,403.50</t>
  </si>
  <si>
    <t>96,600.00</t>
  </si>
  <si>
    <t>13,071.50</t>
  </si>
  <si>
    <t>125,165.00</t>
  </si>
  <si>
    <t>85,125.00</t>
  </si>
  <si>
    <t>2,000,800.00</t>
  </si>
  <si>
    <t>299,959.30</t>
  </si>
  <si>
    <t>28,900.00</t>
  </si>
  <si>
    <t>240,550.00</t>
  </si>
  <si>
    <t>219,994.00</t>
  </si>
  <si>
    <t>17,850.00</t>
  </si>
  <si>
    <t>499,400.00</t>
  </si>
  <si>
    <t>1,267,306.00</t>
  </si>
  <si>
    <t>249,956.21</t>
  </si>
  <si>
    <t>85,800.00</t>
  </si>
  <si>
    <t>692,500.00</t>
  </si>
  <si>
    <t>499,946.79</t>
  </si>
  <si>
    <t>888,040.00</t>
  </si>
  <si>
    <t>69,324.00</t>
  </si>
  <si>
    <t>129,900.00</t>
  </si>
  <si>
    <t>808,265.00</t>
  </si>
  <si>
    <t>58,085.00</t>
  </si>
  <si>
    <t>68,660.00</t>
  </si>
  <si>
    <t>195,500.00</t>
  </si>
  <si>
    <t>1,083,882.89</t>
  </si>
  <si>
    <t>729,324.72</t>
  </si>
  <si>
    <t>51,503.00</t>
  </si>
  <si>
    <t>1,295,000.00</t>
  </si>
  <si>
    <t>74,100.00</t>
  </si>
  <si>
    <t>21,942.80</t>
  </si>
  <si>
    <t>271,400.00</t>
  </si>
  <si>
    <t>994,410.00</t>
  </si>
  <si>
    <t>1,188,509.64</t>
  </si>
  <si>
    <t>161,500.00</t>
  </si>
  <si>
    <t>54,600.00</t>
  </si>
  <si>
    <t>217,157.48</t>
  </si>
  <si>
    <t>23,550.00</t>
  </si>
  <si>
    <t>1,499,949.95</t>
  </si>
  <si>
    <t>617,582.00</t>
  </si>
  <si>
    <t>57,167.64</t>
  </si>
  <si>
    <t>432,430.00</t>
  </si>
  <si>
    <t>1,110,000.00</t>
  </si>
  <si>
    <t>391,500.00</t>
  </si>
  <si>
    <t>1,927,827.00</t>
  </si>
  <si>
    <t>499,872.03</t>
  </si>
  <si>
    <t>25,000,000.00</t>
  </si>
  <si>
    <t>6,750.00</t>
  </si>
  <si>
    <t>775,500.00</t>
  </si>
  <si>
    <t>88,100.00</t>
  </si>
  <si>
    <t>248,655.00</t>
  </si>
  <si>
    <t>2,916,563.20</t>
  </si>
  <si>
    <t>1,450.00</t>
  </si>
  <si>
    <t>141,996.00</t>
  </si>
  <si>
    <t>71,185.00</t>
  </si>
  <si>
    <t>72,205,000.00</t>
  </si>
  <si>
    <t>77,900.00</t>
  </si>
  <si>
    <t>99,929.38</t>
  </si>
  <si>
    <t>4,475,000.00</t>
  </si>
  <si>
    <t>67,000.00</t>
  </si>
  <si>
    <t>2,650,000.00</t>
  </si>
  <si>
    <t>276,214.80</t>
  </si>
  <si>
    <t>280,538.57</t>
  </si>
  <si>
    <t>101,400.00</t>
  </si>
  <si>
    <t>57,600.00</t>
  </si>
  <si>
    <t>594,600.00</t>
  </si>
  <si>
    <t>74,997.50</t>
  </si>
  <si>
    <t>20,400.00</t>
  </si>
  <si>
    <t>112,500.00</t>
  </si>
  <si>
    <t>173,500.00</t>
  </si>
  <si>
    <t>980,000.00</t>
  </si>
  <si>
    <t>10,878,000.00</t>
  </si>
  <si>
    <t>63,710.00</t>
  </si>
  <si>
    <t>3,400,000.00</t>
  </si>
  <si>
    <t>354,250.00</t>
  </si>
  <si>
    <t>152,300.00</t>
  </si>
  <si>
    <t>86,000.00</t>
  </si>
  <si>
    <t>359,225.44</t>
  </si>
  <si>
    <t>6,000.00</t>
  </si>
  <si>
    <t>343,750.00</t>
  </si>
  <si>
    <t>431,596.00</t>
  </si>
  <si>
    <t>73,375.00</t>
  </si>
  <si>
    <t>178,528.00</t>
  </si>
  <si>
    <t>64,500.00</t>
  </si>
  <si>
    <t>444,728.50</t>
  </si>
  <si>
    <t>4,127,440.60</t>
  </si>
  <si>
    <t>558,530.00</t>
  </si>
  <si>
    <t>19,100.00</t>
  </si>
  <si>
    <t>113,300.00</t>
  </si>
  <si>
    <t>40,000,000.00</t>
  </si>
  <si>
    <t>29,845.00</t>
  </si>
  <si>
    <t>199,840.00</t>
  </si>
  <si>
    <t>103,000.00</t>
  </si>
  <si>
    <t>552,236.00</t>
  </si>
  <si>
    <t>186,590.75</t>
  </si>
  <si>
    <t>110,160.00</t>
  </si>
  <si>
    <t>255,400.00</t>
  </si>
  <si>
    <t>3,445,000.00</t>
  </si>
  <si>
    <t>632,006.00</t>
  </si>
  <si>
    <t>82,650.00</t>
  </si>
  <si>
    <t>2,219,000.00</t>
  </si>
  <si>
    <t>96,250.00</t>
  </si>
  <si>
    <t>199,749.90</t>
  </si>
  <si>
    <t>1,200.00</t>
  </si>
  <si>
    <t>177,670.00</t>
  </si>
  <si>
    <t>1,070,304.42</t>
  </si>
  <si>
    <t>114,125.00</t>
  </si>
  <si>
    <t>152,250.00</t>
  </si>
  <si>
    <t>91,500.00</t>
  </si>
  <si>
    <t>949,090.91</t>
  </si>
  <si>
    <t>4,492,742.23</t>
  </si>
  <si>
    <t>92,501.00</t>
  </si>
  <si>
    <t>116,892.00</t>
  </si>
  <si>
    <t>198,000.00</t>
  </si>
  <si>
    <t>532,000.00</t>
  </si>
  <si>
    <t>170,789.55</t>
  </si>
  <si>
    <t>179,600.00</t>
  </si>
  <si>
    <t>4,770.00</t>
  </si>
  <si>
    <t>292,967.64</t>
  </si>
  <si>
    <t>15,000,000.00</t>
  </si>
  <si>
    <t>96,470.60</t>
  </si>
  <si>
    <t>149,735.12</t>
  </si>
  <si>
    <t>1,878,251.47</t>
  </si>
  <si>
    <t>55,401.39</t>
  </si>
  <si>
    <t>283,000.00</t>
  </si>
  <si>
    <t>457,420.00</t>
  </si>
  <si>
    <t>446,413.28</t>
  </si>
  <si>
    <t>229,450.00</t>
  </si>
  <si>
    <t>82,823.00</t>
  </si>
  <si>
    <t>499,970.62</t>
  </si>
  <si>
    <t>404,792.50</t>
  </si>
  <si>
    <t>52,920.00</t>
  </si>
  <si>
    <t>61,800.00</t>
  </si>
  <si>
    <t>147,126.00</t>
  </si>
  <si>
    <t>157,700.00</t>
  </si>
  <si>
    <t>129,888.00</t>
  </si>
  <si>
    <t>110,645.00</t>
  </si>
  <si>
    <t>374,190.27</t>
  </si>
  <si>
    <t>304,000.00</t>
  </si>
  <si>
    <t>124,208.00</t>
  </si>
  <si>
    <t>1,523,377.32</t>
  </si>
  <si>
    <t>584,775.00</t>
  </si>
  <si>
    <t>20,666.50</t>
  </si>
  <si>
    <t>312,350.00</t>
  </si>
  <si>
    <t>65,200.00</t>
  </si>
  <si>
    <t>80,280.00</t>
  </si>
  <si>
    <t>400,040.00</t>
  </si>
  <si>
    <t>608,200.00</t>
  </si>
  <si>
    <t>199,900.00</t>
  </si>
  <si>
    <t>79,320.00</t>
  </si>
  <si>
    <t>109,105.00</t>
  </si>
  <si>
    <t>22,000.00</t>
  </si>
  <si>
    <t>89,375.00</t>
  </si>
  <si>
    <t>37,020.00</t>
  </si>
  <si>
    <t>649,900.00</t>
  </si>
  <si>
    <t>77,761.00</t>
  </si>
  <si>
    <t>106,020.00</t>
  </si>
  <si>
    <t>634,414.00</t>
  </si>
  <si>
    <t>75,450.00</t>
  </si>
  <si>
    <t>1.00</t>
  </si>
  <si>
    <t>93,920.00</t>
  </si>
  <si>
    <t>61,775.00</t>
  </si>
  <si>
    <t>65,400.00</t>
  </si>
  <si>
    <t>2,207,653.46</t>
  </si>
  <si>
    <t>197,600.00</t>
  </si>
  <si>
    <t>560,000.00</t>
  </si>
  <si>
    <t>307,320.87</t>
  </si>
  <si>
    <t>144,000.00</t>
  </si>
  <si>
    <t>62,000.00</t>
  </si>
  <si>
    <t>126,000.00</t>
  </si>
  <si>
    <t>157,762.90</t>
  </si>
  <si>
    <t>66,780.00</t>
  </si>
  <si>
    <t>833,546.00</t>
  </si>
  <si>
    <t>50,260.00</t>
  </si>
  <si>
    <t>1,590.00</t>
  </si>
  <si>
    <t>99,900.00</t>
  </si>
  <si>
    <t>133,600.00</t>
  </si>
  <si>
    <t>689,800.00</t>
  </si>
  <si>
    <t>193,960,000.00</t>
  </si>
  <si>
    <t>246,650.00</t>
  </si>
  <si>
    <t>2,139,445.67</t>
  </si>
  <si>
    <t>1,158,000.00</t>
  </si>
  <si>
    <t>329,844.05</t>
  </si>
  <si>
    <t>1,617,730.29</t>
  </si>
  <si>
    <t>546,549.00</t>
  </si>
  <si>
    <t>351,225.00</t>
  </si>
  <si>
    <t>79,950.00</t>
  </si>
  <si>
    <t>50,850.00</t>
  </si>
  <si>
    <t>14,500.00</t>
  </si>
  <si>
    <t>81,685.62</t>
  </si>
  <si>
    <t>143,800.00</t>
  </si>
  <si>
    <t>999,750.00</t>
  </si>
  <si>
    <t>29,062.00</t>
  </si>
  <si>
    <t>52,950.00</t>
  </si>
  <si>
    <t>692,161.60</t>
  </si>
  <si>
    <t>72,735.00</t>
  </si>
  <si>
    <t>499,903.88</t>
  </si>
  <si>
    <t>127,391.24</t>
  </si>
  <si>
    <t>30,997.10</t>
  </si>
  <si>
    <t>1,488,834.00</t>
  </si>
  <si>
    <t>3,200.00</t>
  </si>
  <si>
    <t>65,630.00</t>
  </si>
  <si>
    <t>204,301.00</t>
  </si>
  <si>
    <t>78,070.00</t>
  </si>
  <si>
    <t>59,000.00</t>
  </si>
  <si>
    <t>55,500.00</t>
  </si>
  <si>
    <t>22,368.00</t>
  </si>
  <si>
    <t>299,880.00</t>
  </si>
  <si>
    <t>199,992.50</t>
  </si>
  <si>
    <t>8,500.00</t>
  </si>
  <si>
    <t>499,992.69</t>
  </si>
  <si>
    <t>59,587.21</t>
  </si>
  <si>
    <t>61,490.00</t>
  </si>
  <si>
    <t>36,000.00</t>
  </si>
  <si>
    <t>1,199,872.92</t>
  </si>
  <si>
    <t>20,700.00</t>
  </si>
  <si>
    <t>499,919.85</t>
  </si>
  <si>
    <t>153,900.00</t>
  </si>
  <si>
    <t>518,000.00</t>
  </si>
  <si>
    <t>69,800.00</t>
  </si>
  <si>
    <t>70,040.00</t>
  </si>
  <si>
    <t>175,750.00</t>
  </si>
  <si>
    <t>63,610.00</t>
  </si>
  <si>
    <t>189,844.20</t>
  </si>
  <si>
    <t>447,505.00</t>
  </si>
  <si>
    <t>27,000.00</t>
  </si>
  <si>
    <t>678,021.00</t>
  </si>
  <si>
    <t>74,500.00</t>
  </si>
  <si>
    <t>549,761.10</t>
  </si>
  <si>
    <t>161,413.63</t>
  </si>
  <si>
    <t>119,026.00</t>
  </si>
  <si>
    <t>139,940.00</t>
  </si>
  <si>
    <t>751,521.25</t>
  </si>
  <si>
    <t>7,184.00</t>
  </si>
  <si>
    <t>116,815.00</t>
  </si>
  <si>
    <t>76,800.00</t>
  </si>
  <si>
    <t>69,200.00</t>
  </si>
  <si>
    <t>455,680.00</t>
  </si>
  <si>
    <t>309,736.00</t>
  </si>
  <si>
    <t>116,800.00</t>
  </si>
  <si>
    <t>432,036.04</t>
  </si>
  <si>
    <t>2,014,700.00</t>
  </si>
  <si>
    <t>1,199,763.12</t>
  </si>
  <si>
    <t>1,165,512.94</t>
  </si>
  <si>
    <t>136,987.00</t>
  </si>
  <si>
    <t>320,400.00</t>
  </si>
  <si>
    <t>335,231.76</t>
  </si>
  <si>
    <t>235,480.00</t>
  </si>
  <si>
    <t>216,616.00</t>
  </si>
  <si>
    <t>495,449.06</t>
  </si>
  <si>
    <t>625,617.00</t>
  </si>
  <si>
    <t>132,650.00</t>
  </si>
  <si>
    <t>699,967.05</t>
  </si>
  <si>
    <t>86,690.00</t>
  </si>
  <si>
    <t>19,729,056.51</t>
  </si>
  <si>
    <t>13,807,000.00</t>
  </si>
  <si>
    <t>84,600.00</t>
  </si>
  <si>
    <t>63,645.00</t>
  </si>
  <si>
    <t>97,750.00</t>
  </si>
  <si>
    <t>248,400.00</t>
  </si>
  <si>
    <t>31,200.00</t>
  </si>
  <si>
    <t>63,000.00</t>
  </si>
  <si>
    <t>3,900,000.00</t>
  </si>
  <si>
    <t>51,250.00</t>
  </si>
  <si>
    <t>148,500.00</t>
  </si>
  <si>
    <t>46,140.00</t>
  </si>
  <si>
    <t>62,670.00</t>
  </si>
  <si>
    <t>11,919,966.10</t>
  </si>
  <si>
    <t>249,000.00</t>
  </si>
  <si>
    <t>413,650.00</t>
  </si>
  <si>
    <t>499,877.44</t>
  </si>
  <si>
    <t>499,985.88</t>
  </si>
  <si>
    <t>3,860.00</t>
  </si>
  <si>
    <t>499,990.35</t>
  </si>
  <si>
    <t>85,812.30</t>
  </si>
  <si>
    <t>16,250.00</t>
  </si>
  <si>
    <t>785,048.00</t>
  </si>
  <si>
    <t>75,718.32</t>
  </si>
  <si>
    <t>11,005,392.85</t>
  </si>
  <si>
    <t>78,504.15</t>
  </si>
  <si>
    <t>146,800.00</t>
  </si>
  <si>
    <t>29,669,273.35</t>
  </si>
  <si>
    <t>21,466,200.00</t>
  </si>
  <si>
    <t>185,000.00</t>
  </si>
  <si>
    <t>199,266.30</t>
  </si>
  <si>
    <t>459,350.00</t>
  </si>
  <si>
    <t>202,976.59</t>
  </si>
  <si>
    <t>168,000.00</t>
  </si>
  <si>
    <t>1,473,076.24</t>
  </si>
  <si>
    <t>817,650.00</t>
  </si>
  <si>
    <t>7,320,968.20</t>
  </si>
  <si>
    <t>1,397,000.00</t>
  </si>
  <si>
    <t>1,454,419.78</t>
  </si>
  <si>
    <t>49,060.00</t>
  </si>
  <si>
    <t>760,000.00</t>
  </si>
  <si>
    <t>76,400.00</t>
  </si>
  <si>
    <t>77,143.00</t>
  </si>
  <si>
    <t>70,736.00</t>
  </si>
  <si>
    <t>4,989,403.09</t>
  </si>
  <si>
    <t>76,915.00</t>
  </si>
  <si>
    <t>100,495,000.00</t>
  </si>
  <si>
    <t>103,200.00</t>
  </si>
  <si>
    <t>48,000.00</t>
  </si>
  <si>
    <t>226,006.19</t>
  </si>
  <si>
    <t>675,000.00</t>
  </si>
  <si>
    <t>1,474,382.55</t>
  </si>
  <si>
    <t>971,399.21</t>
  </si>
  <si>
    <t>51,690.00</t>
  </si>
  <si>
    <t>329,245.00</t>
  </si>
  <si>
    <t>1,962,498.71</t>
  </si>
  <si>
    <t>44,010.00</t>
  </si>
  <si>
    <t>359,100.00</t>
  </si>
  <si>
    <t>212,303.10</t>
  </si>
  <si>
    <t>657,829.82</t>
  </si>
  <si>
    <t>1,880,269.55</t>
  </si>
  <si>
    <t>114,214.00</t>
  </si>
  <si>
    <t>1,410,000.00</t>
  </si>
  <si>
    <t>1,961,834.29</t>
  </si>
  <si>
    <t>799,994.00</t>
  </si>
  <si>
    <t>572,300.00</t>
  </si>
  <si>
    <t>10,350.00</t>
  </si>
  <si>
    <t>10,422.00</t>
  </si>
  <si>
    <t>46,800.00</t>
  </si>
  <si>
    <t>344,616.30</t>
  </si>
  <si>
    <t>138,705.00</t>
  </si>
  <si>
    <t>334,825.92</t>
  </si>
  <si>
    <t>24,564.00</t>
  </si>
  <si>
    <t>657,600.00</t>
  </si>
  <si>
    <t>9,600,000.00</t>
  </si>
  <si>
    <t>744,300.00</t>
  </si>
  <si>
    <t>102,000.00</t>
  </si>
  <si>
    <t>74,943.00</t>
  </si>
  <si>
    <t>11,681,069.30</t>
  </si>
  <si>
    <t>8,000,000.00</t>
  </si>
  <si>
    <t>342,400.00</t>
  </si>
  <si>
    <t>2,888,799.37</t>
  </si>
  <si>
    <t>145,676.00</t>
  </si>
  <si>
    <t>687,500.00</t>
  </si>
  <si>
    <t>47,085.00</t>
  </si>
  <si>
    <t>10,326,000.00</t>
  </si>
  <si>
    <t>299,967.00</t>
  </si>
  <si>
    <t>2,823,316.31</t>
  </si>
  <si>
    <t>490,644.00</t>
  </si>
  <si>
    <t>299,952.00</t>
  </si>
  <si>
    <t>260,061.54</t>
  </si>
  <si>
    <t>492,500.00</t>
  </si>
  <si>
    <t>664,128.54</t>
  </si>
  <si>
    <t>165,000.00</t>
  </si>
  <si>
    <t>114,912.00</t>
  </si>
  <si>
    <t>100,991.00</t>
  </si>
  <si>
    <t>15,533,070.00</t>
  </si>
  <si>
    <t>168,932.00</t>
  </si>
  <si>
    <t>620,152.20</t>
  </si>
  <si>
    <t>3,137,117.42</t>
  </si>
  <si>
    <t>462,625.00</t>
  </si>
  <si>
    <t>79,045.76</t>
  </si>
  <si>
    <t>159,786.00</t>
  </si>
  <si>
    <t>1,448,205.93</t>
  </si>
  <si>
    <t>5,880,000.00</t>
  </si>
  <si>
    <t>937,760.00</t>
  </si>
  <si>
    <t>2,485,785.00</t>
  </si>
  <si>
    <t>93,800.00</t>
  </si>
  <si>
    <t>247,500.00</t>
  </si>
  <si>
    <t>67,500.00</t>
  </si>
  <si>
    <t>216,000.00</t>
  </si>
  <si>
    <t>528,200.00</t>
  </si>
  <si>
    <t>510,000.00</t>
  </si>
  <si>
    <t>913,077.45</t>
  </si>
  <si>
    <t>118,660.00</t>
  </si>
  <si>
    <t>173,059.00</t>
  </si>
  <si>
    <t>95,248.50</t>
  </si>
  <si>
    <t>1,016,468.00</t>
  </si>
  <si>
    <t>11,450.00</t>
  </si>
  <si>
    <t>54,760.00</t>
  </si>
  <si>
    <t>141,614.50</t>
  </si>
  <si>
    <t>132,548.00</t>
  </si>
  <si>
    <t>272,360.76</t>
  </si>
  <si>
    <t>35,900.00</t>
  </si>
  <si>
    <t>106,800.00</t>
  </si>
  <si>
    <t>1,539,625.00</t>
  </si>
  <si>
    <t>640,000.00</t>
  </si>
  <si>
    <t>301,790.00</t>
  </si>
  <si>
    <t>1,408,000.00</t>
  </si>
  <si>
    <t>7,791,980.00</t>
  </si>
  <si>
    <t>49,265.00</t>
  </si>
  <si>
    <t>1,180,000.00</t>
  </si>
  <si>
    <t>572,000.00</t>
  </si>
  <si>
    <t>2,970,000.00</t>
  </si>
  <si>
    <t>314,640.00</t>
  </si>
  <si>
    <t>20,500.00</t>
  </si>
  <si>
    <t>53,400.00</t>
  </si>
  <si>
    <t>227,350.00</t>
  </si>
  <si>
    <t>438,311.60</t>
  </si>
  <si>
    <t>99,820.00</t>
  </si>
  <si>
    <t>399,507.00</t>
  </si>
  <si>
    <t>24,750,000.00</t>
  </si>
  <si>
    <t>131,293.00</t>
  </si>
  <si>
    <t>120,300.00</t>
  </si>
  <si>
    <t>219,170.00</t>
  </si>
  <si>
    <t>1,108,177.72</t>
  </si>
  <si>
    <t>41,300.00</t>
  </si>
  <si>
    <t>66,500.00</t>
  </si>
  <si>
    <t>167,950.00</t>
  </si>
  <si>
    <t>261,785.00</t>
  </si>
  <si>
    <t>63,888.00</t>
  </si>
  <si>
    <t>100,774.00</t>
  </si>
  <si>
    <t>77,725.00</t>
  </si>
  <si>
    <t>2,230,099.54</t>
  </si>
  <si>
    <t>105,600.00</t>
  </si>
  <si>
    <t>167,395.00</t>
  </si>
  <si>
    <t>303,000.00</t>
  </si>
  <si>
    <t>220,752.00</t>
  </si>
  <si>
    <t>838,845.00</t>
  </si>
  <si>
    <t>10,700.00</t>
  </si>
  <si>
    <t>14,700,000.00</t>
  </si>
  <si>
    <t>761,100.00</t>
  </si>
  <si>
    <t>444,504.85</t>
  </si>
  <si>
    <t>59,996.00</t>
  </si>
  <si>
    <t>17,640,000.00</t>
  </si>
  <si>
    <t>199,997.75</t>
  </si>
  <si>
    <t>712,000.00</t>
  </si>
  <si>
    <t>16,393.00</t>
  </si>
  <si>
    <t>164,989.00</t>
  </si>
  <si>
    <t>74,995.00</t>
  </si>
  <si>
    <t>72,240.00</t>
  </si>
  <si>
    <t>91,052.73</t>
  </si>
  <si>
    <t>135,674.00</t>
  </si>
  <si>
    <t>57,415.70</t>
  </si>
  <si>
    <t>174,054.20</t>
  </si>
  <si>
    <t>69,480.00</t>
  </si>
  <si>
    <t>67,312.25</t>
  </si>
  <si>
    <t>1,950,550.64</t>
  </si>
  <si>
    <t>177,500.00</t>
  </si>
  <si>
    <t>129,000.00</t>
  </si>
  <si>
    <t>2,065,702.00</t>
  </si>
  <si>
    <t>17,606.00</t>
  </si>
  <si>
    <t>55,270.00</t>
  </si>
  <si>
    <t>868,761.80</t>
  </si>
  <si>
    <t>12,491.00</t>
  </si>
  <si>
    <t>153,300.00</t>
  </si>
  <si>
    <t>7,350,000.00</t>
  </si>
  <si>
    <t>207,703.84</t>
  </si>
  <si>
    <t>3,373,349.35</t>
  </si>
  <si>
    <t>315,000.00</t>
  </si>
  <si>
    <t>111,000.00</t>
  </si>
  <si>
    <t>248,900.00</t>
  </si>
  <si>
    <t>91,200.00</t>
  </si>
  <si>
    <t>856,959.00</t>
  </si>
  <si>
    <t>207,340.24</t>
  </si>
  <si>
    <t>33,976.00</t>
  </si>
  <si>
    <t>60,668.00</t>
  </si>
  <si>
    <t>2,965,903.12</t>
  </si>
  <si>
    <t>16,815.00</t>
  </si>
  <si>
    <t>2,100,000.00</t>
  </si>
  <si>
    <t>204,100.00</t>
  </si>
  <si>
    <t>379,500.00</t>
  </si>
  <si>
    <t>202,926.40</t>
  </si>
  <si>
    <t>9,620.00</t>
  </si>
  <si>
    <t>61,300.00</t>
  </si>
  <si>
    <t>469,000.00</t>
  </si>
  <si>
    <t>11,500,000.00</t>
  </si>
  <si>
    <t>898,000.00</t>
  </si>
  <si>
    <t>54,813.00</t>
  </si>
  <si>
    <t>361,475.71</t>
  </si>
  <si>
    <t>241,500.00</t>
  </si>
  <si>
    <t>240,186.17</t>
  </si>
  <si>
    <t>1,155,217.00</t>
  </si>
  <si>
    <t>2,250,000.00</t>
  </si>
  <si>
    <t>239,990.35</t>
  </si>
  <si>
    <t>82,594.00</t>
  </si>
  <si>
    <t>2,467,745.00</t>
  </si>
  <si>
    <t>2,099,298.88</t>
  </si>
  <si>
    <t>5,756,437.64</t>
  </si>
  <si>
    <t>1,600,000.00</t>
  </si>
  <si>
    <t>754,064.08</t>
  </si>
  <si>
    <t>666,000.00</t>
  </si>
  <si>
    <t>934,550.00</t>
  </si>
  <si>
    <t>389,142.49</t>
  </si>
  <si>
    <t>312,476.50</t>
  </si>
  <si>
    <t>292,250.00</t>
  </si>
  <si>
    <t>34,999.50</t>
  </si>
  <si>
    <t>109,720.00</t>
  </si>
  <si>
    <t>60,500.00</t>
  </si>
  <si>
    <t>42,000.00</t>
  </si>
  <si>
    <t>570,800.00</t>
  </si>
  <si>
    <t>187,000.00</t>
  </si>
  <si>
    <t>89,560.00</t>
  </si>
  <si>
    <t>116,060.00</t>
  </si>
  <si>
    <t>122,400.00</t>
  </si>
  <si>
    <t>851,000.00</t>
  </si>
  <si>
    <t>423,185.00</t>
  </si>
  <si>
    <t>547,302.00</t>
  </si>
  <si>
    <t>281,390.00</t>
  </si>
  <si>
    <t>772,000.00</t>
  </si>
  <si>
    <t>77,030.00</t>
  </si>
  <si>
    <t>959,720.88</t>
  </si>
  <si>
    <t>53,800.00</t>
  </si>
  <si>
    <t>56,525.00</t>
  </si>
  <si>
    <t>44,000.00</t>
  </si>
  <si>
    <t>106,900.00</t>
  </si>
  <si>
    <t>2,800,000.00</t>
  </si>
  <si>
    <t>911,497.30</t>
  </si>
  <si>
    <t>64,388.50</t>
  </si>
  <si>
    <t>224,662.25</t>
  </si>
  <si>
    <t>708,087.25</t>
  </si>
  <si>
    <t>68,930.00</t>
  </si>
  <si>
    <t>95,500.00</t>
  </si>
  <si>
    <t>398,881.42</t>
  </si>
  <si>
    <t>398,424.65</t>
  </si>
  <si>
    <t>450,679.86</t>
  </si>
  <si>
    <t>116,940.00</t>
  </si>
  <si>
    <t>5,093,825.35</t>
  </si>
  <si>
    <t>60,138.64</t>
  </si>
  <si>
    <t>134,100.00</t>
  </si>
  <si>
    <t>997,742.86</t>
  </si>
  <si>
    <t>1,153,000.00</t>
  </si>
  <si>
    <t>22,267.00</t>
  </si>
  <si>
    <t>63,720.00</t>
  </si>
  <si>
    <t>920,000.00</t>
  </si>
  <si>
    <t>79,755.00</t>
  </si>
  <si>
    <t>704,000.00</t>
  </si>
  <si>
    <t>53,610.00</t>
  </si>
  <si>
    <t>74,180.00</t>
  </si>
  <si>
    <t>20,575.00</t>
  </si>
  <si>
    <t>445,150.00</t>
  </si>
  <si>
    <t>572,414.00</t>
  </si>
  <si>
    <t>112,800.00</t>
  </si>
  <si>
    <t>79,900.00</t>
  </si>
  <si>
    <t>50,990.00</t>
  </si>
  <si>
    <t>590,000.00</t>
  </si>
  <si>
    <t>101,600.00</t>
  </si>
  <si>
    <t>197,800.00</t>
  </si>
  <si>
    <t>618,230.00</t>
  </si>
  <si>
    <t>584,000.00</t>
  </si>
  <si>
    <t>36,778.20</t>
  </si>
  <si>
    <t>883,000.00</t>
  </si>
  <si>
    <t>120,150.00</t>
  </si>
  <si>
    <t>261,800.00</t>
  </si>
  <si>
    <t>868,000.00</t>
  </si>
  <si>
    <t>380,000.00</t>
  </si>
  <si>
    <t>156,000.00</t>
  </si>
  <si>
    <t>90,950.00</t>
  </si>
  <si>
    <t>110,250.00</t>
  </si>
  <si>
    <t>499,754.84</t>
  </si>
  <si>
    <t>99,950.00</t>
  </si>
  <si>
    <t>91,000.00</t>
  </si>
  <si>
    <t>194,870.00</t>
  </si>
  <si>
    <t>124,245.00</t>
  </si>
  <si>
    <t>350,370.00</t>
  </si>
  <si>
    <t>329,050.97</t>
  </si>
  <si>
    <t>34,920.00</t>
  </si>
  <si>
    <t>29,184.00</t>
  </si>
  <si>
    <t>1,185,000.00</t>
  </si>
  <si>
    <t>79,027.00</t>
  </si>
  <si>
    <t>58,135.00</t>
  </si>
  <si>
    <t>45,000,000.00</t>
  </si>
  <si>
    <t>331,565.00</t>
  </si>
  <si>
    <t>876,362.00</t>
  </si>
  <si>
    <t>64,706,962.68</t>
  </si>
  <si>
    <t>179,000.00</t>
  </si>
  <si>
    <t>584,124.00</t>
  </si>
  <si>
    <t>411,166.00</t>
  </si>
  <si>
    <t>886,892.00</t>
  </si>
  <si>
    <t>11,700,957.10</t>
  </si>
  <si>
    <t>635,000.00</t>
  </si>
  <si>
    <t>999,997.95</t>
  </si>
  <si>
    <t>999,983.12</t>
  </si>
  <si>
    <t>48,945.00</t>
  </si>
  <si>
    <t>553,880.00</t>
  </si>
  <si>
    <t>728,052.00</t>
  </si>
  <si>
    <t>1,499,994.00</t>
  </si>
  <si>
    <t>950,190.00</t>
  </si>
  <si>
    <t>730,507.00</t>
  </si>
  <si>
    <t>77,300.00</t>
  </si>
  <si>
    <t>66,600.00</t>
  </si>
  <si>
    <t>69,125.00</t>
  </si>
  <si>
    <t>87,200.00</t>
  </si>
  <si>
    <t>744,528.00</t>
  </si>
  <si>
    <t>695,350.00</t>
  </si>
  <si>
    <t>19,800,000.00</t>
  </si>
  <si>
    <t>1,232,082.10</t>
  </si>
  <si>
    <t>297,500.00</t>
  </si>
  <si>
    <t>86,360.00</t>
  </si>
  <si>
    <t>1,190,000.00</t>
  </si>
  <si>
    <t>59,884.00</t>
  </si>
  <si>
    <t>6,935,000.00</t>
  </si>
  <si>
    <t>191,925.00</t>
  </si>
  <si>
    <t>51,605.00</t>
  </si>
  <si>
    <t>273,149.20</t>
  </si>
  <si>
    <t>763,099.44</t>
  </si>
  <si>
    <t>149,950.00</t>
  </si>
  <si>
    <t>198,135.00</t>
  </si>
  <si>
    <t>183,250.00</t>
  </si>
  <si>
    <t>995,000.00</t>
  </si>
  <si>
    <t>368,619.50</t>
  </si>
  <si>
    <t>506,987.00</t>
  </si>
  <si>
    <t>167,516.00</t>
  </si>
  <si>
    <t>4,928,626.71</t>
  </si>
  <si>
    <t>152,365.00</t>
  </si>
  <si>
    <t>97,714.81</t>
  </si>
  <si>
    <t>198,946.99</t>
  </si>
  <si>
    <t>242,382.70</t>
  </si>
  <si>
    <t>34,112,590.31</t>
  </si>
  <si>
    <t>193,906.16</t>
  </si>
  <si>
    <t>499,970.00</t>
  </si>
  <si>
    <t>39,360.00</t>
  </si>
  <si>
    <t>64,950.00</t>
  </si>
  <si>
    <t>23,672,820.00</t>
  </si>
  <si>
    <t>99,965.00</t>
  </si>
  <si>
    <t>29,600.00</t>
  </si>
  <si>
    <t>3,973,619.00</t>
  </si>
  <si>
    <t>452,800.00</t>
  </si>
  <si>
    <t>237,900.00</t>
  </si>
  <si>
    <t>5,520.00</t>
  </si>
  <si>
    <t>183,867.37</t>
  </si>
  <si>
    <t>499,423.38</t>
  </si>
  <si>
    <t>931,500.00</t>
  </si>
  <si>
    <t>77,620.00</t>
  </si>
  <si>
    <t>199,871.08</t>
  </si>
  <si>
    <t>193,735.88</t>
  </si>
  <si>
    <t>498,935.62</t>
  </si>
  <si>
    <t>498,191.38</t>
  </si>
  <si>
    <t>1,999,975.70</t>
  </si>
  <si>
    <t>156,228.00</t>
  </si>
  <si>
    <t>788,970.44</t>
  </si>
  <si>
    <t>105,843.75</t>
  </si>
  <si>
    <t>177,705.00</t>
  </si>
  <si>
    <t>106,998.00</t>
  </si>
  <si>
    <t>3,300,000.00</t>
  </si>
  <si>
    <t>64,911.00</t>
  </si>
  <si>
    <t>270,992.00</t>
  </si>
  <si>
    <t>59,400.00</t>
  </si>
  <si>
    <t>309,300.00</t>
  </si>
  <si>
    <t>699,678.51</t>
  </si>
  <si>
    <t>355,960.00</t>
  </si>
  <si>
    <t>100,169.32</t>
  </si>
  <si>
    <t>499,223.05</t>
  </si>
  <si>
    <t>956,450.00</t>
  </si>
  <si>
    <t>2,750,000.00</t>
  </si>
  <si>
    <t>135,575.00</t>
  </si>
  <si>
    <t>440,000.00</t>
  </si>
  <si>
    <t>587,324.90</t>
  </si>
  <si>
    <t>999,450.00</t>
  </si>
  <si>
    <t>663,419.00</t>
  </si>
  <si>
    <t>669,800.00</t>
  </si>
  <si>
    <t>180,677.50</t>
  </si>
  <si>
    <t>70,420.00</t>
  </si>
  <si>
    <t>202,800.00</t>
  </si>
  <si>
    <t>378,000.00</t>
  </si>
  <si>
    <t>645,076.00</t>
  </si>
  <si>
    <t>10,400,000.00</t>
  </si>
  <si>
    <t>144,760.00</t>
  </si>
  <si>
    <t>290,975.54</t>
  </si>
  <si>
    <t>90,866.00</t>
  </si>
  <si>
    <t>78,397.00</t>
  </si>
  <si>
    <t>55,805.00</t>
  </si>
  <si>
    <t>316,286.05</t>
  </si>
  <si>
    <t>1,377,270.00</t>
  </si>
  <si>
    <t>499,959.79</t>
  </si>
  <si>
    <t>630,080.00</t>
  </si>
  <si>
    <t>387,990.00</t>
  </si>
  <si>
    <t>384,925.00</t>
  </si>
  <si>
    <t>49,980.00</t>
  </si>
  <si>
    <t>92,050.00</t>
  </si>
  <si>
    <t>93,393.00</t>
  </si>
  <si>
    <t>493,420.00</t>
  </si>
  <si>
    <t>1,547,300.00</t>
  </si>
  <si>
    <t>99,977.00</t>
  </si>
  <si>
    <t>655,500.00</t>
  </si>
  <si>
    <t>84,984.00</t>
  </si>
  <si>
    <t>199,000.00</t>
  </si>
  <si>
    <t>288,000.00</t>
  </si>
  <si>
    <t>477,500.00</t>
  </si>
  <si>
    <t>32,200.00</t>
  </si>
  <si>
    <t>51,100.00</t>
  </si>
  <si>
    <t>259,000.00</t>
  </si>
  <si>
    <t>28,600.00</t>
  </si>
  <si>
    <t>401,945.00</t>
  </si>
  <si>
    <t>299,200.00</t>
  </si>
  <si>
    <t>187,106.00</t>
  </si>
  <si>
    <t>439,380.99</t>
  </si>
  <si>
    <t>150,300.00</t>
  </si>
  <si>
    <t>140,600.00</t>
  </si>
  <si>
    <t>116,000.00</t>
  </si>
  <si>
    <t>50,274.00</t>
  </si>
  <si>
    <t>2,959,157.13</t>
  </si>
  <si>
    <t>76,500.00</t>
  </si>
  <si>
    <t>63,350.00</t>
  </si>
  <si>
    <t>633,000.00</t>
  </si>
  <si>
    <t>239,175.00</t>
  </si>
  <si>
    <t>17,000,000.00</t>
  </si>
  <si>
    <t>98,800.00</t>
  </si>
  <si>
    <t>467,825.15</t>
  </si>
  <si>
    <t>34,986,399.36</t>
  </si>
  <si>
    <t>352,510.00</t>
  </si>
  <si>
    <t>3,095,000.00</t>
  </si>
  <si>
    <t>175,792.00</t>
  </si>
  <si>
    <t>12,373,992.00</t>
  </si>
  <si>
    <t>207,450.00</t>
  </si>
  <si>
    <t>80,100.00</t>
  </si>
  <si>
    <t>1,999,811.94</t>
  </si>
  <si>
    <t>266,550.00</t>
  </si>
  <si>
    <t>6,155,000.00</t>
  </si>
  <si>
    <t>78,600.00</t>
  </si>
  <si>
    <t>63,099.00</t>
  </si>
  <si>
    <t>323,495.00</t>
  </si>
  <si>
    <t>166,723.00</t>
  </si>
  <si>
    <t>149,850.00</t>
  </si>
  <si>
    <t>548,230.00</t>
  </si>
  <si>
    <t>78,840.00</t>
  </si>
  <si>
    <t>122,444.00</t>
  </si>
  <si>
    <t>60,928.35</t>
  </si>
  <si>
    <t>207,500.00</t>
  </si>
  <si>
    <t>297,250.00</t>
  </si>
  <si>
    <t>131,800.00</t>
  </si>
  <si>
    <t>4,086,775.00</t>
  </si>
  <si>
    <t>233,445.00</t>
  </si>
  <si>
    <t>771,535.00</t>
  </si>
  <si>
    <t>4,996,600.00</t>
  </si>
  <si>
    <t>59,373.00</t>
  </si>
  <si>
    <t>99,875.00</t>
  </si>
  <si>
    <t>72,865.00</t>
  </si>
  <si>
    <t>491,320.00</t>
  </si>
  <si>
    <t>500,110.00</t>
  </si>
  <si>
    <t>405,000.00</t>
  </si>
  <si>
    <t>1,674,792.00</t>
  </si>
  <si>
    <t>186,000.00</t>
  </si>
  <si>
    <t>34,750,000.00</t>
  </si>
  <si>
    <t>882,000.00</t>
  </si>
  <si>
    <t>93,500.00</t>
  </si>
  <si>
    <t>942,662.00</t>
  </si>
  <si>
    <t>10,840,000.00</t>
  </si>
  <si>
    <t>127,150.00</t>
  </si>
  <si>
    <t>450,450.00</t>
  </si>
  <si>
    <t>23,500,000.00</t>
  </si>
  <si>
    <t>318,800.00</t>
  </si>
  <si>
    <t>430,950.00</t>
  </si>
  <si>
    <t>84,800.00</t>
  </si>
  <si>
    <t>480,180.00</t>
  </si>
  <si>
    <t>81,050.00</t>
  </si>
  <si>
    <t>375,000.00</t>
  </si>
  <si>
    <t>136,163.00</t>
  </si>
  <si>
    <t>569,000.00</t>
  </si>
  <si>
    <t>4,154,000.00</t>
  </si>
  <si>
    <t>28,252,433.41</t>
  </si>
  <si>
    <t>404,812.32</t>
  </si>
  <si>
    <t>16,119,108.75</t>
  </si>
  <si>
    <t>190,500.00</t>
  </si>
  <si>
    <t>4,128,455.38</t>
  </si>
  <si>
    <t>1,050,000.00</t>
  </si>
  <si>
    <t>92,323.00</t>
  </si>
  <si>
    <t>2,006,436.08</t>
  </si>
  <si>
    <t>191,918.48</t>
  </si>
  <si>
    <t>101,550.00</t>
  </si>
  <si>
    <t>630,000.00</t>
  </si>
  <si>
    <t>24,418,328.31</t>
  </si>
  <si>
    <t>486,250.00</t>
  </si>
  <si>
    <t>222,260.00</t>
  </si>
  <si>
    <t>518,750.00</t>
  </si>
  <si>
    <t>399,043.00</t>
  </si>
  <si>
    <t>204,939.33</t>
  </si>
  <si>
    <t>93,676.00</t>
  </si>
  <si>
    <t>385,000.00</t>
  </si>
  <si>
    <t>1,364,624.00</t>
  </si>
  <si>
    <t>70,963.20</t>
  </si>
  <si>
    <t>966,700.50</t>
  </si>
  <si>
    <t>213,000.00</t>
  </si>
  <si>
    <t>1,920.00</t>
  </si>
  <si>
    <t>499,307.81</t>
  </si>
  <si>
    <t>16,564.60</t>
  </si>
  <si>
    <t>499,240.88</t>
  </si>
  <si>
    <t>4,814,806.50</t>
  </si>
  <si>
    <t>998,668.13</t>
  </si>
  <si>
    <t>862,000.00</t>
  </si>
  <si>
    <t>103,529.00</t>
  </si>
  <si>
    <t>499,800.00</t>
  </si>
  <si>
    <t>576,000.00</t>
  </si>
  <si>
    <t>499,865.63</t>
  </si>
  <si>
    <t>499,434.80</t>
  </si>
  <si>
    <t>2,688,240.00</t>
  </si>
  <si>
    <t>2,498,494.69</t>
  </si>
  <si>
    <t>699,109.69</t>
  </si>
  <si>
    <t>2,479,248.95</t>
  </si>
  <si>
    <t>828,600.94</t>
  </si>
  <si>
    <t>832,034.04</t>
  </si>
  <si>
    <t>29,976,324.60</t>
  </si>
  <si>
    <t>45,739.00</t>
  </si>
  <si>
    <t>45,960.00</t>
  </si>
  <si>
    <t>112,968,500.00</t>
  </si>
  <si>
    <t>14,100.00</t>
  </si>
  <si>
    <t>28,485.00</t>
  </si>
  <si>
    <t>12,136,400.25</t>
  </si>
  <si>
    <t>191,860.00</t>
  </si>
  <si>
    <t>7,090.00</t>
  </si>
  <si>
    <t>30,555.00</t>
  </si>
  <si>
    <t>557,522.00</t>
  </si>
  <si>
    <t>420.00</t>
  </si>
  <si>
    <t>2,501,250.00</t>
  </si>
  <si>
    <t>1,486,935.51</t>
  </si>
  <si>
    <t>348,190.89</t>
  </si>
  <si>
    <t>235,621.00</t>
  </si>
  <si>
    <t>87,073.33</t>
  </si>
  <si>
    <t>309,745.00</t>
  </si>
  <si>
    <t>1,307,437.00</t>
  </si>
  <si>
    <t>1,551,902.00</t>
  </si>
  <si>
    <t>463,690.00</t>
  </si>
  <si>
    <t>404,000.00</t>
  </si>
  <si>
    <t>1,087,541.25</t>
  </si>
  <si>
    <t>128,116.00</t>
  </si>
  <si>
    <t>351,888.50</t>
  </si>
  <si>
    <t>247,000.00</t>
  </si>
  <si>
    <t>691,500.00</t>
  </si>
  <si>
    <t>709,495.00</t>
  </si>
  <si>
    <t>238,750.00</t>
  </si>
  <si>
    <t>229,388.06</t>
  </si>
  <si>
    <t>438,500.00</t>
  </si>
  <si>
    <t>157,000.00</t>
  </si>
  <si>
    <t>393,000.00</t>
  </si>
  <si>
    <t>287,500.00</t>
  </si>
  <si>
    <t>99,939.00</t>
  </si>
  <si>
    <t>95,720.00</t>
  </si>
  <si>
    <t>106,171.00</t>
  </si>
  <si>
    <t>48,959.20</t>
  </si>
  <si>
    <t>977,707.50</t>
  </si>
  <si>
    <t>134,250.00</t>
  </si>
  <si>
    <t>91,300.00</t>
  </si>
  <si>
    <t>434,000.00</t>
  </si>
  <si>
    <t>401,940.00</t>
  </si>
  <si>
    <t>500.00</t>
  </si>
  <si>
    <t>100,492.00</t>
  </si>
  <si>
    <t>355,220.00</t>
  </si>
  <si>
    <t>411,530.00</t>
  </si>
  <si>
    <t>5,996,422.03</t>
  </si>
  <si>
    <t>303,240.00</t>
  </si>
  <si>
    <t>5,697,879.03</t>
  </si>
  <si>
    <t>139,840.00</t>
  </si>
  <si>
    <t>328,330.00</t>
  </si>
  <si>
    <t>14,920,335.83</t>
  </si>
  <si>
    <t>2,310,370.62</t>
  </si>
  <si>
    <t>201,600.00</t>
  </si>
  <si>
    <t>230,890.00</t>
  </si>
  <si>
    <t>192,528.00</t>
  </si>
  <si>
    <t>678,690.42</t>
  </si>
  <si>
    <t>123,800.00</t>
  </si>
  <si>
    <t>196,875.00</t>
  </si>
  <si>
    <t>559,459.38</t>
  </si>
  <si>
    <t>1,379,569.90</t>
  </si>
  <si>
    <t>707,629.40</t>
  </si>
  <si>
    <t>1,380,006.79</t>
  </si>
  <si>
    <t>625,253.96</t>
  </si>
  <si>
    <t>495,600.00</t>
  </si>
  <si>
    <t>1,956,412.50</t>
  </si>
  <si>
    <t>62,200.00</t>
  </si>
  <si>
    <t>72,003.05</t>
  </si>
  <si>
    <t>109,000.00</t>
  </si>
  <si>
    <t>338,196.00</t>
  </si>
  <si>
    <t>976,893.75</t>
  </si>
  <si>
    <t>318,710.00</t>
  </si>
  <si>
    <t>296,800.00</t>
  </si>
  <si>
    <t>608,239.64</t>
  </si>
  <si>
    <t>1,959,046.69</t>
  </si>
  <si>
    <t>762,413.38</t>
  </si>
  <si>
    <t>489,978.56</t>
  </si>
  <si>
    <t>53,461.00</t>
  </si>
  <si>
    <t>973,350.00</t>
  </si>
  <si>
    <t>730,123.80</t>
  </si>
  <si>
    <t>9,700,000.00</t>
  </si>
  <si>
    <t>77,120.00</t>
  </si>
  <si>
    <t>3,660,000.00</t>
  </si>
  <si>
    <t>1,138,541.40</t>
  </si>
  <si>
    <t>128,670.84</t>
  </si>
  <si>
    <t>47,094.75</t>
  </si>
  <si>
    <t>78,518.98</t>
  </si>
  <si>
    <t>141,590.00</t>
  </si>
  <si>
    <t>1,954,233.75</t>
  </si>
  <si>
    <t>199,994.00</t>
  </si>
  <si>
    <t>202,500.00</t>
  </si>
  <si>
    <t>180,010.00</t>
  </si>
  <si>
    <t>26,400.00</t>
  </si>
  <si>
    <t>81,470.00</t>
  </si>
  <si>
    <t>132,600.00</t>
  </si>
  <si>
    <t>221,400.00</t>
  </si>
  <si>
    <t>652,351.35</t>
  </si>
  <si>
    <t>2,939,091.60</t>
  </si>
  <si>
    <t>422,700.00</t>
  </si>
  <si>
    <t>269,648.42</t>
  </si>
  <si>
    <t>120,360.75</t>
  </si>
  <si>
    <t>5,315,461.89</t>
  </si>
  <si>
    <t>1,852,565.73</t>
  </si>
  <si>
    <t>279,846.00</t>
  </si>
  <si>
    <t>1,604,719.33</t>
  </si>
  <si>
    <t>4,310,353.12</t>
  </si>
  <si>
    <t>1,811,328.12</t>
  </si>
  <si>
    <t>3,991,248.82</t>
  </si>
  <si>
    <t>1,871,121.89</t>
  </si>
  <si>
    <t>1,703,342.77</t>
  </si>
  <si>
    <t>62,989.00</t>
  </si>
  <si>
    <t>3,127,235.55</t>
  </si>
  <si>
    <t>72,461.60</t>
  </si>
  <si>
    <t>230,150.00</t>
  </si>
  <si>
    <t>92,182.00</t>
  </si>
  <si>
    <t>119,960.00</t>
  </si>
  <si>
    <t>56,148.00</t>
  </si>
  <si>
    <t>938,300.00</t>
  </si>
  <si>
    <t>75,993.00</t>
  </si>
  <si>
    <t>889,720.00</t>
  </si>
  <si>
    <t>4,850.00</t>
  </si>
  <si>
    <t>83,113.00</t>
  </si>
  <si>
    <t>89,400.00</t>
  </si>
  <si>
    <t>75,400.00</t>
  </si>
  <si>
    <t>392,500.00</t>
  </si>
  <si>
    <t>93,300.00</t>
  </si>
  <si>
    <t>64,618.00</t>
  </si>
  <si>
    <t>59,372.00</t>
  </si>
  <si>
    <t>12,400.00</t>
  </si>
  <si>
    <t>191,053.25</t>
  </si>
  <si>
    <t>68,400.00</t>
  </si>
  <si>
    <t>5,032,085.24</t>
  </si>
  <si>
    <t>96,804.00</t>
  </si>
  <si>
    <t>67,400.00</t>
  </si>
  <si>
    <t>72,100.00</t>
  </si>
  <si>
    <t>994,080.00</t>
  </si>
  <si>
    <t>442,890.00</t>
  </si>
  <si>
    <t>4,966,380.64</t>
  </si>
  <si>
    <t>4,977,139.07</t>
  </si>
  <si>
    <t>6,300.00</t>
  </si>
  <si>
    <t>5,900.00</t>
  </si>
  <si>
    <t>5,898,574.77</t>
  </si>
  <si>
    <t>80,200.00</t>
  </si>
  <si>
    <t>1,800.00</t>
  </si>
  <si>
    <t>5,650,061.31</t>
  </si>
  <si>
    <t>5,243,622.52</t>
  </si>
  <si>
    <t>8,350.00</t>
  </si>
  <si>
    <t>4,800,445.92</t>
  </si>
  <si>
    <t>5,052,738.08</t>
  </si>
  <si>
    <t>5,185,140.74</t>
  </si>
  <si>
    <t>5,024,488.95</t>
  </si>
  <si>
    <t>143,425.00</t>
  </si>
  <si>
    <t>4,914,324.79</t>
  </si>
  <si>
    <t>5,646,684.48</t>
  </si>
  <si>
    <t>80,319.00</t>
  </si>
  <si>
    <t>4,919,502.11</t>
  </si>
  <si>
    <t>4,874,149.33</t>
  </si>
  <si>
    <t>4,833,731.12</t>
  </si>
  <si>
    <t>5,526,062.92</t>
  </si>
  <si>
    <t>2,989,060.00</t>
  </si>
  <si>
    <t>4,863,312.59</t>
  </si>
  <si>
    <t>5,567,005.88</t>
  </si>
  <si>
    <t>5,109,326.74</t>
  </si>
  <si>
    <t>21,600.00</t>
  </si>
  <si>
    <t>648,735.00</t>
  </si>
  <si>
    <t>433,657.00</t>
  </si>
  <si>
    <t>5,177,522.13</t>
  </si>
  <si>
    <t>5,053,831.59</t>
  </si>
  <si>
    <t>338,900.00</t>
  </si>
  <si>
    <t>3,816,794.82</t>
  </si>
  <si>
    <t>5,292,579.45</t>
  </si>
  <si>
    <t>3,979,019.97</t>
  </si>
  <si>
    <t>5,001,989.84</t>
  </si>
  <si>
    <t>477,100.00</t>
  </si>
  <si>
    <t>5,085,857.42</t>
  </si>
  <si>
    <t>612,850.00</t>
  </si>
  <si>
    <t>627,583.00</t>
  </si>
  <si>
    <t>70,025.00</t>
  </si>
  <si>
    <t>47,002.20</t>
  </si>
  <si>
    <t>620,000.00</t>
  </si>
  <si>
    <t>1,183,800.00</t>
  </si>
  <si>
    <t>89,080.00</t>
  </si>
  <si>
    <t>88,190.00</t>
  </si>
  <si>
    <t>15,436,782.46</t>
  </si>
  <si>
    <t>410,720.00</t>
  </si>
  <si>
    <t>4,345,048.00</t>
  </si>
  <si>
    <t>96,800.00</t>
  </si>
  <si>
    <t>1,401,900.00</t>
  </si>
  <si>
    <t>1,351,424.00</t>
  </si>
  <si>
    <t>997,806.40</t>
  </si>
  <si>
    <t>984,000.00</t>
  </si>
  <si>
    <t>1,065,000.00</t>
  </si>
  <si>
    <t>65,990.00</t>
  </si>
  <si>
    <t>499,999.92</t>
  </si>
  <si>
    <t>183,060.00</t>
  </si>
  <si>
    <t>142,200.00</t>
  </si>
  <si>
    <t>990,923.05</t>
  </si>
  <si>
    <t>590,250.00</t>
  </si>
  <si>
    <t>1,581,917.69</t>
  </si>
  <si>
    <t>78,947.00</t>
  </si>
  <si>
    <t>91,518.20</t>
  </si>
  <si>
    <t>999,970.00</t>
  </si>
  <si>
    <t>165,754.85</t>
  </si>
  <si>
    <t>4,734,380.00</t>
  </si>
  <si>
    <t>74,295.00</t>
  </si>
  <si>
    <t>999,725.00</t>
  </si>
  <si>
    <t>951,525.00</t>
  </si>
  <si>
    <t>899,996.75</t>
  </si>
  <si>
    <t>134,970.00</t>
  </si>
  <si>
    <t>908,240.00</t>
  </si>
  <si>
    <t>2,400,000.00</t>
  </si>
  <si>
    <t>211,000.00</t>
  </si>
  <si>
    <t>1,350,000.00</t>
  </si>
  <si>
    <t>499,997.90</t>
  </si>
  <si>
    <t>699,995.31</t>
  </si>
  <si>
    <t>215,915.00</t>
  </si>
  <si>
    <t>97,500.00</t>
  </si>
  <si>
    <t>599,997.30</t>
  </si>
  <si>
    <t>54,710.00</t>
  </si>
  <si>
    <t>3,069,934.00</t>
  </si>
  <si>
    <t>548,852.50</t>
  </si>
  <si>
    <t>216,699.00</t>
  </si>
  <si>
    <t>499,999.19</t>
  </si>
  <si>
    <t>240,645.45</t>
  </si>
  <si>
    <t>222,150.00</t>
  </si>
  <si>
    <t>115,910.00</t>
  </si>
  <si>
    <t>161,968.00</t>
  </si>
  <si>
    <t>241,740.00</t>
  </si>
  <si>
    <t>198,423.50</t>
  </si>
  <si>
    <t>244,250.00</t>
  </si>
  <si>
    <t>174,805.00</t>
  </si>
  <si>
    <t>57,372.00</t>
  </si>
  <si>
    <t>699,995.33</t>
  </si>
  <si>
    <t>138,792.00</t>
  </si>
  <si>
    <t>116,820.00</t>
  </si>
  <si>
    <t>86,250.00</t>
  </si>
  <si>
    <t>499,996.62</t>
  </si>
  <si>
    <t>55,085.00</t>
  </si>
  <si>
    <t>62,000,000.00</t>
  </si>
  <si>
    <t>884,533.12</t>
  </si>
  <si>
    <t>799,996.60</t>
  </si>
  <si>
    <t>70,830.00</t>
  </si>
  <si>
    <t>137,500.00</t>
  </si>
  <si>
    <t>1,095,476.00</t>
  </si>
  <si>
    <t>247,334.00</t>
  </si>
  <si>
    <t>410,000.00</t>
  </si>
  <si>
    <t>657,935.52</t>
  </si>
  <si>
    <t>424,335.00</t>
  </si>
  <si>
    <t>77,400.00</t>
  </si>
  <si>
    <t>3,074,000.00</t>
  </si>
  <si>
    <t>162,500.00</t>
  </si>
  <si>
    <t>223,000.00</t>
  </si>
  <si>
    <t>307,565.00</t>
  </si>
  <si>
    <t>171,000.00</t>
  </si>
  <si>
    <t>63,640.00</t>
  </si>
  <si>
    <t>28,000,000.00</t>
  </si>
  <si>
    <t>505,732.40</t>
  </si>
  <si>
    <t>65,600.00</t>
  </si>
  <si>
    <t>1,916,000.00</t>
  </si>
  <si>
    <t>40,205.00</t>
  </si>
  <si>
    <t>349,700.00</t>
  </si>
  <si>
    <t>49,017.00</t>
  </si>
  <si>
    <t>33,200.00</t>
  </si>
  <si>
    <t>255,780.07</t>
  </si>
  <si>
    <t>132,715.00</t>
  </si>
  <si>
    <t>151,200.00</t>
  </si>
  <si>
    <t>1,342,700.00</t>
  </si>
  <si>
    <t>81,069.00</t>
  </si>
  <si>
    <t>226,100.00</t>
  </si>
  <si>
    <t>6,572,500.00</t>
  </si>
  <si>
    <t>40,030.00</t>
  </si>
  <si>
    <t>12,740.00</t>
  </si>
  <si>
    <t>143,699.82</t>
  </si>
  <si>
    <t>19,700.00</t>
  </si>
  <si>
    <t>19,900.00</t>
  </si>
  <si>
    <t>25,960.00</t>
  </si>
  <si>
    <t>113,100.00</t>
  </si>
  <si>
    <t>39,890.00</t>
  </si>
  <si>
    <t>35,625.00</t>
  </si>
  <si>
    <t>36,690.00</t>
  </si>
  <si>
    <t>371,000.00</t>
  </si>
  <si>
    <t>77,730.00</t>
  </si>
  <si>
    <t>298,340.60</t>
  </si>
  <si>
    <t>1,971,726.15</t>
  </si>
  <si>
    <t>423,062.00</t>
  </si>
  <si>
    <t>888,479.17</t>
  </si>
  <si>
    <t>1,784,268.49</t>
  </si>
  <si>
    <t>2,975,990.46</t>
  </si>
  <si>
    <t>2,925,000.00</t>
  </si>
  <si>
    <t>242,630.00</t>
  </si>
  <si>
    <t>1,460,500.00</t>
  </si>
  <si>
    <t>414,645.00</t>
  </si>
  <si>
    <t>989,393.60</t>
  </si>
  <si>
    <t>1,620,000.00</t>
  </si>
  <si>
    <t>164,320.00</t>
  </si>
  <si>
    <t>95,800.00</t>
  </si>
  <si>
    <t>92,845.00</t>
  </si>
  <si>
    <t>687,970.00</t>
  </si>
  <si>
    <t>594,000.00</t>
  </si>
  <si>
    <t>56,432.00</t>
  </si>
  <si>
    <t>69,994.00</t>
  </si>
  <si>
    <t>13,300,000.00</t>
  </si>
  <si>
    <t>59,258.33</t>
  </si>
  <si>
    <t>47,100.00</t>
  </si>
  <si>
    <t>53,162.00</t>
  </si>
  <si>
    <t>79,210.00</t>
  </si>
  <si>
    <t>165,500.00</t>
  </si>
  <si>
    <t>170,181.00</t>
  </si>
  <si>
    <t>193,500.00</t>
  </si>
  <si>
    <t>70,720.00</t>
  </si>
  <si>
    <t>313,998.34</t>
  </si>
  <si>
    <t>122,205.00</t>
  </si>
  <si>
    <t>697,446.40</t>
  </si>
  <si>
    <t>399,900.00</t>
  </si>
  <si>
    <t>99,600.00</t>
  </si>
  <si>
    <t>296,203.00</t>
  </si>
  <si>
    <t>303,600.00</t>
  </si>
  <si>
    <t>213,250.00</t>
  </si>
  <si>
    <t>119,936.41</t>
  </si>
  <si>
    <t>166,587.50</t>
  </si>
  <si>
    <t>340,108.00</t>
  </si>
  <si>
    <t>314,990.00</t>
  </si>
  <si>
    <t>104,288.00</t>
  </si>
  <si>
    <t>425,900.00</t>
  </si>
  <si>
    <t>242,330.00</t>
  </si>
  <si>
    <t>214,653.00</t>
  </si>
  <si>
    <t>54,500.00</t>
  </si>
  <si>
    <t>20,040.00</t>
  </si>
  <si>
    <t>3,324,920.00</t>
  </si>
  <si>
    <t>11,815.00</t>
  </si>
  <si>
    <t>7,500.00</t>
  </si>
  <si>
    <t>73,350.00</t>
  </si>
  <si>
    <t>906,290.00</t>
  </si>
  <si>
    <t>2,011,200.00</t>
  </si>
  <si>
    <t>269,000.00</t>
  </si>
  <si>
    <t>2,175,500.00</t>
  </si>
  <si>
    <t>298,440.00</t>
  </si>
  <si>
    <t>99,860.00</t>
  </si>
  <si>
    <t>5,535,900.00</t>
  </si>
  <si>
    <t>1,437,760.00</t>
  </si>
  <si>
    <t>287,862.00</t>
  </si>
  <si>
    <t>198,240.00</t>
  </si>
  <si>
    <t>5,470,000.00</t>
  </si>
  <si>
    <t>520,300.00</t>
  </si>
  <si>
    <t>3,557,400.00</t>
  </si>
  <si>
    <t>78,295.00</t>
  </si>
  <si>
    <t>129,785.00</t>
  </si>
  <si>
    <t>72,995.00</t>
  </si>
  <si>
    <t>297,100.00</t>
  </si>
  <si>
    <t>69,380.00</t>
  </si>
  <si>
    <t>256,000.00</t>
  </si>
  <si>
    <t>59,210.00</t>
  </si>
  <si>
    <t>60,965.00</t>
  </si>
  <si>
    <t>2,781,000.00</t>
  </si>
  <si>
    <t>588,000.00</t>
  </si>
  <si>
    <t>38,000.00</t>
  </si>
  <si>
    <t>599,674.94</t>
  </si>
  <si>
    <t>26,000.00</t>
  </si>
  <si>
    <t>997,912.90</t>
  </si>
  <si>
    <t>107,420.00</t>
  </si>
  <si>
    <t>299,908.00</t>
  </si>
  <si>
    <t>420,000.00</t>
  </si>
  <si>
    <t>2,000.00</t>
  </si>
  <si>
    <t>178,780.00</t>
  </si>
  <si>
    <t>48,300.00</t>
  </si>
  <si>
    <t>251,500.00</t>
  </si>
  <si>
    <t>107,050.00</t>
  </si>
  <si>
    <t>802,309.26</t>
  </si>
  <si>
    <t>3,780.00</t>
  </si>
  <si>
    <t>77,196.00</t>
  </si>
  <si>
    <t>615,000.00</t>
  </si>
  <si>
    <t>69,316.00</t>
  </si>
  <si>
    <t>280,000.00</t>
  </si>
  <si>
    <t>62,335.00</t>
  </si>
  <si>
    <t>4,200,000.00</t>
  </si>
  <si>
    <t>751,968.00</t>
  </si>
  <si>
    <t>479,000.00</t>
  </si>
  <si>
    <t>113,000.00</t>
  </si>
  <si>
    <t>15,547,455.86</t>
  </si>
  <si>
    <t>198,800.00</t>
  </si>
  <si>
    <t>335,000.00</t>
  </si>
  <si>
    <t>130,500.00</t>
  </si>
  <si>
    <t>129,500.00</t>
  </si>
  <si>
    <t>109,998.00</t>
  </si>
  <si>
    <t>155,600.00</t>
  </si>
  <si>
    <t>7,000,000.00</t>
  </si>
  <si>
    <t>123,667.88</t>
  </si>
  <si>
    <t>2,220,525.00</t>
  </si>
  <si>
    <t>81,157.60</t>
  </si>
  <si>
    <t>29,400,000.00</t>
  </si>
  <si>
    <t>728,256.96</t>
  </si>
  <si>
    <t>146,000.00</t>
  </si>
  <si>
    <t>436,800.00</t>
  </si>
  <si>
    <t>4,900,000.00</t>
  </si>
  <si>
    <t>24,500,000.00</t>
  </si>
  <si>
    <t>197,326.06</t>
  </si>
  <si>
    <t>148,435.00</t>
  </si>
  <si>
    <t>716,518.56</t>
  </si>
  <si>
    <t>294,000.00</t>
  </si>
  <si>
    <t>155,260.00</t>
  </si>
  <si>
    <t>12,189,240.00</t>
  </si>
  <si>
    <t>2,070,153.12</t>
  </si>
  <si>
    <t>39,200,000.00</t>
  </si>
  <si>
    <t>200,041.71</t>
  </si>
  <si>
    <t>26,457,801.01</t>
  </si>
  <si>
    <t>126,360.00</t>
  </si>
  <si>
    <t>4,086,723.11</t>
  </si>
  <si>
    <t>74,355.00</t>
  </si>
  <si>
    <t>8,330,000.00</t>
  </si>
  <si>
    <t>96,540.00</t>
  </si>
  <si>
    <t>1,994,620.00</t>
  </si>
  <si>
    <t>29,399,049.50</t>
  </si>
  <si>
    <t>2,575,572.17</t>
  </si>
  <si>
    <t>90,125.00</t>
  </si>
  <si>
    <t>199,765.94</t>
  </si>
  <si>
    <t>499,810.64</t>
  </si>
  <si>
    <t>268,941.48</t>
  </si>
  <si>
    <t>9,642,072.78</t>
  </si>
  <si>
    <t>85,585.00</t>
  </si>
  <si>
    <t>23,466.00</t>
  </si>
  <si>
    <t>182,389.00</t>
  </si>
  <si>
    <t>98,400.00</t>
  </si>
  <si>
    <t>65,750.00</t>
  </si>
  <si>
    <t>127,969.49</t>
  </si>
  <si>
    <t>438,860.00</t>
  </si>
  <si>
    <t>42,800.00</t>
  </si>
  <si>
    <t>82,783.00</t>
  </si>
  <si>
    <t>485,040.00</t>
  </si>
  <si>
    <t>121,118.00</t>
  </si>
  <si>
    <t>69,520.00</t>
  </si>
  <si>
    <t>172,547.00</t>
  </si>
  <si>
    <t>353,840.00</t>
  </si>
  <si>
    <t>235,721.00</t>
  </si>
  <si>
    <t>256,875.00</t>
  </si>
  <si>
    <t>1,699,963.86</t>
  </si>
  <si>
    <t>22,120.00</t>
  </si>
  <si>
    <t>999,979.14</t>
  </si>
  <si>
    <t>936,000.00</t>
  </si>
  <si>
    <t>156,172.40</t>
  </si>
  <si>
    <t>999,922.98</t>
  </si>
  <si>
    <t>28,670.50</t>
  </si>
  <si>
    <t>1,394,118.20</t>
  </si>
  <si>
    <t>999,981.78</t>
  </si>
  <si>
    <t>350,260.60</t>
  </si>
  <si>
    <t>453,184.00</t>
  </si>
  <si>
    <t>33,550.00</t>
  </si>
  <si>
    <t>33,860.00</t>
  </si>
  <si>
    <t>301,900.00</t>
  </si>
  <si>
    <t>25,190.00</t>
  </si>
  <si>
    <t>499,900.00</t>
  </si>
  <si>
    <t>12,670.00</t>
  </si>
  <si>
    <t>67,509.00</t>
  </si>
  <si>
    <t>538,000.00</t>
  </si>
  <si>
    <t>63,050.00</t>
  </si>
  <si>
    <t>14,047.00</t>
  </si>
  <si>
    <t>23,449.50</t>
  </si>
  <si>
    <t>9,999.00</t>
  </si>
  <si>
    <t>1,731,990.44</t>
  </si>
  <si>
    <t>307,080.00</t>
  </si>
  <si>
    <t>155,700.00</t>
  </si>
  <si>
    <t>3,267,999.56</t>
  </si>
  <si>
    <t>997,500.00</t>
  </si>
  <si>
    <t>42,500,000.00</t>
  </si>
  <si>
    <t>190,635.00</t>
  </si>
  <si>
    <t>970,502.46</t>
  </si>
  <si>
    <t>65,620.00</t>
  </si>
  <si>
    <t>54,890.00</t>
  </si>
  <si>
    <t>52,741,705.00</t>
  </si>
  <si>
    <t>11,007,938.81</t>
  </si>
  <si>
    <t>13,791,916.69</t>
  </si>
  <si>
    <t>367,150.00</t>
  </si>
  <si>
    <t>57,777.78</t>
  </si>
  <si>
    <t>149,300.00</t>
  </si>
  <si>
    <t>3,157,671.92</t>
  </si>
  <si>
    <t>74,510.00</t>
  </si>
  <si>
    <t>320,141.00</t>
  </si>
  <si>
    <t>74,074.08</t>
  </si>
  <si>
    <t>203,000.00</t>
  </si>
  <si>
    <t>214,072.50</t>
  </si>
  <si>
    <t>2,400.00</t>
  </si>
  <si>
    <t>461,969.53</t>
  </si>
  <si>
    <t>2,895,902.33</t>
  </si>
  <si>
    <t>1,123,500.00</t>
  </si>
  <si>
    <t>2,470,000.00</t>
  </si>
  <si>
    <t>356,490.00</t>
  </si>
  <si>
    <t>1,182,600.00</t>
  </si>
  <si>
    <t>5,616,500.00</t>
  </si>
  <si>
    <t>1,499,396.50</t>
  </si>
  <si>
    <t>3,222,265.00</t>
  </si>
  <si>
    <t>63,825.00</t>
  </si>
  <si>
    <t>337,600.00</t>
  </si>
  <si>
    <t>6,137,000.00</t>
  </si>
  <si>
    <t>1,573,409.00</t>
  </si>
  <si>
    <t>28,005,365.30</t>
  </si>
  <si>
    <t>174,375.00</t>
  </si>
  <si>
    <t>1,077,134.00</t>
  </si>
  <si>
    <t>189,494.00</t>
  </si>
  <si>
    <t>104,400.00</t>
  </si>
  <si>
    <t>454,234.00</t>
  </si>
  <si>
    <t>1,164,000.00</t>
  </si>
  <si>
    <t>3,340,233.97</t>
  </si>
  <si>
    <t>3,750,500.00</t>
  </si>
  <si>
    <t>1,400,959.40</t>
  </si>
  <si>
    <t>447,568.00</t>
  </si>
  <si>
    <t>1,122,203.20</t>
  </si>
  <si>
    <t>679,249.00</t>
  </si>
  <si>
    <t>1,113,000.00</t>
  </si>
  <si>
    <t>356,400.00</t>
  </si>
  <si>
    <t>143,085.72</t>
  </si>
  <si>
    <t>229,060.71</t>
  </si>
  <si>
    <t>274,026.00</t>
  </si>
  <si>
    <t>599,091.18</t>
  </si>
  <si>
    <t>253,284.00</t>
  </si>
  <si>
    <t>70,006.00</t>
  </si>
  <si>
    <t>99,755.35</t>
  </si>
  <si>
    <t>462,000.00</t>
  </si>
  <si>
    <t>913,650.00</t>
  </si>
  <si>
    <t>46,000.00</t>
  </si>
  <si>
    <t>460,200.00</t>
  </si>
  <si>
    <t>299,821.62</t>
  </si>
  <si>
    <t>249,984.75</t>
  </si>
  <si>
    <t>60,539.80</t>
  </si>
  <si>
    <t>72,926.75</t>
  </si>
  <si>
    <t>208,080.00</t>
  </si>
  <si>
    <t>63,770.00</t>
  </si>
  <si>
    <t>66,550.00</t>
  </si>
  <si>
    <t>999,999.00</t>
  </si>
  <si>
    <t>94,890.00</t>
  </si>
  <si>
    <t>291,200.00</t>
  </si>
  <si>
    <t>875,000.00</t>
  </si>
  <si>
    <t>739,000.00</t>
  </si>
  <si>
    <t>139,449.50</t>
  </si>
  <si>
    <t>498,695.68</t>
  </si>
  <si>
    <t>440,430.00</t>
  </si>
  <si>
    <t>0.00</t>
  </si>
  <si>
    <t>205,919.00</t>
  </si>
  <si>
    <t>28,500.00</t>
  </si>
  <si>
    <t>28,688.00</t>
  </si>
  <si>
    <t>244,205.00</t>
  </si>
  <si>
    <t>253,650.00</t>
  </si>
  <si>
    <t>541,845.00</t>
  </si>
  <si>
    <t>888,350.29</t>
  </si>
  <si>
    <t>253,300.00</t>
  </si>
  <si>
    <t>99,668.44</t>
  </si>
  <si>
    <t>94,095.00</t>
  </si>
  <si>
    <t>999,087.75</t>
  </si>
  <si>
    <t>69,650.00</t>
  </si>
  <si>
    <t>272,320.00</t>
  </si>
  <si>
    <t>195,440.00</t>
  </si>
  <si>
    <t>74,096.15</t>
  </si>
  <si>
    <t>274,090.00</t>
  </si>
  <si>
    <t>63,150.00</t>
  </si>
  <si>
    <t>282,745.00</t>
  </si>
  <si>
    <t>45,251.00</t>
  </si>
  <si>
    <t>51,114.15</t>
  </si>
  <si>
    <t>645,000.00</t>
  </si>
  <si>
    <t>5,777,429.00</t>
  </si>
  <si>
    <t>472,500.00</t>
  </si>
  <si>
    <t>690,000.00</t>
  </si>
  <si>
    <t>78,164.54</t>
  </si>
  <si>
    <t>89,196.00</t>
  </si>
  <si>
    <t>382,500.00</t>
  </si>
  <si>
    <t>320,812.29</t>
  </si>
  <si>
    <t>97,900.00</t>
  </si>
  <si>
    <t>293,300.00</t>
  </si>
  <si>
    <t>199,500.00</t>
  </si>
  <si>
    <t>300,488.25</t>
  </si>
  <si>
    <t>2,280,000.00</t>
  </si>
  <si>
    <t>288,468.23</t>
  </si>
  <si>
    <t>49,000,000.00</t>
  </si>
  <si>
    <t>949,950.00</t>
  </si>
  <si>
    <t>210,935.00</t>
  </si>
  <si>
    <t>1,224,450.00</t>
  </si>
  <si>
    <t>1,750,000.00</t>
  </si>
  <si>
    <t>339,158.66</t>
  </si>
  <si>
    <t>997,970.00</t>
  </si>
  <si>
    <t>1,245,750.00</t>
  </si>
  <si>
    <t>94,080.00</t>
  </si>
  <si>
    <t>171,088.00</t>
  </si>
  <si>
    <t>756,000.00</t>
  </si>
  <si>
    <t>457,200.00</t>
  </si>
  <si>
    <t>1,435,923.58</t>
  </si>
  <si>
    <t>962,174.60</t>
  </si>
  <si>
    <t>1,402,626.00</t>
  </si>
  <si>
    <t>216,050.00</t>
  </si>
  <si>
    <t>1,016,795.00</t>
  </si>
  <si>
    <t>216,920.00</t>
  </si>
  <si>
    <t>335,881.00</t>
  </si>
  <si>
    <t>1,997,879.32</t>
  </si>
  <si>
    <t>644,100.00</t>
  </si>
  <si>
    <t>283,046.62</t>
  </si>
  <si>
    <t>101,500.00</t>
  </si>
  <si>
    <t>49,825.00</t>
  </si>
  <si>
    <t>50,050.00</t>
  </si>
  <si>
    <t>14,966,876.23</t>
  </si>
  <si>
    <t>178,294.00</t>
  </si>
  <si>
    <t>40,661.00</t>
  </si>
  <si>
    <t>104,650.00</t>
  </si>
  <si>
    <t>137,700.00</t>
  </si>
  <si>
    <t>542,000.00</t>
  </si>
  <si>
    <t>360,688.00</t>
  </si>
  <si>
    <t>795,081.00</t>
  </si>
  <si>
    <t>227,679.00</t>
  </si>
  <si>
    <t>194,213.00</t>
  </si>
  <si>
    <t>228,000.00</t>
  </si>
  <si>
    <t>1,939,800.00</t>
  </si>
  <si>
    <t>53,940.00</t>
  </si>
  <si>
    <t>217,000.00</t>
  </si>
  <si>
    <t>467,473.29</t>
  </si>
  <si>
    <t>25,100,000.00</t>
  </si>
  <si>
    <t>327,000.00</t>
  </si>
  <si>
    <t>570,761.00</t>
  </si>
  <si>
    <t>116,337.91</t>
  </si>
  <si>
    <t>62,100.00</t>
  </si>
  <si>
    <t>310,000.00</t>
  </si>
  <si>
    <t>3,651,652.30</t>
  </si>
  <si>
    <t>1,499,999.98</t>
  </si>
  <si>
    <t>74,750.00</t>
  </si>
  <si>
    <t>935,959.29</t>
  </si>
  <si>
    <t>294,590.00</t>
  </si>
  <si>
    <t>271,792.50</t>
  </si>
  <si>
    <t>374,506.04</t>
  </si>
  <si>
    <t>127,969.63</t>
  </si>
  <si>
    <t>1,170,865.00</t>
  </si>
  <si>
    <t>301,317.19</t>
  </si>
  <si>
    <t>262,615.00</t>
  </si>
  <si>
    <t>734,700.00</t>
  </si>
  <si>
    <t>230,100.00</t>
  </si>
  <si>
    <t>249,100.00</t>
  </si>
  <si>
    <t>422,542.00</t>
  </si>
  <si>
    <t>27,182.00</t>
  </si>
  <si>
    <t>2,381,548.91</t>
  </si>
  <si>
    <t>610,000.00</t>
  </si>
  <si>
    <t>97,680.00</t>
  </si>
  <si>
    <t>598,800.00</t>
  </si>
  <si>
    <t>2,240,000.00</t>
  </si>
  <si>
    <t>822,800.00</t>
  </si>
  <si>
    <t>499,775.62</t>
  </si>
  <si>
    <t>195,707.50</t>
  </si>
  <si>
    <t>248,500.00</t>
  </si>
  <si>
    <t>57,980.00</t>
  </si>
  <si>
    <t>116,708.00</t>
  </si>
  <si>
    <t>3,200,000.00</t>
  </si>
  <si>
    <t>780,000.00</t>
  </si>
  <si>
    <t>21,200.00</t>
  </si>
  <si>
    <t>51,995.00</t>
  </si>
  <si>
    <t>73,000.00</t>
  </si>
  <si>
    <t>72,500.00</t>
  </si>
  <si>
    <t>5,850,000.00</t>
  </si>
  <si>
    <t>680,000.00</t>
  </si>
  <si>
    <t>1,269,999.99</t>
  </si>
  <si>
    <t>4,985.00</t>
  </si>
  <si>
    <t>591,255.00</t>
  </si>
  <si>
    <t>188,270.00</t>
  </si>
  <si>
    <t>169,739.75</t>
  </si>
  <si>
    <t>139,448.63</t>
  </si>
  <si>
    <t>153,133.23</t>
  </si>
  <si>
    <t>258,428.25</t>
  </si>
  <si>
    <t>1,999,999.60</t>
  </si>
  <si>
    <t>151,652.50</t>
  </si>
  <si>
    <t>130,935.30</t>
  </si>
  <si>
    <t>52,830.56</t>
  </si>
  <si>
    <t>3,600,000.00</t>
  </si>
  <si>
    <t>92,090.00</t>
  </si>
  <si>
    <t>33,750.00</t>
  </si>
  <si>
    <t>14,975.00</t>
  </si>
  <si>
    <t>2,040,000.00</t>
  </si>
  <si>
    <t>323,478.26</t>
  </si>
  <si>
    <t>89,640.00</t>
  </si>
  <si>
    <t>63,124.00</t>
  </si>
  <si>
    <t>54,720.00</t>
  </si>
  <si>
    <t>16,932,714.75</t>
  </si>
  <si>
    <t>229,357.00</t>
  </si>
  <si>
    <t>494,452.00</t>
  </si>
  <si>
    <t>203,224.90</t>
  </si>
  <si>
    <t>93,750.00</t>
  </si>
  <si>
    <t>53,263.90</t>
  </si>
  <si>
    <t>73,400.00</t>
  </si>
  <si>
    <t>11,400.00</t>
  </si>
  <si>
    <t>15,200.00</t>
  </si>
  <si>
    <t>92,858.00</t>
  </si>
  <si>
    <t>146,920.00</t>
  </si>
  <si>
    <t>592,194.77</t>
  </si>
  <si>
    <t>403,200.00</t>
  </si>
  <si>
    <t>217,200.00</t>
  </si>
  <si>
    <t>239,000.00</t>
  </si>
  <si>
    <t>64,695.00</t>
  </si>
  <si>
    <t>937,312.95</t>
  </si>
  <si>
    <t>1,719,620.00</t>
  </si>
  <si>
    <t>236,875.00</t>
  </si>
  <si>
    <t>139,153.00</t>
  </si>
  <si>
    <t>84,015.00</t>
  </si>
  <si>
    <t>369,000.00</t>
  </si>
  <si>
    <t>3,554,467.49</t>
  </si>
  <si>
    <t>399,000.00</t>
  </si>
  <si>
    <t>1,004,282.50</t>
  </si>
  <si>
    <t>107,634.00</t>
  </si>
  <si>
    <t>289,560.00</t>
  </si>
  <si>
    <t>3,610,000.00</t>
  </si>
  <si>
    <t>324,900.00</t>
  </si>
  <si>
    <t>276,000.00</t>
  </si>
  <si>
    <t>625,000.00</t>
  </si>
  <si>
    <t>505,000.00</t>
  </si>
  <si>
    <t>112,200.00</t>
  </si>
  <si>
    <t>676,413.00</t>
  </si>
  <si>
    <t>1,653,155.64</t>
  </si>
  <si>
    <t>288,390.60</t>
  </si>
  <si>
    <t>3,114,000.00</t>
  </si>
  <si>
    <t>64,850.00</t>
  </si>
  <si>
    <t>105,013.50</t>
  </si>
  <si>
    <t>127,000.00</t>
  </si>
  <si>
    <t>975,000.00</t>
  </si>
  <si>
    <t>4,300,000.00</t>
  </si>
  <si>
    <t>89,040.00</t>
  </si>
  <si>
    <t>93,100.00</t>
  </si>
  <si>
    <t>113,517.12</t>
  </si>
  <si>
    <t>494,917.50</t>
  </si>
  <si>
    <t>22,000,000.00</t>
  </si>
  <si>
    <t>233,427.51</t>
  </si>
  <si>
    <t>877,400.00</t>
  </si>
  <si>
    <t>201,509.57</t>
  </si>
  <si>
    <t>68,750.00</t>
  </si>
  <si>
    <t>133,451.50</t>
  </si>
  <si>
    <t>529,203.20</t>
  </si>
  <si>
    <t>68,032,492.04</t>
  </si>
  <si>
    <t>98,700.00</t>
  </si>
  <si>
    <t>3,026,256.32</t>
  </si>
  <si>
    <t>129,800.00</t>
  </si>
  <si>
    <t>496,794.48</t>
  </si>
  <si>
    <t>150,812.80</t>
  </si>
  <si>
    <t>195,650.00</t>
  </si>
  <si>
    <t>99,877.23</t>
  </si>
  <si>
    <t>108,747.50</t>
  </si>
  <si>
    <t>265,281.60</t>
  </si>
  <si>
    <t>95,355.00</t>
  </si>
  <si>
    <t>994,000.00</t>
  </si>
  <si>
    <t>248,551.80</t>
  </si>
  <si>
    <t>458,905.00</t>
  </si>
  <si>
    <t>884,269.00</t>
  </si>
  <si>
    <t>2,550,000.00</t>
  </si>
  <si>
    <t>4,850,000.00</t>
  </si>
  <si>
    <t>1,844,000.00</t>
  </si>
  <si>
    <t>8,380,000.00</t>
  </si>
  <si>
    <t>102,500.00</t>
  </si>
  <si>
    <t>655,000.00</t>
  </si>
  <si>
    <t>489,000.00</t>
  </si>
  <si>
    <t>59,495.01</t>
  </si>
  <si>
    <t>105,900.00</t>
  </si>
  <si>
    <t>15,632,991.43</t>
  </si>
  <si>
    <t>403,056.10</t>
  </si>
  <si>
    <t>297,000.00</t>
  </si>
  <si>
    <t>299,286.61</t>
  </si>
  <si>
    <t>395,732.00</t>
  </si>
  <si>
    <t>327,500.00</t>
  </si>
  <si>
    <t>397,198.18</t>
  </si>
  <si>
    <t>8,660,333.47</t>
  </si>
  <si>
    <t>3,070,000.00</t>
  </si>
  <si>
    <t>103,880.00</t>
  </si>
  <si>
    <t>40,070.00</t>
  </si>
  <si>
    <t>1,152,000.00</t>
  </si>
  <si>
    <t>220,670.00</t>
  </si>
  <si>
    <t>49,500,000.00</t>
  </si>
  <si>
    <t>3,188,056.80</t>
  </si>
  <si>
    <t>28,700.00</t>
  </si>
  <si>
    <t>5,321,000.00</t>
  </si>
  <si>
    <t>1,503,565.52</t>
  </si>
  <si>
    <t>891,455.00</t>
  </si>
  <si>
    <t>124,600.00</t>
  </si>
  <si>
    <t>4,522,824.00</t>
  </si>
  <si>
    <t>10,969.88</t>
  </si>
  <si>
    <t>163,978.00</t>
  </si>
  <si>
    <t>179,534.00</t>
  </si>
  <si>
    <t>97,210.00</t>
  </si>
  <si>
    <t>55,750.00</t>
  </si>
  <si>
    <t>398,437.00</t>
  </si>
  <si>
    <t>8,075,000.00</t>
  </si>
  <si>
    <t>296,500.00</t>
  </si>
  <si>
    <t>502,210.00</t>
  </si>
  <si>
    <t>2,690,580.00</t>
  </si>
  <si>
    <t>234,000.00</t>
  </si>
  <si>
    <t>1,242,188.26</t>
  </si>
  <si>
    <t>17,100,000.00</t>
  </si>
  <si>
    <t>224,600.00</t>
  </si>
  <si>
    <t>2,970,291.02</t>
  </si>
  <si>
    <t>499,985.00</t>
  </si>
  <si>
    <t>134,400.00</t>
  </si>
  <si>
    <t>51,940.00</t>
  </si>
  <si>
    <t>248,010.00</t>
  </si>
  <si>
    <t>2,969,989.51</t>
  </si>
  <si>
    <t>238,500.00</t>
  </si>
  <si>
    <t>6,662,688.93</t>
  </si>
  <si>
    <t>13,776,000.00</t>
  </si>
  <si>
    <t>245,800.00</t>
  </si>
  <si>
    <t>95,911.00</t>
  </si>
  <si>
    <t>1,537,765.40</t>
  </si>
  <si>
    <t>198,500.00</t>
  </si>
  <si>
    <t>900,360.00</t>
  </si>
  <si>
    <t>2,509,803.92</t>
  </si>
  <si>
    <t>795,477.00</t>
  </si>
  <si>
    <t>11,939,601.46</t>
  </si>
  <si>
    <t>294,668.65</t>
  </si>
  <si>
    <t>423,022.75</t>
  </si>
  <si>
    <t>922,784.36</t>
  </si>
  <si>
    <t>81,600.00</t>
  </si>
  <si>
    <t>63,635.00</t>
  </si>
  <si>
    <t>691,037.32</t>
  </si>
  <si>
    <t>368,362.50</t>
  </si>
  <si>
    <t>399,295.00</t>
  </si>
  <si>
    <t>580,000.00</t>
  </si>
  <si>
    <t>621,000.00</t>
  </si>
  <si>
    <t>1,485,000.00</t>
  </si>
  <si>
    <t>530,428.68</t>
  </si>
  <si>
    <t>265,025.00</t>
  </si>
  <si>
    <t>81,448.40</t>
  </si>
  <si>
    <t>992,000.00</t>
  </si>
  <si>
    <t>87,732.00</t>
  </si>
  <si>
    <t>931,550.00</t>
  </si>
  <si>
    <t>94,800.00</t>
  </si>
  <si>
    <t>446,336.67</t>
  </si>
  <si>
    <t>5,775,000.00</t>
  </si>
  <si>
    <t>407,232.00</t>
  </si>
  <si>
    <t>783,940.00</t>
  </si>
  <si>
    <t>71,319.29</t>
  </si>
  <si>
    <t>99,750.00</t>
  </si>
  <si>
    <t>3,430,000.00</t>
  </si>
  <si>
    <t>910,000.00</t>
  </si>
  <si>
    <t>249,056.50</t>
  </si>
  <si>
    <t>231,960.00</t>
  </si>
  <si>
    <t>45,075.00</t>
  </si>
  <si>
    <t>185,900.00</t>
  </si>
  <si>
    <t>775,000.00</t>
  </si>
  <si>
    <t>3,960,000.00</t>
  </si>
  <si>
    <t>1,815,000.00</t>
  </si>
  <si>
    <t>102,285.00</t>
  </si>
  <si>
    <t>667,129.00</t>
  </si>
  <si>
    <t>1,520,000.00</t>
  </si>
  <si>
    <t>113,820.00</t>
  </si>
  <si>
    <t>79,200,000.00</t>
  </si>
  <si>
    <t>14,430,000.00</t>
  </si>
  <si>
    <t>159,440.10</t>
  </si>
  <si>
    <t>279,235.00</t>
  </si>
  <si>
    <t>1,378,623.40</t>
  </si>
  <si>
    <t>283,200.00</t>
  </si>
  <si>
    <t>2,268,753.50</t>
  </si>
  <si>
    <t>9,900,000.00</t>
  </si>
  <si>
    <t>193,800.00</t>
  </si>
  <si>
    <t>398,220.00</t>
  </si>
  <si>
    <t>710,440.00</t>
  </si>
  <si>
    <t>597,993.50</t>
  </si>
  <si>
    <t>788,400.00</t>
  </si>
  <si>
    <t>179,648.00</t>
  </si>
  <si>
    <t>162,000.00</t>
  </si>
  <si>
    <t>396,764.20</t>
  </si>
  <si>
    <t>14,850,000.00</t>
  </si>
  <si>
    <t>507,926.84</t>
  </si>
  <si>
    <t>7,787,827.00</t>
  </si>
  <si>
    <t>49,986.00</t>
  </si>
  <si>
    <t>62,459.00</t>
  </si>
  <si>
    <t>5,991,600.00</t>
  </si>
  <si>
    <t>184,000.00</t>
  </si>
  <si>
    <t>177,699.93</t>
  </si>
  <si>
    <t>7,425,000.00</t>
  </si>
  <si>
    <t>113,999.90</t>
  </si>
  <si>
    <t>277,950.00</t>
  </si>
  <si>
    <t>2,050,040.00</t>
  </si>
  <si>
    <t>8,840,000.00</t>
  </si>
  <si>
    <t>20,725,000.00</t>
  </si>
  <si>
    <t>9,800,000.00</t>
  </si>
  <si>
    <t>71,804.00</t>
  </si>
  <si>
    <t>169,600.00</t>
  </si>
  <si>
    <t>718,200.00</t>
  </si>
  <si>
    <t>392,400.00</t>
  </si>
  <si>
    <t>2,249,924.25</t>
  </si>
  <si>
    <t>74,250.00</t>
  </si>
  <si>
    <t>114,250.00</t>
  </si>
  <si>
    <t>1,787,964.08</t>
  </si>
  <si>
    <t>999,971.00</t>
  </si>
  <si>
    <t>34,650,000.00</t>
  </si>
  <si>
    <t>599,974.51</t>
  </si>
  <si>
    <t>31,850,000.00</t>
  </si>
  <si>
    <t>369,032,352.00</t>
  </si>
  <si>
    <t>239,360.00</t>
  </si>
  <si>
    <t>23,252,150.23</t>
  </si>
  <si>
    <t>77,200.00</t>
  </si>
  <si>
    <t>482,816.00</t>
  </si>
  <si>
    <t>2,298,810.96</t>
  </si>
  <si>
    <t>158,326.44</t>
  </si>
  <si>
    <t>7,370,000.00</t>
  </si>
  <si>
    <t>9,996,289.32</t>
  </si>
  <si>
    <t>182,850.00</t>
  </si>
  <si>
    <t>29,368.80</t>
  </si>
  <si>
    <t>1,080,000.00</t>
  </si>
  <si>
    <t>152,340.00</t>
  </si>
  <si>
    <t>599,999.68</t>
  </si>
  <si>
    <t>124,644.00</t>
  </si>
  <si>
    <t>412,300.00</t>
  </si>
  <si>
    <t>444,837.63</t>
  </si>
  <si>
    <t>124,799,000.00</t>
  </si>
  <si>
    <t>998,241.05</t>
  </si>
  <si>
    <t>65,898.00</t>
  </si>
  <si>
    <t>999,872.30</t>
  </si>
  <si>
    <t>312,400.00</t>
  </si>
  <si>
    <t>142,665.00</t>
  </si>
  <si>
    <t>406,200.58</t>
  </si>
  <si>
    <t>999,329.49</t>
  </si>
  <si>
    <t>130,625.00</t>
  </si>
  <si>
    <t>397,875.00</t>
  </si>
  <si>
    <t>1,430,800.00</t>
  </si>
  <si>
    <t>741,169.80</t>
  </si>
  <si>
    <t>710,298.00</t>
  </si>
  <si>
    <t>8,750,000.00</t>
  </si>
  <si>
    <t>73,750.00</t>
  </si>
  <si>
    <t>957,700.00</t>
  </si>
  <si>
    <t>299,999.44</t>
  </si>
  <si>
    <t>431,495.10</t>
  </si>
  <si>
    <t>11,529,050.00</t>
  </si>
  <si>
    <t>996,400.00</t>
  </si>
  <si>
    <t>399,500.00</t>
  </si>
  <si>
    <t>4,720,996.81</t>
  </si>
  <si>
    <t>407,565.00</t>
  </si>
  <si>
    <t>72,450.00</t>
  </si>
  <si>
    <t>3,149,629.95</t>
  </si>
  <si>
    <t>34,860,000.00</t>
  </si>
  <si>
    <t>86,035.00</t>
  </si>
  <si>
    <t>5,800,000.00</t>
  </si>
  <si>
    <t>30,190.00</t>
  </si>
  <si>
    <t>2,320,000.00</t>
  </si>
  <si>
    <t>1,820,000.00</t>
  </si>
  <si>
    <t>3,203,920.00</t>
  </si>
  <si>
    <t>928,812.50</t>
  </si>
  <si>
    <t>131,875.00</t>
  </si>
  <si>
    <t>66,050.00</t>
  </si>
  <si>
    <t>93,663.00</t>
  </si>
  <si>
    <t>1,907,000.00</t>
  </si>
  <si>
    <t>519,600.00</t>
  </si>
  <si>
    <t>1,114,575.00</t>
  </si>
  <si>
    <t>89,750.00</t>
  </si>
  <si>
    <t>2,186,035.00</t>
  </si>
  <si>
    <t>1,370,239.95</t>
  </si>
  <si>
    <t>2,805,000.00</t>
  </si>
  <si>
    <t>23,808,726.65</t>
  </si>
  <si>
    <t>2,064,691.14</t>
  </si>
  <si>
    <t>112,460.00</t>
  </si>
  <si>
    <t>4,468,990.29</t>
  </si>
  <si>
    <t>2,982,173.18</t>
  </si>
  <si>
    <t>3,480,000.00</t>
  </si>
  <si>
    <t>4,751,299.65</t>
  </si>
  <si>
    <t>2,992,000.00</t>
  </si>
  <si>
    <t>4,818,353.86</t>
  </si>
  <si>
    <t>2,319,127.68</t>
  </si>
  <si>
    <t>3,506,162.90</t>
  </si>
  <si>
    <t>841,450.00</t>
  </si>
  <si>
    <t>178,800.00</t>
  </si>
  <si>
    <t>396,000.00</t>
  </si>
  <si>
    <t>743,050.00</t>
  </si>
  <si>
    <t>406,700.00</t>
  </si>
  <si>
    <t>2,991,839.78</t>
  </si>
  <si>
    <t>1,964,825.02</t>
  </si>
  <si>
    <t>150,689.40</t>
  </si>
  <si>
    <t>1,300,337.50</t>
  </si>
  <si>
    <t>1,102,898.00</t>
  </si>
  <si>
    <t>522,913.00</t>
  </si>
  <si>
    <t>305,133.00</t>
  </si>
  <si>
    <t>3,569,000.00</t>
  </si>
  <si>
    <t>61,362.00</t>
  </si>
  <si>
    <t>930,000.00</t>
  </si>
  <si>
    <t>125,350.00</t>
  </si>
  <si>
    <t>61,506.00</t>
  </si>
  <si>
    <t>4,904,231.08</t>
  </si>
  <si>
    <t>131,000.00</t>
  </si>
  <si>
    <t>6,434,850.87</t>
  </si>
  <si>
    <t>1,423,881.20</t>
  </si>
  <si>
    <t>241,750.00</t>
  </si>
  <si>
    <t>60,000,000.00</t>
  </si>
  <si>
    <t>456,126.00</t>
  </si>
  <si>
    <t>2,629,305.30</t>
  </si>
  <si>
    <t>299,997.94</t>
  </si>
  <si>
    <t>967,192.80</t>
  </si>
  <si>
    <t>1,326,996.56</t>
  </si>
  <si>
    <t>1,328,271.00</t>
  </si>
  <si>
    <t>9,649,997.73</t>
  </si>
  <si>
    <t>1,711,301.18</t>
  </si>
  <si>
    <t>1,123,164.00</t>
  </si>
  <si>
    <t>1,341,426.00</t>
  </si>
  <si>
    <t>19,799,827.30</t>
  </si>
  <si>
    <t>128,040.00</t>
  </si>
  <si>
    <t>265,399.31</t>
  </si>
  <si>
    <t>1,220,000.00</t>
  </si>
  <si>
    <t>451,885.00</t>
  </si>
  <si>
    <t>9,899,971.25</t>
  </si>
  <si>
    <t>1,995,000.00</t>
  </si>
  <si>
    <t>465,654.00</t>
  </si>
  <si>
    <t>1,614,600.00</t>
  </si>
  <si>
    <t>196,800.00</t>
  </si>
  <si>
    <t>9,899,933.21</t>
  </si>
  <si>
    <t>1,164,752.00</t>
  </si>
  <si>
    <t>3,465,000.00</t>
  </si>
  <si>
    <t>57,896,896.01</t>
  </si>
  <si>
    <t>6,273,775.00</t>
  </si>
  <si>
    <t>1,727,500.00</t>
  </si>
  <si>
    <t>19,799,378.78</t>
  </si>
  <si>
    <t>1,599,532.94</t>
  </si>
  <si>
    <t>2,914,440.00</t>
  </si>
  <si>
    <t>64,349,655.98</t>
  </si>
  <si>
    <t>1,595,286.37</t>
  </si>
  <si>
    <t>162,730.00</t>
  </si>
  <si>
    <t>109,876.00</t>
  </si>
  <si>
    <t>78,800.00</t>
  </si>
  <si>
    <t>20,825,242.72</t>
  </si>
  <si>
    <t>412,893.00</t>
  </si>
  <si>
    <t>135,307.50</t>
  </si>
  <si>
    <t>144,450.00</t>
  </si>
  <si>
    <t>253,975.00</t>
  </si>
  <si>
    <t>3,309,067.00</t>
  </si>
  <si>
    <t>257,840.00</t>
  </si>
  <si>
    <t>1,538,538.25</t>
  </si>
  <si>
    <t>18,133,114.23</t>
  </si>
  <si>
    <t>59,880.00</t>
  </si>
  <si>
    <t>3,597,956.71</t>
  </si>
  <si>
    <t>3,062,400,000.00</t>
  </si>
  <si>
    <t>68,932.00</t>
  </si>
  <si>
    <t>135,082.00</t>
  </si>
  <si>
    <t>69,750.00</t>
  </si>
  <si>
    <t>410,104.00</t>
  </si>
  <si>
    <t>996,680.10</t>
  </si>
  <si>
    <t>2,900,000.00</t>
  </si>
  <si>
    <t>66,080.00</t>
  </si>
  <si>
    <t>3,732,000.00</t>
  </si>
  <si>
    <t>219,141.00</t>
  </si>
  <si>
    <t>50,092.35</t>
  </si>
  <si>
    <t>51,201.61</t>
  </si>
  <si>
    <t>80,012.40</t>
  </si>
  <si>
    <t>130,450.00</t>
  </si>
  <si>
    <t>32,577,872.70</t>
  </si>
  <si>
    <t>69,820.35</t>
  </si>
  <si>
    <t>2,475,000.00</t>
  </si>
  <si>
    <t>4,250,000.00</t>
  </si>
  <si>
    <t>6,161,996.82</t>
  </si>
  <si>
    <t>4,389,877.80</t>
  </si>
  <si>
    <t>1,670,936.01</t>
  </si>
  <si>
    <t>466,547.00</t>
  </si>
  <si>
    <t>262,480.00</t>
  </si>
  <si>
    <t>472,048.50</t>
  </si>
  <si>
    <t>346,368.60</t>
  </si>
  <si>
    <t>257,400.00</t>
  </si>
  <si>
    <t>496,730.00</t>
  </si>
  <si>
    <t>2,429,379.78</t>
  </si>
  <si>
    <t>97,418.00</t>
  </si>
  <si>
    <t>288,963.00</t>
  </si>
  <si>
    <t>195,220.00</t>
  </si>
  <si>
    <t>283,080.00</t>
  </si>
  <si>
    <t>1,659,930.00</t>
  </si>
  <si>
    <t>5,039,000.00</t>
  </si>
  <si>
    <t>12,093,596.00</t>
  </si>
  <si>
    <t>6,800,000.00</t>
  </si>
  <si>
    <t>981,862.91</t>
  </si>
  <si>
    <t>106,201.50</t>
  </si>
  <si>
    <t>498,184.46</t>
  </si>
  <si>
    <t>684,788.01</t>
  </si>
  <si>
    <t>287,300.00</t>
  </si>
  <si>
    <t>448,790.66</t>
  </si>
  <si>
    <t>9,990,446.00</t>
  </si>
  <si>
    <t>999,465.12</t>
  </si>
  <si>
    <t>1,559,000.00</t>
  </si>
  <si>
    <t>249,318.00</t>
  </si>
  <si>
    <t>823,885.86</t>
  </si>
  <si>
    <t>21,199,952.98</t>
  </si>
  <si>
    <t>5,200,000.00</t>
  </si>
  <si>
    <t>9,996,981.00</t>
  </si>
  <si>
    <t>408,075.00</t>
  </si>
  <si>
    <t>99,985.19</t>
  </si>
  <si>
    <t>455,362.00</t>
  </si>
  <si>
    <t>199,230.00</t>
  </si>
  <si>
    <t>660,000.00</t>
  </si>
  <si>
    <t>383,400.00</t>
  </si>
  <si>
    <t>38,000,000.00</t>
  </si>
  <si>
    <t>2,760,000.00</t>
  </si>
  <si>
    <t>217,672.00</t>
  </si>
  <si>
    <t>28,000.00</t>
  </si>
  <si>
    <t>19,000,000.00</t>
  </si>
  <si>
    <t>33,000.00</t>
  </si>
  <si>
    <t>192,000.00</t>
  </si>
  <si>
    <t>29,700,000.00</t>
  </si>
  <si>
    <t>785,119.56</t>
  </si>
  <si>
    <t>2,307,089.00</t>
  </si>
  <si>
    <t>1,512,355.00</t>
  </si>
  <si>
    <t>1,825,548.00</t>
  </si>
  <si>
    <t>8,895,000.00</t>
  </si>
  <si>
    <t>49,999,929.61</t>
  </si>
  <si>
    <t>2,457,875.00</t>
  </si>
  <si>
    <t>340,035.00</t>
  </si>
  <si>
    <t>88,480.00</t>
  </si>
  <si>
    <t>806,316.00</t>
  </si>
  <si>
    <t>2,745,515.64</t>
  </si>
  <si>
    <t>4,426,344.00</t>
  </si>
  <si>
    <t>104,500.00</t>
  </si>
  <si>
    <t>329,850.00</t>
  </si>
  <si>
    <t>573,202.50</t>
  </si>
  <si>
    <t>2,002,583.76</t>
  </si>
  <si>
    <t>644,950.00</t>
  </si>
  <si>
    <t>1,200,248.00</t>
  </si>
  <si>
    <t>2,372,976.50</t>
  </si>
  <si>
    <t>110,883.50</t>
  </si>
  <si>
    <t>372,747.40</t>
  </si>
  <si>
    <t>162,331.80</t>
  </si>
  <si>
    <t>1,925,519.00</t>
  </si>
  <si>
    <t>181,545.00</t>
  </si>
  <si>
    <t>702,846.75</t>
  </si>
  <si>
    <t>278,500.00</t>
  </si>
  <si>
    <t>1,499,649.52</t>
  </si>
  <si>
    <t>56,100.00</t>
  </si>
  <si>
    <t>120,029.00</t>
  </si>
  <si>
    <t>402,146.40</t>
  </si>
  <si>
    <t>2,632,914.00</t>
  </si>
  <si>
    <t>344,698.40</t>
  </si>
  <si>
    <t>105,400.00</t>
  </si>
  <si>
    <t>1,208,392.19</t>
  </si>
  <si>
    <t>187,500.00</t>
  </si>
  <si>
    <t>147,920.00</t>
  </si>
  <si>
    <t>585,800.00</t>
  </si>
  <si>
    <t>115,920.00</t>
  </si>
  <si>
    <t>4,123,120.00</t>
  </si>
  <si>
    <t>155,200.00</t>
  </si>
  <si>
    <t>922,242.00</t>
  </si>
  <si>
    <t>147,016.25</t>
  </si>
  <si>
    <t>8,999,392.68</t>
  </si>
  <si>
    <t>866,430.00</t>
  </si>
  <si>
    <t>726,000.00</t>
  </si>
  <si>
    <t>55,200.00</t>
  </si>
  <si>
    <t>794,803.00</t>
  </si>
  <si>
    <t>790,483.00</t>
  </si>
  <si>
    <t>391,265.00</t>
  </si>
  <si>
    <t>999,000.00</t>
  </si>
  <si>
    <t>1,150,000.00</t>
  </si>
  <si>
    <t>64,270.00</t>
  </si>
  <si>
    <t>399,965.78</t>
  </si>
  <si>
    <t>829,354.00</t>
  </si>
  <si>
    <t>432,760.00</t>
  </si>
  <si>
    <t>50,641.50</t>
  </si>
  <si>
    <t>80,598.00</t>
  </si>
  <si>
    <t>137,997.00</t>
  </si>
  <si>
    <t>1,261,628.00</t>
  </si>
  <si>
    <t>992,250.00</t>
  </si>
  <si>
    <t>229,800.00</t>
  </si>
  <si>
    <t>146,420.00</t>
  </si>
  <si>
    <t>1,922,000.00</t>
  </si>
  <si>
    <t>192,358.00</t>
  </si>
  <si>
    <t>46,109,440.00</t>
  </si>
  <si>
    <t>199,993.50</t>
  </si>
  <si>
    <t>34,554.00</t>
  </si>
  <si>
    <t>12,000,000.00</t>
  </si>
  <si>
    <t>4,998,000.00</t>
  </si>
  <si>
    <t>184,863.71</t>
  </si>
  <si>
    <t>2,331,606.86</t>
  </si>
  <si>
    <t>68,906.25</t>
  </si>
  <si>
    <t>629,700.00</t>
  </si>
  <si>
    <t>9,789,848.66</t>
  </si>
  <si>
    <t>1,464,564.74</t>
  </si>
  <si>
    <t>482,000.00</t>
  </si>
  <si>
    <t>52,361.00</t>
  </si>
  <si>
    <t>1,499,453.26</t>
  </si>
  <si>
    <t>68,200.00</t>
  </si>
  <si>
    <t>395,088.09</t>
  </si>
  <si>
    <t>438,600.00</t>
  </si>
  <si>
    <t>1,642,033.01</t>
  </si>
  <si>
    <t>271,950.00</t>
  </si>
  <si>
    <t>840,000.00</t>
  </si>
  <si>
    <t>9,964,987.00</t>
  </si>
  <si>
    <t>10,975,562.44</t>
  </si>
  <si>
    <t>197,413.51</t>
  </si>
  <si>
    <t>28,224.45</t>
  </si>
  <si>
    <t>79,608.00</t>
  </si>
  <si>
    <t>395,540.11</t>
  </si>
  <si>
    <t>307,341.95</t>
  </si>
  <si>
    <t>505,831.42</t>
  </si>
  <si>
    <t>111,048.75</t>
  </si>
  <si>
    <t>2,256,567.00</t>
  </si>
  <si>
    <t>2,137,500.00</t>
  </si>
  <si>
    <t>28,340,000.00</t>
  </si>
  <si>
    <t>16,000.00</t>
  </si>
  <si>
    <t>222,970.00</t>
  </si>
  <si>
    <t>251,271.00</t>
  </si>
  <si>
    <t>135,750.00</t>
  </si>
  <si>
    <t>725,000.00</t>
  </si>
  <si>
    <t>176,250.00</t>
  </si>
  <si>
    <t>279,245.00</t>
  </si>
  <si>
    <t>129,421.33</t>
  </si>
  <si>
    <t>74,800.00</t>
  </si>
  <si>
    <t>266,435.00</t>
  </si>
  <si>
    <t>667,318.75</t>
  </si>
  <si>
    <t>680,546.00</t>
  </si>
  <si>
    <t>3,557,996.32</t>
  </si>
  <si>
    <t>333,611.68</t>
  </si>
  <si>
    <t>1,294,800.00</t>
  </si>
  <si>
    <t>114,500.00</t>
  </si>
  <si>
    <t>1,447,403.00</t>
  </si>
  <si>
    <t>1,116,090.00</t>
  </si>
  <si>
    <t>2,421,446.50</t>
  </si>
  <si>
    <t>3,125,000.00</t>
  </si>
  <si>
    <t>199,679.00</t>
  </si>
  <si>
    <t>723,132.00</t>
  </si>
  <si>
    <t>5,738,732.50</t>
  </si>
  <si>
    <t>86,657.09</t>
  </si>
  <si>
    <t>1,509,154.91</t>
  </si>
  <si>
    <t>1,208,225.00</t>
  </si>
  <si>
    <t>193,650.00</t>
  </si>
  <si>
    <t>361,800.00</t>
  </si>
  <si>
    <t>520,000.00</t>
  </si>
  <si>
    <t>5,996,916.53</t>
  </si>
  <si>
    <t>451,000.00</t>
  </si>
  <si>
    <t>699,660.00</t>
  </si>
  <si>
    <t>2,313,834.42</t>
  </si>
  <si>
    <t>1,197,787.23</t>
  </si>
  <si>
    <t>68,500.00</t>
  </si>
  <si>
    <t>525,000.00</t>
  </si>
  <si>
    <t>119,500.00</t>
  </si>
  <si>
    <t>226,723.00</t>
  </si>
  <si>
    <t>307,615.00</t>
  </si>
  <si>
    <t>1,288,000.00</t>
  </si>
  <si>
    <t>323,700.00</t>
  </si>
  <si>
    <t>68,600.00</t>
  </si>
  <si>
    <t>267,110.81</t>
  </si>
  <si>
    <t>2,593,225.84</t>
  </si>
  <si>
    <t>1,613,075.60</t>
  </si>
  <si>
    <t>2,349,862.30</t>
  </si>
  <si>
    <t>1,323,787.58</t>
  </si>
  <si>
    <t>32,297,289.45</t>
  </si>
  <si>
    <t>28,324.98</t>
  </si>
  <si>
    <t>84,292.00</t>
  </si>
  <si>
    <t>1,309,950.00</t>
  </si>
  <si>
    <t>50,963.00</t>
  </si>
  <si>
    <t>786,081.14</t>
  </si>
  <si>
    <t>20,198,500.00</t>
  </si>
  <si>
    <t>89,280.00</t>
  </si>
  <si>
    <t>1,032,820.97</t>
  </si>
  <si>
    <t>32,786.05</t>
  </si>
  <si>
    <t>2,175,000.00</t>
  </si>
  <si>
    <t>278,000.00</t>
  </si>
  <si>
    <t>865,020.00</t>
  </si>
  <si>
    <t>159,592.00</t>
  </si>
  <si>
    <t>444,741.00</t>
  </si>
  <si>
    <t>1,409,917.35</t>
  </si>
  <si>
    <t>1,319,750.00</t>
  </si>
  <si>
    <t>373,300.00</t>
  </si>
  <si>
    <t>387,071.41</t>
  </si>
  <si>
    <t>581,637.00</t>
  </si>
  <si>
    <t>90,500.00</t>
  </si>
  <si>
    <t>892,466.56</t>
  </si>
  <si>
    <t>326,399.96</t>
  </si>
  <si>
    <t>1,476,132.81</t>
  </si>
  <si>
    <t>298,229.49</t>
  </si>
  <si>
    <t>25,535.00</t>
  </si>
  <si>
    <t>285,200.00</t>
  </si>
  <si>
    <t>1,747,471.55</t>
  </si>
  <si>
    <t>165,970.00</t>
  </si>
  <si>
    <t>139,770.00</t>
  </si>
  <si>
    <t>103,246.00</t>
  </si>
  <si>
    <t>4,798,500.00</t>
  </si>
  <si>
    <t>216,725.00</t>
  </si>
  <si>
    <t>428,533.93</t>
  </si>
  <si>
    <t>1,420,686.77</t>
  </si>
  <si>
    <t>106,600.00</t>
  </si>
  <si>
    <t>971,109.00</t>
  </si>
  <si>
    <t>204,750.00</t>
  </si>
  <si>
    <t>580,651.00</t>
  </si>
  <si>
    <t>846,500.00</t>
  </si>
  <si>
    <t>2,348,345.68</t>
  </si>
  <si>
    <t>4,775,450.00</t>
  </si>
  <si>
    <t>231,027.00</t>
  </si>
  <si>
    <t>415,965.00</t>
  </si>
  <si>
    <t>11,250.00</t>
  </si>
  <si>
    <t>188,750.00</t>
  </si>
  <si>
    <t>318,000.00</t>
  </si>
  <si>
    <t>1,525,056.00</t>
  </si>
  <si>
    <t>412,725.00</t>
  </si>
  <si>
    <t>628,255.00</t>
  </si>
  <si>
    <t>48,500,000.00</t>
  </si>
  <si>
    <t>103,110.00</t>
  </si>
  <si>
    <t>575,585.00</t>
  </si>
  <si>
    <t>499,451.00</t>
  </si>
  <si>
    <t>120,000,000.00</t>
  </si>
  <si>
    <t>88,400.00</t>
  </si>
  <si>
    <t>1,175,977.00</t>
  </si>
  <si>
    <t>1,550,000.00</t>
  </si>
  <si>
    <t>717,750.00</t>
  </si>
  <si>
    <t>404,550.00</t>
  </si>
  <si>
    <t>110,459.00</t>
  </si>
  <si>
    <t>1,223,078.19</t>
  </si>
  <si>
    <t>40,800.00</t>
  </si>
  <si>
    <t>139,150.00</t>
  </si>
  <si>
    <t>58,790.21</t>
  </si>
  <si>
    <t>269,290.00</t>
  </si>
  <si>
    <t>755,250.00</t>
  </si>
  <si>
    <t>265,272.34</t>
  </si>
  <si>
    <t>215,950.00</t>
  </si>
  <si>
    <t>234,160.00</t>
  </si>
  <si>
    <t>6,200.00</t>
  </si>
  <si>
    <t>999,998.80</t>
  </si>
  <si>
    <t>83,000.00</t>
  </si>
  <si>
    <t>150,775.00</t>
  </si>
  <si>
    <t>2,181,848.34</t>
  </si>
  <si>
    <t>426,000.00</t>
  </si>
  <si>
    <t>669,530.00</t>
  </si>
  <si>
    <t>50,276.00</t>
  </si>
  <si>
    <t>262,250.00</t>
  </si>
  <si>
    <t>1,505,091.00</t>
  </si>
  <si>
    <t>367,120.00</t>
  </si>
  <si>
    <t>115,710.00</t>
  </si>
  <si>
    <t>278,118.00</t>
  </si>
  <si>
    <t>2,999,606.10</t>
  </si>
  <si>
    <t>1,614,353.60</t>
  </si>
  <si>
    <t>222,040.00</t>
  </si>
  <si>
    <t>76,503.00</t>
  </si>
  <si>
    <t>12,396.00</t>
  </si>
  <si>
    <t>59,997.83</t>
  </si>
  <si>
    <t>492,244.00</t>
  </si>
  <si>
    <t>691,000.00</t>
  </si>
  <si>
    <t>991,600.00</t>
  </si>
  <si>
    <t>1,999,469.80</t>
  </si>
  <si>
    <t>475,000.00</t>
  </si>
  <si>
    <t>716,416.56</t>
  </si>
  <si>
    <t>599,950.32</t>
  </si>
  <si>
    <t>7,400,000.00</t>
  </si>
  <si>
    <t>343,541.25</t>
  </si>
  <si>
    <t>3,013,064.62</t>
  </si>
  <si>
    <t>808,800.00</t>
  </si>
  <si>
    <t>4,653,000.00</t>
  </si>
  <si>
    <t>204,500.00</t>
  </si>
  <si>
    <t>456,738.06</t>
  </si>
  <si>
    <t>3,944,942.38</t>
  </si>
  <si>
    <t>397,000.00</t>
  </si>
  <si>
    <t>4,594,000.00</t>
  </si>
  <si>
    <t>580,176.00</t>
  </si>
  <si>
    <t>132,440.01</t>
  </si>
  <si>
    <t>51,930.00</t>
  </si>
  <si>
    <t>135,200.00</t>
  </si>
  <si>
    <t>207,117.50</t>
  </si>
  <si>
    <t>2,145,000.00</t>
  </si>
  <si>
    <t>987,000.00</t>
  </si>
  <si>
    <t>169,995.00</t>
  </si>
  <si>
    <t>269,200.00</t>
  </si>
  <si>
    <t>1,838,514.60</t>
  </si>
  <si>
    <t>1,119,599.00</t>
  </si>
  <si>
    <t>9,799,997.84</t>
  </si>
  <si>
    <t>662,181.57</t>
  </si>
  <si>
    <t>4,400.00</t>
  </si>
  <si>
    <t>166,944.00</t>
  </si>
  <si>
    <t>399,655.18</t>
  </si>
  <si>
    <t>603,200.00</t>
  </si>
  <si>
    <t>507,846.00</t>
  </si>
  <si>
    <t>257,160.00</t>
  </si>
  <si>
    <t>27,815.00</t>
  </si>
  <si>
    <t>213,985.00</t>
  </si>
  <si>
    <t>89,486.50</t>
  </si>
  <si>
    <t>274,193.17</t>
  </si>
  <si>
    <t>12,250,000.00</t>
  </si>
  <si>
    <t>206,000.00</t>
  </si>
  <si>
    <t>9,799,997.65</t>
  </si>
  <si>
    <t>548,232.56</t>
  </si>
  <si>
    <t>51,800.00</t>
  </si>
  <si>
    <t>147,913.00</t>
  </si>
  <si>
    <t>120,706.00</t>
  </si>
  <si>
    <t>999,755.00</t>
  </si>
  <si>
    <t>174,800.00</t>
  </si>
  <si>
    <t>252,000.00</t>
  </si>
  <si>
    <t>194,008.00</t>
  </si>
  <si>
    <t>63,750.00</t>
  </si>
  <si>
    <t>240,408.32</t>
  </si>
  <si>
    <t>123,700.00</t>
  </si>
  <si>
    <t>189,080.00</t>
  </si>
  <si>
    <t>604,419.40</t>
  </si>
  <si>
    <t>996,808.84</t>
  </si>
  <si>
    <t>213,780.52</t>
  </si>
  <si>
    <t>910,257.60</t>
  </si>
  <si>
    <t>279,999,810.00</t>
  </si>
  <si>
    <t>2,969,999.97</t>
  </si>
  <si>
    <t>331,700.00</t>
  </si>
  <si>
    <t>381,163.00</t>
  </si>
  <si>
    <t>272,306.60</t>
  </si>
  <si>
    <t>666,852.50</t>
  </si>
  <si>
    <t>912,757.13</t>
  </si>
  <si>
    <t>50,950,198.19</t>
  </si>
  <si>
    <t>39,604,000.00</t>
  </si>
  <si>
    <t>41,170,000.00</t>
  </si>
  <si>
    <t>127,570.91</t>
  </si>
  <si>
    <t>52,970,398.00</t>
  </si>
  <si>
    <t>1,930,000.00</t>
  </si>
  <si>
    <t>356,000.00</t>
  </si>
  <si>
    <t>865,200.00</t>
  </si>
  <si>
    <t>1,596,506.00</t>
  </si>
  <si>
    <t>156,665.00</t>
  </si>
  <si>
    <t>1,999,998.99</t>
  </si>
  <si>
    <t>1,240,188.00</t>
  </si>
  <si>
    <t>78,500.00</t>
  </si>
  <si>
    <t>592,373.94</t>
  </si>
  <si>
    <t>58,800,000.00</t>
  </si>
  <si>
    <t>19,027,800.00</t>
  </si>
  <si>
    <t>19,600,000.00</t>
  </si>
  <si>
    <t>1,247,424.00</t>
  </si>
  <si>
    <t>339,140.00</t>
  </si>
  <si>
    <t>112,755.00</t>
  </si>
  <si>
    <t>193,834.00</t>
  </si>
  <si>
    <t>200,433.00</t>
  </si>
  <si>
    <t>6,740,000.00</t>
  </si>
  <si>
    <t>99,992.00</t>
  </si>
  <si>
    <t>199,990.00</t>
  </si>
  <si>
    <t>11,385,000.00</t>
  </si>
  <si>
    <t>4,950,000.00</t>
  </si>
  <si>
    <t>1,694,323.71</t>
  </si>
  <si>
    <t>39,999,049.66</t>
  </si>
  <si>
    <t>699,426.00</t>
  </si>
  <si>
    <t>6,930,000.00</t>
  </si>
  <si>
    <t>174,488.00</t>
  </si>
  <si>
    <t>64,252.00</t>
  </si>
  <si>
    <t>485,742.00</t>
  </si>
  <si>
    <t>124,356.00</t>
  </si>
  <si>
    <t>1,255,626.00</t>
  </si>
  <si>
    <t>3,992,000.00</t>
  </si>
  <si>
    <t>173,160.00</t>
  </si>
  <si>
    <t>388,780.00</t>
  </si>
  <si>
    <t>92,100.00</t>
  </si>
  <si>
    <t>184,370.00</t>
  </si>
  <si>
    <t>1,864,517.40</t>
  </si>
  <si>
    <t>261,000.00</t>
  </si>
  <si>
    <t>4,760,950.00</t>
  </si>
  <si>
    <t>300,967.00</t>
  </si>
  <si>
    <t>19,512,082.18</t>
  </si>
  <si>
    <t>685,000.00</t>
  </si>
  <si>
    <t>979,498.33</t>
  </si>
  <si>
    <t>952,662.72</t>
  </si>
  <si>
    <t>206,604.45</t>
  </si>
  <si>
    <t>5,232,510.08</t>
  </si>
  <si>
    <t>1,964,957.00</t>
  </si>
  <si>
    <t>977,492.99</t>
  </si>
  <si>
    <t>15,978.00</t>
  </si>
  <si>
    <t>6,756,557.00</t>
  </si>
  <si>
    <t>1,522,800.00</t>
  </si>
  <si>
    <t>1,430,280.00</t>
  </si>
  <si>
    <t>38,495,037.51</t>
  </si>
  <si>
    <t>1,705,366.00</t>
  </si>
  <si>
    <t>591,687.25</t>
  </si>
  <si>
    <t>47,979,900.00</t>
  </si>
  <si>
    <t>2,895,000.00</t>
  </si>
  <si>
    <t>639,984.45</t>
  </si>
  <si>
    <t>2,385,600.00</t>
  </si>
  <si>
    <t>61,315.00</t>
  </si>
  <si>
    <t>1,710,930.00</t>
  </si>
  <si>
    <t>50,457.00</t>
  </si>
  <si>
    <t>56,546.00</t>
  </si>
  <si>
    <t>91,970.00</t>
  </si>
  <si>
    <t>317,808.00</t>
  </si>
  <si>
    <t>1,642,200.00</t>
  </si>
  <si>
    <t>109,700.00</t>
  </si>
  <si>
    <t>2,333,900.00</t>
  </si>
  <si>
    <t>554,780.07</t>
  </si>
  <si>
    <t>107,300.00</t>
  </si>
  <si>
    <t>220,700.00</t>
  </si>
  <si>
    <t>6,875,000.00</t>
  </si>
  <si>
    <t>286,110.00</t>
  </si>
  <si>
    <t>1,810,250.00</t>
  </si>
  <si>
    <t>27,300,000.00</t>
  </si>
  <si>
    <t>293,750.00</t>
  </si>
  <si>
    <t>3,682,655.14</t>
  </si>
  <si>
    <t>1,768,475.00</t>
  </si>
  <si>
    <t>106,660.27</t>
  </si>
  <si>
    <t>939,817.62</t>
  </si>
  <si>
    <t>950,500.00</t>
  </si>
  <si>
    <t>23,174,033.92</t>
  </si>
  <si>
    <t>103,460.00</t>
  </si>
  <si>
    <t>2,700.00</t>
  </si>
  <si>
    <t>2,897,200.00</t>
  </si>
  <si>
    <t>381,000.00</t>
  </si>
  <si>
    <t>490,754.28</t>
  </si>
  <si>
    <t>3,940,489.48</t>
  </si>
  <si>
    <t>170,150.00</t>
  </si>
  <si>
    <t>3,715.00</t>
  </si>
  <si>
    <t>477,595.00</t>
  </si>
  <si>
    <t>4,378,687.50</t>
  </si>
  <si>
    <t>1,066,404.50</t>
  </si>
  <si>
    <t>7,330,025.68</t>
  </si>
  <si>
    <t>858,835.01</t>
  </si>
  <si>
    <t>3,955,325.51</t>
  </si>
  <si>
    <t>145,782.29</t>
  </si>
  <si>
    <t>300,721.77</t>
  </si>
  <si>
    <t>71,274.61</t>
  </si>
  <si>
    <t>141,581.00</t>
  </si>
  <si>
    <t>599,981.45</t>
  </si>
  <si>
    <t>300,500.00</t>
  </si>
  <si>
    <t>32,500.00</t>
  </si>
  <si>
    <t>1,343,400.00</t>
  </si>
  <si>
    <t>2,969,095.00</t>
  </si>
  <si>
    <t>630,680.40</t>
  </si>
  <si>
    <t>800,500.00</t>
  </si>
  <si>
    <t>35,300.00</t>
  </si>
  <si>
    <t>249,520.00</t>
  </si>
  <si>
    <t>263,815.80</t>
  </si>
  <si>
    <t>324,000.00</t>
  </si>
  <si>
    <t>40,900.00</t>
  </si>
  <si>
    <t>815,209.14</t>
  </si>
  <si>
    <t>218,825.38</t>
  </si>
  <si>
    <t>3,604,526.86</t>
  </si>
  <si>
    <t>580,200.60</t>
  </si>
  <si>
    <t>292,000.00</t>
  </si>
  <si>
    <t>69,047.00</t>
  </si>
  <si>
    <t>246,300.00</t>
  </si>
  <si>
    <t>306,752.60</t>
  </si>
  <si>
    <t>16,435.00</t>
  </si>
  <si>
    <t>537,001.12</t>
  </si>
  <si>
    <t>50,676,000.00</t>
  </si>
  <si>
    <t>173,000.00</t>
  </si>
  <si>
    <t>778,225.32</t>
  </si>
  <si>
    <t>275,570.08</t>
  </si>
  <si>
    <t>154,200.00</t>
  </si>
  <si>
    <t>655,414.20</t>
  </si>
  <si>
    <t>175,380.00</t>
  </si>
  <si>
    <t>325,900.00</t>
  </si>
  <si>
    <t>806,700.00</t>
  </si>
  <si>
    <t>208,360.00</t>
  </si>
  <si>
    <t>65,840.00</t>
  </si>
  <si>
    <t>83,350.00</t>
  </si>
  <si>
    <t>766,621.09</t>
  </si>
  <si>
    <t>288,470.00</t>
  </si>
  <si>
    <t>694,545.00</t>
  </si>
  <si>
    <t>169,409.26</t>
  </si>
  <si>
    <t>16,800.00</t>
  </si>
  <si>
    <t>764,080.00</t>
  </si>
  <si>
    <t>730,441.00</t>
  </si>
  <si>
    <t>249,914.00</t>
  </si>
  <si>
    <t>416,100.00</t>
  </si>
  <si>
    <t>89,900.00</t>
  </si>
  <si>
    <t>999,818.93</t>
  </si>
  <si>
    <t>439,837.50</t>
  </si>
  <si>
    <t>1,808,800.00</t>
  </si>
  <si>
    <t>2,999,813.94</t>
  </si>
  <si>
    <t>1,061,167.20</t>
  </si>
  <si>
    <t>229,925.83</t>
  </si>
  <si>
    <t>95,495.00</t>
  </si>
  <si>
    <t>57,028.00</t>
  </si>
  <si>
    <t>49,070.00</t>
  </si>
  <si>
    <t>8,670.00</t>
  </si>
  <si>
    <t>304,920.00</t>
  </si>
  <si>
    <t>98,460.00</t>
  </si>
  <si>
    <t>423,050.00</t>
  </si>
  <si>
    <t>125,797.50</t>
  </si>
  <si>
    <t>322,400.00</t>
  </si>
  <si>
    <t>88,599.19</t>
  </si>
  <si>
    <t>11,200.00</t>
  </si>
  <si>
    <t>999,999.68</t>
  </si>
  <si>
    <t>298,838.00</t>
  </si>
  <si>
    <t>11,000,000.00</t>
  </si>
  <si>
    <t>459,055.46</t>
  </si>
  <si>
    <t>187,954.49</t>
  </si>
  <si>
    <t>2,939,925.29</t>
  </si>
  <si>
    <t>216,136.00</t>
  </si>
  <si>
    <t>877,000.00</t>
  </si>
  <si>
    <t>305,216.00</t>
  </si>
  <si>
    <t>539,800.00</t>
  </si>
  <si>
    <t>109,415.00</t>
  </si>
  <si>
    <t>432,607.00</t>
  </si>
  <si>
    <t>1,959,863.45</t>
  </si>
  <si>
    <t>193,000.00</t>
  </si>
  <si>
    <t>90,850.00</t>
  </si>
  <si>
    <t>929,619.37</t>
  </si>
  <si>
    <t>592,800.00</t>
  </si>
  <si>
    <t>1,469,922.41</t>
  </si>
  <si>
    <t>12,539,000.00</t>
  </si>
  <si>
    <t>1,014,199.20</t>
  </si>
  <si>
    <t>7,900.00</t>
  </si>
  <si>
    <t>387,100.00</t>
  </si>
  <si>
    <t>7,228,882.95</t>
  </si>
  <si>
    <t>979,965.00</t>
  </si>
  <si>
    <t>9,255,000.00</t>
  </si>
  <si>
    <t>999,534.30</t>
  </si>
  <si>
    <t>253,200.00</t>
  </si>
  <si>
    <t>499,247.00</t>
  </si>
  <si>
    <t>113,750.00</t>
  </si>
  <si>
    <t>79,000.00</t>
  </si>
  <si>
    <t>4,851,560.00</t>
  </si>
  <si>
    <t>159,783.36</t>
  </si>
  <si>
    <t>4,409,999.98</t>
  </si>
  <si>
    <t>124,400.00</t>
  </si>
  <si>
    <t>88,600.00</t>
  </si>
  <si>
    <t>37,726,000.00</t>
  </si>
  <si>
    <t>26,012.00</t>
  </si>
  <si>
    <t>279,669.48</t>
  </si>
  <si>
    <t>244,323.00</t>
  </si>
  <si>
    <t>133,820.00</t>
  </si>
  <si>
    <t>234,960.93</t>
  </si>
  <si>
    <t>119,765.00</t>
  </si>
  <si>
    <t>830,000.00</t>
  </si>
  <si>
    <t>619,246.00</t>
  </si>
  <si>
    <t>10,491,000.00</t>
  </si>
  <si>
    <t>876,255.00</t>
  </si>
  <si>
    <t>1,995,871.20</t>
  </si>
  <si>
    <t>57,180.00</t>
  </si>
  <si>
    <t>622,200.00</t>
  </si>
  <si>
    <t>8,271,000.00</t>
  </si>
  <si>
    <t>131,175.00</t>
  </si>
  <si>
    <t>88,335.50</t>
  </si>
  <si>
    <t>1,320,000.00</t>
  </si>
  <si>
    <t>136,967.92</t>
  </si>
  <si>
    <t>523,390.00</t>
  </si>
  <si>
    <t>91,008.00</t>
  </si>
  <si>
    <t>993,210.00</t>
  </si>
  <si>
    <t>2,133,619.39</t>
  </si>
  <si>
    <t>269,711.00</t>
  </si>
  <si>
    <t>419,333.41</t>
  </si>
  <si>
    <t>493,676.05</t>
  </si>
  <si>
    <t>300,900.00</t>
  </si>
  <si>
    <t>33,361,000.00</t>
  </si>
  <si>
    <t>18,000,000.00</t>
  </si>
  <si>
    <t>513,545.00</t>
  </si>
  <si>
    <t>96,385.00</t>
  </si>
  <si>
    <t>153,120.00</t>
  </si>
  <si>
    <t>235,093.68</t>
  </si>
  <si>
    <t>5,321,400.00</t>
  </si>
  <si>
    <t>578,523.00</t>
  </si>
  <si>
    <t>393,902.50</t>
  </si>
  <si>
    <t>10,200.00</t>
  </si>
  <si>
    <t>7,129,200.00</t>
  </si>
  <si>
    <t>132,025.92</t>
  </si>
  <si>
    <t>103,637.60</t>
  </si>
  <si>
    <t>4,362,781.17</t>
  </si>
  <si>
    <t>94,435.00</t>
  </si>
  <si>
    <t>799,984.97</t>
  </si>
  <si>
    <t>1,377,800.00</t>
  </si>
  <si>
    <t>328,860.00</t>
  </si>
  <si>
    <t>379,108.40</t>
  </si>
  <si>
    <t>499,830.00</t>
  </si>
  <si>
    <t>4,316,600.00</t>
  </si>
  <si>
    <t>1,181,650.66</t>
  </si>
  <si>
    <t>1,032,269.20</t>
  </si>
  <si>
    <t>411,106.48</t>
  </si>
  <si>
    <t>338,000.00</t>
  </si>
  <si>
    <t>388,000.00</t>
  </si>
  <si>
    <t>699,825.00</t>
  </si>
  <si>
    <t>841,801.00</t>
  </si>
  <si>
    <t>88,800.00</t>
  </si>
  <si>
    <t>299,600.00</t>
  </si>
  <si>
    <t>105,264.00</t>
  </si>
  <si>
    <t>70,430.30</t>
  </si>
  <si>
    <t>19,512,168.46</t>
  </si>
  <si>
    <t>318,250.00</t>
  </si>
  <si>
    <t>492,000.00</t>
  </si>
  <si>
    <t>1,999,997.48</t>
  </si>
  <si>
    <t>107,008.00</t>
  </si>
  <si>
    <t>1,199,803.03</t>
  </si>
  <si>
    <t>175,196.10</t>
  </si>
  <si>
    <t>1,470,000.00</t>
  </si>
  <si>
    <t>253,100.00</t>
  </si>
  <si>
    <t>872,407.60</t>
  </si>
  <si>
    <t>193,401.00</t>
  </si>
  <si>
    <t>210,279.00</t>
  </si>
  <si>
    <t>1,813,000.00</t>
  </si>
  <si>
    <t>99,312.00</t>
  </si>
  <si>
    <t>2,260,000.00</t>
  </si>
  <si>
    <t>216,400.00</t>
  </si>
  <si>
    <t>220,500.00</t>
  </si>
  <si>
    <t>120,260.00</t>
  </si>
  <si>
    <t>1,381,045.00</t>
  </si>
  <si>
    <t>262,800.00</t>
  </si>
  <si>
    <t>266,450.00</t>
  </si>
  <si>
    <t>945,006.00</t>
  </si>
  <si>
    <t>91,348.69</t>
  </si>
  <si>
    <t>161,000.00</t>
  </si>
  <si>
    <t>19,502,380.97</t>
  </si>
  <si>
    <t>3,567,776.00</t>
  </si>
  <si>
    <t>313,137.00</t>
  </si>
  <si>
    <t>840,002.00</t>
  </si>
  <si>
    <t>709,486.92</t>
  </si>
  <si>
    <t>1,140,000.00</t>
  </si>
  <si>
    <t>75,502.00</t>
  </si>
  <si>
    <t>153,175.00</t>
  </si>
  <si>
    <t>342,372.00</t>
  </si>
  <si>
    <t>611,064.00</t>
  </si>
  <si>
    <t>2,568,420.00</t>
  </si>
  <si>
    <t>10,711,407.00</t>
  </si>
  <si>
    <t>11,939,999.98</t>
  </si>
  <si>
    <t>811,405.00</t>
  </si>
  <si>
    <t>417,635.56</t>
  </si>
  <si>
    <t>374,820.00</t>
  </si>
  <si>
    <t>99,375.00</t>
  </si>
  <si>
    <t>9,999,856.88</t>
  </si>
  <si>
    <t>1,025,557.00</t>
  </si>
  <si>
    <t>970,000.00</t>
  </si>
  <si>
    <t>4,538,624.72</t>
  </si>
  <si>
    <t>3,432,000.00</t>
  </si>
  <si>
    <t>55,864.75</t>
  </si>
  <si>
    <t>559,000.00</t>
  </si>
  <si>
    <t>971,694.27</t>
  </si>
  <si>
    <t>29,397,952.78</t>
  </si>
  <si>
    <t>97,450.00</t>
  </si>
  <si>
    <t>539,937.90</t>
  </si>
  <si>
    <t>1,400,000.00</t>
  </si>
  <si>
    <t>56,750.00</t>
  </si>
  <si>
    <t>40,300.00</t>
  </si>
  <si>
    <t>77,732.00</t>
  </si>
  <si>
    <t>289,499,796.53</t>
  </si>
  <si>
    <t>713,411.00</t>
  </si>
  <si>
    <t>12,934,198.51</t>
  </si>
  <si>
    <t>207,000.00</t>
  </si>
  <si>
    <t>2,454,232.48</t>
  </si>
  <si>
    <t>310,632.00</t>
  </si>
  <si>
    <t>201,765.00</t>
  </si>
  <si>
    <t>19,501,888.25</t>
  </si>
  <si>
    <t>804,023.44</t>
  </si>
  <si>
    <t>634,200.00</t>
  </si>
  <si>
    <t>109,842.00</t>
  </si>
  <si>
    <t>5,197,670.77</t>
  </si>
  <si>
    <t>203,027.00</t>
  </si>
  <si>
    <t>509,010.00</t>
  </si>
  <si>
    <t>571,926.25</t>
  </si>
  <si>
    <t>92,649.70</t>
  </si>
  <si>
    <t>241,440.00</t>
  </si>
  <si>
    <t>38,900.00</t>
  </si>
  <si>
    <t>101,250.00</t>
  </si>
  <si>
    <t>12,375,000.00</t>
  </si>
  <si>
    <t>176,640.00</t>
  </si>
  <si>
    <t>243,687.00</t>
  </si>
  <si>
    <t>281,800.00</t>
  </si>
  <si>
    <t>87,230.00</t>
  </si>
  <si>
    <t>9,999,960.13</t>
  </si>
  <si>
    <t>183,542.93</t>
  </si>
  <si>
    <t>9,654,869.08</t>
  </si>
  <si>
    <t>84,290.00</t>
  </si>
  <si>
    <t>725,889.00</t>
  </si>
  <si>
    <t>1,120,000.00</t>
  </si>
  <si>
    <t>137,870.00</t>
  </si>
  <si>
    <t>14,978,730.89</t>
  </si>
  <si>
    <t>153,928.00</t>
  </si>
  <si>
    <t>9,999,726.70</t>
  </si>
  <si>
    <t>502,035.00</t>
  </si>
  <si>
    <t>842,200.00</t>
  </si>
  <si>
    <t>78,375.20</t>
  </si>
  <si>
    <t>156,600.00</t>
  </si>
  <si>
    <t>5,088,823.01</t>
  </si>
  <si>
    <t>254,580.10</t>
  </si>
  <si>
    <t>849,732.00</t>
  </si>
  <si>
    <t>852,935.00</t>
  </si>
  <si>
    <t>52,435.00</t>
  </si>
  <si>
    <t>85,990.00</t>
  </si>
  <si>
    <t>71,000.00</t>
  </si>
  <si>
    <t>1,777,613.88</t>
  </si>
  <si>
    <t>132,460.00</t>
  </si>
  <si>
    <t>955,546.00</t>
  </si>
  <si>
    <t>10,053,000.00</t>
  </si>
  <si>
    <t>725,368.35</t>
  </si>
  <si>
    <t>112,100.00</t>
  </si>
  <si>
    <t>674,531.00</t>
  </si>
  <si>
    <t>5,162,420.79</t>
  </si>
  <si>
    <t>2,885,508.31</t>
  </si>
  <si>
    <t>11,939,177.06</t>
  </si>
  <si>
    <t>932,400.00</t>
  </si>
  <si>
    <t>123,970.00</t>
  </si>
  <si>
    <t>11,939,908.64</t>
  </si>
  <si>
    <t>155,531.93</t>
  </si>
  <si>
    <t>677,875.00</t>
  </si>
  <si>
    <t>4,243,839.21</t>
  </si>
  <si>
    <t>94,297.00</t>
  </si>
  <si>
    <t>467,740.50</t>
  </si>
  <si>
    <t>5,701,219.60</t>
  </si>
  <si>
    <t>989,575.00</t>
  </si>
  <si>
    <t>371,300.00</t>
  </si>
  <si>
    <t>3,690,910.09</t>
  </si>
  <si>
    <t>4,996,567.92</t>
  </si>
  <si>
    <t>507,100.00</t>
  </si>
  <si>
    <t>1,584,800.00</t>
  </si>
  <si>
    <t>183,820.00</t>
  </si>
  <si>
    <t>2,740,000.00</t>
  </si>
  <si>
    <t>5,808,000.00</t>
  </si>
  <si>
    <t>55,100,000.00</t>
  </si>
  <si>
    <t>4,337,743.24</t>
  </si>
  <si>
    <t>9,079,050.00</t>
  </si>
  <si>
    <t>5,958,828.89</t>
  </si>
  <si>
    <t>3,767,187.50</t>
  </si>
  <si>
    <t>1,836,650.00</t>
  </si>
  <si>
    <t>14,000,000.00</t>
  </si>
  <si>
    <t>437,500.00</t>
  </si>
  <si>
    <t>1,059,600.00</t>
  </si>
  <si>
    <t>4,019,000.00</t>
  </si>
  <si>
    <t>1,560,000.00</t>
  </si>
  <si>
    <t>3,754,200.88</t>
  </si>
  <si>
    <t>7,569,000.00</t>
  </si>
  <si>
    <t>3,395,400.00</t>
  </si>
  <si>
    <t>6,590,423.49</t>
  </si>
  <si>
    <t>11,845,260.00</t>
  </si>
  <si>
    <t>5,998,574.66</t>
  </si>
  <si>
    <t>730,500.00</t>
  </si>
  <si>
    <t>3,499,264.55</t>
  </si>
  <si>
    <t>279,000.00</t>
  </si>
  <si>
    <t>3,318,370.69</t>
  </si>
  <si>
    <t>7,458,840.00</t>
  </si>
  <si>
    <t>1,030,000.00</t>
  </si>
  <si>
    <t>16,000,000.00</t>
  </si>
  <si>
    <t>5,131,760.02</t>
  </si>
  <si>
    <t>4,732,659.30</t>
  </si>
  <si>
    <t>2,784,017.10</t>
  </si>
  <si>
    <t>9,181,767.50</t>
  </si>
  <si>
    <t>6,165,237.12</t>
  </si>
  <si>
    <t>742,500.00</t>
  </si>
  <si>
    <t>4,151,665.51</t>
  </si>
  <si>
    <t>5,946,052.60</t>
  </si>
  <si>
    <t>490,500.00</t>
  </si>
  <si>
    <t>1,834,350.00</t>
  </si>
  <si>
    <t>5,020,686.68</t>
  </si>
  <si>
    <t>2,998,152.98</t>
  </si>
  <si>
    <t>6,260,339.61</t>
  </si>
  <si>
    <t>6,916,350.00</t>
  </si>
  <si>
    <t>865,950.00</t>
  </si>
  <si>
    <t>907,950.00</t>
  </si>
  <si>
    <t>24,197,350.00</t>
  </si>
  <si>
    <t>5,128,620.26</t>
  </si>
  <si>
    <t>6,256,169.73</t>
  </si>
  <si>
    <t>2,268,500.00</t>
  </si>
  <si>
    <t>8,592,600.00</t>
  </si>
  <si>
    <t>5,586,234.92</t>
  </si>
  <si>
    <t>6,883,593.75</t>
  </si>
  <si>
    <t>5,006,498.49</t>
  </si>
  <si>
    <t>201,166.66</t>
  </si>
  <si>
    <t>1,450,000.00</t>
  </si>
  <si>
    <t>1,996,400.00</t>
  </si>
  <si>
    <t>4,550,000.00</t>
  </si>
  <si>
    <t>3,495,455.91</t>
  </si>
  <si>
    <t>911,100.00</t>
  </si>
  <si>
    <t>3,880,482.45</t>
  </si>
  <si>
    <t>100,583.34</t>
  </si>
  <si>
    <t>869,100.00</t>
  </si>
  <si>
    <t>914,250.00</t>
  </si>
  <si>
    <t>3,240,027.28</t>
  </si>
  <si>
    <t>301,750.00</t>
  </si>
  <si>
    <t>3,096,850.34</t>
  </si>
  <si>
    <t>249,960.00</t>
  </si>
  <si>
    <t>650,303.50</t>
  </si>
  <si>
    <t>260,435.00</t>
  </si>
  <si>
    <t>6,600.00</t>
  </si>
  <si>
    <t>245,000.00</t>
  </si>
  <si>
    <t>14,900.00</t>
  </si>
  <si>
    <t>694,800.00</t>
  </si>
  <si>
    <t>2,595,970.00</t>
  </si>
  <si>
    <t>3,063,244.41</t>
  </si>
  <si>
    <t>4,600.00</t>
  </si>
  <si>
    <t>3,160.00</t>
  </si>
  <si>
    <t>1,820,047.00</t>
  </si>
  <si>
    <t>57,997.00</t>
  </si>
  <si>
    <t>999,909.66</t>
  </si>
  <si>
    <t>32,800.00</t>
  </si>
  <si>
    <t>6,342,600.00</t>
  </si>
  <si>
    <t>3,796,761.23</t>
  </si>
  <si>
    <t>8,200,000.00</t>
  </si>
  <si>
    <t>484,765.40</t>
  </si>
  <si>
    <t>1,343,825.07</t>
  </si>
  <si>
    <t>290,778.11</t>
  </si>
  <si>
    <t>1,529,988.00</t>
  </si>
  <si>
    <t>193,821.00</t>
  </si>
  <si>
    <t>42,443,296.44</t>
  </si>
  <si>
    <t>492,765.40</t>
  </si>
  <si>
    <t>537,050.27</t>
  </si>
  <si>
    <t>430,000.00</t>
  </si>
  <si>
    <t>599,719.37</t>
  </si>
  <si>
    <t>517,992.45</t>
  </si>
  <si>
    <t>270,000,000.00</t>
  </si>
  <si>
    <t>25,202.00</t>
  </si>
  <si>
    <t>740,000.00</t>
  </si>
  <si>
    <t>1,232,250.00</t>
  </si>
  <si>
    <t>499,942.28</t>
  </si>
  <si>
    <t>414,020.00</t>
  </si>
  <si>
    <t>405,900.50</t>
  </si>
  <si>
    <t>5,406,000.00</t>
  </si>
  <si>
    <t>5,004,000.00</t>
  </si>
  <si>
    <t>58,978.52</t>
  </si>
  <si>
    <t>399,428.61</t>
  </si>
  <si>
    <t>128,150.00</t>
  </si>
  <si>
    <t>29,399,998.85</t>
  </si>
  <si>
    <t>54,445.00</t>
  </si>
  <si>
    <t>111,110.00</t>
  </si>
  <si>
    <t>7,839,984.59</t>
  </si>
  <si>
    <t>53,405.00</t>
  </si>
  <si>
    <t>29,599,650.87</t>
  </si>
  <si>
    <t>360,440.00</t>
  </si>
  <si>
    <t>4,899,978.01</t>
  </si>
  <si>
    <t>195,962.80</t>
  </si>
  <si>
    <t>14,563,108.00</t>
  </si>
  <si>
    <t>56,393.00</t>
  </si>
  <si>
    <t>1,826,513.92</t>
  </si>
  <si>
    <t>509,000.00</t>
  </si>
  <si>
    <t>178,398.56</t>
  </si>
  <si>
    <t>2,936,838.29</t>
  </si>
  <si>
    <t>4,899,399.41</t>
  </si>
  <si>
    <t>75,310.00</t>
  </si>
  <si>
    <t>1,939,306.60</t>
  </si>
  <si>
    <t>28,642,847.47</t>
  </si>
  <si>
    <t>91,335.00</t>
  </si>
  <si>
    <t>1,891,978.38</t>
  </si>
  <si>
    <t>5,748,422.00</t>
  </si>
  <si>
    <t>187,105.20</t>
  </si>
  <si>
    <t>84,750.00</t>
  </si>
  <si>
    <t>6,610,000.00</t>
  </si>
  <si>
    <t>4,240,000.00</t>
  </si>
  <si>
    <t>999,712.00</t>
  </si>
  <si>
    <t>716,997.00</t>
  </si>
  <si>
    <t>937,000.00</t>
  </si>
  <si>
    <t>12,571,721.70</t>
  </si>
  <si>
    <t>98,500.00</t>
  </si>
  <si>
    <t>363,576.00</t>
  </si>
  <si>
    <t>163,475.00</t>
  </si>
  <si>
    <t>779,850.00</t>
  </si>
  <si>
    <t>2,295,000.00</t>
  </si>
  <si>
    <t>8,995,414.20</t>
  </si>
  <si>
    <t>1,643,739.00</t>
  </si>
  <si>
    <t>499,978.50</t>
  </si>
  <si>
    <t>70,790.00</t>
  </si>
  <si>
    <t>269,837.00</t>
  </si>
  <si>
    <t>143,980.32</t>
  </si>
  <si>
    <t>112,660.00</t>
  </si>
  <si>
    <t>618,745.00</t>
  </si>
  <si>
    <t>49,991.00</t>
  </si>
  <si>
    <t>49,050.00</t>
  </si>
  <si>
    <t>83,700.00</t>
  </si>
  <si>
    <t>5,600,000.00</t>
  </si>
  <si>
    <t>964,800.00</t>
  </si>
  <si>
    <t>626,400.00</t>
  </si>
  <si>
    <t>108,758.00</t>
  </si>
  <si>
    <t>175,493.00</t>
  </si>
  <si>
    <t>5,235,000.00</t>
  </si>
  <si>
    <t>1,006,550.00</t>
  </si>
  <si>
    <t>3,110,815.57</t>
  </si>
  <si>
    <t>85,904.00</t>
  </si>
  <si>
    <t>1,194,625.96</t>
  </si>
  <si>
    <t>1,290,655.08</t>
  </si>
  <si>
    <t>338,533.00</t>
  </si>
  <si>
    <t>749,945.50</t>
  </si>
  <si>
    <t>293,730.00</t>
  </si>
  <si>
    <t>1,003,630.00</t>
  </si>
  <si>
    <t>775,080.00</t>
  </si>
  <si>
    <t>342,330.00</t>
  </si>
  <si>
    <t>194,863.00</t>
  </si>
  <si>
    <t>83,230.00</t>
  </si>
  <si>
    <t>718,090.00</t>
  </si>
  <si>
    <t>1,378,000.00</t>
  </si>
  <si>
    <t>356,715.00</t>
  </si>
  <si>
    <t>580,229.00</t>
  </si>
  <si>
    <t>6,475,999.12</t>
  </si>
  <si>
    <t>2,299,999.14</t>
  </si>
  <si>
    <t>164,280.00</t>
  </si>
  <si>
    <t>249,920.00</t>
  </si>
  <si>
    <t>95,515.00</t>
  </si>
  <si>
    <t>563,000.10</t>
  </si>
  <si>
    <t>749,901.36</t>
  </si>
  <si>
    <t>134,785.00</t>
  </si>
  <si>
    <t>798,836.65</t>
  </si>
  <si>
    <t>253,000.00</t>
  </si>
  <si>
    <t>17,915,053.01</t>
  </si>
  <si>
    <t>997,711.26</t>
  </si>
  <si>
    <t>519,636.54</t>
  </si>
  <si>
    <t>610,965.00</t>
  </si>
  <si>
    <t>1,349,834.11</t>
  </si>
  <si>
    <t>1,605,821.75</t>
  </si>
  <si>
    <t>1,711,067.40</t>
  </si>
  <si>
    <t>1,888,518.34</t>
  </si>
  <si>
    <t>11,799,906.51</t>
  </si>
  <si>
    <t>4,498,938.88</t>
  </si>
  <si>
    <t>1,494,341.40</t>
  </si>
  <si>
    <t>1,997,935.84</t>
  </si>
  <si>
    <t>1,475,316.45</t>
  </si>
  <si>
    <t>656,585.00</t>
  </si>
  <si>
    <t>999,613.24</t>
  </si>
  <si>
    <t>1,349,140.11</t>
  </si>
  <si>
    <t>774,019.60</t>
  </si>
  <si>
    <t>17,099,800.67</t>
  </si>
  <si>
    <t>979,204.85</t>
  </si>
  <si>
    <t>3,111,979.00</t>
  </si>
  <si>
    <t>973,773.75</t>
  </si>
  <si>
    <t>1,179,678.71</t>
  </si>
  <si>
    <t>9,999,649.57</t>
  </si>
  <si>
    <t>4,531,339.74</t>
  </si>
  <si>
    <t>999,951.42</t>
  </si>
  <si>
    <t>2,536,000.00</t>
  </si>
  <si>
    <t>152,895.26</t>
  </si>
  <si>
    <t>99,801.00</t>
  </si>
  <si>
    <t>4,000,100.00</t>
  </si>
  <si>
    <t>474,767.41</t>
  </si>
  <si>
    <t>65,124.84</t>
  </si>
  <si>
    <t>1,330,000.00</t>
  </si>
  <si>
    <t>981,717.75</t>
  </si>
  <si>
    <t>55,016.00</t>
  </si>
  <si>
    <t>243,936.00</t>
  </si>
  <si>
    <t>55,846.77</t>
  </si>
  <si>
    <t>1,197,667.08</t>
  </si>
  <si>
    <t>9,487,436.00</t>
  </si>
  <si>
    <t>649,430.00</t>
  </si>
  <si>
    <t>597,986.52</t>
  </si>
  <si>
    <t>760,136.00</t>
  </si>
  <si>
    <t>666,619.20</t>
  </si>
  <si>
    <t>377,935.00</t>
  </si>
  <si>
    <t>314,600.00</t>
  </si>
  <si>
    <t>73,180.00</t>
  </si>
  <si>
    <t>369,957.52</t>
  </si>
  <si>
    <t>79,395.00</t>
  </si>
  <si>
    <t>739,619.58</t>
  </si>
  <si>
    <t>178,750.00</t>
  </si>
  <si>
    <t>554,700.00</t>
  </si>
  <si>
    <t>62,045.00</t>
  </si>
  <si>
    <t>408,263.00</t>
  </si>
  <si>
    <t>500,150.00</t>
  </si>
  <si>
    <t>1,278,655.46</t>
  </si>
  <si>
    <t>132,254.00</t>
  </si>
  <si>
    <t>74,596.00</t>
  </si>
  <si>
    <t>796,980.00</t>
  </si>
  <si>
    <t>268,836.00</t>
  </si>
  <si>
    <t>126,735.00</t>
  </si>
  <si>
    <t>2,424,840.00</t>
  </si>
  <si>
    <t>2,278,305.00</t>
  </si>
  <si>
    <t>1,182,743.90</t>
  </si>
  <si>
    <t>4,374,167.19</t>
  </si>
  <si>
    <t>84,698.00</t>
  </si>
  <si>
    <t>3,113,414.37</t>
  </si>
  <si>
    <t>1,624,000.00</t>
  </si>
  <si>
    <t>2,551,800.00</t>
  </si>
  <si>
    <t>527,399.60</t>
  </si>
  <si>
    <t>1,298,172.82</t>
  </si>
  <si>
    <t>1,801,896.00</t>
  </si>
  <si>
    <t>2,498,968.55</t>
  </si>
  <si>
    <t>2,041,960.00</t>
  </si>
  <si>
    <t>2,046,059.27</t>
  </si>
  <si>
    <t>596,400.00</t>
  </si>
  <si>
    <t>822,000.00</t>
  </si>
  <si>
    <t>1,600,738.72</t>
  </si>
  <si>
    <t>688,927.06</t>
  </si>
  <si>
    <t>99,727,604.06</t>
  </si>
  <si>
    <t>1,020,000.00</t>
  </si>
  <si>
    <t>456,142.14</t>
  </si>
  <si>
    <t>1,453,900.00</t>
  </si>
  <si>
    <t>1,416,798.00</t>
  </si>
  <si>
    <t>91,700.00</t>
  </si>
  <si>
    <t>4,022,960.15</t>
  </si>
  <si>
    <t>17,979,300.00</t>
  </si>
  <si>
    <t>1,756,560.00</t>
  </si>
  <si>
    <t>75,216.96</t>
  </si>
  <si>
    <t>2,042,872.49</t>
  </si>
  <si>
    <t>4,998,830.71</t>
  </si>
  <si>
    <t>1,416,000.00</t>
  </si>
  <si>
    <t>1,162,660.80</t>
  </si>
  <si>
    <t>1,344,000.00</t>
  </si>
  <si>
    <t>169,375.00</t>
  </si>
  <si>
    <t>334,251.80</t>
  </si>
  <si>
    <t>1,996,597.32</t>
  </si>
  <si>
    <t>496,320.00</t>
  </si>
  <si>
    <t>12,935,000.00</t>
  </si>
  <si>
    <t>55,096.00</t>
  </si>
  <si>
    <t>191,435.00</t>
  </si>
  <si>
    <t>70,368.50</t>
  </si>
  <si>
    <t>99,815.60</t>
  </si>
  <si>
    <t>93,140.00</t>
  </si>
  <si>
    <t>971,830.99</t>
  </si>
  <si>
    <t>371,717.00</t>
  </si>
  <si>
    <t>112,945.00</t>
  </si>
  <si>
    <t>65,731.00</t>
  </si>
  <si>
    <t>288,400.00</t>
  </si>
  <si>
    <t>75,223.00</t>
  </si>
  <si>
    <t>224,500.00</t>
  </si>
  <si>
    <t>75,650.00</t>
  </si>
  <si>
    <t>142,191.00</t>
  </si>
  <si>
    <t>69,300.00</t>
  </si>
  <si>
    <t>376,950.00</t>
  </si>
  <si>
    <t>97,630.00</t>
  </si>
  <si>
    <t>162,490.00</t>
  </si>
  <si>
    <t>47,000.00</t>
  </si>
  <si>
    <t>534,520.00</t>
  </si>
  <si>
    <t>54,750.00</t>
  </si>
  <si>
    <t>1,455,000.00</t>
  </si>
  <si>
    <t>82,860.00</t>
  </si>
  <si>
    <t>134,554.00</t>
  </si>
  <si>
    <t>221,925.00</t>
  </si>
  <si>
    <t>2,425,000.00</t>
  </si>
  <si>
    <t>88,879.00</t>
  </si>
  <si>
    <t>1,401,421.88</t>
  </si>
  <si>
    <t>144,800.00</t>
  </si>
  <si>
    <t>23,030,000.00</t>
  </si>
  <si>
    <t>11,937,445.31</t>
  </si>
  <si>
    <t>499,925.00</t>
  </si>
  <si>
    <t>5,197,000.00</t>
  </si>
  <si>
    <t>1,493,425.00</t>
  </si>
  <si>
    <t>3,398,479.39</t>
  </si>
  <si>
    <t>910,024.71</t>
  </si>
  <si>
    <t>236,090.00</t>
  </si>
  <si>
    <t>403,126.00</t>
  </si>
  <si>
    <t>277,300.00</t>
  </si>
  <si>
    <t>999,906.66</t>
  </si>
  <si>
    <t>974,000.00</t>
  </si>
  <si>
    <t>1,893,077.60</t>
  </si>
  <si>
    <t>622,000.00</t>
  </si>
  <si>
    <t>9,776,567.52</t>
  </si>
  <si>
    <t>196,000.00</t>
  </si>
  <si>
    <t>531,000.00</t>
  </si>
  <si>
    <t>291,000.00</t>
  </si>
  <si>
    <t>1,636,614.74</t>
  </si>
  <si>
    <t>11,933,851.05</t>
  </si>
  <si>
    <t>112,240.00</t>
  </si>
  <si>
    <t>50,790.00</t>
  </si>
  <si>
    <t>725,839.00</t>
  </si>
  <si>
    <t>51,764.00</t>
  </si>
  <si>
    <t>14,960.00</t>
  </si>
  <si>
    <t>56,700.00</t>
  </si>
  <si>
    <t>90,315.00</t>
  </si>
  <si>
    <t>489,444.24</t>
  </si>
  <si>
    <t>71,460.00</t>
  </si>
  <si>
    <t>145,500.00</t>
  </si>
  <si>
    <t>299,642.10</t>
  </si>
  <si>
    <t>1,911,000.00</t>
  </si>
  <si>
    <t>1,199,428.12</t>
  </si>
  <si>
    <t>2,140,000.00</t>
  </si>
  <si>
    <t>118,406.00</t>
  </si>
  <si>
    <t>1,374,767.00</t>
  </si>
  <si>
    <t>647,237.00</t>
  </si>
  <si>
    <t>443,500.00</t>
  </si>
  <si>
    <t>2,554,685.70</t>
  </si>
  <si>
    <t>9,975.00</t>
  </si>
  <si>
    <t>546,500.00</t>
  </si>
  <si>
    <t>59,445.00</t>
  </si>
  <si>
    <t>597,264.00</t>
  </si>
  <si>
    <t>5,066.39</t>
  </si>
  <si>
    <t>12,340.62</t>
  </si>
  <si>
    <t>7,271.50</t>
  </si>
  <si>
    <t>219,430.00</t>
  </si>
  <si>
    <t>49,999,808.70</t>
  </si>
  <si>
    <t>180,450.00</t>
  </si>
  <si>
    <t>148,000.00</t>
  </si>
  <si>
    <t>96,325.00</t>
  </si>
  <si>
    <t>219,005.00</t>
  </si>
  <si>
    <t>224,301.18</t>
  </si>
  <si>
    <t>438,985.82</t>
  </si>
  <si>
    <t>375,206.40</t>
  </si>
  <si>
    <t>351,645.26</t>
  </si>
  <si>
    <t>59,782.00</t>
  </si>
  <si>
    <t>41,462.00</t>
  </si>
  <si>
    <t>79,450.00</t>
  </si>
  <si>
    <t>22,996.45</t>
  </si>
  <si>
    <t>2,445.00</t>
  </si>
  <si>
    <t>636,625.00</t>
  </si>
  <si>
    <t>32,378.33</t>
  </si>
  <si>
    <t>12,751.17</t>
  </si>
  <si>
    <t>816,162.00</t>
  </si>
  <si>
    <t>521,051.10</t>
  </si>
  <si>
    <t>15,150.00</t>
  </si>
  <si>
    <t>92,950.00</t>
  </si>
  <si>
    <t>650.00</t>
  </si>
  <si>
    <t>197,520.00</t>
  </si>
  <si>
    <t>40,281.00</t>
  </si>
  <si>
    <t>342,000.00</t>
  </si>
  <si>
    <t>7,321,150.00</t>
  </si>
  <si>
    <t>230,900.00</t>
  </si>
  <si>
    <t>1,787,163.05</t>
  </si>
  <si>
    <t>2,729,769.20</t>
  </si>
  <si>
    <t>9,940.00</t>
  </si>
  <si>
    <t>321,871.00</t>
  </si>
  <si>
    <t>194,517.00</t>
  </si>
  <si>
    <t>49,168.40</t>
  </si>
  <si>
    <t>681,835.14</t>
  </si>
  <si>
    <t>14,424.04</t>
  </si>
  <si>
    <t>791,505.00</t>
  </si>
  <si>
    <t>69,980.00</t>
  </si>
  <si>
    <t>669,342.36</t>
  </si>
  <si>
    <t>550,580.00</t>
  </si>
  <si>
    <t>27,200.00</t>
  </si>
  <si>
    <t>967,120.00</t>
  </si>
  <si>
    <t>240,500.00</t>
  </si>
  <si>
    <t>411,675.00</t>
  </si>
  <si>
    <t>282,900.00</t>
  </si>
  <si>
    <t>540,400.00</t>
  </si>
  <si>
    <t>100,113.00</t>
  </si>
  <si>
    <t>339,300.00</t>
  </si>
  <si>
    <t>2,379,290.00</t>
  </si>
  <si>
    <t>669,573.35</t>
  </si>
  <si>
    <t>76,324.43</t>
  </si>
  <si>
    <t>394,950.00</t>
  </si>
  <si>
    <t>1,000.00</t>
  </si>
  <si>
    <t>863,234.31</t>
  </si>
  <si>
    <t>586,950.00</t>
  </si>
  <si>
    <t>1,604,219.00</t>
  </si>
  <si>
    <t>1,512,000.00</t>
  </si>
  <si>
    <t>84,510.00</t>
  </si>
  <si>
    <t>1,180,590.00</t>
  </si>
  <si>
    <t>52,378.00</t>
  </si>
  <si>
    <t>165,906.00</t>
  </si>
  <si>
    <t>961,262.48</t>
  </si>
  <si>
    <t>249,993.50</t>
  </si>
  <si>
    <t>999,828.72</t>
  </si>
  <si>
    <t>93,869.00</t>
  </si>
  <si>
    <t>1,099,595.00</t>
  </si>
  <si>
    <t>80,599.00</t>
  </si>
  <si>
    <t>1,296,900.00</t>
  </si>
  <si>
    <t>4,243,896.00</t>
  </si>
  <si>
    <t>236,026.18</t>
  </si>
  <si>
    <t>641,248.00</t>
  </si>
  <si>
    <t>1,207,830.00</t>
  </si>
  <si>
    <t>279,919.65</t>
  </si>
  <si>
    <t>1,151,960.00</t>
  </si>
  <si>
    <t>108,147.09</t>
  </si>
  <si>
    <t>295,535.00</t>
  </si>
  <si>
    <t>1,149,500.00</t>
  </si>
  <si>
    <t>998,532.35</t>
  </si>
  <si>
    <t>44,180.00</t>
  </si>
  <si>
    <t>1,530,000.00</t>
  </si>
  <si>
    <t>282,000.00</t>
  </si>
  <si>
    <t>1,255,817.64</t>
  </si>
  <si>
    <t>992,056.53</t>
  </si>
  <si>
    <t>2,677,785.30</t>
  </si>
  <si>
    <t>1,696,971.05</t>
  </si>
  <si>
    <t>907,060.00</t>
  </si>
  <si>
    <t>711,396.00</t>
  </si>
  <si>
    <t>985,553.51</t>
  </si>
  <si>
    <t>42,025.00</t>
  </si>
  <si>
    <t>1,935,306.31</t>
  </si>
  <si>
    <t>345,005.00</t>
  </si>
  <si>
    <t>406,415.00</t>
  </si>
  <si>
    <t>96,462.50</t>
  </si>
  <si>
    <t>143,999.00</t>
  </si>
  <si>
    <t>229,550.00</t>
  </si>
  <si>
    <t>47,400.00</t>
  </si>
  <si>
    <t>82,800.00</t>
  </si>
  <si>
    <t>2,105,000.00</t>
  </si>
  <si>
    <t>90,574.00</t>
  </si>
  <si>
    <t>2,698,192.09</t>
  </si>
  <si>
    <t>948,060.00</t>
  </si>
  <si>
    <t>469,181.15</t>
  </si>
  <si>
    <t>109,750.00</t>
  </si>
  <si>
    <t>217,520.00</t>
  </si>
  <si>
    <t>264,500.00</t>
  </si>
  <si>
    <t>1,498,559.93</t>
  </si>
  <si>
    <t>52,592.69</t>
  </si>
  <si>
    <t>271,085.00</t>
  </si>
  <si>
    <t>1,446,281.32</t>
  </si>
  <si>
    <t>151,565.06</t>
  </si>
  <si>
    <t>2,098,000.00</t>
  </si>
  <si>
    <t>792,765.00</t>
  </si>
  <si>
    <t>304,750.00</t>
  </si>
  <si>
    <t>610,955.00</t>
  </si>
  <si>
    <t>635,760.00</t>
  </si>
  <si>
    <t>265,456.00</t>
  </si>
  <si>
    <t>148,220.00</t>
  </si>
  <si>
    <t>3,456,090.00</t>
  </si>
  <si>
    <t>281,820.00</t>
  </si>
  <si>
    <t>499,925.81</t>
  </si>
  <si>
    <t>1,809,926.00</t>
  </si>
  <si>
    <t>251,930.00</t>
  </si>
  <si>
    <t>79,050.00</t>
  </si>
  <si>
    <t>1,947,935.00</t>
  </si>
  <si>
    <t>849,621.97</t>
  </si>
  <si>
    <t>5,320,000.00</t>
  </si>
  <si>
    <t>630,800.00</t>
  </si>
  <si>
    <t>916,672.95</t>
  </si>
  <si>
    <t>495,455.00</t>
  </si>
  <si>
    <t>299,394.04</t>
  </si>
  <si>
    <t>2,299,618.00</t>
  </si>
  <si>
    <t>269,650.00</t>
  </si>
  <si>
    <t>101,802.00</t>
  </si>
  <si>
    <t>73,070.00</t>
  </si>
  <si>
    <t>73,160.00</t>
  </si>
  <si>
    <t>887,907.00</t>
  </si>
  <si>
    <t>267,183.00</t>
  </si>
  <si>
    <t>574,030.50</t>
  </si>
  <si>
    <t>9,630,000.00</t>
  </si>
  <si>
    <t>221,000.00</t>
  </si>
  <si>
    <t>499,912.20</t>
  </si>
  <si>
    <t>44,520.00</t>
  </si>
  <si>
    <t>67,720.00</t>
  </si>
  <si>
    <t>204,253.00</t>
  </si>
  <si>
    <t>3,008,072.65</t>
  </si>
  <si>
    <t>163,911.22</t>
  </si>
  <si>
    <t>635,729.40</t>
  </si>
  <si>
    <t>640,817.00</t>
  </si>
  <si>
    <t>1,480,610.00</t>
  </si>
  <si>
    <t>576,062.11</t>
  </si>
  <si>
    <t>221,230.00</t>
  </si>
  <si>
    <t>98,264.15</t>
  </si>
  <si>
    <t>141,150.00</t>
  </si>
  <si>
    <t>14,000.00</t>
  </si>
  <si>
    <t>695,165.26</t>
  </si>
  <si>
    <t>284,802.00</t>
  </si>
  <si>
    <t>67,060.80</t>
  </si>
  <si>
    <t>1,225.00</t>
  </si>
  <si>
    <t>91,325.60</t>
  </si>
  <si>
    <t>3,053.23</t>
  </si>
  <si>
    <t>198,155.00</t>
  </si>
  <si>
    <t>490,014.27</t>
  </si>
  <si>
    <t>3,600.00</t>
  </si>
  <si>
    <t>17,043.13</t>
  </si>
  <si>
    <t>10,452,868.00</t>
  </si>
  <si>
    <t>13,500.00</t>
  </si>
  <si>
    <t>2,200,000.00</t>
  </si>
  <si>
    <t>3,650.71</t>
  </si>
  <si>
    <t>7,200.00</t>
  </si>
  <si>
    <t>275,080.00</t>
  </si>
  <si>
    <t>354,695.22</t>
  </si>
  <si>
    <t>2,535,000.00</t>
  </si>
  <si>
    <t>601,872.00</t>
  </si>
  <si>
    <t>299,975.00</t>
  </si>
  <si>
    <t>1,818,000.00</t>
  </si>
  <si>
    <t>499,602.60</t>
  </si>
  <si>
    <t>1,429,669.64</t>
  </si>
  <si>
    <t>471,045.00</t>
  </si>
  <si>
    <t>307,750.72</t>
  </si>
  <si>
    <t>1,999,200.00</t>
  </si>
  <si>
    <t>1,185,576.38</t>
  </si>
  <si>
    <t>2,499,972.41</t>
  </si>
  <si>
    <t>10,996,380.73</t>
  </si>
  <si>
    <t>390,072.00</t>
  </si>
  <si>
    <t>71,625.00</t>
  </si>
  <si>
    <t>1,098,230.00</t>
  </si>
  <si>
    <t>3,494,433.76</t>
  </si>
  <si>
    <t>51,259.20</t>
  </si>
  <si>
    <t>3,050.00</t>
  </si>
  <si>
    <t>478,323.43</t>
  </si>
  <si>
    <t>168,910.00</t>
  </si>
  <si>
    <t>911,000.00</t>
  </si>
  <si>
    <t>1,397,118.54</t>
  </si>
  <si>
    <t>139,381.50</t>
  </si>
  <si>
    <t>142,620.00</t>
  </si>
  <si>
    <t>27,375.00</t>
  </si>
  <si>
    <t>64,699.39</t>
  </si>
  <si>
    <t>29,021.45</t>
  </si>
  <si>
    <t>232,320.00</t>
  </si>
  <si>
    <t>122,996.00</t>
  </si>
  <si>
    <t>110,542.00</t>
  </si>
  <si>
    <t>229,075.00</t>
  </si>
  <si>
    <t>1,150,462.42</t>
  </si>
  <si>
    <t>227,688.00</t>
  </si>
  <si>
    <t>206,502.00</t>
  </si>
  <si>
    <t>499,770.00</t>
  </si>
  <si>
    <t>76,100.00</t>
  </si>
  <si>
    <t>247,595.40</t>
  </si>
  <si>
    <t>149,833.42</t>
  </si>
  <si>
    <t>375,200.00</t>
  </si>
  <si>
    <t>921,472.05</t>
  </si>
  <si>
    <t>106,841.00</t>
  </si>
  <si>
    <t>860,000.00</t>
  </si>
  <si>
    <t>206,095.00</t>
  </si>
  <si>
    <t>566,728.00</t>
  </si>
  <si>
    <t>666,696.65</t>
  </si>
  <si>
    <t>572,274.57</t>
  </si>
  <si>
    <t>1,505,180.64</t>
  </si>
  <si>
    <t>1,630,860.00</t>
  </si>
  <si>
    <t>99,393.00</t>
  </si>
  <si>
    <t>642,500.00</t>
  </si>
  <si>
    <t>34,254.00</t>
  </si>
  <si>
    <t>13,598.00</t>
  </si>
  <si>
    <t>3,482,440.00</t>
  </si>
  <si>
    <t>668,545.10</t>
  </si>
  <si>
    <t>4,951,231.64</t>
  </si>
  <si>
    <t>197,897.23</t>
  </si>
  <si>
    <t>1,263,535.00</t>
  </si>
  <si>
    <t>244,580.00</t>
  </si>
  <si>
    <t>1,496,851.84</t>
  </si>
  <si>
    <t>317,524.99</t>
  </si>
  <si>
    <t>251,653.99</t>
  </si>
  <si>
    <t>5,014,000.00</t>
  </si>
  <si>
    <t>285,100.00</t>
  </si>
  <si>
    <t>432,500.00</t>
  </si>
  <si>
    <t>197,983.06</t>
  </si>
  <si>
    <t>18,030.00</t>
  </si>
  <si>
    <t>305,145.23</t>
  </si>
  <si>
    <t>954,865.97</t>
  </si>
  <si>
    <t>2,450,000.00</t>
  </si>
  <si>
    <t>520,333.33</t>
  </si>
  <si>
    <t>177,431.00</t>
  </si>
  <si>
    <t>16,506.00</t>
  </si>
  <si>
    <t>456,758.19</t>
  </si>
  <si>
    <t>46,578.40</t>
  </si>
  <si>
    <t>7,618,750.00</t>
  </si>
  <si>
    <t>386,519.33</t>
  </si>
  <si>
    <t>4,330,608.36</t>
  </si>
  <si>
    <t>4,624,132.95</t>
  </si>
  <si>
    <t>697,654.39</t>
  </si>
  <si>
    <t>31,113.60</t>
  </si>
  <si>
    <t>503,786.57</t>
  </si>
  <si>
    <t>57,673.00</t>
  </si>
  <si>
    <t>848,800.00</t>
  </si>
  <si>
    <t>59,774.00</t>
  </si>
  <si>
    <t>1,170,000.00</t>
  </si>
  <si>
    <t>2,575.00</t>
  </si>
  <si>
    <t>422,660.08</t>
  </si>
  <si>
    <t>2,886,683.69</t>
  </si>
  <si>
    <t>50,198.00</t>
  </si>
  <si>
    <t>901,551.09</t>
  </si>
  <si>
    <t>1,170,430.72</t>
  </si>
  <si>
    <t>118,500.00</t>
  </si>
  <si>
    <t>3,674,643.05</t>
  </si>
  <si>
    <t>1,758,620.00</t>
  </si>
  <si>
    <t>606,540.00</t>
  </si>
  <si>
    <t>4,086,774.99</t>
  </si>
  <si>
    <t>127,357.00</t>
  </si>
  <si>
    <t>3,500.00</t>
  </si>
  <si>
    <t>90,450.00</t>
  </si>
  <si>
    <t>18,218,747.17</t>
  </si>
  <si>
    <t>70,200.00</t>
  </si>
  <si>
    <t>973,434.00</t>
  </si>
  <si>
    <t>61,700.00</t>
  </si>
  <si>
    <t>1,168,834.72</t>
  </si>
  <si>
    <t>2,880,000.00</t>
  </si>
  <si>
    <t>94,350.00</t>
  </si>
  <si>
    <t>416,666.67</t>
  </si>
  <si>
    <t>1,597,482.52</t>
  </si>
  <si>
    <t>149,939.40</t>
  </si>
  <si>
    <t>8,790,658.00</t>
  </si>
  <si>
    <t>860,082.00</t>
  </si>
  <si>
    <t>2,520,000.00</t>
  </si>
  <si>
    <t>950,690.00</t>
  </si>
  <si>
    <t>123,880.00</t>
  </si>
  <si>
    <t>811,000.00</t>
  </si>
  <si>
    <t>1,920,000.00</t>
  </si>
  <si>
    <t>300,061.01</t>
  </si>
  <si>
    <t>326,000.00</t>
  </si>
  <si>
    <t>575,456.44</t>
  </si>
  <si>
    <t>63,200.00</t>
  </si>
  <si>
    <t>57,300.00</t>
  </si>
  <si>
    <t>819,000.00</t>
  </si>
  <si>
    <t>124,366.01</t>
  </si>
  <si>
    <t>4,999,071.40</t>
  </si>
  <si>
    <t>1,910,000.00</t>
  </si>
  <si>
    <t>4,967,279.05</t>
  </si>
  <si>
    <t>411,263.22</t>
  </si>
  <si>
    <t>21,937.00</t>
  </si>
  <si>
    <t>113,311.82</t>
  </si>
  <si>
    <t>56,373.00</t>
  </si>
  <si>
    <t>905,619.35</t>
  </si>
  <si>
    <t>14,820,439.76</t>
  </si>
  <si>
    <t>18,961,724.09</t>
  </si>
  <si>
    <t>151,880.00</t>
  </si>
  <si>
    <t>3,123,079.75</t>
  </si>
  <si>
    <t>113,160.00</t>
  </si>
  <si>
    <t>322,250.00</t>
  </si>
  <si>
    <t>99,997.53</t>
  </si>
  <si>
    <t>1,164,993.18</t>
  </si>
  <si>
    <t>28,210.00</t>
  </si>
  <si>
    <t>376,737.12</t>
  </si>
  <si>
    <t>2,910,678.02</t>
  </si>
  <si>
    <t>166,165.12</t>
  </si>
  <si>
    <t>547,200.00</t>
  </si>
  <si>
    <t>7,216,336.47</t>
  </si>
  <si>
    <t>246,767.00</t>
  </si>
  <si>
    <t>70,560.00</t>
  </si>
  <si>
    <t>17,610.00</t>
  </si>
  <si>
    <t>169,982.89</t>
  </si>
  <si>
    <t>99,795.00</t>
  </si>
  <si>
    <t>1,997,211.63</t>
  </si>
  <si>
    <t>245,430.00</t>
  </si>
  <si>
    <t>148,000,000.00</t>
  </si>
  <si>
    <t>4,090,704.86</t>
  </si>
  <si>
    <t>1,596,000.00</t>
  </si>
  <si>
    <t>117,677.00</t>
  </si>
  <si>
    <t>2,097,695.31</t>
  </si>
  <si>
    <t>188,870.00</t>
  </si>
  <si>
    <t>51,200.00</t>
  </si>
  <si>
    <t>2,976,190.21</t>
  </si>
  <si>
    <t>566,387.84</t>
  </si>
  <si>
    <t>7,305.00</t>
  </si>
  <si>
    <t>54,654.60</t>
  </si>
  <si>
    <t>155,461.76</t>
  </si>
  <si>
    <t>13,614.00</t>
  </si>
  <si>
    <t>1,499,523.39</t>
  </si>
  <si>
    <t>4,999,400.00</t>
  </si>
  <si>
    <t>1,310,206.11</t>
  </si>
  <si>
    <t>1,497,693.49</t>
  </si>
  <si>
    <t>124,727.00</t>
  </si>
  <si>
    <t>91,904.00</t>
  </si>
  <si>
    <t>912,000.00</t>
  </si>
  <si>
    <t>102,600.00</t>
  </si>
  <si>
    <t>203,458.80</t>
  </si>
  <si>
    <t>17,058,441.76</t>
  </si>
  <si>
    <t>72,375,000.00</t>
  </si>
  <si>
    <t>598,000.00</t>
  </si>
  <si>
    <t>4,224,800.00</t>
  </si>
  <si>
    <t>478,692.41</t>
  </si>
  <si>
    <t>76,205.00</t>
  </si>
  <si>
    <t>233,090.40</t>
  </si>
  <si>
    <t>52,100.00</t>
  </si>
  <si>
    <t>206,400.00</t>
  </si>
  <si>
    <t>2,966,833.10</t>
  </si>
  <si>
    <t>411,575.90</t>
  </si>
  <si>
    <t>1,976,952.53</t>
  </si>
  <si>
    <t>13,700.00</t>
  </si>
  <si>
    <t>57,180,000.00</t>
  </si>
  <si>
    <t>25,050.00</t>
  </si>
  <si>
    <t>816,500.00</t>
  </si>
  <si>
    <t>115,302.00</t>
  </si>
  <si>
    <t>233,000.00</t>
  </si>
  <si>
    <t>1,639,883.60</t>
  </si>
  <si>
    <t>68,105.00</t>
  </si>
  <si>
    <t>665,999.83</t>
  </si>
  <si>
    <t>1,762,162.47</t>
  </si>
  <si>
    <t>8,910.00</t>
  </si>
  <si>
    <t>791,649.50</t>
  </si>
  <si>
    <t>2,790,000.00</t>
  </si>
  <si>
    <t>989,149.12</t>
  </si>
  <si>
    <t>1,385,840.00</t>
  </si>
  <si>
    <t>285,455.00</t>
  </si>
  <si>
    <t>13,929,609.11</t>
  </si>
  <si>
    <t>139,450.00</t>
  </si>
  <si>
    <t>771,667.30</t>
  </si>
  <si>
    <t>177,000.00</t>
  </si>
  <si>
    <t>276,502.00</t>
  </si>
  <si>
    <t>105,860.00</t>
  </si>
  <si>
    <t>2,379,856.61</t>
  </si>
  <si>
    <t>11,939,780.92</t>
  </si>
  <si>
    <t>52,592.19</t>
  </si>
  <si>
    <t>469,130.50</t>
  </si>
  <si>
    <t>4,364,645.04</t>
  </si>
  <si>
    <t>2,399,999.99</t>
  </si>
  <si>
    <t>1,185,332.59</t>
  </si>
  <si>
    <t>1,853,041.92</t>
  </si>
  <si>
    <t>104,678.78</t>
  </si>
  <si>
    <t>1,060,000.00</t>
  </si>
  <si>
    <t>18,834,953.01</t>
  </si>
  <si>
    <t>222,493.00</t>
  </si>
  <si>
    <t>353,080.00</t>
  </si>
  <si>
    <t>88,500.00</t>
  </si>
  <si>
    <t>99,684.00</t>
  </si>
  <si>
    <t>295,550.00</t>
  </si>
  <si>
    <t>550,047.23</t>
  </si>
  <si>
    <t>394,660.08</t>
  </si>
  <si>
    <t>4,966,037.66</t>
  </si>
  <si>
    <t>1,341,106.10</t>
  </si>
  <si>
    <t>54,900.00</t>
  </si>
  <si>
    <t>17,805,795.61</t>
  </si>
  <si>
    <t>1,881,669.00</t>
  </si>
  <si>
    <t>50,800.00</t>
  </si>
  <si>
    <t>141,784.00</t>
  </si>
  <si>
    <t>1,021,193.25</t>
  </si>
  <si>
    <t>1,174,840.00</t>
  </si>
  <si>
    <t>771,769.66</t>
  </si>
  <si>
    <t>2,842,000.00</t>
  </si>
  <si>
    <t>5,859,258.63</t>
  </si>
  <si>
    <t>249,442.50</t>
  </si>
  <si>
    <t>5,479,519.00</t>
  </si>
  <si>
    <t>1,480,000.00</t>
  </si>
  <si>
    <t>5,081,830.20</t>
  </si>
  <si>
    <t>164,261,569.20</t>
  </si>
  <si>
    <t>80,405.00</t>
  </si>
  <si>
    <t>177,750.00</t>
  </si>
  <si>
    <t>7,839,998.77</t>
  </si>
  <si>
    <t>65,445.10</t>
  </si>
  <si>
    <t>370,000.00</t>
  </si>
  <si>
    <t>274,219.71</t>
  </si>
  <si>
    <t>891,290.00</t>
  </si>
  <si>
    <t>494,344.00</t>
  </si>
  <si>
    <t>329,000.00</t>
  </si>
  <si>
    <t>216,500.00</t>
  </si>
  <si>
    <t>181,000.00</t>
  </si>
  <si>
    <t>1,197,548.74</t>
  </si>
  <si>
    <t>746,781.13</t>
  </si>
  <si>
    <t>741,345.00</t>
  </si>
  <si>
    <t>1,813,956.60</t>
  </si>
  <si>
    <t>151,500.00</t>
  </si>
  <si>
    <t>1,155,562.00</t>
  </si>
  <si>
    <t>780,160.00</t>
  </si>
  <si>
    <t>2,829,000.00</t>
  </si>
  <si>
    <t>251,226.00</t>
  </si>
  <si>
    <t>16,500.00</t>
  </si>
  <si>
    <t>437,903.64</t>
  </si>
  <si>
    <t>495,318.05</t>
  </si>
  <si>
    <t>56,200.00</t>
  </si>
  <si>
    <t>248,600.00</t>
  </si>
  <si>
    <t>1,078,925.00</t>
  </si>
  <si>
    <t>76,000,000.00</t>
  </si>
  <si>
    <t>1,931,345.00</t>
  </si>
  <si>
    <t>357,000.00</t>
  </si>
  <si>
    <t>148,150.00</t>
  </si>
  <si>
    <t>1,211,917.13</t>
  </si>
  <si>
    <t>5,341,110.57</t>
  </si>
  <si>
    <t>34,660.00</t>
  </si>
  <si>
    <t>18,500.00</t>
  </si>
  <si>
    <t>249,994.24</t>
  </si>
  <si>
    <t>1,017,529.00</t>
  </si>
  <si>
    <t>429,000.00</t>
  </si>
  <si>
    <t>911,096.83</t>
  </si>
  <si>
    <t>42,990.00</t>
  </si>
  <si>
    <t>15,220.00</t>
  </si>
  <si>
    <t>1,575,000.00</t>
  </si>
  <si>
    <t>166,666.00</t>
  </si>
  <si>
    <t>281,779.70</t>
  </si>
  <si>
    <t>101,186,256.86</t>
  </si>
  <si>
    <t>53,757.00</t>
  </si>
  <si>
    <t>1,135,680.00</t>
  </si>
  <si>
    <t>500,689.30</t>
  </si>
  <si>
    <t>36,521,739.00</t>
  </si>
  <si>
    <t>621,352.00</t>
  </si>
  <si>
    <t>506,000.00</t>
  </si>
  <si>
    <t>2,839,703.00</t>
  </si>
  <si>
    <t>297,044.00</t>
  </si>
  <si>
    <t>398,098.07</t>
  </si>
  <si>
    <t>2,742,550.77</t>
  </si>
  <si>
    <t>576,994.96</t>
  </si>
  <si>
    <t>2,150,000.00</t>
  </si>
  <si>
    <t>1,008,000.00</t>
  </si>
  <si>
    <t>120,868.70</t>
  </si>
  <si>
    <t>21,780,000.00</t>
  </si>
  <si>
    <t>869,600.00</t>
  </si>
  <si>
    <t>163,812.00</t>
  </si>
  <si>
    <t>725,475.33</t>
  </si>
  <si>
    <t>3,051,033.41</t>
  </si>
  <si>
    <t>1,189,978.00</t>
  </si>
  <si>
    <t>8,004,300.00</t>
  </si>
  <si>
    <t>1,688,376.10</t>
  </si>
  <si>
    <t>789,000.00</t>
  </si>
  <si>
    <t>11,939,999.96</t>
  </si>
  <si>
    <t>12,934,999.95</t>
  </si>
  <si>
    <t>11,939,999.94</t>
  </si>
  <si>
    <t>258,700.00</t>
  </si>
  <si>
    <t>4,900.00</t>
  </si>
  <si>
    <t>1,495,702.31</t>
  </si>
  <si>
    <t>1,015,705.36</t>
  </si>
  <si>
    <t>2,375,000.00</t>
  </si>
  <si>
    <t>68,350.00</t>
  </si>
  <si>
    <t>1,215,000.00</t>
  </si>
  <si>
    <t>11,939,999.79</t>
  </si>
  <si>
    <t>2,219,107.39</t>
  </si>
  <si>
    <t>2,115,419.21</t>
  </si>
  <si>
    <t>1,959,708.72</t>
  </si>
  <si>
    <t>1,850,000.00</t>
  </si>
  <si>
    <t>1,533,908.06</t>
  </si>
  <si>
    <t>4,187,835.15</t>
  </si>
  <si>
    <t>2,921,807.65</t>
  </si>
  <si>
    <t>99,990.00</t>
  </si>
  <si>
    <t>1,679,784.01</t>
  </si>
  <si>
    <t>310,225.00</t>
  </si>
  <si>
    <t>2,694,000.00</t>
  </si>
  <si>
    <t>1,873,480.86</t>
  </si>
  <si>
    <t>1,170,755.00</t>
  </si>
  <si>
    <t>1,264,299.48</t>
  </si>
  <si>
    <t>19,798,440.62</t>
  </si>
  <si>
    <t>1,248,177.71</t>
  </si>
  <si>
    <t>19,799,556.77</t>
  </si>
  <si>
    <t>29,686,338.44</t>
  </si>
  <si>
    <t>399,364.00</t>
  </si>
  <si>
    <t>1,996,134.85</t>
  </si>
  <si>
    <t>1,595,000.00</t>
  </si>
  <si>
    <t>2,499,454.36</t>
  </si>
  <si>
    <t>2,499,601.90</t>
  </si>
  <si>
    <t>8,928,990.10</t>
  </si>
  <si>
    <t>3,680,000.00</t>
  </si>
  <si>
    <t>9,896,740.54</t>
  </si>
  <si>
    <t>2,767,508.01</t>
  </si>
  <si>
    <t>28,510.00</t>
  </si>
  <si>
    <t>19,795,920.56</t>
  </si>
  <si>
    <t>122,150.51</t>
  </si>
  <si>
    <t>7,930,452.07</t>
  </si>
  <si>
    <t>318,651.90</t>
  </si>
  <si>
    <t>4,949,503.48</t>
  </si>
  <si>
    <t>1,754,819.92</t>
  </si>
  <si>
    <t>7,919,970.73</t>
  </si>
  <si>
    <t>2,093,096.36</t>
  </si>
  <si>
    <t>8,300.00</t>
  </si>
  <si>
    <t>137,930.00</t>
  </si>
  <si>
    <t>451,500.00</t>
  </si>
  <si>
    <t>13,350.00</t>
  </si>
  <si>
    <t>136,125.00</t>
  </si>
  <si>
    <t>277,230.00</t>
  </si>
  <si>
    <t>2,335,859.79</t>
  </si>
  <si>
    <t>365,000.00</t>
  </si>
  <si>
    <t>1,238,329.73</t>
  </si>
  <si>
    <t>116,485.00</t>
  </si>
  <si>
    <t>2,176,422.00</t>
  </si>
  <si>
    <t>2,222,689.00</t>
  </si>
  <si>
    <t>866,260.00</t>
  </si>
  <si>
    <t>603,090.00</t>
  </si>
  <si>
    <t>1,828,854.23</t>
  </si>
  <si>
    <t>104,624.00</t>
  </si>
  <si>
    <t>579,000.00</t>
  </si>
  <si>
    <t>738,000.00</t>
  </si>
  <si>
    <t>2,021,051.76</t>
  </si>
  <si>
    <t>2,968,958.31</t>
  </si>
  <si>
    <t>90,200.00</t>
  </si>
  <si>
    <t>219,718.00</t>
  </si>
  <si>
    <t>1,523,186.96</t>
  </si>
  <si>
    <t>191,500.00</t>
  </si>
  <si>
    <t>46,548,645.57</t>
  </si>
  <si>
    <t>11,511,274.91</t>
  </si>
  <si>
    <t>3,354,089.74</t>
  </si>
  <si>
    <t>1,020,773.28</t>
  </si>
  <si>
    <t>1,729,965.63</t>
  </si>
  <si>
    <t>1,212,193.13</t>
  </si>
  <si>
    <t>1,259,293.75</t>
  </si>
  <si>
    <t>1,840,650.82</t>
  </si>
  <si>
    <t>103,940.00</t>
  </si>
  <si>
    <t>361,780.00</t>
  </si>
  <si>
    <t>399,320.00</t>
  </si>
  <si>
    <t>249,544.14</t>
  </si>
  <si>
    <t>1,893,939.90</t>
  </si>
  <si>
    <t>375,818.00</t>
  </si>
  <si>
    <t>212,077.60</t>
  </si>
  <si>
    <t>1,744,732.01</t>
  </si>
  <si>
    <t>1,405,261.15</t>
  </si>
  <si>
    <t>1,941,771.80</t>
  </si>
  <si>
    <t>1,005,000.00</t>
  </si>
  <si>
    <t>857,937.50</t>
  </si>
  <si>
    <t>739,414.35</t>
  </si>
  <si>
    <t>399,960.00</t>
  </si>
  <si>
    <t>738,375.59</t>
  </si>
  <si>
    <t>631,073.16</t>
  </si>
  <si>
    <t>1,868,096.49</t>
  </si>
  <si>
    <t>379,823.96</t>
  </si>
  <si>
    <t>499,010.98</t>
  </si>
  <si>
    <t>742,907.27</t>
  </si>
  <si>
    <t>151,790.00</t>
  </si>
  <si>
    <t>724,000.00</t>
  </si>
  <si>
    <t>12,448,000.00</t>
  </si>
  <si>
    <t>399,080.00</t>
  </si>
  <si>
    <t>957,105.00</t>
  </si>
  <si>
    <t>989,990.00</t>
  </si>
  <si>
    <t>157,488.00</t>
  </si>
  <si>
    <t>40,290.00</t>
  </si>
  <si>
    <t>383,000.00</t>
  </si>
  <si>
    <t>46,367,301.67</t>
  </si>
  <si>
    <t>37,510.00</t>
  </si>
  <si>
    <t>4,342,800.00</t>
  </si>
  <si>
    <t>378,425.00</t>
  </si>
  <si>
    <t>576,991.00</t>
  </si>
  <si>
    <t>227,500.00</t>
  </si>
  <si>
    <t>227,915.00</t>
  </si>
  <si>
    <t>394,850.00</t>
  </si>
  <si>
    <t>9,899,940.80</t>
  </si>
  <si>
    <t>195,900.00</t>
  </si>
  <si>
    <t>735,000.00</t>
  </si>
  <si>
    <t>910,581.57</t>
  </si>
  <si>
    <t>1,979,482.41</t>
  </si>
  <si>
    <t>479,993.60</t>
  </si>
  <si>
    <t>1,779,661.80</t>
  </si>
  <si>
    <t>4,086,774.20</t>
  </si>
  <si>
    <t>180,575.00</t>
  </si>
  <si>
    <t>617,380.00</t>
  </si>
  <si>
    <t>1,000,350.00</t>
  </si>
  <si>
    <t>128,640.00</t>
  </si>
  <si>
    <t>323,947.00</t>
  </si>
  <si>
    <t>688,545.00</t>
  </si>
  <si>
    <t>241,200.00</t>
  </si>
  <si>
    <t>214,000.00</t>
  </si>
  <si>
    <t>5,957,365.53</t>
  </si>
  <si>
    <t>1,969,186.65</t>
  </si>
  <si>
    <t>498,788.90</t>
  </si>
  <si>
    <t>3,691,875.00</t>
  </si>
  <si>
    <t>30,170,809.50</t>
  </si>
  <si>
    <t>2,572,797.81</t>
  </si>
  <si>
    <t>1,172,500.00</t>
  </si>
  <si>
    <t>4,860,420.00</t>
  </si>
  <si>
    <t>4,680,700.00</t>
  </si>
  <si>
    <t>59,447.50</t>
  </si>
  <si>
    <t>2,429,896.00</t>
  </si>
  <si>
    <t>55,636.40</t>
  </si>
  <si>
    <t>18,762.50</t>
  </si>
  <si>
    <t>31,264.74</t>
  </si>
  <si>
    <t>1,580,000.00</t>
  </si>
  <si>
    <t>919,452.50</t>
  </si>
  <si>
    <t>80,700,000.00</t>
  </si>
  <si>
    <t>2,924,506.76</t>
  </si>
  <si>
    <t>12,280,000.00</t>
  </si>
  <si>
    <t>24,696,422.75</t>
  </si>
  <si>
    <t>161,280.00</t>
  </si>
  <si>
    <t>1,497,396.51</t>
  </si>
  <si>
    <t>692,955.20</t>
  </si>
  <si>
    <t>300,947.00</t>
  </si>
  <si>
    <t>28,300,000.00</t>
  </si>
  <si>
    <t>775,715.54</t>
  </si>
  <si>
    <t>5,262,600.00</t>
  </si>
  <si>
    <t>6,116,673.33</t>
  </si>
  <si>
    <t>149,351.00</t>
  </si>
  <si>
    <t>678,730.75</t>
  </si>
  <si>
    <t>1,625,000.00</t>
  </si>
  <si>
    <t>492,729.45</t>
  </si>
  <si>
    <t>67,550,000.00</t>
  </si>
  <si>
    <t>241,756.49</t>
  </si>
  <si>
    <t>1,073,429.95</t>
  </si>
  <si>
    <t>2,418,781.71</t>
  </si>
  <si>
    <t>29,850,000.00</t>
  </si>
  <si>
    <t>1,457,691.94</t>
  </si>
  <si>
    <t>6,279,000.00</t>
  </si>
  <si>
    <t>3,367,659.00</t>
  </si>
  <si>
    <t>1,916,375.13</t>
  </si>
  <si>
    <t>1,982,131.80</t>
  </si>
  <si>
    <t>395,318.06</t>
  </si>
  <si>
    <t>224,195.60</t>
  </si>
  <si>
    <t>99,911.40</t>
  </si>
  <si>
    <t>1,498,409.00</t>
  </si>
  <si>
    <t>1,760,092.31</t>
  </si>
  <si>
    <t>1,925,500.00</t>
  </si>
  <si>
    <t>1,793,234.21</t>
  </si>
  <si>
    <t>369,088.06</t>
  </si>
  <si>
    <t>1,461,308.88</t>
  </si>
  <si>
    <t>1,939,983.32</t>
  </si>
  <si>
    <t>2,555,828.55</t>
  </si>
  <si>
    <t>17,341,443.75</t>
  </si>
  <si>
    <t>11,322,400.00</t>
  </si>
  <si>
    <t>13,257,978.13</t>
  </si>
  <si>
    <t>1,922,201.02</t>
  </si>
  <si>
    <t>2,291,623.60</t>
  </si>
  <si>
    <t>1,392,874.73</t>
  </si>
  <si>
    <t>347,991.15</t>
  </si>
  <si>
    <t>8,570,736.00</t>
  </si>
  <si>
    <t>1,629,284.00</t>
  </si>
  <si>
    <t>1,000,000.44</t>
  </si>
  <si>
    <t>43,775.00</t>
  </si>
  <si>
    <t>99,142.50</t>
  </si>
  <si>
    <t>268,560.00</t>
  </si>
  <si>
    <t>1,144,255.84</t>
  </si>
  <si>
    <t>9,400,000.00</t>
  </si>
  <si>
    <t>23,857,575.00</t>
  </si>
  <si>
    <t>11,985,000.00</t>
  </si>
  <si>
    <t>4,325,000.00</t>
  </si>
  <si>
    <t>32,000,000.00</t>
  </si>
  <si>
    <t>28,800,000.00</t>
  </si>
  <si>
    <t>2,610,000.00</t>
  </si>
  <si>
    <t>1,339,121.00</t>
  </si>
  <si>
    <t>1,488,400.00</t>
  </si>
  <si>
    <t>199,994.60</t>
  </si>
  <si>
    <t>5,030,653.00</t>
  </si>
  <si>
    <t>3,040,361.99</t>
  </si>
  <si>
    <t>67,510.00</t>
  </si>
  <si>
    <t>297,642.00</t>
  </si>
  <si>
    <t>298,450.00</t>
  </si>
  <si>
    <t>2,724,890.34</t>
  </si>
  <si>
    <t>1,077,719.51</t>
  </si>
  <si>
    <t>3,998,467.03</t>
  </si>
  <si>
    <t>138,346.00</t>
  </si>
  <si>
    <t>14,509,324.00</t>
  </si>
  <si>
    <t>1,455,416.67</t>
  </si>
  <si>
    <t>28,816,000.00</t>
  </si>
  <si>
    <t>3,937,255.00</t>
  </si>
  <si>
    <t>3,678,931.08</t>
  </si>
  <si>
    <t>149,900.00</t>
  </si>
  <si>
    <t>389,600.00</t>
  </si>
  <si>
    <t>943,400.00</t>
  </si>
  <si>
    <t>164,865.83</t>
  </si>
  <si>
    <t>1,461,497.96</t>
  </si>
  <si>
    <t>187,735.00</t>
  </si>
  <si>
    <t>1,179,335.00</t>
  </si>
  <si>
    <t>337,285.00</t>
  </si>
  <si>
    <t>39,000.00</t>
  </si>
  <si>
    <t>553,706.00</t>
  </si>
  <si>
    <t>2,021,000.00</t>
  </si>
  <si>
    <t>79,026.00</t>
  </si>
  <si>
    <t>694,182.69</t>
  </si>
  <si>
    <t>86,145,550.00</t>
  </si>
  <si>
    <t>570,621.68</t>
  </si>
  <si>
    <t>166,355.00</t>
  </si>
  <si>
    <t>3,821,267.99</t>
  </si>
  <si>
    <t>657,330.00</t>
  </si>
  <si>
    <t>6,250,000.00</t>
  </si>
  <si>
    <t>1,431,979.04</t>
  </si>
  <si>
    <t>106,966.00</t>
  </si>
  <si>
    <t>522,080.00</t>
  </si>
  <si>
    <t>4,088,040.00</t>
  </si>
  <si>
    <t>236,025.00</t>
  </si>
  <si>
    <t>5,390,000.00</t>
  </si>
  <si>
    <t>1,954,783.71</t>
  </si>
  <si>
    <t>184,829.50</t>
  </si>
  <si>
    <t>4,762,044.80</t>
  </si>
  <si>
    <t>565,805.52</t>
  </si>
  <si>
    <t>156,120.00</t>
  </si>
  <si>
    <t>333,540.00</t>
  </si>
  <si>
    <t>7,075,584.00</t>
  </si>
  <si>
    <t>2,070,000.00</t>
  </si>
  <si>
    <t>395,075.00</t>
  </si>
  <si>
    <t>999,764.22</t>
  </si>
  <si>
    <t>255,280.00</t>
  </si>
  <si>
    <t>189,040.00</t>
  </si>
  <si>
    <t>249,455.00</t>
  </si>
  <si>
    <t>3,008,000.00</t>
  </si>
  <si>
    <t>3,919,997.20</t>
  </si>
  <si>
    <t>5,544,753.29</t>
  </si>
  <si>
    <t>79,910.00</t>
  </si>
  <si>
    <t>1,697,137.99</t>
  </si>
  <si>
    <t>1,590,481.12</t>
  </si>
  <si>
    <t>200,335.20</t>
  </si>
  <si>
    <t>74,976.90</t>
  </si>
  <si>
    <t>4,045,907.25</t>
  </si>
  <si>
    <t>2,544,359.00</t>
  </si>
  <si>
    <t>999,789.00</t>
  </si>
  <si>
    <t>73,385.00</t>
  </si>
  <si>
    <t>10,975,970.79</t>
  </si>
  <si>
    <t>496,125.00</t>
  </si>
  <si>
    <t>378,558.75</t>
  </si>
  <si>
    <t>4,680,000.00</t>
  </si>
  <si>
    <t>1,343,100.00</t>
  </si>
  <si>
    <t>498,771.00</t>
  </si>
  <si>
    <t>54,400.00</t>
  </si>
  <si>
    <t>2,499,668.53</t>
  </si>
  <si>
    <t>2,297,908.23</t>
  </si>
  <si>
    <t>3,498,832.00</t>
  </si>
  <si>
    <t>210,091.00</t>
  </si>
  <si>
    <t>964,775.00</t>
  </si>
  <si>
    <t>498,802.50</t>
  </si>
  <si>
    <t>69,425.20</t>
  </si>
  <si>
    <t>499,905.00</t>
  </si>
  <si>
    <t>1,730,000.00</t>
  </si>
  <si>
    <t>199,196.71</t>
  </si>
  <si>
    <t>1,810,000.00</t>
  </si>
  <si>
    <t>233,815.00</t>
  </si>
  <si>
    <t>89,070.00</t>
  </si>
  <si>
    <t>13,526,570.05</t>
  </si>
  <si>
    <t>768,219.00</t>
  </si>
  <si>
    <t>90,700.00</t>
  </si>
  <si>
    <t>214,300.00</t>
  </si>
  <si>
    <t>390,460.00</t>
  </si>
  <si>
    <t>225,690.00</t>
  </si>
  <si>
    <t>353,000.00</t>
  </si>
  <si>
    <t>1,221,512.63</t>
  </si>
  <si>
    <t>216,979.00</t>
  </si>
  <si>
    <t>776,544.93</t>
  </si>
  <si>
    <t>4,342,500.17</t>
  </si>
  <si>
    <t>999,996.84</t>
  </si>
  <si>
    <t>1,038,499.84</t>
  </si>
  <si>
    <t>250,500.00</t>
  </si>
  <si>
    <t>7,001,500.00</t>
  </si>
  <si>
    <t>1,014,840.00</t>
  </si>
  <si>
    <t>128,235.00</t>
  </si>
  <si>
    <t>64,600.00</t>
  </si>
  <si>
    <t>53,855.00</t>
  </si>
  <si>
    <t>674,000.00</t>
  </si>
  <si>
    <t>1,834,570.00</t>
  </si>
  <si>
    <t>85,440.00</t>
  </si>
  <si>
    <t>4,861,597.00</t>
  </si>
  <si>
    <t>2,480,000.00</t>
  </si>
  <si>
    <t>327,100.00</t>
  </si>
  <si>
    <t>58,990.00</t>
  </si>
  <si>
    <t>1,366,963.34</t>
  </si>
  <si>
    <t>100,800.00</t>
  </si>
  <si>
    <t>1,733,000.00</t>
  </si>
  <si>
    <t>3,867,500.00</t>
  </si>
  <si>
    <t>2,110,907.25</t>
  </si>
  <si>
    <t>4,988,175.00</t>
  </si>
  <si>
    <t>1,501,500.00</t>
  </si>
  <si>
    <t>49,535.00</t>
  </si>
  <si>
    <t>66,106.50</t>
  </si>
  <si>
    <t>226,200.00</t>
  </si>
  <si>
    <t>4,250.00</t>
  </si>
  <si>
    <t>9,899,999.50</t>
  </si>
  <si>
    <t>1,177,575.00</t>
  </si>
  <si>
    <t>197,685.66</t>
  </si>
  <si>
    <t>166,676,150.00</t>
  </si>
  <si>
    <t>941,747.59</t>
  </si>
  <si>
    <t>2,139,180.75</t>
  </si>
  <si>
    <t>4,085,271.32</t>
  </si>
  <si>
    <t>26,660,957.67</t>
  </si>
  <si>
    <t>1,865,600.00</t>
  </si>
  <si>
    <t>766,315.91</t>
  </si>
  <si>
    <t>212,540.00</t>
  </si>
  <si>
    <t>1,029,000.00</t>
  </si>
  <si>
    <t>1,475,774.96</t>
  </si>
  <si>
    <t>440,969.00</t>
  </si>
  <si>
    <t>128,500.00</t>
  </si>
  <si>
    <t>14,849,999.20</t>
  </si>
  <si>
    <t>1,276,150.00</t>
  </si>
  <si>
    <t>1,196,234.84</t>
  </si>
  <si>
    <t>100,150.00</t>
  </si>
  <si>
    <t>2,012,000.00</t>
  </si>
  <si>
    <t>73,281.00</t>
  </si>
  <si>
    <t>895,355.02</t>
  </si>
  <si>
    <t>303,723.75</t>
  </si>
  <si>
    <t>63,360.00</t>
  </si>
  <si>
    <t>3,067,500.00</t>
  </si>
  <si>
    <t>284,680.00</t>
  </si>
  <si>
    <t>322,850.00</t>
  </si>
  <si>
    <t>4,918,543.01</t>
  </si>
  <si>
    <t>397,666.42</t>
  </si>
  <si>
    <t>3,920,000.00</t>
  </si>
  <si>
    <t>2,999,998.30</t>
  </si>
  <si>
    <t>787,500.50</t>
  </si>
  <si>
    <t>4,999,852.92</t>
  </si>
  <si>
    <t>317,900.00</t>
  </si>
  <si>
    <t>232,000.00</t>
  </si>
  <si>
    <t>257,125.00</t>
  </si>
  <si>
    <t>654,520.00</t>
  </si>
  <si>
    <t>501,119.16</t>
  </si>
  <si>
    <t>3,150,000.00</t>
  </si>
  <si>
    <t>287,371.40</t>
  </si>
  <si>
    <t>1,250,000.00</t>
  </si>
  <si>
    <t>1,035,000.00</t>
  </si>
  <si>
    <t>1,571,981.00</t>
  </si>
  <si>
    <t>11,939,999.10</t>
  </si>
  <si>
    <t>25,701.00</t>
  </si>
  <si>
    <t>5,428,800.00</t>
  </si>
  <si>
    <t>323,324.78</t>
  </si>
  <si>
    <t>156,480.00</t>
  </si>
  <si>
    <t>999,200.00</t>
  </si>
  <si>
    <t>813,399.10</t>
  </si>
  <si>
    <t>106,714.47</t>
  </si>
  <si>
    <t>142,180.00</t>
  </si>
  <si>
    <t>879,011.59</t>
  </si>
  <si>
    <t>50,128.00</t>
  </si>
  <si>
    <t>2,412,700.00</t>
  </si>
  <si>
    <t>76,875.00</t>
  </si>
  <si>
    <t>29,695.00</t>
  </si>
  <si>
    <t>102,700.00</t>
  </si>
  <si>
    <t>132,900.00</t>
  </si>
  <si>
    <t>5,298,316.00</t>
  </si>
  <si>
    <t>499,406.83</t>
  </si>
  <si>
    <t>1,670,257.50</t>
  </si>
  <si>
    <t>1,999,898.15</t>
  </si>
  <si>
    <t>2,624,700.00</t>
  </si>
  <si>
    <t>164,160.50</t>
  </si>
  <si>
    <t>167,700.46</t>
  </si>
  <si>
    <t>11,334,500.00</t>
  </si>
  <si>
    <t>146,714.00</t>
  </si>
  <si>
    <t>3,989,950.43</t>
  </si>
  <si>
    <t>667,520.00</t>
  </si>
  <si>
    <t>6,226,500.00</t>
  </si>
  <si>
    <t>656,735.00</t>
  </si>
  <si>
    <t>2,713,000.00</t>
  </si>
  <si>
    <t>526,500.00</t>
  </si>
  <si>
    <t>1,703,120.00</t>
  </si>
  <si>
    <t>1,146,620.00</t>
  </si>
  <si>
    <t>78,994.40</t>
  </si>
  <si>
    <t>1,941,293.00</t>
  </si>
  <si>
    <t>6,255,165.71</t>
  </si>
  <si>
    <t>264,000.00</t>
  </si>
  <si>
    <t>3,647,420.00</t>
  </si>
  <si>
    <t>100,530.00</t>
  </si>
  <si>
    <t>8,505.00</t>
  </si>
  <si>
    <t>9,985.00</t>
  </si>
  <si>
    <t>57,060.00</t>
  </si>
  <si>
    <t>83,799.00</t>
  </si>
  <si>
    <t>504,174.46</t>
  </si>
  <si>
    <t>1,489,429.78</t>
  </si>
  <si>
    <t>9,996.00</t>
  </si>
  <si>
    <t>657,018.63</t>
  </si>
  <si>
    <t>251,931.00</t>
  </si>
  <si>
    <t>99,050.00</t>
  </si>
  <si>
    <t>211,945.77</t>
  </si>
  <si>
    <t>388,945.00</t>
  </si>
  <si>
    <t>101,299.20</t>
  </si>
  <si>
    <t>1,956,035.00</t>
  </si>
  <si>
    <t>1,094,201.17</t>
  </si>
  <si>
    <t>18,453,380.00</t>
  </si>
  <si>
    <t>159,155.60</t>
  </si>
  <si>
    <t>2,737,600.00</t>
  </si>
  <si>
    <t>109,988.00</t>
  </si>
  <si>
    <t>46,350,000.00</t>
  </si>
  <si>
    <t>253,458.00</t>
  </si>
  <si>
    <t>2,999,981.25</t>
  </si>
  <si>
    <t>9,467,921.00</t>
  </si>
  <si>
    <t>1,836,196.10</t>
  </si>
  <si>
    <t>927,064.30</t>
  </si>
  <si>
    <t>8,311,100.00</t>
  </si>
  <si>
    <t>786,500.00</t>
  </si>
  <si>
    <t>83,250.00</t>
  </si>
  <si>
    <t>1,275,000.00</t>
  </si>
  <si>
    <t>2,285,948.15</t>
  </si>
  <si>
    <t>3,207,000.00</t>
  </si>
  <si>
    <t>10,200,000.00</t>
  </si>
  <si>
    <t>1,095,395.00</t>
  </si>
  <si>
    <t>683,887.00</t>
  </si>
  <si>
    <t>275,729.00</t>
  </si>
  <si>
    <t>169,766,454.48</t>
  </si>
  <si>
    <t>139,200.00</t>
  </si>
  <si>
    <t>425,571.84</t>
  </si>
  <si>
    <t>5,372,902.00</t>
  </si>
  <si>
    <t>999,295.00</t>
  </si>
  <si>
    <t>2,940,022.34</t>
  </si>
  <si>
    <t>1,629,023.54</t>
  </si>
  <si>
    <t>9,762,620.12</t>
  </si>
  <si>
    <t>1,471,570.82</t>
  </si>
  <si>
    <t>243,559.00</t>
  </si>
  <si>
    <t>182,465.00</t>
  </si>
  <si>
    <t>2,041,791.45</t>
  </si>
  <si>
    <t>157,200.00</t>
  </si>
  <si>
    <t>305,620.00</t>
  </si>
  <si>
    <t>545,483.00</t>
  </si>
  <si>
    <t>73,850.00</t>
  </si>
  <si>
    <t>1,515,404.32</t>
  </si>
  <si>
    <t>117,500.00</t>
  </si>
  <si>
    <t>1,892,959.26</t>
  </si>
  <si>
    <t>2,464,246.00</t>
  </si>
  <si>
    <t>444,000.00</t>
  </si>
  <si>
    <t>9,124,865.00</t>
  </si>
  <si>
    <t>69,700.00</t>
  </si>
  <si>
    <t>1,659,231.62</t>
  </si>
  <si>
    <t>14,074,906.68</t>
  </si>
  <si>
    <t>15,840,000.00</t>
  </si>
  <si>
    <t>1,937,999.99</t>
  </si>
  <si>
    <t>235,590.00</t>
  </si>
  <si>
    <t>49,208,500.00</t>
  </si>
  <si>
    <t>213,700.00</t>
  </si>
  <si>
    <t>463,175.00</t>
  </si>
  <si>
    <t>2,275,574.22</t>
  </si>
  <si>
    <t>10,274,000.00</t>
  </si>
  <si>
    <t>7,240,000.00</t>
  </si>
  <si>
    <t>5,064,000.00</t>
  </si>
  <si>
    <t>143,760.00</t>
  </si>
  <si>
    <t>10,867,184.00</t>
  </si>
  <si>
    <t>266,114.00</t>
  </si>
  <si>
    <t>1,975,000.00</t>
  </si>
  <si>
    <t>1,692,439.03</t>
  </si>
  <si>
    <t>82,500,000.00</t>
  </si>
  <si>
    <t>914,155.53</t>
  </si>
  <si>
    <t>1,334,240.00</t>
  </si>
  <si>
    <t>7,840,000.00</t>
  </si>
  <si>
    <t>150,240.50</t>
  </si>
  <si>
    <t>568,300.00</t>
  </si>
  <si>
    <t>2,340,500.00</t>
  </si>
  <si>
    <t>1,380,000.00</t>
  </si>
  <si>
    <t>4,834,939.00</t>
  </si>
  <si>
    <t>452,342.00</t>
  </si>
  <si>
    <t>146,190.00</t>
  </si>
  <si>
    <t>14,990.00</t>
  </si>
  <si>
    <t>300,600.00</t>
  </si>
  <si>
    <t>404,600.00</t>
  </si>
  <si>
    <t>75,600.00</t>
  </si>
  <si>
    <t>24,010,000.00</t>
  </si>
  <si>
    <t>999,705.39</t>
  </si>
  <si>
    <t>864,136.00</t>
  </si>
  <si>
    <t>50,096.48</t>
  </si>
  <si>
    <t>1,699,347.45</t>
  </si>
  <si>
    <t>11,939,719.00</t>
  </si>
  <si>
    <t>276,950.00</t>
  </si>
  <si>
    <t>2,791,000.00</t>
  </si>
  <si>
    <t>3,498,241.00</t>
  </si>
  <si>
    <t>953,576.86</t>
  </si>
  <si>
    <t>9,946,500.00</t>
  </si>
  <si>
    <t>4,361,054.00</t>
  </si>
  <si>
    <t>2,449,000.00</t>
  </si>
  <si>
    <t>3,399,636.00</t>
  </si>
  <si>
    <t>6,861,517.18</t>
  </si>
  <si>
    <t>33,616,000.00</t>
  </si>
  <si>
    <t>1,683,436.00</t>
  </si>
  <si>
    <t>9,995,800.00</t>
  </si>
  <si>
    <t>1,128,618.00</t>
  </si>
  <si>
    <t>2,745,000.00</t>
  </si>
  <si>
    <t>494,050.00</t>
  </si>
  <si>
    <t>1,999,922.00</t>
  </si>
  <si>
    <t>1,448,038.44</t>
  </si>
  <si>
    <t>1,902,487.00</t>
  </si>
  <si>
    <t>4,881,000.00</t>
  </si>
  <si>
    <t>4,999,754.81</t>
  </si>
  <si>
    <t>1,499,500.00</t>
  </si>
  <si>
    <t>2,897,996.25</t>
  </si>
  <si>
    <t>1,848,100.00</t>
  </si>
  <si>
    <t>999,949.00</t>
  </si>
  <si>
    <t>13,007,900.00</t>
  </si>
  <si>
    <t>24,285,471.00</t>
  </si>
  <si>
    <t>2,816,000.00</t>
  </si>
  <si>
    <t>12,577,000.00</t>
  </si>
  <si>
    <t>1,999,989.00</t>
  </si>
  <si>
    <t>1,661,065.00</t>
  </si>
  <si>
    <t>1,172,933.20</t>
  </si>
  <si>
    <t>4,999,674.75</t>
  </si>
  <si>
    <t>799,986.29</t>
  </si>
  <si>
    <t>2,245,000.00</t>
  </si>
  <si>
    <t>749,977.00</t>
  </si>
  <si>
    <t>1,592,000.00</t>
  </si>
  <si>
    <t>12,286,029.00</t>
  </si>
  <si>
    <t>2,342,215.00</t>
  </si>
  <si>
    <t>1,954,943.00</t>
  </si>
  <si>
    <t>48,000,000.00</t>
  </si>
  <si>
    <t>9,144,738.00</t>
  </si>
  <si>
    <t>502,177,650.00</t>
  </si>
  <si>
    <t>4,999,803.38</t>
  </si>
  <si>
    <t>1,999,932.75</t>
  </si>
  <si>
    <t>9,160,508.00</t>
  </si>
  <si>
    <t>805,000.00</t>
  </si>
  <si>
    <t>2,999,578.71</t>
  </si>
  <si>
    <t>4,367,389.00</t>
  </si>
  <si>
    <t>1,680,000.00</t>
  </si>
  <si>
    <t>490,000.00</t>
  </si>
  <si>
    <t>2,635,385.80</t>
  </si>
  <si>
    <t>8,272,540.00</t>
  </si>
  <si>
    <t>1,979,933.79</t>
  </si>
  <si>
    <t>166,452.00</t>
  </si>
  <si>
    <t>1,850,504.00</t>
  </si>
  <si>
    <t>687,000.00</t>
  </si>
  <si>
    <t>3,464,556.99</t>
  </si>
  <si>
    <t>1,439,305.40</t>
  </si>
  <si>
    <t>2,945,045.89</t>
  </si>
  <si>
    <t>399,993.71</t>
  </si>
  <si>
    <t>4,044,705.60</t>
  </si>
  <si>
    <t>599,995.49</t>
  </si>
  <si>
    <t>277,049.98</t>
  </si>
  <si>
    <t>283,500.00</t>
  </si>
  <si>
    <t>3,410,191.13</t>
  </si>
  <si>
    <t>435,726.81</t>
  </si>
  <si>
    <t>567,714.00</t>
  </si>
  <si>
    <t>189,517.00</t>
  </si>
  <si>
    <t>484,593.75</t>
  </si>
  <si>
    <t>2,132,190.94</t>
  </si>
  <si>
    <t>301,194.30</t>
  </si>
  <si>
    <t>4,029,758.45</t>
  </si>
  <si>
    <t>1,999,973.59</t>
  </si>
  <si>
    <t>2,961,000.00</t>
  </si>
  <si>
    <t>29,666,579.79</t>
  </si>
  <si>
    <t>6,008,971.91</t>
  </si>
  <si>
    <t>1,776,600.00</t>
  </si>
  <si>
    <t>631,990.00</t>
  </si>
  <si>
    <t>1,072,150.50</t>
  </si>
  <si>
    <t>21,142,276.47</t>
  </si>
  <si>
    <t>294,695,846.60</t>
  </si>
  <si>
    <t>1,184,400.00</t>
  </si>
  <si>
    <t>34,257,740.51</t>
  </si>
  <si>
    <t>29,711,256.07</t>
  </si>
  <si>
    <t>29,940,624.33</t>
  </si>
  <si>
    <t>37,344,165.02</t>
  </si>
  <si>
    <t>33,007,244.91</t>
  </si>
  <si>
    <t>22,234,928.84</t>
  </si>
  <si>
    <t>24,874,778.52</t>
  </si>
  <si>
    <t>11,760,000.00</t>
  </si>
  <si>
    <t>528,000.00</t>
  </si>
  <si>
    <t>1,430,000.00</t>
  </si>
  <si>
    <t>9,999,998.64</t>
  </si>
  <si>
    <t>61,284.00</t>
  </si>
  <si>
    <t>11,939,664.52</t>
  </si>
  <si>
    <t>7,200,000.00</t>
  </si>
  <si>
    <t>2,142,000.00</t>
  </si>
  <si>
    <t>1,599,021.00</t>
  </si>
  <si>
    <t>699,992.00</t>
  </si>
  <si>
    <t>14,999,996.21</t>
  </si>
  <si>
    <t>949,080.00</t>
  </si>
  <si>
    <t>1,613,850.00</t>
  </si>
  <si>
    <t>21,999,996.92</t>
  </si>
  <si>
    <t>11,939,737.95</t>
  </si>
  <si>
    <t>1,894,050.00</t>
  </si>
  <si>
    <t>477,000.00</t>
  </si>
  <si>
    <t>2,856,920.00</t>
  </si>
  <si>
    <t>2,121,609.00</t>
  </si>
  <si>
    <t>999,951.09</t>
  </si>
  <si>
    <t>2,979,496.80</t>
  </si>
  <si>
    <t>620,100.00</t>
  </si>
  <si>
    <t>419,900.00</t>
  </si>
  <si>
    <t>1,080,240.00</t>
  </si>
  <si>
    <t>1,947,330.00</t>
  </si>
  <si>
    <t>3,080,000.00</t>
  </si>
  <si>
    <t>2,558,000.00</t>
  </si>
  <si>
    <t>118,759,437.57</t>
  </si>
  <si>
    <t>264,800.00</t>
  </si>
  <si>
    <t>374,000.00</t>
  </si>
  <si>
    <t>330,145.55</t>
  </si>
  <si>
    <t>242,885.00</t>
  </si>
  <si>
    <t>26,153,803.00</t>
  </si>
  <si>
    <t>694,135.00</t>
  </si>
  <si>
    <t>1,528,305.00</t>
  </si>
  <si>
    <t>26,000,000.00</t>
  </si>
  <si>
    <t>110,302.00</t>
  </si>
  <si>
    <t>2,825,383.69</t>
  </si>
  <si>
    <t>1,393,469.77</t>
  </si>
  <si>
    <t>879,922.00</t>
  </si>
  <si>
    <t>1,460,000.00</t>
  </si>
  <si>
    <t>97,200.00</t>
  </si>
  <si>
    <t>1,267,570.00</t>
  </si>
  <si>
    <t>1,490,759.00</t>
  </si>
  <si>
    <t>1,999,726.30</t>
  </si>
  <si>
    <t>9,460,000.00</t>
  </si>
  <si>
    <t>1,992,226.17</t>
  </si>
  <si>
    <t>25,827,598.00</t>
  </si>
  <si>
    <t>3,939,500.00</t>
  </si>
  <si>
    <t>8,050,000.00</t>
  </si>
  <si>
    <t>6,335,000.00</t>
  </si>
  <si>
    <t>21,907.00</t>
  </si>
  <si>
    <t>28,950,000.00</t>
  </si>
  <si>
    <t>123,346.00</t>
  </si>
  <si>
    <t>249,944.73</t>
  </si>
  <si>
    <t>2,562,500.00</t>
  </si>
  <si>
    <t>182,150.00</t>
  </si>
  <si>
    <t>341,657.84</t>
  </si>
  <si>
    <t>746,932.89</t>
  </si>
  <si>
    <t>144,040,594.88</t>
  </si>
  <si>
    <t>511,757.80</t>
  </si>
  <si>
    <t>13,264,730.68</t>
  </si>
  <si>
    <t>599,450.00</t>
  </si>
  <si>
    <t>137,300.00</t>
  </si>
  <si>
    <t>103,455.00</t>
  </si>
  <si>
    <t>70,721.28</t>
  </si>
  <si>
    <t>296,864.68</t>
  </si>
  <si>
    <t>11,365,078.85</t>
  </si>
  <si>
    <t>119,448.50</t>
  </si>
  <si>
    <t>947,400.00</t>
  </si>
  <si>
    <t>754,216.00</t>
  </si>
  <si>
    <t>352,800.00</t>
  </si>
  <si>
    <t>843,099.04</t>
  </si>
  <si>
    <t>197,095.42</t>
  </si>
  <si>
    <t>49,959,413.89</t>
  </si>
  <si>
    <t>98,130.76</t>
  </si>
  <si>
    <t>148,206.70</t>
  </si>
  <si>
    <t>98,940.20</t>
  </si>
  <si>
    <t>298,690.00</t>
  </si>
  <si>
    <t>359,990.00</t>
  </si>
  <si>
    <t>98,480.97</t>
  </si>
  <si>
    <t>9,581,336.00</t>
  </si>
  <si>
    <t>1,202.00</t>
  </si>
  <si>
    <t>6,727,000.00</t>
  </si>
  <si>
    <t>999,976.00</t>
  </si>
  <si>
    <t>1,242,500.00</t>
  </si>
  <si>
    <t>860,990.00</t>
  </si>
  <si>
    <t>197,903.56</t>
  </si>
  <si>
    <t>197,928.13</t>
  </si>
  <si>
    <t>5,543,100.00</t>
  </si>
  <si>
    <t>1,517,485.10</t>
  </si>
  <si>
    <t>2,164,000.00</t>
  </si>
  <si>
    <t>243,100.50</t>
  </si>
  <si>
    <t>98,822.89</t>
  </si>
  <si>
    <t>2,248,500.00</t>
  </si>
  <si>
    <t>148,683.94</t>
  </si>
  <si>
    <t>3,570,000.00</t>
  </si>
  <si>
    <t>107,800,000.00</t>
  </si>
  <si>
    <t>2,376,432.00</t>
  </si>
  <si>
    <t>141,750.00</t>
  </si>
  <si>
    <t>1,911,532.80</t>
  </si>
  <si>
    <t>4,400,000.00</t>
  </si>
  <si>
    <t>1,828,000.00</t>
  </si>
  <si>
    <t>4,086,391.86</t>
  </si>
  <si>
    <t>996,764.94</t>
  </si>
  <si>
    <t>250,876.07</t>
  </si>
  <si>
    <t>116,896.00</t>
  </si>
  <si>
    <t>1,993,383.76</t>
  </si>
  <si>
    <t>564,650.00</t>
  </si>
  <si>
    <t>289,068.00</t>
  </si>
  <si>
    <t>156,728.00</t>
  </si>
  <si>
    <t>4,980,000.00</t>
  </si>
  <si>
    <t>7,938,000.00</t>
  </si>
  <si>
    <t>2,158,000.00</t>
  </si>
  <si>
    <t>67,365.00</t>
  </si>
  <si>
    <t>5,463,741.90</t>
  </si>
  <si>
    <t>55,394.06</t>
  </si>
  <si>
    <t>2,708,480.00</t>
  </si>
  <si>
    <t>619,432.80</t>
  </si>
  <si>
    <t>1,214,592.00</t>
  </si>
  <si>
    <t>981,191.52</t>
  </si>
  <si>
    <t>9,874,292.00</t>
  </si>
  <si>
    <t>2,504,000.00</t>
  </si>
  <si>
    <t>1,205,000.00</t>
  </si>
  <si>
    <t>407,572.50</t>
  </si>
  <si>
    <t>3,030,000.00</t>
  </si>
  <si>
    <t>3,780,000.00</t>
  </si>
  <si>
    <t>952,580.00</t>
  </si>
  <si>
    <t>477,965.60</t>
  </si>
  <si>
    <t>264,964.08</t>
  </si>
  <si>
    <t>2,709,158.70</t>
  </si>
  <si>
    <t>21,406,733.83</t>
  </si>
  <si>
    <t>1,629,206.36</t>
  </si>
  <si>
    <t>1,855,000.00</t>
  </si>
  <si>
    <t>3,219,539.68</t>
  </si>
  <si>
    <t>119,339.78</t>
  </si>
  <si>
    <t>134,500.00</t>
  </si>
  <si>
    <t>69,950.00</t>
  </si>
  <si>
    <t>344,594.00</t>
  </si>
  <si>
    <t>806,065.44</t>
  </si>
  <si>
    <t>59,950.40</t>
  </si>
  <si>
    <t>6,187,500.00</t>
  </si>
  <si>
    <t>15,914,292.30</t>
  </si>
  <si>
    <t>5,122,236.32</t>
  </si>
  <si>
    <t>149,953.86</t>
  </si>
  <si>
    <t>4,527,811.20</t>
  </si>
  <si>
    <t>14,485,000.00</t>
  </si>
  <si>
    <t>1,162,975.00</t>
  </si>
  <si>
    <t>7,022,679.51</t>
  </si>
  <si>
    <t>73,048.50</t>
  </si>
  <si>
    <t>184,000,000.00</t>
  </si>
  <si>
    <t>76,540.00</t>
  </si>
  <si>
    <t>337,400.00</t>
  </si>
  <si>
    <t>112,635.00</t>
  </si>
  <si>
    <t>62,172.00</t>
  </si>
  <si>
    <t>1,462,500.00</t>
  </si>
  <si>
    <t>50,000,000.00</t>
  </si>
  <si>
    <t>14,500,000.00</t>
  </si>
  <si>
    <t>3,899,991.84</t>
  </si>
  <si>
    <t>145,926.50</t>
  </si>
  <si>
    <t>1,156,763.40</t>
  </si>
  <si>
    <t>56,500,000.00</t>
  </si>
  <si>
    <t>9,750,000.00</t>
  </si>
  <si>
    <t>3,034,000.00</t>
  </si>
  <si>
    <t>49,748,520.50</t>
  </si>
  <si>
    <t>9,084,587.61</t>
  </si>
  <si>
    <t>10,857,146.00</t>
  </si>
  <si>
    <t>11,517,238.00</t>
  </si>
  <si>
    <t>2,410,488.00</t>
  </si>
  <si>
    <t>3,274,481.00</t>
  </si>
  <si>
    <t>3,354,547.00</t>
  </si>
  <si>
    <t>10,349,412.00</t>
  </si>
  <si>
    <t>313,818.00</t>
  </si>
  <si>
    <t>29,762,112.77</t>
  </si>
  <si>
    <t>1,728,000.00</t>
  </si>
  <si>
    <t>144,650.00</t>
  </si>
  <si>
    <t>3,884,130.99</t>
  </si>
  <si>
    <t>2,186,000.00</t>
  </si>
  <si>
    <t>8,600,000.00</t>
  </si>
  <si>
    <t>466,551.62</t>
  </si>
  <si>
    <t>2,915,000.00</t>
  </si>
  <si>
    <t>4,499,998.64</t>
  </si>
  <si>
    <t>1,756,700.00</t>
  </si>
  <si>
    <t>8,960.00</t>
  </si>
  <si>
    <t>2,452,935.97</t>
  </si>
  <si>
    <t>2,497,407.01</t>
  </si>
  <si>
    <t>339,000.00</t>
  </si>
  <si>
    <t>3,034,982.50</t>
  </si>
  <si>
    <t>2,659,500.00</t>
  </si>
  <si>
    <t>48,850,000.00</t>
  </si>
  <si>
    <t>193,770.00</t>
  </si>
  <si>
    <t>1,396,345.00</t>
  </si>
  <si>
    <t>1,444,228.09</t>
  </si>
  <si>
    <t>14,474,999.96</t>
  </si>
  <si>
    <t>4,990.00</t>
  </si>
  <si>
    <t>1,493,316.61</t>
  </si>
  <si>
    <t>1,646,395.81</t>
  </si>
  <si>
    <t>759,600.00</t>
  </si>
  <si>
    <t>2,295,189.00</t>
  </si>
  <si>
    <t>1,992,119.67</t>
  </si>
  <si>
    <t>1,586,186.78</t>
  </si>
  <si>
    <t>1,394,682.14</t>
  </si>
  <si>
    <t>1,473,530.00</t>
  </si>
  <si>
    <t>1,441,500.00</t>
  </si>
  <si>
    <t>3,987,213.40</t>
  </si>
  <si>
    <t>893,808.95</t>
  </si>
  <si>
    <t>16,913,371.44</t>
  </si>
  <si>
    <t>5,934,593.33</t>
  </si>
  <si>
    <t>3,335,553.50</t>
  </si>
  <si>
    <t>267,150.00</t>
  </si>
  <si>
    <t>1,975,235.92</t>
  </si>
  <si>
    <t>3,035,000.00</t>
  </si>
  <si>
    <t>790,000.00</t>
  </si>
  <si>
    <t>2,299,856.33</t>
  </si>
  <si>
    <t>7,500,000.00</t>
  </si>
  <si>
    <t>2,571,950.00</t>
  </si>
  <si>
    <t>35,860,000.00</t>
  </si>
  <si>
    <t>24,271,844.66</t>
  </si>
  <si>
    <t>14,699,948.34</t>
  </si>
  <si>
    <t>1,979,999.12</t>
  </si>
  <si>
    <t>14,849,996.67</t>
  </si>
  <si>
    <t>8,100,000.00</t>
  </si>
  <si>
    <t>78,546.00</t>
  </si>
  <si>
    <t>1,428,263.51</t>
  </si>
  <si>
    <t>58,844.00</t>
  </si>
  <si>
    <t>74,311.00</t>
  </si>
  <si>
    <t>9,900,954.74</t>
  </si>
  <si>
    <t>270,638.00</t>
  </si>
  <si>
    <t>2,270,785.00</t>
  </si>
  <si>
    <t>1,228,444.04</t>
  </si>
  <si>
    <t>11,200,000.00</t>
  </si>
  <si>
    <t>2,430,768.00</t>
  </si>
  <si>
    <t>809,306.17</t>
  </si>
  <si>
    <t>2,014,648.00</t>
  </si>
  <si>
    <t>5,267,547.00</t>
  </si>
  <si>
    <t>1,595,798.00</t>
  </si>
  <si>
    <t>3,101,024.50</t>
  </si>
  <si>
    <t>499,965.96</t>
  </si>
  <si>
    <t>983,100.00</t>
  </si>
  <si>
    <t>499,360.29</t>
  </si>
  <si>
    <t>19,666,377.00</t>
  </si>
  <si>
    <t>2,959,255.00</t>
  </si>
  <si>
    <t>2,287,031.00</t>
  </si>
  <si>
    <t>47,800.00</t>
  </si>
  <si>
    <t>2,039,045.00</t>
  </si>
  <si>
    <t>108,966.00</t>
  </si>
  <si>
    <t>2,047,730.00</t>
  </si>
  <si>
    <t>226,800.00</t>
  </si>
  <si>
    <t>1,006,000.00</t>
  </si>
  <si>
    <t>96,500,000.00</t>
  </si>
  <si>
    <t>232,408.89</t>
  </si>
  <si>
    <t>382,188,598.99</t>
  </si>
  <si>
    <t>968,400.00</t>
  </si>
  <si>
    <t>148,740.48</t>
  </si>
  <si>
    <t>2,807,176.91</t>
  </si>
  <si>
    <t>79,500.00</t>
  </si>
  <si>
    <t>496,500.00</t>
  </si>
  <si>
    <t>100,763.00</t>
  </si>
  <si>
    <t>998,813.09</t>
  </si>
  <si>
    <t>505,630.00</t>
  </si>
  <si>
    <t>4,979,000.00</t>
  </si>
  <si>
    <t>6,850,000.00</t>
  </si>
  <si>
    <t>21,638,798.00</t>
  </si>
  <si>
    <t>207,375.00</t>
  </si>
  <si>
    <t>9,392,892.00</t>
  </si>
  <si>
    <t>28,066,253.00</t>
  </si>
  <si>
    <t>1,147,356.00</t>
  </si>
  <si>
    <t>261,465.00</t>
  </si>
  <si>
    <t>1,763,272.00</t>
  </si>
  <si>
    <t>25,753,791.70</t>
  </si>
  <si>
    <t>2,520,477.73</t>
  </si>
  <si>
    <t>1,089,000.00</t>
  </si>
  <si>
    <t>5,930,560.00</t>
  </si>
  <si>
    <t>542,640.00</t>
  </si>
  <si>
    <t>2,107,000.00</t>
  </si>
  <si>
    <t>9,510,000.00</t>
  </si>
  <si>
    <t>1,324,920.00</t>
  </si>
  <si>
    <t>117,600.00</t>
  </si>
  <si>
    <t>125,636.00</t>
  </si>
  <si>
    <t>1,658,802.91</t>
  </si>
  <si>
    <t>5,100,000.00</t>
  </si>
  <si>
    <t>3,478,134.00</t>
  </si>
  <si>
    <t>2,000,001.39</t>
  </si>
  <si>
    <t>358,825.00</t>
  </si>
  <si>
    <t>60,900.00</t>
  </si>
  <si>
    <t>9,997,200.00</t>
  </si>
  <si>
    <t>945,400.00</t>
  </si>
  <si>
    <t>4,541,000.00</t>
  </si>
  <si>
    <t>115,800,000.00</t>
  </si>
  <si>
    <t>4,350,000.00</t>
  </si>
  <si>
    <t>1,639,440.50</t>
  </si>
  <si>
    <t>1,102,093.25</t>
  </si>
  <si>
    <t>7,800,000.00</t>
  </si>
  <si>
    <t>161,800.00</t>
  </si>
  <si>
    <t>4,150,725.00</t>
  </si>
  <si>
    <t>4,634,000.00</t>
  </si>
  <si>
    <t>1,004,000.00</t>
  </si>
  <si>
    <t>28,140,000.00</t>
  </si>
  <si>
    <t>249,985,261.00</t>
  </si>
  <si>
    <t>1,107,600.00</t>
  </si>
  <si>
    <t>140,000,000.00</t>
  </si>
  <si>
    <t>9,916,800.00</t>
  </si>
  <si>
    <t>33,564,466.08</t>
  </si>
  <si>
    <t>1,585,920.00</t>
  </si>
  <si>
    <t>11,939,961.04</t>
  </si>
  <si>
    <t>966,722.85</t>
  </si>
  <si>
    <t>55,167,740.36</t>
  </si>
  <si>
    <t>16,300,949.04</t>
  </si>
  <si>
    <t>1,134,060.00</t>
  </si>
  <si>
    <t>14,600,000.00</t>
  </si>
  <si>
    <t>3,609,856.25</t>
  </si>
  <si>
    <t>257,850.00</t>
  </si>
  <si>
    <t>529,777.80</t>
  </si>
  <si>
    <t>2,832,000.00</t>
  </si>
  <si>
    <t>1,543,050.00</t>
  </si>
  <si>
    <t>477,139.43</t>
  </si>
  <si>
    <t>50,295,931.43</t>
  </si>
  <si>
    <t>848,705.60</t>
  </si>
  <si>
    <t>4,554,000.00</t>
  </si>
  <si>
    <t>133,426.50</t>
  </si>
  <si>
    <t>11,939,959.68</t>
  </si>
  <si>
    <t>360,040.21</t>
  </si>
  <si>
    <t>2,276,780.00</t>
  </si>
  <si>
    <t>8,568,000.00</t>
  </si>
  <si>
    <t>4,408,809.77</t>
  </si>
  <si>
    <t>535,000.00</t>
  </si>
  <si>
    <t>4,657,090.00</t>
  </si>
  <si>
    <t>4,030,486.37</t>
  </si>
  <si>
    <t>1,290,000.00</t>
  </si>
  <si>
    <t>1,940,000.00</t>
  </si>
  <si>
    <t>24,738,545.40</t>
  </si>
  <si>
    <t>9,899,965.47</t>
  </si>
  <si>
    <t>931,000.00</t>
  </si>
  <si>
    <t>359,998.00</t>
  </si>
  <si>
    <t>2,965,194.42</t>
  </si>
  <si>
    <t>1,176,000.00</t>
  </si>
  <si>
    <t>2,110,000.00</t>
  </si>
  <si>
    <t>893,000.00</t>
  </si>
  <si>
    <t>3,431,959.37</t>
  </si>
  <si>
    <t>1,447,440.72</t>
  </si>
  <si>
    <t>1,748,088.00</t>
  </si>
  <si>
    <t>15,497,004.34</t>
  </si>
  <si>
    <t>249,874.14</t>
  </si>
  <si>
    <t>21,824,853.00</t>
  </si>
  <si>
    <t>9,759,123.74</t>
  </si>
  <si>
    <t>4,949,845.60</t>
  </si>
  <si>
    <t>4,090,000.00</t>
  </si>
  <si>
    <t>1,069,771.07</t>
  </si>
  <si>
    <t>999,999.15</t>
  </si>
  <si>
    <t>5,250,000.00</t>
  </si>
  <si>
    <t>11,386,365.26</t>
  </si>
  <si>
    <t>515,816.11</t>
  </si>
  <si>
    <t>4,971,000.00</t>
  </si>
  <si>
    <t>74,250,000.00</t>
  </si>
  <si>
    <t>1,920,679.59</t>
  </si>
  <si>
    <t>1,622,590.00</t>
  </si>
  <si>
    <t>1,109,266.49</t>
  </si>
  <si>
    <t>1,825,826.41</t>
  </si>
  <si>
    <t>23,839,876.00</t>
  </si>
  <si>
    <t>888,468.84</t>
  </si>
  <si>
    <t>1,089,673.78</t>
  </si>
  <si>
    <t>4,997,378.79</t>
  </si>
  <si>
    <t>122,000.00</t>
  </si>
  <si>
    <t>1,789,700.00</t>
  </si>
  <si>
    <t>1,030,700.00</t>
  </si>
  <si>
    <t>145,540.00</t>
  </si>
  <si>
    <t>182,040.00</t>
  </si>
  <si>
    <t>1,321,518.75</t>
  </si>
  <si>
    <t>10,520,000.00</t>
  </si>
  <si>
    <t>372,976.81</t>
  </si>
  <si>
    <t>308,000.00</t>
  </si>
  <si>
    <t>979,500.00</t>
  </si>
  <si>
    <t>3,199,996.90</t>
  </si>
  <si>
    <t>1,999,999.30</t>
  </si>
  <si>
    <t>7,424,999.50</t>
  </si>
  <si>
    <t>5,297,132.97</t>
  </si>
  <si>
    <t>418,000.00</t>
  </si>
  <si>
    <t>907,000.00</t>
  </si>
  <si>
    <t>1,499,999.20</t>
  </si>
  <si>
    <t>9,899,999.00</t>
  </si>
  <si>
    <t>194,931.66</t>
  </si>
  <si>
    <t>97,300.00</t>
  </si>
  <si>
    <t>456,702.51</t>
  </si>
  <si>
    <t>101,080.00</t>
  </si>
  <si>
    <t>5,278,000.00</t>
  </si>
  <si>
    <t>638,596.00</t>
  </si>
  <si>
    <t>329,019.37</t>
  </si>
  <si>
    <t>1,093,684.00</t>
  </si>
  <si>
    <t>1,352,800.00</t>
  </si>
  <si>
    <t>901,000.00</t>
  </si>
  <si>
    <t>1,118,704.62</t>
  </si>
  <si>
    <t>4,086,719.40</t>
  </si>
  <si>
    <t>1,959,210.00</t>
  </si>
  <si>
    <t>28,949,998.70</t>
  </si>
  <si>
    <t>1,247,617.91</t>
  </si>
  <si>
    <t>5,256,000.00</t>
  </si>
  <si>
    <t>1,048,972.50</t>
  </si>
  <si>
    <t>5,822,130.00</t>
  </si>
  <si>
    <t>3,503,648.00</t>
  </si>
  <si>
    <t>455,000.00</t>
  </si>
  <si>
    <t>1,716,902.40</t>
  </si>
  <si>
    <t>41,362.00</t>
  </si>
  <si>
    <t>95,819.00</t>
  </si>
  <si>
    <t>192,510.00</t>
  </si>
  <si>
    <t>1,703,776.68</t>
  </si>
  <si>
    <t>787,500.00</t>
  </si>
  <si>
    <t>7,573,591.00</t>
  </si>
  <si>
    <t>15,526,465.10</t>
  </si>
  <si>
    <t>3,904,104.00</t>
  </si>
  <si>
    <t>441,400.00</t>
  </si>
  <si>
    <t>1,485,176.16</t>
  </si>
  <si>
    <t>444,199.00</t>
  </si>
  <si>
    <t>219,628.09</t>
  </si>
  <si>
    <t>4,375,770.00</t>
  </si>
  <si>
    <t>259,184.01</t>
  </si>
  <si>
    <t>192,440.00</t>
  </si>
  <si>
    <t>2,527,470.47</t>
  </si>
  <si>
    <t>2,383,677.00</t>
  </si>
  <si>
    <t>949,850.00</t>
  </si>
  <si>
    <t>98,760.00</t>
  </si>
  <si>
    <t>286,829.50</t>
  </si>
  <si>
    <t>1,394,724.16</t>
  </si>
  <si>
    <t>925,746.08</t>
  </si>
  <si>
    <t>1,856,614.17</t>
  </si>
  <si>
    <t>47,850.00</t>
  </si>
  <si>
    <t>20,634,025.00</t>
  </si>
  <si>
    <t>422,000.00</t>
  </si>
  <si>
    <t>96,500.00</t>
  </si>
  <si>
    <t>1,738,800.00</t>
  </si>
  <si>
    <t>2,069,739.86</t>
  </si>
  <si>
    <t>786,100.00</t>
  </si>
  <si>
    <t>180,812.00</t>
  </si>
  <si>
    <t>389,930.00</t>
  </si>
  <si>
    <t>1,744,750.00</t>
  </si>
  <si>
    <t>794,252.15</t>
  </si>
  <si>
    <t>1,993,100.00</t>
  </si>
  <si>
    <t>2,720,000.00</t>
  </si>
  <si>
    <t>907,640.00</t>
  </si>
  <si>
    <t>9,750.00</t>
  </si>
  <si>
    <t>4,467,185.45</t>
  </si>
  <si>
    <t>2,236,882.62</t>
  </si>
  <si>
    <t>35,820,000.00</t>
  </si>
  <si>
    <t>102,533.00</t>
  </si>
  <si>
    <t>400,600.00</t>
  </si>
  <si>
    <t>1,821,875.38</t>
  </si>
  <si>
    <t>790,705.00</t>
  </si>
  <si>
    <t>2,969,999.99</t>
  </si>
  <si>
    <t>296,355.00</t>
  </si>
  <si>
    <t>72,150.00</t>
  </si>
  <si>
    <t>9,950,000.00</t>
  </si>
  <si>
    <t>999,820.74</t>
  </si>
  <si>
    <t>410,344.41</t>
  </si>
  <si>
    <t>13,930,000.00</t>
  </si>
  <si>
    <t>2,692,239.03</t>
  </si>
  <si>
    <t>1,087,000.00</t>
  </si>
  <si>
    <t>1,265,000.00</t>
  </si>
  <si>
    <t>3,515,000.00</t>
  </si>
  <si>
    <t>49,883,276.37</t>
  </si>
  <si>
    <t>18,125,000.00</t>
  </si>
  <si>
    <t>160,698.30</t>
  </si>
  <si>
    <t>642,826.45</t>
  </si>
  <si>
    <t>1,148,526.20</t>
  </si>
  <si>
    <t>747,753.30</t>
  </si>
  <si>
    <t>1,423,019.79</t>
  </si>
  <si>
    <t>194,940.00</t>
  </si>
  <si>
    <t>70,225,000.00</t>
  </si>
  <si>
    <t>23,880,000.00</t>
  </si>
  <si>
    <t>429,250.00</t>
  </si>
  <si>
    <t>1,199,520.00</t>
  </si>
  <si>
    <t>2,219,928.46</t>
  </si>
  <si>
    <t>277,750.00</t>
  </si>
  <si>
    <t>536,400.00</t>
  </si>
  <si>
    <t>496,530.71</t>
  </si>
  <si>
    <t>1,032,900.00</t>
  </si>
  <si>
    <t>671,676.32</t>
  </si>
  <si>
    <t>497,618.25</t>
  </si>
  <si>
    <t>5,302,721.65</t>
  </si>
  <si>
    <t>10,130.00</t>
  </si>
  <si>
    <t>4,809,437.18</t>
  </si>
  <si>
    <t>198,360.00</t>
  </si>
  <si>
    <t>299,280.00</t>
  </si>
  <si>
    <t>776,100.00</t>
  </si>
  <si>
    <t>587,000.00</t>
  </si>
  <si>
    <t>91,351.00</t>
  </si>
  <si>
    <t>3,153,932.00</t>
  </si>
  <si>
    <t>18,965.00</t>
  </si>
  <si>
    <t>498,800.00</t>
  </si>
  <si>
    <t>21,000.00</t>
  </si>
  <si>
    <t>493,560.00</t>
  </si>
  <si>
    <t>4,947,546.28</t>
  </si>
  <si>
    <t>88,900.00</t>
  </si>
  <si>
    <t>1,560.00</t>
  </si>
  <si>
    <t>4,945,349.68</t>
  </si>
  <si>
    <t>427,500.00</t>
  </si>
  <si>
    <t>999,960.00</t>
  </si>
  <si>
    <t>1,491,259.55</t>
  </si>
  <si>
    <t>955,727.36</t>
  </si>
  <si>
    <t>122,875.00</t>
  </si>
  <si>
    <t>91,470.00</t>
  </si>
  <si>
    <t>2,949,000.00</t>
  </si>
  <si>
    <t>359,650.00</t>
  </si>
  <si>
    <t>998,274.20</t>
  </si>
  <si>
    <t>3,056,100.00</t>
  </si>
  <si>
    <t>763,484.00</t>
  </si>
  <si>
    <t>2,512,500.00</t>
  </si>
  <si>
    <t>330,750.00</t>
  </si>
  <si>
    <t>358,921.00</t>
  </si>
  <si>
    <t>789,255.50</t>
  </si>
  <si>
    <t>44,680,922.46</t>
  </si>
  <si>
    <t>510,210.00</t>
  </si>
  <si>
    <t>1,385,746.85</t>
  </si>
  <si>
    <t>1,893,779.67</t>
  </si>
  <si>
    <t>212,125.00</t>
  </si>
  <si>
    <t>1,499,026.90</t>
  </si>
  <si>
    <t>1,913,281.00</t>
  </si>
  <si>
    <t>299,803.05</t>
  </si>
  <si>
    <t>85,200.00</t>
  </si>
  <si>
    <t>10,255,000.00</t>
  </si>
  <si>
    <t>1,475,000.00</t>
  </si>
  <si>
    <t>456,574.00</t>
  </si>
  <si>
    <t>180,600.00</t>
  </si>
  <si>
    <t>754,770.00</t>
  </si>
  <si>
    <t>1,263,411.00</t>
  </si>
  <si>
    <t>6,860,000.00</t>
  </si>
  <si>
    <t>1,074,839.97</t>
  </si>
  <si>
    <t>2,685,222.84</t>
  </si>
  <si>
    <t>5,552,999.81</t>
  </si>
  <si>
    <t>241,000.00</t>
  </si>
  <si>
    <t>1,926,279.91</t>
  </si>
  <si>
    <t>595,880.00</t>
  </si>
  <si>
    <t>198,300.00</t>
  </si>
  <si>
    <t>1,633,511.66</t>
  </si>
  <si>
    <t>76,700.00</t>
  </si>
  <si>
    <t>2,247,051.00</t>
  </si>
  <si>
    <t>2,670,807.44</t>
  </si>
  <si>
    <t>406,728.00</t>
  </si>
  <si>
    <t>599,914.29</t>
  </si>
  <si>
    <t>4,086,124.68</t>
  </si>
  <si>
    <t>1,207,180.30</t>
  </si>
  <si>
    <t>1,113,765.58</t>
  </si>
  <si>
    <t>1,218,000.00</t>
  </si>
  <si>
    <t>1,766,064.60</t>
  </si>
  <si>
    <t>1,703,917,375.78</t>
  </si>
  <si>
    <t>80,796,742.06</t>
  </si>
  <si>
    <t>448,403.10</t>
  </si>
  <si>
    <t>9,999,978.98</t>
  </si>
  <si>
    <t>2,064,000.00</t>
  </si>
  <si>
    <t>20,584,805.64</t>
  </si>
  <si>
    <t>249,740.00</t>
  </si>
  <si>
    <t>668,051.40</t>
  </si>
  <si>
    <t>299,965.37</t>
  </si>
  <si>
    <t>12,500,000.00</t>
  </si>
  <si>
    <t>61,760.60</t>
  </si>
  <si>
    <t>671,343,892.41</t>
  </si>
  <si>
    <t>368,209.00</t>
  </si>
  <si>
    <t>1,999,955.75</t>
  </si>
  <si>
    <t>10,254,000.00</t>
  </si>
  <si>
    <t>734,136.84</t>
  </si>
  <si>
    <t>24,177,059.50</t>
  </si>
  <si>
    <t>8,911,401.90</t>
  </si>
  <si>
    <t>183,533.96</t>
  </si>
  <si>
    <t>5,646,000.00</t>
  </si>
  <si>
    <t>1,996,166.58</t>
  </si>
  <si>
    <t>6,998,520.30</t>
  </si>
  <si>
    <t>9,228,347.48</t>
  </si>
  <si>
    <t>9,457,146.69</t>
  </si>
  <si>
    <t>6,933,807.50</t>
  </si>
  <si>
    <t>3,496,478.11</t>
  </si>
  <si>
    <t>174,550.00</t>
  </si>
  <si>
    <t>1,565,000.00</t>
  </si>
  <si>
    <t>1,061,490.00</t>
  </si>
  <si>
    <t>29,861,274.83</t>
  </si>
  <si>
    <t>1,999,999.52</t>
  </si>
  <si>
    <t>1,890,900.00</t>
  </si>
  <si>
    <t>93,969,875.00</t>
  </si>
  <si>
    <t>402,349.00</t>
  </si>
  <si>
    <t>6,600,000.00</t>
  </si>
  <si>
    <t>8,976,830.00</t>
  </si>
  <si>
    <t>917,530.00</t>
  </si>
  <si>
    <t>3,678,097.50</t>
  </si>
  <si>
    <t>239,819.00</t>
  </si>
  <si>
    <t>2,731,000.00</t>
  </si>
  <si>
    <t>2,982,000.00</t>
  </si>
  <si>
    <t>2,057,800.00</t>
  </si>
  <si>
    <t>16,374,796.97</t>
  </si>
  <si>
    <t>6,603,450.00</t>
  </si>
  <si>
    <t>6,498,800.00</t>
  </si>
  <si>
    <t>3,612,068.00</t>
  </si>
  <si>
    <t>999,941.86</t>
  </si>
  <si>
    <t>38,599,983.94</t>
  </si>
  <si>
    <t>14,956,500.00</t>
  </si>
  <si>
    <t>162,993.66</t>
  </si>
  <si>
    <t>5,950,000.00</t>
  </si>
  <si>
    <t>35,639,631.53</t>
  </si>
  <si>
    <t>38,599,998.24</t>
  </si>
  <si>
    <t>58,409,482.40</t>
  </si>
  <si>
    <t>321,030.00</t>
  </si>
  <si>
    <t>948,398.06</t>
  </si>
  <si>
    <t>484,500.00</t>
  </si>
  <si>
    <t>48,999,974.55</t>
  </si>
  <si>
    <t>994,297.50</t>
  </si>
  <si>
    <t>9,799,746.52</t>
  </si>
  <si>
    <t>19,799,815.98</t>
  </si>
  <si>
    <t>995,887.20</t>
  </si>
  <si>
    <t>955,920.79</t>
  </si>
  <si>
    <t>4,113,998.44</t>
  </si>
  <si>
    <t>28,880,600.00</t>
  </si>
  <si>
    <t>996,712.50</t>
  </si>
  <si>
    <t>998,550.00</t>
  </si>
  <si>
    <t>8,430,062.01</t>
  </si>
  <si>
    <t>6,895.00</t>
  </si>
  <si>
    <t>15,551,286.92</t>
  </si>
  <si>
    <t>1,271,180.00</t>
  </si>
  <si>
    <t>1,980,180.00</t>
  </si>
  <si>
    <t>2,010,000.00</t>
  </si>
  <si>
    <t>557,000.00</t>
  </si>
  <si>
    <t>6,360.00</t>
  </si>
  <si>
    <t>5,430.00</t>
  </si>
  <si>
    <t>1,105,000.00</t>
  </si>
  <si>
    <t>1,938,106.40</t>
  </si>
  <si>
    <t>1,129,503.00</t>
  </si>
  <si>
    <t>2,735,000.00</t>
  </si>
  <si>
    <t>2,499,942.16</t>
  </si>
  <si>
    <t>19,773,581.10</t>
  </si>
  <si>
    <t>13,238,449.62</t>
  </si>
  <si>
    <t>3,670,000.00</t>
  </si>
  <si>
    <t>432,051.00</t>
  </si>
  <si>
    <t>4,372,800.00</t>
  </si>
  <si>
    <t>50,009.00</t>
  </si>
  <si>
    <t>556,037.50</t>
  </si>
  <si>
    <t>3,796,110.65</t>
  </si>
  <si>
    <t>2,844,000.00</t>
  </si>
  <si>
    <t>4,613,186.00</t>
  </si>
  <si>
    <t>34,800.00</t>
  </si>
  <si>
    <t>336,000.00</t>
  </si>
  <si>
    <t>8,400.00</t>
  </si>
  <si>
    <t>93,870.00</t>
  </si>
  <si>
    <t>6,410.00</t>
  </si>
  <si>
    <t>34,940.00</t>
  </si>
  <si>
    <t>10,600.00</t>
  </si>
  <si>
    <t>8,600.00</t>
  </si>
  <si>
    <t>19,800.00</t>
  </si>
  <si>
    <t>3,750.00</t>
  </si>
  <si>
    <t>25,200.00</t>
  </si>
  <si>
    <t>9,900.00</t>
  </si>
  <si>
    <t>277,100.00</t>
  </si>
  <si>
    <t>3,662,500.00</t>
  </si>
  <si>
    <t>348,025.00</t>
  </si>
  <si>
    <t>148,750.00</t>
  </si>
  <si>
    <t>270,300.00</t>
  </si>
  <si>
    <t>3,027,648.00</t>
  </si>
  <si>
    <t>23,609.00</t>
  </si>
  <si>
    <t>1,386.00</t>
  </si>
  <si>
    <t>3,087.00</t>
  </si>
  <si>
    <t>14,800.00</t>
  </si>
  <si>
    <t>3,215.00</t>
  </si>
  <si>
    <t>115,275.95</t>
  </si>
  <si>
    <t>545,700.00</t>
  </si>
  <si>
    <t>13,205.00</t>
  </si>
  <si>
    <t>58,199.00</t>
  </si>
  <si>
    <t>53,149.00</t>
  </si>
  <si>
    <t>6,728,500.00</t>
  </si>
  <si>
    <t>3,468.00</t>
  </si>
  <si>
    <t>7,491.00</t>
  </si>
  <si>
    <t>16,372.00</t>
  </si>
  <si>
    <t>4,206,894.00</t>
  </si>
  <si>
    <t>23,816.00</t>
  </si>
  <si>
    <t>19,181.00</t>
  </si>
  <si>
    <t>15,781.00</t>
  </si>
  <si>
    <t>43,084.00</t>
  </si>
  <si>
    <t>1,806,750.00</t>
  </si>
  <si>
    <t>2,874,877.00</t>
  </si>
  <si>
    <t>197,245.00</t>
  </si>
  <si>
    <t>591,000.00</t>
  </si>
  <si>
    <t>942,470.00</t>
  </si>
  <si>
    <t>402,500.00</t>
  </si>
  <si>
    <t>39,425.00</t>
  </si>
  <si>
    <t>10,810.00</t>
  </si>
  <si>
    <t>94,400.00</t>
  </si>
  <si>
    <t>145,435.00</t>
  </si>
  <si>
    <t>13,999,999.50</t>
  </si>
  <si>
    <t>5,075.00</t>
  </si>
  <si>
    <t>6,364.00</t>
  </si>
  <si>
    <t>31,647.00</t>
  </si>
  <si>
    <t>6,007.00</t>
  </si>
  <si>
    <t>7,920,000.00</t>
  </si>
  <si>
    <t>9,550.00</t>
  </si>
  <si>
    <t>99,999,999.45</t>
  </si>
  <si>
    <t>6,001.00</t>
  </si>
  <si>
    <t>262,819.00</t>
  </si>
  <si>
    <t>3,032,215.00</t>
  </si>
  <si>
    <t>146,860.00</t>
  </si>
  <si>
    <t>1,859,265.00</t>
  </si>
  <si>
    <t>2,483,540.75</t>
  </si>
  <si>
    <t>444,311.00</t>
  </si>
  <si>
    <t>10,962.00</t>
  </si>
  <si>
    <t>749,800.00</t>
  </si>
  <si>
    <t>810,090.36</t>
  </si>
  <si>
    <t>505,419.09</t>
  </si>
  <si>
    <t>79,837.00</t>
  </si>
  <si>
    <t>54,729.50</t>
  </si>
  <si>
    <t>1,303,421.84</t>
  </si>
  <si>
    <t>999,965.15</t>
  </si>
  <si>
    <t>1,911,009.65</t>
  </si>
  <si>
    <t>16,242,753.90</t>
  </si>
  <si>
    <t>142,000.00</t>
  </si>
  <si>
    <t>2,533,096.87</t>
  </si>
  <si>
    <t>810,888.33</t>
  </si>
  <si>
    <t>299,994.83</t>
  </si>
  <si>
    <t>699,983.42</t>
  </si>
  <si>
    <t>1,401,717.25</t>
  </si>
  <si>
    <t>853,558.18</t>
  </si>
  <si>
    <t>2,479,886.06</t>
  </si>
  <si>
    <t>2,089,555.42</t>
  </si>
  <si>
    <t>1,298,002.33</t>
  </si>
  <si>
    <t>669,564.23</t>
  </si>
  <si>
    <t>1,099,427.01</t>
  </si>
  <si>
    <t>795,911.67</t>
  </si>
  <si>
    <t>2,149,924.18</t>
  </si>
  <si>
    <t>7,436,499.19</t>
  </si>
  <si>
    <t>9,994,514.37</t>
  </si>
  <si>
    <t>11,045,036.77</t>
  </si>
  <si>
    <t>99,940.39</t>
  </si>
  <si>
    <t>627,317.58</t>
  </si>
  <si>
    <t>1,043,241.57</t>
  </si>
  <si>
    <t>729,129.55</t>
  </si>
  <si>
    <t>2,453,181.97</t>
  </si>
  <si>
    <t>1,799,827.23</t>
  </si>
  <si>
    <t>8,475,449.27</t>
  </si>
  <si>
    <t>1,679,214.25</t>
  </si>
  <si>
    <t>3,583,900.85</t>
  </si>
  <si>
    <t>11,708,530.37</t>
  </si>
  <si>
    <t>1,099,746.64</t>
  </si>
  <si>
    <t>898,261.60</t>
  </si>
  <si>
    <t>2,494,259.17</t>
  </si>
  <si>
    <t>4,300,908.44</t>
  </si>
  <si>
    <t>849,471.16</t>
  </si>
  <si>
    <t>3,546,621.31</t>
  </si>
  <si>
    <t>2,294,941.09</t>
  </si>
  <si>
    <t>17,997,702.28</t>
  </si>
  <si>
    <t>482,160.05</t>
  </si>
  <si>
    <t>4,499,987.49</t>
  </si>
  <si>
    <t>53,199,485.00</t>
  </si>
  <si>
    <t>289,500,000.00</t>
  </si>
  <si>
    <t>14,997,632.98</t>
  </si>
  <si>
    <t>5,383,000.00</t>
  </si>
  <si>
    <t>135,100,000.00</t>
  </si>
  <si>
    <t>413,895.00</t>
  </si>
  <si>
    <t>555,791.00</t>
  </si>
  <si>
    <t>181,280.00</t>
  </si>
  <si>
    <t>1,199,999.53</t>
  </si>
  <si>
    <t>2,920,000.00</t>
  </si>
  <si>
    <t>18,998,751.90</t>
  </si>
  <si>
    <t>1,969,165.64</t>
  </si>
  <si>
    <t>170,692.00</t>
  </si>
  <si>
    <t>5,920,000.00</t>
  </si>
  <si>
    <t>70,000,000.00</t>
  </si>
  <si>
    <t>834,480.00</t>
  </si>
  <si>
    <t>960,750.00</t>
  </si>
  <si>
    <t>250,275.00</t>
  </si>
  <si>
    <t>375,100.00</t>
  </si>
  <si>
    <t>3,046,000.00</t>
  </si>
  <si>
    <t>24,875,000.00</t>
  </si>
  <si>
    <t>1,068,398.00</t>
  </si>
  <si>
    <t>9,998,598.74</t>
  </si>
  <si>
    <t>311,825.00</t>
  </si>
  <si>
    <t>2,220,750.00</t>
  </si>
  <si>
    <t>1,934,215.12</t>
  </si>
  <si>
    <t>329,475.00</t>
  </si>
  <si>
    <t>314,572.50</t>
  </si>
  <si>
    <t>1,499,745.38</t>
  </si>
  <si>
    <t>4,921,084.95</t>
  </si>
  <si>
    <t>13,192,935.00</t>
  </si>
  <si>
    <t>652,600.00</t>
  </si>
  <si>
    <t>1,210,000.00</t>
  </si>
  <si>
    <t>8,643,000.00</t>
  </si>
  <si>
    <t>2,995,439.87</t>
  </si>
  <si>
    <t>905,484.23</t>
  </si>
  <si>
    <t>5,873,734.99</t>
  </si>
  <si>
    <t>1,116,560.00</t>
  </si>
  <si>
    <t>3,450,000.00</t>
  </si>
  <si>
    <t>999,838.30</t>
  </si>
  <si>
    <t>5,999,923.56</t>
  </si>
  <si>
    <t>86,300.00</t>
  </si>
  <si>
    <t>581,304.00</t>
  </si>
  <si>
    <t>292,425.01</t>
  </si>
  <si>
    <t>2,099,000.00</t>
  </si>
  <si>
    <t>10,050,000.00</t>
  </si>
  <si>
    <t>948,000.00</t>
  </si>
  <si>
    <t>7,781,000.00</t>
  </si>
  <si>
    <t>499,902.00</t>
  </si>
  <si>
    <t>4,344,846.00</t>
  </si>
  <si>
    <t>1,959,939.74</t>
  </si>
  <si>
    <t>10,220,000.00</t>
  </si>
  <si>
    <t>1,115,540.92</t>
  </si>
  <si>
    <t>1,499,994.08</t>
  </si>
  <si>
    <t>1,015,000.00</t>
  </si>
  <si>
    <t>2,939,955.41</t>
  </si>
  <si>
    <t>2,207,500.00</t>
  </si>
  <si>
    <t>2,892,540.00</t>
  </si>
  <si>
    <t>1,372,175.00</t>
  </si>
  <si>
    <t>4,424,000.00</t>
  </si>
  <si>
    <t>439,130.24</t>
  </si>
  <si>
    <t>1,866,635.00</t>
  </si>
  <si>
    <t>4,551,000.00</t>
  </si>
  <si>
    <t>1,979,942.80</t>
  </si>
  <si>
    <t>24,749,847.03</t>
  </si>
  <si>
    <t>1,959,895.49</t>
  </si>
  <si>
    <t>1,495,586.56</t>
  </si>
  <si>
    <t>30,390.00</t>
  </si>
  <si>
    <t>766,310.00</t>
  </si>
  <si>
    <t>4,375,145.06</t>
  </si>
  <si>
    <t>2,672,800.00</t>
  </si>
  <si>
    <t>112,081.85</t>
  </si>
  <si>
    <t>999,912.92</t>
  </si>
  <si>
    <t>1,727,522.54</t>
  </si>
  <si>
    <t>1,345,754.00</t>
  </si>
  <si>
    <t>999,941.75</t>
  </si>
  <si>
    <t>2,990,594.00</t>
  </si>
  <si>
    <t>4,999,987.23</t>
  </si>
  <si>
    <t>48,999,934.59</t>
  </si>
  <si>
    <t>1,214,680.17</t>
  </si>
  <si>
    <t>14,981,717.00</t>
  </si>
  <si>
    <t>10,800,000.00</t>
  </si>
  <si>
    <t>2,517,407.00</t>
  </si>
  <si>
    <t>49,499,818.16</t>
  </si>
  <si>
    <t>1,979,608.16</t>
  </si>
  <si>
    <t>4,766,000.00</t>
  </si>
  <si>
    <t>19,799,863.99</t>
  </si>
  <si>
    <t>48,999,575.77</t>
  </si>
  <si>
    <t>1,597,391.75</t>
  </si>
  <si>
    <t>952,000.00</t>
  </si>
  <si>
    <t>49,499,914.27</t>
  </si>
  <si>
    <t>5,879,909.44</t>
  </si>
  <si>
    <t>2,435,364.75</t>
  </si>
  <si>
    <t>188,424.00</t>
  </si>
  <si>
    <t>29,900.00</t>
  </si>
  <si>
    <t>19,599,842.64</t>
  </si>
  <si>
    <t>2,007,180.00</t>
  </si>
  <si>
    <t>1,959,853.18</t>
  </si>
  <si>
    <t>19,599,943.77</t>
  </si>
  <si>
    <t>2,939,642.21</t>
  </si>
  <si>
    <t>2,213,641.12</t>
  </si>
  <si>
    <t>24,986.00</t>
  </si>
  <si>
    <t>1,014,229.00</t>
  </si>
  <si>
    <t>83,295.00</t>
  </si>
  <si>
    <t>1,578,422.00</t>
  </si>
  <si>
    <t>1,195,030.00</t>
  </si>
  <si>
    <t>111,750.00</t>
  </si>
  <si>
    <t>2,608,535.14</t>
  </si>
  <si>
    <t>1,400,778.50</t>
  </si>
  <si>
    <t>1,385,838.00</t>
  </si>
  <si>
    <t>1,860.00</t>
  </si>
  <si>
    <t>19,799,947.66</t>
  </si>
  <si>
    <t>999,981.42</t>
  </si>
  <si>
    <t>134,885.00</t>
  </si>
  <si>
    <t>365,030.95</t>
  </si>
  <si>
    <t>9,799,945.84</t>
  </si>
  <si>
    <t>348,200.00</t>
  </si>
  <si>
    <t>451,482.81</t>
  </si>
  <si>
    <t>296,397.00</t>
  </si>
  <si>
    <t>1,959,198.93</t>
  </si>
  <si>
    <t>1,959,919.35</t>
  </si>
  <si>
    <t>3,429,951.02</t>
  </si>
  <si>
    <t>6,287,400.00</t>
  </si>
  <si>
    <t>2,960.00</t>
  </si>
  <si>
    <t>2,939,941.41</t>
  </si>
  <si>
    <t>351,459.06</t>
  </si>
  <si>
    <t>3,423,000.00</t>
  </si>
  <si>
    <t>14,699,833.44</t>
  </si>
  <si>
    <t>1,540,250.00</t>
  </si>
  <si>
    <t>70,775.00</t>
  </si>
  <si>
    <t>590,832.88</t>
  </si>
  <si>
    <t>772,671.25</t>
  </si>
  <si>
    <t>34,299,223.99</t>
  </si>
  <si>
    <t>1,999,979.56</t>
  </si>
  <si>
    <t>2,939,408.15</t>
  </si>
  <si>
    <t>1,959,991.60</t>
  </si>
  <si>
    <t>800,811.56</t>
  </si>
  <si>
    <t>1,547,510.00</t>
  </si>
  <si>
    <t>7,702,000.00</t>
  </si>
  <si>
    <t>55,770.00</t>
  </si>
  <si>
    <t>12,437,500.00</t>
  </si>
  <si>
    <t>999,962.58</t>
  </si>
  <si>
    <t>1,959,982.57</t>
  </si>
  <si>
    <t>11,939,976.01</t>
  </si>
  <si>
    <t>599,996.00</t>
  </si>
  <si>
    <t>11,939,975.70</t>
  </si>
  <si>
    <t>2,867,143.76</t>
  </si>
  <si>
    <t>2,046,000.00</t>
  </si>
  <si>
    <t>1,407,730.80</t>
  </si>
  <si>
    <t>16,660,000.00</t>
  </si>
  <si>
    <t>399,360.00</t>
  </si>
  <si>
    <t>12,934,953.22</t>
  </si>
  <si>
    <t>2,427,174.19</t>
  </si>
  <si>
    <t>51,480,000.00</t>
  </si>
  <si>
    <t>4,731,375.00</t>
  </si>
  <si>
    <t>3,540,000.00</t>
  </si>
  <si>
    <t>1,810,095.27</t>
  </si>
  <si>
    <t>12,934,947.12</t>
  </si>
  <si>
    <t>662,900.00</t>
  </si>
  <si>
    <t>4,927,800.00</t>
  </si>
  <si>
    <t>227,745.00</t>
  </si>
  <si>
    <t>3,864,686.31</t>
  </si>
  <si>
    <t>1,472,768.00</t>
  </si>
  <si>
    <t>1,324,800.00</t>
  </si>
  <si>
    <t>1,499,997.84</t>
  </si>
  <si>
    <t>997,753.00</t>
  </si>
  <si>
    <t>14,980,000.00</t>
  </si>
  <si>
    <t>96,017,500.00</t>
  </si>
  <si>
    <t>3,945,744.32</t>
  </si>
  <si>
    <t>2,349,090.00</t>
  </si>
  <si>
    <t>1,897,161.40</t>
  </si>
  <si>
    <t>542,465.00</t>
  </si>
  <si>
    <t>3,881,112.26</t>
  </si>
  <si>
    <t>8,820,000.00</t>
  </si>
  <si>
    <t>644,955.00</t>
  </si>
  <si>
    <t>2,498,129.58</t>
  </si>
  <si>
    <t>738,090.00</t>
  </si>
  <si>
    <t>271,868.60</t>
  </si>
  <si>
    <t>2,939,996.49</t>
  </si>
  <si>
    <t>41,930.00</t>
  </si>
  <si>
    <t>593,165.00</t>
  </si>
  <si>
    <t>176,013,538.00</t>
  </si>
  <si>
    <t>14,999,985.16</t>
  </si>
  <si>
    <t>384,500.00</t>
  </si>
  <si>
    <t>29,399,717.41</t>
  </si>
  <si>
    <t>3,021,155.20</t>
  </si>
  <si>
    <t>16,928,000.00</t>
  </si>
  <si>
    <t>42,500.00</t>
  </si>
  <si>
    <t>107,850.00</t>
  </si>
  <si>
    <t>1,592,600.00</t>
  </si>
  <si>
    <t>2,940,000.00</t>
  </si>
  <si>
    <t>78,870.00</t>
  </si>
  <si>
    <t>1,928,400.00</t>
  </si>
  <si>
    <t>4,975,000.00</t>
  </si>
  <si>
    <t>18,309,589.20</t>
  </si>
  <si>
    <t>4,901,672.06</t>
  </si>
  <si>
    <t>1,736,400,000.00</t>
  </si>
  <si>
    <t>1,860,000.00</t>
  </si>
  <si>
    <t>2,625,870.00</t>
  </si>
  <si>
    <t>715,431.00</t>
  </si>
  <si>
    <t>4,900,500.00</t>
  </si>
  <si>
    <t>2,784,887.68</t>
  </si>
  <si>
    <t>1,416,012.50</t>
  </si>
  <si>
    <t>465,000.00</t>
  </si>
  <si>
    <t>1,778,267.91</t>
  </si>
  <si>
    <t>475,490.25</t>
  </si>
  <si>
    <t>99,055.00</t>
  </si>
  <si>
    <t>2,627,000.00</t>
  </si>
  <si>
    <t>1,547,167.68</t>
  </si>
  <si>
    <t>667,194.90</t>
  </si>
  <si>
    <t>5,370,098.00</t>
  </si>
  <si>
    <t>3,638,735.05</t>
  </si>
  <si>
    <t>8,259,710.08</t>
  </si>
  <si>
    <t>976,238.06</t>
  </si>
  <si>
    <t>13,858,572.00</t>
  </si>
  <si>
    <t>1,983,414.65</t>
  </si>
  <si>
    <t>677,000.00</t>
  </si>
  <si>
    <t>12,779,760.00</t>
  </si>
  <si>
    <t>4,376,000.00</t>
  </si>
  <si>
    <t>9,100,500.00</t>
  </si>
  <si>
    <t>70,070.00</t>
  </si>
  <si>
    <t>3,033,347.80</t>
  </si>
  <si>
    <t>54,941.00</t>
  </si>
  <si>
    <t>1,294,872.00</t>
  </si>
  <si>
    <t>415,282.00</t>
  </si>
  <si>
    <t>34,236,394.86</t>
  </si>
  <si>
    <t>2,107,050.00</t>
  </si>
  <si>
    <t>86,009.10</t>
  </si>
  <si>
    <t>11,437,500.00</t>
  </si>
  <si>
    <t>2,098,501.00</t>
  </si>
  <si>
    <t>1,490,000.00</t>
  </si>
  <si>
    <t>206,800.00</t>
  </si>
  <si>
    <t>145,050.00</t>
  </si>
  <si>
    <t>1,471,168.25</t>
  </si>
  <si>
    <t>2,430,820.00</t>
  </si>
  <si>
    <t>5,300,000.00</t>
  </si>
  <si>
    <t>7,691,020.00</t>
  </si>
  <si>
    <t>3,750,000.00</t>
  </si>
  <si>
    <t>4,158,874.48</t>
  </si>
  <si>
    <t>20,242,248.12</t>
  </si>
  <si>
    <t>7,625,481.60</t>
  </si>
  <si>
    <t>2,772,000.00</t>
  </si>
  <si>
    <t>542,800.00</t>
  </si>
  <si>
    <t>32,199,750.00</t>
  </si>
  <si>
    <t>9,801,000.00</t>
  </si>
  <si>
    <t>560,215.00</t>
  </si>
  <si>
    <t>376,601.37</t>
  </si>
  <si>
    <t>578,560.00</t>
  </si>
  <si>
    <t>1,415,000.00</t>
  </si>
  <si>
    <t>1,087,446.80</t>
  </si>
  <si>
    <t>1,812,556.22</t>
  </si>
  <si>
    <t>2,376,000.00</t>
  </si>
  <si>
    <t>15,707,792.00</t>
  </si>
  <si>
    <t>383,520.00</t>
  </si>
  <si>
    <t>598,825.00</t>
  </si>
  <si>
    <t>9,303,950.80</t>
  </si>
  <si>
    <t>793,000.00</t>
  </si>
  <si>
    <t>13,900,000.00</t>
  </si>
  <si>
    <t>542,054.90</t>
  </si>
  <si>
    <t>2,740,750.00</t>
  </si>
  <si>
    <t>3,255,190.00</t>
  </si>
  <si>
    <t>17,674,460.73</t>
  </si>
  <si>
    <t>2,099,814.00</t>
  </si>
  <si>
    <t>14,925,000.00</t>
  </si>
  <si>
    <t>4,059,000.00</t>
  </si>
  <si>
    <t>19,900,000.00</t>
  </si>
  <si>
    <t>378,911.60</t>
  </si>
  <si>
    <t>2,198,290.00</t>
  </si>
  <si>
    <t>1,521,000.00</t>
  </si>
  <si>
    <t>1,840,000.00</t>
  </si>
  <si>
    <t>1,270,000.00</t>
  </si>
  <si>
    <t>31,975.00</t>
  </si>
  <si>
    <t>1,160,000.00</t>
  </si>
  <si>
    <t>1,308,728.00</t>
  </si>
  <si>
    <t>4,935,553.00</t>
  </si>
  <si>
    <t>10,203,900.00</t>
  </si>
  <si>
    <t>7,508,282.50</t>
  </si>
  <si>
    <t>1,996,500.00</t>
  </si>
  <si>
    <t>4,650,000.00</t>
  </si>
  <si>
    <t>1,990,063.00</t>
  </si>
  <si>
    <t>6,174,000.00</t>
  </si>
  <si>
    <t>5,301,913.90</t>
  </si>
  <si>
    <t>10,983,000.00</t>
  </si>
  <si>
    <t>9,500,000.00</t>
  </si>
  <si>
    <t>822,500.00</t>
  </si>
  <si>
    <t>228,733.00</t>
  </si>
  <si>
    <t>2,729,228.79</t>
  </si>
  <si>
    <t>1,324,200.00</t>
  </si>
  <si>
    <t>1,999,727.98</t>
  </si>
  <si>
    <t>495,000.00</t>
  </si>
  <si>
    <t>966,636.00</t>
  </si>
  <si>
    <t>5,207,000.00</t>
  </si>
  <si>
    <t>487,757.00</t>
  </si>
  <si>
    <t>328,538.00</t>
  </si>
  <si>
    <t>2,479,610.33</t>
  </si>
  <si>
    <t>2,545,920.00</t>
  </si>
  <si>
    <t>5,485,000.00</t>
  </si>
  <si>
    <t>2,352,000.00</t>
  </si>
  <si>
    <t>1,350,500.00</t>
  </si>
  <si>
    <t>10,600,000.00</t>
  </si>
  <si>
    <t>12,146,967.54</t>
  </si>
  <si>
    <t>1,599,978.64</t>
  </si>
  <si>
    <t>449,970.00</t>
  </si>
  <si>
    <t>1,354,508.00</t>
  </si>
  <si>
    <t>1,063,000.00</t>
  </si>
  <si>
    <t>494,550.00</t>
  </si>
  <si>
    <t>6,667,055.00</t>
  </si>
  <si>
    <t>295,000.00</t>
  </si>
  <si>
    <t>8,400,000.00</t>
  </si>
  <si>
    <t>488,601.60</t>
  </si>
  <si>
    <t>126,107.00</t>
  </si>
  <si>
    <t>1,499,980.00</t>
  </si>
  <si>
    <t>1,842,468.75</t>
  </si>
  <si>
    <t>7,248,080.45</t>
  </si>
  <si>
    <t>1,499,973.89</t>
  </si>
  <si>
    <t>1,215,050.00</t>
  </si>
  <si>
    <t>2,060,000.00</t>
  </si>
  <si>
    <t>266,200.00</t>
  </si>
  <si>
    <t>799,239.00</t>
  </si>
  <si>
    <t>4,590,000.00</t>
  </si>
  <si>
    <t>920,673.00</t>
  </si>
  <si>
    <t>2,484,660.31</t>
  </si>
  <si>
    <t>32,830,000.00</t>
  </si>
  <si>
    <t>542,868.60</t>
  </si>
  <si>
    <t>861,136.50</t>
  </si>
  <si>
    <t>143,843.84</t>
  </si>
  <si>
    <t>2,953,705.00</t>
  </si>
  <si>
    <t>112,950.00</t>
  </si>
  <si>
    <t>1,434,987.25</t>
  </si>
  <si>
    <t>5,540,550.00</t>
  </si>
  <si>
    <t>175,261.25</t>
  </si>
  <si>
    <t>867,401.50</t>
  </si>
  <si>
    <t>436,230.00</t>
  </si>
  <si>
    <t>6,624,800.00</t>
  </si>
  <si>
    <t>1,927,350.00</t>
  </si>
  <si>
    <t>9,650,000.00</t>
  </si>
  <si>
    <t>163,107.00</t>
  </si>
  <si>
    <t>1,308,895.67</t>
  </si>
  <si>
    <t>4,989,680.44</t>
  </si>
  <si>
    <t>9,382,500.00</t>
  </si>
  <si>
    <t>39,199,954.62</t>
  </si>
  <si>
    <t>572,950.00</t>
  </si>
  <si>
    <t>498,499.00</t>
  </si>
  <si>
    <t>16,743,873.31</t>
  </si>
  <si>
    <t>14,989,946.30</t>
  </si>
  <si>
    <t>48,999,853.20</t>
  </si>
  <si>
    <t>1,143,600.00</t>
  </si>
  <si>
    <t>506,362.28</t>
  </si>
  <si>
    <t>12,740,000.00</t>
  </si>
  <si>
    <t>367,660.99</t>
  </si>
  <si>
    <t>2,395,999.15</t>
  </si>
  <si>
    <t>16,989,934.98</t>
  </si>
  <si>
    <t>346,000.00</t>
  </si>
  <si>
    <t>4,235,000.00</t>
  </si>
  <si>
    <t>22,498,957.56</t>
  </si>
  <si>
    <t>2,854,500.00</t>
  </si>
  <si>
    <t>9,989,890.60</t>
  </si>
  <si>
    <t>3,681,367.75</t>
  </si>
  <si>
    <t>50,683,000.00</t>
  </si>
  <si>
    <t>1,272,160.00</t>
  </si>
  <si>
    <t>13,720,000.00</t>
  </si>
  <si>
    <t>12,554,650.00</t>
  </si>
  <si>
    <t>139,923,944.95</t>
  </si>
  <si>
    <t>43,424,762.96</t>
  </si>
  <si>
    <t>1,337,399.00</t>
  </si>
  <si>
    <t>286,350.00</t>
  </si>
  <si>
    <t>1,246,676.60</t>
  </si>
  <si>
    <t>96,499,079.66</t>
  </si>
  <si>
    <t>57,899,843.81</t>
  </si>
  <si>
    <t>53,298,846.86</t>
  </si>
  <si>
    <t>57,899,874.60</t>
  </si>
  <si>
    <t>96,498,691.77</t>
  </si>
  <si>
    <t>1,188,000.00</t>
  </si>
  <si>
    <t>129,180.00</t>
  </si>
  <si>
    <t>505,700.00</t>
  </si>
  <si>
    <t>12,436,807.73</t>
  </si>
  <si>
    <t>4,086,764.95</t>
  </si>
  <si>
    <t>2,108,250.00</t>
  </si>
  <si>
    <t>3,499,386.34</t>
  </si>
  <si>
    <t>1,124,280.00</t>
  </si>
  <si>
    <t>1,198,050.00</t>
  </si>
  <si>
    <t>1,509,920.00</t>
  </si>
  <si>
    <t>5,573,000.00</t>
  </si>
  <si>
    <t>1,033,000.00</t>
  </si>
  <si>
    <t>1,280,000.00</t>
  </si>
  <si>
    <t>4,121,824.00</t>
  </si>
  <si>
    <t>1,172,952.00</t>
  </si>
  <si>
    <t>3,183,092.00</t>
  </si>
  <si>
    <t>3,253,441.00</t>
  </si>
  <si>
    <t>236,106.00</t>
  </si>
  <si>
    <t>3,999,999.97</t>
  </si>
  <si>
    <t>1,999,999.40</t>
  </si>
  <si>
    <t>2,869,671.00</t>
  </si>
  <si>
    <t>499,999.07</t>
  </si>
  <si>
    <t>1,788,495.00</t>
  </si>
  <si>
    <t>7,197,999.58</t>
  </si>
  <si>
    <t>232,021.50</t>
  </si>
  <si>
    <t>1,982,973.00</t>
  </si>
  <si>
    <t>833,100.00</t>
  </si>
  <si>
    <t>3,896,804.63</t>
  </si>
  <si>
    <t>1,118,275.00</t>
  </si>
  <si>
    <t>2,793,040.00</t>
  </si>
  <si>
    <t>1,798,000.00</t>
  </si>
  <si>
    <t>1,499,553.80</t>
  </si>
  <si>
    <t>11,879,985.18</t>
  </si>
  <si>
    <t>17,909,541.69</t>
  </si>
  <si>
    <t>19,899,529.70</t>
  </si>
  <si>
    <t>2,499,637.52</t>
  </si>
  <si>
    <t>17,909,754.21</t>
  </si>
  <si>
    <t>999,863.72</t>
  </si>
  <si>
    <t>12,869,536.62</t>
  </si>
  <si>
    <t>1,499,465.13</t>
  </si>
  <si>
    <t>1,600,208.00</t>
  </si>
  <si>
    <t>697,840.00</t>
  </si>
  <si>
    <t>1,849,934.57</t>
  </si>
  <si>
    <t>292,656.00</t>
  </si>
  <si>
    <t>1,544,400.00</t>
  </si>
  <si>
    <t>835,450.63</t>
  </si>
  <si>
    <t>210,112.50</t>
  </si>
  <si>
    <t>476,218.00</t>
  </si>
  <si>
    <t>395,800.00</t>
  </si>
  <si>
    <t>50,585.00</t>
  </si>
  <si>
    <t>294,200.00</t>
  </si>
  <si>
    <t>350,342.00</t>
  </si>
  <si>
    <t>335,445.00</t>
  </si>
  <si>
    <t>2,664,039.96</t>
  </si>
  <si>
    <t>91,376.76</t>
  </si>
  <si>
    <t>876,000.00</t>
  </si>
  <si>
    <t>7,700,000.00</t>
  </si>
  <si>
    <t>224,198.00</t>
  </si>
  <si>
    <t>298,889.93</t>
  </si>
  <si>
    <t>2,697,256.47</t>
  </si>
  <si>
    <t>1,095,000.00</t>
  </si>
  <si>
    <t>1,318,234.84</t>
  </si>
  <si>
    <t>144,143.00</t>
  </si>
  <si>
    <t>215,560.00</t>
  </si>
  <si>
    <t>380,430.00</t>
  </si>
  <si>
    <t>196,912.00</t>
  </si>
  <si>
    <t>4,906,162.74</t>
  </si>
  <si>
    <t>1,744,985.00</t>
  </si>
  <si>
    <t>4,534,054.89</t>
  </si>
  <si>
    <t>3,934,975.95</t>
  </si>
  <si>
    <t>362,000.00</t>
  </si>
  <si>
    <t>970,787.46</t>
  </si>
  <si>
    <t>474,293.09</t>
  </si>
  <si>
    <t>1,720,000.00</t>
  </si>
  <si>
    <t>9,708,829.70</t>
  </si>
  <si>
    <t>469,818.20</t>
  </si>
  <si>
    <t>1,182,000.00</t>
  </si>
  <si>
    <t>1,360,000.00</t>
  </si>
  <si>
    <t>2,662,660.00</t>
  </si>
  <si>
    <t>902,965.10</t>
  </si>
  <si>
    <t>1,067,163.83</t>
  </si>
  <si>
    <t>14,184,194.36</t>
  </si>
  <si>
    <t>2,361,572.00</t>
  </si>
  <si>
    <t>2,210,000.00</t>
  </si>
  <si>
    <t>4,712,000.00</t>
  </si>
  <si>
    <t>5,006,453.60</t>
  </si>
  <si>
    <t>915,887.05</t>
  </si>
  <si>
    <t>154,325.00</t>
  </si>
  <si>
    <t>339,048.00</t>
  </si>
  <si>
    <t>1,999,945.27</t>
  </si>
  <si>
    <t>1,477,500.00</t>
  </si>
  <si>
    <t>499,909.86</t>
  </si>
  <si>
    <t>5,222,500.00</t>
  </si>
  <si>
    <t>1,199,999.99</t>
  </si>
  <si>
    <t>414,186.00</t>
  </si>
  <si>
    <t>3,673,476.00</t>
  </si>
  <si>
    <t>1,883,019.60</t>
  </si>
  <si>
    <t>255,970.00</t>
  </si>
  <si>
    <t>1,999,705.69</t>
  </si>
  <si>
    <t>1,900,145.00</t>
  </si>
  <si>
    <t>8,065,210.00</t>
  </si>
  <si>
    <t>904,928.00</t>
  </si>
  <si>
    <t>1,261,517.77</t>
  </si>
  <si>
    <t>1,512,972.50</t>
  </si>
  <si>
    <t>91,859.00</t>
  </si>
  <si>
    <t>1,999,999.98</t>
  </si>
  <si>
    <t>2,499,999.98</t>
  </si>
  <si>
    <t>2,187,332.01</t>
  </si>
  <si>
    <t>628,647.60</t>
  </si>
  <si>
    <t>1,007,000.00</t>
  </si>
  <si>
    <t>2,862,940.00</t>
  </si>
  <si>
    <t>825,792.05</t>
  </si>
  <si>
    <t>394,377.00</t>
  </si>
  <si>
    <t>511,410.00</t>
  </si>
  <si>
    <t>6,900,000.00</t>
  </si>
  <si>
    <t>643,286.00</t>
  </si>
  <si>
    <t>4,999,999.98</t>
  </si>
  <si>
    <t>1,209,520.05</t>
  </si>
  <si>
    <t>1,381,921.10</t>
  </si>
  <si>
    <t>4,041,557.00</t>
  </si>
  <si>
    <t>349,413.36</t>
  </si>
  <si>
    <t>6,917,507.32</t>
  </si>
  <si>
    <t>127,775.00</t>
  </si>
  <si>
    <t>335,033.45</t>
  </si>
  <si>
    <t>36,802,364.37</t>
  </si>
  <si>
    <t>503,343.00</t>
  </si>
  <si>
    <t>19,481,973.12</t>
  </si>
  <si>
    <t>41,609,099.74</t>
  </si>
  <si>
    <t>598,817.15</t>
  </si>
  <si>
    <t>1,335,000.00</t>
  </si>
  <si>
    <t>2,270,000.00</t>
  </si>
  <si>
    <t>5,160,000.00</t>
  </si>
  <si>
    <t>1,247,008.00</t>
  </si>
  <si>
    <t>1,963,000.00</t>
  </si>
  <si>
    <t>1,092,360.00</t>
  </si>
  <si>
    <t>6,910,000.00</t>
  </si>
  <si>
    <t>12,775,000.00</t>
  </si>
  <si>
    <t>336,960.00</t>
  </si>
  <si>
    <t>2,138,969.00</t>
  </si>
  <si>
    <t>980,960.00</t>
  </si>
  <si>
    <t>153,406.59</t>
  </si>
  <si>
    <t>6,866,000.00</t>
  </si>
  <si>
    <t>2,505,185.00</t>
  </si>
  <si>
    <t>139,050.00</t>
  </si>
  <si>
    <t>2,569,750.00</t>
  </si>
  <si>
    <t>2,785,200.00</t>
  </si>
  <si>
    <t>5,317,000.00</t>
  </si>
  <si>
    <t>526,800.00</t>
  </si>
  <si>
    <t>261,479.00</t>
  </si>
  <si>
    <t>1,182,400.00</t>
  </si>
  <si>
    <t>1,033,100.00</t>
  </si>
  <si>
    <t>6,717,365.00</t>
  </si>
  <si>
    <t>1,025,000.00</t>
  </si>
  <si>
    <t>149,445.00</t>
  </si>
  <si>
    <t>29,499,363.00</t>
  </si>
  <si>
    <t>39,725.00</t>
  </si>
  <si>
    <t>3,134,502.00</t>
  </si>
  <si>
    <t>1,502,400.00</t>
  </si>
  <si>
    <t>1,419,616.00</t>
  </si>
  <si>
    <t>1,224,279.35</t>
  </si>
  <si>
    <t>85,700.00</t>
  </si>
  <si>
    <t>4,086,758.80</t>
  </si>
  <si>
    <t>413,517.00</t>
  </si>
  <si>
    <t>755,000.00</t>
  </si>
  <si>
    <t>750,750.00</t>
  </si>
  <si>
    <t>89,099,998.35</t>
  </si>
  <si>
    <t>4,072,840.93</t>
  </si>
  <si>
    <t>2,965,333.85</t>
  </si>
  <si>
    <t>2,999,931.34</t>
  </si>
  <si>
    <t>1,895,795.24</t>
  </si>
  <si>
    <t>402,760.00</t>
  </si>
  <si>
    <t>6,120,431.21</t>
  </si>
  <si>
    <t>244,950.00</t>
  </si>
  <si>
    <t>1,870,000.00</t>
  </si>
  <si>
    <t>5,999,429.62</t>
  </si>
  <si>
    <t>411,300.00</t>
  </si>
  <si>
    <t>9,527,485.00</t>
  </si>
  <si>
    <t>1,824,135.61</t>
  </si>
  <si>
    <t>9,999,400.00</t>
  </si>
  <si>
    <t>37,110,900.06</t>
  </si>
  <si>
    <t>1,717,870.00</t>
  </si>
  <si>
    <t>32,300.00</t>
  </si>
  <si>
    <t>399,999.71</t>
  </si>
  <si>
    <t>12,852,675.00</t>
  </si>
  <si>
    <t>4,086,756.90</t>
  </si>
  <si>
    <t>123,575.00</t>
  </si>
  <si>
    <t>49,996,219.98</t>
  </si>
  <si>
    <t>30,489,582.00</t>
  </si>
  <si>
    <t>4,613,687.39</t>
  </si>
  <si>
    <t>645,200.00</t>
  </si>
  <si>
    <t>999,744.16</t>
  </si>
  <si>
    <t>247,091.00</t>
  </si>
  <si>
    <t>1,224,290.00</t>
  </si>
  <si>
    <t>2,385,734.50</t>
  </si>
  <si>
    <t>16,723,101.12</t>
  </si>
  <si>
    <t>2,188,000.00</t>
  </si>
  <si>
    <t>605,095.00</t>
  </si>
  <si>
    <t>77,200,000.00</t>
  </si>
  <si>
    <t>1,360,129.00</t>
  </si>
  <si>
    <t>264,125.00</t>
  </si>
  <si>
    <t>68,584.50</t>
  </si>
  <si>
    <t>899,693.74</t>
  </si>
  <si>
    <t>142,317,877.72</t>
  </si>
  <si>
    <t>27,738,501.11</t>
  </si>
  <si>
    <t>1,641,302.12</t>
  </si>
  <si>
    <t>951,387.98</t>
  </si>
  <si>
    <t>26,765,742.16</t>
  </si>
  <si>
    <t>167,020,644.66</t>
  </si>
  <si>
    <t>51,580,848.00</t>
  </si>
  <si>
    <t>48,152,300.00</t>
  </si>
  <si>
    <t>499,702.39</t>
  </si>
  <si>
    <t>147,595.00</t>
  </si>
  <si>
    <t>386,425.00</t>
  </si>
  <si>
    <t>13,413,641.66</t>
  </si>
  <si>
    <t>2,927,757.86</t>
  </si>
  <si>
    <t>2,809,057.62</t>
  </si>
  <si>
    <t>1,499,840.98</t>
  </si>
  <si>
    <t>2,999,753.45</t>
  </si>
  <si>
    <t>605,065.88</t>
  </si>
  <si>
    <t>35,000,000.00</t>
  </si>
  <si>
    <t>113,400.00</t>
  </si>
  <si>
    <t>3,675,000.00</t>
  </si>
  <si>
    <t>3,624,364.50</t>
  </si>
  <si>
    <t>249,077.41</t>
  </si>
  <si>
    <t>2,050,000.00</t>
  </si>
  <si>
    <t>4,185,999.99</t>
  </si>
  <si>
    <t>2,754,730.83</t>
  </si>
  <si>
    <t>208,883.30</t>
  </si>
  <si>
    <t>4,305,279.05</t>
  </si>
  <si>
    <t>1,500,485.48</t>
  </si>
  <si>
    <t>2,870,630.00</t>
  </si>
  <si>
    <t>1,156,000.00</t>
  </si>
  <si>
    <t>2,440,000.00</t>
  </si>
  <si>
    <t>918,750.00</t>
  </si>
  <si>
    <t>13,412,450.00</t>
  </si>
  <si>
    <t>699,600.00</t>
  </si>
  <si>
    <t>1,408,951.00</t>
  </si>
  <si>
    <t>1,070,000.00</t>
  </si>
  <si>
    <t>17,820,000.00</t>
  </si>
  <si>
    <t>497,600.00</t>
  </si>
  <si>
    <t>13,414,535.00</t>
  </si>
  <si>
    <t>1,505,678.58</t>
  </si>
  <si>
    <t>309,297.81</t>
  </si>
  <si>
    <t>875,050.00</t>
  </si>
  <si>
    <t>1,655,580.05</t>
  </si>
  <si>
    <t>1,500,030.59</t>
  </si>
  <si>
    <t>749,942.50</t>
  </si>
  <si>
    <t>3,000,007.71</t>
  </si>
  <si>
    <t>4,574,087.39</t>
  </si>
  <si>
    <t>299,973.74</t>
  </si>
  <si>
    <t>235,000,000.00</t>
  </si>
  <si>
    <t>1,160,340.00</t>
  </si>
  <si>
    <t>2,000,250.00</t>
  </si>
  <si>
    <t>249,425.00</t>
  </si>
  <si>
    <t>4,135,000.00</t>
  </si>
  <si>
    <t>3,957,000.00</t>
  </si>
  <si>
    <t>14,047,325.00</t>
  </si>
  <si>
    <t>885,366.40</t>
  </si>
  <si>
    <t>104,442.00</t>
  </si>
  <si>
    <t>1,998,427.23</t>
  </si>
  <si>
    <t>3,120,000.00</t>
  </si>
  <si>
    <t>4,086,685.00</t>
  </si>
  <si>
    <t>106,500.00</t>
  </si>
  <si>
    <t>69,715,900.00</t>
  </si>
  <si>
    <t>4,110,424.55</t>
  </si>
  <si>
    <t>195,670.00</t>
  </si>
  <si>
    <t>3,401,565.84</t>
  </si>
  <si>
    <t>499,422.30</t>
  </si>
  <si>
    <t>499,997.80</t>
  </si>
  <si>
    <t>499,999.87</t>
  </si>
  <si>
    <t>14,706,000.00</t>
  </si>
  <si>
    <t>499,976.59</t>
  </si>
  <si>
    <t>1,990,000.00</t>
  </si>
  <si>
    <t>999,995.95</t>
  </si>
  <si>
    <t>999,980.91</t>
  </si>
  <si>
    <t>1,889,155.13</t>
  </si>
  <si>
    <t>84,789,384.00</t>
  </si>
  <si>
    <t>1,879,442.63</t>
  </si>
  <si>
    <t>20,080,000.00</t>
  </si>
  <si>
    <t>24,391,826.00</t>
  </si>
  <si>
    <t>1,297,034.97</t>
  </si>
  <si>
    <t>1,796,375.83</t>
  </si>
  <si>
    <t>1,548,000.00</t>
  </si>
  <si>
    <t>1,960,423.88</t>
  </si>
  <si>
    <t>2,572,290.63</t>
  </si>
  <si>
    <t>956,000.00</t>
  </si>
  <si>
    <t>6,824,870.09</t>
  </si>
  <si>
    <t>595,657.93</t>
  </si>
  <si>
    <t>2,967,099.39</t>
  </si>
  <si>
    <t>1,489,410.51</t>
  </si>
  <si>
    <t>14,505,752.97</t>
  </si>
  <si>
    <t>4,999,960.00</t>
  </si>
  <si>
    <t>106,829.00</t>
  </si>
  <si>
    <t>1,999,980.00</t>
  </si>
  <si>
    <t>4,086,718.25</t>
  </si>
  <si>
    <t>263,975.00</t>
  </si>
  <si>
    <t>46,250,000.00</t>
  </si>
  <si>
    <t>23,920,000.00</t>
  </si>
  <si>
    <t>4,999,940.00</t>
  </si>
  <si>
    <t>2,999,997.00</t>
  </si>
  <si>
    <t>3,556,000.00</t>
  </si>
  <si>
    <t>2,510,000.00</t>
  </si>
  <si>
    <t>104,055.94</t>
  </si>
  <si>
    <t>5,026,558.50</t>
  </si>
  <si>
    <t>285,800.00</t>
  </si>
  <si>
    <t>332,967.82</t>
  </si>
  <si>
    <t>36,600,000.00</t>
  </si>
  <si>
    <t>2,490,984.00</t>
  </si>
  <si>
    <t>2,235,000.00</t>
  </si>
  <si>
    <t>1,731,000.00</t>
  </si>
  <si>
    <t>538,600.00</t>
  </si>
  <si>
    <t>14,200.00</t>
  </si>
  <si>
    <t>8,258,700.00</t>
  </si>
  <si>
    <t>1,976,500.00</t>
  </si>
  <si>
    <t>2,366,118.00</t>
  </si>
  <si>
    <t>1,936,238.00</t>
  </si>
  <si>
    <t>1,760,000.00</t>
  </si>
  <si>
    <t>2,530,000.00</t>
  </si>
  <si>
    <t>2,500,081.66</t>
  </si>
  <si>
    <t>1,109,930.00</t>
  </si>
  <si>
    <t>1,058,520.00</t>
  </si>
  <si>
    <t>29,000,500.00</t>
  </si>
  <si>
    <t>2,061,774.00</t>
  </si>
  <si>
    <t>1,191,424.90</t>
  </si>
  <si>
    <t>6,193,972.01</t>
  </si>
  <si>
    <t>2,887,049.50</t>
  </si>
  <si>
    <t>511,838.72</t>
  </si>
  <si>
    <t>14,654,980.95</t>
  </si>
  <si>
    <t>608,315.00</t>
  </si>
  <si>
    <t>2,114,677.89</t>
  </si>
  <si>
    <t>13,257,975.29</t>
  </si>
  <si>
    <t>6,087,293.30</t>
  </si>
  <si>
    <t>1,217,540.75</t>
  </si>
  <si>
    <t>6,974,786.00</t>
  </si>
  <si>
    <t>1,460,025.00</t>
  </si>
  <si>
    <t>1,621,893.66</t>
  </si>
  <si>
    <t>298,200.00</t>
  </si>
  <si>
    <t>616,053.49</t>
  </si>
  <si>
    <t>299,969.00</t>
  </si>
  <si>
    <t>195,267.19</t>
  </si>
  <si>
    <t>4,076,505.90</t>
  </si>
  <si>
    <t>395,900.78</t>
  </si>
  <si>
    <t>283,505.36</t>
  </si>
  <si>
    <t>12,870,000.00</t>
  </si>
  <si>
    <t>1,554,353.00</t>
  </si>
  <si>
    <t>6,103,400.00</t>
  </si>
  <si>
    <t>3,865,401.47</t>
  </si>
  <si>
    <t>2,969,995.54</t>
  </si>
  <si>
    <t>80,900.00</t>
  </si>
  <si>
    <t>1,763,900.05</t>
  </si>
  <si>
    <t>1,979,989.81</t>
  </si>
  <si>
    <t>1,199,999.78</t>
  </si>
  <si>
    <t>2,969,996.60</t>
  </si>
  <si>
    <t>9,500,400.00</t>
  </si>
  <si>
    <t>62,000.01</t>
  </si>
  <si>
    <t>493,750.00</t>
  </si>
  <si>
    <t>1,140,800.00</t>
  </si>
  <si>
    <t>6,700.00</t>
  </si>
  <si>
    <t>4,608,000.00</t>
  </si>
  <si>
    <t>6,375.00</t>
  </si>
  <si>
    <t>8,750.00</t>
  </si>
  <si>
    <t>55,025.00</t>
  </si>
  <si>
    <t>4,115.00</t>
  </si>
  <si>
    <t>804,500.00</t>
  </si>
  <si>
    <t>11,100,000.00</t>
  </si>
  <si>
    <t>200,759.58</t>
  </si>
  <si>
    <t>554,400.00</t>
  </si>
  <si>
    <t>2,495,157.44</t>
  </si>
  <si>
    <t>497,404.00</t>
  </si>
  <si>
    <t>4,620,000.00</t>
  </si>
  <si>
    <t>150,063,628.50</t>
  </si>
  <si>
    <t>3,895,500.00</t>
  </si>
  <si>
    <t>6,462,500.00</t>
  </si>
  <si>
    <t>50,034,151.00</t>
  </si>
  <si>
    <t>68,796,780.00</t>
  </si>
  <si>
    <t>27,559,453.25</t>
  </si>
  <si>
    <t>39,985,000.00</t>
  </si>
  <si>
    <t>9,998,655.93</t>
  </si>
  <si>
    <t>1,498,600.00</t>
  </si>
  <si>
    <t>3,014,097.34</t>
  </si>
  <si>
    <t>452,950.00</t>
  </si>
  <si>
    <t>40,150,000.00</t>
  </si>
  <si>
    <t>1,084,000.00</t>
  </si>
  <si>
    <t>4,837,715.29</t>
  </si>
  <si>
    <t>1,572,022.83</t>
  </si>
  <si>
    <t>6,947,952.50</t>
  </si>
  <si>
    <t>3,014,449.16</t>
  </si>
  <si>
    <t>1,538,000.00</t>
  </si>
  <si>
    <t>1,979,992.35</t>
  </si>
  <si>
    <t>9,999,998.99</t>
  </si>
  <si>
    <t>48,999,010.74</t>
  </si>
  <si>
    <t>5,879,964.45</t>
  </si>
  <si>
    <t>390,500.00</t>
  </si>
  <si>
    <t>24,499,642.72</t>
  </si>
  <si>
    <t>1,494,675.00</t>
  </si>
  <si>
    <t>1,996,857.32</t>
  </si>
  <si>
    <t>3,429,746.50</t>
  </si>
  <si>
    <t>34,960,941.05</t>
  </si>
  <si>
    <t>39,198,912.72</t>
  </si>
  <si>
    <t>3,919,597.66</t>
  </si>
  <si>
    <t>2,449,711.07</t>
  </si>
  <si>
    <t>1,959,907.58</t>
  </si>
  <si>
    <t>4,903,240.00</t>
  </si>
  <si>
    <t>4,899,809.16</t>
  </si>
  <si>
    <t>999,995.46</t>
  </si>
  <si>
    <t>1,959,998.29</t>
  </si>
  <si>
    <t>393,475.00</t>
  </si>
  <si>
    <t>2,939,635.30</t>
  </si>
  <si>
    <t>2,108,423.00</t>
  </si>
  <si>
    <t>14,699,976.83</t>
  </si>
  <si>
    <t>1,001,000.00</t>
  </si>
  <si>
    <t>9,799,983.16</t>
  </si>
  <si>
    <t>9,799,983.51</t>
  </si>
  <si>
    <t>19,599,912.30</t>
  </si>
  <si>
    <t>19,599,840.18</t>
  </si>
  <si>
    <t>24,499,853.41</t>
  </si>
  <si>
    <t>54,998,006.00</t>
  </si>
  <si>
    <t>19,599,974.92</t>
  </si>
  <si>
    <t>17,999,999.60</t>
  </si>
  <si>
    <t>2,499,964.66</t>
  </si>
  <si>
    <t>2,999,918.06</t>
  </si>
  <si>
    <t>2,858,000.00</t>
  </si>
  <si>
    <t>4,750,000.00</t>
  </si>
  <si>
    <t>29,399,928.52</t>
  </si>
  <si>
    <t>1,856,581.50</t>
  </si>
  <si>
    <t>29,399,766.34</t>
  </si>
  <si>
    <t>70,122.00</t>
  </si>
  <si>
    <t>29,399,968.24</t>
  </si>
  <si>
    <t>1,699,846.08</t>
  </si>
  <si>
    <t>4,409,913.41</t>
  </si>
  <si>
    <t>19,599,962.23</t>
  </si>
  <si>
    <t>3,429,925.57</t>
  </si>
  <si>
    <t>14,699,946.31</t>
  </si>
  <si>
    <t>29,399,994.96</t>
  </si>
  <si>
    <t>218,800.00</t>
  </si>
  <si>
    <t>499,964.06</t>
  </si>
  <si>
    <t>999,967.50</t>
  </si>
  <si>
    <t>4,378,629.02</t>
  </si>
  <si>
    <t>4,999,952.00</t>
  </si>
  <si>
    <t>9,799,938.65</t>
  </si>
  <si>
    <t>9,899,153.99</t>
  </si>
  <si>
    <t>3,022,204.00</t>
  </si>
  <si>
    <t>2,049,503.00</t>
  </si>
  <si>
    <t>307,475.00</t>
  </si>
  <si>
    <t>27,000,000.00</t>
  </si>
  <si>
    <t>999,993.75</t>
  </si>
  <si>
    <t>1,499,990.63</t>
  </si>
  <si>
    <t>1,649,382.23</t>
  </si>
  <si>
    <t>14,800,102.86</t>
  </si>
  <si>
    <t>2,496,380.19</t>
  </si>
  <si>
    <t>4,087,275.00</t>
  </si>
  <si>
    <t>215,800.00</t>
  </si>
  <si>
    <t>1,846,000.00</t>
  </si>
  <si>
    <t>313,500.00</t>
  </si>
  <si>
    <t>2,527,000.00</t>
  </si>
  <si>
    <t>698,600.00</t>
  </si>
  <si>
    <t>3,199,334.25</t>
  </si>
  <si>
    <t>811,650.00</t>
  </si>
  <si>
    <t>1,241,365.13</t>
  </si>
  <si>
    <t>1,341,182.06</t>
  </si>
  <si>
    <t>1,436,847.50</t>
  </si>
  <si>
    <t>1,948,668.75</t>
  </si>
  <si>
    <t>1,092,063.00</t>
  </si>
  <si>
    <t>322,527.19</t>
  </si>
  <si>
    <t>1,235,239.69</t>
  </si>
  <si>
    <t>1,645,710.00</t>
  </si>
  <si>
    <t>14,593,139.00</t>
  </si>
  <si>
    <t>2,601,510.00</t>
  </si>
  <si>
    <t>2,127,053.00</t>
  </si>
  <si>
    <t>359,684.00</t>
  </si>
  <si>
    <t>763,984.00</t>
  </si>
  <si>
    <t>3,520,057.00</t>
  </si>
  <si>
    <t>3,478,781.25</t>
  </si>
  <si>
    <t>6,432,379.85</t>
  </si>
  <si>
    <t>1,208,044.69</t>
  </si>
  <si>
    <t>3,859,520.00</t>
  </si>
  <si>
    <t>37,193,219.50</t>
  </si>
  <si>
    <t>370,421.69</t>
  </si>
  <si>
    <t>4,354,287.00</t>
  </si>
  <si>
    <t>723,469.69</t>
  </si>
  <si>
    <t>1,242,720.83</t>
  </si>
  <si>
    <t>3,433,520.00</t>
  </si>
  <si>
    <t>1,076,344.34</t>
  </si>
  <si>
    <t>13,887,088.64</t>
  </si>
  <si>
    <t>967,150.00</t>
  </si>
  <si>
    <t>319,802.59</t>
  </si>
  <si>
    <t>672,065.63</t>
  </si>
  <si>
    <t>676,109.47</t>
  </si>
  <si>
    <t>64,700.00</t>
  </si>
  <si>
    <t>2,587,003.13</t>
  </si>
  <si>
    <t>1,493,329.03</t>
  </si>
  <si>
    <t>672,826.88</t>
  </si>
  <si>
    <t>1,310,000.00</t>
  </si>
  <si>
    <t>3,289,741.91</t>
  </si>
  <si>
    <t>679,350.00</t>
  </si>
  <si>
    <t>1,310,823.24</t>
  </si>
  <si>
    <t>3,502,399.64</t>
  </si>
  <si>
    <t>1,181,192.79</t>
  </si>
  <si>
    <t>1,724,580.00</t>
  </si>
  <si>
    <t>1,330,214.81</t>
  </si>
  <si>
    <t>426,298.69</t>
  </si>
  <si>
    <t>425,512.50</t>
  </si>
  <si>
    <t>4,735,544.38</t>
  </si>
  <si>
    <t>782,131.88</t>
  </si>
  <si>
    <t>1,286,680.00</t>
  </si>
  <si>
    <t>268,215.94</t>
  </si>
  <si>
    <t>1,492,579.76</t>
  </si>
  <si>
    <t>3,044,343.75</t>
  </si>
  <si>
    <t>134,754,530.00</t>
  </si>
  <si>
    <t>39,080,000.00</t>
  </si>
  <si>
    <t>118,859,050.00</t>
  </si>
  <si>
    <t>516,000.00</t>
  </si>
  <si>
    <t>45 Day/s</t>
  </si>
  <si>
    <t>14 Day/s</t>
  </si>
  <si>
    <t>10 Day/s</t>
  </si>
  <si>
    <t>12 Month/s</t>
  </si>
  <si>
    <t>60 Day/s</t>
  </si>
  <si>
    <t>90 Day/s</t>
  </si>
  <si>
    <t>30 Day/s</t>
  </si>
  <si>
    <t>7 Day/s</t>
  </si>
  <si>
    <t>20 Day/s</t>
  </si>
  <si>
    <t>0 Day/s</t>
  </si>
  <si>
    <t>360 Day/s</t>
  </si>
  <si>
    <t>1 Day/s</t>
  </si>
  <si>
    <t>15 Day/s</t>
  </si>
  <si>
    <t>25 Day/s</t>
  </si>
  <si>
    <t>31 Day/s</t>
  </si>
  <si>
    <t>120 Day/s</t>
  </si>
  <si>
    <t>180 Day/s</t>
  </si>
  <si>
    <t>210 Day/s</t>
  </si>
  <si>
    <t>75 Day/s</t>
  </si>
  <si>
    <t>132 Day/s</t>
  </si>
  <si>
    <t>23 Day/s</t>
  </si>
  <si>
    <t>42 Day/s</t>
  </si>
  <si>
    <t>114 Day/s</t>
  </si>
  <si>
    <t>21 Day/s</t>
  </si>
  <si>
    <t>1 Year/s</t>
  </si>
  <si>
    <t>105 Day/s</t>
  </si>
  <si>
    <t>16 Day/s</t>
  </si>
  <si>
    <t>3 Day/s</t>
  </si>
  <si>
    <t>5 Day/s</t>
  </si>
  <si>
    <t>2 Day/s</t>
  </si>
  <si>
    <t>58 Day/s</t>
  </si>
  <si>
    <t>12 Day/s</t>
  </si>
  <si>
    <t>3 Month/s</t>
  </si>
  <si>
    <t>40 Day/s</t>
  </si>
  <si>
    <t>24 Day/s</t>
  </si>
  <si>
    <t>72 Day/s</t>
  </si>
  <si>
    <t>112 Day/s</t>
  </si>
  <si>
    <t>77 Day/s</t>
  </si>
  <si>
    <t>130 Day/s</t>
  </si>
  <si>
    <t>4 Day/s</t>
  </si>
  <si>
    <t>164 Day/s</t>
  </si>
  <si>
    <t>6 Day/s</t>
  </si>
  <si>
    <t>6 Month/s</t>
  </si>
  <si>
    <t>3 Year/s</t>
  </si>
  <si>
    <t>65 Day/s</t>
  </si>
  <si>
    <t>113 Day/s</t>
  </si>
  <si>
    <t>4 Month/s</t>
  </si>
  <si>
    <t>10 Month/s</t>
  </si>
  <si>
    <t>11 Day/s</t>
  </si>
  <si>
    <t>48 Day/s</t>
  </si>
  <si>
    <t>74 Day/s</t>
  </si>
  <si>
    <t>300 Day/s</t>
  </si>
  <si>
    <t>168 Day/s</t>
  </si>
  <si>
    <t>7 Month/s</t>
  </si>
  <si>
    <t>8 Day/s</t>
  </si>
  <si>
    <t>69 Day/s</t>
  </si>
  <si>
    <t>27 Day/s</t>
  </si>
  <si>
    <t>50 Day/s</t>
  </si>
  <si>
    <t>107 Day/s</t>
  </si>
  <si>
    <t>150 Day/s</t>
  </si>
  <si>
    <t>47 Day/s</t>
  </si>
  <si>
    <t>35 Day/s</t>
  </si>
  <si>
    <t>56 Day/s</t>
  </si>
  <si>
    <t>41 Day/s</t>
  </si>
  <si>
    <t>153 Day/s</t>
  </si>
  <si>
    <t>86 Day/s</t>
  </si>
  <si>
    <t>184 Day/s</t>
  </si>
  <si>
    <t>140 Day/s</t>
  </si>
  <si>
    <t>2 Month/s</t>
  </si>
  <si>
    <t>13 Day/s</t>
  </si>
  <si>
    <t>44 Day/s</t>
  </si>
  <si>
    <t>121 Day/s</t>
  </si>
  <si>
    <t>240 Day/s</t>
  </si>
  <si>
    <t>70 Day/s</t>
  </si>
  <si>
    <t>32 Day/s</t>
  </si>
  <si>
    <t>17 Day/s</t>
  </si>
  <si>
    <t>420 Day/s</t>
  </si>
  <si>
    <t>83 Day/s</t>
  </si>
  <si>
    <t>520 Day/s</t>
  </si>
  <si>
    <t>100 Day/s</t>
  </si>
  <si>
    <t>52 Day/s</t>
  </si>
  <si>
    <t>51 Day/s</t>
  </si>
  <si>
    <t>34 Day/s</t>
  </si>
  <si>
    <t>270 Day/s</t>
  </si>
  <si>
    <t>64 Day/s</t>
  </si>
  <si>
    <t>22 Day/s</t>
  </si>
  <si>
    <t>46 Day/s</t>
  </si>
  <si>
    <t>43 Day/s</t>
  </si>
  <si>
    <t>102 Day/s</t>
  </si>
  <si>
    <t>19 Day/s</t>
  </si>
  <si>
    <t>110 Day/s</t>
  </si>
  <si>
    <t>185 Day/s</t>
  </si>
  <si>
    <t>28 Day/s</t>
  </si>
  <si>
    <t>214 Day/s</t>
  </si>
  <si>
    <t>98 Day/s</t>
  </si>
  <si>
    <t>9 Day/s</t>
  </si>
  <si>
    <t>57 Day/s</t>
  </si>
  <si>
    <t>5 Month/s</t>
  </si>
  <si>
    <t>18 Day/s</t>
  </si>
  <si>
    <t>134 Day/s</t>
  </si>
  <si>
    <t>136 Day/s</t>
  </si>
  <si>
    <t>85 Day/s</t>
  </si>
  <si>
    <t>29 Day/s</t>
  </si>
  <si>
    <t>33 Day/s</t>
  </si>
  <si>
    <t>80 Day/s</t>
  </si>
  <si>
    <t>1 Month/s</t>
  </si>
  <si>
    <t>26 Day/s</t>
  </si>
  <si>
    <t>84 Day/s</t>
  </si>
  <si>
    <t>163 Day/s</t>
  </si>
  <si>
    <t>55 Day/s</t>
  </si>
  <si>
    <t>108 Day/s</t>
  </si>
  <si>
    <t>92 Day/s</t>
  </si>
  <si>
    <t>145 Day/s</t>
  </si>
  <si>
    <t>96 Day/s</t>
  </si>
  <si>
    <t>2 Year/s</t>
  </si>
  <si>
    <t>68 Day/s</t>
  </si>
  <si>
    <t>54 Day/s</t>
  </si>
  <si>
    <t>36 Day/s</t>
  </si>
  <si>
    <t>250 Day/s</t>
  </si>
  <si>
    <t>155 Day/s</t>
  </si>
  <si>
    <t>135 Day/s</t>
  </si>
  <si>
    <t>540 Day/s</t>
  </si>
  <si>
    <t>252 Day/s</t>
  </si>
  <si>
    <t>11 Month/s</t>
  </si>
  <si>
    <t>139 Day/s</t>
  </si>
  <si>
    <t>251 Day/s</t>
  </si>
  <si>
    <t>97 Day/s</t>
  </si>
  <si>
    <t>297 Day/s</t>
  </si>
  <si>
    <t>76 Day/s</t>
  </si>
  <si>
    <t>205 Day/s</t>
  </si>
  <si>
    <t>17 Month/s</t>
  </si>
  <si>
    <t>245 Day/s</t>
  </si>
  <si>
    <t>133 Day/s</t>
  </si>
  <si>
    <t>223 Day/s</t>
  </si>
  <si>
    <t>190 Day/s</t>
  </si>
  <si>
    <t>4 Year/s</t>
  </si>
  <si>
    <t>215 Day/s</t>
  </si>
  <si>
    <t>95 Day/s</t>
  </si>
  <si>
    <t>290 Day/s</t>
  </si>
  <si>
    <t>275 Day/s</t>
  </si>
  <si>
    <t>53 Day/s</t>
  </si>
  <si>
    <t>49 Day/s</t>
  </si>
  <si>
    <t>200 Day/s</t>
  </si>
  <si>
    <t>225 Day/s</t>
  </si>
  <si>
    <t>170 Day/s</t>
  </si>
  <si>
    <t>144 Day/s</t>
  </si>
  <si>
    <t>156 Day/s</t>
  </si>
  <si>
    <t>330 Day/s</t>
  </si>
  <si>
    <t>128 Day/s</t>
  </si>
  <si>
    <t>303 Day/s</t>
  </si>
  <si>
    <t>81 Day/s</t>
  </si>
  <si>
    <t>59 Day/s</t>
  </si>
  <si>
    <t>8 Month/s</t>
  </si>
  <si>
    <t>73 Day/s</t>
  </si>
  <si>
    <t>183 Day/s</t>
  </si>
  <si>
    <t>82 Day/s</t>
  </si>
  <si>
    <t>272 Day/s</t>
  </si>
  <si>
    <t>78 Day/s</t>
  </si>
  <si>
    <t>115 Day/s</t>
  </si>
  <si>
    <t>305 Day/s</t>
  </si>
  <si>
    <t>93 Day/s</t>
  </si>
  <si>
    <t>216 Day/s</t>
  </si>
  <si>
    <t>261 Day/s</t>
  </si>
  <si>
    <t>219 Day/s</t>
  </si>
  <si>
    <t>195 Day/s</t>
  </si>
  <si>
    <t>201 Day/s</t>
  </si>
  <si>
    <t>615 Day/s</t>
  </si>
  <si>
    <t>246 Day/s</t>
  </si>
  <si>
    <t>321 Day/s</t>
  </si>
  <si>
    <t>262 Day/s</t>
  </si>
  <si>
    <t>160 Day/s</t>
  </si>
  <si>
    <t>79 Day/s</t>
  </si>
  <si>
    <t>111 Day/s</t>
  </si>
  <si>
    <t>450 Day/s</t>
  </si>
  <si>
    <t>63 Day/s</t>
  </si>
  <si>
    <t>89 Day/s</t>
  </si>
  <si>
    <t>138 Day/s</t>
  </si>
  <si>
    <t>194 Day/s</t>
  </si>
  <si>
    <t>94 Day/s</t>
  </si>
  <si>
    <t>60 Month/s</t>
  </si>
  <si>
    <t>228 Day/s</t>
  </si>
  <si>
    <t>137 Day/s</t>
  </si>
  <si>
    <t>230 Day/s</t>
  </si>
  <si>
    <t>220 Day/s</t>
  </si>
  <si>
    <t>165 Day/s</t>
  </si>
  <si>
    <t>280 Day/s</t>
  </si>
  <si>
    <t>103 Day/s</t>
  </si>
  <si>
    <t>38 Day/s</t>
  </si>
  <si>
    <t>143 Day/s</t>
  </si>
  <si>
    <t>125 Day/s</t>
  </si>
  <si>
    <t>315 Day/s</t>
  </si>
  <si>
    <t>124 Day/s</t>
  </si>
  <si>
    <t>173 Day/s</t>
  </si>
  <si>
    <t>54 Month/s</t>
  </si>
  <si>
    <t>191 Day/s</t>
  </si>
  <si>
    <t>37 Day/s</t>
  </si>
  <si>
    <t>580 Day/s</t>
  </si>
  <si>
    <t>260 Day/s</t>
  </si>
  <si>
    <t>118 Day/s</t>
  </si>
  <si>
    <t>119 Day/s</t>
  </si>
  <si>
    <t>101 Day/s</t>
  </si>
  <si>
    <t>104 Day/s</t>
  </si>
  <si>
    <t>71 Day/s</t>
  </si>
  <si>
    <t>178 Day/s</t>
  </si>
  <si>
    <t>61 Day/s</t>
  </si>
  <si>
    <t>116 Day/s</t>
  </si>
  <si>
    <t>131 Day/s</t>
  </si>
  <si>
    <t>158 Day/s</t>
  </si>
  <si>
    <t>171 Day/s</t>
  </si>
  <si>
    <t>255 Day/s</t>
  </si>
  <si>
    <t>900 Day/s</t>
  </si>
  <si>
    <t>204 Day/s</t>
  </si>
  <si>
    <t>231 Day/s</t>
  </si>
  <si>
    <t>256 Day/s</t>
  </si>
  <si>
    <t>91 Day/s</t>
  </si>
  <si>
    <t>313 Day/s</t>
  </si>
  <si>
    <t>292 Day/s</t>
  </si>
  <si>
    <t>174 Day/s</t>
  </si>
  <si>
    <t>146 Day/s</t>
  </si>
  <si>
    <t>62 Day/s</t>
  </si>
  <si>
    <t>142 Day/s</t>
  </si>
  <si>
    <t>242 Day/s</t>
  </si>
  <si>
    <t>99 Day/s</t>
  </si>
  <si>
    <t>147 Day/s</t>
  </si>
  <si>
    <t>109 Day/s</t>
  </si>
  <si>
    <t>175 Day/s</t>
  </si>
  <si>
    <t>152 Day/s</t>
  </si>
  <si>
    <t>141 Day/s</t>
  </si>
  <si>
    <t>358 Day/s</t>
  </si>
  <si>
    <t>218 Day/s</t>
  </si>
  <si>
    <t>203 Day/s</t>
  </si>
  <si>
    <t>390 Day/s</t>
  </si>
  <si>
    <t>66 Day/s</t>
  </si>
  <si>
    <t>253 Day/s</t>
  </si>
  <si>
    <t>198 Day/s</t>
  </si>
  <si>
    <t>454 Day/s</t>
  </si>
  <si>
    <t>182 Day/s</t>
  </si>
  <si>
    <t>123 Day/s</t>
  </si>
  <si>
    <t>179 Day/s</t>
  </si>
  <si>
    <t>88 Day/s</t>
  </si>
  <si>
    <t>570 Day/s</t>
  </si>
  <si>
    <t>122 Day/s</t>
  </si>
  <si>
    <t>67 Day/s</t>
  </si>
  <si>
    <t>117 Day/s</t>
  </si>
  <si>
    <t>186 Day/s</t>
  </si>
  <si>
    <t>239 Day/s</t>
  </si>
  <si>
    <t>279 Day/s</t>
  </si>
  <si>
    <t>202 Day/s</t>
  </si>
  <si>
    <t>263 Day/s</t>
  </si>
  <si>
    <t>187 Day/s</t>
  </si>
  <si>
    <t>126 Day/s</t>
  </si>
  <si>
    <t>106 Day/s</t>
  </si>
  <si>
    <t>212 Day/s</t>
  </si>
  <si>
    <t>344 Day/s</t>
  </si>
  <si>
    <t>244 Day/s</t>
  </si>
  <si>
    <t>500 Day/s</t>
  </si>
  <si>
    <t>30 Month/s</t>
  </si>
  <si>
    <t>26 Month/s</t>
  </si>
  <si>
    <t>211 Day/s</t>
  </si>
  <si>
    <t>196 Day/s</t>
  </si>
  <si>
    <t>87 Day/s</t>
  </si>
  <si>
    <t>151 Day/s</t>
  </si>
  <si>
    <t>39 Day/s</t>
  </si>
  <si>
    <t>284 Day/s</t>
  </si>
  <si>
    <t>285 Day/s</t>
  </si>
  <si>
    <t>Angela Estribor Rodrigo</t>
  </si>
  <si>
    <t>Jamael Naga Macasimbar</t>
  </si>
  <si>
    <t>Mario G Eje</t>
  </si>
  <si>
    <t>ESTEBAN FERNANDEZ CANONES, JR.</t>
  </si>
  <si>
    <t>Tess b. Cruzado</t>
  </si>
  <si>
    <t>JHON ALBERT I. NUÑEZ</t>
  </si>
  <si>
    <t>DON PATRICK TIONGSON SALAMAT</t>
  </si>
  <si>
    <t>VVERONIDIA S. MARCELO SUAREZ MARCELO</t>
  </si>
  <si>
    <t>Percy Gonzales Salazar</t>
  </si>
  <si>
    <t>MARIELLE GRACE ANDRIN ROMAREZ</t>
  </si>
  <si>
    <t>KATHERINE J GUTIERREZ</t>
  </si>
  <si>
    <t>Benazir Lim Alam</t>
  </si>
  <si>
    <t>Michael Andrew Q Frias</t>
  </si>
  <si>
    <t>Dominic Babaran Calimag</t>
  </si>
  <si>
    <t>Pedro F De Guzman</t>
  </si>
  <si>
    <t>Joy Abonitalla Adecer</t>
  </si>
  <si>
    <t>GLENN H. TIANGHA</t>
  </si>
  <si>
    <t>Irene  Romero Arevalo</t>
  </si>
  <si>
    <t>Jezryl M. Lobaton</t>
  </si>
  <si>
    <t>Cherrylyn Estinar Malagday</t>
  </si>
  <si>
    <t>Cheryl Samuel Conag</t>
  </si>
  <si>
    <t>SALVACION NOOT NARANJO</t>
  </si>
  <si>
    <t>KATE A. PARULAN</t>
  </si>
  <si>
    <t>NIEL CARO ROSALES</t>
  </si>
  <si>
    <t>Ma. Cecilia Magat -Ibarrientos</t>
  </si>
  <si>
    <t>Louie O Canlas</t>
  </si>
  <si>
    <t>Luxmay P Aleria</t>
  </si>
  <si>
    <t>Nessa Esporma Acolentaba</t>
  </si>
  <si>
    <t>Jesse R. Quilantang</t>
  </si>
  <si>
    <t>Joel B. Elloso</t>
  </si>
  <si>
    <t>REYNANTE B. INFANTE</t>
  </si>
  <si>
    <t>Richie D. Diaz</t>
  </si>
  <si>
    <t>Mary Grace Palcon Gallardo</t>
  </si>
  <si>
    <t>randy paminiano lorenzo</t>
  </si>
  <si>
    <t>MILROSE  L OMADLE</t>
  </si>
  <si>
    <t>Eric Floreta Labastilla</t>
  </si>
  <si>
    <t>Poliver L  Tumaneng</t>
  </si>
  <si>
    <t>Gladys Angit Abarabar</t>
  </si>
  <si>
    <t>LIZA SANGUENZA VILLAMOR</t>
  </si>
  <si>
    <t>Hermosa G. Ramirez</t>
  </si>
  <si>
    <t>Edhen Flores Aguila</t>
  </si>
  <si>
    <t>Ormil D.  Go</t>
  </si>
  <si>
    <t>Nila A Tiago</t>
  </si>
  <si>
    <t>Regie Policarpio Mercado</t>
  </si>
  <si>
    <t>ROSELLER CABATINGAN AMOR</t>
  </si>
  <si>
    <t>Jay-R Palines Carpio</t>
  </si>
  <si>
    <t>Jacob Gupana Racho</t>
  </si>
  <si>
    <t>MEZACH Y BEDONA</t>
  </si>
  <si>
    <t>ZENITH ALINDOG AVILA</t>
  </si>
  <si>
    <t>Carmilo E Monterona</t>
  </si>
  <si>
    <t>CLEANTH REYES GOROSPE</t>
  </si>
  <si>
    <t>EDWARD A. ROA</t>
  </si>
  <si>
    <t>JOHN REY JERAO PEREZ</t>
  </si>
  <si>
    <t>John Moses Bulahan Aposaga</t>
  </si>
  <si>
    <t>Vivian M. Cuizon</t>
  </si>
  <si>
    <t>Dante Brutas Baclao</t>
  </si>
  <si>
    <t>nancy tayoto tayoto</t>
  </si>
  <si>
    <t>Joseph Barroso delos Reyes</t>
  </si>
  <si>
    <t>RODNEY LABRADOR NABALONA</t>
  </si>
  <si>
    <t>MARY FE L. MONTANO</t>
  </si>
  <si>
    <t>Vincent Jake E. Castillo</t>
  </si>
  <si>
    <t>Jimmy Pastorfile Carandang</t>
  </si>
  <si>
    <t>Gina Marzan Alberto</t>
  </si>
  <si>
    <t>EVY TINGSON SISA</t>
  </si>
  <si>
    <t>MARJORIE ALVAREZ DELA CRUZ</t>
  </si>
  <si>
    <t>ERLINDA F. MANIPON</t>
  </si>
  <si>
    <t>Jingle Repollo Saloma</t>
  </si>
  <si>
    <t>Gerald Alday Pacanan</t>
  </si>
  <si>
    <t>Reymar Constantino Razon</t>
  </si>
  <si>
    <t>GODWIN XAVIER F. NUÑEZ</t>
  </si>
  <si>
    <t>Marvin Liboon</t>
  </si>
  <si>
    <t>Avel Villamor Nunez</t>
  </si>
  <si>
    <t>Mary Grace  Bajar</t>
  </si>
  <si>
    <t>Ma. Nena T. Zapico</t>
  </si>
  <si>
    <t>Georgette Ruga Imperial</t>
  </si>
  <si>
    <t>Jinky Mantile Dantay</t>
  </si>
  <si>
    <t>Nemia Barradas Monzones</t>
  </si>
  <si>
    <t>Cesah Jane Pillodar Napalla</t>
  </si>
  <si>
    <t>Mark Anthony Cuison Lopez</t>
  </si>
  <si>
    <t>Ruel  G. Bantugan</t>
  </si>
  <si>
    <t>RESTY O. MACARILAY</t>
  </si>
  <si>
    <t>Teofilo, Jr. Rostata Gervacio</t>
  </si>
  <si>
    <t>Noel D. Ejercito</t>
  </si>
  <si>
    <t>MICHAEL D. MUNAR</t>
  </si>
  <si>
    <t>PHILLIP C. ADVIENTO</t>
  </si>
  <si>
    <t>Jaybee Gumboc Riobuya</t>
  </si>
  <si>
    <t>LIZA PAMA GUMBAN</t>
  </si>
  <si>
    <t>Connie Beb Torralba</t>
  </si>
  <si>
    <t>LOUIE C. FERNANDEZ</t>
  </si>
  <si>
    <t>Christina Solero Raymundo</t>
  </si>
  <si>
    <t>Mary Ann Vasquez Alvarez</t>
  </si>
  <si>
    <t>PRUDENCIO L VARELA</t>
  </si>
  <si>
    <t>Ian Luis C Aguila</t>
  </si>
  <si>
    <t>RADNEY CARBONEL MIRANDA</t>
  </si>
  <si>
    <t>MARIA LUCIA RANIN REQUEJO</t>
  </si>
  <si>
    <t>Alan C. Santos</t>
  </si>
  <si>
    <t>EDUARDO CADELIÑA SALA JR.</t>
  </si>
  <si>
    <t>MERLA ARAMBURO REVECHE</t>
  </si>
  <si>
    <t>Mirasol Hortelano Suan</t>
  </si>
  <si>
    <t>Aaron John Reyes Liwag (2nd Account)</t>
  </si>
  <si>
    <t>Angelica Santayana Asiao</t>
  </si>
  <si>
    <t>FLERINE JAY RELATIVO SANDOT</t>
  </si>
  <si>
    <t>Ritchie De La Cuesta Barrun</t>
  </si>
  <si>
    <t>Christopher Lacea Malayan</t>
  </si>
  <si>
    <t>Maria Cristina Macarayan Dapal</t>
  </si>
  <si>
    <t>Levi P. Baldonado</t>
  </si>
  <si>
    <t>Azucena O Gonzales</t>
  </si>
  <si>
    <t>RANILYN PASAYLO HAQUE</t>
  </si>
  <si>
    <t>Joyce De Vera</t>
  </si>
  <si>
    <t>Magdalena V. Almira</t>
  </si>
  <si>
    <t>Susan Siacor Arsenio</t>
  </si>
  <si>
    <t>Priscilla A Hernandez</t>
  </si>
  <si>
    <t>Jayreen B Pabi</t>
  </si>
  <si>
    <t>John Patrick Lazaro</t>
  </si>
  <si>
    <t>Jannes Detablan Cantones</t>
  </si>
  <si>
    <t>RENE (BOY) A. ANGELES</t>
  </si>
  <si>
    <t>Honorata C Bautista</t>
  </si>
  <si>
    <t>Angel Shieldon C Agan</t>
  </si>
  <si>
    <t>Clark Benzon Lobo Casuco</t>
  </si>
  <si>
    <t>ANGELA C JESALVA</t>
  </si>
  <si>
    <t>Bobster A. Paraiso</t>
  </si>
  <si>
    <t>Emily B. Mazon</t>
  </si>
  <si>
    <t>DANILO S. SANTA ANA</t>
  </si>
  <si>
    <t>Edward Miguel Juanito</t>
  </si>
  <si>
    <t>Leila  Clarete   De Guzman</t>
  </si>
  <si>
    <t>Marilyn N. Ontolan</t>
  </si>
  <si>
    <t>ada bustamante diones</t>
  </si>
  <si>
    <t>Antonette Mananes Legson</t>
  </si>
  <si>
    <t>Judith D. Alde</t>
  </si>
  <si>
    <t>Eustila Furog Evangelista</t>
  </si>
  <si>
    <t>EFREN A BANGAYAN</t>
  </si>
  <si>
    <t>REMEGIO GASCON DUYAN</t>
  </si>
  <si>
    <t>Fercilyn E Grospe</t>
  </si>
  <si>
    <t>Lolita M. Jumalon</t>
  </si>
  <si>
    <t>RANDY DUENAS DE TORRES</t>
  </si>
  <si>
    <t>Rowena Gascon Abad</t>
  </si>
  <si>
    <t>HERMANDO MARASIGAN PESIGAN</t>
  </si>
  <si>
    <t>Marlone Templeton Buen</t>
  </si>
  <si>
    <t>Maricel Baldapan Campugan</t>
  </si>
  <si>
    <t>Joeven C Calasagsag</t>
  </si>
  <si>
    <t>EDSEL MONTERO CARAMONTE</t>
  </si>
  <si>
    <t>Anselmo Baldoza Mano</t>
  </si>
  <si>
    <t>ZALDY  J.  TRABUCON</t>
  </si>
  <si>
    <t>SOFRONIO B. DACILLO, JR.</t>
  </si>
  <si>
    <t>Glenda Labitigan Goti-ay</t>
  </si>
  <si>
    <t>Aleli Arconado Locsin</t>
  </si>
  <si>
    <t>LEVY H. LAGUTIN, JR.</t>
  </si>
  <si>
    <t>EMMANUEL OBINA</t>
  </si>
  <si>
    <t>Fleurdelis Caracut Quinto</t>
  </si>
  <si>
    <t>Remigio Lago Blanco</t>
  </si>
  <si>
    <t>Cheryl Ann Galeon Ombina</t>
  </si>
  <si>
    <t>Wenefredo Evangelio Cagape</t>
  </si>
  <si>
    <t>cipriano t cavite</t>
  </si>
  <si>
    <t>Reymund Condino Sequio</t>
  </si>
  <si>
    <t>Reynaldo Catubig Misa</t>
  </si>
  <si>
    <t>ROSELLER DIZON SASIS</t>
  </si>
  <si>
    <t>VOLTAIRE S EGNORA, MD.</t>
  </si>
  <si>
    <t>Bacilisa Cuento de Castro</t>
  </si>
  <si>
    <t>Ernesto Garcia Escoto</t>
  </si>
  <si>
    <t>Russell C Narte</t>
  </si>
  <si>
    <t>Michelle Escalada Monteclaro</t>
  </si>
  <si>
    <t>Shirley L De Guzman</t>
  </si>
  <si>
    <t>NORMAN CORNELIO EBALLE</t>
  </si>
  <si>
    <t>Isagani J. Moso</t>
  </si>
  <si>
    <t>larry fabian dasalla</t>
  </si>
  <si>
    <t>Josephine L Mananquil</t>
  </si>
  <si>
    <t>Gracianito Lara Lucero</t>
  </si>
  <si>
    <t>Rosalie  A. Pelle</t>
  </si>
  <si>
    <t>JOSE VICENTE RAYMUNDO MONTALLANA OPINION</t>
  </si>
  <si>
    <t>Jomar Alfaro Diama</t>
  </si>
  <si>
    <t>Vilma B. Ballan</t>
  </si>
  <si>
    <t>Joel D. Friginal</t>
  </si>
  <si>
    <t>Almar Cagas Acevedo</t>
  </si>
  <si>
    <t>Nikkolo Marco Aurelio V. Cortes</t>
  </si>
  <si>
    <t>Canuto, Jr Adalin Paluga</t>
  </si>
  <si>
    <t>Gregorio Reyes Wapelle Jr</t>
  </si>
  <si>
    <t>Roque I. Verzosa III</t>
  </si>
  <si>
    <t>Josephine  B. Sabando</t>
  </si>
  <si>
    <t>Donald Glenn M Lanzado</t>
  </si>
  <si>
    <t>BAC SECRETARIAT, LGU-SANTIAGO CITY</t>
  </si>
  <si>
    <t>Margarita Vergara Dimaligalig</t>
  </si>
  <si>
    <t>Rose Marie S Organo</t>
  </si>
  <si>
    <t>FERNANDO SAGUISAG A. CABRERA</t>
  </si>
  <si>
    <t>Lucia Burdas Pentin</t>
  </si>
  <si>
    <t>Rosabella Senining Laurencio</t>
  </si>
  <si>
    <t>Carmen B. Cortes</t>
  </si>
  <si>
    <t>RAY PAROJINOG VIRTUDEZ</t>
  </si>
  <si>
    <t>WILLIAM UBA VALDE</t>
  </si>
  <si>
    <t>Elmer Gumpad Manzano</t>
  </si>
  <si>
    <t>Nymia T. Chavez</t>
  </si>
  <si>
    <t>JOB ALSAGA FERRER</t>
  </si>
  <si>
    <t>Kirstene Gail M.  Ocampo</t>
  </si>
  <si>
    <t>Sandae B. Lico</t>
  </si>
  <si>
    <t>Lerio Conmigo Arizala Jr.</t>
  </si>
  <si>
    <t>SOTERO JR. FAVILA LOMIGO</t>
  </si>
  <si>
    <t>Marcelo C. Gutierrez</t>
  </si>
  <si>
    <t>Kris Kringle Tamayo Lopez</t>
  </si>
  <si>
    <t>ROCHELLE LAMADORA GENORING</t>
  </si>
  <si>
    <t>Almond Garalde Leaño</t>
  </si>
  <si>
    <t>Paul Laday Olanday</t>
  </si>
  <si>
    <t>Lenard Tabil</t>
  </si>
  <si>
    <t>Jeffreylhada Muallil Noor</t>
  </si>
  <si>
    <t>REYNALDO C. RIVERA</t>
  </si>
  <si>
    <t>Rommel Geraldizo Bendicion</t>
  </si>
  <si>
    <t>Ma. Twinkle G Mercader</t>
  </si>
  <si>
    <t>STEVE NICHOLS S. DIONALDO</t>
  </si>
  <si>
    <t>Ethel Joy Domingo Invencion</t>
  </si>
  <si>
    <t>Desiree B. Macamay</t>
  </si>
  <si>
    <t>Joseph Villanueva Emboltorio</t>
  </si>
  <si>
    <t>Aicelyn Madrid Diahan</t>
  </si>
  <si>
    <t>Ceferino C. Oryan</t>
  </si>
  <si>
    <t>Romeo A. Beboso</t>
  </si>
  <si>
    <t>Maria Agnes Gonzales Tacadena</t>
  </si>
  <si>
    <t>Nemesia Infante Gomez</t>
  </si>
  <si>
    <t>Noel Aguillon Salvan</t>
  </si>
  <si>
    <t>Mary Grace Garcia Soriano</t>
  </si>
  <si>
    <t>Franco Matias Legaspi Serafin</t>
  </si>
  <si>
    <t>Annette Francisco Virtudazo</t>
  </si>
  <si>
    <t>Lilibeth c. Locario</t>
  </si>
  <si>
    <t>elsie C Agustin</t>
  </si>
  <si>
    <t>JOCELYN A. FERNANDO, MPMG</t>
  </si>
  <si>
    <t>JOVITO VISTAL TOLARESA</t>
  </si>
  <si>
    <t>Romulo Junasa Galleto, Jr.</t>
  </si>
  <si>
    <t>Antonio, Jr. Sarigumba Acuña</t>
  </si>
  <si>
    <t>Darryl Christian Rigos</t>
  </si>
  <si>
    <t>Nuepe Junior Guyon Manuel</t>
  </si>
  <si>
    <t>Peter  S.  Sobrevega</t>
  </si>
  <si>
    <t>ERLINDA DOMINGUEZ LANTIN</t>
  </si>
  <si>
    <t>Joseph Aldrin De Silva Magtanong</t>
  </si>
  <si>
    <t>Jocelyn Laayon Mauting</t>
  </si>
  <si>
    <t>Michael Angelo San Pedro BAC Secretariat</t>
  </si>
  <si>
    <t>Gayuting T. Tumanding</t>
  </si>
  <si>
    <t>Marian Carbonell Patosa</t>
  </si>
  <si>
    <t>MANUEL QUERIJERO HERNANDEZ</t>
  </si>
  <si>
    <t>Freddie Uraga Villajuan</t>
  </si>
  <si>
    <t>Jose Ferdinand Laloy Gabrido</t>
  </si>
  <si>
    <t>Jose Nolito Castor Tomulto</t>
  </si>
  <si>
    <t>Roberto Duarte Bibanco</t>
  </si>
  <si>
    <t>ARCELI ALLONES TIMOGTIMOG</t>
  </si>
  <si>
    <t>Enelyn S. Binson</t>
  </si>
  <si>
    <t>Nestor Corpuz Guillermo</t>
  </si>
  <si>
    <t>Richard Pandita Sanlocan</t>
  </si>
  <si>
    <t>Enrico Magboo Dalangin</t>
  </si>
  <si>
    <t>Jerry  C.  Rodriguez</t>
  </si>
  <si>
    <t>Xanthi Romeilla Jalon Vallicer</t>
  </si>
  <si>
    <t>Lauri Rose Salazar Coquia</t>
  </si>
  <si>
    <t>Luzviminda S. Reyes</t>
  </si>
  <si>
    <t>SHEILA B DE LEON</t>
  </si>
  <si>
    <t>Lurline Merencillo Tongco</t>
  </si>
  <si>
    <t>Roseanne Venessa J Ratunil</t>
  </si>
  <si>
    <t>Andrew Ian Bulda Dormitorio</t>
  </si>
  <si>
    <t>Melotina P. Cadiz</t>
  </si>
  <si>
    <t>Elaine L. Abdurani</t>
  </si>
  <si>
    <t>Jayna Fe Rabanes Modelo</t>
  </si>
  <si>
    <t>Lunrey B. Bagor</t>
  </si>
  <si>
    <t>Joel Sampaga Columna</t>
  </si>
  <si>
    <t>MICHELL FAJARDO PADOHINOG</t>
  </si>
  <si>
    <t>JENNY TAMON CABALLERO</t>
  </si>
  <si>
    <t>ERNEL PRAVA MAYONGUE</t>
  </si>
  <si>
    <t>charlemagne tupag noble</t>
  </si>
  <si>
    <t>Edralin B. Baingan</t>
  </si>
  <si>
    <t>Emmanuel Lorenzo Correa</t>
  </si>
  <si>
    <t>Bernalou Malsi Malaque</t>
  </si>
  <si>
    <t>Abner Rabano</t>
  </si>
  <si>
    <t>Virgie N Bartonico</t>
  </si>
  <si>
    <t>Maria Salome Rafanan Abero</t>
  </si>
  <si>
    <t>Rolando Javier Garcia</t>
  </si>
  <si>
    <t>JOWELA  GIMAY JOR</t>
  </si>
  <si>
    <t>Ma. Evangeline P. Martinez</t>
  </si>
  <si>
    <t>Cipriano Grande Gardoque</t>
  </si>
  <si>
    <t>Merlin Paala</t>
  </si>
  <si>
    <t>Bacsec Centers</t>
  </si>
  <si>
    <t>JAMES BENEDICT E. BAGSIC</t>
  </si>
  <si>
    <t>Pedrito Mojica Serra</t>
  </si>
  <si>
    <t>Gregorio M Monreal</t>
  </si>
  <si>
    <t>Harvey C Jumawan</t>
  </si>
  <si>
    <t>Josephine Escol Avenido</t>
  </si>
  <si>
    <t>Angelita H Reazon</t>
  </si>
  <si>
    <t>ROSELLER LUCAS DAMO</t>
  </si>
  <si>
    <t>Melanie Calura Rufino</t>
  </si>
  <si>
    <t>MARICRIS S. SANTOS</t>
  </si>
  <si>
    <t>Haide D. Daclan</t>
  </si>
  <si>
    <t>Joeper Hamlag Mendoza</t>
  </si>
  <si>
    <t>Lani Pabalan Magno</t>
  </si>
  <si>
    <t>Melanio B. De vera</t>
  </si>
  <si>
    <t>Maricon Sumpio</t>
  </si>
  <si>
    <t>Noli D. Padagdag</t>
  </si>
  <si>
    <t>Isabelito Francia Aguda</t>
  </si>
  <si>
    <t>Jamaica B. Balubal</t>
  </si>
  <si>
    <t>Wilma C. Obras</t>
  </si>
  <si>
    <t>Jonathan Regachuelo Jaluague</t>
  </si>
  <si>
    <t>James Robert Maruya Firman</t>
  </si>
  <si>
    <t>Christopher M. Edjic</t>
  </si>
  <si>
    <t>Erosbon Layugan Sabedo</t>
  </si>
  <si>
    <t>Elloisa Blanco Perez</t>
  </si>
  <si>
    <t>IRISH A TORINO</t>
  </si>
  <si>
    <t>Cesar Vasallo Valondo</t>
  </si>
  <si>
    <t>Judea Micah Dialco Carbajosa</t>
  </si>
  <si>
    <t>Patrick A. Panaligan</t>
  </si>
  <si>
    <t>Norjanna M. Camaguin</t>
  </si>
  <si>
    <t>Ramil Mendez Taculod</t>
  </si>
  <si>
    <t>JULIUS EFREN CEPEDA CANAPI</t>
  </si>
  <si>
    <t>Jorge A. Albinda</t>
  </si>
  <si>
    <t xml:space="preserve">Lee  Anthony Arriesgado </t>
  </si>
  <si>
    <t>Dominador A Bucalbos</t>
  </si>
  <si>
    <t>BAC SECRETARIAT STAFF</t>
  </si>
  <si>
    <t>CORAZON A. YAMIT</t>
  </si>
  <si>
    <t>ANINA RAMOS</t>
  </si>
  <si>
    <t>Christopher D. Badayos</t>
  </si>
  <si>
    <t>Niña Aniñon Asis</t>
  </si>
  <si>
    <t>Redentor Curate</t>
  </si>
  <si>
    <t>Ma Christina Sorilla Segura</t>
  </si>
  <si>
    <t>John Salvacion Sambajon</t>
  </si>
  <si>
    <t>Diego P Tan</t>
  </si>
  <si>
    <t>Francis Alfred Calo Bokingo</t>
  </si>
  <si>
    <t>Janice L Sta. Cruz</t>
  </si>
  <si>
    <t>EVA MACAHILIG JIMENEZ</t>
  </si>
  <si>
    <t>Anna Liza L. Dela Cruz</t>
  </si>
  <si>
    <t>ANNE MARGARETT A. BORNASAL</t>
  </si>
  <si>
    <t>Ricardo A. Negado</t>
  </si>
  <si>
    <t>Celeste Ann Laure Capilla</t>
  </si>
  <si>
    <t>RADITO MALLARI ANORAN</t>
  </si>
  <si>
    <t>JOSE , JR. PANUELOS TIAPON</t>
  </si>
  <si>
    <t>Allan C. Cauilan</t>
  </si>
  <si>
    <t>Samuel Albino Fuertes</t>
  </si>
  <si>
    <t>Alma Dallapas Elvena</t>
  </si>
  <si>
    <t>Rowena Arcon Plando</t>
  </si>
  <si>
    <t>Virginia D. Balderas</t>
  </si>
  <si>
    <t>Lucia Casim</t>
  </si>
  <si>
    <t>Ligaya M Antiola</t>
  </si>
  <si>
    <t>John B Magbanua</t>
  </si>
  <si>
    <t>Glaiza Dela Cruz-Pasion</t>
  </si>
  <si>
    <t>Marites A. Bermal</t>
  </si>
  <si>
    <t>MARIA PAMELA TOLENTINO BACTOL</t>
  </si>
  <si>
    <t>Magna Ramos Macalma</t>
  </si>
  <si>
    <t>BERNARD MALINGTAY PEPE</t>
  </si>
  <si>
    <t>Julius Caducano Bartolome</t>
  </si>
  <si>
    <t>Antonietta Alfante Nastor</t>
  </si>
  <si>
    <t>Merla A. Monje</t>
  </si>
  <si>
    <t>Mitch Devibar Ramos</t>
  </si>
  <si>
    <t>JONATHAN JOSE CERENO CALDERON</t>
  </si>
  <si>
    <t>Manuel Melis Ignacio</t>
  </si>
  <si>
    <t>Myra Cecilia Donila Grata</t>
  </si>
  <si>
    <t>Mariz  Lapid  Onchengco</t>
  </si>
  <si>
    <t>Mr. Clarence Bolante Bunan</t>
  </si>
  <si>
    <t>Jhenevy Monel Diamate</t>
  </si>
  <si>
    <t>Rodrigo C Rodrigo</t>
  </si>
  <si>
    <t>Romeo Jr. S Yacan</t>
  </si>
  <si>
    <t>Paul Michael M Cuadra</t>
  </si>
  <si>
    <t>Angelo Senin Bugarin</t>
  </si>
  <si>
    <t>ALJEAN SOON DELWESTE</t>
  </si>
  <si>
    <t>Wilson Garagan Viloria II</t>
  </si>
  <si>
    <t>MERLINDA M. ANG</t>
  </si>
  <si>
    <t>Brgy. 09 Catbalogan</t>
  </si>
  <si>
    <t>Ma. Kristina Goylos Medalla</t>
  </si>
  <si>
    <t>Eutropio Simbajon Jayectin, M.M.</t>
  </si>
  <si>
    <t>Jonathan B. Guevarra</t>
  </si>
  <si>
    <t>Blesilda Virtucio Erejer</t>
  </si>
  <si>
    <t>Arnel B. Javier</t>
  </si>
  <si>
    <t>Dennis H. Dino</t>
  </si>
  <si>
    <t>Vicente Fermin</t>
  </si>
  <si>
    <t>Joy M Rivera</t>
  </si>
  <si>
    <t>Arlene Verano Martinez</t>
  </si>
  <si>
    <t>Jennifer Mindanao Cruz</t>
  </si>
  <si>
    <t>Kapelhoff Arcangel Quidang</t>
  </si>
  <si>
    <t>Wilfredo M Letrodo</t>
  </si>
  <si>
    <t>Brian D. Lumague</t>
  </si>
  <si>
    <t>Royina Sison Argueza</t>
  </si>
  <si>
    <t>DORINA MELAD</t>
  </si>
  <si>
    <t>GERALDINE N. RANARA</t>
  </si>
  <si>
    <t>Gomer Liwanag Dado</t>
  </si>
  <si>
    <t>Dominic Adriano</t>
  </si>
  <si>
    <t>Hanz Cecilio Bernardo</t>
  </si>
  <si>
    <t>CHARONE MICHAL GUERRERO DE CASTRO</t>
  </si>
  <si>
    <t>LEILANI BACALE CASIMPAN</t>
  </si>
  <si>
    <t>Elton Gurro Panulaya</t>
  </si>
  <si>
    <t>Nelson Cruz Dela Cruz</t>
  </si>
  <si>
    <t>Samson Gavasan Gilo, Jr.</t>
  </si>
  <si>
    <t>Catherine M.  Laza</t>
  </si>
  <si>
    <t>JESUS JONJIE ADELANTAR VENTURANZA</t>
  </si>
  <si>
    <t>Joseph S. Andrada</t>
  </si>
  <si>
    <t>Rachelle De Guzman Agpoon</t>
  </si>
  <si>
    <t>Allison Graza Nudo</t>
  </si>
  <si>
    <t>Eric Torres Tejada</t>
  </si>
  <si>
    <t>CHAVELLE FERRAREN ALONSO</t>
  </si>
  <si>
    <t>Lourfe S. Rondina</t>
  </si>
  <si>
    <t>JOSEPH HERBON BUSA</t>
  </si>
  <si>
    <t>Consuelo L. Tubis</t>
  </si>
  <si>
    <t>Demars Gonzaga Madroso</t>
  </si>
  <si>
    <t>ALMIRA PINOL LAPASARAN</t>
  </si>
  <si>
    <t>Jeffrey C. Herrera</t>
  </si>
  <si>
    <t>FRANK F. FANGED</t>
  </si>
  <si>
    <t>Edzrael L. Mohammad</t>
  </si>
  <si>
    <t>Angelita Plaza Tuiza</t>
  </si>
  <si>
    <t>Elsie Lubguban</t>
  </si>
  <si>
    <t>FERNANDO MAGAYANES CARANDANG</t>
  </si>
  <si>
    <t>Paquito Joel Alferez Arocha</t>
  </si>
  <si>
    <t>Maria Lourdes Galanida Roldan</t>
  </si>
  <si>
    <t>Ma. Victoria Tejedor</t>
  </si>
  <si>
    <t>Jocelyn Talanay Pantaleon</t>
  </si>
  <si>
    <t>Aldren Galido Madelozo</t>
  </si>
  <si>
    <t>Jay Legaspi Cabiles</t>
  </si>
  <si>
    <t>Laarni Vi Delos Reyes</t>
  </si>
  <si>
    <t>BAC ILOCOS SUR</t>
  </si>
  <si>
    <t>Zelina G Dela Cruz</t>
  </si>
  <si>
    <t>Jianel Ugbog Masinadiong</t>
  </si>
  <si>
    <t>CHATTLEYA G AMIT</t>
  </si>
  <si>
    <t>TEODORO A. QUINTANA, JR.</t>
  </si>
  <si>
    <t>Editha V. Aguinaldo, MPA</t>
  </si>
  <si>
    <t>Roberto D Tallud</t>
  </si>
  <si>
    <t>Benson Empalmado</t>
  </si>
  <si>
    <t>Ailleen Melody Enguerra Alya-On</t>
  </si>
  <si>
    <t>Lenie Morales Adriano</t>
  </si>
  <si>
    <t>Celia M Perez</t>
  </si>
  <si>
    <t>Roberto Chu Tiu</t>
  </si>
  <si>
    <t>EVELYN NALAUNAN DALISAY</t>
  </si>
  <si>
    <t>RAYMUND M. DIAZ</t>
  </si>
  <si>
    <t>ROSE HABANA MARTINEZ</t>
  </si>
  <si>
    <t>Ferazim R Dannug</t>
  </si>
  <si>
    <t>Michelle Retamar Roldan</t>
  </si>
  <si>
    <t>Cecilia Notario Jumawan</t>
  </si>
  <si>
    <t>Nadel S. Denapo</t>
  </si>
  <si>
    <t>Arlene Sta.Rita Bonquin</t>
  </si>
  <si>
    <t>MARTINA B. ROSALES</t>
  </si>
  <si>
    <t>Mirasol Macaranas Rosano</t>
  </si>
  <si>
    <t>Gertrudes A Obedoza</t>
  </si>
  <si>
    <t>ANDREA MAE ALEXIS DIMAYUGA</t>
  </si>
  <si>
    <t>Wilson C. Rosario</t>
  </si>
  <si>
    <t>OLIVER ORBIZO OLIVO</t>
  </si>
  <si>
    <t>Rachelle Anne Sera Jose  Santos</t>
  </si>
  <si>
    <t>Marilou Sampaton Bernas</t>
  </si>
  <si>
    <t>Julius C. Cerbo</t>
  </si>
  <si>
    <t>Venus Contreras Decena</t>
  </si>
  <si>
    <t>Christopher Ortega Dalion</t>
  </si>
  <si>
    <t>Natalie T. Binayan</t>
  </si>
  <si>
    <t>Ma. Jonalyn Rollon Villar</t>
  </si>
  <si>
    <t>BRIGETTE JOY PUNZALAN ILAGAN</t>
  </si>
  <si>
    <t>Anna Liza Ramirez Quirolgico</t>
  </si>
  <si>
    <t>Riza Ortez Muanag</t>
  </si>
  <si>
    <t>SILAHIS DECENA LAZO</t>
  </si>
  <si>
    <t>Ryan Anthony Agay Olalia</t>
  </si>
  <si>
    <t>Luis, Jr. Artieda Albacete</t>
  </si>
  <si>
    <t>Peter A Servito</t>
  </si>
  <si>
    <t>Patrick Bayona Gimeno</t>
  </si>
  <si>
    <t>Dario Sarabusing Jr.</t>
  </si>
  <si>
    <t>Norma C. Sarigumba</t>
  </si>
  <si>
    <t>Annabelle Pocopoco Dagani</t>
  </si>
  <si>
    <t>Ma. Rosa  D.  Del Rio</t>
  </si>
  <si>
    <t>MARIA LOURDES PEREA TIANGCO</t>
  </si>
  <si>
    <t>Arlene Maunahan Avejero</t>
  </si>
  <si>
    <t>Ma. Annalyn S. Nolasco</t>
  </si>
  <si>
    <t>Princess Fabrienne Tonzo Panganiban</t>
  </si>
  <si>
    <t>Jhonna Salve Janer Buenaflor</t>
  </si>
  <si>
    <t>GENEROSO P DORO</t>
  </si>
  <si>
    <t>Julie Anne Canzon Valencia</t>
  </si>
  <si>
    <t>GINA LEDESMA_R ROSALES</t>
  </si>
  <si>
    <t>Vincent M Bayot</t>
  </si>
  <si>
    <t>Helen B. Olaer</t>
  </si>
  <si>
    <t>Clemence  D.  Pobre</t>
  </si>
  <si>
    <t>Dencio A Pagbilao</t>
  </si>
  <si>
    <t>Michael Trasmil Ibisate</t>
  </si>
  <si>
    <t>Pedro F Caminero Jr.</t>
  </si>
  <si>
    <t>Edison Salawad Morales</t>
  </si>
  <si>
    <t>JEAN ALLEN PECHAYCO ALEJANDRO</t>
  </si>
  <si>
    <t>Cuajotor Toledo Albert</t>
  </si>
  <si>
    <t>LAARNI PEREZ ALINSOD</t>
  </si>
  <si>
    <t>KASIM AJALAL HASANIN</t>
  </si>
  <si>
    <t>Irna Nadayag Mallari</t>
  </si>
  <si>
    <t>VIOLA  P.  MONTILLA</t>
  </si>
  <si>
    <t>Lolito B. Aboy</t>
  </si>
  <si>
    <t>Marlon F. Rebabcos</t>
  </si>
  <si>
    <t>DIEGO EBRADA BAYONITO</t>
  </si>
  <si>
    <t>Ronnie D. Morante</t>
  </si>
  <si>
    <t>Arundale Gum-u Immoliap Bunnag</t>
  </si>
  <si>
    <t>BERNARDO C. POJAS</t>
  </si>
  <si>
    <t>Glorina Capito Fernandez</t>
  </si>
  <si>
    <t>MARIA CORAZON RIVA VALDEMORO</t>
  </si>
  <si>
    <t>NIÑO BALISTOY SALVACION</t>
  </si>
  <si>
    <t>Corazon C Dacudag</t>
  </si>
  <si>
    <t>Janine M. Balilia</t>
  </si>
  <si>
    <t>NESTOR MIKLAT IDRA</t>
  </si>
  <si>
    <t>RIZALYNE BARTOLOME ABELLO</t>
  </si>
  <si>
    <t>Benito Soriano Montano</t>
  </si>
  <si>
    <t>Perry N. Nava</t>
  </si>
  <si>
    <t>Vilma Capistrano Globio</t>
  </si>
  <si>
    <t>Robert Tuscano</t>
  </si>
  <si>
    <t>Azor B Quijano</t>
  </si>
  <si>
    <t>Marietta Maata Cortes</t>
  </si>
  <si>
    <t>Susan Dela Cruz</t>
  </si>
  <si>
    <t>Ana Marie Balisbis Mirambel</t>
  </si>
  <si>
    <t>JURRY JUANILLO BASALO</t>
  </si>
  <si>
    <t>ROSALIE N. MORALDE</t>
  </si>
  <si>
    <t>Mary Allen Pedrano Cornites</t>
  </si>
  <si>
    <t>Marisa S. Jumalon</t>
  </si>
  <si>
    <t>Leonila Santiago De Jesus</t>
  </si>
  <si>
    <t>AIZA ALEGRIA RUBEN</t>
  </si>
  <si>
    <t>ROGELIO KENTILITISCA PANGAN</t>
  </si>
  <si>
    <t>JESSICA ACOLENTAVA OTIC</t>
  </si>
  <si>
    <t>Erika Yvette Seraspi Reynoso</t>
  </si>
  <si>
    <t>Samson B. Quinito</t>
  </si>
  <si>
    <t>Teotimo M  Laguitao</t>
  </si>
  <si>
    <t>Rodrhon Michael Espartero Melgar</t>
  </si>
  <si>
    <t>Ladislao  Gumboc  Flores</t>
  </si>
  <si>
    <t>Editha Pascua Covita</t>
  </si>
  <si>
    <t>RAMIL A. CONDEZ</t>
  </si>
  <si>
    <t>Romarico J. Deona</t>
  </si>
  <si>
    <t>JESUS S. BOJA</t>
  </si>
  <si>
    <t>Engr. DOMINADOR DOMINGO DIZON</t>
  </si>
  <si>
    <t>BABYLYN LAFORTEZA</t>
  </si>
  <si>
    <t>Miladilla Santiago</t>
  </si>
  <si>
    <t>Rico L. Navarro</t>
  </si>
  <si>
    <t>Araceli V Domagas</t>
  </si>
  <si>
    <t>Sio King Sy Aurea</t>
  </si>
  <si>
    <t>Sharmaine J. Vicente</t>
  </si>
  <si>
    <t>Roxan Joy Hachero Caparro</t>
  </si>
  <si>
    <t>MARCOS M. KUSAIN, JD, MPA</t>
  </si>
  <si>
    <t>Felicisimo Villarico Wenceslao Jr.</t>
  </si>
  <si>
    <t>Ma. Isabel N. Argueza</t>
  </si>
  <si>
    <t>JULIE P. TABCAO</t>
  </si>
  <si>
    <t>Arnold Alba Perez</t>
  </si>
  <si>
    <t>Nida Avisado Santiago</t>
  </si>
  <si>
    <t>MERIAM GALLO RAMOS</t>
  </si>
  <si>
    <t>Lily Opano Tuiza</t>
  </si>
  <si>
    <t>VICTOR PAULINO CAMITAN</t>
  </si>
  <si>
    <t>KRISTEL  MAE C. CHAVEZ</t>
  </si>
  <si>
    <t>Edsel Evangelista Espino</t>
  </si>
  <si>
    <t>Lyalin Alfaro Zapador</t>
  </si>
  <si>
    <t>RICHILO L. LACEDA</t>
  </si>
  <si>
    <t>NICEFORO S. LIBERATO</t>
  </si>
  <si>
    <t>Kristine Meneses Torres</t>
  </si>
  <si>
    <t>Edmar Tenio Tambis</t>
  </si>
  <si>
    <t>Marie Pat Nerona Navora</t>
  </si>
  <si>
    <t>Elvie Villanueva Diaz</t>
  </si>
  <si>
    <t>Mellany Millano Amaranto</t>
  </si>
  <si>
    <t>Ma. Cristina L Garcia</t>
  </si>
  <si>
    <t>Elvina M Dotimas</t>
  </si>
  <si>
    <t>Mario Jennifer Rosco Orion</t>
  </si>
  <si>
    <t>Ma. Ruth Viñas Bandales</t>
  </si>
  <si>
    <t>segrid sahagon dacanay</t>
  </si>
  <si>
    <t>Jenelyn Capilitan Soria</t>
  </si>
  <si>
    <t>Sharon Madamba Agbayani</t>
  </si>
  <si>
    <t>MA. LUZ MEDROSO DE LOS REYES</t>
  </si>
  <si>
    <t>Sherwin  V.  Gelacio</t>
  </si>
  <si>
    <t>Susana M Pardo</t>
  </si>
  <si>
    <t>MARY ANN C. BELEN</t>
  </si>
  <si>
    <t>Donnalynn Waje Mercado</t>
  </si>
  <si>
    <t>Jovina Corrales Orias</t>
  </si>
  <si>
    <t>HERIBERTO AROCENA TOMAS</t>
  </si>
  <si>
    <t>Jefferson Coruno</t>
  </si>
  <si>
    <t>May Catherine H. Gaviola</t>
  </si>
  <si>
    <t>Mary Grace Lamadora Villacote</t>
  </si>
  <si>
    <t>Nonito Cervancia</t>
  </si>
  <si>
    <t>Jonefe Gomez Ocasla</t>
  </si>
  <si>
    <t>DOMINGO PINTANG</t>
  </si>
  <si>
    <t>Joey Calimpusan Tonzo</t>
  </si>
  <si>
    <t>Alexander Tapanan Teves</t>
  </si>
  <si>
    <t>Natalie Tinao Caparas</t>
  </si>
  <si>
    <t>BENJAMIN N. LAURENCIANA</t>
  </si>
  <si>
    <t>Ko-Jack Espinosa I Ibaño</t>
  </si>
  <si>
    <t>SIXTO BALITA</t>
  </si>
  <si>
    <t>Michael Aquino Abar</t>
  </si>
  <si>
    <t>Elma Seraphelle Magdaug Bulagao</t>
  </si>
  <si>
    <t>Orea Attiwan</t>
  </si>
  <si>
    <t>Aubrey George Tamargo Corpuz</t>
  </si>
  <si>
    <t>CLARO SENTINA SERVENTO</t>
  </si>
  <si>
    <t>Camille Tomas Ronquillo</t>
  </si>
  <si>
    <t>Cynthia De Chavez Perez</t>
  </si>
  <si>
    <t>Alexander A Balmes</t>
  </si>
  <si>
    <t>DORILYN C. DADOR</t>
  </si>
  <si>
    <t>RICHARD HOWITT LAW L. LAING</t>
  </si>
  <si>
    <t>Sukarno M Hadjinor</t>
  </si>
  <si>
    <t>Celestino D. Boldo</t>
  </si>
  <si>
    <t>Ruel Priolo Padrequil</t>
  </si>
  <si>
    <t>Bernie C Malinao</t>
  </si>
  <si>
    <t>Ma. Marites A Cabral</t>
  </si>
  <si>
    <t>Mary Ann P Halili</t>
  </si>
  <si>
    <t>Lilibeth G. Santiago</t>
  </si>
  <si>
    <t>Ma. Isabel M Mirano</t>
  </si>
  <si>
    <t>ALEXIS PETER BELLO DE LA CRUZ</t>
  </si>
  <si>
    <t>Delwin  Dalubajan  Dagook</t>
  </si>
  <si>
    <t>Hurdy F Denosta</t>
  </si>
  <si>
    <t>LINELLA G. CUEVAS</t>
  </si>
  <si>
    <t>Lucylisa C. Pilapil</t>
  </si>
  <si>
    <t>Nazario Usi Benedicto</t>
  </si>
  <si>
    <t>Susan Diswe Costiniano</t>
  </si>
  <si>
    <t>Melinda Devesa Lonceras</t>
  </si>
  <si>
    <t>Marina P. Cayabo</t>
  </si>
  <si>
    <t>Chinalyn Dakiwag Rivera</t>
  </si>
  <si>
    <t>REBECCA CALUAG LOPEZ</t>
  </si>
  <si>
    <t>Jay  Solima Subac</t>
  </si>
  <si>
    <t>Juanito M Quinto, Jr.</t>
  </si>
  <si>
    <t>George uy So</t>
  </si>
  <si>
    <t>Anacita  V. Barcelon</t>
  </si>
  <si>
    <t>LEAH BANARES TUBID</t>
  </si>
  <si>
    <t>FE MANGUIAT SANGALANG</t>
  </si>
  <si>
    <t>Arvin S De Guzman</t>
  </si>
  <si>
    <t>Leizle B. Anongos</t>
  </si>
  <si>
    <t>Alvin B De Roxas</t>
  </si>
  <si>
    <t>NOEL C. MANGKIKIS</t>
  </si>
  <si>
    <t>FRANCISCO , JR. YGRUBAY LABRAGUE</t>
  </si>
  <si>
    <t>Meriam Astronomo Arguil</t>
  </si>
  <si>
    <t>Leopoldo  C Sanchez Jr.</t>
  </si>
  <si>
    <t>Flora R. Mallare</t>
  </si>
  <si>
    <t xml:space="preserve">JULIET  P. LUCAS </t>
  </si>
  <si>
    <t>Nolita Laberinto Acero</t>
  </si>
  <si>
    <t>Larina Esquibel Lopez</t>
  </si>
  <si>
    <t>Jan Mae Dayanghirang Llavore</t>
  </si>
  <si>
    <t>Rosario O. Cabrera</t>
  </si>
  <si>
    <t>JENNIPERL BALLOS JAVIER</t>
  </si>
  <si>
    <t>JEECHEL C. BARIBE</t>
  </si>
  <si>
    <t>Robert John Donesa</t>
  </si>
  <si>
    <t>Jose B Abrenio Jr.</t>
  </si>
  <si>
    <t>Arsenio T. Cornites, Jr.</t>
  </si>
  <si>
    <t>Pacifico Digal Cabrido, Jr.</t>
  </si>
  <si>
    <t>Jocelyn Castro Ballesteros</t>
  </si>
  <si>
    <t>Veronica Josol Baquial</t>
  </si>
  <si>
    <t>MARIA GINA P SAZON</t>
  </si>
  <si>
    <t>RUDYRICK SILVA</t>
  </si>
  <si>
    <t>Josephine A. Ruedas</t>
  </si>
  <si>
    <t>Carmelita Seto Bangayan</t>
  </si>
  <si>
    <t>NOEL RYAN H. UY</t>
  </si>
  <si>
    <t>FLORELYN BUOT LACHARON</t>
  </si>
  <si>
    <t>Gilbert C. Colegado</t>
  </si>
  <si>
    <t>JERRY R CENTRO</t>
  </si>
  <si>
    <t>RUDY S DACULAN</t>
  </si>
  <si>
    <t>LANNIE MAE C DINGAL</t>
  </si>
  <si>
    <t>Jacqueline F Terrado</t>
  </si>
  <si>
    <t>DORIS JOY C. GARCIA</t>
  </si>
  <si>
    <t>Teresa A. Macapanas</t>
  </si>
  <si>
    <t>ROMMEL G. ERPELO</t>
  </si>
  <si>
    <t>Ma Luz Buenaagua Francisco</t>
  </si>
  <si>
    <t>Teresita Guillermo</t>
  </si>
  <si>
    <t>Myline A. Dilla</t>
  </si>
  <si>
    <t>Edgar Banzuela Balidoy</t>
  </si>
  <si>
    <t>Rosario Y. Baldonado</t>
  </si>
  <si>
    <t>Junje Abayon Draculan</t>
  </si>
  <si>
    <t>OLIVER PENUS</t>
  </si>
  <si>
    <t>Julie G Salvador</t>
  </si>
  <si>
    <t>Wilfredo R Bartolini</t>
  </si>
  <si>
    <t>Victorino Berguela Almario</t>
  </si>
  <si>
    <t>Donna Belle Sajer Castillo</t>
  </si>
  <si>
    <t>ELMER O LUNAS</t>
  </si>
  <si>
    <t>Vincent A. Tan</t>
  </si>
  <si>
    <t>Delberlyn V. Punzalan</t>
  </si>
  <si>
    <t>EDUARDO C BERNAL</t>
  </si>
  <si>
    <t>Gerardo Jr. Valdez Bocalan</t>
  </si>
  <si>
    <t>Omar Sajot Alfaro</t>
  </si>
  <si>
    <t>Maredith H. Julve</t>
  </si>
  <si>
    <t>Leonardo Tanginan Elle</t>
  </si>
  <si>
    <t>ROSEJOY TUAPEN MONTEJO</t>
  </si>
  <si>
    <t>AICEL NECY F MARTINEZ</t>
  </si>
  <si>
    <t>Dennis G Varon</t>
  </si>
  <si>
    <t>Rodel Carmelo Mabination</t>
  </si>
  <si>
    <t>Emerson John Exclamado Fernandez</t>
  </si>
  <si>
    <t>Nory Taberna Rivera</t>
  </si>
  <si>
    <t>Rolando  Secillano</t>
  </si>
  <si>
    <t>Raquel Gonzales De Jesus</t>
  </si>
  <si>
    <t>Joan J. Sadaba</t>
  </si>
  <si>
    <t>LUCY FE M ELLAR</t>
  </si>
  <si>
    <t>Andrew Lim Pagayatan</t>
  </si>
  <si>
    <t>Lilane Mejillano Nuñez</t>
  </si>
  <si>
    <t>Jake Malnegro Maglahus</t>
  </si>
  <si>
    <t>Elmer Camit Treyes</t>
  </si>
  <si>
    <t>CEZARIO JOEL C ESPEJO</t>
  </si>
  <si>
    <t>ESTRELLA T. SAPURAS</t>
  </si>
  <si>
    <t>Pablo L Nabong</t>
  </si>
  <si>
    <t>Allan R. Guintapan</t>
  </si>
  <si>
    <t>Abigail Tabadero Alemania</t>
  </si>
  <si>
    <t>LOURENCE C. BUENAVENTURA</t>
  </si>
  <si>
    <t>Jocelyn Campaña Langbid</t>
  </si>
  <si>
    <t>Arjean Villacorta Jumamoy</t>
  </si>
  <si>
    <t>Eden Rose V. Calo</t>
  </si>
  <si>
    <t>Lilian  Pacamalan  Uy</t>
  </si>
  <si>
    <t>Manulito S Rodriguez</t>
  </si>
  <si>
    <t>Helen P. Palma</t>
  </si>
  <si>
    <t>Herminia Marcos Osting</t>
  </si>
  <si>
    <t>Geoffrey P. Villahermosa</t>
  </si>
  <si>
    <t>ALADIN MABBORANG PASCUAL</t>
  </si>
  <si>
    <t>Bienvenido Capilitan Barrera, Jr.</t>
  </si>
  <si>
    <t>Edmer S. Polloso</t>
  </si>
  <si>
    <t>Edwin Vergel De Dios David</t>
  </si>
  <si>
    <t>MARY CRISTY  ACAIN  OCOL</t>
  </si>
  <si>
    <t>Roderick A Ydel</t>
  </si>
  <si>
    <t>Jorgen H. Buzon</t>
  </si>
  <si>
    <t>Robert M Valles</t>
  </si>
  <si>
    <t>Gilmore Ray Lopez Saniel</t>
  </si>
  <si>
    <t>MARIE ROSE G. BAL</t>
  </si>
  <si>
    <t>Jennifer Ducusin Flores</t>
  </si>
  <si>
    <t>Monera Ferrer Pramis</t>
  </si>
  <si>
    <t>Freddie Sr. Francisco Gabo</t>
  </si>
  <si>
    <t>ENGR. JERICK D. ORLANES</t>
  </si>
  <si>
    <t>Andro L. Colacion</t>
  </si>
  <si>
    <t>Merlina Tunggala Macararanga</t>
  </si>
  <si>
    <t>Ma. Wiena Lofranco Saguid</t>
  </si>
  <si>
    <t>SHEILA FIEL LEONA</t>
  </si>
  <si>
    <t>Maxelinda Dela Cruz Serrana</t>
  </si>
  <si>
    <t>Levy H. Lagutin, Jr.</t>
  </si>
  <si>
    <t>Marilyn Ulep Tolentino</t>
  </si>
  <si>
    <t>Myra B. Eramis</t>
  </si>
  <si>
    <t>Cecille  Agpalo</t>
  </si>
  <si>
    <t>Rebecca Dampil Subillaga</t>
  </si>
  <si>
    <t>Andy Ralfh Villafuerte Conocono</t>
  </si>
  <si>
    <t>Emelita I. Garcia</t>
  </si>
  <si>
    <t>Jupalyn Laderas Benedicto</t>
  </si>
  <si>
    <t>Sharon  G.  Umbaad</t>
  </si>
  <si>
    <t>Floyd Barcelona Jaron</t>
  </si>
  <si>
    <t>SANDRA TORAYNO UDANG</t>
  </si>
  <si>
    <t>Jeffrey Justin T. Talisic</t>
  </si>
  <si>
    <t>Apollo Gamboa Gariando</t>
  </si>
  <si>
    <t>Danilo P Polestico</t>
  </si>
  <si>
    <t>Ruth Magno Milanio</t>
  </si>
  <si>
    <t>Vivienne P. Belizario</t>
  </si>
  <si>
    <t>Linell Fulleros Montuerto</t>
  </si>
  <si>
    <t>Catherine C Padin</t>
  </si>
  <si>
    <t>Nilo Eduarte Diesta</t>
  </si>
  <si>
    <t>Genelyn Hilario Sazon</t>
  </si>
  <si>
    <t>Hernadith Hinolan Casas</t>
  </si>
  <si>
    <t>EnP Arlet E. Legaspi</t>
  </si>
  <si>
    <t>Rosemarie Martinez Paguia</t>
  </si>
  <si>
    <t>Lucila D De Roxas</t>
  </si>
  <si>
    <t>Ma. Teresa  D. Rodriguez</t>
  </si>
  <si>
    <t>Vina Liza Ruth Cabrera</t>
  </si>
  <si>
    <t>WILLY MENDOZA CORPUZ</t>
  </si>
  <si>
    <t>FREDDIE C. BENDULO</t>
  </si>
  <si>
    <t>Milagros M. Perez</t>
  </si>
  <si>
    <t>HENY JANE VISEN JABONETE</t>
  </si>
  <si>
    <t>Montano J. Alob</t>
  </si>
  <si>
    <t>Lucil I Montermoso</t>
  </si>
  <si>
    <t>Eddie De Vera Cancino</t>
  </si>
  <si>
    <t>VIRGIN GANIR MALICAD</t>
  </si>
  <si>
    <t>RUBY JANE C. CRUZ</t>
  </si>
  <si>
    <t>Robert Pineda Lucero</t>
  </si>
  <si>
    <t>Maria Concepcion Salcedo Florida</t>
  </si>
  <si>
    <t>Ruel Jr. Bayubay Masangcay</t>
  </si>
  <si>
    <t>Virginia Punay</t>
  </si>
  <si>
    <t>REM BERYL YGOT VELOSO</t>
  </si>
  <si>
    <t>Carlo Fernando G. Logarta</t>
  </si>
  <si>
    <t>Ivanhoe Torrefiel Kangleon</t>
  </si>
  <si>
    <t>Ariel Luistro Garcia</t>
  </si>
  <si>
    <t>RENATO RUBEN CASIANO BRAGADO</t>
  </si>
  <si>
    <t>CLINIA C EUSORES</t>
  </si>
  <si>
    <t>Armando L. Andres</t>
  </si>
  <si>
    <t>EDWARD ALIGUYON CARIÑO</t>
  </si>
  <si>
    <t>Arjay Caballero Dimafelix</t>
  </si>
  <si>
    <t>Wulfranie Jr. M. Pascua</t>
  </si>
  <si>
    <t>FERDINAND P. CAYETANO</t>
  </si>
  <si>
    <t>Erwin Mendoza Punzalan</t>
  </si>
  <si>
    <t>Roxanne O. Valenzuela</t>
  </si>
  <si>
    <t>Francisco C Cabunoc</t>
  </si>
  <si>
    <t>JOHN CHRISTIAN MANAGAD SIOCO</t>
  </si>
  <si>
    <t>MARISA SISON LAGAR</t>
  </si>
  <si>
    <t>Jessie P. dela Rosa</t>
  </si>
  <si>
    <t>RANDY R. LIGSANAN</t>
  </si>
  <si>
    <t>Lorna L. Pacquing</t>
  </si>
  <si>
    <t>Ricardo C. Castillo</t>
  </si>
  <si>
    <t>NATHANIEL B. GERTOS</t>
  </si>
  <si>
    <t>MARIA RUBIA</t>
  </si>
  <si>
    <t>Florenda Inutan Carballo</t>
  </si>
  <si>
    <t>WARLITO M ABAYON JR.</t>
  </si>
  <si>
    <t>Zaldy Rodriguez Delmendo</t>
  </si>
  <si>
    <t>John Carl F Lodevico</t>
  </si>
  <si>
    <t>Rosario Corazon  Sison  Abara</t>
  </si>
  <si>
    <t>Victoria Carcamo Santos</t>
  </si>
  <si>
    <t>JOVYLYN P LUCAS</t>
  </si>
  <si>
    <t>Cynthia Macenas Tumanut</t>
  </si>
  <si>
    <t>MELNER BONDAUG SAGARAY</t>
  </si>
  <si>
    <t>MARINA C MATUGUINAS</t>
  </si>
  <si>
    <t>Vlademer Villalba Brit</t>
  </si>
  <si>
    <t>NORBERTO, JR ONES RUBI</t>
  </si>
  <si>
    <t>JORJAN BECKER FEDERISO</t>
  </si>
  <si>
    <t>ATTY. AIKO ELENI NARIDA PALER</t>
  </si>
  <si>
    <t>Glace L Osoteo</t>
  </si>
  <si>
    <t>Nerio D Fragata</t>
  </si>
  <si>
    <t>Argie Cabunoc Aungon</t>
  </si>
  <si>
    <t>Jessa Bello Recto</t>
  </si>
  <si>
    <t>Miriam C. Jabagat</t>
  </si>
  <si>
    <t>Elvie Quito</t>
  </si>
  <si>
    <t>Marcial  M. Ilagan</t>
  </si>
  <si>
    <t>Liberty Cepeda Omadio</t>
  </si>
  <si>
    <t>LORETO GALVEZ NICOLAS</t>
  </si>
  <si>
    <t>Marivic Torres Pagala</t>
  </si>
  <si>
    <t>Maria Alma O Almazan</t>
  </si>
  <si>
    <t>Annabelle Canonigo Husain</t>
  </si>
  <si>
    <t>JOSE GARCIANO</t>
  </si>
  <si>
    <t>FIDELITO PANZO CENAS</t>
  </si>
  <si>
    <t>Kristel Capundan Rosello</t>
  </si>
  <si>
    <t>Christine Grace Lapinig Tan</t>
  </si>
  <si>
    <t>Amorie Michele Marba Janubas</t>
  </si>
  <si>
    <t>Christian Garganza Ortega</t>
  </si>
  <si>
    <t>Ruben M.  Villanueva</t>
  </si>
  <si>
    <t>Macario Perez Almario</t>
  </si>
  <si>
    <t>Michael M Bacarisas</t>
  </si>
  <si>
    <t>Cynthia Cortes Gabayoyo</t>
  </si>
  <si>
    <t>CENON ARPIA PORTUGAL</t>
  </si>
  <si>
    <t>JENALYN  SANTANDER PONFERRADA</t>
  </si>
  <si>
    <t>JUNE IVY CIELOS MENDEZ</t>
  </si>
  <si>
    <t>Catalina Jaylo</t>
  </si>
  <si>
    <t>REGNER MEL BALAGOT</t>
  </si>
  <si>
    <t>Leopoldo S Escala</t>
  </si>
  <si>
    <t>Jocelyn C. Jaramillo</t>
  </si>
  <si>
    <t>Ivy C. Huertas</t>
  </si>
  <si>
    <t>RICO MESA</t>
  </si>
  <si>
    <t>KARLA MEI BASQUEZ TAGUBA</t>
  </si>
  <si>
    <t>Rene P Quezada</t>
  </si>
  <si>
    <t>Marfen Guinmapang Corvera</t>
  </si>
  <si>
    <t>REY GONZALES BAUTISTA</t>
  </si>
  <si>
    <t>Ma. Socorro C Tabang</t>
  </si>
  <si>
    <t>Noel P Baldueza</t>
  </si>
  <si>
    <t>Asuncion Asuncion Padre</t>
  </si>
  <si>
    <t>EMERSON R LARUA</t>
  </si>
  <si>
    <t>MERVIN "BUDA" JUSI JUSI</t>
  </si>
  <si>
    <t>Lazaro Buluran Pascual</t>
  </si>
  <si>
    <t>MARY JANE MARCELLA ASAN</t>
  </si>
  <si>
    <t>Federico III Daleno Rivero</t>
  </si>
  <si>
    <t>NOEL AZARCON AGOR</t>
  </si>
  <si>
    <t>CLARIBEL L. REBUENO</t>
  </si>
  <si>
    <t>Cesarina Sico Macuha</t>
  </si>
  <si>
    <t>CHARLENE DE NAVA ALDEA</t>
  </si>
  <si>
    <t>REINZ JEFFENZ K OMEGA</t>
  </si>
  <si>
    <t>ROEL F FLAMIANO</t>
  </si>
  <si>
    <t>Alexander M. Go</t>
  </si>
  <si>
    <t>Shiela May M. Noceda</t>
  </si>
  <si>
    <t>JENNY F OASAY</t>
  </si>
  <si>
    <t>Nemesio H Davalos</t>
  </si>
  <si>
    <t>Eleuterio Senador Calijan</t>
  </si>
  <si>
    <t>Illanora Gaspar Infante</t>
  </si>
  <si>
    <t>Toni Marc L Dargantes</t>
  </si>
  <si>
    <t>SHIRLEY SENA SIGUE</t>
  </si>
  <si>
    <t>Rowena De la Vida Prado</t>
  </si>
  <si>
    <t>Azlek Owen B. Tan</t>
  </si>
  <si>
    <t>ROSELLER LLAMOSO CANDELARIO</t>
  </si>
  <si>
    <t>Fe Jennifer V. Yaranon</t>
  </si>
  <si>
    <t>AMALIA GENOVIA ATIENDA</t>
  </si>
  <si>
    <t>KAREN  M. MAGSALIN</t>
  </si>
  <si>
    <t>Cherry Rose Castillo Reyes</t>
  </si>
  <si>
    <t>Marilu Nery Cardenas</t>
  </si>
  <si>
    <t>Restituto Busbos Bautista</t>
  </si>
  <si>
    <t>Gemema Paclibar Robles</t>
  </si>
  <si>
    <t>JENNALYN DEL ROSARIO GUERRA</t>
  </si>
  <si>
    <t>Dennis R Marquez</t>
  </si>
  <si>
    <t>Frencis Panganiban Tiu Rivera</t>
  </si>
  <si>
    <t>JED ARIES FAJARDO CASTRO</t>
  </si>
  <si>
    <t>Irene Sotomango</t>
  </si>
  <si>
    <t>Anthony A. Ferrolino</t>
  </si>
  <si>
    <t>Wee Villaver</t>
  </si>
  <si>
    <t>Edgardo  E.  Dancel</t>
  </si>
  <si>
    <t>Jerona M. Silagan</t>
  </si>
  <si>
    <t>Abner H Labaniego</t>
  </si>
  <si>
    <t>Florentino Rapliza Santos, Jr.</t>
  </si>
  <si>
    <t>Ma Ruby S Carmona</t>
  </si>
  <si>
    <t>Merlyn M. Andalleon</t>
  </si>
  <si>
    <t>Atty. Raymundo Badang Bautista Jr.</t>
  </si>
  <si>
    <t>Glenn A. Lamag</t>
  </si>
  <si>
    <t>JAYVEE BRYAN GALVEZ CARILLO</t>
  </si>
  <si>
    <t>Maximo G. Lomosbog</t>
  </si>
  <si>
    <t xml:space="preserve">ROWENA FLOR  M.  AGLUBAT </t>
  </si>
  <si>
    <t>Gloria L. Duga</t>
  </si>
  <si>
    <t>Melencia M. Novero</t>
  </si>
  <si>
    <t>Tedler Jr. H. Depaynos</t>
  </si>
  <si>
    <t>EDEM D. ABONITALLA</t>
  </si>
  <si>
    <t>Jonalyn Hernandez Villas</t>
  </si>
  <si>
    <t>Vannesa Bianca Garcia</t>
  </si>
  <si>
    <t>Restituto Zapanta Balane</t>
  </si>
  <si>
    <t>Imelda Mariano Guillermo</t>
  </si>
  <si>
    <t>Fermin Baguio Dumayas</t>
  </si>
  <si>
    <t>VICTORIA LAGUNA SUMALDE</t>
  </si>
  <si>
    <t>RENE M FORMACION</t>
  </si>
  <si>
    <t>MARITES BERINGUELA DIONES</t>
  </si>
  <si>
    <t>ALBERT GEÑOSO ADLAON</t>
  </si>
  <si>
    <t>Carmencita J de Guzman</t>
  </si>
  <si>
    <t>ALICIA RENTILLO JUGADO</t>
  </si>
  <si>
    <t>Zammuel Arellano Bernales</t>
  </si>
  <si>
    <t>Gilbert Bo Bolaños</t>
  </si>
  <si>
    <t>PABLITO MARTINES IGNACIO</t>
  </si>
  <si>
    <t>Robert Batulayan Pedrosa</t>
  </si>
  <si>
    <t>FELIPA DE LEON SANTIAGO</t>
  </si>
  <si>
    <t>RONAMAE ROBIN CANOY</t>
  </si>
  <si>
    <t>ELSA IBERO VILLAMOR</t>
  </si>
  <si>
    <t>Antonio Mendoza Bautista</t>
  </si>
  <si>
    <t>Baivy Leen Mendoza Reyes</t>
  </si>
  <si>
    <t>James Escamillas Laredo</t>
  </si>
  <si>
    <t>Cristine Samulde Adigue</t>
  </si>
  <si>
    <t>Louela G. Glema</t>
  </si>
  <si>
    <t>Kathryn  Reyes</t>
  </si>
  <si>
    <t>Zenaida Caperlac Lim - Alfonso</t>
  </si>
  <si>
    <t>Marlon R Cinense</t>
  </si>
  <si>
    <t>MARCELO JUANICH PADILLA</t>
  </si>
  <si>
    <t>Francorival Castanares Lorizo</t>
  </si>
  <si>
    <t>Merlita Mangalonzo Regonda</t>
  </si>
  <si>
    <t>GEMMA CARNECER MONGCAL</t>
  </si>
  <si>
    <t>Geraldine Anievas</t>
  </si>
  <si>
    <t>BRINALYN DE LA CRUZ LONTOC</t>
  </si>
  <si>
    <t>Sarah Jenn R. San Blas</t>
  </si>
  <si>
    <t>Jayson Barbara Florendo</t>
  </si>
  <si>
    <t>Herbie B De Lemios</t>
  </si>
  <si>
    <t>Evelyn Valenzuela Manuguid</t>
  </si>
  <si>
    <t>Ruben M. Ollete</t>
  </si>
  <si>
    <t>Lea Ann M. Gamban</t>
  </si>
  <si>
    <t>Michele Solon Mapalo</t>
  </si>
  <si>
    <t>Marigene De Claro Joaquin</t>
  </si>
  <si>
    <t>Annalyn Bueza Nicol</t>
  </si>
  <si>
    <t>Harvy B. Calabio</t>
  </si>
  <si>
    <t>Alexander L Ulep</t>
  </si>
  <si>
    <t>ROSEMARIE P. VISAYA</t>
  </si>
  <si>
    <t>ROBERT ALBAY BUNDA</t>
  </si>
  <si>
    <t>Eugene Raro Luces</t>
  </si>
  <si>
    <t>Roy Brayan Malalad Malapote</t>
  </si>
  <si>
    <t>Alien Belleza Empaces</t>
  </si>
  <si>
    <t>Homer G. Hubag</t>
  </si>
  <si>
    <t>Karen Christine O. Onanad</t>
  </si>
  <si>
    <t>Meluchi D. Porol</t>
  </si>
  <si>
    <t>Rosalyn Ruiz Ballad</t>
  </si>
  <si>
    <t>Jayson Pascual Galbis</t>
  </si>
  <si>
    <t>Fernando  Federis  Mira</t>
  </si>
  <si>
    <t>joahna grace pates vahey</t>
  </si>
  <si>
    <t>Ryan Bayonas Dultra</t>
  </si>
  <si>
    <t>Jacinto A. Jaca</t>
  </si>
  <si>
    <t>Juneil L. Amarela</t>
  </si>
  <si>
    <t>Lourdes Espartero Guanzon</t>
  </si>
  <si>
    <t>MA. CECILIA REYES POTESTADES</t>
  </si>
  <si>
    <t>Ariel A. Sotomayor</t>
  </si>
  <si>
    <t>Ruby Rina Soco</t>
  </si>
  <si>
    <t>Rowell M Ynzon</t>
  </si>
  <si>
    <t>Rene E Maning</t>
  </si>
  <si>
    <t>Gilbert Cuaresma</t>
  </si>
  <si>
    <t>Norleto Bustamante</t>
  </si>
  <si>
    <t>Cesario R Bahalla</t>
  </si>
  <si>
    <t>SALVACION ANGALA OLEA</t>
  </si>
  <si>
    <t>Allan Rey Del Castillo Hiponia</t>
  </si>
  <si>
    <t>Ma. Hera Geneva Oberio Billena</t>
  </si>
  <si>
    <t>Jaypee Villanueva Patricio</t>
  </si>
  <si>
    <t>Antonio Manlapig Cruz</t>
  </si>
  <si>
    <t>Eliazar Musa Firmalo</t>
  </si>
  <si>
    <t>LORENA C BELECINA</t>
  </si>
  <si>
    <t>Leonides M.  Joson</t>
  </si>
  <si>
    <t>Detcyle Velasco</t>
  </si>
  <si>
    <t>Joemarie Flores Geguiera</t>
  </si>
  <si>
    <t>ARLENE P MEDINA</t>
  </si>
  <si>
    <t>Conrado C De Vera</t>
  </si>
  <si>
    <t>MICHAEL ANDREW QUIROGA FRIAS</t>
  </si>
  <si>
    <t>marites leonen morzo</t>
  </si>
  <si>
    <t>Cyndel Dy Olaguera</t>
  </si>
  <si>
    <t>Carlita Ricorte Tagalogon</t>
  </si>
  <si>
    <t>Merlina Bainco Bonalos</t>
  </si>
  <si>
    <t>ROGELIO PURGATORIO DAÑO</t>
  </si>
  <si>
    <t>Chito de Leon Riego de Dios</t>
  </si>
  <si>
    <t>Christian  Salcedo  Serrano</t>
  </si>
  <si>
    <t>Felicidad Andaya Manaois</t>
  </si>
  <si>
    <t>Yolanda Cabana Estampa</t>
  </si>
  <si>
    <t>Laudemir S. Salac</t>
  </si>
  <si>
    <t>SATUR CALUBANDI PAYANGDO</t>
  </si>
  <si>
    <t>HILARION TACAISAN DUBRIA, JR.</t>
  </si>
  <si>
    <t>Marissa Dela Cruz Pagaduan</t>
  </si>
  <si>
    <t>Warlie Balanay Agbunag</t>
  </si>
  <si>
    <t>Leonardo Bo Bisa</t>
  </si>
  <si>
    <t>Margie Andres Romagos</t>
  </si>
  <si>
    <t>Graceli De Leon</t>
  </si>
  <si>
    <t>BAC Secretariat</t>
  </si>
  <si>
    <t>Elizabeth Fleetwood Ortega</t>
  </si>
  <si>
    <t>Maricel Catubig Untalan</t>
  </si>
  <si>
    <t>Joey Vincent Palao Rabanal - 1</t>
  </si>
  <si>
    <t>EDNA B. LACSON</t>
  </si>
  <si>
    <t>Alejandro E.  Cortez</t>
  </si>
  <si>
    <t>Marichelle Ferrer</t>
  </si>
  <si>
    <t>Edwardford Najera Dagatan</t>
  </si>
  <si>
    <t>ROSARIO GAOAT CALUYA</t>
  </si>
  <si>
    <t>GERARDO DALINOC CLEMENTE</t>
  </si>
  <si>
    <t>May Grace Alvaro Palicdon</t>
  </si>
  <si>
    <t>Suzette Caparros Sarausa</t>
  </si>
  <si>
    <t>Agnes Badilla Martino</t>
  </si>
  <si>
    <t>Shykhen B. Yapac</t>
  </si>
  <si>
    <t>Shiela Narbarte Domondon</t>
  </si>
  <si>
    <t>Reynaldo Sumagaysay Belgira</t>
  </si>
  <si>
    <t>Dr. Peter S. Sobrevega</t>
  </si>
  <si>
    <t>PROCESO M. KADAVERO</t>
  </si>
  <si>
    <t>Diana E Orcine</t>
  </si>
  <si>
    <t>Aldy B Novo</t>
  </si>
  <si>
    <t>ENGR. GREGORIO VALENCIA BALUYUT</t>
  </si>
  <si>
    <t>Naomi Asendiente Bajao</t>
  </si>
  <si>
    <t>JOSE NIRO R NILLASCA</t>
  </si>
  <si>
    <t>Giovanni Y. Tianero</t>
  </si>
  <si>
    <t>ENGR. EPIFANIO CAGANDE BAGHUCAN</t>
  </si>
  <si>
    <t>REGIE BAES AGNO</t>
  </si>
  <si>
    <t>Paulo F. Tagsip</t>
  </si>
  <si>
    <t>Catherine Arguilles Bayron</t>
  </si>
  <si>
    <t>Marking Garcia Cruz</t>
  </si>
  <si>
    <t>Elena Maniwang Santillan</t>
  </si>
  <si>
    <t>Franklin Tubiera Toledana</t>
  </si>
  <si>
    <t>Daniel G Lacar</t>
  </si>
  <si>
    <t>Dennis Tono Ventilacion</t>
  </si>
  <si>
    <t>elizabeth ardiente cabahug</t>
  </si>
  <si>
    <t>JOEL DALMACIA SUMAWANG</t>
  </si>
  <si>
    <t>ZEA DAYANARA S LAVAREZ</t>
  </si>
  <si>
    <t>Roderick Trangia Songahid</t>
  </si>
  <si>
    <t>Zotico L. Pastelero</t>
  </si>
  <si>
    <t>Renel M. Malacapo</t>
  </si>
  <si>
    <t>Leonardo Loñosa Guerrero</t>
  </si>
  <si>
    <t>Charo R Arugay</t>
  </si>
  <si>
    <t>Gary S Velayo</t>
  </si>
  <si>
    <t>Michael M.Peñaflor</t>
  </si>
  <si>
    <t>Mario Jr. Amar Fetalver</t>
  </si>
  <si>
    <t>Melissa Tabal Menisterio</t>
  </si>
  <si>
    <t>Saturnino Napa Magmanlac, Jr.</t>
  </si>
  <si>
    <t>Rizza Villena Dalisay</t>
  </si>
  <si>
    <t>Lilioso Morgia Nunag</t>
  </si>
  <si>
    <t>Ma. Asherine Noscal Atienza</t>
  </si>
  <si>
    <t>Fernando Cabasing Doinog Jr.</t>
  </si>
  <si>
    <t>Florita Cidro Cabato</t>
  </si>
  <si>
    <t>Arlene N Nufuar</t>
  </si>
  <si>
    <t>Rey Acerden Magbanua</t>
  </si>
  <si>
    <t>Jannette L. Fronda</t>
  </si>
  <si>
    <t>Antoinette F. Fernandez</t>
  </si>
  <si>
    <t>Aaron Joshua L. Reyes</t>
  </si>
  <si>
    <t>Eric C Marcelino</t>
  </si>
  <si>
    <t>Estrella Bacaling Abapo</t>
  </si>
  <si>
    <t>Poliver Laurente Tumaneng</t>
  </si>
  <si>
    <t>Reynaldo R Dalogdog</t>
  </si>
  <si>
    <t>Engr. Joel Antonio</t>
  </si>
  <si>
    <t>Hilarry Amigable Singalivo</t>
  </si>
  <si>
    <t>GERMAN M. DELA CRUZ</t>
  </si>
  <si>
    <t>Geminina Callada Fernando</t>
  </si>
  <si>
    <t>Jahra Amiry Narciso</t>
  </si>
  <si>
    <t>Jocelyn M Romero</t>
  </si>
  <si>
    <t>Maria Fe Able Ballescas</t>
  </si>
  <si>
    <t>ERIKA R. DURAN</t>
  </si>
  <si>
    <t>CLARENCE C. MORALES</t>
  </si>
  <si>
    <t>DENNIS MARTILLANO JAMBALOS</t>
  </si>
  <si>
    <t>Vincent A Isip</t>
  </si>
  <si>
    <t>Abegail Cuevas Tigas</t>
  </si>
  <si>
    <t>Ronald D. Elnar</t>
  </si>
  <si>
    <t>HERALDO B. PRESADO</t>
  </si>
  <si>
    <t>Vince Kyle Dizon Timbol</t>
  </si>
  <si>
    <t>Anton Jade Cortezo</t>
  </si>
  <si>
    <t>ROSALINDA TAPIA LONZAGA</t>
  </si>
  <si>
    <t>Anecito  A.  Baculi</t>
  </si>
  <si>
    <t>Odessa Tomogdan Manligoy</t>
  </si>
  <si>
    <t>Ramil L. Caseda</t>
  </si>
  <si>
    <t>Enrique F. Guinhawa</t>
  </si>
  <si>
    <t>ELEODORA B. VERGARA</t>
  </si>
  <si>
    <t>Leticia Deza</t>
  </si>
  <si>
    <t>Raymond Ian Quevedo Conde</t>
  </si>
  <si>
    <t>GERALD AL P MENDOZA</t>
  </si>
  <si>
    <t>Danilo Ragudo Rafanan</t>
  </si>
  <si>
    <t>NIÑO ANTHONY L. MAGNO</t>
  </si>
  <si>
    <t>Eugenia Lizabeth G. Somera</t>
  </si>
  <si>
    <t>Jesus Rey Serna Cavalida</t>
  </si>
  <si>
    <t>Minda Untiveros</t>
  </si>
  <si>
    <t>Mark Eduard Borda Peñas</t>
  </si>
  <si>
    <t>Venus C. Solano</t>
  </si>
  <si>
    <t>Macinole Manalo Domopoy</t>
  </si>
  <si>
    <t>Jerome Duenas Malapit</t>
  </si>
  <si>
    <t>EFREN  CANACO  VELASCO</t>
  </si>
  <si>
    <t>Dorivic G Espina</t>
  </si>
  <si>
    <t>Annabelle De Vera Quiñones</t>
  </si>
  <si>
    <t>Marciano Ilagan Ilagan</t>
  </si>
  <si>
    <t>Jose Ramirez Hainto Jr.</t>
  </si>
  <si>
    <t>DANIEL, JR. ALBERTO BAUTISTA</t>
  </si>
  <si>
    <t>Joan DM Vendiola</t>
  </si>
  <si>
    <t>Norman S. Bautista</t>
  </si>
  <si>
    <t>Mila Rodrin Creencia 2</t>
  </si>
  <si>
    <t>Catherine G. Macanip</t>
  </si>
  <si>
    <t>JANE MACATANGAY LUCE</t>
  </si>
  <si>
    <t>Rosemarie P. Palma</t>
  </si>
  <si>
    <t>ELAINE JUBAILYN MAGARANG MOCSANAT</t>
  </si>
  <si>
    <t>Aileen L Bonghanoy</t>
  </si>
  <si>
    <t>FRANCIS E MAURICIO</t>
  </si>
  <si>
    <t>Alexander G. Diez</t>
  </si>
  <si>
    <t>Dennis Policarpio Garcia</t>
  </si>
  <si>
    <t>PRIMA BASILITA JAMILA</t>
  </si>
  <si>
    <t>ROBERTO S PAGAYUNAN</t>
  </si>
  <si>
    <t>Marilou Doromal Diancin</t>
  </si>
  <si>
    <t>IMELDA MATIBAG ABARINTOS</t>
  </si>
  <si>
    <t>Ferdinand Fadriquelan Falceso</t>
  </si>
  <si>
    <t>Narciso Santiago Mendiola Jr.</t>
  </si>
  <si>
    <t>Aaron Espiritu Tedria</t>
  </si>
  <si>
    <t>ALVIN  L  ESTRADA.</t>
  </si>
  <si>
    <t>David T. Raguindin</t>
  </si>
  <si>
    <t>Henedina F. Monteras</t>
  </si>
  <si>
    <t>Romeo Jr. Malco   Malacas</t>
  </si>
  <si>
    <t>Joven Marasigan Mogol</t>
  </si>
  <si>
    <t>Leticia O. Clemente</t>
  </si>
  <si>
    <t>EVELYN EVIDIENTES GUINTU</t>
  </si>
  <si>
    <t>Michael A. Piodena</t>
  </si>
  <si>
    <t>Eugene Barocan Damasco</t>
  </si>
  <si>
    <t>Pedro D. Battung</t>
  </si>
  <si>
    <t>Rhandy D. Domingo</t>
  </si>
  <si>
    <t>Manuel Bryan Laguda Villarante</t>
  </si>
  <si>
    <t>Florence Joseline Gredona</t>
  </si>
  <si>
    <t>MA. DIVINA  L.  FAMULARCANO</t>
  </si>
  <si>
    <t>Ida Pableo Reforsado</t>
  </si>
  <si>
    <t>NIÑO L. SUSA</t>
  </si>
  <si>
    <t>Raul Tampus Lumbatan</t>
  </si>
  <si>
    <t>Lilio Serviño Porcalla</t>
  </si>
  <si>
    <t>Medilyn Cacabelos Fernandez</t>
  </si>
  <si>
    <t>Juda C. Sediaco</t>
  </si>
  <si>
    <t>Ruth Glifonia Belmes</t>
  </si>
  <si>
    <t>Jeremie Jay A. Ortiz</t>
  </si>
  <si>
    <t>Frazali  Sala Siega</t>
  </si>
  <si>
    <t>RENY ACERO CELESPARA</t>
  </si>
  <si>
    <t>ANGELINA RENDON DAET</t>
  </si>
  <si>
    <t>Dante R. Grande</t>
  </si>
  <si>
    <t>Jacinto Guerta Ederosas</t>
  </si>
  <si>
    <t>lovella venteroso ramos</t>
  </si>
  <si>
    <t>ROLAND MAYOL PEREZ</t>
  </si>
  <si>
    <t>Igmedio Santiago Casticon, CESE</t>
  </si>
  <si>
    <t>Blesilda R. Domagas</t>
  </si>
  <si>
    <t>Prechie Monton Rivera</t>
  </si>
  <si>
    <t>Freddie Remolado Sumangit</t>
  </si>
  <si>
    <t>Krizza Mapalad Payonga</t>
  </si>
  <si>
    <t>ARBEN P. BUSTILLO</t>
  </si>
  <si>
    <t>Nelson Miranda Bautista</t>
  </si>
  <si>
    <t>Arlene Radam Ureta</t>
  </si>
  <si>
    <t>Mohamad Mamental Odin</t>
  </si>
  <si>
    <t>Norman Casiple Ardina</t>
  </si>
  <si>
    <t>Hermie A Villa Jr.</t>
  </si>
  <si>
    <t>Aris A. Arellano</t>
  </si>
  <si>
    <t>KARLEEN R. DESTURA</t>
  </si>
  <si>
    <t>Abdul Rahman Coliling Palao</t>
  </si>
  <si>
    <t>MAY MARQUEZ CASTILLO</t>
  </si>
  <si>
    <t>CANDIDO ALFRED II AZARES BANCORO</t>
  </si>
  <si>
    <t>AGNES RITA DE LOS SANTOS BERNABE</t>
  </si>
  <si>
    <t>Luzvi Delos Santos Dabuet</t>
  </si>
  <si>
    <t>NERISSA MACANAS GELIG</t>
  </si>
  <si>
    <t>Carmela Panganiban Valencia</t>
  </si>
  <si>
    <t>Dinah Joy Simora Alsola</t>
  </si>
  <si>
    <t>Anthony Ladiet Villanueva</t>
  </si>
  <si>
    <t>Mary Noreen A Antonio</t>
  </si>
  <si>
    <t>MOISES D. LABIAN, JR, PhD, CESO VI</t>
  </si>
  <si>
    <t>Reynaldo P.  Restar</t>
  </si>
  <si>
    <t>ARTEMIO P TORDECILLA</t>
  </si>
  <si>
    <t>Jessie Yanga Cabug</t>
  </si>
  <si>
    <t>Engr. Noel Galacgac Coloma</t>
  </si>
  <si>
    <t>Janice Sainz Collado</t>
  </si>
  <si>
    <t>NANCY CABALLERO</t>
  </si>
  <si>
    <t>Nick Longga Bio</t>
  </si>
  <si>
    <t>Amador M. Leaño, Jr.</t>
  </si>
  <si>
    <t>Felicidad Aquino Rarang</t>
  </si>
  <si>
    <t>marcelino jr. viernes ramos</t>
  </si>
  <si>
    <t>Rowena M. Torreflores</t>
  </si>
  <si>
    <t>Mary Rose Cambay Espelita</t>
  </si>
  <si>
    <t>Eileen C Argañoza</t>
  </si>
  <si>
    <t>Kristine Joy Apostol Castillo</t>
  </si>
  <si>
    <t>Jessica Foronda Eriguel</t>
  </si>
  <si>
    <t>Eddie Crisologo</t>
  </si>
  <si>
    <t>Judilyn Tampepe Natabio</t>
  </si>
  <si>
    <t>Ian Lemuel Bandoy Felix</t>
  </si>
  <si>
    <t>GEFFREY BACHAR CATULIN</t>
  </si>
  <si>
    <t>Rowena Heramis Peralta</t>
  </si>
  <si>
    <t>Cherryl Roque Diaz</t>
  </si>
  <si>
    <t>NORMA  S.  PERASOL</t>
  </si>
  <si>
    <t>Miguel Jr. D. Tolentino</t>
  </si>
  <si>
    <t>Arturo Magallon Palencia</t>
  </si>
  <si>
    <t>Wilson Merle Lopez</t>
  </si>
  <si>
    <t>Bienvenido Villaflores Aldaba Jr.</t>
  </si>
  <si>
    <t>Lolita Alvarez</t>
  </si>
  <si>
    <t>JAMES REYES DOLOROSO</t>
  </si>
  <si>
    <t>Ademar R de Castro</t>
  </si>
  <si>
    <t>Shirley Gonzales Carino</t>
  </si>
  <si>
    <t>Christopher Mabulay Rizo</t>
  </si>
  <si>
    <t>Francis Antonio Legaspi Flores</t>
  </si>
  <si>
    <t>Marilyn Lontoc</t>
  </si>
  <si>
    <t>AGNES A. FRANCISCO</t>
  </si>
  <si>
    <t>RIZZA VILLAROSA YADAO</t>
  </si>
  <si>
    <t>Richard Pornorlles Say-a</t>
  </si>
  <si>
    <t>Evelyn Grace A Aperocho</t>
  </si>
  <si>
    <t>Isaac T. Bangcaya</t>
  </si>
  <si>
    <t>Leonard E. Marquez</t>
  </si>
  <si>
    <t>Alvin P. Justo</t>
  </si>
  <si>
    <t>Carmina F. Jimenea</t>
  </si>
  <si>
    <t>Jan Michael Clifford Bugtong</t>
  </si>
  <si>
    <t>MARVIN NAVA ALDE</t>
  </si>
  <si>
    <t>Ana Lorraine Endaya Ellarina</t>
  </si>
  <si>
    <t>Eunice Penaroyo Reginio</t>
  </si>
  <si>
    <t>Judith  D.  Arago</t>
  </si>
  <si>
    <t>Caroline Tubongbanua Bucita</t>
  </si>
  <si>
    <t>Sharon Obias Dancalan</t>
  </si>
  <si>
    <t>Leny Olitoquit Mayor</t>
  </si>
  <si>
    <t>Elisheba Pocong Sabandal</t>
  </si>
  <si>
    <t>Jose Ryan F Galon</t>
  </si>
  <si>
    <t>GONZALO P COCON</t>
  </si>
  <si>
    <t>RODEL PISCO SARMIENTO</t>
  </si>
  <si>
    <t>Cecilio  Arinabo</t>
  </si>
  <si>
    <t>Engr. Roberto M Digay</t>
  </si>
  <si>
    <t>Noel C. Mangkikis</t>
  </si>
  <si>
    <t>Gerardo Jr. V Viloria</t>
  </si>
  <si>
    <t>Erlinda Responso Cadiente</t>
  </si>
  <si>
    <t>RAY-JAY LANZARROTE EMBOLTORIO</t>
  </si>
  <si>
    <t>Acela B Bilbao</t>
  </si>
  <si>
    <t>Edvil Urbiztondo Trillanes</t>
  </si>
  <si>
    <t>MA LOURDES BUNOTAN DANGGA</t>
  </si>
  <si>
    <t>ANTONIO JR FREIRES FECUNDO</t>
  </si>
  <si>
    <t>Carla Francesca M. Guinto</t>
  </si>
  <si>
    <t>Asaria P Cañal</t>
  </si>
  <si>
    <t>ATTY. NICHOLAS S. MARASIGAN</t>
  </si>
  <si>
    <t>Rommel Rekulin Cozo</t>
  </si>
  <si>
    <t>LILIBETH JAVIER DIONEZA</t>
  </si>
  <si>
    <t>Ileen P. Vista</t>
  </si>
  <si>
    <t>DIOMEDES V BONALOS</t>
  </si>
  <si>
    <t>Ma. Gloria Lisette Gay R Espinas</t>
  </si>
  <si>
    <t>JAMES CINO ESTOYA</t>
  </si>
  <si>
    <t>Marieta Manayon Gaer</t>
  </si>
  <si>
    <t>Pat Andrew B. Barrientos</t>
  </si>
  <si>
    <t>Elaine Lacsa Chavez</t>
  </si>
  <si>
    <t>Lea Ordinario Abando</t>
  </si>
  <si>
    <t>Rusell Gattu Lozano</t>
  </si>
  <si>
    <t>MARICHELLE D. FERRER</t>
  </si>
  <si>
    <t>Jerome Bardoquillo Ramirez</t>
  </si>
  <si>
    <t>MARJORIE SAMSON SAN JUAN</t>
  </si>
  <si>
    <t>Dawnavi Lae Valle Lacsado</t>
  </si>
  <si>
    <t>HELEN C. SILVA</t>
  </si>
  <si>
    <t>Deniel Salvador Bentoy Morillo</t>
  </si>
  <si>
    <t>Mario Jickey Castrodes Perang</t>
  </si>
  <si>
    <t>Matildo Montebon Raman</t>
  </si>
  <si>
    <t>Reynante Bayungan Salazar Sr.</t>
  </si>
  <si>
    <t>Carlos Seechung</t>
  </si>
  <si>
    <t>Enrico Pabalan Santos</t>
  </si>
  <si>
    <t>Diana D. Ermita</t>
  </si>
  <si>
    <t>JENNY C. SIGNEY</t>
  </si>
  <si>
    <t>Restituto De Belen Manlapig</t>
  </si>
  <si>
    <t>Reynaldo Carbungco Esteves</t>
  </si>
  <si>
    <t>Mary Dumangeng Baguilat</t>
  </si>
  <si>
    <t>ROXAN KASTINE MENDOZA LUMAPAS</t>
  </si>
  <si>
    <t>PADILLA A. MACAWADIB</t>
  </si>
  <si>
    <t>WILFREDO BRIAN COMING</t>
  </si>
  <si>
    <t>Angelie de la Llave Intico</t>
  </si>
  <si>
    <t>Eddie Richard Roa Lagnada</t>
  </si>
  <si>
    <t>Roldan Andal Sarto</t>
  </si>
  <si>
    <t>Julie Ann Dizon Malig</t>
  </si>
  <si>
    <t>novenia viloria</t>
  </si>
  <si>
    <t>Ruben Fabrigas</t>
  </si>
  <si>
    <t>JIMMY AMBROCIO FAMARANCO</t>
  </si>
  <si>
    <t>Arnoldo A. Ramos Jr.</t>
  </si>
  <si>
    <t>ARIEL BUMAGAT CUENTAS</t>
  </si>
  <si>
    <t>Juliet H. Melo</t>
  </si>
  <si>
    <t>Ma. Emelene P. Coquilla</t>
  </si>
  <si>
    <t>Edwin Tortosa Torres Jr</t>
  </si>
  <si>
    <t>Renzo Iray De Leon</t>
  </si>
  <si>
    <t>WILSON RANADA SALEM</t>
  </si>
  <si>
    <t>Jonas A Tesoro</t>
  </si>
  <si>
    <t>ROMIDA GAYANES NAAG</t>
  </si>
  <si>
    <t>Ofelia Dimabuyo Napalit</t>
  </si>
  <si>
    <t>GERSO SOTOMAYOR GERALLA</t>
  </si>
  <si>
    <t>flor de amor tangonan delacruz</t>
  </si>
  <si>
    <t>Frank John  Bagato  Adornado</t>
  </si>
  <si>
    <t>Teresita Bravo Guiang</t>
  </si>
  <si>
    <t>June   C.  Caberoy</t>
  </si>
  <si>
    <t>FERNANDO ORACION</t>
  </si>
  <si>
    <t>Evelyn G Orcajada</t>
  </si>
  <si>
    <t>Armando Naldoza Diamante</t>
  </si>
  <si>
    <t>Kevin Barcarse Sambrano</t>
  </si>
  <si>
    <t>Princess Carmela Villegas Arcillas</t>
  </si>
  <si>
    <t>Ferdinand B Caberoy</t>
  </si>
  <si>
    <t>Melinda R Abanilla</t>
  </si>
  <si>
    <t>Leah Bueno Apao</t>
  </si>
  <si>
    <t>Kristine Gomez Contreras</t>
  </si>
  <si>
    <t>NECESARIO B. DONAYRE</t>
  </si>
  <si>
    <t>CRISALDO T MERCADER</t>
  </si>
  <si>
    <t>Dan T Tayo</t>
  </si>
  <si>
    <t>JOHN JOHN CASTILLO FAULVE</t>
  </si>
  <si>
    <t>Jhune M Rivera</t>
  </si>
  <si>
    <t>SHEILA ERICA GUARDADO TUBERA</t>
  </si>
  <si>
    <t>LEA C. BARASI</t>
  </si>
  <si>
    <t>Rebecca Marcilla Agbay</t>
  </si>
  <si>
    <t>GINA LACSARON SERVANO</t>
  </si>
  <si>
    <t>GINA GINTO VILLEGAS</t>
  </si>
  <si>
    <t>Judith Nomio</t>
  </si>
  <si>
    <t>Lymarie Alcantara Malicdem</t>
  </si>
  <si>
    <t>JEANNE V. BAUZON</t>
  </si>
  <si>
    <t>Aprile Fornis Ragas</t>
  </si>
  <si>
    <t>ELIZABETH FERNANDO CRUZ</t>
  </si>
  <si>
    <t>Melany Trinanes</t>
  </si>
  <si>
    <t>Joy  G. Pumanes</t>
  </si>
  <si>
    <t>Clarisse Anne De Castro Salenga</t>
  </si>
  <si>
    <t>Florence Joy R. Mallare-Abad</t>
  </si>
  <si>
    <t>EDISON TANALIGA GUTIERREZ</t>
  </si>
  <si>
    <t>JOEY A GARCIA</t>
  </si>
  <si>
    <t>Haziel Joy Adriano</t>
  </si>
  <si>
    <t>ETHEL M. GOH</t>
  </si>
  <si>
    <t>Chelsea Jillian  M.  Abeleda</t>
  </si>
  <si>
    <t>GLENN O. NAGUIT</t>
  </si>
  <si>
    <t>David B. Reyes, Jr.</t>
  </si>
  <si>
    <t>Asther Jean Perfecio Saril</t>
  </si>
  <si>
    <t>Jerry Grace G Danao</t>
  </si>
  <si>
    <t>merly m montenegro</t>
  </si>
  <si>
    <t>Arsenio Macaspac Lasam</t>
  </si>
  <si>
    <t>Rose M Villena</t>
  </si>
  <si>
    <t>Darmo Sumat Ganiban</t>
  </si>
  <si>
    <t>VALENTE MICLAT HALILI</t>
  </si>
  <si>
    <t>Cristina Amparo M Linan</t>
  </si>
  <si>
    <t>Edgar Bumanglag Llapitan</t>
  </si>
  <si>
    <t>JUNREY RATILLA</t>
  </si>
  <si>
    <t>Rico Basilio Macabare</t>
  </si>
  <si>
    <t>Ivan Cruz</t>
  </si>
  <si>
    <t>Fatima M. Ombawa</t>
  </si>
  <si>
    <t>Roselma Catherine Garrote Cantos</t>
  </si>
  <si>
    <t>Janeth Cabalida Vailoces</t>
  </si>
  <si>
    <t>HENRY REYES TURA</t>
  </si>
  <si>
    <t>JASON  TIPAYNO BULASAO</t>
  </si>
  <si>
    <t>LOURDES MOJICA BABE</t>
  </si>
  <si>
    <t>Mr. Sharold B Magallones</t>
  </si>
  <si>
    <t>Claudio  D.  Del Monte</t>
  </si>
  <si>
    <t>EDISON ALPARAN LORIAGA</t>
  </si>
  <si>
    <t>Gerry G Jucar</t>
  </si>
  <si>
    <t>JONEFE GOMEZ OCASLA</t>
  </si>
  <si>
    <t>Jacquiline Labrada Ocasla</t>
  </si>
  <si>
    <t>Isidro Alabag Gumpad</t>
  </si>
  <si>
    <t>Kemela Joy Salas Biñas</t>
  </si>
  <si>
    <t>Christma Joy Pereyra Rodriguez</t>
  </si>
  <si>
    <t>Janely Porras Ansoyon</t>
  </si>
  <si>
    <t>MELANIE GAMILDE GACUSAN</t>
  </si>
  <si>
    <t>Marjune C. Vito</t>
  </si>
  <si>
    <t>Ignacio Subebe</t>
  </si>
  <si>
    <t>JENETTE GERONIMO GADO</t>
  </si>
  <si>
    <t>Dexter S. Gaddi</t>
  </si>
  <si>
    <t>Ruth  R.  Batoon</t>
  </si>
  <si>
    <t>JEZREEL JOHN MANALO MATRE</t>
  </si>
  <si>
    <t>PAUL BANTUGAN CUARTERO</t>
  </si>
  <si>
    <t>Velasco Barcarse Mario</t>
  </si>
  <si>
    <t>Antoinette Pipo</t>
  </si>
  <si>
    <t>Lelanie Alfaro Maturan</t>
  </si>
  <si>
    <t>Rhodeliza De Villa Penarroyo</t>
  </si>
  <si>
    <t>Veronica Vergara De Jesus</t>
  </si>
  <si>
    <t>EDMUND PAPEL SOMORAY</t>
  </si>
  <si>
    <t>COLEEN C LOMOLJO</t>
  </si>
  <si>
    <t>Edwin B Mendoza</t>
  </si>
  <si>
    <t>JURIS CARINA PALOMO LUGO</t>
  </si>
  <si>
    <t>Mary Nor Jontilla Gonzales</t>
  </si>
  <si>
    <t>JUDITH BARRACA UNILONGO</t>
  </si>
  <si>
    <t>Ivylea Cantago</t>
  </si>
  <si>
    <t>Jennita V Garcia</t>
  </si>
  <si>
    <t>LEO ELOGADA DELOS SANTOS</t>
  </si>
  <si>
    <t>ANASTACIO MAMALIAS  BAHINTING</t>
  </si>
  <si>
    <t>Gerard  Masalig Morales</t>
  </si>
  <si>
    <t>Jackson L. Pasamic</t>
  </si>
  <si>
    <t>Blesilda P. Makabali</t>
  </si>
  <si>
    <t>Randy M. Lorin</t>
  </si>
  <si>
    <t>Pablo Villamonte Nicolita</t>
  </si>
  <si>
    <t>Dhom Lozano</t>
  </si>
  <si>
    <t>Aprilla M Camilot</t>
  </si>
  <si>
    <t>Theresa B. Dela Pena</t>
  </si>
  <si>
    <t>Gaudioso Paredes Boiser</t>
  </si>
  <si>
    <t>XYRAINE MAE S. MAGLASANG</t>
  </si>
  <si>
    <t>CLEOFE TUBA Polido</t>
  </si>
  <si>
    <t>ROMEO S BUGNOT</t>
  </si>
  <si>
    <t>Nelly Reiza M De Ocampo</t>
  </si>
  <si>
    <t>Maria Theresa Sta. Cruz Sanz</t>
  </si>
  <si>
    <t>Gonzalo Taguenca Pusta</t>
  </si>
  <si>
    <t>Wanessah Charmie Fadri Fardiquela</t>
  </si>
  <si>
    <t>Verisima Sarigumba Calipusan</t>
  </si>
  <si>
    <t>Janelle Dela Cruz</t>
  </si>
  <si>
    <t>Bienvenido Jr. Eclipse Siguan</t>
  </si>
  <si>
    <t>Maricel Duque Felipe</t>
  </si>
  <si>
    <t>Noli P Apostol</t>
  </si>
  <si>
    <t>Giovanne Tan  Lim</t>
  </si>
  <si>
    <t>EDDIEMAR AGANON</t>
  </si>
  <si>
    <t>AGOSTO BELINO BAOBAOEN</t>
  </si>
  <si>
    <t>Donato Silvano Advincula</t>
  </si>
  <si>
    <t>Jamaica Gruesco Ebrada</t>
  </si>
  <si>
    <t>Godofredo P Madariaga</t>
  </si>
  <si>
    <t>Evelyn Larosa Cainglet</t>
  </si>
  <si>
    <t>Reynold Visaya</t>
  </si>
  <si>
    <t>Teresita L. Vitug</t>
  </si>
  <si>
    <t>Christelyn A. Aguro</t>
  </si>
  <si>
    <t>Angelina R Villanoy</t>
  </si>
  <si>
    <t>Rommel Pacaoncis Masongsong</t>
  </si>
  <si>
    <t>Fernando De Guzman Cruz</t>
  </si>
  <si>
    <t>Mario V. Abad</t>
  </si>
  <si>
    <t>ELIZABETH M MUNDA</t>
  </si>
  <si>
    <t>Wennie S. Angit</t>
  </si>
  <si>
    <t>ABNER VILLAFLOR DE LA CRUZ</t>
  </si>
  <si>
    <t>Josephine Gozon Madlangsakay</t>
  </si>
  <si>
    <t>Magdalina Makiling Bongales</t>
  </si>
  <si>
    <t>Romeo Emmanuel II C. Yarcia</t>
  </si>
  <si>
    <t>Norbert Villagracia Lim</t>
  </si>
  <si>
    <t>Rosel Montaus Miras</t>
  </si>
  <si>
    <t>Kim James Ferolino Sombilon</t>
  </si>
  <si>
    <t>Corazon A. Yamit Abao Yamit</t>
  </si>
  <si>
    <t>RIZALDY L. MENDOZA</t>
  </si>
  <si>
    <t>Kennedy Madronio Urbano</t>
  </si>
  <si>
    <t>john michael horario alvarez</t>
  </si>
  <si>
    <t>Reynaldo J Santiago</t>
  </si>
  <si>
    <t>Noli U. Guiad</t>
  </si>
  <si>
    <t>Edbert Piosca Soliven</t>
  </si>
  <si>
    <t>Gilda Filoteo Lluisma</t>
  </si>
  <si>
    <t>ALLAN P. RAMBANO</t>
  </si>
  <si>
    <t>Frisco Masibay Lahoy</t>
  </si>
  <si>
    <t>Babe Charity S Enerio</t>
  </si>
  <si>
    <t>Mitos Villareal Royo</t>
  </si>
  <si>
    <t>Zenaida M Formentera</t>
  </si>
  <si>
    <t>CHARYMELLE O FORONDA</t>
  </si>
  <si>
    <t>Fernando Boricano Mercene</t>
  </si>
  <si>
    <t>ALLEN  VILLUGA</t>
  </si>
  <si>
    <t>Paterno O Hempeso</t>
  </si>
  <si>
    <t>Mia Marinelle Ramos Labuguen</t>
  </si>
  <si>
    <t>Reniza L Abellera</t>
  </si>
  <si>
    <t>Eleuterio L Blasco</t>
  </si>
  <si>
    <t>Neri Tadeo Beley</t>
  </si>
  <si>
    <t>Ma. Emilyn Sweetie Leonor Protacio</t>
  </si>
  <si>
    <t>Corazon Martinez Fronda</t>
  </si>
  <si>
    <t>Ma. Cecilia  A.  Cedro</t>
  </si>
  <si>
    <t>Baldwin M. Peneyra</t>
  </si>
  <si>
    <t>Lolita Milante Polillo</t>
  </si>
  <si>
    <t>Wilfredo F. Gundran</t>
  </si>
  <si>
    <t>Willbert D Hosme</t>
  </si>
  <si>
    <t>Eugene Tolentino Garcia</t>
  </si>
  <si>
    <t>Irene Tabanda</t>
  </si>
  <si>
    <t>Melanie Alabat Jalover</t>
  </si>
  <si>
    <t>Nim Rod Esguerra Bautista</t>
  </si>
  <si>
    <t>Sweet L. Malima</t>
  </si>
  <si>
    <t>Pascual D. Espinosa IV</t>
  </si>
  <si>
    <t>Wayne Oresco Calibayan</t>
  </si>
  <si>
    <t>VIVIENNE GENEVIEVE CAASI AGUILOS</t>
  </si>
  <si>
    <t>ERVIN PAGE SALANG</t>
  </si>
  <si>
    <t>Emelita  Moya  Gutierrez</t>
  </si>
  <si>
    <t>Claress Montojo</t>
  </si>
  <si>
    <t>Beverly Mae M Brebante</t>
  </si>
  <si>
    <t>Marcus Andico Cupino</t>
  </si>
  <si>
    <t>Marissa M de la Cruz</t>
  </si>
  <si>
    <t>Nelson Baptista Cabarrabang</t>
  </si>
  <si>
    <t>ALFREDO DANDO DELOS SANTOS</t>
  </si>
  <si>
    <t>Amalia Acay Ibarra</t>
  </si>
  <si>
    <t>Edelyn Arasan Soriano</t>
  </si>
  <si>
    <t>Leo Hernandez</t>
  </si>
  <si>
    <t>Reynaldo Manlupig Basco</t>
  </si>
  <si>
    <t>MARIA TERESA HOCSON MIRABUENO</t>
  </si>
  <si>
    <t>GINA R ASULA</t>
  </si>
  <si>
    <t>Engr. Arnulfo F. Tena</t>
  </si>
  <si>
    <t>Oliver L Romero</t>
  </si>
  <si>
    <t>Jenifer C. Alcain</t>
  </si>
  <si>
    <t>Chona M. Halili</t>
  </si>
  <si>
    <t>Samuel Cimeni Penales</t>
  </si>
  <si>
    <t>SALVADOR P ACEBUCHE</t>
  </si>
  <si>
    <t>Paul Brix P Advincula</t>
  </si>
  <si>
    <t>NENA G. BANGGAT</t>
  </si>
  <si>
    <t>Mae Marie E Hernandez</t>
  </si>
  <si>
    <t>Jovito Bron Coderis, Jr.</t>
  </si>
  <si>
    <t>Ricardo Alvarado Sanchez</t>
  </si>
  <si>
    <t>ROSEMARIE M. LAWAS</t>
  </si>
  <si>
    <t>JOCELYN MENOR TOMON</t>
  </si>
  <si>
    <t>Rebecca Enierga Valenzuela</t>
  </si>
  <si>
    <t>Ma.  Erowena V Soriano</t>
  </si>
  <si>
    <t>Juvy  Fugnit  Paulican</t>
  </si>
  <si>
    <t>GIL GABRIEL HIDALGO BORDADO III</t>
  </si>
  <si>
    <t>BENIGNO BAUTISTA SALAZAR</t>
  </si>
  <si>
    <t>Maria Andrea Carvajal Tiong</t>
  </si>
  <si>
    <t>Verlene Layaoen Melendez</t>
  </si>
  <si>
    <t>Ferdinand P. Tumaliuan</t>
  </si>
  <si>
    <t>Honey Sahara Bautista Aleman</t>
  </si>
  <si>
    <t>Cyril D. Valencerina</t>
  </si>
  <si>
    <t>Elena Tayag Villa</t>
  </si>
  <si>
    <t>MARIO ABANTO TALLEDO</t>
  </si>
  <si>
    <t>Eva D. Bañares</t>
  </si>
  <si>
    <t>ESTRELLA E. VINO</t>
  </si>
  <si>
    <t>Hanz Willbur Domondon Quebral</t>
  </si>
  <si>
    <t>LINA COLMINAS ZARCO</t>
  </si>
  <si>
    <t>Ronie Niduaza</t>
  </si>
  <si>
    <t>Flordeliza Aquino Ibaite</t>
  </si>
  <si>
    <t>Edgar S Ocampo</t>
  </si>
  <si>
    <t>Susan Marzan Casilang</t>
  </si>
  <si>
    <t>ABETH JOSE BUENTIPO BARBA</t>
  </si>
  <si>
    <t>Nida B Macam</t>
  </si>
  <si>
    <t>Lucila G De Ocampo</t>
  </si>
  <si>
    <t>Renen P. Cayabyab</t>
  </si>
  <si>
    <t>Eleanor K. Corpuz</t>
  </si>
  <si>
    <t>Roderick Casulla Macinas</t>
  </si>
  <si>
    <t>JOMAR D. OLIVA</t>
  </si>
  <si>
    <t>ROSLYN D RUIZ</t>
  </si>
  <si>
    <t>Leonardo  Carandang  Villanueva</t>
  </si>
  <si>
    <t>Marjorie G Diño</t>
  </si>
  <si>
    <t>VEMIE MONTEJO ESTOLOGA</t>
  </si>
  <si>
    <t>Manuel Dacuma</t>
  </si>
  <si>
    <t xml:space="preserve">JEFFERSON  THOMPSON RODRIGUEZ </t>
  </si>
  <si>
    <t>Anthony Balbuena Lozada</t>
  </si>
  <si>
    <t>Maricel S. Yu</t>
  </si>
  <si>
    <t>Khristel Jade De Ocampo Villanueva</t>
  </si>
  <si>
    <t>Hayria Gonsang Panalindang</t>
  </si>
  <si>
    <t>FRANK FALANGAN FANGED</t>
  </si>
  <si>
    <t>Juliet Corregidor Custodio</t>
  </si>
  <si>
    <t>Jeraldo Cauguiran So</t>
  </si>
  <si>
    <t>Jephonie Ganibe Lumansoy</t>
  </si>
  <si>
    <t>Bonifacio Jr. Tablizo Balazon</t>
  </si>
  <si>
    <t>Edna Leorna  G.  Macapugay</t>
  </si>
  <si>
    <t>Victoria Taguinod Padilla</t>
  </si>
  <si>
    <t>Arnulfo Escultor Salazar Jr.</t>
  </si>
  <si>
    <t>ME-ANN CABOG CENON</t>
  </si>
  <si>
    <t>PAMELA AMOR ACTUB RAMOS</t>
  </si>
  <si>
    <t>Isidro Lopez Tapar</t>
  </si>
  <si>
    <t>Janice Benlot Aglanao</t>
  </si>
  <si>
    <t>Sylvia P. Obera</t>
  </si>
  <si>
    <t>MARIBEL A. CEREZO</t>
  </si>
  <si>
    <t>Joy Melga Buendia Olazo</t>
  </si>
  <si>
    <t>Betty Lou Gornez</t>
  </si>
  <si>
    <t>Imelda D. Baltazar</t>
  </si>
  <si>
    <t>MELANDRES V GUILLERMO</t>
  </si>
  <si>
    <t>JERUFFABELLE ARZADON BAUYON</t>
  </si>
  <si>
    <t>Eduardo A. Sieras</t>
  </si>
  <si>
    <t>Josafat Lindong Caipang</t>
  </si>
  <si>
    <t>LUCIO F. PEQUIRO</t>
  </si>
  <si>
    <t>Norlan M De Las Alas</t>
  </si>
  <si>
    <t>ARNEL USITA URGANAY</t>
  </si>
  <si>
    <t>Eugenio T. Rosete</t>
  </si>
  <si>
    <t>Nellie A Francisco</t>
  </si>
  <si>
    <t>KAREN KAY ANNE RECIDO</t>
  </si>
  <si>
    <t>Julius Asuit Arcinas</t>
  </si>
  <si>
    <t>Ruby Dedace Abriol</t>
  </si>
  <si>
    <t>Marilou A. Gecosala</t>
  </si>
  <si>
    <t>Anna Karla Mae Postor Grindulo</t>
  </si>
  <si>
    <t>Maria Lucia Sanchez</t>
  </si>
  <si>
    <t>MARISSA PANLILIO ORTIZ</t>
  </si>
  <si>
    <t>Teofilo B. Ferolin, Sr.</t>
  </si>
  <si>
    <t>Freddie Oben Tomines</t>
  </si>
  <si>
    <t>Agnes Padro Tampico</t>
  </si>
  <si>
    <t>JOSE URVILLE DON DAGONDON MALIPER</t>
  </si>
  <si>
    <t>Marcos M. Kusain, JD, MPA</t>
  </si>
  <si>
    <t>Victoria R. Del Rosario</t>
  </si>
  <si>
    <t>Naomie Dahunan Zalsos</t>
  </si>
  <si>
    <t>JOSELITO T ARAO</t>
  </si>
  <si>
    <t>Ghona Capecenio Abarca</t>
  </si>
  <si>
    <t>ELMER GATOC SILAO</t>
  </si>
  <si>
    <t>VIRGINIA NENENG MARTIN</t>
  </si>
  <si>
    <t>Armina B. Abad</t>
  </si>
  <si>
    <t>Vilmaflor T Salangsang</t>
  </si>
  <si>
    <t>Mercedita Delantar Villarubia</t>
  </si>
  <si>
    <t>Joshua Abejero Adanza</t>
  </si>
  <si>
    <t>Mario Galila Parreño</t>
  </si>
  <si>
    <t>RAUL PANELO GALI</t>
  </si>
  <si>
    <t>Roderick Vergara</t>
  </si>
  <si>
    <t>DENNIS  TUMULAK  BENAVIDES</t>
  </si>
  <si>
    <t>Laila M Robosa</t>
  </si>
  <si>
    <t>Oscar Jr. E Perey</t>
  </si>
  <si>
    <t>Noel I Yatco</t>
  </si>
  <si>
    <t>Maria Rachel Panti Gonzales</t>
  </si>
  <si>
    <t>Ralph Martin Romero Roque</t>
  </si>
  <si>
    <t>Espectacion Rafols</t>
  </si>
  <si>
    <t>ADA VERONICA C. GRECIA</t>
  </si>
  <si>
    <t>Reynaldo Ninon Manaog</t>
  </si>
  <si>
    <t>Ma. Luisa C Tenedero</t>
  </si>
  <si>
    <t>Marissa G. Quijano</t>
  </si>
  <si>
    <t>Milagros A Agustin</t>
  </si>
  <si>
    <t>Erwin R Suficiencia</t>
  </si>
  <si>
    <t>Rowena A. Bañaga</t>
  </si>
  <si>
    <t>Roda Dolores Franco</t>
  </si>
  <si>
    <t>Imelda D. Calinao</t>
  </si>
  <si>
    <t>Aniano III Bisnar Bacor</t>
  </si>
  <si>
    <t>Teresita O. Jasmin</t>
  </si>
  <si>
    <t>LEIZL RUPIN SALINAS</t>
  </si>
  <si>
    <t>Jocelyn M. Dano</t>
  </si>
  <si>
    <t>LEONILYN MACATANGAY NOCHE</t>
  </si>
  <si>
    <t>abeguel chris acevedo opema</t>
  </si>
  <si>
    <t>Queenzel Dela Cruz Obregon</t>
  </si>
  <si>
    <t>Atilano Alinarte Abilay</t>
  </si>
  <si>
    <t>LENNIE M. MERCADO</t>
  </si>
  <si>
    <t>Marivie R. Manero-Fernandez</t>
  </si>
  <si>
    <t>Lourvelyn Sicat Lacson</t>
  </si>
  <si>
    <t>Ma. Leticia C Salcedo</t>
  </si>
  <si>
    <t>Teresita Maquiling De Veyra</t>
  </si>
  <si>
    <t>Reggie C Placido</t>
  </si>
  <si>
    <t>Aida L Cerudo</t>
  </si>
  <si>
    <t>Gypsy Jennsen Arquio</t>
  </si>
  <si>
    <t>Anjie P. Ytac</t>
  </si>
  <si>
    <t>Roxanne Lagnason Manoos</t>
  </si>
  <si>
    <t>Genalyn M Montenegro</t>
  </si>
  <si>
    <t>Joan V. Cortero</t>
  </si>
  <si>
    <t>George Sacdalan Mendoza</t>
  </si>
  <si>
    <t>Loribel Cagatan</t>
  </si>
  <si>
    <t>Marlon Sibal Danao</t>
  </si>
  <si>
    <t>Mary Minchelle Payabyab Dela Rosa</t>
  </si>
  <si>
    <t>Roberto De Guzman Estrella</t>
  </si>
  <si>
    <t>Aries C. Tang</t>
  </si>
  <si>
    <t>Arnold A. De Castro</t>
  </si>
  <si>
    <t>Engr Renie R Albarina</t>
  </si>
  <si>
    <t>EVELYN ANDRES GAPERO</t>
  </si>
  <si>
    <t>Pedrito B. Abregana</t>
  </si>
  <si>
    <t>FRANCISCO D. GUINAYON</t>
  </si>
  <si>
    <t>Ruby S Cortez</t>
  </si>
  <si>
    <t>Arnel Caparros Portales</t>
  </si>
  <si>
    <t>Adrian Magcamit Aguilar</t>
  </si>
  <si>
    <t>Mark D. Abayan</t>
  </si>
  <si>
    <t>RAYMUND R. MATEO</t>
  </si>
  <si>
    <t>Corazon Parido Plameras</t>
  </si>
  <si>
    <t>Rita Grace Alviar Pascua</t>
  </si>
  <si>
    <t>RAIMUNDA MATUOD LUMANTAS</t>
  </si>
  <si>
    <t>Debielyn B. Santos</t>
  </si>
  <si>
    <t>Silvestre Jr. Villamor</t>
  </si>
  <si>
    <t>RONIEL MAMUAD INIEGO</t>
  </si>
  <si>
    <t>Jeffrey G. Apilado</t>
  </si>
  <si>
    <t>Elmer O Macalma</t>
  </si>
  <si>
    <t>Nelia Marile Castillo</t>
  </si>
  <si>
    <t>Joel Atablanco</t>
  </si>
  <si>
    <t>Doreen A. Lugo</t>
  </si>
  <si>
    <t>Marichu Lachica Villa-real</t>
  </si>
  <si>
    <t>Richard Cammayo Malayao</t>
  </si>
  <si>
    <t>Jelly Mangilaya Laurente</t>
  </si>
  <si>
    <t>Peachy Natividad E. Chatto</t>
  </si>
  <si>
    <t>Edito Suyom Macasait</t>
  </si>
  <si>
    <t>ORLANDO BACLIG NAVAL, SR.</t>
  </si>
  <si>
    <t>CLAUDIO L YUCOT</t>
  </si>
  <si>
    <t>REYNALD V. SAMBRANO</t>
  </si>
  <si>
    <t>Divina Gracia Binuya</t>
  </si>
  <si>
    <t>Katherine B Ramos</t>
  </si>
  <si>
    <t>Heireyne Joy D. Apresto</t>
  </si>
  <si>
    <t>Albert C. Villamor</t>
  </si>
  <si>
    <t>Blessilda May S.  Angeles</t>
  </si>
  <si>
    <t>Melvin B. Arevalo</t>
  </si>
  <si>
    <t>Mark Joton Paguirigan Ramirez</t>
  </si>
  <si>
    <t>Jasmen Joguilon Pablo</t>
  </si>
  <si>
    <t>GILDA BORRE AJERO</t>
  </si>
  <si>
    <t>Amerhussien Basher Panganting</t>
  </si>
  <si>
    <t>Sharon Victor Alita</t>
  </si>
  <si>
    <t>Peter Elvis Limpot Galleto</t>
  </si>
  <si>
    <t>LEMUEL  BON  CAMACHO</t>
  </si>
  <si>
    <t>ESTELA FELINA BUCSIT MORALES</t>
  </si>
  <si>
    <t>crisanta barrocan bono</t>
  </si>
  <si>
    <t>Juanita Maratas Borinaga</t>
  </si>
  <si>
    <t>KATHERINE BOGNOT GOMEZ</t>
  </si>
  <si>
    <t>Gloria P Bonalos</t>
  </si>
  <si>
    <t>Leslie A. Aguilar</t>
  </si>
  <si>
    <t>alfredo samson</t>
  </si>
  <si>
    <t>Beatriz V. Bibat</t>
  </si>
  <si>
    <t>Geremie Noble Tajada</t>
  </si>
  <si>
    <t>Luzviminda Bentulan Muyco</t>
  </si>
  <si>
    <t>Abner  R.  Formento</t>
  </si>
  <si>
    <t>Arnold  M.  Manalo</t>
  </si>
  <si>
    <t>Henjie Albete Ramirez</t>
  </si>
  <si>
    <t>Ma. Chona Roa Fabia</t>
  </si>
  <si>
    <t>Hamza M. Boloto</t>
  </si>
  <si>
    <t>Guillermo Alquiza Preglo</t>
  </si>
  <si>
    <t>DARREN DIONESIO SALMORIN</t>
  </si>
  <si>
    <t>Sheila Riva B. Soriaga</t>
  </si>
  <si>
    <t>MARK XIST ALBERT A. BAELLO</t>
  </si>
  <si>
    <t>Romeo Dumadaug Palmares</t>
  </si>
  <si>
    <t>Marcelino Jr. R. Bebanco</t>
  </si>
  <si>
    <t>JOEL A. ELUMBA</t>
  </si>
  <si>
    <t>Alver P Lamoste, CPA</t>
  </si>
  <si>
    <t>Romeo Avelino Tiri</t>
  </si>
  <si>
    <t>ROY DOLINO BENDANILLO</t>
  </si>
  <si>
    <t>ROSALIN SIMPIA SUROPIA</t>
  </si>
  <si>
    <t>Ebenezer Presentacion Presentacion</t>
  </si>
  <si>
    <t>Vladimir Prado Torres</t>
  </si>
  <si>
    <t>Johnson Urlanda Bonifacio</t>
  </si>
  <si>
    <t>Criszen Baluyot BAUTISTA</t>
  </si>
  <si>
    <t>EVANGELINE ESCALO DURUIN</t>
  </si>
  <si>
    <t>KARENTH PARAYAOAN PALACPAC</t>
  </si>
  <si>
    <t>Erwin L. Tepace</t>
  </si>
  <si>
    <t>JHOANNA RATIFICAR YANGCO</t>
  </si>
  <si>
    <t>Duannie Chico Gonzales</t>
  </si>
  <si>
    <t>JENNIFER ROXAS MERCOLITA</t>
  </si>
  <si>
    <t>MILDRED AUSA DELOS SANTOS</t>
  </si>
  <si>
    <t>ANDREA LACAMBRA FLORA</t>
  </si>
  <si>
    <t>Roxan Yvonne Torrero Dayondon</t>
  </si>
  <si>
    <t>CONSUELO R. GEDUSPAN</t>
  </si>
  <si>
    <t>ANTHONY  ARTHUR D. FERNANDEZ</t>
  </si>
  <si>
    <t>Oscar  Dela Cruz Monsanto</t>
  </si>
  <si>
    <t>Marivic Evea Dugtong</t>
  </si>
  <si>
    <t>EMMA SALTIGA ROSALES</t>
  </si>
  <si>
    <t>Donell Mark  Francisco Baranda</t>
  </si>
  <si>
    <t>Maria Morena Santos</t>
  </si>
  <si>
    <t>Roberto Alngag Chulsi</t>
  </si>
  <si>
    <t>Bernard Sepe Magbanua</t>
  </si>
  <si>
    <t>ORLANDO LIBORES ROMERO</t>
  </si>
  <si>
    <t>Jerald M Sevilla</t>
  </si>
  <si>
    <t>Ronnie B. Besa</t>
  </si>
  <si>
    <t>Jaime B Merquita Jr.</t>
  </si>
  <si>
    <t>Myla Dela Cruz Gepitan</t>
  </si>
  <si>
    <t>GENE T PANGILINAN</t>
  </si>
  <si>
    <t>REINA BLANCA D REMPILLO</t>
  </si>
  <si>
    <t>Mary Ann Corpuz Lazo</t>
  </si>
  <si>
    <t>Loida Payen  Bolilan</t>
  </si>
  <si>
    <t>NIRO ROTE NINIANO</t>
  </si>
  <si>
    <t>Reno C Salazar</t>
  </si>
  <si>
    <t>arnulfo Acong Jalimao</t>
  </si>
  <si>
    <t>Ludivino Jone Egagamao</t>
  </si>
  <si>
    <t>ZALDY RADOMES PACAYRA</t>
  </si>
  <si>
    <t>CRISABETH AVERGONZADO BAUTISTA</t>
  </si>
  <si>
    <t>John David E Bonifacio</t>
  </si>
  <si>
    <t>Mila Creencia</t>
  </si>
  <si>
    <t>Ferlina D. Ventanilla</t>
  </si>
  <si>
    <t>Mercedes Inway Luto</t>
  </si>
  <si>
    <t>MARIVIC CALABIO PRADO</t>
  </si>
  <si>
    <t>Jonathan S Reyes</t>
  </si>
  <si>
    <t>Clarito Blanche Cadiz</t>
  </si>
  <si>
    <t>Nolly Adrian B. Gabule</t>
  </si>
  <si>
    <t>Perlita Senarillos Pabillaran</t>
  </si>
  <si>
    <t>Odessa Barba Tejada</t>
  </si>
  <si>
    <t>Oliver M. Canay</t>
  </si>
  <si>
    <t>Rene Cinco Lauro</t>
  </si>
  <si>
    <t>Gerconia Risane</t>
  </si>
  <si>
    <t>Rolando C. Lumboy</t>
  </si>
  <si>
    <t>Barangay I</t>
  </si>
  <si>
    <t>Gessanth Jay Celestial Silva</t>
  </si>
  <si>
    <t>Barangay Nangkaan Mataasnakahoy</t>
  </si>
  <si>
    <t>Ninez B. Regalado</t>
  </si>
  <si>
    <t>Edwin P. Marcelo</t>
  </si>
  <si>
    <t>Jocelyn D Melandres</t>
  </si>
  <si>
    <t>Alex P. Pana</t>
  </si>
  <si>
    <t>LEONIDA LLURAG VALDEZ</t>
  </si>
  <si>
    <t>Juliet Zinampan Altura</t>
  </si>
  <si>
    <t>Ramon Gamboa Burgos</t>
  </si>
  <si>
    <t>Romy Alusen Bucalen</t>
  </si>
  <si>
    <t>Maricel Iglesia Panistante</t>
  </si>
  <si>
    <t>Meralona R. Palasan</t>
  </si>
  <si>
    <t>Danilo Anggot Taucan</t>
  </si>
  <si>
    <t>Maria Teresa Guerrero</t>
  </si>
  <si>
    <t>Shiedhe Kembuan Bangen</t>
  </si>
  <si>
    <t>Glonita Fresnido Gellido</t>
  </si>
  <si>
    <t>TERESITA FELICIDAD SACAYLE LUCAGBO</t>
  </si>
  <si>
    <t>Angelo Aniar Sabaybay</t>
  </si>
  <si>
    <t>James Frawley Sacueza Savellano</t>
  </si>
  <si>
    <t>Lolita D Solis</t>
  </si>
  <si>
    <t>Antonio Jr. P Ortacio</t>
  </si>
  <si>
    <t>Chamberlain J. Babiera</t>
  </si>
  <si>
    <t>Jesus Maureal Gloria</t>
  </si>
  <si>
    <t>APRIL JOY L. VILLA</t>
  </si>
  <si>
    <t>Laurence Bryan R. Malana</t>
  </si>
  <si>
    <t>Emilson U. Jimenez</t>
  </si>
  <si>
    <t>Algen Grejalvo Rasco</t>
  </si>
  <si>
    <t>Edita Callos Reyes</t>
  </si>
  <si>
    <t>JONATHAN R. HIJADA</t>
  </si>
  <si>
    <t>Rolando F. Zapata</t>
  </si>
  <si>
    <t>IMELDA NAVALTA CANUMAY</t>
  </si>
  <si>
    <t>Brenda R. Morales</t>
  </si>
  <si>
    <t>Ma.Gemma C. Lasala</t>
  </si>
  <si>
    <t>Salem Torres Cervantes</t>
  </si>
  <si>
    <t>Ariel Dela Cruz de Borja</t>
  </si>
  <si>
    <t>kethlyn franco villar</t>
  </si>
  <si>
    <t>ARMANDO E. SUETOS</t>
  </si>
  <si>
    <t>Danna Marie B. Asentista</t>
  </si>
  <si>
    <t>Tiburcio Jr. Tolentino Tabarrejo</t>
  </si>
  <si>
    <t>Pia B Abengoza</t>
  </si>
  <si>
    <t>PEREGRINA ERONICO CAROSUS</t>
  </si>
  <si>
    <t>Cecilia O. Delos Reyes</t>
  </si>
  <si>
    <t>LETICIA PANAGUITON OSORIO</t>
  </si>
  <si>
    <t>Wilfur Jr.  D Herrera</t>
  </si>
  <si>
    <t>Tessie Bocales Lingbanan</t>
  </si>
  <si>
    <t>Diana Cantiga Balunan</t>
  </si>
  <si>
    <t>Melinda Dizon</t>
  </si>
  <si>
    <t>Nilo Morco Soria</t>
  </si>
  <si>
    <t>Jeffin Dick M Vidal</t>
  </si>
  <si>
    <t>Aldino Ariola Bazar</t>
  </si>
  <si>
    <t>JOWEL BAHIA RAMOS</t>
  </si>
  <si>
    <t>DELMA C FERNANDEZ</t>
  </si>
  <si>
    <t>Julieta C Romen</t>
  </si>
  <si>
    <t>ROY F DELA CRUZ</t>
  </si>
  <si>
    <t>ARIZA LOBRES BIHASA</t>
  </si>
  <si>
    <t>Francisco Escape Oliva, Jr.</t>
  </si>
  <si>
    <t>Gerald B Alvaro</t>
  </si>
  <si>
    <t>VANESSA JANE CEBALLOS LIM</t>
  </si>
  <si>
    <t>Levy H. Lagutin Jr.</t>
  </si>
  <si>
    <t>ESTELA  B  TUSE</t>
  </si>
  <si>
    <t>Catherine G. Santos</t>
  </si>
  <si>
    <t>Lenyln M. Pagay</t>
  </si>
  <si>
    <t>Jever Catalan Vargas</t>
  </si>
  <si>
    <t>Christie Magdalene J Pedroza</t>
  </si>
  <si>
    <t>RUEL B. CUBERO</t>
  </si>
  <si>
    <t>Leonilo Lota Laborte</t>
  </si>
  <si>
    <t>Ronnie Gecolea Sierva</t>
  </si>
  <si>
    <t>Arlene A Amen</t>
  </si>
  <si>
    <t>Ivan Nikko Cabrera Tormis</t>
  </si>
  <si>
    <t>Rose Peraan Moncada</t>
  </si>
  <si>
    <t>Ma. Luz Salonga Reyes</t>
  </si>
  <si>
    <t>Florenda Aninon Ricaplaza</t>
  </si>
  <si>
    <t>EDGAR C. OLACO</t>
  </si>
  <si>
    <t>LUZVIMINDA CHAN BAMBICO</t>
  </si>
  <si>
    <t>Francisco A  De Castro</t>
  </si>
  <si>
    <t>Rhodora Banusing Nuñal</t>
  </si>
  <si>
    <t>Francisco Lagdamen</t>
  </si>
  <si>
    <t>ORLANDO FESICO PAN</t>
  </si>
  <si>
    <t>Reynaldo Collado Floria</t>
  </si>
  <si>
    <t>CELSO NASOL</t>
  </si>
  <si>
    <t>BERNARD EVANGELISTA</t>
  </si>
  <si>
    <t>Rogel M De la Cuesta</t>
  </si>
  <si>
    <t>Rosalind Rosal Vasquez</t>
  </si>
  <si>
    <t>BRENDO C. AUDIENCIA</t>
  </si>
  <si>
    <t>Oliver Ted Castillo Orsolino</t>
  </si>
  <si>
    <t>Antonio Lucero Cañada</t>
  </si>
  <si>
    <t>DONNA M PADUA</t>
  </si>
  <si>
    <t>Marilou Lontoc Lascano</t>
  </si>
  <si>
    <t>Ryan Chester G. Fong</t>
  </si>
  <si>
    <t>Maria Divina Concepcion Evangelista</t>
  </si>
  <si>
    <t>Jocelyn Maalat Torda</t>
  </si>
  <si>
    <t>Sheila Mae T.  Toyorada</t>
  </si>
  <si>
    <t>Mercidita Vega</t>
  </si>
  <si>
    <t>MARIELLE SANDRA GAVIOLA</t>
  </si>
  <si>
    <t>Dindo Bautista Gonzales</t>
  </si>
  <si>
    <t>JULIETO DELOAG</t>
  </si>
  <si>
    <t>Cleofe A Amores</t>
  </si>
  <si>
    <t>Francisco III Dacillo Booc</t>
  </si>
  <si>
    <t>BENEDICTA BAYBADO BAUTISTA</t>
  </si>
  <si>
    <t>Sharon Jane Antonis Dacuno</t>
  </si>
  <si>
    <t>Elena Hastia Tunacao</t>
  </si>
  <si>
    <t>ALVIN  PACULA  MAGTANGOB</t>
  </si>
  <si>
    <t>AURORA CUDAL CUARESMA</t>
  </si>
  <si>
    <t>IRENEO L. SORIANO, JR.</t>
  </si>
  <si>
    <t>Ralph Ceasar Balane Vallar</t>
  </si>
  <si>
    <t>Ruby Anne M. Escandor</t>
  </si>
  <si>
    <t>JOSE L MANZANO</t>
  </si>
  <si>
    <t>Sancho Jr.   S.  Oaminal</t>
  </si>
  <si>
    <t>estela altomera edma</t>
  </si>
  <si>
    <t>Glamour Fe Nona Montano</t>
  </si>
  <si>
    <t>Darius Brod Delalamon Pelismino</t>
  </si>
  <si>
    <t>Janelle B Rosete</t>
  </si>
  <si>
    <t>Rosalia Bardaje Crame</t>
  </si>
  <si>
    <t>Cecille Angeline 09171477690 Lipardo</t>
  </si>
  <si>
    <t>Virginia Jacob Cañaveras</t>
  </si>
  <si>
    <t>Vanessa Mendoza Aguilar</t>
  </si>
  <si>
    <t>RUTRIFE  JAPAY MALIGRO</t>
  </si>
  <si>
    <t>HENRY JOHN U. MORADA</t>
  </si>
  <si>
    <t>Jelenita D Limot</t>
  </si>
  <si>
    <t>Agnes Anib Montefolka</t>
  </si>
  <si>
    <t>Leda Penarubia Redoble</t>
  </si>
  <si>
    <t>Celina L. Padchanan</t>
  </si>
  <si>
    <t>Ma. Teresa M Layug</t>
  </si>
  <si>
    <t>ANNALIZA LAUREO GARCIA</t>
  </si>
  <si>
    <t>Chona Terrayo Flores</t>
  </si>
  <si>
    <t>BENIGNO MATEO BONUS</t>
  </si>
  <si>
    <t>Melinda D Deyto</t>
  </si>
  <si>
    <t>Sherlita Laguna Ogaya</t>
  </si>
  <si>
    <t>Agnes Lara Gabriel</t>
  </si>
  <si>
    <t>Noryn B. Bagano</t>
  </si>
  <si>
    <t>JERSON D. REYES</t>
  </si>
  <si>
    <t>BERNARDITHA BOLINA MILLETE</t>
  </si>
  <si>
    <t>Judeth M. Madelo</t>
  </si>
  <si>
    <t>Michelle Supat Magbanua</t>
  </si>
  <si>
    <t>Ermintrude Diaz Gonzales</t>
  </si>
  <si>
    <t>Julie Joy Bayoguing Divinagracia</t>
  </si>
  <si>
    <t>Ronel Mark Tinapao Suarez</t>
  </si>
  <si>
    <t>Debbyriza Taylan Hidalgo</t>
  </si>
  <si>
    <t>Emily B Laigo</t>
  </si>
  <si>
    <t>Virgie N Bibat</t>
  </si>
  <si>
    <t>Jahnson Salidaga Yap</t>
  </si>
  <si>
    <t>Cheryl Escoro Ortiz</t>
  </si>
  <si>
    <t>Mark Jayson R. Carabido</t>
  </si>
  <si>
    <t>Leonora Gentica Lee</t>
  </si>
  <si>
    <t>Jocelyn Diaz Sagang</t>
  </si>
  <si>
    <t>ROMARICO M. CABELLON</t>
  </si>
  <si>
    <t>Romualdo Salud Intia</t>
  </si>
  <si>
    <t>Amador Baldos Diaz</t>
  </si>
  <si>
    <t>Lealyn Baoy Dy</t>
  </si>
  <si>
    <t>ALLEN M FORTES</t>
  </si>
  <si>
    <t>Erick Jeffen Orense Estrella</t>
  </si>
  <si>
    <t>Lolita Fabre Ismael</t>
  </si>
  <si>
    <t>Ray P. Mate</t>
  </si>
  <si>
    <t>David Calayeg Lumaang</t>
  </si>
  <si>
    <t>ZEZIEL N SELGA</t>
  </si>
  <si>
    <t>Oscar L Migar</t>
  </si>
  <si>
    <t>Edsel Sombito Rivera</t>
  </si>
  <si>
    <t>ROGELIO PAGAS LAQUINTA</t>
  </si>
  <si>
    <t>Renejene M. Umali</t>
  </si>
  <si>
    <t>Jessie Povadora Saquilabon</t>
  </si>
  <si>
    <t>Arnel Villamor Esller</t>
  </si>
  <si>
    <t>Eddie V Daday</t>
  </si>
  <si>
    <t>Jennifer Sayson Teo</t>
  </si>
  <si>
    <t>Elmer G Canios</t>
  </si>
  <si>
    <t>Irein E. Landicho</t>
  </si>
  <si>
    <t>Chona D. Derramas</t>
  </si>
  <si>
    <t>Yolanda T Egam</t>
  </si>
  <si>
    <t>Alexander M. Almario</t>
  </si>
  <si>
    <t>emmanuel bendita juanitas</t>
  </si>
  <si>
    <t>PATRICIA TAN MARA</t>
  </si>
  <si>
    <t>MONALINA GEBONGA BAINGAN</t>
  </si>
  <si>
    <t>Dominador N Castañeto Jr.</t>
  </si>
  <si>
    <t>MERCEDES M. ALFUERTE</t>
  </si>
  <si>
    <t>Marissa de Guzman Bautista</t>
  </si>
  <si>
    <t>Letecia Arevalo Peñalosa</t>
  </si>
  <si>
    <t>Ray Anthony Punsalan delos Angeles</t>
  </si>
  <si>
    <t>FELIPE C BETINOL</t>
  </si>
  <si>
    <t>Lucena Macalindong Garma</t>
  </si>
  <si>
    <t>Estrella H Guadalquiver</t>
  </si>
  <si>
    <t>Rolito Gonzaga Daguipa</t>
  </si>
  <si>
    <t>Patricia Kaye Lorio Amate</t>
  </si>
  <si>
    <t>Consuelo Javier Cruz</t>
  </si>
  <si>
    <t>Chari Rose Mozol Apit</t>
  </si>
  <si>
    <t>JENNY BEE HERBILLA RIVERA</t>
  </si>
  <si>
    <t>Eric DM. Magpantay</t>
  </si>
  <si>
    <t>Marc Louis B. Sampilo</t>
  </si>
  <si>
    <t>Christine Joy S. Aclan-Pacalang</t>
  </si>
  <si>
    <t>Edward Doctor Carillo</t>
  </si>
  <si>
    <t>BAC Secretariat     Tel: 634-19-06</t>
  </si>
  <si>
    <t>Jeziel Jordan C. Genita</t>
  </si>
  <si>
    <t>Celestino S Vengco</t>
  </si>
  <si>
    <t>EVANGELINE DESPOJO TIBUNSAY</t>
  </si>
  <si>
    <t>Mar P. Viernes</t>
  </si>
  <si>
    <t>Stanley B Uriarte</t>
  </si>
  <si>
    <t>Nemesio M. Frigillana</t>
  </si>
  <si>
    <t>Rex Lagrada</t>
  </si>
  <si>
    <t>Jane Beth Bolinas Besueña</t>
  </si>
  <si>
    <t>Noel A Sillan</t>
  </si>
  <si>
    <t>Arnold Lucaben Paleng</t>
  </si>
  <si>
    <t>Katherine Liwanag Pangilinan</t>
  </si>
  <si>
    <t>Rosemary R. Juan</t>
  </si>
  <si>
    <t>Anselmo L Sang Tian</t>
  </si>
  <si>
    <t>Nenita Crisostomo Flores</t>
  </si>
  <si>
    <t>Ronald Merin</t>
  </si>
  <si>
    <t>Cirilo Bantilan Salas</t>
  </si>
  <si>
    <t>ARNEL ESQUILONA SUAL</t>
  </si>
  <si>
    <t>Rosalina Ecuan Bayaona</t>
  </si>
  <si>
    <t>Theresa David Buendia</t>
  </si>
  <si>
    <t>Freddie Cañeda Sanchez</t>
  </si>
  <si>
    <t>Sonny Miranda Naing</t>
  </si>
  <si>
    <t>Julius Gali Estacio</t>
  </si>
  <si>
    <t>Fe I Ramos</t>
  </si>
  <si>
    <t>Angel D. Pundao</t>
  </si>
  <si>
    <t>EDLEY  CASAS ABARIDO</t>
  </si>
  <si>
    <t>Nobernia Ondos MAGPATOC</t>
  </si>
  <si>
    <t>ALICIA  A.   ESCAMILLA</t>
  </si>
  <si>
    <t>Aristotle M Calapre</t>
  </si>
  <si>
    <t>RUEL ESTEPA BAUTISTA</t>
  </si>
  <si>
    <t>Lucio Berong Cortes</t>
  </si>
  <si>
    <t>Monica A. Tuguinay</t>
  </si>
  <si>
    <t>Zenaida Aborot Veniegas</t>
  </si>
  <si>
    <t>Cipriano Indencia Osunero</t>
  </si>
  <si>
    <t>Noel Jardeleza</t>
  </si>
  <si>
    <t>Leomar Jepollo Orsolino</t>
  </si>
  <si>
    <t>Renato Motao Sarikit</t>
  </si>
  <si>
    <t>Rhodora Dela Peña Amador</t>
  </si>
  <si>
    <t>REMELITO B ESTROLOGO</t>
  </si>
  <si>
    <t>NIDA ENCISO DEBIL</t>
  </si>
  <si>
    <t>MILAGROS LELINA LIGOT PASCUA</t>
  </si>
  <si>
    <t>rodrigo burio olano</t>
  </si>
  <si>
    <t>Michael E Pamado</t>
  </si>
  <si>
    <t>Gloria Nismal Nismal</t>
  </si>
  <si>
    <t>Juanito Gacanes Domingo</t>
  </si>
  <si>
    <t>Liwayway De Guzman Pangilinan</t>
  </si>
  <si>
    <t>Karla Shane Ramos Patega</t>
  </si>
  <si>
    <t>Emma Fernandez Sotto</t>
  </si>
  <si>
    <t>MARIA LIZA GENADA RULL</t>
  </si>
  <si>
    <t>JOAN PACALIOGA ABEJUELA</t>
  </si>
  <si>
    <t>Rubygene E. Jauculan</t>
  </si>
  <si>
    <t>Mylene Talidong Mancao</t>
  </si>
  <si>
    <t>Nelson Moskito Merculio</t>
  </si>
  <si>
    <t>NENA PALAYPAYON DOTE</t>
  </si>
  <si>
    <t>Katherine Enriquez Perocillo</t>
  </si>
  <si>
    <t>ANGELINA BOCTOT CARTAGENA</t>
  </si>
  <si>
    <t>Gen Anderson Gonzales Tanhueco</t>
  </si>
  <si>
    <t>Levie Agcaoili Talub</t>
  </si>
  <si>
    <t>Edmundo Alonzo Escape</t>
  </si>
  <si>
    <t>RAQUEL DAROY ATIENZAR</t>
  </si>
  <si>
    <t>Aurora M. Monjardin</t>
  </si>
  <si>
    <t>Rosalie Plaza Espinoza</t>
  </si>
  <si>
    <t>Gilbert Dador Solidum</t>
  </si>
  <si>
    <t>Baby Rose C. Bellon</t>
  </si>
  <si>
    <t>Reyvelino Benigno Apongol</t>
  </si>
  <si>
    <t>ROLANDO A SAMSON</t>
  </si>
  <si>
    <t>Marilen L Santiago</t>
  </si>
  <si>
    <t>Miramar (Myra) S De Asis</t>
  </si>
  <si>
    <t>ANNA MYLENE FERRER NATIVIDAD</t>
  </si>
  <si>
    <t>Consorcio Manlangit Ferrer</t>
  </si>
  <si>
    <t>Vicente Hotchkiss Pimentel, III</t>
  </si>
  <si>
    <t>ATTY. CHRISTY JOY S SOLLESTA</t>
  </si>
  <si>
    <t>Michael Imperial Fabros</t>
  </si>
  <si>
    <t>ANDREA A. FACUNLA</t>
  </si>
  <si>
    <t>Eunice Pilapil Narbonita</t>
  </si>
  <si>
    <t>JAYCIBETH TUNAC RAMIREZ</t>
  </si>
  <si>
    <t>Ricardo V Nuñez</t>
  </si>
  <si>
    <t>J0evir S. Gentuli0</t>
  </si>
  <si>
    <t>LITO LAPITAN</t>
  </si>
  <si>
    <t>Rosalinda Baring Ongue</t>
  </si>
  <si>
    <t>Arceli Magtanong Samson</t>
  </si>
  <si>
    <t>Ma. Rita Fallorina Ongbit</t>
  </si>
  <si>
    <t>Karen Rose Uy Flores</t>
  </si>
  <si>
    <t>ENGR. NELSON S. TUMALIUAN</t>
  </si>
  <si>
    <t>Dhalie Dicen Almirol</t>
  </si>
  <si>
    <t>Princess Charmaine Maribujoc Ortiz</t>
  </si>
  <si>
    <t>JOVANE DELA PENA LEGASPI</t>
  </si>
  <si>
    <t>Erlwin S. Andres</t>
  </si>
  <si>
    <t>Danish Jake Oliva Padernal</t>
  </si>
  <si>
    <t>BYRON PAMATONG PATAG</t>
  </si>
  <si>
    <t>LEO B CABUG</t>
  </si>
  <si>
    <t>Jefferson  Enobio</t>
  </si>
  <si>
    <t>Percival Ricafrente Taniegra</t>
  </si>
  <si>
    <t>National Telecommunications Commission</t>
  </si>
  <si>
    <t>Mercedita A. Flores</t>
  </si>
  <si>
    <t>Ivy M. Rillera</t>
  </si>
  <si>
    <t>FELMA M. DEZA</t>
  </si>
  <si>
    <t>Cezar Espinosa</t>
  </si>
  <si>
    <t>LENY ROSALES GALOS</t>
  </si>
  <si>
    <t>Arsenio Villarosa Pedrosa</t>
  </si>
  <si>
    <t>Gorgonio S. Cabañero Jr.</t>
  </si>
  <si>
    <t>Jessie B Gaviola</t>
  </si>
  <si>
    <t>MA.LEONORA DOREGO SIMERA</t>
  </si>
  <si>
    <t>Jovelinda Llena Advincula</t>
  </si>
  <si>
    <t>Susan Habbiling</t>
  </si>
  <si>
    <t>Precila Gutierrez</t>
  </si>
  <si>
    <t>CRISPIN AUSTRIA BATAC</t>
  </si>
  <si>
    <t>Cynthia Obispo Gatan</t>
  </si>
  <si>
    <t>Mitchel E Zambrano</t>
  </si>
  <si>
    <t>IRVIN CAYAON ROLLUQUI</t>
  </si>
  <si>
    <t>HILARIONA  E.  CORONADO</t>
  </si>
  <si>
    <t>Engr. Nashra Dalandangan Misquinan</t>
  </si>
  <si>
    <t>ANALISA FUASO GUILLARDE</t>
  </si>
  <si>
    <t>Berna Degala</t>
  </si>
  <si>
    <t>HERMIE IGNACIO</t>
  </si>
  <si>
    <t>JANICE MAY ARCONES SERASPE</t>
  </si>
  <si>
    <t>ANNA LHE BOLIVAR TULIO</t>
  </si>
  <si>
    <t>Veronica  Ponce  Paradiang</t>
  </si>
  <si>
    <t>EMILIO A. ABRUGENA</t>
  </si>
  <si>
    <t xml:space="preserve">ADELFA  LAGUMBAY COMETA </t>
  </si>
  <si>
    <t>John Paulo Telmo Purino</t>
  </si>
  <si>
    <t>Neil Macaraeg</t>
  </si>
  <si>
    <t>RENANTE B EBRADO</t>
  </si>
  <si>
    <t>Liza Panganiban Defeo</t>
  </si>
  <si>
    <t>Rudy Zamora Soliven</t>
  </si>
  <si>
    <t>Mary Jane Sison Lola</t>
  </si>
  <si>
    <t>RONALDO B. DALUPING</t>
  </si>
  <si>
    <t>Stanley Gayoma Superticioso</t>
  </si>
  <si>
    <t>LAILA FUERTES DANAQUE</t>
  </si>
  <si>
    <t>Jeric Capina Caguite</t>
  </si>
  <si>
    <t>Donnabel Manzano Justo</t>
  </si>
  <si>
    <t>Clark Wendell P Lising</t>
  </si>
  <si>
    <t>LUCKY B. REMIGIO</t>
  </si>
  <si>
    <t>Jasmine Deguito</t>
  </si>
  <si>
    <t>Ma. Cela Genio De Guzman</t>
  </si>
  <si>
    <t>Jeffrey B. Rafil</t>
  </si>
  <si>
    <t>Emy Grace  Saulda  Pineda</t>
  </si>
  <si>
    <t>Amabe Amanse Dela Cruz</t>
  </si>
  <si>
    <t>ROSELYN ANN R. BAGASOL</t>
  </si>
  <si>
    <t>Evelyn Tapayan Bagolor</t>
  </si>
  <si>
    <t>MARIA ELIZA SANTANA SILLESA</t>
  </si>
  <si>
    <t>Vincent Ian Mejia Malijan</t>
  </si>
  <si>
    <t>Penalin valle gapaz</t>
  </si>
  <si>
    <t>MARLON SANALILA MORANTE</t>
  </si>
  <si>
    <t>EDBOY A. KADUSALE</t>
  </si>
  <si>
    <t>Arra Jane Juridico</t>
  </si>
  <si>
    <t>Felizardo A. Go</t>
  </si>
  <si>
    <t>ANNA MARIE L. MUNDIN</t>
  </si>
  <si>
    <t>Ray John Habig</t>
  </si>
  <si>
    <t>Patricio Pilvera Reponte, Jr.</t>
  </si>
  <si>
    <t>Arthur Navia Namia</t>
  </si>
  <si>
    <t>Rubelen Pulvera Pabecca</t>
  </si>
  <si>
    <t>JANICE QUESARA ANCHALES</t>
  </si>
  <si>
    <t>Jordan Ravanzo Sipsip</t>
  </si>
  <si>
    <t>Tolentino Almedilla  Bellezas</t>
  </si>
  <si>
    <t>ANTONIO M GEREMIAS</t>
  </si>
  <si>
    <t>Edwin Sapa Jomao-as</t>
  </si>
  <si>
    <t>Christine Mercado Cainto</t>
  </si>
  <si>
    <t>michelle ramos salamat</t>
  </si>
  <si>
    <t>Michelle Bolo</t>
  </si>
  <si>
    <t>ALBELLO M PADAYHAG</t>
  </si>
  <si>
    <t>Marjorie Rosales</t>
  </si>
  <si>
    <t>Ernesto S. Suplido</t>
  </si>
  <si>
    <t>Robert A Santillano</t>
  </si>
  <si>
    <t>AMY LOVE ONGCOL ENCABO</t>
  </si>
  <si>
    <t>Ricardo M Abaya</t>
  </si>
  <si>
    <t>JOVITA M. ESCASA</t>
  </si>
  <si>
    <t>Anabelle T. Abana</t>
  </si>
  <si>
    <t>Donald De la Cruz Landero</t>
  </si>
  <si>
    <t>Shirney Gaid Larosa</t>
  </si>
  <si>
    <t>Necitas V Perez</t>
  </si>
  <si>
    <t>Joyce Ann Mae L Del Valle</t>
  </si>
  <si>
    <t>Andres R Avorque</t>
  </si>
  <si>
    <t>Mary Rose Feliciano Ubiña</t>
  </si>
  <si>
    <t>Philip P. Caneda</t>
  </si>
  <si>
    <t>GINA D. ABENIO</t>
  </si>
  <si>
    <t>Julius Luis Juanito</t>
  </si>
  <si>
    <t>Zaldy Omisol Dequito</t>
  </si>
  <si>
    <t>Gilbert V. Eleazar</t>
  </si>
  <si>
    <t>RAYMOORE A ARTATES</t>
  </si>
  <si>
    <t>Herbert Bodoso</t>
  </si>
  <si>
    <t>Evelyn G Llamera</t>
  </si>
  <si>
    <t>Teresita de la Torre Obin</t>
  </si>
  <si>
    <t>JOSELITO  T  MAGAHIS</t>
  </si>
  <si>
    <t>Ronalyn  A.  Tiano</t>
  </si>
  <si>
    <t>Henry Bautista</t>
  </si>
  <si>
    <t>LAWRENCE CASTILLO ERCILLA</t>
  </si>
  <si>
    <t>Amelita Marasigan</t>
  </si>
  <si>
    <t>RONNIE PANCHO BELARMINO</t>
  </si>
  <si>
    <t>Zaldy D Almoite</t>
  </si>
  <si>
    <t>Mae Ann Olasiman Cutamora</t>
  </si>
  <si>
    <t>Roger Mappala</t>
  </si>
  <si>
    <t>Georgina Villahermosa Sindo</t>
  </si>
  <si>
    <t>Rey R. Fausto</t>
  </si>
  <si>
    <t>Elna Dingcong</t>
  </si>
  <si>
    <t>Ferdinand So Omaña</t>
  </si>
  <si>
    <t>Myra Barruga Martinez</t>
  </si>
  <si>
    <t>Albert Lee Basuel Cabanting</t>
  </si>
  <si>
    <t>Filma Tulen Maghinay</t>
  </si>
  <si>
    <t>MELCHOR JR. P. DEJANO</t>
  </si>
  <si>
    <t>Mildred Carlos</t>
  </si>
  <si>
    <t>Epelita Mumar Andoy</t>
  </si>
  <si>
    <t>Victor Alberca Asentista</t>
  </si>
  <si>
    <t>Helen Capuyan Suico</t>
  </si>
  <si>
    <t>Janine V. Baldovino</t>
  </si>
  <si>
    <t>LCDR RAYMOND A ROLDAN PN</t>
  </si>
  <si>
    <t>Amancio S. Dongcoy</t>
  </si>
  <si>
    <t>Junel Tantoy Mirontos</t>
  </si>
  <si>
    <t>Abner Escobar Guilambo</t>
  </si>
  <si>
    <t>Gil Banal Salen</t>
  </si>
  <si>
    <t>EMA N RAFIL</t>
  </si>
  <si>
    <t>Rainerio Anisor Laganson</t>
  </si>
  <si>
    <t>Nenita Roña Andres</t>
  </si>
  <si>
    <t>MARIVIC BINAG CORTEZ</t>
  </si>
  <si>
    <t>Iñigo Lesaca Sugalan</t>
  </si>
  <si>
    <t>Katrine Natanauan Martinez</t>
  </si>
  <si>
    <t>Samsudin Salik</t>
  </si>
  <si>
    <t>DOMINADOR VILLEZA FAJARDO</t>
  </si>
  <si>
    <t>John Rey Arota Tomines</t>
  </si>
  <si>
    <t>Irene Bea Faustino</t>
  </si>
  <si>
    <t>Ely Garcillano Ramos</t>
  </si>
  <si>
    <t>ATTY. EDGARDO J. GIL</t>
  </si>
  <si>
    <t>Paulette Paulo Lagbas</t>
  </si>
  <si>
    <t>Miguel Abobo Gorgonio</t>
  </si>
  <si>
    <t>Felton Xenox T. Inting</t>
  </si>
  <si>
    <t>HELEN M PORTE</t>
  </si>
  <si>
    <t>Julito  Sangco  Mandeoya</t>
  </si>
  <si>
    <t>Ma. Elma Solangon Alapre</t>
  </si>
  <si>
    <t>Ma Divina Espinosa Sotto</t>
  </si>
  <si>
    <t>Letecia Misa Marron</t>
  </si>
  <si>
    <t>Gilmore P. Castillo</t>
  </si>
  <si>
    <t>Joanna Rose Medallada</t>
  </si>
  <si>
    <t>Emelita Delos Santos Mapanao</t>
  </si>
  <si>
    <t>Rodney Joy Villagracia Iyoy</t>
  </si>
  <si>
    <t>Lalen Salagubang</t>
  </si>
  <si>
    <t>Alejo Jr. M Nunez</t>
  </si>
  <si>
    <t>ALFRED JR DELOS REYES BUENCAMINO</t>
  </si>
  <si>
    <t>Samuel Tuburlento Miralpes</t>
  </si>
  <si>
    <t>Lorna V. Gayla</t>
  </si>
  <si>
    <t>Nilo Salentes Arrevado</t>
  </si>
  <si>
    <t>Melanie Puyong Narciso</t>
  </si>
  <si>
    <t>Rodelio Aspa Bonto</t>
  </si>
  <si>
    <t>Cesar Sanoy Adapon</t>
  </si>
  <si>
    <t>Joel Guilao Bucao</t>
  </si>
  <si>
    <t>ANGELINA RALLOS SOLIANO</t>
  </si>
  <si>
    <t>Aladin Calesterio Advincula</t>
  </si>
  <si>
    <t>MARIA THERESA LOZADA PITALLANO</t>
  </si>
  <si>
    <t>Apolinario Bucayu Baggay</t>
  </si>
  <si>
    <t>Mary Joy B. Catangui</t>
  </si>
  <si>
    <t>Anna Marie Palay Lagan</t>
  </si>
  <si>
    <t>Nestor Mendina Bufe</t>
  </si>
  <si>
    <t>Danilo B. Solis</t>
  </si>
  <si>
    <t>Maricel Miguel dela Salde</t>
  </si>
  <si>
    <t>HARRY EMMANUEL ADDUN MABBAYAD</t>
  </si>
  <si>
    <t>Marito M Sinadjan</t>
  </si>
  <si>
    <t>Elizabeth Valdemoro Cruz</t>
  </si>
  <si>
    <t>Melchor O Quinto</t>
  </si>
  <si>
    <t>William Fernandez Bendal</t>
  </si>
  <si>
    <t>Engrid Gayacan</t>
  </si>
  <si>
    <t>Manases G. Balauro</t>
  </si>
  <si>
    <t>Rhoda Apalla Viterbo</t>
  </si>
  <si>
    <t>ANASTACIO H. NUÑEZ, III</t>
  </si>
  <si>
    <t>Rogel Canico Lopez</t>
  </si>
  <si>
    <t>Florian Agcopra Labiano</t>
  </si>
  <si>
    <t>Juliene Villanueva Godoy</t>
  </si>
  <si>
    <t>Celeste Ala Berba</t>
  </si>
  <si>
    <t>Evan Irish L Acas</t>
  </si>
  <si>
    <t>MARIVIC MENDOZA MANGANA</t>
  </si>
  <si>
    <t>james berlin H. escaner</t>
  </si>
  <si>
    <t>Sonny Boy Bautista Berbano</t>
  </si>
  <si>
    <t>Hydelize Razote Aguinaldo</t>
  </si>
  <si>
    <t>Noemi San Miguel Yanga</t>
  </si>
  <si>
    <t>Inocencio Cordero Mana-ay</t>
  </si>
  <si>
    <t>DANILO E. DALAGUIT</t>
  </si>
  <si>
    <t>Richard Dean B. Dagpin</t>
  </si>
  <si>
    <t>Timmy Esquillo</t>
  </si>
  <si>
    <t>Allan Dale Hechanova De Asis</t>
  </si>
  <si>
    <t>William Chanco Lising</t>
  </si>
  <si>
    <t>Lorna  M.  Basal</t>
  </si>
  <si>
    <t>CHARLIE RANIT SY</t>
  </si>
  <si>
    <t>Diane Co  Maquilan</t>
  </si>
  <si>
    <t>Restituto Caronan Ramirez</t>
  </si>
  <si>
    <t>Norjanah  M.  Solaiman</t>
  </si>
  <si>
    <t>Eddie Dejino Borbe</t>
  </si>
  <si>
    <t>Jonathan H Loresca</t>
  </si>
  <si>
    <t>Derick D. Arago</t>
  </si>
  <si>
    <t>EMILIANA D. RUSTIA</t>
  </si>
  <si>
    <t>Datu Reymond Laban Russam</t>
  </si>
  <si>
    <t>Flora May Sanchez Cabatana</t>
  </si>
  <si>
    <t>Marissa Catacutan Austria</t>
  </si>
  <si>
    <t>Mariano Querubin Baylon Jr.</t>
  </si>
  <si>
    <t>Roland Cuenca Grijalvo</t>
  </si>
  <si>
    <t>Derrick  Perez  Amparo</t>
  </si>
  <si>
    <t>Rolando V. Miguel</t>
  </si>
  <si>
    <t>Rhoderick T. Haban</t>
  </si>
  <si>
    <t>Jessie Rose Sabindo Pascua</t>
  </si>
  <si>
    <t>Jeanne  Magallanes</t>
  </si>
  <si>
    <t>FEDERICO J. GOTICO III</t>
  </si>
  <si>
    <t>Celso B. Bergado</t>
  </si>
  <si>
    <t>EDNA QUINIO</t>
  </si>
  <si>
    <t>LIBRADO DOMINGO DULAY</t>
  </si>
  <si>
    <t>Marites F Ferrer</t>
  </si>
  <si>
    <t>Teresita T. Lasutan</t>
  </si>
  <si>
    <t>Jenny Lopez Castro</t>
  </si>
  <si>
    <t>Elmo B Canino</t>
  </si>
  <si>
    <t>Charito G Yulo</t>
  </si>
  <si>
    <t>Marck Tristan B. Martin</t>
  </si>
  <si>
    <t>Irish B. Velasco</t>
  </si>
  <si>
    <t>Mark Chester Anthony Gariando Tamayo</t>
  </si>
  <si>
    <t>Evyt Luz Noguerra Penera</t>
  </si>
  <si>
    <t>Mary Grace A Dela Cruz</t>
  </si>
  <si>
    <t>Celine  A.  Velasco</t>
  </si>
  <si>
    <t>LT RAYMOND A ROLDAN PN</t>
  </si>
  <si>
    <t>Mars Z Julian</t>
  </si>
  <si>
    <t>Eric P Cabauatan</t>
  </si>
  <si>
    <t>RONALD S. BARRAMEDA</t>
  </si>
  <si>
    <t>JULIE Q. ECONAR</t>
  </si>
  <si>
    <t>KRISTEL ANNE C. DELIGERO</t>
  </si>
  <si>
    <t>Jose Felix Arsenal Pasay</t>
  </si>
  <si>
    <t>Fernando Rendon Uy</t>
  </si>
  <si>
    <t>ALLAN SABAS BARCENA</t>
  </si>
  <si>
    <t>Mark Alvin Hernandez Gatus</t>
  </si>
  <si>
    <t>Rhienna Jhean Marcial Arsenal</t>
  </si>
  <si>
    <t>PHET E CALINGASAN</t>
  </si>
  <si>
    <t>Ronald C Gonzales</t>
  </si>
  <si>
    <t>Rosemary Terez Gepte</t>
  </si>
  <si>
    <t>Maicel Bandol Esquivel</t>
  </si>
  <si>
    <t>Anthony De Silva Clemente</t>
  </si>
  <si>
    <t>Zandra Canon Pia</t>
  </si>
  <si>
    <t>Warlito Yuson Suan</t>
  </si>
  <si>
    <t>Rizaldy Colon Mercadal</t>
  </si>
  <si>
    <t>Joel Liban Dubla</t>
  </si>
  <si>
    <t>MACAPANTAO REMPUNGAN MANAMBA</t>
  </si>
  <si>
    <t>Alexander Z Plata</t>
  </si>
  <si>
    <t>Ederlyn Zaide Dolosa</t>
  </si>
  <si>
    <t>Glenn Infante Lansangan</t>
  </si>
  <si>
    <t>Marilou G Agustin</t>
  </si>
  <si>
    <t>MANUEL PARAYNO PARAYNO</t>
  </si>
  <si>
    <t>Marfel Nonato Casanova Solidum</t>
  </si>
  <si>
    <t>PAZ COLLANTES CAGUIMBAL</t>
  </si>
  <si>
    <t>GEMMA H TAMAGOS</t>
  </si>
  <si>
    <t>Ma. Macbeth Cabug</t>
  </si>
  <si>
    <t>Armont C Pecina</t>
  </si>
  <si>
    <t>Estanislao V. Cayanan</t>
  </si>
  <si>
    <t>Eduardo M. Doria</t>
  </si>
  <si>
    <t>Gloria Barrameda Dalipe</t>
  </si>
  <si>
    <t>Lorenzo B Gahoy</t>
  </si>
  <si>
    <t>luzviminda lozande</t>
  </si>
  <si>
    <t>RANNIER JOHN C. FAJARDO</t>
  </si>
  <si>
    <t>Roberto P Bautista</t>
  </si>
  <si>
    <t>ELVIS R. CUIZON</t>
  </si>
  <si>
    <t>ANALIZA  ALVAREZ  HORMILLOSA</t>
  </si>
  <si>
    <t>Engr. Fernando B. Sarile Jr.</t>
  </si>
  <si>
    <t>Bernadette Manggol Sapungan</t>
  </si>
  <si>
    <t>ELDA GILO GATO</t>
  </si>
  <si>
    <t>Juluis Jamotillo Cabarubias</t>
  </si>
  <si>
    <t>Emiliano M.  Rabe</t>
  </si>
  <si>
    <t>Ronald Nacario Villanueva</t>
  </si>
  <si>
    <t>Kim Manalo Manuel</t>
  </si>
  <si>
    <t>Lolito Pesidas Campos</t>
  </si>
  <si>
    <t>Rovic G. Pantua</t>
  </si>
  <si>
    <t>JOSE CABASAGAN CHAN</t>
  </si>
  <si>
    <t>Maynard Rosales Bantinan</t>
  </si>
  <si>
    <t>Jigger S. Resuello</t>
  </si>
  <si>
    <t>JAIME G. JALON</t>
  </si>
  <si>
    <t>Mary Anne Garcia Tanazana</t>
  </si>
  <si>
    <t>Jose Alcantara Clarion, Jr.</t>
  </si>
  <si>
    <t>Ciscil B. Montemayor</t>
  </si>
  <si>
    <t>Nina Lacson Magat</t>
  </si>
  <si>
    <t>ROSAVILLA  COLANGCO  BALAZO</t>
  </si>
  <si>
    <t>Norbert C Sotoya II</t>
  </si>
  <si>
    <t>Marevis M. Cabil</t>
  </si>
  <si>
    <t>Ana Marie L. Tayag</t>
  </si>
  <si>
    <t>Aileen Grace Garcia</t>
  </si>
  <si>
    <t>Randy B Moredo</t>
  </si>
  <si>
    <t>Felyn Fille Paco</t>
  </si>
  <si>
    <t>Marilou Tamayo Quitlong</t>
  </si>
  <si>
    <t>Shirley Cua San Luis</t>
  </si>
  <si>
    <t>Jasmin J. Gunio</t>
  </si>
  <si>
    <t>JOEL MERCADO MALIGAYA</t>
  </si>
  <si>
    <t>Fe S. Delostrico</t>
  </si>
  <si>
    <t>FELIX REBUSE BASAS</t>
  </si>
  <si>
    <t>Erma C. Silandron</t>
  </si>
  <si>
    <t>Maricel Vitasa Granada</t>
  </si>
  <si>
    <t>Felicidad  Toquero</t>
  </si>
  <si>
    <t>Jessa S. De Guzman</t>
  </si>
  <si>
    <t>Jocelyn Mosqueda Abaya</t>
  </si>
  <si>
    <t>Ramon Jr. M. Villareal</t>
  </si>
  <si>
    <t>Hilario Yoshy Casem</t>
  </si>
  <si>
    <t>Jules Amiel  Angeles</t>
  </si>
  <si>
    <t>Pamela Sosa</t>
  </si>
  <si>
    <t>Dudeo C. Galeon</t>
  </si>
  <si>
    <t>Constancia  C.  Broñozo</t>
  </si>
  <si>
    <t>Miguel S. Tecson</t>
  </si>
  <si>
    <t>NOE MORALES HERMOSILLA</t>
  </si>
  <si>
    <t>ROMULO JR DISPO</t>
  </si>
  <si>
    <t>Teresita C. Suralta</t>
  </si>
  <si>
    <t>Karen-May Cabrido Matibag</t>
  </si>
  <si>
    <t>Lilibeth Tayab Sabihon</t>
  </si>
  <si>
    <t>Alma Sheril Desierto Buslotan</t>
  </si>
  <si>
    <t>Catherine Olmoguez Ureta</t>
  </si>
  <si>
    <t>Maria Rizza Mae  R.  Mabaquiao</t>
  </si>
  <si>
    <t>Ronalyn Cabungcag</t>
  </si>
  <si>
    <t>Grace S Villaroman</t>
  </si>
  <si>
    <t>Edward B. Romulo</t>
  </si>
  <si>
    <t>Wilma Balinquit Baes</t>
  </si>
  <si>
    <t>Baldomero Jr. R. Ranido</t>
  </si>
  <si>
    <t>Wilfredo Ramos Ognilla</t>
  </si>
  <si>
    <t>DOLORES JAVIER GOTICO</t>
  </si>
  <si>
    <t>Claudine P. Bernardo</t>
  </si>
  <si>
    <t>EDITHA DIZA GAUDIA</t>
  </si>
  <si>
    <t>Tomas II A. Vasquez</t>
  </si>
  <si>
    <t>Abigail Madarang</t>
  </si>
  <si>
    <t>Maribel Castillo Botavara</t>
  </si>
  <si>
    <t>JOAN GRACE SUAZO BOLINGOT</t>
  </si>
  <si>
    <t>EDITHA LOPEZ LARON</t>
  </si>
  <si>
    <t>Orlando R Florida</t>
  </si>
  <si>
    <t>EMILY D UGAY</t>
  </si>
  <si>
    <t>Jonathan J. Bayona</t>
  </si>
  <si>
    <t>Jaynorin S Kalilangan</t>
  </si>
  <si>
    <t>Joel Santos</t>
  </si>
  <si>
    <t>joy ogarte rodriguez</t>
  </si>
  <si>
    <t>Ruel D Hermosa</t>
  </si>
  <si>
    <t>Jun Pajarillo  Vana</t>
  </si>
  <si>
    <t>Cirio Dela Cruz Pangan</t>
  </si>
  <si>
    <t>Levie Pacuri Diaz</t>
  </si>
  <si>
    <t>Ernesto Purulanan Sta Isabel</t>
  </si>
  <si>
    <t>SENEN PEREZ</t>
  </si>
  <si>
    <t>Isedrito Poncardas Cañete</t>
  </si>
  <si>
    <t>Recel Tajaran Icawalo</t>
  </si>
  <si>
    <t>MARY GRACE MENGOTE</t>
  </si>
  <si>
    <t>Jenny Quimpan Puli</t>
  </si>
  <si>
    <t>Roldan Roilo Daquigan</t>
  </si>
  <si>
    <t>ERNESTO AQUINO MANEGDEG</t>
  </si>
  <si>
    <t>Harvin Bob  P. Puno</t>
  </si>
  <si>
    <t>Roel Galang Villanueva</t>
  </si>
  <si>
    <t>JHORRY SANICO CANTA</t>
  </si>
  <si>
    <t xml:space="preserve">LIGAYA   UBALDE      </t>
  </si>
  <si>
    <t>Melanie D. Calajate</t>
  </si>
  <si>
    <t>Mary Loren Remegio Ladrillo</t>
  </si>
  <si>
    <t>Marife Moron Jabon</t>
  </si>
  <si>
    <t>Joanne Hoylar Garcia</t>
  </si>
  <si>
    <t>Jesse II R Initan</t>
  </si>
  <si>
    <t>Enjill Grace R. Subillaga</t>
  </si>
  <si>
    <t>Michael P Arayan</t>
  </si>
  <si>
    <t>Arlene Seno Padilla</t>
  </si>
  <si>
    <t>Ruby E De Jong</t>
  </si>
  <si>
    <t>Ramon Alberto Tancio</t>
  </si>
  <si>
    <t>Allan L Mariano</t>
  </si>
  <si>
    <t>Jaime Dapula Omaña</t>
  </si>
  <si>
    <t>Mavic Azuran</t>
  </si>
  <si>
    <t>NIMFA  C.  LIM</t>
  </si>
  <si>
    <t>Liberty G. Capillo</t>
  </si>
  <si>
    <t>Mae Lyn Garcia Altarejos</t>
  </si>
  <si>
    <t>Gaudencio Quiaoit Orpiano, Jr</t>
  </si>
  <si>
    <t>Sostenes M. Palero</t>
  </si>
  <si>
    <t>Martin A Telan</t>
  </si>
  <si>
    <t>Ma.Kriselda Madriaga Magallano</t>
  </si>
  <si>
    <t>LORNA CAYABYAB RODRIGUEZ</t>
  </si>
  <si>
    <t>Ellenietta H.M.V Gamolo</t>
  </si>
  <si>
    <t>Esmeralda Gonzales Aguilar</t>
  </si>
  <si>
    <t>Aaron Pama Raymundo</t>
  </si>
  <si>
    <t>Julieta Ilama Sabdani</t>
  </si>
  <si>
    <t>Cristina Rico Tabunda</t>
  </si>
  <si>
    <t>Reinelyn T. Cabrera</t>
  </si>
  <si>
    <t>Mila Jihan GIBA</t>
  </si>
  <si>
    <t>LGU TANGUB</t>
  </si>
  <si>
    <t>Ariel E Fangonilo</t>
  </si>
  <si>
    <t>Marvin T. Mosteiro</t>
  </si>
  <si>
    <t>Marilyn Cruz Santella</t>
  </si>
  <si>
    <t>BRUNO  VALMORIA  ORIOQUE</t>
  </si>
  <si>
    <t>Eny Bargo Ferriol</t>
  </si>
  <si>
    <t>Rodrigo V. Custodio</t>
  </si>
  <si>
    <t>Elizabeth Dioco Sunga</t>
  </si>
  <si>
    <t>ARCELYN LEMON ESTOQUIA</t>
  </si>
  <si>
    <t>BENEDICTA B. GAMATERO</t>
  </si>
  <si>
    <t>ERWIN A CRUZADA</t>
  </si>
  <si>
    <t>ULYSIS M. BRANDINO</t>
  </si>
  <si>
    <t>MARJORIE TENORIO GARCIA</t>
  </si>
  <si>
    <t>Julian Orcino Castro</t>
  </si>
  <si>
    <t>Donato Panaligan</t>
  </si>
  <si>
    <t>Arielyn L. Fernandez</t>
  </si>
  <si>
    <t>Rose C Aliño</t>
  </si>
  <si>
    <t>artemio mengote maiso</t>
  </si>
  <si>
    <t>Lynden Alipen Aracyang</t>
  </si>
  <si>
    <t>Diosdado, Jr. Seraspe Bernales</t>
  </si>
  <si>
    <t>Edward Ibbay Salcedo</t>
  </si>
  <si>
    <t>Nolan A Tocao</t>
  </si>
  <si>
    <t>lovely joy dampiganon baungali</t>
  </si>
  <si>
    <t>Eric G Limpin</t>
  </si>
  <si>
    <t>Lubelle B. Lumabas</t>
  </si>
  <si>
    <t>Remegio Lao Saniel</t>
  </si>
  <si>
    <t>Winston Rudio Julio</t>
  </si>
  <si>
    <t>Ma. Glysa Frias Rico</t>
  </si>
  <si>
    <t>Arlaine M De Vera</t>
  </si>
  <si>
    <t>GENERO I BENTAYAO</t>
  </si>
  <si>
    <t>EDGIE SIMON DIMALANTA</t>
  </si>
  <si>
    <t>Artemio Amilagan Archibido</t>
  </si>
  <si>
    <t>Jovel Caboteja Mose</t>
  </si>
  <si>
    <t>Vicente Dellatan Alcoriza</t>
  </si>
  <si>
    <t>Samira Guimba Pagayao</t>
  </si>
  <si>
    <t>Vanesa C. Cutanda</t>
  </si>
  <si>
    <t>Expedito Magluyan Villaruz</t>
  </si>
  <si>
    <t>Carlos L. Taguba</t>
  </si>
  <si>
    <t>Jennyfer Villarias Parame</t>
  </si>
  <si>
    <t>Ma. Teresa I. Samson</t>
  </si>
  <si>
    <t>CHRISTIE ANN GELVEZON ORTIZ</t>
  </si>
  <si>
    <t>CECILIO RAMOS BONIEL</t>
  </si>
  <si>
    <t>ROSARIO BATUTO ROSETE</t>
  </si>
  <si>
    <t>Renzjay Antonio Linsangan</t>
  </si>
  <si>
    <t>Jim Benzon R. Talavera</t>
  </si>
  <si>
    <t>Edwina C. Carriedo</t>
  </si>
  <si>
    <t>Victorio J Jimenez</t>
  </si>
  <si>
    <t>EDGARDO CARFIN MONSERATE</t>
  </si>
  <si>
    <t>Marilou DC Garcia</t>
  </si>
  <si>
    <t>ANNIE JUMAWAN GALLO</t>
  </si>
  <si>
    <t>Corazon O. Julian</t>
  </si>
  <si>
    <t>Benjamin Jr. Bertiz Javellana</t>
  </si>
  <si>
    <t>Emily  Gamba  Dajay</t>
  </si>
  <si>
    <t>GLENN PAULINO GADIA</t>
  </si>
  <si>
    <t>Danilo Rutaquio Almacen</t>
  </si>
  <si>
    <t>Beverlyn P. Peralta</t>
  </si>
  <si>
    <t>Jacquiline Lanutan Tagaca</t>
  </si>
  <si>
    <t>Paolo Crispino Casiñas Sucalit</t>
  </si>
  <si>
    <t>Remy O. Patente</t>
  </si>
  <si>
    <t>EDISON SALANO ORIAS</t>
  </si>
  <si>
    <t>Frances Josephine Mercado Acman</t>
  </si>
  <si>
    <t>Scarlet Sualog Villanueva</t>
  </si>
  <si>
    <t>Andrew Dullin Agunod</t>
  </si>
  <si>
    <t>Maria Teresa Hilado Tapil</t>
  </si>
  <si>
    <t>Beverly O. Sabdani</t>
  </si>
  <si>
    <t>EMELITO M YURO</t>
  </si>
  <si>
    <t>Angela Eduvala Dagsaan</t>
  </si>
  <si>
    <t>ROMELYN GERALLA YEE</t>
  </si>
  <si>
    <t>Rolinda Macario De Julian</t>
  </si>
  <si>
    <t>Georgie  Lamparas Ruelan</t>
  </si>
  <si>
    <t>Hilario Pacardo Gorgonia</t>
  </si>
  <si>
    <t>JESUS S. PUNZALAN</t>
  </si>
  <si>
    <t>Adriel S. Dacara</t>
  </si>
  <si>
    <t>RONIL BALLENER TUPAS</t>
  </si>
  <si>
    <t>Ma. Socorro Lacambra Domingo</t>
  </si>
  <si>
    <t>JOANA E. LUZ</t>
  </si>
  <si>
    <t>Randy Miranda Matibag</t>
  </si>
  <si>
    <t>RYAN  V.  MEDINA</t>
  </si>
  <si>
    <t>Emmanuel Edquilang Gulay</t>
  </si>
  <si>
    <t>Emilia Sales Quilet</t>
  </si>
  <si>
    <t>Marina Ingoy Balicoco</t>
  </si>
  <si>
    <t>Jonathan Ramos Viernes</t>
  </si>
  <si>
    <t>Michelle Baguio Morillo</t>
  </si>
  <si>
    <t>Ruiz Lloyd Gonzales Magcamit</t>
  </si>
  <si>
    <t>CHARLTON LIU UY</t>
  </si>
  <si>
    <t>Marilyn G Efondo</t>
  </si>
  <si>
    <t>LORETO LUCERO LORENZO</t>
  </si>
  <si>
    <t>Marion Acolentaba Balasa</t>
  </si>
  <si>
    <t>Leo F. Ferraris</t>
  </si>
  <si>
    <t>Kristoffer Callangan Mangussad</t>
  </si>
  <si>
    <t>Lilybeth Delfin Langomez</t>
  </si>
  <si>
    <t>Rolando L. Policios</t>
  </si>
  <si>
    <t>Belen Serenio Dela Peña</t>
  </si>
  <si>
    <t>NEOPOLO JR. LACSON MANALOTO</t>
  </si>
  <si>
    <t>Ma. Soledad F Baquiran</t>
  </si>
  <si>
    <t>Glenn L Enesio</t>
  </si>
  <si>
    <t>ARNOLD ESCAREZ BRITON</t>
  </si>
  <si>
    <t>Rogelio Hufano</t>
  </si>
  <si>
    <t>Aubrey Rayman B. San Diego</t>
  </si>
  <si>
    <t>ALBERTO Q. BEREDO</t>
  </si>
  <si>
    <t>Tessie Guerrero Cabaning</t>
  </si>
  <si>
    <t>ANTONIO I ILAGAN</t>
  </si>
  <si>
    <t>Bevs A Santino</t>
  </si>
  <si>
    <t>Leo Alejandro Uy Yap</t>
  </si>
  <si>
    <t>CELSO A. MATIAS</t>
  </si>
  <si>
    <t>Antonio T Chan</t>
  </si>
  <si>
    <t>Rodel  M. Gole</t>
  </si>
  <si>
    <t>Leonilo Delos Santos Requinto</t>
  </si>
  <si>
    <t>Emily Ras Balmes</t>
  </si>
  <si>
    <t>TEEJAY YOSHIUMI JUNATAS SAKUMA</t>
  </si>
  <si>
    <t>Fedencio Pateres Carreon</t>
  </si>
  <si>
    <t>Zaldy C Domalina</t>
  </si>
  <si>
    <t>Noreen Lagahit</t>
  </si>
  <si>
    <t>George D Suayan</t>
  </si>
  <si>
    <t>Sharmaine Joie B. Color</t>
  </si>
  <si>
    <t>Aser G Sadava</t>
  </si>
  <si>
    <t>Nilsen Corpuz Pascua</t>
  </si>
  <si>
    <t>Jose, Jr. Ban-ao Balajo</t>
  </si>
  <si>
    <t>ROMER LOREZCA</t>
  </si>
  <si>
    <t>PERPETUA MACABABBAD ONATE</t>
  </si>
  <si>
    <t>Benito C. Procia</t>
  </si>
  <si>
    <t>Zenaida Sahagun</t>
  </si>
  <si>
    <t>Loida P Gacula</t>
  </si>
  <si>
    <t>Amparo Suelto Dullente</t>
  </si>
  <si>
    <t>Pedro Arguelles</t>
  </si>
  <si>
    <t>Maria Fe Himalalo-an Evasco</t>
  </si>
  <si>
    <t>Evangeline Balan Lorenzo</t>
  </si>
  <si>
    <t>ANGELITA BAUTISTA DAYEGO</t>
  </si>
  <si>
    <t>Melanie Esta Yalung</t>
  </si>
  <si>
    <t>Kris Anne Sudio Agtarap</t>
  </si>
  <si>
    <t>RICHELLE L. MOROTA</t>
  </si>
  <si>
    <t>TEODULO EDER</t>
  </si>
  <si>
    <t>Phibely Pudico Nisperos</t>
  </si>
  <si>
    <t>WALTER L. RUIZO</t>
  </si>
  <si>
    <t>JANE KULPO LIKIGAN</t>
  </si>
  <si>
    <t>Minalin Serbito Valeda</t>
  </si>
  <si>
    <t>Jurupin Piting Pungutan</t>
  </si>
  <si>
    <t>Joann Joy Aseniero Vargas</t>
  </si>
  <si>
    <t>Elaine Bumanghat Immotna</t>
  </si>
  <si>
    <t>Jaynalyn E Amparo</t>
  </si>
  <si>
    <t>Maria Jessica Dulce Gumban</t>
  </si>
  <si>
    <t>JENNIFER  D. SIMBAJON</t>
  </si>
  <si>
    <t>Imelda Movido Villa</t>
  </si>
  <si>
    <t>Vanessa Degolacion Arellano</t>
  </si>
  <si>
    <t>Criselda D. Bacatano</t>
  </si>
  <si>
    <t>Benhar Sulaiman Sali</t>
  </si>
  <si>
    <t>Raymundo Belen Cueto</t>
  </si>
  <si>
    <t>Raul B. Jacela</t>
  </si>
  <si>
    <t>Enrico S Lazaro</t>
  </si>
  <si>
    <t>Maricel Balmes Recio</t>
  </si>
  <si>
    <t>Ramon D Licup</t>
  </si>
  <si>
    <t>CARMELITA C VILLAMOR</t>
  </si>
  <si>
    <t>Benedicto Cawag Bivas</t>
  </si>
  <si>
    <t>RONNEL B GUNDOY</t>
  </si>
  <si>
    <t>Omar Cabauatan</t>
  </si>
  <si>
    <t>Maria Magnaye Matawaran</t>
  </si>
  <si>
    <t>Cario Abag Baskial</t>
  </si>
  <si>
    <t>MARICHEL PUGOSA CORAZA</t>
  </si>
  <si>
    <t>Librado T. Olivares</t>
  </si>
  <si>
    <t>ZOSIMO AQUINO LIBERATO</t>
  </si>
  <si>
    <t>Rex Aquiatan Agustin</t>
  </si>
  <si>
    <t>Arthur Basco Lontoc</t>
  </si>
  <si>
    <t>MARISE A. PONCE</t>
  </si>
  <si>
    <t>Grace G Asis</t>
  </si>
  <si>
    <t>PRUDENCIO EGSAN NOCELO, JR.</t>
  </si>
  <si>
    <t>Mark Joseph Roque Dampil</t>
  </si>
  <si>
    <t>Ramil Custodio Martinez</t>
  </si>
  <si>
    <t>Jessie Bagtang Addag</t>
  </si>
  <si>
    <t>Wencislao Jr. Calimlim Cagalitan</t>
  </si>
  <si>
    <t>ALFREDO AGAD GUITARTE</t>
  </si>
  <si>
    <t>Violeta O Garcia</t>
  </si>
  <si>
    <t>Daryl Baptista Daodaoang</t>
  </si>
  <si>
    <t>RENALYN BOLIVAR PARREÑO</t>
  </si>
  <si>
    <t>Elnora Toledo Lariza</t>
  </si>
  <si>
    <t>EDGAR L. MARTINEZ</t>
  </si>
  <si>
    <t>Kris Millarez Lacanienta</t>
  </si>
  <si>
    <t>ODESSA T. MANLIGOY</t>
  </si>
  <si>
    <t>Guillermo Israel Modino</t>
  </si>
  <si>
    <t>Victor Ariong Aglipay</t>
  </si>
  <si>
    <t>Jean Casalmer Salarda</t>
  </si>
  <si>
    <t>ADRIAN A AÑO</t>
  </si>
  <si>
    <t>Melvin Ortega Cejas</t>
  </si>
  <si>
    <t>ELLEN ECHIPARE GONZALES</t>
  </si>
  <si>
    <t>MARIE JOY A. ALVIAR</t>
  </si>
  <si>
    <t>Paul Francis Sarmiento Tomimbang</t>
  </si>
  <si>
    <t>FRANCES SHANELLE GENERATO SALINAS</t>
  </si>
  <si>
    <t>ALEXANDER VENTERO PIDOR</t>
  </si>
  <si>
    <t>Norman B. Licong</t>
  </si>
  <si>
    <t>Charito Tinio Mertens</t>
  </si>
  <si>
    <t>Ma. Felicidad Rebong Payba</t>
  </si>
  <si>
    <t>Rizalyn Sara Bantug</t>
  </si>
  <si>
    <t>Rene Sarmiento</t>
  </si>
  <si>
    <t>Jose arban dacoseo</t>
  </si>
  <si>
    <t>JASMIN R LACUNA</t>
  </si>
  <si>
    <t>Lara Mae Dente Pares</t>
  </si>
  <si>
    <t>Angela H. Rivera</t>
  </si>
  <si>
    <t>Regina S. Valdez</t>
  </si>
  <si>
    <t>PAOLO ANGELO ATIENZA MESINA</t>
  </si>
  <si>
    <t>Clarivel Ordonia Seguritan</t>
  </si>
  <si>
    <t>Alicia  Fabro Vinluan</t>
  </si>
  <si>
    <t>Beatriz Dumapay Pascual</t>
  </si>
  <si>
    <t>Elizabeth M Dayot</t>
  </si>
  <si>
    <t>LEO GAMMAD LIGGAYU</t>
  </si>
  <si>
    <t>Maria Juliana A. Toribio</t>
  </si>
  <si>
    <t>GHECEL CATIBOS MAGDALES</t>
  </si>
  <si>
    <t>Mar Giovanni L. Cabingas</t>
  </si>
  <si>
    <t>Johna Paula Campilan Manzano</t>
  </si>
  <si>
    <t>TERESA M. ARCONCIL</t>
  </si>
  <si>
    <t>JOSEPH ALLEN LACSON SIMON</t>
  </si>
  <si>
    <t>Timoteo Jr. Palahang Calunod</t>
  </si>
  <si>
    <t>JOEY INDINO</t>
  </si>
  <si>
    <t>Ely Cabusbusan Cabugsa</t>
  </si>
  <si>
    <t>ALICIA NATIVIDAD MANAIG</t>
  </si>
  <si>
    <t>LOURDES A. BUENAFE</t>
  </si>
  <si>
    <t>Kenneth Simbajon Gabisay</t>
  </si>
  <si>
    <t>MARY ANN SARTORIO BAENA</t>
  </si>
  <si>
    <t>JOHN NACINO MOSELINA</t>
  </si>
  <si>
    <t>Roweiji F. Bautista</t>
  </si>
  <si>
    <t>Beverly E Calud</t>
  </si>
  <si>
    <t>RAL P CORNEJO</t>
  </si>
  <si>
    <t>Elsa M. Martinez</t>
  </si>
  <si>
    <t>Richard Angel M. Arboleda</t>
  </si>
  <si>
    <t>Genicar Nieva Barotilla</t>
  </si>
  <si>
    <t>Alison V. Senobio</t>
  </si>
  <si>
    <t>Bernardo T. Macauyam</t>
  </si>
  <si>
    <t>Gemma Ladera Asi</t>
  </si>
  <si>
    <t>JUBERT  D.  TUTOR</t>
  </si>
  <si>
    <t>Rosana Bagalanon Butalid</t>
  </si>
  <si>
    <t>Joey Vincent P. Rabanal</t>
  </si>
  <si>
    <t>Christian Macasaquit Colindres</t>
  </si>
  <si>
    <t>Ma. Gianelli A Ecuacion</t>
  </si>
  <si>
    <t>Noel Donell Ynion Narida</t>
  </si>
  <si>
    <t>Evelyn C. Padayhag</t>
  </si>
  <si>
    <t>Maria Celeste R. Dela Cruz</t>
  </si>
  <si>
    <t>Joannarie V. Bantolo</t>
  </si>
  <si>
    <t>Marito  Verzosa  Catorce</t>
  </si>
  <si>
    <t>Benigno C Austero</t>
  </si>
  <si>
    <t>Jess Angelo Gabriel Usquisa</t>
  </si>
  <si>
    <t>Rowel Galo Panilawon</t>
  </si>
  <si>
    <t>Sylvia Maquilan Caratao</t>
  </si>
  <si>
    <t>Melchor Talosig Halog</t>
  </si>
  <si>
    <t>Marino Merano Silagan Jr.</t>
  </si>
  <si>
    <t>Mary Jean Garrido Demonteverde</t>
  </si>
  <si>
    <t>Ma. Yvonne  Domanais/ C Shalie  Coralde</t>
  </si>
  <si>
    <t>Brenjune Bliss Gerong Calapre</t>
  </si>
  <si>
    <t>Roberto Maraño Balde</t>
  </si>
  <si>
    <t>Shiela Cueto Zulueta</t>
  </si>
  <si>
    <t>Hercules Coyoca Castro</t>
  </si>
  <si>
    <t>Rommel S Santos</t>
  </si>
  <si>
    <t>Marvin Francis U Apale</t>
  </si>
  <si>
    <t>RHODORA VENTURA CABAL</t>
  </si>
  <si>
    <t>roy panopio pole</t>
  </si>
  <si>
    <t>ATTY. MARIA JONIKA GONZAGA ROMANO</t>
  </si>
  <si>
    <t>CHRISTOPHER CATALINO REBUJIO</t>
  </si>
  <si>
    <t>Glenn Anthony M. San Mateo</t>
  </si>
  <si>
    <t>JUNE DE LEON ESPINOSA</t>
  </si>
  <si>
    <t>Eugene Paul Gundaya</t>
  </si>
  <si>
    <t>Mary Christine Joy Rendon</t>
  </si>
  <si>
    <t>Giena G. Ramos</t>
  </si>
  <si>
    <t>Joan  Israel  Beo</t>
  </si>
  <si>
    <t>Beberly A Española</t>
  </si>
  <si>
    <t>Ma. Theresa D. Jamero</t>
  </si>
  <si>
    <t>Mary Jane B Chiyawan</t>
  </si>
  <si>
    <t>Leonito  De Leon Villanueva</t>
  </si>
  <si>
    <t>jennifer empleo rondina</t>
  </si>
  <si>
    <t>Salome D. Diel</t>
  </si>
  <si>
    <t>Marisa P Las</t>
  </si>
  <si>
    <t>Joma Lyn Payopilin Octaviano</t>
  </si>
  <si>
    <t>Nimfa Mendoza Derada</t>
  </si>
  <si>
    <t>Joybeth Delfin Sabino</t>
  </si>
  <si>
    <t>AGUSTIN JR. DEMETERIO PEDRANO</t>
  </si>
  <si>
    <t>MARY GRACE YAMBOK GUAY</t>
  </si>
  <si>
    <t>Ernesto E Tañada</t>
  </si>
  <si>
    <t>Manuel M. Andes</t>
  </si>
  <si>
    <t>Alger F Lamprea</t>
  </si>
  <si>
    <t>Herma Taghap Paragsa</t>
  </si>
  <si>
    <t>RICHELIZA JEAN C. CORDERO</t>
  </si>
  <si>
    <t>Tomas Posecion</t>
  </si>
  <si>
    <t>Marcelina Jumawan Oguis</t>
  </si>
  <si>
    <t>Aaron John Reyes Liwag</t>
  </si>
  <si>
    <t>Cynthia Faustino Delgado</t>
  </si>
  <si>
    <t>Marites Cueto Borbon</t>
  </si>
  <si>
    <t>Florinda Z Babilonia</t>
  </si>
  <si>
    <t>Charles  C. Sokoken</t>
  </si>
  <si>
    <t>Ellyne Marie Kee Aligarbes</t>
  </si>
  <si>
    <t>SETTE HANNAH D. DAKULA</t>
  </si>
  <si>
    <t>JOEGIE BENEMERITO JIMENEZ</t>
  </si>
  <si>
    <t>Rebecca Cequiña Remulta</t>
  </si>
  <si>
    <t>MONINA C.  MONTERMOSO</t>
  </si>
  <si>
    <t>ROSITA  ESTABELLO</t>
  </si>
  <si>
    <t>Lauren Christine B. La'O</t>
  </si>
  <si>
    <t>ZORAIDA CORTINA COLLERA</t>
  </si>
  <si>
    <t>Joan Oliver</t>
  </si>
  <si>
    <t>BAC Secretariat II</t>
  </si>
  <si>
    <t>Sheila Paraiso Estrellanes</t>
  </si>
  <si>
    <t>LODEVICO CODAL LUIS</t>
  </si>
  <si>
    <t>Fritzie Mae Vasquez Valenzuela</t>
  </si>
  <si>
    <t>Shoraida Titiban Renabor</t>
  </si>
  <si>
    <t>JohnEryl Ramos Templonuevo</t>
  </si>
  <si>
    <t>RONALD I INSON</t>
  </si>
  <si>
    <t>Rosanna Maratas Siega</t>
  </si>
  <si>
    <t>Cecile M. Dicen</t>
  </si>
  <si>
    <t>Jaime Estrera Dagsaan</t>
  </si>
  <si>
    <t>Alberto Amabao Carillas</t>
  </si>
  <si>
    <t>Rey Christian Pasana Nuñez</t>
  </si>
  <si>
    <t>Rhonalyn Santos Rivera</t>
  </si>
  <si>
    <t>Fe  Costelo Lutes</t>
  </si>
  <si>
    <t>Ryan Ibrado Bonghanoy</t>
  </si>
  <si>
    <t>Rryam Ansing Jaralve</t>
  </si>
  <si>
    <t>Leah S Osorio</t>
  </si>
  <si>
    <t>Joseph Dennis Albarracin Adlawan</t>
  </si>
  <si>
    <t>PILAR RABINO VITTO</t>
  </si>
  <si>
    <t>Doris M. Malayao</t>
  </si>
  <si>
    <t>Aileene T Dagos</t>
  </si>
  <si>
    <t>Danny Clamor Flores</t>
  </si>
  <si>
    <t>Epifania Sedan Belmis</t>
  </si>
  <si>
    <t>Jerry Binwag Rivera</t>
  </si>
  <si>
    <t>ROGER ANGGOL BEN</t>
  </si>
  <si>
    <t>Desiderio Estillore Gudia Jr.</t>
  </si>
  <si>
    <t>Gloria Española Amar</t>
  </si>
  <si>
    <t>FREDERICK ORTEZA DELA CRUZ</t>
  </si>
  <si>
    <t>Joyce Daffon Perey</t>
  </si>
  <si>
    <t>MILAGROS BAGASIN</t>
  </si>
  <si>
    <t>Gaudencia Averion Buensuceso</t>
  </si>
  <si>
    <t>SAMUEL GUMPAL LLANES</t>
  </si>
  <si>
    <t>Constante C. Sabalburo</t>
  </si>
  <si>
    <t>Lito I Balarbar</t>
  </si>
  <si>
    <t>RITO Lumahan Eloc</t>
  </si>
  <si>
    <t>LIBRADO M LAWIG</t>
  </si>
  <si>
    <t>NOEL RENDON BUSCA</t>
  </si>
  <si>
    <t>Danilo D. Pazcoguin</t>
  </si>
  <si>
    <t>ENGR. EDUARDO SALVADOR MANGOBA JR.</t>
  </si>
  <si>
    <t>Venn Wei Sipalay   Añonuevo</t>
  </si>
  <si>
    <t>Atty. Cipriano U. Asilo</t>
  </si>
  <si>
    <t>JOCELYN C SANTOCELDES</t>
  </si>
  <si>
    <t>KAREEN A. ORDOÑA</t>
  </si>
  <si>
    <t>Riavida Macalolot Soriaga</t>
  </si>
  <si>
    <t>Ruel Cole Armodia</t>
  </si>
  <si>
    <t>Bernadette Llacer Belleza</t>
  </si>
  <si>
    <t>Teogenes Taray Tambis</t>
  </si>
  <si>
    <t>ANGELINA CAPISTRANO RIGOS</t>
  </si>
  <si>
    <t>SCHERJAN MOOSA C. IBRAHIM</t>
  </si>
  <si>
    <t>Alfonso Pagaduan Mendoza</t>
  </si>
  <si>
    <t>Felicilda F Sano</t>
  </si>
  <si>
    <t>Marilyn T Inong</t>
  </si>
  <si>
    <t>Alvin Putulan Aceret</t>
  </si>
  <si>
    <t>Mary Grace B. Dulnuan</t>
  </si>
  <si>
    <t>Nedencio T. Macles and Rebecca M. Gadayan</t>
  </si>
  <si>
    <t>George Anthony V Peña</t>
  </si>
  <si>
    <t>Candelaria Ubana Estremos</t>
  </si>
  <si>
    <t>RANDE M. POLO</t>
  </si>
  <si>
    <t>Erlinda S Pesado</t>
  </si>
  <si>
    <t>Jerrico A. Benzon</t>
  </si>
  <si>
    <t>Margie P Alanunay</t>
  </si>
  <si>
    <t>Herma Aratan Seruela</t>
  </si>
  <si>
    <t>Rose Claide I. Abe</t>
  </si>
  <si>
    <t>Romer Pacpaco Regucera</t>
  </si>
  <si>
    <t>Simeon Dassun</t>
  </si>
  <si>
    <t>Maritez Galban</t>
  </si>
  <si>
    <t>Wilbert Eusebio Jose</t>
  </si>
  <si>
    <t>Noli T. Gandamon</t>
  </si>
  <si>
    <t>MOHAMMAD MAPANDI MACAANGCOS</t>
  </si>
  <si>
    <t>Noel V. Alcain</t>
  </si>
  <si>
    <t>MA. THERESA REMOROFF BARROSO</t>
  </si>
  <si>
    <t>Eliza Rendon Alamo</t>
  </si>
  <si>
    <t>FRANCIS ELLORIMO</t>
  </si>
  <si>
    <t>VICTORIO FAJARDO CORPORAL</t>
  </si>
  <si>
    <t>WILSON NARVAIS CABRALES</t>
  </si>
  <si>
    <t>Brendhel P. Awa-ao</t>
  </si>
  <si>
    <t>ROSE LILIA Balonzo Biado</t>
  </si>
  <si>
    <t>Ma. Celyn Noya Padpad</t>
  </si>
  <si>
    <t>Divina Agaser Miguel</t>
  </si>
  <si>
    <t>SEBASTIAN AMODIA SALCEDO</t>
  </si>
  <si>
    <t>elma supas almario</t>
  </si>
  <si>
    <t>Vincent Murillo Caang</t>
  </si>
  <si>
    <t>Ruel Robina Ragas</t>
  </si>
  <si>
    <t>MARIA ARRA PAZ G. SELLAR</t>
  </si>
  <si>
    <t>Helen Grace P. Hilario</t>
  </si>
  <si>
    <t>Renee  Salomon  Davad</t>
  </si>
  <si>
    <t>Ria C. Agbulos</t>
  </si>
  <si>
    <t>Josephine Tolentino Banay</t>
  </si>
  <si>
    <t>Miguelito A. Ogania</t>
  </si>
  <si>
    <t>Felizardo  R.  Canama</t>
  </si>
  <si>
    <t>Marie Juvy Lalin Alera</t>
  </si>
  <si>
    <t>Thelma Ardon Escanillas</t>
  </si>
  <si>
    <t>Bill V. Segui</t>
  </si>
  <si>
    <t>LEONIDO PAL-ING CATIEL</t>
  </si>
  <si>
    <t>Ricardo Omamalin Calonge</t>
  </si>
  <si>
    <t>Dina V. Panganiban</t>
  </si>
  <si>
    <t>Ruel Lasona</t>
  </si>
  <si>
    <t>Elmer Foronda Acoba</t>
  </si>
  <si>
    <t>EDWARD SULIMA MAHINAY</t>
  </si>
  <si>
    <t>Giovanni Gose Desabelle</t>
  </si>
  <si>
    <t>Armando I. Batiancila</t>
  </si>
  <si>
    <t>GENE ACHAS BACULPO</t>
  </si>
  <si>
    <t>Ma. Liza Candelaria Ortiz</t>
  </si>
  <si>
    <t>May Rose Dejaro  Denolang</t>
  </si>
  <si>
    <t>Rodita P Aban</t>
  </si>
  <si>
    <t>Joel Aculan Zartiga</t>
  </si>
  <si>
    <t>Janet A. Pumalo</t>
  </si>
  <si>
    <t>Kristina Omapas Racuya</t>
  </si>
  <si>
    <t>Randolph R Maguigad</t>
  </si>
  <si>
    <t>William  Alcarde  Calas</t>
  </si>
  <si>
    <t>ULDARICO ECIJA BADANGO</t>
  </si>
  <si>
    <t>Maria Cinderella B. Garcia</t>
  </si>
  <si>
    <t>Marilyn  Labrador Garcia</t>
  </si>
  <si>
    <t>Edgar M Mendoza</t>
  </si>
  <si>
    <t>Jose Jacinto B Antonio</t>
  </si>
  <si>
    <t>ALMA PERANDOS BISNAR</t>
  </si>
  <si>
    <t>David Bonifacio</t>
  </si>
  <si>
    <t>Joan Margarette A Yap</t>
  </si>
  <si>
    <t>Emmanuel Cedric Martinez Ontong</t>
  </si>
  <si>
    <t>Noel A Tubac</t>
  </si>
  <si>
    <t>JANE SALVAME AHON</t>
  </si>
  <si>
    <t>Nelson Bonifacio Villaluna</t>
  </si>
  <si>
    <t>Jonathan Bajo Ramos</t>
  </si>
  <si>
    <t>Marsal Cajatol Chiong</t>
  </si>
  <si>
    <t>Resette Hernandez Razon</t>
  </si>
  <si>
    <t>Mariane B. Tingchuy</t>
  </si>
  <si>
    <t>Michelle M Marcos</t>
  </si>
  <si>
    <t>RUDY ANGULO INSULAR</t>
  </si>
  <si>
    <t>Christine Bernadette Jimenez Biteño</t>
  </si>
  <si>
    <t>GEORGIE FRUGALIDAD CORNELIO</t>
  </si>
  <si>
    <t>Francisco A. Genora</t>
  </si>
  <si>
    <t>Elmera Zabate Ebrada</t>
  </si>
  <si>
    <t>Marivic Masbad Managbanag</t>
  </si>
  <si>
    <t>Mylene Alba</t>
  </si>
  <si>
    <t>Mary Ann G Garcia</t>
  </si>
  <si>
    <t>Gene Eslava De Guzman</t>
  </si>
  <si>
    <t>Lea Echavez Sabaduquia</t>
  </si>
  <si>
    <t>MA. GLORIA GELI SORRERA</t>
  </si>
  <si>
    <t>Annielyn N JAVIER</t>
  </si>
  <si>
    <t>Armilinda Areja Esquieres</t>
  </si>
  <si>
    <t>Maiden P. Cortez</t>
  </si>
  <si>
    <t>Maria Liezl Clam Gutang</t>
  </si>
  <si>
    <t>Roger G. Liban</t>
  </si>
  <si>
    <t>GENARO M MERINO</t>
  </si>
  <si>
    <t>LEONARDO D AMORES</t>
  </si>
  <si>
    <t>Dennis Jan Gutierrez Quiambao</t>
  </si>
  <si>
    <t>Aldwin  Alcantara  Carandang</t>
  </si>
  <si>
    <t>Fatima Madonna Ubalde Jaynario</t>
  </si>
  <si>
    <t>Kim M. Moral</t>
  </si>
  <si>
    <t>MARL PHILIP YAMSUAN CACHERO</t>
  </si>
  <si>
    <t>marcelino cabanilla torreon</t>
  </si>
  <si>
    <t>Mariel B Lauigan</t>
  </si>
  <si>
    <t>NICOLE N/A SOBRIA</t>
  </si>
  <si>
    <t>Lourdes F Arinduque</t>
  </si>
  <si>
    <t>Abigail P Beltran</t>
  </si>
  <si>
    <t>Eleanor C. Laylo</t>
  </si>
  <si>
    <t>ROBERT M. VALLES</t>
  </si>
  <si>
    <t>Ofelia Escobarte Nacional</t>
  </si>
  <si>
    <t>Marivic Estopin Diaz</t>
  </si>
  <si>
    <t>Jesamine M. Mendi</t>
  </si>
  <si>
    <t>Romirose B. Padin</t>
  </si>
  <si>
    <t>Pedro Gemanga Taton</t>
  </si>
  <si>
    <t>PRECIOUS GAY ABRAU</t>
  </si>
  <si>
    <t>Hope Jaravata Relayson</t>
  </si>
  <si>
    <t>Jenn Glaiza Gallego</t>
  </si>
  <si>
    <t>Luisito Escobas Alla</t>
  </si>
  <si>
    <t>Gredalie Rivera Acopio</t>
  </si>
  <si>
    <t>Jezereel Esteban</t>
  </si>
  <si>
    <t>Felisa  Tolero  Edullantes</t>
  </si>
  <si>
    <t>ASSEL PAGARAN MADANGUIT</t>
  </si>
  <si>
    <t>VENUS ESCOBAR TORRES</t>
  </si>
  <si>
    <t>Mayo Resuma Pelagio</t>
  </si>
  <si>
    <t>Florencio Formaran Parcarey</t>
  </si>
  <si>
    <t>Corazon Barrientos Pagayona</t>
  </si>
  <si>
    <t>Pilar Balbuena Quinico</t>
  </si>
  <si>
    <t>MA. NEOFITA S. TUAZON</t>
  </si>
  <si>
    <t>Herminia Dorador Pelipil</t>
  </si>
  <si>
    <t>JOLEX LIMSIACO MONTECLARO</t>
  </si>
  <si>
    <t>Arnel Gahator Otida</t>
  </si>
  <si>
    <t>Marito V. Catorce</t>
  </si>
  <si>
    <t>Servando Lonzon Amparo Jr.</t>
  </si>
  <si>
    <t>Ana Suzette Limguis Moreño</t>
  </si>
  <si>
    <t>Camilo Ferreira</t>
  </si>
  <si>
    <t>Rodelito La Fuente Dacup</t>
  </si>
  <si>
    <t>IVY COSTALES VALENCIA</t>
  </si>
  <si>
    <t>Arnel M Ruz</t>
  </si>
  <si>
    <t>Jimmy Callas Bejare</t>
  </si>
  <si>
    <t>Dane C Dizon</t>
  </si>
  <si>
    <t>SANNY  P  ABONALES</t>
  </si>
  <si>
    <t>GREGORIO M ORDAS</t>
  </si>
  <si>
    <t>Ferdinand Oliva Concepcion</t>
  </si>
  <si>
    <t>Albert  Clarito  Calambro</t>
  </si>
  <si>
    <t>Leah Kierulf De Paz</t>
  </si>
  <si>
    <t>VICTOR ANANA ANOS</t>
  </si>
  <si>
    <t>Julian  Zafe Magtagnob</t>
  </si>
  <si>
    <t>Rom Josef Pastrana Manzano</t>
  </si>
  <si>
    <t>MERVYN OLAER DOCALLOS</t>
  </si>
  <si>
    <t>Marilyn F. Chavez</t>
  </si>
  <si>
    <t>PRISCILLA SOTELO BATOR</t>
  </si>
  <si>
    <t>Maylen Zorilla Damasing</t>
  </si>
  <si>
    <t>ROSA DALAGUETE MANUEL</t>
  </si>
  <si>
    <t>Bienvenido L Borra</t>
  </si>
  <si>
    <t>CLIFTON GARETH NGODCHO FANG-ASAN</t>
  </si>
  <si>
    <t>ERNIE ARRIESGADO</t>
  </si>
  <si>
    <t>Sofronia Ceniza Uy</t>
  </si>
  <si>
    <t>Carmelita Nudalo Wenceslao</t>
  </si>
  <si>
    <t>Anna Mae B. Elemia</t>
  </si>
  <si>
    <t>CRISTINE  CABATON QUILLAMOR</t>
  </si>
  <si>
    <t>Renalin Serame</t>
  </si>
  <si>
    <t>Ireene Garcia Igot</t>
  </si>
  <si>
    <t>Richard Alana Ramos</t>
  </si>
  <si>
    <t>CHARRIE ANN SINGCO SALES</t>
  </si>
  <si>
    <t>Reynaldo V Pioquinto</t>
  </si>
  <si>
    <t>Christan  Espanol  Andrada</t>
  </si>
  <si>
    <t>Laina Bayona Calubia</t>
  </si>
  <si>
    <t>Enrique Bondoc Gonzales</t>
  </si>
  <si>
    <t>MARIA CRISTIE VARGAS BALMADRID</t>
  </si>
  <si>
    <t>HENRY C. DE GUZMAN</t>
  </si>
  <si>
    <t>Floro M Butulan</t>
  </si>
  <si>
    <t>MARISA SARZABA ALSOL</t>
  </si>
  <si>
    <t>Felicidad F. De Guzman</t>
  </si>
  <si>
    <t>Jose Tobias</t>
  </si>
  <si>
    <t>RAMON A. BELTRAN</t>
  </si>
  <si>
    <t>Ricarte De Guzman Tadeja</t>
  </si>
  <si>
    <t>Jorge Olaer Madrona</t>
  </si>
  <si>
    <t>Christine D. Batallones</t>
  </si>
  <si>
    <t>Nenita  S.  Palomo</t>
  </si>
  <si>
    <t>ADELFA RICO BELLO</t>
  </si>
  <si>
    <t>GRACE PONCE ARELLANO</t>
  </si>
  <si>
    <t>Nelly S Ibo</t>
  </si>
  <si>
    <t>HAIDEE PEÑAMANTE AVELLANO</t>
  </si>
  <si>
    <t>Erlie A. Mallari</t>
  </si>
  <si>
    <t>Jude Thaddeus G. Paat</t>
  </si>
  <si>
    <t>IGNACIO S PANTI</t>
  </si>
  <si>
    <t>Edward Borgoños Isles</t>
  </si>
  <si>
    <t>RICKY CRUIZ POCON</t>
  </si>
  <si>
    <t>ARIEL LABINI MARCO</t>
  </si>
  <si>
    <t>EMIL RODRIGUEZ GANADEN</t>
  </si>
  <si>
    <t>Mark Nikko Badiola</t>
  </si>
  <si>
    <t>Luzminda Gumapac Machete</t>
  </si>
  <si>
    <t>MARIA CONCEPCION ANTONIO DALERE</t>
  </si>
  <si>
    <t>RAZY SUAYAN ONIL</t>
  </si>
  <si>
    <t>Rosebella Padura Martinez</t>
  </si>
  <si>
    <t>Rosemia R. Alama-Saliwato</t>
  </si>
  <si>
    <t>Helen A. Cabarles</t>
  </si>
  <si>
    <t>Mae Valledor</t>
  </si>
  <si>
    <t>Marietta Abuan Graciano</t>
  </si>
  <si>
    <t>Arnaldo G Liansing</t>
  </si>
  <si>
    <t>MA. BELEN POLIDO ACUESTA</t>
  </si>
  <si>
    <t>Edwin Francisco Argonza</t>
  </si>
  <si>
    <t>Ma.  Hannah Hecita Dobrea</t>
  </si>
  <si>
    <t>Alimoden Aying Pangatungan</t>
  </si>
  <si>
    <t>Ivy Joy L. Castro</t>
  </si>
  <si>
    <t>Mary Edal Alviar</t>
  </si>
  <si>
    <t>WILBERTO O. CASTILLO</t>
  </si>
  <si>
    <t>Gregorio D Artieda</t>
  </si>
  <si>
    <t>CARPIO N. CAMITOC</t>
  </si>
  <si>
    <t>ERWIN A. ESPINAS</t>
  </si>
  <si>
    <t>ROSMENDO CARDINEZ BONGOCAN, JR.</t>
  </si>
  <si>
    <t>DEBBIE HERRAS ESCURO</t>
  </si>
  <si>
    <t>ELEANOR YANTO CABANGON</t>
  </si>
  <si>
    <t>Sherl Dianne Soriano Estoque</t>
  </si>
  <si>
    <t>IMELDA RIVAS TABILLA</t>
  </si>
  <si>
    <t>Jovit  Villareal</t>
  </si>
  <si>
    <t>Roy Ian A Resplandor</t>
  </si>
  <si>
    <t>Jhuna C. Casillano</t>
  </si>
  <si>
    <t>Ma. Teresita Salvoza Quejada</t>
  </si>
  <si>
    <t>Nora Pinkihan Linglingon</t>
  </si>
  <si>
    <t>Lourdes Pretencio Peñaflor</t>
  </si>
  <si>
    <t>Roda Tunacao Casinillo</t>
  </si>
  <si>
    <t>HILARIO, JR. NAGUIT MALIWAT</t>
  </si>
  <si>
    <t>Consolacion Aquino</t>
  </si>
  <si>
    <t>Carol Zulueta Ramos</t>
  </si>
  <si>
    <t>Rodel Gullon Chavez</t>
  </si>
  <si>
    <t>Delmor De Vera Pascual</t>
  </si>
  <si>
    <t>Rhonna Regina  Puno</t>
  </si>
  <si>
    <t>YUSOP ARBISON WEE</t>
  </si>
  <si>
    <t>Petronio  C.  Tolentino</t>
  </si>
  <si>
    <t>Emma Linda Impang Arano</t>
  </si>
  <si>
    <t>Ma. Fe T Cayao</t>
  </si>
  <si>
    <t>Ambrocio Zapata Azares</t>
  </si>
  <si>
    <t>GENELYN BUMILTAC</t>
  </si>
  <si>
    <t>Edgardo G Pamute</t>
  </si>
  <si>
    <t>KRISTINE AMECHACHURRA HONTIVEROS</t>
  </si>
  <si>
    <t>Christopher Bataller Villafria</t>
  </si>
  <si>
    <t>Cherry Rafael Perez</t>
  </si>
  <si>
    <t>EDGARDO A. VALDEZ</t>
  </si>
  <si>
    <t>Leonardo Duran Recabo</t>
  </si>
  <si>
    <t>Edmar Pascua</t>
  </si>
  <si>
    <t>JOSEPH A. BUNAN</t>
  </si>
  <si>
    <t>Linalyn Tolentino - Cueto</t>
  </si>
  <si>
    <t>Edna Egina Mazon</t>
  </si>
  <si>
    <t>Clifford Dofitas Hamoy</t>
  </si>
  <si>
    <t>JOEL ARROYO SANTES</t>
  </si>
  <si>
    <t>Active</t>
  </si>
  <si>
    <t>Order</t>
  </si>
  <si>
    <t>16/06/2020</t>
  </si>
  <si>
    <t>15/06/2020</t>
  </si>
  <si>
    <t>14/06/2020</t>
  </si>
  <si>
    <t>13/06/2020</t>
  </si>
  <si>
    <t>12/06/2020</t>
  </si>
  <si>
    <t>11/06/2020</t>
  </si>
  <si>
    <t>10/06/2020</t>
  </si>
  <si>
    <t>09/06/2020</t>
  </si>
  <si>
    <t>08/06/2020</t>
  </si>
  <si>
    <t>07/06/2020</t>
  </si>
  <si>
    <t>06/06/2020</t>
  </si>
  <si>
    <t>05/06/2020</t>
  </si>
  <si>
    <t>04/06/2020</t>
  </si>
  <si>
    <t>03/06/2020</t>
  </si>
  <si>
    <t>02/06/2020</t>
  </si>
  <si>
    <t>28/11/2019</t>
  </si>
  <si>
    <t>23/10/2019</t>
  </si>
  <si>
    <t>31/10/2019</t>
  </si>
  <si>
    <t>08/02/2019</t>
  </si>
  <si>
    <t>18/11/2019</t>
  </si>
  <si>
    <t>18/10/2019</t>
  </si>
  <si>
    <t>16/06/2020 12:00 AM</t>
  </si>
  <si>
    <t>16/06/2020 11:00 AM</t>
  </si>
  <si>
    <t>16/06/2020 5:03 PM</t>
  </si>
  <si>
    <t>16/06/2020 1:52 PM</t>
  </si>
  <si>
    <t>16/06/2020 10:20 AM</t>
  </si>
  <si>
    <t>15/06/2020 12:00 AM</t>
  </si>
  <si>
    <t>15/06/2020 9:45 AM</t>
  </si>
  <si>
    <t>16/06/2020 10:18 AM</t>
  </si>
  <si>
    <t>16/06/2020 10:12 AM</t>
  </si>
  <si>
    <t>16/06/2020 10:39 AM</t>
  </si>
  <si>
    <t>16/06/2020 10:38 AM</t>
  </si>
  <si>
    <t>15/06/2020 7:08 PM</t>
  </si>
  <si>
    <t>14/06/2020 12:00 AM</t>
  </si>
  <si>
    <t>15/06/2020 1:10 PM</t>
  </si>
  <si>
    <t>16/06/2020 12:28 PM</t>
  </si>
  <si>
    <t>13/06/2020 12:00 AM</t>
  </si>
  <si>
    <t>16/06/2020 3:11 PM</t>
  </si>
  <si>
    <t>16/06/2020 3:26 PM</t>
  </si>
  <si>
    <t>16/06/2020 2:53 PM</t>
  </si>
  <si>
    <t>16/06/2020 3:16 PM</t>
  </si>
  <si>
    <t>15/06/2020 7:47 AM</t>
  </si>
  <si>
    <t>12/06/2020 12:00 AM</t>
  </si>
  <si>
    <t>15/06/2020 2:18 PM</t>
  </si>
  <si>
    <t>14/06/2020 10:31 AM</t>
  </si>
  <si>
    <t>16/06/2020 4:03 PM</t>
  </si>
  <si>
    <t>16/06/2020 4:24 PM</t>
  </si>
  <si>
    <t>16/06/2020 4:19 PM</t>
  </si>
  <si>
    <t>16/06/2020 4:27 PM</t>
  </si>
  <si>
    <t>15/06/2020 4:46 PM</t>
  </si>
  <si>
    <t>15/06/2020 4:29 PM</t>
  </si>
  <si>
    <t>14/06/2020 12:08 AM</t>
  </si>
  <si>
    <t>15/06/2020 10:45 AM</t>
  </si>
  <si>
    <t>12/06/2020 12:13 PM</t>
  </si>
  <si>
    <t>12/06/2020 12:21 PM</t>
  </si>
  <si>
    <t>16/06/2020 7:46 AM</t>
  </si>
  <si>
    <t>16/06/2020 7:47 AM</t>
  </si>
  <si>
    <t>16/06/2020 7:49 AM</t>
  </si>
  <si>
    <t>15/06/2020 1:26 PM</t>
  </si>
  <si>
    <t>12/06/2020 5:57 PM</t>
  </si>
  <si>
    <t>11/06/2020 12:00 AM</t>
  </si>
  <si>
    <t>11/06/2020 10:50 AM</t>
  </si>
  <si>
    <t>15/06/2020 9:13 AM</t>
  </si>
  <si>
    <t>15/06/2020 9:11 AM</t>
  </si>
  <si>
    <t>15/06/2020 9:16 AM</t>
  </si>
  <si>
    <t>15/06/2020 9:15 AM</t>
  </si>
  <si>
    <t>15/06/2020 9:17 AM</t>
  </si>
  <si>
    <t>15/06/2020 9:21 AM</t>
  </si>
  <si>
    <t>15/06/2020 9:26 AM</t>
  </si>
  <si>
    <t>15/06/2020 9:32 AM</t>
  </si>
  <si>
    <t>15/06/2020 4:21 PM</t>
  </si>
  <si>
    <t>11/06/2020 9:11 AM</t>
  </si>
  <si>
    <t>11/06/2020 2:32 PM</t>
  </si>
  <si>
    <t>11/06/2020 8:24 AM</t>
  </si>
  <si>
    <t>11/06/2020 8:29 AM</t>
  </si>
  <si>
    <t>11/06/2020 10:31 AM</t>
  </si>
  <si>
    <t>15/06/2020 1:41 PM</t>
  </si>
  <si>
    <t>15/06/2020 12:05 PM</t>
  </si>
  <si>
    <t>11/06/2020 1:00 PM</t>
  </si>
  <si>
    <t>16/06/2020 2:09 PM</t>
  </si>
  <si>
    <t>15/06/2020 2:03 PM</t>
  </si>
  <si>
    <t>16/06/2020 2:12 PM</t>
  </si>
  <si>
    <t>16/06/2020 9:33 AM</t>
  </si>
  <si>
    <t>14/06/2020 2:48 AM</t>
  </si>
  <si>
    <t>11/06/2020 12:16 PM</t>
  </si>
  <si>
    <t>11/06/2020 4:38 PM</t>
  </si>
  <si>
    <t>16/06/2020 11:05 AM</t>
  </si>
  <si>
    <t>15/06/2020 6:42 PM</t>
  </si>
  <si>
    <t>15/06/2020 3:16 PM</t>
  </si>
  <si>
    <t>11/06/2020 8:18 PM</t>
  </si>
  <si>
    <t>10/06/2020 12:00 AM</t>
  </si>
  <si>
    <t>15/06/2020 3:37 PM</t>
  </si>
  <si>
    <t>15/06/2020 4:28 PM</t>
  </si>
  <si>
    <t>10/06/2020 1:45 PM</t>
  </si>
  <si>
    <t>10/06/2020 1:37 PM</t>
  </si>
  <si>
    <t>10/06/2020 8:26 AM</t>
  </si>
  <si>
    <t>10/06/2020 11:44 AM</t>
  </si>
  <si>
    <t>11/06/2020 9:29 AM</t>
  </si>
  <si>
    <t>11/06/2020 10:43 AM</t>
  </si>
  <si>
    <t>16/06/2020 3:43 PM</t>
  </si>
  <si>
    <t>11/06/2020 10:47 AM</t>
  </si>
  <si>
    <t>15/06/2020 5:33 PM</t>
  </si>
  <si>
    <t>11/06/2020 10:49 AM</t>
  </si>
  <si>
    <t>13/06/2020 11:22 PM</t>
  </si>
  <si>
    <t>16/06/2020 1:37 PM</t>
  </si>
  <si>
    <t>16/06/2020 1:34 PM</t>
  </si>
  <si>
    <t>16/06/2020 1:46 PM</t>
  </si>
  <si>
    <t>16/06/2020 2:31 PM</t>
  </si>
  <si>
    <t>15/06/2020 1:51 PM</t>
  </si>
  <si>
    <t>16/06/2020 2:00 PM</t>
  </si>
  <si>
    <t>15/06/2020 1:52 PM</t>
  </si>
  <si>
    <t>15/06/2020 1:53 PM</t>
  </si>
  <si>
    <t>14/06/2020 2:44 AM</t>
  </si>
  <si>
    <t>16/06/2020 9:07 AM</t>
  </si>
  <si>
    <t>10/06/2020 3:29 PM</t>
  </si>
  <si>
    <t>15/06/2020 1:54 PM</t>
  </si>
  <si>
    <t>15/06/2020 1:56 PM</t>
  </si>
  <si>
    <t>10/06/2020 3:32 PM</t>
  </si>
  <si>
    <t>10/06/2020 3:37 PM</t>
  </si>
  <si>
    <t>13/06/2020 1:11 PM</t>
  </si>
  <si>
    <t>16/06/2020 5:38 PM</t>
  </si>
  <si>
    <t>16/06/2020 5:41 PM</t>
  </si>
  <si>
    <t>14/06/2020 2:30 AM</t>
  </si>
  <si>
    <t>11/06/2020 11:56 AM</t>
  </si>
  <si>
    <t>10/06/2020 4:22 PM</t>
  </si>
  <si>
    <t>15/06/2020 8:14 PM</t>
  </si>
  <si>
    <t>13/06/2020 1:03 PM</t>
  </si>
  <si>
    <t>16/06/2020 4:57 PM</t>
  </si>
  <si>
    <t>15/06/2020 8:12 PM</t>
  </si>
  <si>
    <t>16/06/2020 10:20 PM</t>
  </si>
  <si>
    <t>16/06/2020 7:43 AM</t>
  </si>
  <si>
    <t>11/06/2020 4:30 PM</t>
  </si>
  <si>
    <t>16/06/2020 10:22 AM</t>
  </si>
  <si>
    <t>16/06/2020 2:07 PM</t>
  </si>
  <si>
    <t>10/06/2020 1:52 PM</t>
  </si>
  <si>
    <t>10/06/2020 2:23 PM</t>
  </si>
  <si>
    <t>16/06/2020 5:54 PM</t>
  </si>
  <si>
    <t>16/06/2020 10:52 PM</t>
  </si>
  <si>
    <t>16/06/2020 10:53 PM</t>
  </si>
  <si>
    <t>16/06/2020 10:50 PM</t>
  </si>
  <si>
    <t>16/06/2020 10:56 PM</t>
  </si>
  <si>
    <t>09/06/2020 12:00 AM</t>
  </si>
  <si>
    <t>11/06/2020 11:08 AM</t>
  </si>
  <si>
    <t>16/06/2020 10:34 PM</t>
  </si>
  <si>
    <t>11/06/2020 11:12 AM</t>
  </si>
  <si>
    <t>11/06/2020 11:17 AM</t>
  </si>
  <si>
    <t>11/06/2020 11:19 AM</t>
  </si>
  <si>
    <t>11/06/2020 11:16 AM</t>
  </si>
  <si>
    <t>10/06/2020 6:55 AM</t>
  </si>
  <si>
    <t>16/06/2020 10:55 PM</t>
  </si>
  <si>
    <t>09/06/2020 4:21 PM</t>
  </si>
  <si>
    <t>16/06/2020 4:23 PM</t>
  </si>
  <si>
    <t>16/06/2020 9:08 AM</t>
  </si>
  <si>
    <t>16/06/2020 12:02 PM</t>
  </si>
  <si>
    <t>16/06/2020 9:06 AM</t>
  </si>
  <si>
    <t>16/06/2020 8:38 PM</t>
  </si>
  <si>
    <t>13/06/2020 11:06 PM</t>
  </si>
  <si>
    <t>16/06/2020 10:28 AM</t>
  </si>
  <si>
    <t>16/06/2020 10:33 AM</t>
  </si>
  <si>
    <t>16/06/2020 10:37 AM</t>
  </si>
  <si>
    <t>16/06/2020 10:36 AM</t>
  </si>
  <si>
    <t>13/06/2020 11:30 PM</t>
  </si>
  <si>
    <t>16/06/2020 10:32 AM</t>
  </si>
  <si>
    <t>16/06/2020 8:26 AM</t>
  </si>
  <si>
    <t>16/06/2020 1:08 PM</t>
  </si>
  <si>
    <t>09/06/2020 4:28 PM</t>
  </si>
  <si>
    <t>09/06/2020 9:57 PM</t>
  </si>
  <si>
    <t>15/06/2020 2:08 PM</t>
  </si>
  <si>
    <t>15/06/2020 2:16 PM</t>
  </si>
  <si>
    <t>15/06/2020 2:10 PM</t>
  </si>
  <si>
    <t>15/06/2020 2:09 PM</t>
  </si>
  <si>
    <t>15/06/2020 11:58 AM</t>
  </si>
  <si>
    <t>15/06/2020 2:17 PM</t>
  </si>
  <si>
    <t>16/06/2020 3:15 PM</t>
  </si>
  <si>
    <t>15/06/2020 2:21 PM</t>
  </si>
  <si>
    <t>15/06/2020 2:19 PM</t>
  </si>
  <si>
    <t>15/06/2020 2:30 PM</t>
  </si>
  <si>
    <t>15/06/2020 2:46 PM</t>
  </si>
  <si>
    <t>09/06/2020 8:17 PM</t>
  </si>
  <si>
    <t>16/06/2020 1:24 PM</t>
  </si>
  <si>
    <t>09/06/2020 8:15 PM</t>
  </si>
  <si>
    <t>09/06/2020 8:20 PM</t>
  </si>
  <si>
    <t>11/06/2020 2:20 PM</t>
  </si>
  <si>
    <t>09/06/2020 8:19 PM</t>
  </si>
  <si>
    <t>11/06/2020 10:42 AM</t>
  </si>
  <si>
    <t>11/06/2020 6:35 PM</t>
  </si>
  <si>
    <t>11/06/2020 10:54 AM</t>
  </si>
  <si>
    <t>11/06/2020 11:06 AM</t>
  </si>
  <si>
    <t>15/06/2020 4:57 PM</t>
  </si>
  <si>
    <t>16/06/2020 12:11 PM</t>
  </si>
  <si>
    <t>16/06/2020 10:08 AM</t>
  </si>
  <si>
    <t>15/06/2020 3:53 PM</t>
  </si>
  <si>
    <t>10/06/2020 8:29 AM</t>
  </si>
  <si>
    <t>15/06/2020 10:49 AM</t>
  </si>
  <si>
    <t>16/06/2020 8:44 AM</t>
  </si>
  <si>
    <t>10/06/2020 8:30 AM</t>
  </si>
  <si>
    <t>10/06/2020 4:43 PM</t>
  </si>
  <si>
    <t>16/06/2020 8:46 AM</t>
  </si>
  <si>
    <t>09/06/2020 5:54 PM</t>
  </si>
  <si>
    <t>11/06/2020 2:43 PM</t>
  </si>
  <si>
    <t>10/06/2020 3:38 PM</t>
  </si>
  <si>
    <t>16/06/2020 8:28 AM</t>
  </si>
  <si>
    <t>10/06/2020 3:40 PM</t>
  </si>
  <si>
    <t>10/06/2020 3:42 PM</t>
  </si>
  <si>
    <t>16/06/2020 8:07 PM</t>
  </si>
  <si>
    <t>16/06/2020 1:51 PM</t>
  </si>
  <si>
    <t>16/06/2020 1:50 PM</t>
  </si>
  <si>
    <t>16/06/2020 1:49 PM</t>
  </si>
  <si>
    <t>16/06/2020 8:09 PM</t>
  </si>
  <si>
    <t>10/06/2020 3:43 PM</t>
  </si>
  <si>
    <t>15/06/2020 7:26 PM</t>
  </si>
  <si>
    <t>09/06/2020 9:27 AM</t>
  </si>
  <si>
    <t>15/06/2020 5:00 PM</t>
  </si>
  <si>
    <t>08/06/2020 12:00 AM</t>
  </si>
  <si>
    <t>10/06/2020 6:11 PM</t>
  </si>
  <si>
    <t>16/06/2020 9:33 PM</t>
  </si>
  <si>
    <t>10/06/2020 5:40 PM</t>
  </si>
  <si>
    <t>16/06/2020 9:35 PM</t>
  </si>
  <si>
    <t>16/06/2020 8:15 AM</t>
  </si>
  <si>
    <t>16/06/2020 3:20 PM</t>
  </si>
  <si>
    <t>16/06/2020 8:13 AM</t>
  </si>
  <si>
    <t>16/06/2020 8:14 AM</t>
  </si>
  <si>
    <t>16/06/2020 8:19 AM</t>
  </si>
  <si>
    <t>16/06/2020 8:18 AM</t>
  </si>
  <si>
    <t>16/06/2020 8:20 AM</t>
  </si>
  <si>
    <t>16/06/2020 8:17 AM</t>
  </si>
  <si>
    <t>16/06/2020 8:53 AM</t>
  </si>
  <si>
    <t>10/06/2020 9:34 AM</t>
  </si>
  <si>
    <t>16/06/2020 3:53 PM</t>
  </si>
  <si>
    <t>16/06/2020 3:55 PM</t>
  </si>
  <si>
    <t>16/06/2020 11:45 AM</t>
  </si>
  <si>
    <t>16/06/2020 11:17 AM</t>
  </si>
  <si>
    <t>16/06/2020 1:59 PM</t>
  </si>
  <si>
    <t>16/06/2020 11:29 AM</t>
  </si>
  <si>
    <t>16/06/2020 2:18 PM</t>
  </si>
  <si>
    <t>16/06/2020 11:22 AM</t>
  </si>
  <si>
    <t>15/06/2020 4:26 PM</t>
  </si>
  <si>
    <t>15/06/2020 3:31 PM</t>
  </si>
  <si>
    <t>15/06/2020 1:07 PM</t>
  </si>
  <si>
    <t>15/06/2020 3:28 PM</t>
  </si>
  <si>
    <t>16/06/2020 12:44 PM</t>
  </si>
  <si>
    <t>15/06/2020 3:29 PM</t>
  </si>
  <si>
    <t>08/06/2020 1:49 PM</t>
  </si>
  <si>
    <t>15/06/2020 3:27 PM</t>
  </si>
  <si>
    <t>15/06/2020 3:25 PM</t>
  </si>
  <si>
    <t>15/06/2020 3:30 PM</t>
  </si>
  <si>
    <t>10/06/2020 2:43 PM</t>
  </si>
  <si>
    <t>16/06/2020 3:33 PM</t>
  </si>
  <si>
    <t>10/06/2020 12:02 PM</t>
  </si>
  <si>
    <t>15/06/2020 11:07 AM</t>
  </si>
  <si>
    <t>11/06/2020 4:48 PM</t>
  </si>
  <si>
    <t>07/06/2020 12:00 AM</t>
  </si>
  <si>
    <t>16/06/2020 3:36 PM</t>
  </si>
  <si>
    <t>15/06/2020 11:00 AM</t>
  </si>
  <si>
    <t>08/06/2020 1:38 PM</t>
  </si>
  <si>
    <t>08/06/2020 1:43 PM</t>
  </si>
  <si>
    <t>12/06/2020 5:32 PM</t>
  </si>
  <si>
    <t>16/06/2020 4:14 PM</t>
  </si>
  <si>
    <t>08/06/2020 9:05 AM</t>
  </si>
  <si>
    <t>06/06/2020 12:00 AM</t>
  </si>
  <si>
    <t>16/06/2020 8:49 AM</t>
  </si>
  <si>
    <t>12/06/2020 5:34 PM</t>
  </si>
  <si>
    <t>12/06/2020 5:30 PM</t>
  </si>
  <si>
    <t>15/06/2020 5:45 PM</t>
  </si>
  <si>
    <t>08/06/2020 3:19 PM</t>
  </si>
  <si>
    <t>15/06/2020 3:42 PM</t>
  </si>
  <si>
    <t>16/06/2020 9:28 AM</t>
  </si>
  <si>
    <t>10/06/2020 4:39 PM</t>
  </si>
  <si>
    <t>09/06/2020 1:51 PM</t>
  </si>
  <si>
    <t>16/06/2020 2:23 PM</t>
  </si>
  <si>
    <t>16/06/2020 2:25 PM</t>
  </si>
  <si>
    <t>08/06/2020 5:22 PM</t>
  </si>
  <si>
    <t>08/06/2020 3:11 PM</t>
  </si>
  <si>
    <t>16/06/2020 10:29 AM</t>
  </si>
  <si>
    <t>08/06/2020 5:30 PM</t>
  </si>
  <si>
    <t>16/06/2020 2:06 PM</t>
  </si>
  <si>
    <t>15/06/2020 9:40 PM</t>
  </si>
  <si>
    <t>11/06/2020 1:34 PM</t>
  </si>
  <si>
    <t>09/06/2020 10:59 AM</t>
  </si>
  <si>
    <t>10/06/2020 1:33 PM</t>
  </si>
  <si>
    <t>11/06/2020 2:10 PM</t>
  </si>
  <si>
    <t>11/06/2020 10:09 AM</t>
  </si>
  <si>
    <t>09/06/2020 11:01 AM</t>
  </si>
  <si>
    <t>11/06/2020 11:31 AM</t>
  </si>
  <si>
    <t>15/06/2020 8:49 AM</t>
  </si>
  <si>
    <t>09/06/2020 11:02 AM</t>
  </si>
  <si>
    <t>11/06/2020 11:29 AM</t>
  </si>
  <si>
    <t>11/06/2020 10:13 AM</t>
  </si>
  <si>
    <t>11/06/2020 10:16 AM</t>
  </si>
  <si>
    <t>16/06/2020 9:25 PM</t>
  </si>
  <si>
    <t>11/06/2020 10:11 AM</t>
  </si>
  <si>
    <t>16/06/2020 9:20 PM</t>
  </si>
  <si>
    <t>11/06/2020 10:18 AM</t>
  </si>
  <si>
    <t>16/06/2020 9:23 PM</t>
  </si>
  <si>
    <t>16/06/2020 9:16 PM</t>
  </si>
  <si>
    <t>11/06/2020 10:30 AM</t>
  </si>
  <si>
    <t>16/06/2020 9:32 PM</t>
  </si>
  <si>
    <t>09/06/2020 12:50 PM</t>
  </si>
  <si>
    <t>16/06/2020 9:29 PM</t>
  </si>
  <si>
    <t>16/06/2020 9:27 PM</t>
  </si>
  <si>
    <t>11/06/2020 10:38 AM</t>
  </si>
  <si>
    <t>11/06/2020 10:32 AM</t>
  </si>
  <si>
    <t>05/06/2020 12:00 AM</t>
  </si>
  <si>
    <t>10/06/2020 3:23 PM</t>
  </si>
  <si>
    <t>09/06/2020 8:32 AM</t>
  </si>
  <si>
    <t>11/06/2020 8:23 AM</t>
  </si>
  <si>
    <t>15/06/2020 4:31 PM</t>
  </si>
  <si>
    <t>05/06/2020 2:54 PM</t>
  </si>
  <si>
    <t>05/06/2020 3:38 PM</t>
  </si>
  <si>
    <t>10/06/2020 2:45 PM</t>
  </si>
  <si>
    <t>15/06/2020 7:58 PM</t>
  </si>
  <si>
    <t>10/06/2020 12:59 PM</t>
  </si>
  <si>
    <t>16/06/2020 2:34 PM</t>
  </si>
  <si>
    <t>11/06/2020 1:52 PM</t>
  </si>
  <si>
    <t>05/06/2020 12:27 PM</t>
  </si>
  <si>
    <t>11/06/2020 4:07 PM</t>
  </si>
  <si>
    <t>05/06/2020 8:46 AM</t>
  </si>
  <si>
    <t>11/06/2020 4:52 PM</t>
  </si>
  <si>
    <t>16/06/2020 4:18 PM</t>
  </si>
  <si>
    <t>11/06/2020 1:41 PM</t>
  </si>
  <si>
    <t>16/06/2020 2:27 PM</t>
  </si>
  <si>
    <t>09/06/2020 9:26 AM</t>
  </si>
  <si>
    <t>10/06/2020 11:12 AM</t>
  </si>
  <si>
    <t>08/06/2020 6:11 PM</t>
  </si>
  <si>
    <t>16/06/2020 2:36 PM</t>
  </si>
  <si>
    <t>11/06/2020 1:43 PM</t>
  </si>
  <si>
    <t>11/06/2020 3:01 PM</t>
  </si>
  <si>
    <t>15/06/2020 8:10 AM</t>
  </si>
  <si>
    <t>10/06/2020 8:47 AM</t>
  </si>
  <si>
    <t>15/06/2020 8:12 AM</t>
  </si>
  <si>
    <t>15/06/2020 8:07 AM</t>
  </si>
  <si>
    <t>11/06/2020 3:21 PM</t>
  </si>
  <si>
    <t>15/06/2020 8:11 AM</t>
  </si>
  <si>
    <t>11/06/2020 3:09 PM</t>
  </si>
  <si>
    <t>15/06/2020 8:08 AM</t>
  </si>
  <si>
    <t>11/06/2020 3:25 PM</t>
  </si>
  <si>
    <t>10/06/2020 4:40 PM</t>
  </si>
  <si>
    <t>16/06/2020 5:34 PM</t>
  </si>
  <si>
    <t>15/06/2020 8:13 AM</t>
  </si>
  <si>
    <t>07/06/2020 2:42 PM</t>
  </si>
  <si>
    <t>16/06/2020 7:09 PM</t>
  </si>
  <si>
    <t>15/06/2020 5:42 PM</t>
  </si>
  <si>
    <t>11/06/2020 3:58 PM</t>
  </si>
  <si>
    <t>15/06/2020 5:47 PM</t>
  </si>
  <si>
    <t>10/06/2020 8:13 PM</t>
  </si>
  <si>
    <t>10/06/2020 4:42 PM</t>
  </si>
  <si>
    <t>04/06/2020 12:00 AM</t>
  </si>
  <si>
    <t>11/06/2020 4:00 PM</t>
  </si>
  <si>
    <t>11/06/2020 4:03 PM</t>
  </si>
  <si>
    <t>04/06/2020 11:10 AM</t>
  </si>
  <si>
    <t>04/06/2020 11:12 AM</t>
  </si>
  <si>
    <t>09/06/2020 3:35 PM</t>
  </si>
  <si>
    <t>09/06/2020 3:34 PM</t>
  </si>
  <si>
    <t>09/06/2020 3:31 PM</t>
  </si>
  <si>
    <t>09/06/2020 3:49 PM</t>
  </si>
  <si>
    <t>09/06/2020 3:42 PM</t>
  </si>
  <si>
    <t>09/06/2020 3:40 PM</t>
  </si>
  <si>
    <t>09/06/2020 3:46 PM</t>
  </si>
  <si>
    <t>09/06/2020 3:41 PM</t>
  </si>
  <si>
    <t>09/06/2020 3:37 PM</t>
  </si>
  <si>
    <t>10/06/2020 8:34 AM</t>
  </si>
  <si>
    <t>09/06/2020 3:50 PM</t>
  </si>
  <si>
    <t>09/06/2020 3:51 PM</t>
  </si>
  <si>
    <t>09/06/2020 3:52 PM</t>
  </si>
  <si>
    <t>09/06/2020 3:55 PM</t>
  </si>
  <si>
    <t>09/06/2020 3:53 PM</t>
  </si>
  <si>
    <t>09/06/2020 3:56 PM</t>
  </si>
  <si>
    <t>09/06/2020 3:57 PM</t>
  </si>
  <si>
    <t>09/06/2020 1:53 PM</t>
  </si>
  <si>
    <t>16/06/2020 4:42 PM</t>
  </si>
  <si>
    <t>16/06/2020 2:39 PM</t>
  </si>
  <si>
    <t>16/06/2020 2:41 PM</t>
  </si>
  <si>
    <t>16/06/2020 8:24 AM</t>
  </si>
  <si>
    <t>15/06/2020 12:43 PM</t>
  </si>
  <si>
    <t>16/06/2020 12:17 PM</t>
  </si>
  <si>
    <t>10/06/2020 2:09 PM</t>
  </si>
  <si>
    <t>09/06/2020 10:52 AM</t>
  </si>
  <si>
    <t>10/06/2020 2:26 PM</t>
  </si>
  <si>
    <t>16/06/2020 4:33 PM</t>
  </si>
  <si>
    <t>09/06/2020 10:50 AM</t>
  </si>
  <si>
    <t>16/06/2020 4:35 PM</t>
  </si>
  <si>
    <t>16/06/2020 4:30 PM</t>
  </si>
  <si>
    <t>10/06/2020 2:37 PM</t>
  </si>
  <si>
    <t>16/06/2020 4:54 PM</t>
  </si>
  <si>
    <t>10/06/2020 2:40 PM</t>
  </si>
  <si>
    <t>16/06/2020 4:46 PM</t>
  </si>
  <si>
    <t>11/06/2020 12:54 PM</t>
  </si>
  <si>
    <t>16/06/2020 4:00 PM</t>
  </si>
  <si>
    <t>10/06/2020 2:44 PM</t>
  </si>
  <si>
    <t>16/06/2020 4:02 PM</t>
  </si>
  <si>
    <t>09/06/2020 10:56 AM</t>
  </si>
  <si>
    <t>16/06/2020 4:44 PM</t>
  </si>
  <si>
    <t>08/06/2020 10:45 AM</t>
  </si>
  <si>
    <t>10/06/2020 2:50 PM</t>
  </si>
  <si>
    <t>11/06/2020 12:56 PM</t>
  </si>
  <si>
    <t>16/06/2020 4:49 PM</t>
  </si>
  <si>
    <t>16/06/2020 3:59 PM</t>
  </si>
  <si>
    <t>10/06/2020 2:53 PM</t>
  </si>
  <si>
    <t>15/06/2020 11:56 AM</t>
  </si>
  <si>
    <t>04/06/2020 11:37 AM</t>
  </si>
  <si>
    <t>15/06/2020 12:03 PM</t>
  </si>
  <si>
    <t>10/06/2020 2:54 PM</t>
  </si>
  <si>
    <t>10/06/2020 2:56 PM</t>
  </si>
  <si>
    <t>04/06/2020 11:35 AM</t>
  </si>
  <si>
    <t>15/06/2020 12:15 PM</t>
  </si>
  <si>
    <t>16/06/2020 10:17 AM</t>
  </si>
  <si>
    <t>17/06/2020 12:12 AM</t>
  </si>
  <si>
    <t>17/06/2020 12:11 AM</t>
  </si>
  <si>
    <t>16/06/2020 3:18 PM</t>
  </si>
  <si>
    <t>17/06/2020 12:14 AM</t>
  </si>
  <si>
    <t>13/06/2020 5:45 PM</t>
  </si>
  <si>
    <t>15/06/2020 4:16 PM</t>
  </si>
  <si>
    <t>17/06/2020 12:16 AM</t>
  </si>
  <si>
    <t>17/06/2020 12:22 AM</t>
  </si>
  <si>
    <t>04/06/2020 4:26 PM</t>
  </si>
  <si>
    <t>17/06/2020 12:19 AM</t>
  </si>
  <si>
    <t>15/06/2020 1:48 PM</t>
  </si>
  <si>
    <t>09/06/2020 10:10 AM</t>
  </si>
  <si>
    <t>08/06/2020 3:01 PM</t>
  </si>
  <si>
    <t>15/06/2020 1:21 PM</t>
  </si>
  <si>
    <t>16/06/2020 8:36 AM</t>
  </si>
  <si>
    <t>15/06/2020 5:21 PM</t>
  </si>
  <si>
    <t>15/06/2020 10:02 AM</t>
  </si>
  <si>
    <t>15/06/2020 3:07 PM</t>
  </si>
  <si>
    <t>04/06/2020 4:00 PM</t>
  </si>
  <si>
    <t>16/06/2020 4:31 PM</t>
  </si>
  <si>
    <t>04/06/2020 1:32 PM</t>
  </si>
  <si>
    <t>10/06/2020 11:09 AM</t>
  </si>
  <si>
    <t>15/06/2020 3:52 PM</t>
  </si>
  <si>
    <t>16/06/2020 5:17 PM</t>
  </si>
  <si>
    <t>11/06/2020 1:48 PM</t>
  </si>
  <si>
    <t>15/06/2020 5:53 PM</t>
  </si>
  <si>
    <t>11/06/2020 6:30 PM</t>
  </si>
  <si>
    <t>11/06/2020 6:27 PM</t>
  </si>
  <si>
    <t>11/06/2020 6:18 PM</t>
  </si>
  <si>
    <t>15/06/2020 10:10 PM</t>
  </si>
  <si>
    <t>11/06/2020 6:33 PM</t>
  </si>
  <si>
    <t>11/06/2020 6:21 PM</t>
  </si>
  <si>
    <t>15/06/2020 10:11 PM</t>
  </si>
  <si>
    <t>16/06/2020 8:24 PM</t>
  </si>
  <si>
    <t>11/06/2020 6:39 PM</t>
  </si>
  <si>
    <t>11/06/2020 6:38 PM</t>
  </si>
  <si>
    <t>16/06/2020 8:30 PM</t>
  </si>
  <si>
    <t>04/06/2020 8:51 AM</t>
  </si>
  <si>
    <t>11/06/2020 6:45 PM</t>
  </si>
  <si>
    <t>11/06/2020 6:46 PM</t>
  </si>
  <si>
    <t>11/06/2020 6:48 PM</t>
  </si>
  <si>
    <t>11/06/2020 6:41 PM</t>
  </si>
  <si>
    <t>11/06/2020 6:47 PM</t>
  </si>
  <si>
    <t>11/06/2020 6:51 PM</t>
  </si>
  <si>
    <t>07/06/2020 6:53 PM</t>
  </si>
  <si>
    <t>07/06/2020 6:56 PM</t>
  </si>
  <si>
    <t>07/06/2020 6:50 PM</t>
  </si>
  <si>
    <t>16/06/2020 4:05 PM</t>
  </si>
  <si>
    <t>11/06/2020 6:50 PM</t>
  </si>
  <si>
    <t>11/06/2020 6:49 PM</t>
  </si>
  <si>
    <t>11/06/2020 6:55 PM</t>
  </si>
  <si>
    <t>15/06/2020 3:26 PM</t>
  </si>
  <si>
    <t>05/06/2020 1:43 PM</t>
  </si>
  <si>
    <t>11/06/2020 6:53 PM</t>
  </si>
  <si>
    <t>07/06/2020 7:01 PM</t>
  </si>
  <si>
    <t>11/06/2020 3:13 PM</t>
  </si>
  <si>
    <t>05/06/2020 1:40 PM</t>
  </si>
  <si>
    <t>04/06/2020 5:49 AM</t>
  </si>
  <si>
    <t>16/06/2020 8:34 PM</t>
  </si>
  <si>
    <t>11/06/2020 6:57 PM</t>
  </si>
  <si>
    <t>15/06/2020 8:41 AM</t>
  </si>
  <si>
    <t>16/06/2020 5:12 PM</t>
  </si>
  <si>
    <t>11/06/2020 6:56 PM</t>
  </si>
  <si>
    <t>15/06/2020 8:40 AM</t>
  </si>
  <si>
    <t>11/06/2020 7:00 PM</t>
  </si>
  <si>
    <t>11/06/2020 6:52 PM</t>
  </si>
  <si>
    <t>11/06/2020 10:05 PM</t>
  </si>
  <si>
    <t>16/06/2020 8:37 PM</t>
  </si>
  <si>
    <t>11/06/2020 6:58 PM</t>
  </si>
  <si>
    <t>11/06/2020 10:06 PM</t>
  </si>
  <si>
    <t>11/06/2020 10:08 PM</t>
  </si>
  <si>
    <t>11/06/2020 10:07 PM</t>
  </si>
  <si>
    <t>11/06/2020 6:59 PM</t>
  </si>
  <si>
    <t>11/06/2020 10:10 PM</t>
  </si>
  <si>
    <t>11/06/2020 10:09 PM</t>
  </si>
  <si>
    <t>07/06/2020 7:05 PM</t>
  </si>
  <si>
    <t>16/06/2020 1:40 PM</t>
  </si>
  <si>
    <t>13/06/2020 11:29 PM</t>
  </si>
  <si>
    <t>03/06/2020 12:00 AM</t>
  </si>
  <si>
    <t>13/06/2020 11:43 PM</t>
  </si>
  <si>
    <t>04/06/2020 4:51 PM</t>
  </si>
  <si>
    <t>11/06/2020 4:57 PM</t>
  </si>
  <si>
    <t>04/06/2020 4:53 PM</t>
  </si>
  <si>
    <t>05/06/2020 3:46 PM</t>
  </si>
  <si>
    <t>05/06/2020 3:42 PM</t>
  </si>
  <si>
    <t>15/06/2020 3:43 PM</t>
  </si>
  <si>
    <t>15/06/2020 4:45 PM</t>
  </si>
  <si>
    <t>15/06/2020 4:51 PM</t>
  </si>
  <si>
    <t>15/06/2020 4:48 PM</t>
  </si>
  <si>
    <t>15/06/2020 3:41 PM</t>
  </si>
  <si>
    <t>15/06/2020 3:38 PM</t>
  </si>
  <si>
    <t>15/06/2020 4:11 PM</t>
  </si>
  <si>
    <t>08/06/2020 10:19 PM</t>
  </si>
  <si>
    <t>04/06/2020 3:47 PM</t>
  </si>
  <si>
    <t>08/06/2020 10:17 PM</t>
  </si>
  <si>
    <t>11/06/2020 6:05 PM</t>
  </si>
  <si>
    <t>11/06/2020 5:02 PM</t>
  </si>
  <si>
    <t>15/06/2020 12:41 PM</t>
  </si>
  <si>
    <t>16/06/2020 8:45 PM</t>
  </si>
  <si>
    <t>11/06/2020 5:00 PM</t>
  </si>
  <si>
    <t>15/06/2020 12:44 PM</t>
  </si>
  <si>
    <t>15/06/2020 10:41 AM</t>
  </si>
  <si>
    <t>16/06/2020 9:31 AM</t>
  </si>
  <si>
    <t>15/06/2020 5:49 PM</t>
  </si>
  <si>
    <t>04/06/2020 4:34 PM</t>
  </si>
  <si>
    <t>16/06/2020 1:17 PM</t>
  </si>
  <si>
    <t>16/06/2020 1:18 PM</t>
  </si>
  <si>
    <t>15/06/2020 3:12 PM</t>
  </si>
  <si>
    <t>15/06/2020 5:36 PM</t>
  </si>
  <si>
    <t>15/06/2020 4:58 PM</t>
  </si>
  <si>
    <t>11/06/2020 4:45 PM</t>
  </si>
  <si>
    <t>15/06/2020 4:06 PM</t>
  </si>
  <si>
    <t>16/06/2020 2:37 PM</t>
  </si>
  <si>
    <t>10/06/2020 1:55 PM</t>
  </si>
  <si>
    <t>11/06/2020 1:40 PM</t>
  </si>
  <si>
    <t>10/06/2020 2:02 PM</t>
  </si>
  <si>
    <t>04/06/2020 10:03 AM</t>
  </si>
  <si>
    <t>15/06/2020 7:56 PM</t>
  </si>
  <si>
    <t>05/06/2020 3:50 PM</t>
  </si>
  <si>
    <t>08/06/2020 4:49 PM</t>
  </si>
  <si>
    <t>15/06/2020 1:09 PM</t>
  </si>
  <si>
    <t>15/06/2020 8:16 PM</t>
  </si>
  <si>
    <t>10/06/2020 2:58 PM</t>
  </si>
  <si>
    <t>15/06/2020 1:23 PM</t>
  </si>
  <si>
    <t>15/06/2020 1:12 PM</t>
  </si>
  <si>
    <t>15/06/2020 9:41 AM</t>
  </si>
  <si>
    <t>16/06/2020 12:03 PM</t>
  </si>
  <si>
    <t>08/06/2020 11:26 AM</t>
  </si>
  <si>
    <t>04/06/2020 12:32 PM</t>
  </si>
  <si>
    <t>03/06/2020 1:59 PM</t>
  </si>
  <si>
    <t>03/06/2020 3:00 PM</t>
  </si>
  <si>
    <t>16/06/2020 9:44 AM</t>
  </si>
  <si>
    <t>10/06/2020 4:02 PM</t>
  </si>
  <si>
    <t>16/06/2020 3:25 PM</t>
  </si>
  <si>
    <t>15/06/2020 9:00 AM</t>
  </si>
  <si>
    <t>09/06/2020 5:04 PM</t>
  </si>
  <si>
    <t>15/06/2020 11:59 PM</t>
  </si>
  <si>
    <t>16/06/2020 5:06 PM</t>
  </si>
  <si>
    <t>16/06/2020 3:44 PM</t>
  </si>
  <si>
    <t>16/06/2020 5:01 PM</t>
  </si>
  <si>
    <t>16/06/2020 7:30 PM</t>
  </si>
  <si>
    <t>16/06/2020 3:48 PM</t>
  </si>
  <si>
    <t>15/06/2020 8:42 AM</t>
  </si>
  <si>
    <t>09/06/2020 8:40 AM</t>
  </si>
  <si>
    <t>15/06/2020 2:05 PM</t>
  </si>
  <si>
    <t>16/06/2020 5:14 PM</t>
  </si>
  <si>
    <t>09/06/2020 11:07 AM</t>
  </si>
  <si>
    <t>16/06/2020 12:24 PM</t>
  </si>
  <si>
    <t>16/06/2020 5:10 PM</t>
  </si>
  <si>
    <t>15/06/2020 2:29 PM</t>
  </si>
  <si>
    <t>11/06/2020 12:35 PM</t>
  </si>
  <si>
    <t>16/06/2020 12:51 PM</t>
  </si>
  <si>
    <t>16/06/2020 5:02 PM</t>
  </si>
  <si>
    <t>10/06/2020 4:19 PM</t>
  </si>
  <si>
    <t>13/06/2020 4:45 PM</t>
  </si>
  <si>
    <t>13/06/2020 4:43 PM</t>
  </si>
  <si>
    <t>10/06/2020 4:21 PM</t>
  </si>
  <si>
    <t>05/06/2020 5:05 PM</t>
  </si>
  <si>
    <t>15/06/2020 4:43 PM</t>
  </si>
  <si>
    <t>15/06/2020 4:42 PM</t>
  </si>
  <si>
    <t>04/06/2020 7:52 AM</t>
  </si>
  <si>
    <t>04/06/2020 8:03 AM</t>
  </si>
  <si>
    <t>15/06/2020 4:41 PM</t>
  </si>
  <si>
    <t>04/06/2020 8:00 AM</t>
  </si>
  <si>
    <t>16/06/2020 1:43 PM</t>
  </si>
  <si>
    <t>04/06/2020 10:54 AM</t>
  </si>
  <si>
    <t>13/06/2020 8:40 PM</t>
  </si>
  <si>
    <t>15/06/2020 11:55 PM</t>
  </si>
  <si>
    <t>09/06/2020 10:36 AM</t>
  </si>
  <si>
    <t>13/06/2020 4:57 PM</t>
  </si>
  <si>
    <t>02/06/2020 12:00 AM</t>
  </si>
  <si>
    <t>08/06/2020 9:25 AM</t>
  </si>
  <si>
    <t>15/06/2020 2:59 PM</t>
  </si>
  <si>
    <t>15/06/2020 1:19 PM</t>
  </si>
  <si>
    <t>15/06/2020 8:31 AM</t>
  </si>
  <si>
    <t>15/06/2020 1:18 PM</t>
  </si>
  <si>
    <t>16/06/2020 1:57 PM</t>
  </si>
  <si>
    <t>10/06/2020 4:38 PM</t>
  </si>
  <si>
    <t>16/06/2020 1:55 PM</t>
  </si>
  <si>
    <t>10/06/2020 3:52 PM</t>
  </si>
  <si>
    <t>16/06/2020 4:29 PM</t>
  </si>
  <si>
    <t>11/06/2020 8:51 AM</t>
  </si>
  <si>
    <t>15/06/2020 10:19 AM</t>
  </si>
  <si>
    <t>11/06/2020 10:04 PM</t>
  </si>
  <si>
    <t>11/06/2020 10:02 PM</t>
  </si>
  <si>
    <t>11/06/2020 10:03 PM</t>
  </si>
  <si>
    <t>11/06/2020 10:01 PM</t>
  </si>
  <si>
    <t>11/06/2020 12:20 PM</t>
  </si>
  <si>
    <t>11/06/2020 12:27 PM</t>
  </si>
  <si>
    <t>11/06/2020 3:14 PM</t>
  </si>
  <si>
    <t>15/06/2020 10:30 PM</t>
  </si>
  <si>
    <t>15/06/2020 6:35 PM</t>
  </si>
  <si>
    <t>03/06/2020 3:08 PM</t>
  </si>
  <si>
    <t>11/06/2020 4:13 PM</t>
  </si>
  <si>
    <t>11/06/2020 3:59 PM</t>
  </si>
  <si>
    <t>11/06/2020 10:00 PM</t>
  </si>
  <si>
    <t>11/06/2020 9:56 AM</t>
  </si>
  <si>
    <t>03/06/2020 9:39 AM</t>
  </si>
  <si>
    <t>15/06/2020 12:09 PM</t>
  </si>
  <si>
    <t>10/06/2020 5:13 PM</t>
  </si>
  <si>
    <t>09/06/2020 1:28 PM</t>
  </si>
  <si>
    <t>11/06/2020 1:12 PM</t>
  </si>
  <si>
    <t>09/06/2020 2:18 PM</t>
  </si>
  <si>
    <t>03/06/2020 3:57 PM</t>
  </si>
  <si>
    <t>09/06/2020 1:20 PM</t>
  </si>
  <si>
    <t>11/06/2020 2:07 PM</t>
  </si>
  <si>
    <t>15/06/2020 4:53 PM</t>
  </si>
  <si>
    <t>14/06/2020 10:47 PM</t>
  </si>
  <si>
    <t>03/06/2020 3:54 PM</t>
  </si>
  <si>
    <t>16/06/2020 9:11 AM</t>
  </si>
  <si>
    <t>10/06/2020 3:31 PM</t>
  </si>
  <si>
    <t>15/06/2020 2:25 PM</t>
  </si>
  <si>
    <t>11/06/2020 9:22 AM</t>
  </si>
  <si>
    <t>15/06/2020 2:23 PM</t>
  </si>
  <si>
    <t>09/06/2020 4:45 PM</t>
  </si>
  <si>
    <t>03/06/2020 10:30 AM</t>
  </si>
  <si>
    <t>16/06/2020 5:00 PM</t>
  </si>
  <si>
    <t>09/06/2020 2:27 PM</t>
  </si>
  <si>
    <t>11/06/2020 8:15 AM</t>
  </si>
  <si>
    <t>01/06/2020 9:34 PM</t>
  </si>
  <si>
    <t>16/06/2020 4:48 PM</t>
  </si>
  <si>
    <t>23/06/2020 5:00 PM</t>
  </si>
  <si>
    <t>19/06/2020 1:00 AM</t>
  </si>
  <si>
    <t>23/06/2020 2:00 PM</t>
  </si>
  <si>
    <t>06/07/2020 8:00 AM</t>
  </si>
  <si>
    <t>06/07/2020 2:00 PM</t>
  </si>
  <si>
    <t>07/07/2020 1:00 PM</t>
  </si>
  <si>
    <t>24/06/2020 8:00 AM</t>
  </si>
  <si>
    <t>08/07/2020 10:00 AM</t>
  </si>
  <si>
    <t>19/06/2020 9:00 AM</t>
  </si>
  <si>
    <t>22/06/2020 1:30 PM</t>
  </si>
  <si>
    <t>23/06/2020 1:00 PM</t>
  </si>
  <si>
    <t>07/07/2020 9:00 AM</t>
  </si>
  <si>
    <t>06/07/2020 10:00 AM</t>
  </si>
  <si>
    <t>07/07/2020 10:00 AM</t>
  </si>
  <si>
    <t>19/06/2020 10:00 AM</t>
  </si>
  <si>
    <t>23/06/2020 9:00 AM</t>
  </si>
  <si>
    <t>19/06/2020 5:00 PM</t>
  </si>
  <si>
    <t>06/07/2020 9:00 AM</t>
  </si>
  <si>
    <t>24/06/2020 10:00 AM</t>
  </si>
  <si>
    <t>24/06/2020 1:00 AM</t>
  </si>
  <si>
    <t>25/06/2020 1:00 AM</t>
  </si>
  <si>
    <t>23/06/2020 9:15 AM</t>
  </si>
  <si>
    <t>24/06/2020 9:00 AM</t>
  </si>
  <si>
    <t>23/06/2020 10:15 AM</t>
  </si>
  <si>
    <t>23/06/2020 9:30 AM</t>
  </si>
  <si>
    <t>19/06/2020 1:30 PM</t>
  </si>
  <si>
    <t>13/07/2020 10:00 AM</t>
  </si>
  <si>
    <t>22/06/2020 2:00 PM</t>
  </si>
  <si>
    <t>23/06/2020 10:00 AM</t>
  </si>
  <si>
    <t>23/06/2020 1:00 AM</t>
  </si>
  <si>
    <t>19/06/2020 12:00 PM</t>
  </si>
  <si>
    <t>25/06/2020 9:00 AM</t>
  </si>
  <si>
    <t>18/06/2020 1:00 AM</t>
  </si>
  <si>
    <t>23/06/2020 1:30 PM</t>
  </si>
  <si>
    <t>24/06/2020 2:00 PM</t>
  </si>
  <si>
    <t>29/06/2020 5:00 PM</t>
  </si>
  <si>
    <t>09/07/2020 9:00 AM</t>
  </si>
  <si>
    <t>26/06/2020 10:00 AM</t>
  </si>
  <si>
    <t>29/06/2020 1:00 PM</t>
  </si>
  <si>
    <t>08/07/2020 9:30 AM</t>
  </si>
  <si>
    <t>25/06/2020 11:00 PM</t>
  </si>
  <si>
    <t>22/06/2020 12:00 PM</t>
  </si>
  <si>
    <t>22/06/2020 1:12 PM</t>
  </si>
  <si>
    <t>19/06/2020 8:00 AM</t>
  </si>
  <si>
    <t>19/06/2020 2:00 PM</t>
  </si>
  <si>
    <t>25/06/2020 2:00 AM</t>
  </si>
  <si>
    <t>03/07/2020 2:00 PM</t>
  </si>
  <si>
    <t>07/07/2020 1:00 AM</t>
  </si>
  <si>
    <t>19/06/2020 11:30 PM</t>
  </si>
  <si>
    <t>19/06/2020 12:00 AM</t>
  </si>
  <si>
    <t>22/06/2020 9:00 AM</t>
  </si>
  <si>
    <t>24/06/2020 1:10 AM</t>
  </si>
  <si>
    <t>06/07/2020 11:00 AM</t>
  </si>
  <si>
    <t>22/06/2020 1:00 AM</t>
  </si>
  <si>
    <t>07/07/2020 2:00 PM</t>
  </si>
  <si>
    <t>19/06/2020 12:01 PM</t>
  </si>
  <si>
    <t>18/06/2020 5:00 PM</t>
  </si>
  <si>
    <t>19/06/2020 4:00 PM</t>
  </si>
  <si>
    <t>25/06/2020 10:00 AM</t>
  </si>
  <si>
    <t>01/07/2020 10:00 AM</t>
  </si>
  <si>
    <t>18/06/2020 9:00 AM</t>
  </si>
  <si>
    <t>23/06/2020 2:00 AM</t>
  </si>
  <si>
    <t>19/06/2020 1:00 PM</t>
  </si>
  <si>
    <t>24/06/2020 1:00 PM</t>
  </si>
  <si>
    <t>08/07/2020 11:30 AM</t>
  </si>
  <si>
    <t>30/06/2020 2:00 PM</t>
  </si>
  <si>
    <t>08/07/2020 9:00 AM</t>
  </si>
  <si>
    <t>18/06/2020 10:00 AM</t>
  </si>
  <si>
    <t>19/06/2020 3:00 PM</t>
  </si>
  <si>
    <t>24/06/2020 11:30 AM</t>
  </si>
  <si>
    <t>19/06/2020 1:05 PM</t>
  </si>
  <si>
    <t>23/06/2020 4:00 PM</t>
  </si>
  <si>
    <t>19/06/2020 4:30 PM</t>
  </si>
  <si>
    <t>18/06/2020 9:01 AM</t>
  </si>
  <si>
    <t>29/06/2020 2:00 PM</t>
  </si>
  <si>
    <t>22/06/2020 5:00 PM</t>
  </si>
  <si>
    <t>18/06/2020 8:00 AM</t>
  </si>
  <si>
    <t>22/06/2020 10:00 AM</t>
  </si>
  <si>
    <t>18/06/2020 9:09 AM</t>
  </si>
  <si>
    <t>03/07/2020 1:00 PM</t>
  </si>
  <si>
    <t>23/06/2020 8:00 AM</t>
  </si>
  <si>
    <t>30/06/2020 10:00 AM</t>
  </si>
  <si>
    <t>22/06/2020 1:00 PM</t>
  </si>
  <si>
    <t>26/06/2020 1:00 PM</t>
  </si>
  <si>
    <t>03/07/2020 10:00 AM</t>
  </si>
  <si>
    <t>17/06/2020 9:00 AM</t>
  </si>
  <si>
    <t>19/06/2020 8:59 AM</t>
  </si>
  <si>
    <t>03/07/2020 1:00 AM</t>
  </si>
  <si>
    <t>25/06/2020 2:00 PM</t>
  </si>
  <si>
    <t>30/06/2020 9:00 AM</t>
  </si>
  <si>
    <t>23/06/2020 11:00 AM</t>
  </si>
  <si>
    <t>25/06/2020 11:00 AM</t>
  </si>
  <si>
    <t>26/06/2020 1:00 AM</t>
  </si>
  <si>
    <t>08/07/2020 12:30 PM</t>
  </si>
  <si>
    <t>23/06/2020 12:00 AM</t>
  </si>
  <si>
    <t>30/06/2020 11:00 AM</t>
  </si>
  <si>
    <t>29/06/2020 10:00 AM</t>
  </si>
  <si>
    <t>19/06/2020 8:30 AM</t>
  </si>
  <si>
    <t>18/06/2020 9:45 AM</t>
  </si>
  <si>
    <t>23/06/2020 12:00 PM</t>
  </si>
  <si>
    <t>01/07/2020 9:00 AM</t>
  </si>
  <si>
    <t>18/06/2020 9:59 AM</t>
  </si>
  <si>
    <t>19/06/2020 6:00 PM</t>
  </si>
  <si>
    <t>22/06/2020 8:00 AM</t>
  </si>
  <si>
    <t>14/07/2020 10:00 AM</t>
  </si>
  <si>
    <t>09/07/2020 9:30 AM</t>
  </si>
  <si>
    <t>29/06/2020 9:00 AM</t>
  </si>
  <si>
    <t>03/07/2020 2:00 AM</t>
  </si>
  <si>
    <t>30/06/2020 1:00 AM</t>
  </si>
  <si>
    <t>01/07/2020 1:00 AM</t>
  </si>
  <si>
    <t>19/06/2020 5:00 AM</t>
  </si>
  <si>
    <t>07/07/2020 12:00 PM</t>
  </si>
  <si>
    <t>09/07/2020 10:00 AM</t>
  </si>
  <si>
    <t>07/07/2020 9:30 AM</t>
  </si>
  <si>
    <t>13/07/2020 2:00 PM</t>
  </si>
  <si>
    <t>25/06/2020 1:00 PM</t>
  </si>
  <si>
    <t>25/06/2020 7:00 AM</t>
  </si>
  <si>
    <t>18/06/2020 12:00 PM</t>
  </si>
  <si>
    <t>23/06/2020 8:59 AM</t>
  </si>
  <si>
    <t>08/07/2020 2:00 PM</t>
  </si>
  <si>
    <t>19/06/2020 5:05 PM</t>
  </si>
  <si>
    <t>19/06/2020 1:31 PM</t>
  </si>
  <si>
    <t>23/06/2020 11:15 AM</t>
  </si>
  <si>
    <t>08/07/2020 10:30 AM</t>
  </si>
  <si>
    <t>06/07/2020 1:00 PM</t>
  </si>
  <si>
    <t>26/06/2020 2:00 PM</t>
  </si>
  <si>
    <t>09/07/2020 1:30 PM</t>
  </si>
  <si>
    <t>18/06/2020 4:30 PM</t>
  </si>
  <si>
    <t>08/07/2020 8:00 AM</t>
  </si>
  <si>
    <t>23/06/2020 1:15 PM</t>
  </si>
  <si>
    <t>07/07/2020 1:30 PM</t>
  </si>
  <si>
    <t>13/07/2020 1:30 PM</t>
  </si>
  <si>
    <t>19/06/2020 7:00 AM</t>
  </si>
  <si>
    <t>19/06/2020 12:05 PM</t>
  </si>
  <si>
    <t>25/06/2020 2:30 PM</t>
  </si>
  <si>
    <t>22/06/2020 4:00 PM</t>
  </si>
  <si>
    <t>08/07/2020 1:00 AM</t>
  </si>
  <si>
    <t>07/07/2020 11:30 AM</t>
  </si>
  <si>
    <t>06/07/2020 1:30 PM</t>
  </si>
  <si>
    <t>22/06/2020 8:30 AM</t>
  </si>
  <si>
    <t>22/06/2020 11:00 AM</t>
  </si>
  <si>
    <t>25/06/2020 5:00 PM</t>
  </si>
  <si>
    <t>23/06/2020 2:06 PM</t>
  </si>
  <si>
    <t>17/06/2020 10:00 AM</t>
  </si>
  <si>
    <t>02/07/2020 1:00 AM</t>
  </si>
  <si>
    <t>23/06/2020 2:15 PM</t>
  </si>
  <si>
    <t>07/07/2020 10:30 AM</t>
  </si>
  <si>
    <t>19/06/2020 2:00 AM</t>
  </si>
  <si>
    <t>01/07/2020 5:00 PM</t>
  </si>
  <si>
    <t>23/06/2020 8:30 AM</t>
  </si>
  <si>
    <t>07/07/2020 11:15 AM</t>
  </si>
  <si>
    <t>17/06/2020 8:00 AM</t>
  </si>
  <si>
    <t>19/06/2020 2:45 PM</t>
  </si>
  <si>
    <t>23/06/2020 7:00 AM</t>
  </si>
  <si>
    <t>06/07/2020 12:00 PM</t>
  </si>
  <si>
    <t>25/06/2020 5:05 PM</t>
  </si>
  <si>
    <t>30/06/2020 3:00 PM</t>
  </si>
  <si>
    <t>18/06/2020 2:00 PM</t>
  </si>
  <si>
    <t>19/06/2020 10:30 AM</t>
  </si>
  <si>
    <t>25/06/2020 12:00 PM</t>
  </si>
  <si>
    <t>17/06/2020 1:00 AM</t>
  </si>
  <si>
    <t>22/06/2020 3:00 PM</t>
  </si>
  <si>
    <t>16/07/2020 9:30 AM</t>
  </si>
  <si>
    <t>10/07/2020 10:00 AM</t>
  </si>
  <si>
    <t>23/06/2020 3:00 PM</t>
  </si>
  <si>
    <t>18/06/2020 2:00 AM</t>
  </si>
  <si>
    <t>06/07/2020 5:00 PM</t>
  </si>
  <si>
    <t>19/06/2020 9:30 AM</t>
  </si>
  <si>
    <t>02/07/2020 8:00 AM</t>
  </si>
  <si>
    <t>17/06/2020 12:00 PM</t>
  </si>
  <si>
    <t>17/06/2020 2:00 PM</t>
  </si>
  <si>
    <t>26/06/2020 9:00 AM</t>
  </si>
  <si>
    <t>23/06/2020 9:05 AM</t>
  </si>
  <si>
    <t>23/06/2020 1:12 AM</t>
  </si>
  <si>
    <t>18/06/2020 3:00 PM</t>
  </si>
  <si>
    <t>17/06/2020 3:00 PM</t>
  </si>
  <si>
    <t>26/06/2020 5:00 PM</t>
  </si>
  <si>
    <t>24/06/2020 5:00 AM</t>
  </si>
  <si>
    <t>19/06/2020 8:00 PM</t>
  </si>
  <si>
    <t>22/06/2020 11:30 AM</t>
  </si>
  <si>
    <t>16/07/2020 1:00 PM</t>
  </si>
  <si>
    <t>22/07/2020 9:00 AM</t>
  </si>
  <si>
    <t>03/07/2020 9:00 AM</t>
  </si>
  <si>
    <t>08/07/2020 10:10 AM</t>
  </si>
  <si>
    <t>23/06/2020 2:30 PM</t>
  </si>
  <si>
    <t>18/06/2020 1:30 PM</t>
  </si>
  <si>
    <t>19/06/2020 11:00 AM</t>
  </si>
  <si>
    <t>29/06/2020 1:00 AM</t>
  </si>
  <si>
    <t>16/07/2020 12:00 PM</t>
  </si>
  <si>
    <t>26/06/2020 11:00 AM</t>
  </si>
  <si>
    <t>24/06/2020 10:30 AM</t>
  </si>
  <si>
    <t>24/06/2020 5:00 PM</t>
  </si>
  <si>
    <t>02/07/2020 10:00 AM</t>
  </si>
  <si>
    <t>25/06/2020 4:00 PM</t>
  </si>
  <si>
    <t>06/07/2020 1:30 AM</t>
  </si>
  <si>
    <t>26/06/2020 4:00 PM</t>
  </si>
  <si>
    <t>08/07/2020 2:00 AM</t>
  </si>
  <si>
    <t>03/08/2020 1:30 PM</t>
  </si>
  <si>
    <t>18/06/2020 1:00 PM</t>
  </si>
  <si>
    <t>25/06/2020 9:30 AM</t>
  </si>
  <si>
    <t>06/07/2020 8:59 AM</t>
  </si>
  <si>
    <t>06/07/2020 9:30 AM</t>
  </si>
  <si>
    <t>06/07/2020 10:30 AM</t>
  </si>
  <si>
    <t>18/06/2020 4:00 PM</t>
  </si>
  <si>
    <t>06/07/2020 1:00 AM</t>
  </si>
  <si>
    <t>23/06/2020 10:30 AM</t>
  </si>
  <si>
    <t>24/06/2020 3:00 PM</t>
  </si>
  <si>
    <t>29/06/2020 2:02 PM</t>
  </si>
  <si>
    <t>30/06/2020 8:00 AM</t>
  </si>
  <si>
    <t>17/07/2020 1:00 AM</t>
  </si>
  <si>
    <t>19/06/2020 9:01 AM</t>
  </si>
  <si>
    <t>13/07/2020 1:00 PM</t>
  </si>
  <si>
    <t>24/06/2020 11:00 AM</t>
  </si>
  <si>
    <t>10/07/2020 9:00 AM</t>
  </si>
  <si>
    <t>18/06/2020 12:00 AM</t>
  </si>
  <si>
    <t>07/07/2020 2:00 AM</t>
  </si>
  <si>
    <t>03/07/2020 11:59 PM</t>
  </si>
  <si>
    <t>23/06/2020 9:45 AM</t>
  </si>
  <si>
    <t>17/06/2020 1:00 PM</t>
  </si>
  <si>
    <t>17/06/2020 5:00 PM</t>
  </si>
  <si>
    <t>15/07/2020 5:00 PM</t>
  </si>
  <si>
    <t>15/07/2020 10:00 AM</t>
  </si>
  <si>
    <t>30/06/2020 5:00 PM</t>
  </si>
  <si>
    <t>22/07/2020 2:00 PM</t>
  </si>
  <si>
    <t>15/07/2020 2:01 PM</t>
  </si>
  <si>
    <t>23/07/2020 9:00 AM</t>
  </si>
  <si>
    <t>23/07/2020 10:00 AM</t>
  </si>
  <si>
    <t>29/06/2020 11:00 AM</t>
  </si>
  <si>
    <t>18/06/2020 3:00 AM</t>
  </si>
  <si>
    <t>29/06/2020 3:00 PM</t>
  </si>
  <si>
    <t>23/07/2020 2:00 PM</t>
  </si>
  <si>
    <t>23/07/2020 1:00 PM</t>
  </si>
  <si>
    <t>30/06/2020 1:00 PM</t>
  </si>
  <si>
    <t>22/06/2020 7:00 AM</t>
  </si>
  <si>
    <t>29/06/2020 4:00 PM</t>
  </si>
  <si>
    <t>26/06/2020 1:30 PM</t>
  </si>
  <si>
    <t>22/06/2020 9:30 AM</t>
  </si>
  <si>
    <t>23/06/2020 1:05 PM</t>
  </si>
  <si>
    <t>09/07/2020 1:00 PM</t>
  </si>
  <si>
    <t>18/06/2020 5:00 AM</t>
  </si>
  <si>
    <t>22/06/2020 1:01 AM</t>
  </si>
  <si>
    <t>18/06/2020 12:54 PM</t>
  </si>
  <si>
    <t>18/06/2020 1:36 PM</t>
  </si>
  <si>
    <t>22/06/2020 8:00 PM</t>
  </si>
  <si>
    <t>01/07/2020 1:00 PM</t>
  </si>
  <si>
    <t>22/06/2020 9:00 PM</t>
  </si>
  <si>
    <t>02/07/2020 3:00 PM</t>
  </si>
  <si>
    <t>29/06/2020 12:00 PM</t>
  </si>
  <si>
    <t>17/06/2020 11:00 AM</t>
  </si>
  <si>
    <t>17/06/2020 5:00 AM</t>
  </si>
  <si>
    <t>29/06/2020 8:00 AM</t>
  </si>
  <si>
    <t>17/06/2020 6:00 AM</t>
  </si>
  <si>
    <t>02/07/2020 9:00 AM</t>
  </si>
  <si>
    <t>17/06/2020 1:30 PM</t>
  </si>
  <si>
    <t>02/07/2020 1:00 PM</t>
  </si>
  <si>
    <t>07/07/2020 11:00 PM</t>
  </si>
  <si>
    <t>01/07/2020 12:00 PM</t>
  </si>
  <si>
    <t>26/06/2020 8:00 AM</t>
  </si>
  <si>
    <t>24/06/2020 8:30 AM</t>
  </si>
  <si>
    <t>17/06/2020 4:59 AM</t>
  </si>
  <si>
    <t>17/06/2020 4:59 PM</t>
  </si>
  <si>
    <t>19/06/2020 11:59 PM</t>
  </si>
  <si>
    <t>03/07/2020 1:30 PM</t>
  </si>
  <si>
    <t>18/06/2020 9:30 AM</t>
  </si>
  <si>
    <t>02/07/2020 9:30 AM</t>
  </si>
  <si>
    <t>26/06/2020 3:00 PM</t>
  </si>
  <si>
    <t>17/06/2020 4:00 PM</t>
  </si>
  <si>
    <t>01/07/2020 1:30 PM</t>
  </si>
  <si>
    <t>18/06/2020 1:45 PM</t>
  </si>
  <si>
    <t>02/07/2020 2:00 PM</t>
  </si>
  <si>
    <t>01/07/2020 2:00 PM</t>
  </si>
  <si>
    <t>09/07/2020 2:00 PM</t>
  </si>
  <si>
    <t>25/06/2020 8:00 AM</t>
  </si>
  <si>
    <t>01/07/2020 3:00 PM</t>
  </si>
  <si>
    <t>17/06/2020 12:55 PM</t>
  </si>
  <si>
    <t>19/06/2020 11:00 PM</t>
  </si>
  <si>
    <t>30/06/2020 2:30 PM</t>
  </si>
  <si>
    <t>08/07/2020 8:30 AM</t>
  </si>
  <si>
    <t>03/07/2020 8:30 AM</t>
  </si>
  <si>
    <t>01/07/2020 11:00 PM</t>
  </si>
  <si>
    <t>03/07/2020 10:30 AM</t>
  </si>
  <si>
    <t>01/07/2020 11:00 AM</t>
  </si>
  <si>
    <t>22/06/2020 10:30 AM</t>
  </si>
  <si>
    <t>17/06/2020 4:30 PM</t>
  </si>
  <si>
    <t>17/06/2020 3:00 AM</t>
  </si>
  <si>
    <t>03/07/2020 3:00 PM</t>
  </si>
  <si>
    <t>02/07/2020 9:45 AM</t>
  </si>
  <si>
    <t>01/07/2020 9:30 AM</t>
  </si>
  <si>
    <t>01/07/2020 4:00 PM</t>
  </si>
  <si>
    <t>13/07/2020 1:00 AM</t>
  </si>
  <si>
    <t>03/07/2020 3:30 PM</t>
  </si>
  <si>
    <t>25/06/2020 11:30 AM</t>
  </si>
  <si>
    <t>17/07/2020 10:00 AM</t>
  </si>
  <si>
    <t>02/07/2020 10:50 AM</t>
  </si>
  <si>
    <t>06/07/2020 3:00 PM</t>
  </si>
  <si>
    <t>22/06/2020 1:02 PM</t>
  </si>
  <si>
    <t>19/06/2020 1:11 AM</t>
  </si>
  <si>
    <t>06/07/2020 8:30 AM</t>
  </si>
  <si>
    <t>18/06/2020 11:00 AM</t>
  </si>
  <si>
    <t>02/07/2020 12:00 PM</t>
  </si>
  <si>
    <t>18/06/2020 2:30 PM</t>
  </si>
  <si>
    <t>02/07/2020 2:30 PM</t>
  </si>
  <si>
    <t>30/06/2020 9:30 AM</t>
  </si>
  <si>
    <t>30/06/2020 10:15 AM</t>
  </si>
  <si>
    <t>03/07/2020 9:30 AM</t>
  </si>
  <si>
    <t>30/06/2020 9:15 AM</t>
  </si>
  <si>
    <t>17/06/2020 10:30 AM</t>
  </si>
  <si>
    <t>26/06/2020 9:30 AM</t>
  </si>
  <si>
    <t>14/07/2020 1:30 PM</t>
  </si>
  <si>
    <t>18/06/2020 1:09 AM</t>
  </si>
  <si>
    <t>18/06/2020 1:10 AM</t>
  </si>
  <si>
    <t>18/06/2020 8:30 AM</t>
  </si>
  <si>
    <t>29/06/2020 11:30 AM</t>
  </si>
  <si>
    <t>25/06/2020 1:30 PM</t>
  </si>
  <si>
    <t>29/06/2020 12:30 PM</t>
  </si>
  <si>
    <t>30/06/2020 8:30 AM</t>
  </si>
  <si>
    <t>25/06/2020 1:30 AM</t>
  </si>
  <si>
    <t>29/06/2020 10:30 AM</t>
  </si>
  <si>
    <t>18/06/2020 10:30 AM</t>
  </si>
  <si>
    <t>17/06/2020 1:04 PM</t>
  </si>
  <si>
    <t>03/07/2020 11:00 AM</t>
  </si>
  <si>
    <t>18/06/2020 10:10 AM</t>
  </si>
  <si>
    <t>01/07/2020 11:59 PM</t>
  </si>
  <si>
    <t>07/07/2020 11:00 AM</t>
  </si>
  <si>
    <t>08/07/2020 11:00 AM</t>
  </si>
  <si>
    <t>18/06/2020 11:30 AM</t>
  </si>
  <si>
    <t>01/07/2020 1:09 AM</t>
  </si>
  <si>
    <t>06/07/2020 5:00 AM</t>
  </si>
  <si>
    <t>08/07/2020 1:00 PM</t>
  </si>
  <si>
    <t>08/07/2020 3:00 PM</t>
  </si>
  <si>
    <t>09/07/2020 11:00 AM</t>
  </si>
  <si>
    <t>30/06/2020 12:00 PM</t>
  </si>
  <si>
    <t>23/06/2020 3:00 AM</t>
  </si>
  <si>
    <t>30/06/2020 1:30 PM</t>
  </si>
  <si>
    <t>29/06/2020 1:30 PM</t>
  </si>
  <si>
    <t>01/07/2020 8:00 AM</t>
  </si>
  <si>
    <t>30/06/2020 5:00 AM</t>
  </si>
  <si>
    <t>02/07/2020 10:30 AM</t>
  </si>
  <si>
    <t>30/06/2020 2:05 PM</t>
  </si>
  <si>
    <t>17/06/2020 2:30 PM</t>
  </si>
  <si>
    <t>30/06/2020 11:30 AM</t>
  </si>
  <si>
    <t>02/07/2020 11:00 AM</t>
  </si>
  <si>
    <t>02/07/2020 1:30 PM</t>
  </si>
  <si>
    <t>19/06/2020 9:31 AM</t>
  </si>
  <si>
    <t>19/06/2020 2:30 PM</t>
  </si>
  <si>
    <t>01/07/2020 8:59 AM</t>
  </si>
  <si>
    <t>02/07/2020 12:30 PM</t>
  </si>
  <si>
    <t>22/06/2020 1:30 AM</t>
  </si>
  <si>
    <t>17/06/2020 1:15 PM</t>
  </si>
  <si>
    <t>17/06/2020 8:30 AM</t>
  </si>
  <si>
    <t>21/07/2020 9:00 AM</t>
  </si>
  <si>
    <t>21/07/2020 10:00 AM</t>
  </si>
  <si>
    <t>21/07/2020 1:00 PM</t>
  </si>
  <si>
    <t>21/07/2020 3:00 PM</t>
  </si>
  <si>
    <t>18/06/2020 7:00 AM</t>
  </si>
  <si>
    <t>21/07/2020 2:00 PM</t>
  </si>
  <si>
    <t>30/07/2020 9:00 AM</t>
  </si>
  <si>
    <t>30/06/2020 10:30 AM</t>
  </si>
  <si>
    <t>01/07/2020 8:50 AM</t>
  </si>
  <si>
    <t>01/07/2020 9:50 AM</t>
  </si>
  <si>
    <t>01/07/2020 10:50 AM</t>
  </si>
  <si>
    <t>01/07/2020 1:50 PM</t>
  </si>
  <si>
    <t>17/07/2020 12:00 PM</t>
  </si>
  <si>
    <t>01/07/2020 12:50 PM</t>
  </si>
  <si>
    <t>25/06/2020 10:30 AM</t>
  </si>
  <si>
    <t>03/07/2020 3:00 AM</t>
  </si>
  <si>
    <t>06/07/2020 1:29 PM</t>
  </si>
  <si>
    <t>17/06/2020 10:45 AM</t>
  </si>
  <si>
    <t>17/06/2020 9:30 AM</t>
  </si>
  <si>
    <t>30/06/2020 9:45 AM</t>
  </si>
  <si>
    <t>17/06/2020 11:30 AM</t>
  </si>
  <si>
    <t>29/06/2020 8:30 AM</t>
  </si>
  <si>
    <t>29/06/2020 9:15 AM</t>
  </si>
  <si>
    <t>17/06/2020 11:59 AM</t>
  </si>
  <si>
    <t>27/07/2020 2:00 PM</t>
  </si>
  <si>
    <t>17/06/2020 2:06 PM</t>
  </si>
  <si>
    <t>17/06/2020 11:55 AM</t>
  </si>
  <si>
    <t>24/06/2020 1:30 PM</t>
  </si>
  <si>
    <t>17/06/2020 7:00 AM</t>
  </si>
  <si>
    <t>17/06/2020 7:00 PM</t>
  </si>
  <si>
    <t>10/07/2020 1:30 PM</t>
  </si>
  <si>
    <t>03/07/2020 5:00 PM</t>
  </si>
  <si>
    <t>29/06/2020 1:45 PM</t>
  </si>
  <si>
    <t>29/06/2020 3:45 PM</t>
  </si>
  <si>
    <t>18/06/2020 2:05 PM</t>
  </si>
  <si>
    <t>24/07/2020 10:00 AM</t>
  </si>
  <si>
    <t>30/06/2020 8:59 AM</t>
  </si>
  <si>
    <t>13/07/2020 12:00 PM</t>
  </si>
  <si>
    <t>29/06/2020 10:05 AM</t>
  </si>
  <si>
    <t>29/06/2020 2:15 PM</t>
  </si>
  <si>
    <t>30/06/2020 2:10 PM</t>
  </si>
  <si>
    <t>30/06/2020 1:59 PM</t>
  </si>
  <si>
    <t>30/06/2020 4:00 PM</t>
  </si>
  <si>
    <t>10/07/2020 10:30 AM</t>
  </si>
  <si>
    <t>25/06/2020 8:30 AM</t>
  </si>
  <si>
    <t>26/06/2020 5:00 AM</t>
  </si>
  <si>
    <t>19/06/2020 9:15 AM</t>
  </si>
  <si>
    <t>29/06/2020 9:30 AM</t>
  </si>
  <si>
    <t>29/07/2020 9:00 AM</t>
  </si>
  <si>
    <t>29/06/2020 9:45 AM</t>
  </si>
  <si>
    <t>30/06/2020 1:45 PM</t>
  </si>
  <si>
    <t>29/06/2020 2:30 PM</t>
  </si>
  <si>
    <t>10/07/2020 5:00 PM</t>
  </si>
  <si>
    <t>16/07/2020 10:00 AM</t>
  </si>
  <si>
    <t>23/06/2020 9:59 AM</t>
  </si>
  <si>
    <t>06/07/2020 2:00 AM</t>
  </si>
  <si>
    <t>29/06/2020 2:00 AM</t>
  </si>
  <si>
    <t>30/06/2020 2:00 AM</t>
  </si>
  <si>
    <t>30/06/2020 3:00 AM</t>
  </si>
  <si>
    <t>17/06/2020 2:32 PM</t>
  </si>
  <si>
    <t>29/07/2020 9:30 AM</t>
  </si>
  <si>
    <t>08/07/2020 12:00 PM</t>
  </si>
  <si>
    <t>29/06/2020 5:00 AM</t>
  </si>
  <si>
    <t>29/06/2020 2:10 PM</t>
  </si>
  <si>
    <t>30/06/2020 8:45 AM</t>
  </si>
  <si>
    <t>17/06/2020 5:05 PM</t>
  </si>
  <si>
    <t>30/06/2020 11:59 PM</t>
  </si>
  <si>
    <t>02/07/2020 8:30 AM</t>
  </si>
  <si>
    <t>26/06/2020 8:30 AM</t>
  </si>
  <si>
    <t>06/07/2020 4:00 PM</t>
  </si>
  <si>
    <t>29/06/2020 8:45 AM</t>
  </si>
  <si>
    <t>26/06/2020 10:30 AM</t>
  </si>
  <si>
    <t>22/06/2020 8:45 AM</t>
  </si>
  <si>
    <t>25/06/2020 3:00 PM</t>
  </si>
  <si>
    <t>09/07/2020 3:00 PM</t>
  </si>
  <si>
    <t>20/07/2020 10:00 AM</t>
  </si>
  <si>
    <t>24/06/2020 12:00 PM</t>
  </si>
  <si>
    <t>25/06/2020 1:59 PM</t>
  </si>
  <si>
    <t>07/07/2020 5:00 PM</t>
  </si>
  <si>
    <t>24/06/2020 9:59 AM</t>
  </si>
  <si>
    <t>26/06/2020 12:00 PM</t>
  </si>
  <si>
    <t>26/06/2020 2:30 PM</t>
  </si>
  <si>
    <t>02/07/2020 5:00 PM</t>
  </si>
  <si>
    <t>25/06/2020 12:00 AM</t>
  </si>
  <si>
    <t>20/07/2020 9:00 AM</t>
  </si>
  <si>
    <t>20/07/2020 1:00 PM</t>
  </si>
  <si>
    <t>20/07/2020 3:00 PM</t>
  </si>
  <si>
    <t>20/07/2020 2:00 PM</t>
  </si>
  <si>
    <t>25/06/2020 9:59 AM</t>
  </si>
  <si>
    <t>23/06/2020 11:30 AM</t>
  </si>
  <si>
    <t>24/06/2020 9:30 AM</t>
  </si>
  <si>
    <t>24/06/2020 4:00 PM</t>
  </si>
  <si>
    <t>24/06/2020 1:01 PM</t>
  </si>
  <si>
    <t>23/06/2020 10:01 AM</t>
  </si>
  <si>
    <t>24/06/2020 4:00 AM</t>
  </si>
  <si>
    <t>25/06/2020 5:00 AM</t>
  </si>
  <si>
    <t>18/06/2020 6:00 PM</t>
  </si>
  <si>
    <t>23/06/2020 5:00 AM</t>
  </si>
  <si>
    <t>23/06/2020 9:01 AM</t>
  </si>
  <si>
    <t>22/06/2020 2:00 AM</t>
  </si>
  <si>
    <t>22/06/2020 2:30 PM</t>
  </si>
  <si>
    <t>22/06/2020 3:30 PM</t>
  </si>
  <si>
    <t>23/06/2020 10:00 PM</t>
  </si>
  <si>
    <t>29/06/2020 1:12 PM</t>
  </si>
  <si>
    <t>22/06/2020 12:00 AM</t>
  </si>
  <si>
    <t>18/06/2020 3:30 PM</t>
  </si>
  <si>
    <t>22/06/2020 10:01 AM</t>
  </si>
  <si>
    <t>23/06/2020 12:30 PM</t>
  </si>
  <si>
    <t>24/06/2020 8:59 AM</t>
  </si>
  <si>
    <t>23/06/2020 2:30 AM</t>
  </si>
  <si>
    <t>23/06/2020 3:30 PM</t>
  </si>
  <si>
    <t>23/06/2020 10:45 AM</t>
  </si>
  <si>
    <t>23/06/2020 4:30 PM</t>
  </si>
  <si>
    <t>22/06/2020 12:55 PM</t>
  </si>
  <si>
    <t>23/06/2020 8:50 AM</t>
  </si>
  <si>
    <t>23/06/2020 1:59 PM</t>
  </si>
  <si>
    <t>27/07/2020 5:00 PM</t>
  </si>
  <si>
    <t>23/06/2020 9:50 AM</t>
  </si>
  <si>
    <t xml:space="preserve"> INVITATION TO SUBMIT QUOTATION Quotation Issue Date: June 16, 2020 Quotation Closing Date:  June 23, 2020 Approved Budget for the Contract (ABC):  Php 851,500.00 Description of Goods and Quantity Required:  Procurement of Thirteen (13) Units High Speed Co</t>
  </si>
  <si>
    <t xml:space="preserve"> QTY   UNIT      DESCRIPTION  2       Set       Window Type, 2.5 HP Cooling Capacity, Power Supply:220V/60Hz Single Phase, 12 hr timer Function, wireless remote control panel includes installation material and labor</t>
  </si>
  <si>
    <t xml:space="preserve"> Invitation to Bid for the Supply and Delivery of various Medicine for the use of Brgy. Talahib Payapa, Batangas City</t>
  </si>
  <si>
    <t xml:space="preserve"> The Ipil NHS wants to hire 2 Agency Security Guards with an ABC of 240,000.00 in a year.</t>
  </si>
  <si>
    <t xml:space="preserve"> INVITATION TO BID                                                                   ITB NO. 20-08 	The Lung Center of the Philippines (LCP), through its Bids and Awards Committee (BAC), invites eligible bidders to bid for the : “PROCUREMENT OF VARIOUS MED</t>
  </si>
  <si>
    <t xml:space="preserve"> June 15, 2020 INVITATION TO BID  Reference No. 7031606 /Solicitation No.20-22 The City Government of Tagum invites interested Bidders/Suppliers to bid for the following: Name of Contract         :  SUPPLY AND INSTALLATION OF PANORAMIC/SCENIC ELEVATOR     </t>
  </si>
  <si>
    <t xml:space="preserve"> PROCUREMENT OF THE FOLLOWING SERVICES: DUMPING AND SPREADING OF ITEM 201 APPROX. 150.0 METERS A. MATERIALS     ITEM 201 B. LABOR C. HAULING FOR MORE DETAILS VISIT THE BARANGAY</t>
  </si>
  <si>
    <t xml:space="preserve"> Purchase of Office Supplies - 2nd Quarter - SHS</t>
  </si>
  <si>
    <t xml:space="preserve"> Please see attached copy of Request for Quotation</t>
  </si>
  <si>
    <t xml:space="preserve"> The AGRICULTURAL TRAINING INSTITUTE-REGIONAL TRAINING CENTER (ATI-RTC) X, through the 2020 General Appropriations Act intends to apply the sum of Sixty Four Thousand Two Hundred Pesos (P 64,200.00) being the Approved Budget for the Contract (ABC) to payme</t>
  </si>
  <si>
    <t xml:space="preserve"> Consulting Services for Cabacanan Small Reservoir Irrigation Project-Detailed Engineering</t>
  </si>
  <si>
    <t xml:space="preserve"> Republic of the Philippines Bangsamoro Autonomous Region in Muslim Mindanao Province of Maguindanao MUNICIPALITY OF DATU ABDULLAH SANGKI BIDS AND AWARDS COMMITTE   Talisawa, Datu Abdullah Sangki, Maguindanao   INVITATION TO BID The Local Government Unit o</t>
  </si>
  <si>
    <t xml:space="preserve"> The AGRICULTURAL TRAINING INSTITUTE-REGIONAL TRAINING CENTER (ATI-RTC) X, through the 2020 General Appropriations Act intends to apply the sum of Three Thousand Four Hundred Pesos (P 3,400.00) being the Approved Budget for the Contract (ABC) to payments u</t>
  </si>
  <si>
    <t xml:space="preserve"> CNH-0320-032</t>
  </si>
  <si>
    <t xml:space="preserve"> In view of the two (2) failed public biddings, the Local Government Unit (LGU) Bids and Awards Committee (BAC) invites interested bidder/s to participate in the negotiation for the Completion of Day Center with an Approved Budget for the Contract (ABC) of</t>
  </si>
  <si>
    <t xml:space="preserve"> 602 bottles of multivitamins with inositol 135 boxes of ferrous sulfate BAC Activity 1. Advertisement/Invitation to bid - June 15, 2020 2. Issuance of Bid Documents - June 16-23, 2020  3. Submission of Receipt of Bids - July 7, 2020 @ 1:00 PM 4. Opening o</t>
  </si>
  <si>
    <t xml:space="preserve"> PROCUREMENT OF THE FOLLOWING SERVICES: DUMPING AND SPREADING OF ITEM 201 APPROX. 1 KILOMETER. A. MATERIALS     ITEM 201 B. LABOR FOR MORE DETAILS VISIT THE BARANGAY</t>
  </si>
  <si>
    <t xml:space="preserve"> Procurement of Male Condom</t>
  </si>
  <si>
    <t xml:space="preserve"> ALBAY 3RD DISTRICT ENGINEERING OFFICE																											 Paulog, Ligao City																											 																											 INVITATION TO BID																											 																											 The Department of Public Works and Highways</t>
  </si>
  <si>
    <t xml:space="preserve"> PROCUREMENT OF THE FOLLOWING SERVICES: DUMPING AND SPREADING OF ITEM 201 APPROX. 250.0 METERS. A. MATERIALS     ITEM 201 B. LABOR FOR MORE DETAILS VISIT THE BARANGAY</t>
  </si>
  <si>
    <t xml:space="preserve"> 1 set Broad Band 1 set Laptop 1 set Desk Top 1 Unit Photo Copier w/ scanner 1 Unit Digit Camera (DSLR) 4 pcs External Memory 2 pcs External Drive 2 Unit Desk Top Computer 1 Unit Laptop Computer 1 Unit Printer 1 Unit Laptop 2 Units Printer FX 2175  1 Units</t>
  </si>
  <si>
    <t xml:space="preserve"> PROCUREMENT OF THE FOLLOWING SERVICES: DUMPING AND SPREADING OF ITEM 201 APPROX. 350.0 METERS A. MATERIALS     ITEM 201 B. LABOR FOR MORE DETAILS VISIT THE BARANGAY</t>
  </si>
  <si>
    <t xml:space="preserve"> 357 pcs Cudgel (Batuta)</t>
  </si>
  <si>
    <t xml:space="preserve"> ALBAY 3RD DISTRICT ENGINEERING OFFICE																										 Paulog, Ligao City																										 																										 																										 INVITATION TO BID																										 																										 																					</t>
  </si>
  <si>
    <t xml:space="preserve"> Construction of WWS, Podpod-Paddig to ES Baclas, Apatan, Pinukpuk</t>
  </si>
  <si>
    <t xml:space="preserve"> Procurement of Medical Supplies Lot 1</t>
  </si>
  <si>
    <t xml:space="preserve"> Please quote your lowest price on the item/s in the line item.</t>
  </si>
  <si>
    <t xml:space="preserve"> Repair &amp; Construction of WWS, Bonnong-Taga, Pinukpuk</t>
  </si>
  <si>
    <t xml:space="preserve"> The AGRICULTURAL TRAINING INSTITUTE-REGIONAL TRAINING CENTER (ATI-RTC) X, through the 2020 General Appropriations Act intends to apply the sum of Two Hundred Fifty One Thousand Pesos (P 251,000.00) being the Approved Budget for the Contract (ABC) to payme</t>
  </si>
  <si>
    <t xml:space="preserve"> Procurement of Lynestrenol</t>
  </si>
  <si>
    <t xml:space="preserve"> 1 UNIT LAPTOP 15 1 PORTABLE PHOTO PRINTER 1 UNIT PRINTER 3N1 W/ADF PLS. SEE ATTACHED FILE.</t>
  </si>
  <si>
    <t xml:space="preserve"> Republic of the Philippines Province of Iloilo  BIDS AND AWARDS COMMITTEE REQUEST FOR QUOTATION Quotation No. PPD-20-043 NP3(SV) Reference PR No. PPD-20-043 May 20, 2019 _________________________ _________________________ _________________________ (Suppli</t>
  </si>
  <si>
    <t xml:space="preserve"> Procurement of Personal Protective Equipment</t>
  </si>
  <si>
    <t xml:space="preserve"> The AGRICULTURAL TRAINING INSTITUTE-REGIONAL TRAINING CENTER (ATI-RTC) X, through the 2020 General Appropriations Act intends to apply the sum of Twenty Three Thousand Pesos (P 23,000.00) being the Approved Budget for the Contract (ABC) to payments under </t>
  </si>
  <si>
    <t xml:space="preserve"> TERMS OF REFERENCE 				                   For Petroleum RATIONALE: In compliance with Republic Act No. 9184 (R.A. 9184),as reiterated in Section 5 of its Implementing Rules and Regulations (IRR),procurement of general support services, including its non-p</t>
  </si>
  <si>
    <t xml:space="preserve"> Order/Download and fill up attach Request for Quotation and submit to the BAC Office on/before closing date</t>
  </si>
  <si>
    <t xml:space="preserve"> Please see attached copy of the Request For Quotation</t>
  </si>
  <si>
    <t xml:space="preserve"> One (1) Job Contract Furnishing Materials, Labor &amp; Equipment for Construction of Evacuation Center Phase 4</t>
  </si>
  <si>
    <t xml:space="preserve"> Republic of the Philippines PROVINCE OF SOUTHERN LEYTE Maasin City Invitation to Bid for the Rehabilitation of Spring Development Project Barangay Mahayag, St. Bernard, Southern Leyte Contact ID # - 2020-07-07-035CW 1.	The Provincial Government of Souther</t>
  </si>
  <si>
    <t xml:space="preserve"> Republic of the Philippines Province of Agusan del Sur Municipality of Trento BIDS &amp; AWARDS COMMITTEE INVITATION TO BID  FOR THE PROVISION OF OUTDOOR FACILITIES (PHYSICAL ACTIVITY EQUIPMENT) AND CONSTRUCTION OF PERIMETER FENCE PHASE 2 - OUTDOOR FACILITIES</t>
  </si>
  <si>
    <t xml:space="preserve"> Source of Fund: CY 2020 BASIC EDUCATIONAL FACILITIES FUND Expected Completion Period: 120 calendar days upon receipt of NTP The Department of Education, Dagupan City Division, through its Bids and Awards Committee (BAC), now invites bids for the above men</t>
  </si>
  <si>
    <t xml:space="preserve"> Republic of the Philippines PROVINCE OF SOUTHERN LEYTE Maasin City Invitation to Bid for the Construction of Canopy of Covered Court Barangay Cantutang, Padre Burgos, Southern Leyte Contact ID # - 2020-07-07-030CW 1.	The Provincial Government of Southern </t>
  </si>
  <si>
    <t xml:space="preserve"> Republic of the Philippines PROVINCE OF SOUTHERN LEYTE Maasin City Invitation to Bid for the Construction of Cabul-anonan Seawall Barangay Cabul-anonan, Malitbog, Southern Leyte Contact ID # - 2020-07-07-036CW 1.	The Provincial Government of Southern Leyt</t>
  </si>
  <si>
    <t xml:space="preserve"> School Supplies</t>
  </si>
  <si>
    <t xml:space="preserve"> Republic of the Philippines PROVINCE OF SOUTHERN LEYTE Maasin City Invitation to Bid for the Fabrication &amp; Installation of PAIASO Shelves Capitol Site, Asuncion, Maasin City, Southern Leyte Contact ID # - 2020-07-07-041CW 1.	The Provincial Government of S</t>
  </si>
  <si>
    <t xml:space="preserve"> Republic of the Philippines PROVINCE OF SOUTHERN LEYTE Maasin City Invitation to Bid for the Construction of Multi-Purpose Hall Barangay San Antonio, Tomas Oppus, Southern Leyte Contact ID # - 2020-07-07-031CW 1.	The Provincial Government of Southern Leyt</t>
  </si>
  <si>
    <t xml:space="preserve"> Republic of the Philippines PROVINCE OF SOUTHERN LEYTE Maasin City Invitation to Bid for the Reblocking of St. Bernard Municipal Road Barangay Himatagon, St. Bernard, Southern Leyte Contact ID # - 2020-07-07-040CW 1.	The Provincial Government of Southern </t>
  </si>
  <si>
    <t xml:space="preserve"> 1.	The Laguna State Polytechnic University Main Campus, through the LSPU-STF intends to apply the sum of Php2,000,000.00 being the Approved Budget for the Contract (ABC) to payments under the contract for the Procurement of Books for the University Librar</t>
  </si>
  <si>
    <t xml:space="preserve"> Republic of the Philippines PROVINCE OF SOUTHERN LEYTE Maasin City Invitation to Bid for the Rehabilitation of Barangay Pandan Multi-Purpose Building Barangay Pandan, Liloan, Southern Leyte Contact ID # - 2020-07-07-034CW 1.	The Provincial Government of S</t>
  </si>
  <si>
    <t xml:space="preserve"> Republic of the Philippines PROVINCE OF SOUTHERN LEYTE Maasin City Invitation to Bid for the Concreting of Soro-Soro-Hanginan Barangay Road Maasin City, Southern Leyte Contact ID # - 2020-07-07-046CW 1.	The Provincial Government of Southern Leyte, through</t>
  </si>
  <si>
    <t xml:space="preserve"> Republic of the Philippines PROVINCE OF SOUTHERN LEYTE Maasin City Invitation to Bid for the Construction of San Ramon CHB Canal Barangay San Ramon, Bontoc, Southern Leyte Contact ID # - 2020-07-07-038CW 1.	The Provincial Government of Southern Leyte, thr</t>
  </si>
  <si>
    <t xml:space="preserve"> Republic of the Philippines PROVINCE OF SOUTHERN LEYTE Maasin City Invitation to Bid for the Construction of Magaupas River Control Barangay Magaupas, Liloan, Southern Leyte Contact ID # - 2020-07-07-037CW 1.	The Provincial Government of Southern Leyte, t</t>
  </si>
  <si>
    <t xml:space="preserve"> Concreting of Barangay Road including 1. Subgade Preparation 2. Aggregate Base Course 3. Cement and Pavement.</t>
  </si>
  <si>
    <t xml:space="preserve"> 1. The  Municipality  of   Laua-an,  Antique   intends  to  apply  the  sum   of One Hundred Ninety Nine Thousand Nine Hundred Seventy One Pesos &amp; 24/100 Only (Php199,971.24) being the Approved  Budget  for the  Contract  (ABC) to payments under the contr</t>
  </si>
  <si>
    <t xml:space="preserve"> Republic of the Philippines PROVINCE OF SOUTHERN LEYTE Maasin City Invitation to Bid for the Construction of Ilihan Concrete Pavement Barangay Ilihan, Macrohon, Southern Leyte Contact ID # - 2020-07-07-049CW 1.	The Provincial Government of Southern Leyte,</t>
  </si>
  <si>
    <t xml:space="preserve"> 1.	The Local Government Unit of Las Nieves, through the Budget for the Contract Approved by the Sanggunian (20% DF) intends to apply the sum of one hundred forty four thousand and twenty five pesos only (Php 144,025.00)  being the Approved Budget for the </t>
  </si>
  <si>
    <t xml:space="preserve"> ASSORTED CWN 76 KGS PORTLAND CEMENT 150 BAG 18 PCS 16 MM RSB 170.46 KGS #16 TIE WIRE 31 KGS 130-10MM ᴓ X 6M RSB 481 KGS 82-16MM ᴓ X 6M RSB 776.54 KGS FORM OIL 10 GAL SOLIGNUM 2 GAL 1/2" THK PLYWOOD 24 PCS 9' CORR GI SHEET 60 PCS RIDGE ROLL 5 PCS GUTTER 58</t>
  </si>
  <si>
    <t xml:space="preserve"> ART B OTHER GENERAL REQUIREMENTS B.5 PROJECT BILLBOARD/SIGNBOARD 1 LOT PART A EARTHWORK 801 REMOVAL OF STRUCTURES AND OBSTRUCTION 1 LUMPSUM 803(1)A EXCAVATION(CANAL EXCAVATION) 84 CU.M PART B PLAIN AND REINFORCED CONCRETE WORKS 900(1)A2 STRUCTURAL CONCRET</t>
  </si>
  <si>
    <t xml:space="preserve"> Republic of the Philippines PROVINCE OF SOUTHERN LEYTE Maasin City Invitation to Bid for the Completion/Concreting of Barangay Road Barangay Lumbog, Hinunangan, Southern Leyte Contact ID # - 2020-07-07-039CW 1.	The Provincial Government of Southern Leyte,</t>
  </si>
  <si>
    <t xml:space="preserve"> Republic of the Philippines PROVINCE OF SOUTHERN LEYTE Maasin City Invitation to Bid for the Concreting of Pandan Road Barangay Pandan, Sogod, Southern Leyte Contact ID # - 2020-07-07-048CW 1.	The Provincial Government of Southern Leyte, through the 20% E</t>
  </si>
  <si>
    <t xml:space="preserve"> 1.	The Local Government Unit of Las Nieves, through the Budget for the Contract Approved by the Sanggunian (20% DF) intends to apply the sum of one hundred eighty thousand pesos only (Php 180,000.00) for Lot 1 and seven thousand six hundred fifty pesos on</t>
  </si>
  <si>
    <t xml:space="preserve"> 1. 1710(5) GROUTED RIPRAP(CLASS A) 192 CU.M 2. 1704(1) EMBANKMENT 369.60 CU.M 3. PROJECT BILLBOARD  1 EACH</t>
  </si>
  <si>
    <t xml:space="preserve"> P.R. No. X11-20-02-104 - Supply and Delivery for the repair and maintenance of Mitsubishi Montero, H1-7670 (B5-G363) assigned at COA. (Please see attached RFQ)</t>
  </si>
  <si>
    <t xml:space="preserve"> P.R. No. X4-20-03-137 - Supply and Delivery for the use in the Construction Division. (Please see attached RFQ)</t>
  </si>
  <si>
    <t xml:space="preserve"> Republic of the Philippines PROVINCE OF SOUTHERN LEYTE Maasin City Invitation to Bid for the Concreting of Dagsa Barangay Road Barangay Dagsa, Sogod, Southern Leyte Contact ID # - 2020-07-07-047CW 1.	The Provincial Government of Southern Leyte, through th</t>
  </si>
  <si>
    <t xml:space="preserve"> 1. The  Municipality  of   Laua-an,  Antique   intends  to  apply  the  sum   of Four Hundred Ninety Nine Thousand Nine Hundred Ninety Nine Pesos &amp; 50/100 Only (Php499,999.50) being the Approved  Budget  for the  Contract  (ABC) to payments under the cont</t>
  </si>
  <si>
    <t xml:space="preserve"> ONE LOT 1. C.I. Gate Valve #75 mm dia, F/F w/ steel Ring flange &amp; BNG 2. C.I Gate valve box cover #150mm dia 3. C.I. Tee #100mm dia x 75 mm dia, M/F 4. C.I. Sleeve Type coupling #100 mm dia x 178 mm for PVC 5. C.I. Transition coupling #100mm dia x 178mm m</t>
  </si>
  <si>
    <t xml:space="preserve"> See attachment/s.</t>
  </si>
  <si>
    <t xml:space="preserve"> P.R. No. X11-20-04-194 - Supply and Delivery for the use of Ford Ranger Pick-up, H1-5972 (100803/ABB-7023), assigned at EMD. (Please see attached RFQ)</t>
  </si>
  <si>
    <t xml:space="preserve"> To purchase drone camera at Barangay Silangan II.</t>
  </si>
  <si>
    <t xml:space="preserve"> GEOTECHNICAL AND GEOLOGICAL SURVEY/ INVESTIGATIONS.</t>
  </si>
  <si>
    <t xml:space="preserve"> Paint, Epoxy, Component A&amp;B: + 2 Items - Set compose of epoxy resin and catalyst NOTE: PLEASE SEE ATTACHED PRE-PR FOR THE COMPLETE DETAILED OF SPECS.</t>
  </si>
  <si>
    <t xml:space="preserve"> wood,  good lumber pc.	Paint Brush, 2"	 1x2x5  pc.	Paint Brush, 4"	 gal.	Paint Thinner	 set	Paint Roller w/ Pan	 set	Electric Drill, HD (Makita)	 pc.	Carpenter Saw Irwin	 set	Electrician Set Tools	 pc.	Gun Tacker, HD	 box	Gun Tacker Staple Wire	 pc.	Liqui</t>
  </si>
  <si>
    <t xml:space="preserve"> PART B OTHER GENERAL REQUIREMENTS B.5 PROJECT BILLBOARD/SIGNBOARD 1 LOT PART A EARTHWORK 803(1)A EXCAVATION(COLUMN FTG., WALL FTG &amp; SEPTIC TANK) 32.18 CU.M PART B PLAIN AND REINFORCED CONCRETE WORKS 900(1)A2 STRUCTURAL CONCRETE (FOOTING-&amp; WALL FOOTING) 6.</t>
  </si>
  <si>
    <t xml:space="preserve"> 1.	The Local Government Unit of Las Nieves, through the Budget for the Contract Approved by the Sanggunian (20% DF) intends to apply the sum of one hundred forty two thousand six hundred and fifty pesos only (Php 142,650.00)  being the Approved Budget for</t>
  </si>
  <si>
    <t xml:space="preserve"> printing materiALS bOND :pAPER  500 PCS.</t>
  </si>
  <si>
    <t xml:space="preserve"> Republic of the Philippines PROVINCE OF ZAMBOANGA DEL SUR Municipality of Dimataling BIDS AND AWARD COMMITTEE Reference Number : PR-162-100-2020 Project Title/P.R. # : Purchase of 216 Half Sacks of Rice Approved Budget: Mayor's Office-I STYLE PEACE (MOOE </t>
  </si>
  <si>
    <t xml:space="preserve"> 103(3)a INDIVIDUAL REMOVAL OF TREES 30 EACH 102(2) SURPLUS COMMON EXCAVATION 4,500 CU.M B.5 PROJECT BILLBOARD/SIGNBOARD 1 EACH</t>
  </si>
  <si>
    <t xml:space="preserve"> 5 liters engine oil 1 pc oil filter 1 pc drain plug bolt 4 pcs tire (195X70R14) triangle 1 lot oil change 1 lot tire mounting 1 lot camber align</t>
  </si>
  <si>
    <t xml:space="preserve"> 1.	The Local Government Unit of Las Nieves, through the Budget for the Contract Approved by the Sanggunian (20% DF) intends to apply the sum of one hundred eighty thousand pesos only (Php 180,000.00) for Lot 1 and seven thousand six hundred and fifty peso</t>
  </si>
  <si>
    <t xml:space="preserve"> Republic of the Philippines Province of Agusan del Norte BIDS AND AWARDS COMMITTEE Capitol, Butuan City INVITATION TO BID (NEGOTIATED PROCUREMENT) RENEGOTIATED PROCUREMENT OF TWO (2) UNITS BRAND NEW PICK-UP OF PROVINCIAL DISASTER RISK REDUCTION MANAGEMENT</t>
  </si>
  <si>
    <t xml:space="preserve"> Republic of the Philippines Province of Agusan del Norte BIDS AND AWARDS COMMITTEE Capitol, Butuan City INVITATION TO BID (NEGOTIATED PROCUREMENT) NEGOTIATED PROCUREMENT OF ONE (1) UNIT BRAND NEW FOUR WHEEL DRIVE (FWD) TRACTOR OF PROVINCIAL AGRICULTURIST </t>
  </si>
  <si>
    <t xml:space="preserve"> The AGRICULTURAL TRAINING INSTITUTE-REGIONAL TRAINING CENTER (ATI-RTC) X, through the 2020 General Appropriations Act intends to apply the sum of Five Hundred Seventeen thousand Six Hundred Pesos (P 517,600.00) being the Approved Budget for the Contract (</t>
  </si>
  <si>
    <t xml:space="preserve"> 1.	The Local Government Unit of Las Nieves, through the Budget for the Contract Approved by the Sanggunian (20% DF) intends to apply the sum of one hundred nine thousand and one hundred pesos only (Php 109,100.00) for Lot 1, twelve thousand pesos only (Ph</t>
  </si>
  <si>
    <t xml:space="preserve"> Sangguniang Panlalawigan Office Agusan del Norte</t>
  </si>
  <si>
    <t xml:space="preserve"> Provincial Health Office Agusan del Norte</t>
  </si>
  <si>
    <t xml:space="preserve"> PRICE QUOTATION Ladies / Gentlemen: Please quote prices for the items listed below. This proposal is a request for quotation only and not an order. The terms / conditions shall be in accordance with the following: 1. This proposal shall be submitted to th</t>
  </si>
  <si>
    <t xml:space="preserve"> To provide audio visual aid for classroom instruction</t>
  </si>
  <si>
    <t xml:space="preserve"> 100(3)A INDIVIDUAL REMOVAL OF TREES 10 EACH 102(2)B SURPLUS COMMON EXCAVATION 1,312.50 CU.M 104(1)A EMBANKMENT 544.50 CU.M 300(1) GRAVEL SURFACE COURSE (UNCRUSHED) 445.20 CU.M B.9 MOBILIZATION/DEMOBILIZATION 1 LUMPSUM B.5 PROJECT BILLBOARD/SIGN BOARD 1 EA</t>
  </si>
  <si>
    <t xml:space="preserve"> Republic of the Philippines Province of Agusan del Norte BIDS AND AWARDS COMMITTEE Capitol, Butuan City INVITATION TO BID (NEGOTIATED PROCUREMENT) NEGOTIATED PROCUREMENT OF MULTI-COMMODITY SOLAR TUNNEL DRYER OF PROVINCIAL AGRICULTURIST OFFICE, AGUSAN DEL </t>
  </si>
  <si>
    <t xml:space="preserve"> Cabadbaran District Hospital Agusan del Norte</t>
  </si>
  <si>
    <t xml:space="preserve"> Republic of the Philippines													 City of San Carlos													 Negros Occidental													 										            		REBIDDING LOTS 1-3 &amp; 7	 INVITATION TO BID											FOR SALE	 			PURCHASE REQUEST NO: 1-20-01-0118				P 300.00	 Sealed bids for</t>
  </si>
  <si>
    <t xml:space="preserve"> INVITATION TO BID FOR  IMPROVEMENT OF MULTI-PURPOSE BUILDING - CARONOAN The Municipality of San Juan, through its Bids and Awards Committee (BAC), invites contractors to submit bids for the following Contract: Contract ID		:          	20-00044						 Contr</t>
  </si>
  <si>
    <t xml:space="preserve"> Republic of the Philippines													 City of San Carlos													 Negros Occidental													 													 INVITATION TO BID											FOR SALE	 			PURCHASE REQUEST NO: 1-20-03-0497				P 150.00	 Sealed bids for quotation of prices will be recei</t>
  </si>
  <si>
    <t xml:space="preserve"> NOTICE TO CONDUCT FOR  PROCUREMENT OF LOT # 3 AND LOT # 4 OF REPAIR AND MAINTENANCE MATERIALS FOR BALINGASAG WATER DISTRICT The Balingasag Water District , is conducting Negotiated Procurement ,under Two Failed Biddings for the procurement of  Repair and </t>
  </si>
  <si>
    <t xml:space="preserve"> Republic of the Philippines Department of Education Region v SCHOOLS DIVISION OF SORSOGON Capitol Compound, Sorsogon City INVITATION TO BID FOR PROVISION OF SECURITY SERVICES FOR 2020 PROJECT NO.:	20-06-001 1.	The DepEd Schools Division Sorsogon Province,</t>
  </si>
  <si>
    <t xml:space="preserve"> Republic of the Philippines													 City of San Carlos													 Negros Occidental													 													 INVITATION TO BID											FOR SALE	 			PURCHASE REQUEST NO: 1-20-03-0437				P 150.00	 Sealed bids for quotation of prices will be recei</t>
  </si>
  <si>
    <t xml:space="preserve"> Republic of the Philippines													 City of San Carlos													 Negros Occidental													 													 INVITATION TO BID											FOR SALE	 			PURCHASE REQUEST NO: 1-20-03-0429				P 150.00	 Sealed bids for quotation of prices will be recei</t>
  </si>
  <si>
    <t xml:space="preserve"> ITEM NO.	ITEM &amp; DESCRIPTION	 BRAND	UOM	QTY. 1	Executive Chair		Unit	1 	Specs: W63X D62.5 X H 110-120CM Chrome Base Batterfly			 	Mechanism: 360 Degree Swivel, Adjustable seat Height,			 	Cock, Tilt: Color: Grey			 2	Computer Table 2.10M x .5M x .76M (Hard</t>
  </si>
  <si>
    <t xml:space="preserve"> Republic of the Philippines													 City of San Carlos													 Negros Occidental													 													 INVITATION TO BID											FOR SALE	 			PURCHASE REQUEST NO: 1-20-02-0402				P 150.00	 Sealed bids for quotation of prices will be recei</t>
  </si>
  <si>
    <t xml:space="preserve"> Republic of the Philippines Province of Agusan del Norte BIDS AND AWARDS COMMITTEE Capitol, Butuan City Invitation to Bid for Installation of Fire Sprinkler, Fire Detection and Alarm System,  Nasipit District Hospital, Nasipit, Agusan del Norte (REBID) Th</t>
  </si>
  <si>
    <t xml:space="preserve"> 100(3)a Individual removal of trees 69 each 102(2)b Surplus Common Excavation 5,520 cu.m. B.5 Project Sign Board 1 each</t>
  </si>
  <si>
    <t xml:space="preserve"> Republic of the Philippines													 City of San Carlos													 Negros Occidental													 													 INVITATION TO BID											FOR SALE	 			PURCHASE REQUEST NO: 1-20-03-0490				P 150.00	 Sealed bids for quotation of prices will be recei</t>
  </si>
  <si>
    <t xml:space="preserve"> Republic of the Philippines Province of Agusan del Norte BIDS AND AWARDS COMMITTEE Capitol, Butuan City INVITATION TO BID (NEGOTIATED PROCUREMENT) RENEGOTIATED PROCUREMENT OF IT SUPPLIES OF PROVINCIAL DISASTER RISK REDUCTION MANAGEMENT OFFICE, AGUSAN DEL </t>
  </si>
  <si>
    <t xml:space="preserve"> Republic of the Philippines													 City of San Carlos													 Negros Occidental													 													 INVITATION TO BID											FOR SALE	 			PURCHASE REQUEST NO: 1-20-03-0487				P 150.00	 Sealed bids for quotation of prices will be recei</t>
  </si>
  <si>
    <t xml:space="preserve"> Republic of the Philippines													 City of San Carlos													 Negros Occidental													 													 INVITATION TO BID											FOR SALE	 			PURCHASE REQUEST NO: 1-20-03-0489				P 150.00	 Sealed bids for quotation of prices will be recei</t>
  </si>
  <si>
    <t xml:space="preserve"> Republic of the Philippines Province of Agusan del Norte BIDS AND AWARDS COMMITTEE Capitol, Butuan City INVITATION TO BID (NEGOTIATED PROCUREMENT) RENEGOTIATED PROCUREMENT OF PORTABLE ANTHROPOMETRIC TOOL OF PROVINCIAL SOCIAL WELFARE AND DEVELOPMENT OFFICE</t>
  </si>
  <si>
    <t xml:space="preserve"> Please see attached file.</t>
  </si>
  <si>
    <t xml:space="preserve"> Republic of the Philippines													 City of San Carlos													 Negros Occidental													 													 INVITATION TO BID											FOR SALE	 			PURCHASE REQUEST NO: 1-20-03-0473				P 150.00	 Sealed bids for quotation of prices will be recei</t>
  </si>
  <si>
    <t xml:space="preserve"> Please see attached document.</t>
  </si>
  <si>
    <t xml:space="preserve"> Republic of the Philippines Province of Agusan del Norte BIDS AND AWARDS COMMITTEE Capitol, Butuan City INVITATION TO BID (NEGOTIATED PROCUREMENT) RENEGOTIATED PROCUREMENT OF ONE (1) UNIT BRAND NEW AMBULANCE VAN TYPE OF PROVINCIAL DISASTER RISK REDUCTION </t>
  </si>
  <si>
    <t xml:space="preserve"> Republic of the Philippines													 City of San Carlos													 Negros Occidental													 													 INVITATION TO BID											FOR SALE	 			PURCHASE REQUEST NO: 1-20-03-0482				P 150.00	 Sealed bids for quotation of prices will be recei</t>
  </si>
  <si>
    <t xml:space="preserve"> see attached documents</t>
  </si>
  <si>
    <t xml:space="preserve"> 1.  POINT MOBILE      -                 9PCS Texas  instrument Cortex A8 Processor @1.6 GHz Windows Mobile Embedded 6.5 Pro 3G, GSM Capable GPS 1D Laser (Scanner) Integrated Bluetooth, Class II, Ver. 2.1 + EDR WLAN IEEE 802.11 a/b/g/n Li-on Battery 4,000m</t>
  </si>
  <si>
    <t xml:space="preserve"> Republic of the Philippines													 City of San Carlos													 Negros Occidental													 													 INVITATION TO BID											FOR SALE	 			PURCHASE REQUEST NO: 1-20-03-0501				P 300.00	 Sealed bids for quotation of prices will be recei</t>
  </si>
  <si>
    <t xml:space="preserve"> Fabrication of Mechanical Coupling 150mm (6") to fit the outside diameter of the uPVC Pipe 150mm (6") and ASTM A-53 (6") B.I. Pipe to be used for the avoidance of the obstruction in connection with the waterline extension project from Hda. Daniel to Imban</t>
  </si>
  <si>
    <t xml:space="preserve"> NOTICE TO CONDUCT FOR NEGOTIATED PROCUREMENT  OF WATER METER CLUSTERING  The Balingasag Water District , is conducting Negotiated Procurement ,under Two Failed Biddings for the procurement of  Water Meter Clustering for NRW Reduction of Balingasag Water D</t>
  </si>
  <si>
    <t xml:space="preserve"> PCC through the BIDS &amp; AWARDS Committee intend to apply for 160,000 as the approved budget for the contract  (ABC) under Chest Freezer.  Goods shall be delivered 15 days after receipt of notice to proceed. Specifications: - 20 cu.ft. Solid Top Chest Freez</t>
  </si>
  <si>
    <t xml:space="preserve"> Republic of the Philippines													 City of San Carlos													 Negros Occidental													 													 INVITATION TO BID											FOR SALE	 			PURCHASE REQUEST NO: 1-20-03-0515				P 150.00	 Sealed bids for quotation of prices will be recei</t>
  </si>
  <si>
    <t xml:space="preserve"> Republic of the Philippines PROVINCE OF SOUTHERN LEYTE Maasin City Invitation to Bid for the Procurement of Vehicle Spare Parts &amp; Labor  Contract ID # 2020-07-07-332PG 1.	The Provincial Government of Southern Leyte through the OVG&amp; OSP Repair and Maintena</t>
  </si>
  <si>
    <t xml:space="preserve"> INVITATION TO BID The Provincial Government of Palawan through its Bids and Awards Committee (BAC) invites suppliers/manufacturers/ distributors/contractors to apply for eligibility and to bid for the hereunder project. Name of the Project       : Procure</t>
  </si>
  <si>
    <t xml:space="preserve"> Representation Expenses</t>
  </si>
  <si>
    <t xml:space="preserve"> Republic of the Philippines Department of Education Region v SCHOOLS DIVISION OF SORSOGON Capitol Compound, Sorsogon City INVITATION TO BID FOR PURCHASE OF COMMON OFFICE SUPPLIES FOR F.Y. 2020 PROJECT NO.:	20-06-002 1.	The DepEd Schools Division Sorsogon </t>
  </si>
  <si>
    <t xml:space="preserve"> Republic of the Philippines PROVINCE OF SOUTHERN LEYTE Maasin City Invitation to Bid for the Procurement of Vehicle Spare Parts   Contract ID # 2020-07-07-331PG 1.	The Provincial Government of Southern Leyte through the OSP Repair &amp; Maintenance – Transpor</t>
  </si>
  <si>
    <t xml:space="preserve"> Installation of new steel pipelines that crosses the Imbang Bridge located at Brgy. E. Lopez, Silay City. 1. Fabrication and installation of steel pipe bracket supports - 40 units 2. Welding of steel ring flanges 6" diameter for B.I. steel pipe both ends </t>
  </si>
  <si>
    <t xml:space="preserve"> 1.	The Local Government Unit of Las Nieves, through the Budget for the Contract Approved by the Sanggunian (20% DF) intends to apply the sum of two hundred thousand pesos only (Php 200,000.00)  being the Approved Budget for the Contract (ABC) to payments </t>
  </si>
  <si>
    <t xml:space="preserve"> Republic of the Philippines PROVINCE OF SOUTHERN LEYTE Maasin City Invitation to Bid for the Procurement of Catering Services &amp; Venue  Contract ID # 2020-07-07-333PG 1.	The Provincial Government of Southern Leyte through the PDRRMO Training expenses inten</t>
  </si>
  <si>
    <t xml:space="preserve"> 20	pc	Genuine Ink Cartridge HP 680 (tri-color) for HP Deskjet 1115 20	pc	Genuine Ink Cartridge HP 680 (black) for HP Deskjet 1115 12	pc	Genuine Ink Cartridge HP 678 (tri-color) for HP Deskjet 3135 10	pc	Genuine Ink Cartridge HP 678 (black) for HP Deskjet </t>
  </si>
  <si>
    <t xml:space="preserve"> 1.	The Local Government Unit of Las Nieves, through the Budget for the Contract Approved by the Sanggunian (20% DF) intends to apply the sum of one hundred twenty four thousand and nine hundred and forty four pesos only (Php 124,944.00) for Lot 1, sixty o</t>
  </si>
  <si>
    <t xml:space="preserve"> 1.	The Local Government Unit of Las Nieves, through the Budget for the Contract Approved by the Sanggunian (20% DF) intends to apply the sum of one hundred thirty six thousand one hundred and fifty pesos only (Php 136,150.00) for Lot 1 and twelve e thousa</t>
  </si>
  <si>
    <t xml:space="preserve"> 1.	The Local Government Unit of Las Nieves, through the Budget for the Contract Approved by the Sanggunian (1% LCPC) intends to apply the sum of one hundred forty five thousand and seven hundred pesos only (Php 145,700.00)  being the Approved Budget for t</t>
  </si>
  <si>
    <t xml:space="preserve"> Office Supplies , Equipment and consumables</t>
  </si>
  <si>
    <t xml:space="preserve"> 1.	The Local Government Unit of Las Nieves, through the Budget for the Contract Approved by the Sanggunian (20% DF) intends to apply the sum of one hundred thirty four thousand three hundred and fifty pesos only (Php 134,350.00) being the Approved Budget </t>
  </si>
  <si>
    <t xml:space="preserve"> 1.	The Local Government Unit of Las Nieves, through the Budget for the Contract Approved by the Sanggunian (20% DF) intends to apply the sum of one hundred twenty five thousand two hundred and eighty pesos only (Php 125,280.00) for Lot 1, one thousand eig</t>
  </si>
  <si>
    <t xml:space="preserve"> BIDS AND AWARDS COMMITTEE INVITATION TO SUBMIT PRICE QUOTATIONS SHOPPING No. 058-2020                                                                 The METRO ROXAS WATER DISTRICT (MRWD), through its Bids and Awards Committee (BAC), invites Manufacturers</t>
  </si>
  <si>
    <t xml:space="preserve"> Republic of the Philippines													 City of San Carlos													 Negros Occidental													 													 INVITATION TO BID											FOR SALE	 			PURCHASE REQUEST NO: 1-20-05-0603				P 150.00	 Sealed bids for quotation of prices will be recei</t>
  </si>
  <si>
    <t xml:space="preserve"> Republic of the Philippines													 City of San Carlos													 Negros Occidental													 													 INVITATION TO BID											FOR SALE	 			PURCHASE REQUEST NO: 1-20-04-0551				P 150.00	 Sealed bids for quotation of prices will be recei</t>
  </si>
  <si>
    <t xml:space="preserve"> 1.	The Local Government Unit of Las Nieves, through the Budget for the Contract Approved by the Sanggunian (20% DF) intends to apply the sum of one hundred forty five thousand nine hundred and twenty five pesos only (Php 145,925.00) being the Approved Bud</t>
  </si>
  <si>
    <t xml:space="preserve"> Republic of the Philippines													 City of San Carlos													 Negros Occidental													 													 INVITATION TO BID											FOR SALE	 			PURCHASE REQUEST NO: 1-20-05-0586				P 300.00	 Sealed bids for quotation of prices will be recei</t>
  </si>
  <si>
    <t xml:space="preserve"> Republic of the Philippines													 City of San Carlos													 Negros Occidental													 													 INVITATION TO BID											FOR SALE	 			PURCHASE REQUEST NO: 1-20-03-0517				P 300.00	 Sealed bids for quotation of prices will be recei</t>
  </si>
  <si>
    <t xml:space="preserve"> Republic of the Philippines PROVINCE OF SOUTHERN LEYTE Maasin City Invitation to Bid for the Procurement of Vehicle Spare Parts &amp; Labor  Contract ID # 2020-07-07-334PG 1.	The Provincial Government of Southern Leyte through the PDRRMO Repair and Maintenanc</t>
  </si>
  <si>
    <t xml:space="preserve"> BIDS AND AWARDS COMMITTEE INVITATION TO SUBMIT PRICE QUOTATIONS SHOPPING No. 057-2020                                                                 The METRO ROXAS WATER DISTRICT (MRWD), through its Bids and Awards Committee (BAC), invites Manufacturers</t>
  </si>
  <si>
    <t xml:space="preserve"> Republic of the Philippines													 City of San Carlos													 Negros Occidental													 													 INVITATION TO BID											FOR SALE	 			PURCHASE REQUEST NO: 1-20-04-0526				P 150.00	 Sealed bids for quotation of prices will be recei</t>
  </si>
  <si>
    <t xml:space="preserve"> 1.	The Local Government Unit of Las Nieves, through the Budget for the Contract Approved by the Sanggunian (20% DF) intends to apply the sum of one hundred thirty thousand nine hundred and eighty pesos only (Php 130,980.00) for Lot 1, eleven thousand and </t>
  </si>
  <si>
    <t xml:space="preserve"> BIDS AND AWARDS COMMITTEE INVITATION TO SUBMIT PRICE QUOTATIONS SHOPPING No. 056-2020                                                                 The METRO ROXAS WATER DISTRICT (MRWD), through its Bids and Awards Committee (BAC), invites Manufacturers</t>
  </si>
  <si>
    <t xml:space="preserve"> Republic of the Philippines													 City of San Carlos													 Negros Occidental													 													 INVITATION TO BID											FOR SALE	 			PURCHASE REQUEST NO: 1-20-06-0657				P 300.00	 Sealed bids for quotation of prices will be recei</t>
  </si>
  <si>
    <t xml:space="preserve"> Republic of the Philippines													 City of San Carlos													 Negros Occidental													 													 INVITATION TO BID											FOR SALE	 			PURCHASE REQUEST NO: 1-20-04-0532				P 150.00	 Sealed bids for quotation of prices will be recei</t>
  </si>
  <si>
    <t xml:space="preserve"> 1.	The Local Government Unit of Las Nieves, through the Budget for the Contract Approved by the Sanggunian (20% DF) intends to apply the sum of one hundred thirty six thousand one hundred and fifty pesos only (Php 136,150.00) for Lot 1 and twelve thousand</t>
  </si>
  <si>
    <t xml:space="preserve"> Republic of the Philippines													 City of San Carlos													 Negros Occidental													 													 INVITATION TO BID											FOR SALE	 			PURCHASE REQUEST NO: 4-20-06-0634				P 300.00	 Sealed bids for quotation of prices will be recei</t>
  </si>
  <si>
    <t xml:space="preserve"> Republic of the Philippines													 City of San Carlos													 Negros Occidental													 													 INVITATION TO BID											FOR SALE	 			PURCHASE REQUEST NO: 1-20-06-0649				P 150.00	 Sealed bids for quotation of prices will be recei</t>
  </si>
  <si>
    <t xml:space="preserve"> Republic of the Philippines													 City of San Carlos													 Negros Occidental													 													 INVITATION TO BID											FOR SALE	 			PURCHASE REQUEST NO: 2-20-03-0492				P 150.00	 Sealed bids for quotation of prices will be recei</t>
  </si>
  <si>
    <t xml:space="preserve"> Republic of the Philippines													 City of San Carlos													 Negros Occidental													 													 INVITATION TO BID											FOR SALE	 			PURCHASE REQUEST NO: 1-20-06-0631				P 150.00	 Sealed bids for quotation of prices will be recei</t>
  </si>
  <si>
    <t xml:space="preserve"> Republic of the Philippines													 City of San Carlos													 Negros Occidental													 													 INVITATION TO BID											FOR SALE	 			PURCHASE REQUEST NO: 4-20-03-0461				P 150.00	 Sealed bids for quotation of prices will be recei</t>
  </si>
  <si>
    <t xml:space="preserve"> Provision of labor, materials, equipment rentals and other incidentals needed for the Repair/Rehabilitation of Israel Type Greenhouse at Ilocos Norte Research &amp; Experiment Center, MMMSU Compound, Tabug, Batac City, Ilocos Norte  	 	Provision of labor, mat</t>
  </si>
  <si>
    <t xml:space="preserve"> Provision of labor, materials, equipment rentals and other incidentals needed for the Reconstruction of Screenhouse at DA-PREC, Sual, Pangasinan  	 	Provision of labor, materials, equipment rentals and other incidentals needed for the Reconstruction of Sc</t>
  </si>
  <si>
    <t xml:space="preserve"> Provision of labor, materials, equipment rentals and other incidentals needed for the Reconstruction of Screenhouse at DA-INREC, Dingras Station, Brgy. Cali, Dingras, Ilocos Norte  	 	Provision of labor, materials, equipment rentals and other incidentals </t>
  </si>
  <si>
    <t xml:space="preserve"> Provision of labor, materials, equipment rentals and other incidentals needed for the Rehabilitation &amp; Enhancement of Mango Seedling Nursery at DA-INREC, Dingras, Ilocos Norte  	 	Provision of labor, materials, equipment rentals and other incidentals need</t>
  </si>
  <si>
    <t xml:space="preserve"> Republic of the Philippines													 City of San Carlos													 Negros Occidental													 													 INVITATION TO BID											FOR SALE	 			PURCHASE REQUEST NO: 18-20-04-0550				P 300.00	 Sealed bids for quotation of prices will be rece</t>
  </si>
  <si>
    <t xml:space="preserve"> 1	2	drum	Chlorine granules 2	50	pks	Chlorine dioxide</t>
  </si>
  <si>
    <t xml:space="preserve"> Republic of the Philippines													 City of San Carlos													 Negros Occidental													 													 INVITATION TO BID											FOR SALE	 			PURCHASE REQUEST NO: 9-20-04-0533				P 150.00	 Sealed bids for quotation of prices will be recei</t>
  </si>
  <si>
    <t xml:space="preserve"> Republic of the Philippines													 City of San Carlos													 Negros Occidental													 													 INVITATION TO BID											FOR SALE	 			PURCHASE REQUEST NO: 401-20-03-0453				P 500.00	 Sealed bids for quotation of prices will be rec</t>
  </si>
  <si>
    <t xml:space="preserve"> BIDS AND AWARDS COMMITTEE INVITATION TO SUBMIT PRICE QUOTATIONS SHOPPING No. 055-2020                                                                 The METRO ROXAS WATER DISTRICT (MRWD), through its Bids and Awards Committee (BAC), invites Manufacturers</t>
  </si>
  <si>
    <t xml:space="preserve"> Republic of the Philippines													 City of San Carlos													 Negros Occidental													 													 INVITATION TO BID											FOR SALE	 			PURCHASE REQUEST NO: 401-20-03-0494				P 300.00	 Sealed bids for quotation of prices will be rec</t>
  </si>
  <si>
    <t xml:space="preserve"> 20ID0070 	Construction of Multi-Purpose Building,Brgy. Bagong Lipunan, Carigara,Leyte   	Concrete and Masonry Works 	990,000.00	GAA CY 2020 	30 CD	1,000.00 To be eligible to bid for this Contract, a contractor must meet the following major requirements: (</t>
  </si>
  <si>
    <t xml:space="preserve"> Republic of the Philippines PROVINCE OF SOUTHERN LEYTE Maasin City Invitation to Bid for the Procurement of Vehicle Spare Parts  Contract ID # 2020-07-07-346PG 1.	The Provincial Government of Southern Leyte through the OSP Repair and Maintenance – Transpo</t>
  </si>
  <si>
    <t xml:space="preserve"> Republic of the Philippines PROVINCE OF SOUTHERN LEYTE Maasin City Invitation to Bid for the Procurement of Engine Oil, Oil Filter &amp; Labor  Contract ID # 2020-07-07-345PG 1.	The Provincial Government of Southern Leyte through the PGO Repair and Maintenanc</t>
  </si>
  <si>
    <t xml:space="preserve"> Republic of the Philippines													 City of San Carlos													 Negros Occidental													 													 INVITATION TO BID											FOR SALE	 			PURCHASE REQUEST NO: 1-20-06-0659				P 300.00	 Sealed bids for quotation of prices will be recei</t>
  </si>
  <si>
    <t xml:space="preserve"> Mits. FB L300/SJL-591 (DepEd) Motor Oil Oil Filter Fuel Filter Bell Crank Center Post Idler Arm Heater Plug Cylinder Head Gasket Valve Seal Shellac Silicon Gasket Halfmoon Coolant Heater Plug Pull Out Tail Light Assy Spotlight Switch Change Oil &amp; Clean Br</t>
  </si>
  <si>
    <t xml:space="preserve"> Republic of the Philippines PROVINCE OF SOUTHERN LEYTE Maasin City Invitation to Bid for the Procurement of Electrical Supplies   Contract ID # 2020-07-07-335PG 1.	The Provincial Government of Southern Leyte through the PENRMO Repairs and Maintenance -Bui</t>
  </si>
  <si>
    <t xml:space="preserve"> Republic of the Philippines PROVINCE OF SOUTHERN LEYTE Maasin City Invitation to Bid for the Procurement of Vehicle Spare Parts  Contract ID # 2020-07-07-344PG 1.	The Provincial Government of Southern Leyte through the SDH Repair and Maintenance – Transpo</t>
  </si>
  <si>
    <t xml:space="preserve"> Republic of the Philippines PROVINCE OF SOUTHERN LEYTE Maasin City Invitation to Bid for the Procurement of Various Office Supplies    Contract ID # 2020-07-07-340PG 1.	The Provincial Government of Southern Leyte through the SOYMPH Office Supplies  expens</t>
  </si>
  <si>
    <t xml:space="preserve"> Republic of the Philippines PROVINCE OF SOUTHERN LEYTE Maasin City Invitation to Bid for the Procurement of Medical/Hospital Equipment    Contract ID # 2020-07-07-342PG 1.	The Provincial Government of Southern Leyte through the ADH Medical Equipment expen</t>
  </si>
  <si>
    <t xml:space="preserve"> Republic of the Philippines					 PROVINCE OF SOUTHERN LEYTE					 Maasin City					 	Standard Form No.: SF-GOOD-60			 Project Reference No. 092	 	Revised on:  May 24, 2004			 Name of the Project:  _______	 	Standard Form Title:                              </t>
  </si>
  <si>
    <t xml:space="preserve"> Republic of the Philippines PROVINCE OF SOUTHERN LEYTE Maasin City Invitation to Bid for the Procurement of Vehicle Spare Parts &amp; Labor  Contract ID # 2020-07-07-338PG 1.	The Provincial Government of Southern Leyte through the PGO Repair and Maintenance –</t>
  </si>
  <si>
    <t xml:space="preserve"> Republic of the Philippines PROVINCE OF SOUTHERN LEYTE Maasin City Invitation to Bid for the Procurement of Vehicle Spare Parts   Contract 2020-07-07-337PG  1.	The Provincial Government of Southern Leyte through the PEO’ENG Repairs and Maintenance – Trans</t>
  </si>
  <si>
    <t xml:space="preserve"> Republic of the Philippines PROVINCE OF SOUTHERN LEYTE Maasin City Invitation to Bid for the Procurement of Various IT Equipment  Contract ID # 2020-07-07-348PG 1.	The Provincial Government of Southern Leyte through the ADMIN, PSAO– Information and Commun</t>
  </si>
  <si>
    <t xml:space="preserve"> Republic of the Philippines					 PROVINCE OF SOUTHERN LEYTE					 Maasin City					 	Standard Form No.: SF-GOOD-60			 Project Reference No. 089	 	Revised on:  May 24, 2004			 Name of the Project:  _______	 	Standard Form Title:                              </t>
  </si>
  <si>
    <t xml:space="preserve"> Republic of the Philippines					 PROVINCE OF SOUTHERN LEYTE					 Maasin City					 	Standard Form No.: SF-GOOD-60			 Project Reference No. 090	 	Revised on:  May 24, 2004			 Name of the Project:  _______	 	Standard Form Title:                              </t>
  </si>
  <si>
    <t xml:space="preserve"> for PHO use</t>
  </si>
  <si>
    <t xml:space="preserve"> INVITATION TO BID  PROCUREMENT OF MATERIALS AND EQUIPMENT FOR DISASTER PREPAREDNESS BARANGAY CANDANA-AY, AYUNGON, NEGROS ORIENTAL BID IDENTIFICATION NUMBER 2020-06-07 1.	Barangay Candana-ay, through the 70%  of 5% BDRRMC FUND intends to apply the sum of S</t>
  </si>
  <si>
    <t xml:space="preserve"> Republic of the Philippines PROVINCE OF SOUTHERN LEYTE Maasin City Invitation to Bid for the Procurement of Housekeeping Supplies  Contract ID # 2020-07-07-347PG 1.	The Provincial Government of Southern Leyte through the PDH Other Supplies &amp; Materials exp</t>
  </si>
  <si>
    <t xml:space="preserve"> Republic of the Philippines PROVINCE OF SOUTHERN LEYTE Maasin City Invitation to Bid for the Procurement of Kitchen Equipment   Contract ID # 2020-07-07-339PG 1.	The Provincial Government of Southern Leyte through the SOYMPH Other Property, Plant and Equi</t>
  </si>
  <si>
    <t xml:space="preserve"> Republic of the Philippines PROVINCE OF SOUTHERN LEYTE Maasin City Invitation to Bid for the Procurement of Vehicle Spare Parts  Contract ID # 2020-07-07-336PG 1.	The Provincial Government of Southern Leyte through the PENRMO Repair and Maintenance – Tran</t>
  </si>
  <si>
    <t xml:space="preserve"> Republic of the Philippines PROVINCE OF SOUTHERN LEYTE Maasin City Invitation to Bid for the Procurement of Various IT Equipment and Supplies  Contract ID # 2020-07-07-349PG 1.	The Provincial Government of Southern Leyte through the OVG–Information &amp; Comm</t>
  </si>
  <si>
    <t xml:space="preserve"> Republic of the Philippines					 PROVINCE OF SOUTHERN LEYTE					 Maasin City					 	Standard Form No.: SF-GOOD-60			 Project Reference No. 091	 	Revised on:  May 24, 2004			 Name of the Project:  _______	 	Standard Form Title:                              </t>
  </si>
  <si>
    <t xml:space="preserve"> Republic of the Philippines					 PROVINCE OF SOUTHERN LEYTE					 Maasin City					 	Standard Form No.: SF-GOOD-60			 Project Reference No. 093	 	Revised on:  May 24, 2004			 Name of the Project:  _______	 	Standard Form Title:                              </t>
  </si>
  <si>
    <t xml:space="preserve"> Republic of the Philippines					 PROVINCE OF SOUTHERN LEYTE					 Maasin City					 	Standard Form No.: SF-GOOD-60			 Project Reference No. 099	 	Revised on:  May 24, 2004			 Name of the Project:  _______	 	Standard Form Title:                              </t>
  </si>
  <si>
    <t xml:space="preserve"> Republic of the Philippines					 PROVINCE OF SOUTHERN LEYTE					 Maasin City					 	Standard Form No.: SF-GOOD-60			 Project Reference No. 098	 	Revised on:  May 24, 2004			 Name of the Project:  _______	 	Standard Form Title:                              </t>
  </si>
  <si>
    <t xml:space="preserve"> Procurement of Office Supplies for the 2nd Quarter - JHS</t>
  </si>
  <si>
    <t xml:space="preserve"> Republic of the Philippines					 PROVINCE OF SOUTHERN LEYTE					 Maasin City					 	Standard Form No.: SF-GOOD-60			 Project Reference No. 096	 	Revised on:  May 24, 2004			 Name of the Project:  _______	 	Standard Form Title:                              </t>
  </si>
  <si>
    <t xml:space="preserve"> Republic of the Philippines					 PROVINCE OF SOUTHERN LEYTE					 Maasin City					 	Standard Form No.: SF-GOOD-60			 Project Reference No. 097	 	Revised on:  May 24, 2004			 Name of the Project:  _______	 	Standard Form Title:                              </t>
  </si>
  <si>
    <t xml:space="preserve"> Republic of the Philippines					 PROVINCE OF SOUTHERN LEYTE					 Maasin City					 	Standard Form No.: SF-GOOD-60			 Project Reference No. 101	 	Revised on:  May 24, 2004			 Name of the Project:  _______	 	Standard Form Title:                              </t>
  </si>
  <si>
    <t xml:space="preserve"> Republic of the Philippines					 PROVINCE OF SOUTHERN LEYTE					 Maasin City					 	Standard Form No.: SF-GOOD-60			 Project Reference No. 095	 	Revised on:  May 24, 2004			 Name of the Project:  _______	 	Standard Form Title:                              </t>
  </si>
  <si>
    <t xml:space="preserve"> Republic of the Philippines					 PROVINCE OF SOUTHERN LEYTE					 Maasin City					 	Standard Form No.: SF-GOOD-60			 Project Reference No. 100	 	Revised on:  May 24, 2004			 Name of the Project:  _______	 	Standard Form Title:                              </t>
  </si>
  <si>
    <t xml:space="preserve"> ITB / BOQ</t>
  </si>
  <si>
    <t xml:space="preserve"> Republic of the Philippines					 PROVINCE OF SOUTHERN LEYTE					 Maasin City					 	Standard Form No.: SF-GOOD-60			 Project Reference No. 106	 	Revised on:  May 24, 2004			 Name of the Project:  _______	 	Standard Form Title:                              </t>
  </si>
  <si>
    <t xml:space="preserve"> Republic of the Philippines					 PROVINCE OF SOUTHERN LEYTE					 Maasin City					 	Standard Form No.: SF-GOOD-60			 Project Reference No. 094	 	Revised on:  May 24, 2004			 Name of the Project:  _______	 	Standard Form Title:                              </t>
  </si>
  <si>
    <t xml:space="preserve"> Republic of the Philippines					 PROVINCE OF SOUTHERN LEYTE					 Maasin City					 	Standard Form No.: SF-GOOD-60			 Project Reference No. 105	 	Revised on:  May 24, 2004			 Name of the Project:  _______	 	Standard Form Title:                              </t>
  </si>
  <si>
    <t xml:space="preserve"> Republic of the Philippines					 PROVINCE OF SOUTHERN LEYTE					 Maasin City					 	Standard Form No.: SF-GOOD-60			 Project Reference No. 104	 	Revised on:  May 24, 2004			 Name of the Project:  _______	 	Standard Form Title:                              </t>
  </si>
  <si>
    <t xml:space="preserve"> Republic of the Philippines					 PROVINCE OF SOUTHERN LEYTE					 Maasin City					 	Standard Form No.: SF-GOOD-60			 Project Reference No. 103	 	Revised on:  May 24, 2004			 Name of the Project:  _______	 	Standard Form Title:                              </t>
  </si>
  <si>
    <t xml:space="preserve"> Republic of the Philippines					 PROVINCE OF SOUTHERN LEYTE					 Maasin City					 	Standard Form No.: SF-GOOD-60			 Project Reference No. 102	 	Revised on:  May 24, 2004			 Name of the Project:  _______	 	Standard Form Title:                              </t>
  </si>
  <si>
    <t xml:space="preserve"> Concreting of 58.50 linear meter barangay road.</t>
  </si>
  <si>
    <t xml:space="preserve"> Republic of the Philippines PROVINCE OF AKLAN Kalibo -oOo- BIDS AND AWARDS COMMITTEE (BAC) INVITATION TO BID 1.	The Provincial   Government   of   Aklan, through   MOOE SEF CY 2020 intends   to   apply   the   sum   of  Nine Hundred Twenty Nine Thousand F</t>
  </si>
  <si>
    <t xml:space="preserve"> Republic of the Philippines PROVINCE OF SOUTHERN LEYTE Maasin City Invitation to Bid for the Procurement of Various Office Supplies  Contract ID # 2020-07-07-352PG 1.	The Provincial Government of Southern Leyte through the PGO– Office Supplies Expenses in</t>
  </si>
  <si>
    <t xml:space="preserve"> Republic of the Philippines PROVINCE OF AKLAN Kalibo -oOo- BIDS AND AWARDS COMMITTEE (BAC) INVITATION TO BID 1.	The Provincial   Government   of   Aklan, through   20% IRA Development Fund CY 2019  intends   to   apply   the   sum   of  Four Hundred Ninet</t>
  </si>
  <si>
    <t xml:space="preserve"> Republic of the Philippines PROVINCE OF AKLAN Kalibo -oOo- BIDS AND AWARDS COMMITTEE (BAC) INVITATION TO BID 1.	The Provincial   Government   of   Aklan, through   20% IRA Development Fund CY 2019  intends   to   apply   the   sum   of  Five Hundred Seven</t>
  </si>
  <si>
    <t xml:space="preserve"> Republic of the Philippines PROVINCE OF SOUTHERN LEYTE Maasin City Invitation to Bid for the Procurement of Greenhouse-Materials &amp; Installation  with complete Accessories &amp; Irrigation Facilities                                           Contract ID # 2020</t>
  </si>
  <si>
    <t xml:space="preserve"> Republic of the Philippines PROVINCE OF SOUTHERN LEYTE Maasin City Invitation to Bid for the Procurement of Various Housekeeping Supplies  Contract ID # 2020-07-07-356PG 1.	The Provincial Government of Southern Leyte through the OVG– Other Supplies and Ma</t>
  </si>
  <si>
    <t xml:space="preserve"> Republic of the Philippines PROVINCE OF SOUTHERN LEYTE Maasin City Invitation to Bid for the Procurement of Office Supplies  Contract ID # 2020-07-07-355PG 1.	The Provincial Government of Southern Leyte through the PGO– Office Supplies Expenses intend to </t>
  </si>
  <si>
    <t xml:space="preserve"> Republic of the Philippines PROVINCE OF SOUTHERN LEYTE Maasin City Invitation to Bid for the Procurement of Catering Services                                           Contract ID # 2020-07-07-351PG 1.	The Provincial Government of Southern Leyte through t</t>
  </si>
  <si>
    <t xml:space="preserve"> Republic of the Philippines PROVINCE OF SOUTHERN LEYTE Maasin City Invitation to Bid for the Procurement of Various Housekeeping Supplies  Contract ID # 2020-07-07-357PG 1.	The Provincial Government of Southern Leyte through the PLSO– Other Supplies and M</t>
  </si>
  <si>
    <t xml:space="preserve"> Republic of the Philippines PROVINCE OF SOUTHERN LEYTE Maasin City Invitation to Bid for the Procurement of 1 Unit Chest Type Freezer  Contract ID # 2020-07-07-353PG 1.	The Provincial Government of Southern Leyte through the ADH– Other Property, Platns an</t>
  </si>
  <si>
    <t xml:space="preserve"> Republic of the Philippines  Department of Education  Region V  Division of Camarines Sur  RAGAY NATIONAL AGRICULTURAL AND FISHERIES SCHOOL  BIDS AND AWARDS COMMITTEE  Liboro, Ragay, Camarines Sur  RNAFS-2020-06-010 ATTENTION:  ALL INTERESTED BIDDERS  SUB</t>
  </si>
  <si>
    <t xml:space="preserve"> Republic of the Philippines PROVINCE OF SOUTHERN LEYTE Maasin City Invitation to Bid for the Procurement of IT and Office Equipment  Contract ID # 2020-07-07-058PG 1.	The Provincial Government of Southern Leyte through the PAIASO–Information &amp; Communicati</t>
  </si>
  <si>
    <t xml:space="preserve"> Republic of the Philippines  Department of Education  Region V  Division of Camarines Sur  RAGAY NATIONAL AGRICULTURAL AND FISHERIES SCHOOL  BIDS AND AWARDS COMMITTEE  Liboro, Ragay, Camarines Sur  RNAFS-2020-06-009 ATTENTION:  ALL INTERESTED BIDDERS  SUB</t>
  </si>
  <si>
    <t xml:space="preserve"> Republic of the Philippines PROVINCE OF AKLAN Kalibo -oOo- BIDS AND AWARDS COMMITTEE (BAC) INVITATION TO BID 1.	The Provincial   Government   of   Aklan, through   MOOE SEF CY 2020 intends   to   apply   the   sum   of  Nine Hundred Fourteen Thousand Eigh</t>
  </si>
  <si>
    <t xml:space="preserve"> Repair and Rehabilitation of Guard House</t>
  </si>
  <si>
    <t xml:space="preserve"> Republic of the Philippines  Department of Education  Region V  Division of Camarines Sur  RAGAY NATIONAL AGRICULTURAL AND FISHERIES SCHOOL  BIDS AND AWARDS COMMITTEE  Liboro, Ragay, Camarines Sur  RNAFS-2020-06-011 ATTENTION:  ALL INTERESTED BIDDERS  SUB</t>
  </si>
  <si>
    <t xml:space="preserve"> Republic of the Philippines PROVINCE OF AKLAN Kalibo -oOo- BIDS AND AWARDS COMMITTEE (BAC) INVITATION TO BID 1.	The Provincial   Government   of   Aklan, through   MOOE SEF CY 2020 intends   to   apply   the   sum   of  Eight Hundred Six Thousand Seven Hu</t>
  </si>
  <si>
    <t xml:space="preserve"> Republic of the Philippines PROVINCE OF AKLAN Kalibo -oOo- BIDS AND AWARDS COMMITTEE (BAC) INVITATION TO BID 1.	The Provincial   Government   of   Aklan, through   MOOE SEF CY 2020 intends   to   apply   the   sum   of  Seven Hundred Fifty Six Thousand Tw</t>
  </si>
  <si>
    <t xml:space="preserve"> Republic of the Philippines PROVINCE OF AKLAN Kalibo -oOo- BIDS AND AWARDS COMMITTEE (BAC) INVITATION TO BID 1.	The Provincial   Government   of   Aklan, through   MOOE SEF CY 2020 intends   to   apply   the   sum   Five Hundred Eighty Six Thousand Four H</t>
  </si>
  <si>
    <t xml:space="preserve"> Repair and rehabilitation of hand washing area and three seater comfort room</t>
  </si>
  <si>
    <t xml:space="preserve"> See attached document</t>
  </si>
  <si>
    <t xml:space="preserve"> Construction of Water Tank Flatform, Installation of Electric Water Pump</t>
  </si>
  <si>
    <t xml:space="preserve"> Repair and rehabilitation of hand washing area</t>
  </si>
  <si>
    <t xml:space="preserve"> Request for Quotation RFQ No.		SVP-009-2020 MR No.		10067 Requisition No. 	MLS-20-028 Posting Date:         	June 16, 2020 Deadline for Submission:		June 22, 2020 at 9:00 AM Opening Date:	June 22, 2020, 2020 at 10:00 AM TO:	Name of Supplier:______________</t>
  </si>
  <si>
    <t xml:space="preserve"> 1. pieces  Teflon 3/4"                                    500   P     15.00   P  7,500.00 2. pieces  Brass replacement Piece 1/2"         200   P    180.00  P  36,000.00   3. pieces  Brass water meter 1/2" w/tailpiece 100   P 1,200.00  P 120,000.00 4. pie</t>
  </si>
  <si>
    <t xml:space="preserve"> CONCRETE PATHWAY Location: Zone 1, 5, 6 &amp; 7, Brgy. Udoc, Libmanan, Camarines Sur Project Description: I. Concrete Pathway L=142m  W=0.80m  Thk=0.10m                               II. Grouted Riprap                                   a. L=13.30m  H=0.40m   </t>
  </si>
  <si>
    <t xml:space="preserve"> INVITATION TO APPLY FOR ELIGIBILITY AND TO BID THE BIDS AND AWARD COMMITTEE OF THE MUNICIPALITY OF CAIBIRAN, BILIRAN IS INVITING ALL INTERESTED BIDDERS ON ITS FORTH COMING PUBLIC BIDDING FOR:   Project Title	                : Concrete Pavement of Access R</t>
  </si>
  <si>
    <t xml:space="preserve"> a. 20 units - RFID Reader b. 2 units - 15.6" Touch Screen Monitor c. 8 pcs. - TV Monitor Wall Bracket 40" fixed d. 8 units - USB Hub, 8 Ports e. 10 pcs. - USB Cable Extension, 5m f. 1 unit - 24 inches monitor NOTE: The above RFO is a package. Please attac</t>
  </si>
  <si>
    <t xml:space="preserve"> pack	cable tie 12" black	7 pcs	pdx clamp #14	2400 pcs	Plier	10 pcs	pdx clamp #12	500 pack	multi-tester sunwa (original)	5 pcs	aluminum ladder	3 pcs	Breaker Box 4 slot 	5 pcs	Circuit Breaker 20 ampere	4 pcs	Circuit Breaker 30 ampere	4 pcs	Circuit Breaker 6</t>
  </si>
  <si>
    <t xml:space="preserve"> TITLE: PROCUREMENT OF HOSPITAL/MEDICAL EQUIPMENT			 DEPARTMENT: PRIMARY CARE FACILITY			 			 ITEM NO.	QTY	UNIT	ITEM DESCRIPTION 1	2	unit	Lower extremity traction devices (supporting  slings, padding, traction strap) 2	20	pcs	Resistant straps or cravats 3	</t>
  </si>
  <si>
    <t xml:space="preserve"> ground preparation and lay out.Concreting of pavement and installation of decorative cement tiles</t>
  </si>
  <si>
    <t xml:space="preserve"> PROCUREMENT OF ONE (1) LOT EMERGENCY SUPPLIES AS PROTECTIVE MEASURE AGAINST COVID-19 AND COMPLIANCE TO THE NEW NORMAL 1.  ALCOHOL, 70% Ethyl, 500ml - 300 BOTTLES 	 2.  DISINFECTANT, 1/2 Gallon per container - 100 CONTAINERS		 3.  LIQUID HAND SOAP - 10 GAL</t>
  </si>
  <si>
    <t xml:space="preserve"> UNIT   DESCRIPTION AND QUANTITY ITEM 	              LOT PURCHASE	 UNIT   PUGON WITH 2 BURNERS, 24 INCHES	1 	  DIAMETER, LENGTH 9 FEET, WIDTH 3 FEET,	 	  HEIGHT 22 INCHES, CHIMNEY 9 FEET, FURNACE DIAMETER	 	  17 INCHES X 32 INCHES, HOLE IS 10 INCHES X 7 1/</t>
  </si>
  <si>
    <t xml:space="preserve"> Specifications can be viewed online by clicking the "Associated Components" section on this ITB. The Local Government Unit-Municipality of Malinao, Aklan through the Bids and Awards Committee, intends to apply the sum of One Hundred Thirty Three Thousand </t>
  </si>
  <si>
    <t xml:space="preserve"> Repair of ceilings 4storey 24 classrooms for high school building.</t>
  </si>
  <si>
    <t xml:space="preserve"> Description Item	Qty	Specifications 1.	Rice	500 bags	R40, 5kg per bag 2.	Canned Corned Beef	500 pcs.	150g, 100% pure beef 3.	Chocolate Drink	250 pcs.	8-35g per envelope 4.	Powdered Milk	500 pcs.	150g 5.	Pancake	500 box	500g per box 6.	Canned Tuna	1000 pcs</t>
  </si>
  <si>
    <t xml:space="preserve"> COMMON OFFICE SUPPLIES</t>
  </si>
  <si>
    <t xml:space="preserve"> pcs	PVC pipe blue 1/2	400 pcs	Elbow PVC 1/2 blue	150 pcs	Tee PVC 1/2	25 pcs	Female Adapter PVC 1/2	200 pcs	Male Adapter PVC 1/2	150 pcs	Teplone (Big)	200 pcs	Solvent Cement 100 c. c.	100 pcs	PVC Faucet	500 pcs	Coupling 1/2 Blue	100 pcs	Elbow PVC 2" blue	3</t>
  </si>
  <si>
    <t xml:space="preserve"> Republic of the Philippines								 PROVINCE OF CAGAYAN								 Tuguegarao City								 REQUEST FOR QUOTATION								 Company Name: 			Quotation No.					 Address:			Date					 TIN Number: 			PR No.					 Tel/Fax: 			Mode of Procurement: Shopping					 E-mail</t>
  </si>
  <si>
    <t xml:space="preserve"> REPUBLIC OF THE PHILIPPINES Guimba Water District Danzalan St. Cor. Faigal St., Sta. Veronica Guimba, Nueva Ecija Request for Quotation for Supply and Delivery of  Chlorine Dosing Pump, Unit, Parts and Materials for Water Sanitation ABC: Two Hundred Ninet</t>
  </si>
  <si>
    <t xml:space="preserve"> Republic of the Philippines DEPARTMENT OF PUBLIC WORKS AND HIGHWAYS CAMARINES SUR 1st DISTRICT ENGINEERING OFFICE REGIONAL OFFICE V Baras, Canaman, Camarines Sur INVITATION TO BID 		FOR 20GFD0009 – Supply and Delivery of Spare Parts and Materials for the </t>
  </si>
  <si>
    <t xml:space="preserve"> TITLE: PROCUREMENT OF FABRICATED CANOPY			 DEPARTMENT: GENERAL SERVICES OFFICE			 			 ITEM NO.	QTY	UNIT	ITEM DESCRIPTION 1	5	units	fabricated canopy 15x20 			 ABC: PHP. 192,500.00</t>
  </si>
  <si>
    <t xml:space="preserve"> Description:  Interested providers are invited to submit you proposal for the Third Party Support for the Deployment of Microsoft System Center Configuration Manager (SCCM) ABC: Five Hundred Ninety-Three Thousand Six Hundred Pesos (Php593,600.00) 1. Pleas</t>
  </si>
  <si>
    <t xml:space="preserve"> Request for Quotation RFQ No.		SVP-010-2020 MR No.		11596 Requisition No. 	TSE-2020-037 Posting Date:         	June 16, 2020 Deadline for Submission:		June 22, 2020 at 9:00 AM Opening Date:	June 22, 2020, 2020 at 10:00 AM TO:	Name of Supplier:____________</t>
  </si>
  <si>
    <t xml:space="preserve"> Purpose: Training after support under Corn Program different activities (Corn-Based Farming System; Financial Literacy; FSTP Phase 1, FSTP Phase 3 and FSTP Insertion). We are looking for a supplier that can provide the herein stated articles. Please quote</t>
  </si>
  <si>
    <t xml:space="preserve"> SEE ATTACHED : REQUEST FOR QUOTATION (RFQ)</t>
  </si>
  <si>
    <t xml:space="preserve"> REQUEST FOR QUOTATION FOR THE SUPPLY AND DELIVERY PROCUREMENT OF VARIOUS GROCERY ITEMS Please quote your lowest price on the item/s listed below, subject to the General Conditions and stating the shortest time of delivery and submit your quotation duly si</t>
  </si>
  <si>
    <t xml:space="preserve"> Republic of the Philippines Province of Nueva Vizcaya BIDS AND AWARDS COMMITTEE (BAC-Goods) BAC OFFICE, Provincial Capitol, Bayombong, Nueva Vizcaya 	 REQUEST FOR QUOTATION (RFQ)  For the Procurement of Office Supplies (Battery, Alcohol, etc.) For the Pro</t>
  </si>
  <si>
    <t xml:space="preserve"> REQUEST FOR SUPPLIES AND MATERIALS NEEDED DIN PREVENTION OF THE										 	SPREAD OF COVID-19, PURSUANT TO DAR MC#15 S. 2020										 	FOR SANITIZING, CLEANING &amp; DISINFECTION										 1	SOAP BAR (ANTI BACTERIALS OR SULFUR SOAP)									300	PIECE 2	TISSU</t>
  </si>
  <si>
    <t xml:space="preserve"> For Kalayaan 2020 Tarpaulin Printing</t>
  </si>
  <si>
    <t xml:space="preserve"> Republic of the Philippines DEPARTMENT OF PUBLIC WORKS AND HIGHWAYS CAMARINES SUR 1st DISTRICT ENGINEERING OFFICE REGIONAL OFFICE V Baras, Canaman, Camarines Sur INVITATION TO BID 		FOR 20GFD0010 – Supply and Delivery of Office Equipment for use in Admini</t>
  </si>
  <si>
    <t xml:space="preserve"> Requesting for Quotation (RFQ) for PR No. 2005212  Interested suppliers are invited to submit Sealed Price Quotations for the above listed items. The Request for Quotation (RFQ) for may be obtained from Mr. Albert A. Camarillo City General Services Office</t>
  </si>
  <si>
    <t xml:space="preserve"> Procurement of One (1) set Desktop Computer with Printer and Complete Accessories for MCR Office of LGU - Laak, Davao De Oro with an ABC of Php. 110,000.00.</t>
  </si>
  <si>
    <t xml:space="preserve"> see attached RFQ</t>
  </si>
  <si>
    <t xml:space="preserve"> INVITATION TO BID The DPWH Isabela 4th District Engineering Office through its Bids and Awards Committee (BAC), invites contractors to submit bids for the following Contract: Procurement ID / Contract ID			: 20BH0141 Contract Name/                        </t>
  </si>
  <si>
    <t xml:space="preserve"> 1. 45 pack Stringbeans 2. 9 kls Sweet Corn seeds 3. 40 pcs Seedling Tray 4. 45 pack Eggplant Seeds 5. 40 pack Ampalaya Seeds 6. 25 pack Okra Seeds 7. 20 pack Cauliflower Seeds 8. 6 pack Lettuce Seeds 9. 20 pack Squash Seeds 10. 20 pack Upland kangkong see</t>
  </si>
  <si>
    <t xml:space="preserve"> ROAD CONCRETING (0.20m thick x 6.0m wide x 255m long)</t>
  </si>
  <si>
    <t xml:space="preserve"> 25 boxes - Laminating Film A4 size 100's/box.</t>
  </si>
  <si>
    <t xml:space="preserve"> Republic of the Philippines				 Province of Quezon 				 Municipality of Lucban				 				 Bill of Quantities				 Quantity	Unit	Articles/Description	Unit Price	Amount  1 	lot	installation of New aluminum partition		 		wall with panel glass, slidng door and	 </t>
  </si>
  <si>
    <t xml:space="preserve"> Republic of the Philippines Province of South Cotabato BIDS AND AWARDS COMMITTEE Salada Street, Poblacion Tupi, South Cotabato Tel. Fax No.: (083) 226-1045 INVITATION TO BID FOR THE SUPPLY AND DELIVERY OF CONSTRUCTION MATERIALS FOR THE CONSTRUCTION OF FIF</t>
  </si>
  <si>
    <t xml:space="preserve"> Supply of Five Hundred Forty Five (545) cubic meter of common borrow with spreading on site.</t>
  </si>
  <si>
    <t xml:space="preserve"> 400 pcs - PWD I.D. (2.5 inches x 3.5 inches) 475 pcs - PWD Booklet (18 pages inside; cover page; board paper 4.5 inches x 7 inches)</t>
  </si>
  <si>
    <t xml:space="preserve"> PLEASE SEE ATTACHED</t>
  </si>
  <si>
    <t xml:space="preserve"> Description:  Interested providers are invited to submit proposal/quotation for the ADOBE CREATIVE CLOUD FOR TEAMS (CCT) SOFTWARE LICENSE SUBSCRIPTION MAINTENANCE AND SUPPORT SERVICES ABC: Three Hundred Thirty-Four Thousand Five Hundred Pesos (Php334,500.</t>
  </si>
  <si>
    <t xml:space="preserve"> Gentlemen:			 Please submit  your  lowest price quotation (including taxes and government discounts) on charged account basis, on the following supplies/materials/ equipment or labor for the account and official use of the Authority. This Request For Quot</t>
  </si>
  <si>
    <t xml:space="preserve"> Plant Plant Plant Intercropping of Papaya, Eggplant, Sili-Panigang and Sili-Tari (2,625 sq.,.) Seedlings 200	pcs	Papaya, Sinta variety F1, seedling 45-50 day old 12	tray	Eggplant, Prolifica Variety F1, 128 seedlings/tray, seedling 18-25 12	tray	Sili, Inok</t>
  </si>
  <si>
    <t xml:space="preserve"> Purchase of Construction Materials/ Temporary Reservoir at Tiwi, Loon</t>
  </si>
  <si>
    <t xml:space="preserve"> Republic of the Philippines				 Province of Quezon 				 Municipality of Lucban				 				 Bill of Quantities				 Quantity	Unit	Articles/Description	Unit Price	Amount  20 	BAG	portland cement		  3 	m3	sand	 	  2	m3	gravel	 	  12	pcs	12mm RSB	 	  6	pcs	10mm R</t>
  </si>
  <si>
    <t xml:space="preserve"> 3	bxs	Ballpen 50's/box black and blue 15	ream	Colored Paper, assorted colors 250's/ream 6	pcs	Correction Tape 8	sleeves	Manila Paper 11	pcs	Marker, permanent black broadtip type 10	pcs	Marker, permanent red broadtip type 10	pcs	Marker, permanent blue broa</t>
  </si>
  <si>
    <t xml:space="preserve"> Republic of the Philippines									 PROVINCE OF CAGAYAN									 Municipality of Peñablanca									 									 REQUEST FOR QUOTATION									 									 Company Name: 			Quotation No.						 Address:			Date						 TIN Number: 			PR No.						 Tel/Fax: 			Mod</t>
  </si>
  <si>
    <t xml:space="preserve"> Republic of the Philippines DEPARTMENT OF PUBLIC WORKS AND HIGHWAYS CAMARINES SUR 1st DISTRICT ENGINEERING OFFICE REGIONAL OFFICE V Baras, Canaman, Camarines Sur INVITATION TO BID 		FOR 20GFD0011 – Supply  of Fuel for Use of Various Sections for 2nd  Quar</t>
  </si>
  <si>
    <t xml:space="preserve"> 8 box  Losartan 50mg tab. 100bp 100bot Ascorbic Acid 100mg/5ml, 60ml syrup 160 bot cetirizine 1mg/ml ,60ml bot. 8 box captoril 25mg /tab 100bp 4 tube erythromycin eye ointment 5% ,5g 8 box erythromycin 500 mg tab 100bp 8 box ethambuto 400 mg tab 100bp 4 v</t>
  </si>
  <si>
    <t xml:space="preserve"> 1	pc	battery NS40 maintenance 1	set	sidemirror (big base) 2	pcs	headlight bulb (H4) 1	set 	wiper blade 14</t>
  </si>
  <si>
    <t xml:space="preserve"> PROCUREMENT OF OFFICE EQUIPMENT FOR THE LOCAL GOVERNMENT UNIT COMPUTERIZATION PROGRAM</t>
  </si>
  <si>
    <t xml:space="preserve"> ARTICLE AND DESCRIPTION											 ITEM	QTY.	UNIT						CEILING 					UNIT PRICE		TOTAL  								PRICE							 															 				Office: Ospital ng Tondo				PR No. 206							 				Charge to: Other Supplies and Materials Expenses				OBR No. 100-2001-00353			</t>
  </si>
  <si>
    <t xml:space="preserve"> THREE THOUSAND (3,000) PIECES CUSTOMIZED DOT EXCITING BICOL FACE MASKS SPECIFICATIONS: •	 Fits snugly and covers from nose bridge to below the chin •	Thick, breathable fabric •	Full sublimation print •	Preferable with pocket/slit for filter COLOR: a)	Blac</t>
  </si>
  <si>
    <t xml:space="preserve"> Small Value Procurement</t>
  </si>
  <si>
    <t xml:space="preserve"> 1   Set   Stainless Water Pressurized Tank (80 gals capacity, incl. guage) 1   Set   Electric Water Pump (Goulds, 1HP with Pressure Switch) 1   Set   Stainless Water Tank ( 2000L, with Floater) 4   Pcs   PPR Ball Valve (1 inch diameter) 3   Pcs   PPR Ball</t>
  </si>
  <si>
    <t xml:space="preserve"> 1. 50 ltrs Microbial inoculant 2. 1500 pcs Empty Sacks 3. 300 kgs Molasses Purpose: Soid waste segration and reduction enhancement program waste to food project organic material recovery and fertilizer production/CAO</t>
  </si>
  <si>
    <t xml:space="preserve"> office supplies and equipments</t>
  </si>
  <si>
    <t xml:space="preserve"> PLEASE SEE ATTACHED INVITATION TO BID FOR THE PROJECT DESCRIPTION.</t>
  </si>
  <si>
    <t xml:space="preserve"> REQUEST TO SUBMIT PROPOSAL/QUOTATION														 (Small Value Procurement - Sec. 53.9)														 								Date :						 														 														 Company / Store Name and Address														 														 	Please quote your lowest price on the </t>
  </si>
  <si>
    <t xml:space="preserve"> Requesting for Quotation (RFQ) for PR No. 2006043  Interested suppliers are invited to submit Sealed Price Quotations for the above listed items. The Request for Quotation (RFQ) for may be obtained from Mr. Albert A. Camarillo City General Services Office</t>
  </si>
  <si>
    <t xml:space="preserve"> Municipality of San Juan, Siquijor						Project Reference No.: 				 						Name of Project: Procurement of Office Furniture &amp;				 						Fixtures for OSCA, MSWD CY 2020				 						Location of Project: Poblacion,San Juan, Siquijor				 Standard Form Number: SF</t>
  </si>
  <si>
    <t xml:space="preserve"> Construction of Local Road/Bridge at Purok 5, Barangay San Jose, Bacon District, Sorsogon City</t>
  </si>
  <si>
    <t xml:space="preserve"> Adapter - 15 pcs	 EPSON , Ink 664 Black - 50 bottles	 EPSON , Ink 664 Cyan - 25 bottles	 EPSON , Ink 664 Magenta - 12 bottles	 EPSON , Ink 664 Yellow - 30 bottles	 EPSON , Ink 003 Black - 25 bottles	 EPSON , Ink 003 Cyan - 7 bottles	 EPSON , Ink 003 Magen</t>
  </si>
  <si>
    <t xml:space="preserve"> Preparation of As-built Plan, Detailed Engineering Design, Specifications, and Bill of Quantities of Annex Building and Municipal Building electrical system</t>
  </si>
  <si>
    <t xml:space="preserve"> 2 pcs. Thermal Scanner</t>
  </si>
  <si>
    <t xml:space="preserve"> 360 pcs - Solo Parent I.D. size: 6cm x 9cm non-glossy 750 pcs - Family Access Card size: 4 inch x 10 inch board paper 2,500 pcs - ECCD Booklet 1 (fold coat cover colored, 20 pages black &amp; white) 2,500 pcs - ECCD Booklet 2 (fold coat cover colored, 20 page</t>
  </si>
  <si>
    <t xml:space="preserve"> Two (2) pcs Timing Belt (R&amp;M Toyota Hilux Pick-up SHF 307) and 27 other LI</t>
  </si>
  <si>
    <t xml:space="preserve"> Premium Hog Starter Pellets, etc.- CEDU Animal- Swine Project Please see attached RFQ.</t>
  </si>
  <si>
    <t xml:space="preserve"> Republic of the Philippines  Province of Nueva Ecija  Palayan City BIDS AND AWARDS COMMITTEE  REQUEST FOR QUOTATION  									Date: June 15, 2020 1.	LGU-Palayan City through its Bids and Awards Committee (BAC) invites registered suppliers to submit quotat</t>
  </si>
  <si>
    <t xml:space="preserve"> Supply and delivery of the following: 18	roll	Barbed wire @ 30 kgs/roll			 36	roll	Hogwire, 9 eye #47			 10	kilo	"U" Nails, #2			 10	kilo	Tie Wire, gauge # 16			 Note:			 To be delivered at NSRRDC, Bagalupa, Labangan, Zamboanga del Sur</t>
  </si>
  <si>
    <t xml:space="preserve"> REQUEST TO SUBMIT PROPOSAL/QUOTATION														 (Shopping - Sec. 52.1 (b))														 								Date :						 														 														 Company / Store Name and Address														 														 	Please quote your lowest price on the items liste</t>
  </si>
  <si>
    <t xml:space="preserve"> PROCUREMENT OF ONE (1) LOT OFFICE EQUIPMENT 1.  Cabinet, Steel File, Vertical File 4 drawers	- 3 UNITS 	 2.  Cabinet, Open Shelves, steel,  5-layers, color: gray, gauge 18	- 10 UNITS ***nothing follows*** Request for Quotation (RFQ) Terms, Conditions, Pro</t>
  </si>
  <si>
    <t xml:space="preserve"> 5 units Office Table Malaysian Wood, Mahogany color Vinyl laminated, 48" x 28" 2 units Office Table Malaysian Wood, Mahogany Color Vinyl laminated, 48" x 28"</t>
  </si>
  <si>
    <t xml:space="preserve"> Procurement of Radio Base Transceiver and VHF Handheld Radio of DepEd Elementary - Laak North District, Laak, Davao De Oro with an ABC of Php. 60,000.00</t>
  </si>
  <si>
    <t xml:space="preserve"> The Local Government Unit of Amulung, Cagayan intends to purchase Supply and Delivery of 5,000 Liters Diesel for Ambulance through Alternative Mode of Procurement with an ABC of Php 175.000.00 Interested suppliers can avail of the Request for Quotation at</t>
  </si>
  <si>
    <t xml:space="preserve"> INVITATION TO APPLY FOR ELIGIBILITY AND TO BID The Municipal Government of   San Luis, Batangas, through its Bids and Awards Committee (BAC), invites contractors registered with and classified by the Philippine Contractors Accreditation Board (PCAB) to ap</t>
  </si>
  <si>
    <t xml:space="preserve"> INVITATION TO BID FOR IMPROVEMENT OF PUBLIC MARKET 1.	The Municipal Government of Sta. Maria through the 20% Local Development Fund 2020 intends to apply the sum of One Million Five Hundred Thousand Pesos (₱1,500,000.00) being the Approved Budget for the </t>
  </si>
  <si>
    <t xml:space="preserve"> 50 pcs. Polo Shirts P35,000.00</t>
  </si>
  <si>
    <t xml:space="preserve"> 1.	The AGRICULTURAL TRAINING INSTITUTE (ATI), through the 2020 GENERAL APPROPRIATIONS ACT (GAA) intends to apply the sum of TWELVE MILLION FOUR HUNDRED EIGHTY-FIVE THOUSAND ONE HUNDRED PESOS (PHP 12,485,100.00) being the Approved Budget for the Contract (</t>
  </si>
  <si>
    <t xml:space="preserve"> Project: Renovation of Regional Director's Office Location: Camp Col Rafael C Rodriguez, Butuan City Approved Budget for the Contract (ABC): Php147,355.74 Duration: 60 Calendar Days</t>
  </si>
  <si>
    <t xml:space="preserve"> Download attached Request for Quotation (RFQ) and submit to: Anselmo Baldoza Maño City Procurement Officer City Government of Naga Trunk line (054) 2052980 local# 1070 Email: bac@naga.gov.ph/ cpo@naga.gov.ph 1. PhilGEPS Closing Date/Time will be basis for</t>
  </si>
  <si>
    <t xml:space="preserve"> See Attached file</t>
  </si>
  <si>
    <t xml:space="preserve"> 1 pc. Table</t>
  </si>
  <si>
    <t xml:space="preserve"> 50 gals. Disinfectant Concentrate 15 gals. All Purpose Cleaner</t>
  </si>
  <si>
    <t xml:space="preserve"> 11,666 Sachet Nutriblend (rice, sesame, monggo)</t>
  </si>
  <si>
    <t xml:space="preserve"> 18	pcs	2 1/2x 2 1/2 x 1/4 angle bar 4	pcs	1 1/2x 1 1/2x 1/4 angle bar 10	klg	welding rod 6	pcs	16mm round bar 8	pcs	turn buckle 2	gal.	red oxide</t>
  </si>
  <si>
    <t xml:space="preserve"> Republic of the Philippines DEPARTMENT OF PUBLIC WORKS AND HIGHWAYS CAMARINES SUR 1st DISTRICT ENGINEERING OFFICE REGIONAL OFFICE V Baras, Canaman, Camarines Sur INVITATION TO BID 		FOR 20GFD0012 – Supply and Delivery of Customized Binder for use of  Vari</t>
  </si>
  <si>
    <t xml:space="preserve"> JOB ORDER: To provide labor and materials for the printing of T-shirts with the following specifications: No.	Scope of Work	Quantity	Unit_Cost	ABC 	MTERIALS:   Cotton	200	300.00	60,000.00 	COLOR:       Navy Blue			 	PRINT: see attached sample			 No.	Terms</t>
  </si>
  <si>
    <t xml:space="preserve"> 3RD INVITATION TO BID The Municipal Government of La Trinidad through the Bids and Awards Committee (BAC) invites contractors to bid for the hereunder project: Contract Reference No.: POW - 8751 - 2020 - LBS - 01 Name of Project: Improvement of FMR near S</t>
  </si>
  <si>
    <t xml:space="preserve"> Requesting for Quotation (RFQ) for PR No. 2006087  Interested suppliers are invited to submit Sealed Price Quotations for the above listed items. The Request for Quotation (RFQ) for may be obtained from Mr. Albert A. Camarillo City General Services Office</t>
  </si>
  <si>
    <t xml:space="preserve"> Used in the office of the Municipal Mayor, this muncipality</t>
  </si>
  <si>
    <t xml:space="preserve"> Republic of the Philippines PROVINCE OF ZAMBOANGA DEL NORTE BIDS AND AWARDS COMMITTEE (BAC) BAC Conference Room, Capitol Building, Brgy. Estaka Tel. # (065) 212-6492 Telefax # (065) 212-6492 	                                                               </t>
  </si>
  <si>
    <t xml:space="preserve"> REQUEST FOR QUOTATION (RFQ) Date: June 16, 2020 The Owner/Proprietor ____________________________ Borongan City Sir/Ma’am: Please quote your price for the items specified below, taking into consideration the following &amp; fill-up the above portion “The Owne</t>
  </si>
  <si>
    <t xml:space="preserve"> Requesting for Quotation (RFQ) for PR No. 2005198  Interested suppliers are invited to submit Sealed Price Quotations for the above listed items. The Request for Quotation (RFQ) for may be obtained from Mr. Albert A. Camarillo City General Services Office</t>
  </si>
  <si>
    <t xml:space="preserve"> Republic of the Philippines Province of Eastern Samar Municipality of San Julian REQUEST FOR QUOTATION _______________________________ ______________________________ _______________________________ SIR/MADAME: 	Please quote your lowest price for the follo</t>
  </si>
  <si>
    <t xml:space="preserve"> Republic of Philippines								 City of Canlaon								 OFFICE OF THE BIDS AND AWARDS COMMITTEE								 REQUEST FOR SEALED QUOTATION								 								 								 				Date:	15-Jun-20			 				Quotation No.:	2020-06-0164			 				PR No.:	2020-06-165-B			 				Depar</t>
  </si>
  <si>
    <t xml:space="preserve"> 1. 3,000 ltrs Diesel Fuel Note: the price/s quoted by the supplier shall be valid for a period of seven (7) calendar days from the date of the quotation, and the item/s shall be delivered to the procuring entity regardless of an increase or decrease in th</t>
  </si>
  <si>
    <t xml:space="preserve"> Supply and delivery of the following: 2	pack	EAZI-BREED CIDR Cattle Insert (Porgesterone)			 10	dose	Folligon			 10	dose	Folltropin V			 2	dose	Chorulon			 2	dose	Cystorelin</t>
  </si>
  <si>
    <t xml:space="preserve"> 1 Length Angle Bar Cleat 50x50x4.5mm and 56 Line Items</t>
  </si>
  <si>
    <t xml:space="preserve"> Republic of the Philippines								                     Department of Education								                  Region XI								                        DAVAO CITY NATIONAL HIGH SCHOOL 								                Davao City 								                     COMMITTEE ON </t>
  </si>
  <si>
    <t xml:space="preserve"> items:    vehicle parts, electrical and body repair materials of motorpool equipments location: lgu motorpool, gutalac, zamboanga del norte approved budget for the contract: php710,000.00 opening of bids: july 8, 2020    2:00 pm submission of bids: on or </t>
  </si>
  <si>
    <t xml:space="preserve"> Materials for the rehabilitation  of gutter and downspout of Basketball Court.</t>
  </si>
  <si>
    <t xml:space="preserve"> Thermal Paper, Coreless for Mobile Receipting Device Ziaplex Ziapos 900</t>
  </si>
  <si>
    <t xml:space="preserve"> REQUEST FOR QUOTATION Please quote your lowest price on the item/s listed below, subject to the conditions also listed below, stating the shortest time of delivery and submit your quotation duly signed by your representative not later than 5:00 P.M. of Ju</t>
  </si>
  <si>
    <t xml:space="preserve"> The Property Div.-OAS of the Supreme Court, through the Procurement Section, invites interested suppliers to quote for the price/s of the item/s listed in the attached document (PLEASE DOWNLOAD) Please also provide "Eligibility Documents, Annex A"</t>
  </si>
  <si>
    <t xml:space="preserve"> Project: Extension and Improvement of Pastoral Office and Quarters Location: Camp Col Rafael C Rodriguez, Butuan City Approved Budget for the Contract (ABC): Php436,000.00</t>
  </si>
  <si>
    <t xml:space="preserve"> Used in the office of the municipal mayor, this municipality</t>
  </si>
  <si>
    <t xml:space="preserve"> Republic of the Philippines DEPARTMENT OF PUBLIC WORKS AND HIGHWAYS CAMARINES SUR 1st DISTRICT ENGINEERING OFFICE REGIONAL OFFICE V Baras, Canaman, Camarines Sur INVITATION TO BID 		FOR 20GFD0013 – Supply and Delivery of Electrical Supplies, Common Office</t>
  </si>
  <si>
    <t xml:space="preserve"> Republic of Philippines								 City of Canlaon								 OFFICE OF THE BIDS AND AWARDS COMMITTEE								 REQUEST FOR SEALED QUOTATION								 								 								 				Date:	15-Jun-20			 				Quotation No.:	2020-06-0163			 				PR No.:	2020-06-166-B			 				Depar</t>
  </si>
  <si>
    <t xml:space="preserve"> Item No.	Description	Qty.	Unit 1	Winning Bidder must provide a Fully Automated Chemiluminescent Microparticle Immuno Assay (CMIA) machine. Provide all necessary accessories needed for the machine to function like RV, Control, calibration, pre-trigger, buf</t>
  </si>
  <si>
    <t xml:space="preserve"> Repair/Improvement of Multipurpose Bldg. (Health Center) of Barangay San Jose, Bacon District, Sorsogon City</t>
  </si>
  <si>
    <t xml:space="preserve"> Clearing, grubbing, demolition of existing structure, excavation &amp; backfilling (L&gt;S) 9 cu.m gravel 3/4 13 bags cement 5 cu.m sand 23 pcs 10mm @RSB 7 pcs G.I Pipe #2  sch. 20 9 pcs 2x2x12 coco lumber 2 kg CW nails asstd. sizes 1 kg Tie wires 4 pcs 1/4 thk </t>
  </si>
  <si>
    <t xml:space="preserve"> Repair and Maintenance of various Service Vehicle for use of Provincial Government of Tarlac LOT 1: Repair and Maintenance of (3) units Dental Bus LOT 2: Repair and Maintenance of Foton Gratour Midi Truck with CS No. GC1802; GC1806; GC1786; GC1823 LOT 3: </t>
  </si>
  <si>
    <t xml:space="preserve"> l.	The MUNICIPALITY OF GUINAYANGAN, QUEZON, through  the  2020 C.O.    intends to apply the sum of  Sixty Two Thousand Two Hundred Fifty Pesos  (P 62,250.00) being the Approved Budget for the Contract (ABC) to payments under the contract for Supply and De</t>
  </si>
  <si>
    <t xml:space="preserve"> Procurement of Three (3) units Generator and Four (4) units Grass Cutter for DepEd Elementary - Laak North District, Laak, Davao De Oro with an ABC of Php. 119,000.00.</t>
  </si>
  <si>
    <t xml:space="preserve"> The Bureau of Soils and Water Management (BSWM), through its Bids and Awards Committee (BAC), intend to hire catering services for the conduct of the “FY 2021 Budget Preparation and Consultation,” on   June 18, 2020, June 25, 2020 &amp; September 15, 2020 at </t>
  </si>
  <si>
    <t xml:space="preserve"> TIRES #14 X 14 -16 PLY RATING - 2 SETS</t>
  </si>
  <si>
    <t xml:space="preserve"> ARTICLE AND DESCRIPTION											 ITEM	QTY.	UNIT						CEILING 					UNIT PRICE		TOTAL  								PRICE							 															 				Office: Universidad De Manila				PR No. 331							 				Charge to: Medical, Dental and Laboratory Supplies Expenses				OBR No. 1</t>
  </si>
  <si>
    <t xml:space="preserve"> Uniforms for Fishery Law Enforcement Personnel 					 					 Short Sleeve with BFAR Logo (sublimation)			35	Piece	21,000.00 Dry fit texture					 Long Sleeve with BFAR Logo (sublimation) Dry fit texture			35	Piece	24,500.00 Tactical Shorts (for men)			65	Pie</t>
  </si>
  <si>
    <t xml:space="preserve"> ARTICLE AND DESCRIPTION											 ITEM	QTY.	UNIT						CEILING 					UNIT PRICE		TOTAL  								PRICE							 															 				Office: Universidad De Manila				PR No. 330							 				Charge to: Drugs and Medicines Expenses				OBR No. 100-2002-00678							</t>
  </si>
  <si>
    <t xml:space="preserve"> Republic of the Philippines MINDANAO STATE UNIVERSITY AT NAAWAN 9023 Naawan, Misamis Oriental REQUEST FOR QUOTATION To whom it may concern: Please quote your lowest price/s on the lot or item/s listed below, subject to the General Conditions indicated her</t>
  </si>
  <si>
    <t xml:space="preserve"> Invitation to Bid for Filling at ESSU Mini Park at ESSU Main Campus 1.	The Eastern Samar State University – Main Campus, through the FY 2020 Special Trust Fund intends to apply the sum of Six Million Three Hundred Five Thousand Five Hundred Fourteen Pesos</t>
  </si>
  <si>
    <t xml:space="preserve"> Purchase of Camera use in Office of Tourism &amp; Department of Agriculture</t>
  </si>
  <si>
    <t xml:space="preserve"> OFFICE OF THE BIDS AND AWARDS COMMITTEE Name of Procuring Entity:     LGU – BAYOMBONG      Request for Quotation No.: _____________________ Revised on:   ______________________________                                             Date:   __________________</t>
  </si>
  <si>
    <t xml:space="preserve"> Republic of the Philippines 	 PROVINCE OF BUKIDNON 	 Municipality of Don Carlos                                     BIDS AND AWARDS COMMITTEE REQUEST FOR QUOTATION 									 							Date:  							RFQ No.											   		Name of Project:  									 							En</t>
  </si>
  <si>
    <t xml:space="preserve"> To be used in the office of matalam police station</t>
  </si>
  <si>
    <t xml:space="preserve"> Republic of the Philippines Province of Iloilo  BIDS AND AWARDS COMMITTEE REQUEST FOR QUOTATION Quotation No.PEO-20-0676-NP (SV) Reference PR No. PEO-20-0676 June 11, 2020 ___________________________ ___________________________ ___________________________</t>
  </si>
  <si>
    <t xml:space="preserve"> REQUEST FOR QUOTATION Labor for Replacement of Roofing and Ceiling Eaves of Whitehouse 1. The Cavite State University (CvSU) invites interested firms/suppliers to submit quotation for the project “Labor for Replacement of Roofing and Ceiling Eaves of Whit</t>
  </si>
  <si>
    <t xml:space="preserve"> 2ND INVITATION TO BID The Municipal Government of La Trinidad through the Bids and Awards Committee (BAC) invites contractors to bid for the hereunder project: Contract Reference No.: POW - 8751 - 2020 - PCO - 02 Name of Project: Construction of Box Culve</t>
  </si>
  <si>
    <t xml:space="preserve"> Republic of the Philippines PROVINCIAL GOVERNMENT OF EASTERN SAMAR Capitol Building, Borongan, Eastern Samar, 6800 Tel No. (055)-560-8312 E-mail Address: esamar.bac@gmail.com BIDS AND AWARDS COMMITTEE (BAC) INVITATION TO BID FOR CONCRETING OF CAROLINA – H</t>
  </si>
  <si>
    <t xml:space="preserve"> Requesting for Quotation (RFQ) for PR No. 2006045  Interested suppliers are invited to submit Sealed Price Quotations for the above listed items. The Request for Quotation (RFQ) for may be obtained from Mr. Albert A. Camarillo City General Services Office</t>
  </si>
  <si>
    <t xml:space="preserve"> Requesting for Quotation (RFQ) for PR No. 2005193  Interested suppliers are invited to submit Sealed Price Quotations for the above listed items. The Request for Quotation (RFQ) for may be obtained from Mr. Albert A. Camarillo City General Services Office</t>
  </si>
  <si>
    <t xml:space="preserve"> Republic of the Philippines Province of Cotabato Municipality of Arakan Barangay Dallag BIDS AND AWARDS COMMITTEE REQUEST FOR QUOTATION Construction of Multi-purpose Building @ sitio Malli The Barangay Local Government Unit of Dallag is inviting intereste</t>
  </si>
  <si>
    <t xml:space="preserve"> l.	The MUNICIPALITY OF GUINAYANGAN, QUEZON, through  the  2020 C.O.    intends to apply the sum of  Two Hundred Twelve Thousand Three Hundred Twenty  Pesos                   (P 212,320.00) being the Approved Budget for the Contract (ABC) to payments under</t>
  </si>
  <si>
    <t xml:space="preserve"> Labor</t>
  </si>
  <si>
    <t xml:space="preserve"> Republic of the Philippines Provincial Government of Aurora Bids and Awards Committee (BAC) BAC Office, Provincial Capitol Building, Baler, Aurora 3200, Philippines Standard Form Number: SF-INFR-05 Revised on: July 29, 2004 INVITATION TO BID The PROVINCIA</t>
  </si>
  <si>
    <t xml:space="preserve"> Republic of the Philippines                                                   													 DEPARTMENT OF PUBLIC WORKS AND HIGHWAYS													 ZAMBOANGA DEL NORTE													 1ST DISTRICT ENGINEERING OFFICE													 REGIONAL OFFICE IX													 </t>
  </si>
  <si>
    <t xml:space="preserve"> 1,870 liters diesel location: sb legislative office, gutalac, zamboanga del norte approved budget for the contract: php68,000.00 opening of bids: june 25, 2020    2:00 pm submission of bids: on or before opening of bids non refundable fee for bidding docu</t>
  </si>
  <si>
    <t xml:space="preserve"> Description Please quote your price inclusive of VAT on the item/s listed below, subject to the Terms and conditions of the RFQ, and submit your quotation duly signed by your representative not later than June 23, 2020 at CGSO for Goods. Upon receipt of a</t>
  </si>
  <si>
    <t xml:space="preserve"> Republic of the Philippines Province of Cotabato Municipality of Arakan Barangay Dallag BIDS AND AWARDS COMMITTEE REQUEST FOR QUOTATION Purchase of Laptop  The Barangay Local Government Unit of Dallag is inviting interested suppliers to submit price quota</t>
  </si>
  <si>
    <t xml:space="preserve"> For use in Michigan Payloader L2-1335 assigned at Maint. Section</t>
  </si>
  <si>
    <t xml:space="preserve"> Black Ink HP Deskjet Ink Advantage - #680 Colored Ink HP Deskjet Ink Advantage - #680 Alcohol (70% Solution) Tissue (Cleene Premium - 9 rolls)</t>
  </si>
  <si>
    <t xml:space="preserve"> Requesting for Quotation (RFQ) for PR No. 2006055  Interested suppliers are invited to submit Sealed Price Quotations for the above listed items. The Request for Quotation (RFQ) for may be obtained from Mr. Albert A. Camarillo City General Services Office</t>
  </si>
  <si>
    <t xml:space="preserve"> ARTICLE AND DESCRIPTION											 ITEM	QTY.	UNIT						CEILING 					UNIT PRICE		TOTAL  								PRICE							 															 				Office: Ospital ng Tondo				PR Nos. 205 &amp; 203							 				Charge to: Other Supplies and Materials Expenses				OBR No. 100-2001-0</t>
  </si>
  <si>
    <t xml:space="preserve"> Republic of the Philippines PROVINCIAL GOVERNMENT OF EASTERN SAMAR Capitol Building, Borongan, Eastern Samar, 6800 Tel No. (055)-560-8312 E-mail Address: esamar.bac@gmail.com BIDS AND AWARDS COMMITTEE (BAC) INVITATION TO BID FOR CONSTRUCTION OF MULTI-PURP</t>
  </si>
  <si>
    <t xml:space="preserve"> 1	Unit	Smart TV 75", ABC 120,000.00/unit Resolution: 3840 x 2160, Display Format: 4K UHD 2160p, 75 inch				 Connectivity: Wifi and Internet 3 USB Ports 4 HDMI Ports				 Operating System: Android	 RFQ#06-0619</t>
  </si>
  <si>
    <t xml:space="preserve"> Republic of the Philippines PROVINCE OF AKLAN Kalibo -oOo- BIDS AND AWARDS COMMITTEE (BAC) INVITATION TO BID 1.	The Provincial   Government   of   Aklan, through   MOOE SEF CY 2020 intends   to   apply   the   sum   Eight Hundred One Thousand Five Hundred</t>
  </si>
  <si>
    <t xml:space="preserve"> Requesting for Quotation (RFQ) for PR No. 2005253  Interested suppliers are invited to submit Sealed Price Quotations for the above listed items. The Request for Quotation (RFQ) for may be obtained from Mr. Albert A. Camarillo City General Services Office</t>
  </si>
  <si>
    <t xml:space="preserve"> 1 pc amglobe crystal light 1/2 clear 6 mtrs #12 THW stranded wire 4 mtrs moldflex pipe # 1/2 32 pcs P.E pipe 1/2 SDR II 1 pc firefly bulb (18watts) 64 mtrs #10 THW stranded wire 1 pc poly junction box 4x4x WC 1 roll electrical tape (big) 1 mtr mecca tube </t>
  </si>
  <si>
    <t xml:space="preserve"> Republic of the Philippines PROVINCE OF AKLAN Kalibo -oOo- BIDS AND AWARDS COMMITTEE (BAC) INVITATION TO BID 1.	The Provincial   Government   of   Aklan, through   MOOE SEF CY 2020 intends   to   apply   the   sum   Nine Hundred Sixty Seven Thousand Three</t>
  </si>
  <si>
    <t xml:space="preserve"> JOB ORDER: Labor services for the conduct of Complete Soil Analysis for samples collected from 45 sites   in three provinces  Brgy. Camanhagay, San Sebastian Samar, Brgy. Uban, Babatngon Leyte &amp; Brgy.  Manlabang Caibiran Biliran. No.	Scope of Work	Quantit</t>
  </si>
  <si>
    <t xml:space="preserve"> Please see attached Request for Quotation, Specifications and Scope of Work. Other document relative to this procurement is available at the BAC Secretariat.</t>
  </si>
  <si>
    <t xml:space="preserve"> I - Concrete works - 10.55 cu.m II - Masonry works - 196.57 sq. m III - Ceiling works - 109.32 sq. m IV - Roofing works - 158 sq. m V - Painting works - 393.14 sq. m VI - Doors and Windows - 10.98 sq. m VII - Tiling works - 90.56 sq. m VIII - Electrical w</t>
  </si>
  <si>
    <t xml:space="preserve"> PR#20-02-0024 ABC 450,000.00 Please see attached Specifications, Terms, Reference and Scope of Work at the Associated Components. INSTRUCTIONS/ NOTES TO BIDDERS: 1.	Please indicate the following information in your bid: a) Company Name, Address, Tel/Fax n</t>
  </si>
  <si>
    <t xml:space="preserve"> 12 UNITS LAPTOP MIDRANGE</t>
  </si>
  <si>
    <t xml:space="preserve"> ARTICLE AND DESCRIPTION											 ITEM	QTY.	UNIT						CEILING 					UNIT PRICE		TOTAL  								PRICE							 															 				Office: Ospital ng Tondo				PR No. 197							 				Charge to: Office Supplies Expenses				OBR No. 100-2001-00344							 				ABC:</t>
  </si>
  <si>
    <t xml:space="preserve"> Republic of the Philippines Province of Eastern Samar Municipality of San Julian REQUEST FOR QUOTATION _____________________________ _____________________________ _____________________________ SIR/MADAME: 	Please quote your lowest price for the following </t>
  </si>
  <si>
    <t xml:space="preserve"> The City Government of Santiago invites interested parties to submit price quotation for the “SUPPLY AND DELIVERY OF VARIOUS EQUIPMENT FOR CANCER PREVENTION AND CONTROL PROGRAM USE“ City Hall, Santiago City, details as follows: ABC: Php 514,500.00 Contrac</t>
  </si>
  <si>
    <t xml:space="preserve"> FOR MODULAR REQUIREMENT</t>
  </si>
  <si>
    <t xml:space="preserve"> Republic of the Philippines Province of Nueva Vizcaya BIDS AND AWARDS COMMITTEE (BAC-Goods) BAC OFFICE, Provincial Capitol, Bayombong, Nueva Vizcaya 	 2ND REQUEST FOR QUOTATION (RFQ)  For the Procurement of Office Supplies (Carbon Film, Paper Multi-purpos</t>
  </si>
  <si>
    <t xml:space="preserve"> 20ID0071 	Construction/ Rehabilitation of Flood Mitigation Facilities within Major River Basins and Principal Rivers- Construction of Daguitan-Marabong River Flood Control, Brgy. Batug, Dulag, Leyte            	Flood Mitigation Structure –   165 Ln.m	19,7</t>
  </si>
  <si>
    <t xml:space="preserve"> Road Work Ahead (T1-1) (50m) 1,800mm x 600mm	12	Pcs Road Work Ahead (T1-1) (100m) 1,800mm x 600mm	14	Pcs Road Work Ahead (T1-1) (150m) 1,800mm x 600mm	14	Pcs Road Work Ahead (T1-1) (200m) 1,800mm x 600mm	14	Pcs Bridge Work Ahead (T1-2) (50m) 1,800mm x 600</t>
  </si>
  <si>
    <t xml:space="preserve"> Purchase of Various Office Supplies  for SB Office</t>
  </si>
  <si>
    <t xml:space="preserve"> REQUEST FOR QUOTATION Please quote your lowest price on the item/s listed below, subject to the conditions also listed below, stating the shortest time of delivery and submit your quotation duly signed by your representative not later than 5:00 P.M. of  J</t>
  </si>
  <si>
    <t xml:space="preserve"> Materials to be used for construction and re painting of offices.</t>
  </si>
  <si>
    <t xml:space="preserve"> Republic of the Philippines Province of Cotabato Municipality of Arakan Barangay Kabalantian PBIDS AND AWARDS COMMITTEE INVITATION TO BID FOR   Ri Bid for Purchase of Rescue Vehicle Bonggo 1.	The Barangay Local Government Unit of Kabalantian, through the </t>
  </si>
  <si>
    <t xml:space="preserve"> 50 pcs Folding Bed 31 pcs Single Foam</t>
  </si>
  <si>
    <t xml:space="preserve"> Construction of Concrete Pathway L:100LM, t=0.10m W= 1.00m 1.Sub base and base Preparations II. PCCP Portland Cement Concrete Pavement B. Installation of $ unit Street Lights  NOTE: This project is intended for barangay sto.domingo the fund is from there </t>
  </si>
  <si>
    <t xml:space="preserve"> REQUEST FOR QUOTATION Supply and Delivery of Materials for Replacement of Roofing and Ceiling Eaves of Whitehouse 1. The Cavite State University (CvSU) invites interested firms/suppliers to submit quotation for the project “Supply and Delivery of Material</t>
  </si>
  <si>
    <t xml:space="preserve"> INVITATION TO BID FOR Procurement of Machinery &amp; Equipment for ESSU Can-Avid use PR#20-06-091   1.	The EASTERN SAMAR STATE UNIVERSITY, through the FY 2020 GAA, R.A No. 11465 intends to apply the sum of Three Million Pesos (Php3,000,000.00), [Lot Number On</t>
  </si>
  <si>
    <t xml:space="preserve"> Bids and Awards Committee							 REQUEST FOR QUOTATION							         The City Government of Pagadian, through its Bids and Awards Committee (BAC), invites suppliers/manufacturers/distributors to bid for the hereunder supplies/goods, charged to TRUST FUND</t>
  </si>
  <si>
    <t xml:space="preserve"> REQUEST FOR QUOTATION					 					 					 P.R. Number   :	2020 -   Date              :	 Company Name	:  _____________________			 					 Address	: _________________________				 					              Please quote your price on the item/s listed below, subject to t</t>
  </si>
  <si>
    <t xml:space="preserve"> Climate Proofed Concrete Road</t>
  </si>
  <si>
    <t xml:space="preserve"> ITEMNO. 	ITEM  &amp; DESCRIPTION	QTY.	UOM 			 1	Commercial Rice	151	sack</t>
  </si>
  <si>
    <t xml:space="preserve"> ARTICLE AND DESCRIPTION											 ITEM	QTY.	UNIT						CEILING 					UNIT PRICE		TOTAL  								PRICE							 															 				Office: Universidad De Manila				PR No. 359							 				Charge to: Textbooks and Instructional Materials Expenses				OBR No. 100</t>
  </si>
  <si>
    <t xml:space="preserve"> Republic of the Philippines PROVINCIAL GOVERNMENT OF EASTERN SAMAR Capitol Building, Borongan, Eastern Samar, 6800 Tel No. (055)-560-8312 E-mail Address: esamar.bac@gmail.com BIDS AND AWARDS COMMITTEE (BAC) INVITATION TO BID FOR CONSTRUCTION OF TRIPLE BAR</t>
  </si>
  <si>
    <t xml:space="preserve"> l.	The MUNICIPALITY OF GUINAYANGAN, QUEZON, through  the  2020 C.O.    intends to apply the sum of  One Hundred Twenty Four Thousand Eighty Two  Pesos                      (P 124,082.00) being the Approved Budget for the Contract (ABC) to payments under t</t>
  </si>
  <si>
    <t xml:space="preserve"> 1	pcs.	30	CHB #4				 2	 sacks 	70	White Sand				 3	sacks	6	Gravel 3/4				 4	kilos	3	G.I. Wire #16				 5	pc.	1	Plywood ½" x4" x 8'				 6	kilo 	0.5	Concrete Nail 2"				 7	kilo	0.5	Concrete Nail 1 ½"				 8	pcs.	8	Lavatory Faucet				 9	pcs.	3	PVC Pipe Orange </t>
  </si>
  <si>
    <t xml:space="preserve"> REPAIR AND IMPROVEMENT OF PLUMBING AND WATER PIPE LINES</t>
  </si>
  <si>
    <t xml:space="preserve"> Republika ng Pilipinas BAYAN NG CORTES Surigao del Sur BIDS AND AWARDS COMMITTEE 						           June 16, 2020 INVITATION TO BID FOR    Construction of MRF &amp; Purchase of Plastic Bins 	The Local Government Unit of Cortes through LGU PR. No.  401-048 dated</t>
  </si>
  <si>
    <t xml:space="preserve"> Disinfection Cap</t>
  </si>
  <si>
    <t xml:space="preserve"> Purchase and installation of 149 units sanitary toilets</t>
  </si>
  <si>
    <t xml:space="preserve"> Province of Iloilo Municipality of New Lucena    New Lucena, Iloilo 							         June 15, 2020    INVITATION TO BID FOR THE SUPPLY AND DELIVERY OF MATERIALS FOR CONSTRUCTION OF MULTI – PURPOSE HALL BRGY.BACLAYAN, NEW LUCENA, ILOILO 1.	The Municipality </t>
  </si>
  <si>
    <t xml:space="preserve"> LETTER OF INVITATION (Negotiated Procurement - Small Value Procurement) June 15, 2020 Dear Sir/Ma’am: Greetings! This is to invite you as our prospective bidder to submit proposal and participate for the project, “Upgrade, Integration and Relocation of Se</t>
  </si>
  <si>
    <t xml:space="preserve"> Urea Complete Ammonium Phosphate</t>
  </si>
  <si>
    <t xml:space="preserve"> CONCRETE PAVING (LENGHT = 80.0M, WIDTH =3.0M., THICKNESS = 0.20M.) WITH 05.0M. SHOULDER ON BOTH SIDES.</t>
  </si>
  <si>
    <t xml:space="preserve"> Purchase of Various Janitorial Supplies  for SB &amp; VM Office</t>
  </si>
  <si>
    <t xml:space="preserve"> Safety Cone with Accessories, Plastic, Good Quality A. Description: - Four sided signs for maximum visibility  - Perfect for highlighting hazardous areas - Cones Stand 900mm High - Constructed from die-cut multi flute  - Lightweight, Durable and Stackable</t>
  </si>
  <si>
    <t xml:space="preserve"> IT Supplies for Various Offices</t>
  </si>
  <si>
    <t xml:space="preserve"> See Line Item</t>
  </si>
  <si>
    <t xml:space="preserve"> Doxitrin Wound Spray 86g Premoxil Powder Vetracin Premium Multivitamins Pidro Povidone iodine 100ml Scourex Powder Scourex Tab 100's Amobac Ciprotyl Tab Alcohol</t>
  </si>
  <si>
    <t xml:space="preserve"> Requesting for Quotation (RFQ) for PR No. 2006047  Interested suppliers are invited to submit Sealed Price Quotations for the above listed items. The Request for Quotation (RFQ) for may be obtained from Mr. Albert A. Camarillo City General Services Office</t>
  </si>
  <si>
    <t xml:space="preserve"> purchased and delivery of barangay uniforms</t>
  </si>
  <si>
    <t xml:space="preserve"> 1. The Mindanao State University - Tawi-Tawi College of Technology and Oceanography (MSU-TCTO), through the GAA 2020, intends to apply the sum of One Hundred Forty-Six Thousand Two Hundred Twenty Pesos only (PhP 146,220.00) being Approved Budget of Contra</t>
  </si>
  <si>
    <t xml:space="preserve"> 1	60	bot	Alcohol (big)	 2	50	pcs	Mighty bond	 3	50	bot	Air freshner 320 ml	 4	120	doz	Tissue paper 	 5	40	pcs	Toilet deodorant	 6	30	bot	Muriatic acid	 7	24	sachet	Detergent powder 500g	 8	20	doz	Fabric conditioner	 9	30	bot	Hand sanitizer 100 ml.	 10	30	</t>
  </si>
  <si>
    <t xml:space="preserve"> Uniform and Accesories for BSF and Traffic Enforcers.</t>
  </si>
  <si>
    <t xml:space="preserve"> 3,875 sacks of  RICE at 25 kgs. per sack</t>
  </si>
  <si>
    <t xml:space="preserve"> LGU-BAROBO		Project Reference Number			 Name of Procuring Entity		Supply &amp; Delivery of Office  Equipment			 					 			Barobo, Surigao del Sur		 Standard Form Number: SF-GOOD-60					 Revised on: May 24, 2004					 Standard Form Title: REQUEST FOR QUOTATION		</t>
  </si>
  <si>
    <t xml:space="preserve"> FOR SCHOOL ONLINE COMMUNICATION</t>
  </si>
  <si>
    <t xml:space="preserve"> 1.Repair and Improvement of Existing Damaged Structures both at Boundary Marker and Outpost (Including Signages/ Marker ) 2. Re-Painting Works Note: This project is intended for barangay sto.domingo , the fund is from their budget , for any information pl</t>
  </si>
  <si>
    <t xml:space="preserve"> Construction Materials.</t>
  </si>
  <si>
    <t xml:space="preserve"> 20ID0072   	Construction of Anonang River Flood Control, Barangay Anonang,Burauen, Leyte   	Flood Mitigation Structure –  422.20 Ln.m 	19,600,000.01	GAA CY 2020 	164 CD	25,000.00 To be eligible to bid for this Contract, a contractor must meet the followin</t>
  </si>
  <si>
    <t xml:space="preserve"> 2 unit 2 tonner split type wall mounted inverter aircon with cooling load of 27,000 Btu/hr, 230V, 60Hz 3 phase inclusive of installation............etc Note: Indicate the brand, model and attach brochure offered    Please see and download attachment</t>
  </si>
  <si>
    <t xml:space="preserve"> Invitation to Bid for  SUPPLY &amp; DELIVERY OF CONSTRUCTION MATERIALS FOR THE CONSTRUCTION OF SLAUGHTER HOUSE BLDG. @ BRGY. PILINTANGAN, WAO, LANAO DEL SUR ------------------------------------------------------------------------------------------------------</t>
  </si>
  <si>
    <t xml:space="preserve"> Requesting for Quotation (RFQ) for PR No. 2006050  Interested suppliers are invited to submit Sealed Price Quotations for the above listed items. The Request for Quotation (RFQ) for may be obtained from Mr. Albert A. Camarillo City General Services Office</t>
  </si>
  <si>
    <t xml:space="preserve"> City Government of La Carlota								          Standard Form Number: SF-GOOD-59 Revised on: May 24, 2004 Standard Form Title: REQUEST FOR QUOTATION 												Date: ______________											                             Quotation No.________ Company Name </t>
  </si>
  <si>
    <t xml:space="preserve"> PLEASE SEE ATTACHED REQUEST FOR QUOTATION FOR THE PROJECT DESCRIPTION.</t>
  </si>
  <si>
    <t xml:space="preserve"> School and Office Supplies and Consumables</t>
  </si>
  <si>
    <t xml:space="preserve"> A) 1 SET SIREN, sentry e-6 model, 124Db @10ft, 5 selectable alarm tones, made in USA, delivery and installation at the Municipal building. B) 3 SETS SIREN, blue and red light, attaching mechanism, control mechanism, microphone, length - 1.5 meters, rear r</t>
  </si>
  <si>
    <t xml:space="preserve"> Republic of the Philippines Province of Cotabato Municipality of Arakan Barangay Allab PBIDS AND AWARDS COMMITTEE INVITATION TO BID FOR  Ri Bid For  Installation of Culvert 1.	The Barangay Local Government Unit of Allab, through the GENERAL  FUND  intends</t>
  </si>
  <si>
    <t xml:space="preserve"> Maintenance of St Lights</t>
  </si>
  <si>
    <t xml:space="preserve"> 30	M³	SAND GRAVEL (BALASTRO) 240	PCS	4 ‘’ THK CHB 50	BAGS	CEMENT 6	M³	SAND 9	M³	GRAVEL 20	LENGTH	10 MM DEF BARS 3	KG	# 18 TIE WIRE</t>
  </si>
  <si>
    <t xml:space="preserve"> Photographic Services for Barangay Personnel</t>
  </si>
  <si>
    <t xml:space="preserve"> FOR OFFICE EQUIPMENT</t>
  </si>
  <si>
    <t xml:space="preserve"> PURCHASE OF MATERIALS FOR THE CONSTRUCTION OF WATER EXTRACTION FACILITIES, BARANGAY SAMALAGUE, PATNONGON, ANTIQUE</t>
  </si>
  <si>
    <t xml:space="preserve"> Requesting for Quotation (RFQ) for PR No. 2005197  Interested suppliers are invited to submit Sealed Price Quotations for the above listed items. The Request for Quotation (RFQ) for may be obtained from Mr. Albert A. Camarillo City General Services Office</t>
  </si>
  <si>
    <t xml:space="preserve"> REQUEST FOR QUOTATION RFQ No. 2020-0239 The CITY GOVERNMENT OF CABANATUAN through its Bid and Awards Committee (BAC), will undertake Small Value Procurement for the SUPPLY AND DELIVERY OF OFFICE SUPPLIES in accordance with Section 53.9 of the Revised Impl</t>
  </si>
  <si>
    <t xml:space="preserve"> Republic of the Philippines Province of Surigao del Norte Municipality of Claver BARANGAY CAGDIANAO INVITATION TO BID Name of Contract: PURCHASE OF FIRE FIGHTING EQUIPMENT Location: Brgy. Cagdianao, Claver, Surigao del Norte Project Description: Ten (10) </t>
  </si>
  <si>
    <t xml:space="preserve"> Drainage Constructed</t>
  </si>
  <si>
    <t xml:space="preserve"> Office Supplies</t>
  </si>
  <si>
    <t xml:space="preserve"> Laboratory department Cooler with horizontal locking telescoping handle with two wheels (with drain plig, fish ruler, cool riser technology, 5 days ice retention,168 cans maximum 110 qrts,104 liters) folding bed heavy duty</t>
  </si>
  <si>
    <t xml:space="preserve"> Republika ng Pilipinas BAYAN NG CORTES Surigao del Sur BIDS AND AWARDS COMMITTEE 						           June 16, 2020 INVITATION TO BID FOR    Purchase of Other Accessories and Supply and Repair of L300 Vehicle Services 	The Local Government Unit of Cortes thro</t>
  </si>
  <si>
    <t xml:space="preserve"> Republic of the Philippines Province of Cotabato Municipality of Arakan Barangay Anapolon BIDS AND AWARDS COMMITTEE BIDS AND AWARDS COMMITTEE INVITATION TO BID FOR  Ri Bid ForSupply of Materials for Concrete Perimeter Fence of  Barangay Hall ( 80.00mx 60.</t>
  </si>
  <si>
    <t xml:space="preserve"> CONSTRUCTION /INSTALLATION OF SLOPE PROTECTION OF ROAD TO PREVENT FLOOD SCOURING, BARANGAY CUYAPIAO, PATNONGON, ANTIQUE</t>
  </si>
  <si>
    <t xml:space="preserve"> Item No.	Description	Qty.	Unit 	Winning bidder must provide GEL INCUBATOR and GEL CENTRIFUGE or any machine needed for GEL CROSSMATCHING, reagent delivery and payment can be in quarterly basis or depends on the demand of the end-user. Technical assistance</t>
  </si>
  <si>
    <t xml:space="preserve"> 1. Repair of Roofing and its Accessories 2. repair/ Improvement of Ceiling of Session Area &amp; Office only (with drop ceiling) 3. Tile Works/ Masonry Works (office, Porch, Toilet) 4.Replacement of Doors, Jambs &amp; Glass Windows 5. Repair/ Replacement of Steel</t>
  </si>
  <si>
    <t xml:space="preserve"> o supply catering services in the conduct of Training on Corn Production Technology on the following date and location: No.	Scope of Work	Quantity	Unit_Cost	ABC 	BATCH 1			 	Venue and Schedule (20 participants + 5 RPs/ facilitators)			49,000.00 	Merida, L</t>
  </si>
  <si>
    <t xml:space="preserve"> Lot 1 	Supply and Delivery of the following items:					92,000.00 	25mm syringe filter			10	pack of 100	 	0.45 micron, non sterile					 	100/pack					 	HPLC Column, 150 mm, 5µm, 4.6 mm id			1	pc	 Lot 2	Supply and Delivery of the following items:					105,00</t>
  </si>
  <si>
    <t xml:space="preserve"> Invitation to Bid “Acquisition of One (1) Unit Supply, Delivery and Installation of Gas Chromatography-Mass Spectrometry (GCMS)” 01.The National Bureau of Investigation, through the 2019 NBI Clearance Retention Fees pursuant to RA 10867 otherwise known as</t>
  </si>
  <si>
    <t xml:space="preserve"> Cement, Portland, 40 kgs./bag  Concrete Hollow Block - Machine Made 4"  Washed Sand  Washed Gravel  River Mixed  Floor Tiles, 0.50m x 0.50m (white)  Tiles, glazed, 0.30m x 0.30m (white)  Tiles, glazed, 0.40m x 0.40m (white)  Tile Grout Door, Wood Paneled </t>
  </si>
  <si>
    <t xml:space="preserve"> REQUEST FOR QUOTATION (RFQ) 											Date: June 16, 2020 The Owner/Proprietor _________________________ Borongan City Sir: Please quote your price for the items specified below, taking into consideration the following &amp; fill-up the above portion “The Ow</t>
  </si>
  <si>
    <t xml:space="preserve"> 365 sacks Noodles (BIHON) at 24 pack/sack 365 cases of Instant Noodles at 72 pieces per case 265 cases SARDINES (100 pcs./ case) 200 packs ECOBAG (size LARGE)</t>
  </si>
  <si>
    <t xml:space="preserve"> 1       ROLL        TRAPAL 8FT.                            9,850.00          9,850.00 60     METERS    TRAPAL BAGA                            695.00         41,700.00 5       BOXES     STAPLE WIRE #1                          78.50             285.00 13   </t>
  </si>
  <si>
    <t xml:space="preserve"> Item No.	Unit	ITEM &amp; DESCRIPTION	QTY. 			 1	set	4" Submersible Motor Pump	-1- 		 - 230volts single phase	 		 - 2HP/ 1.5 KW	 		 - Starting Capacitor Box	 		- steam pump SP4007</t>
  </si>
  <si>
    <t xml:space="preserve"> 1800 L diesel</t>
  </si>
  <si>
    <t xml:space="preserve"> l.	The MUNICIPALITY OF GUINAYANGAN, QUEZON, through  the  2020 C.O.    intends to apply the sum of  Eighty Seven Thousand Pesos  (P 87,000.00) being the Approved Budget for the Contract (ABC) to payments under the contract for Supply and Delivery of Const</t>
  </si>
  <si>
    <t xml:space="preserve"> 1	2	units	Swivel Chair, Executive Type		 			*Primary Material-leatherette		 			Secondary Material-PU Leatherette;Finish-Glossy		 			*Dimension (mm); 640x730x1240		 			*Assembly: do it yourself (Comes with instruction manual)		 			*black high Quality leath</t>
  </si>
  <si>
    <t xml:space="preserve"> office supplies</t>
  </si>
  <si>
    <t xml:space="preserve"> Invitation to ReBid for  PROCUREMENT OF BACKHOE FOR MENRO/SLF OPERATION ---------------------------------------------------------------------------------------------------------------- ITB NO. 2020I_18 1.The Office of the Municipal Environment &amp; Natural R</t>
  </si>
  <si>
    <t xml:space="preserve"> 06192020-086 NOTICE FOR NEGOTIATED PROCUREMENT Publication: June 16, 2020 Closing: June 19, 2020 Name of Project	Purchase of Computer Desktop and Monitor for SP Office Approved Budget for the Contract	 ₱60,000.00 Contract Period:	1 day Item No.	ITEM DESCR</t>
  </si>
  <si>
    <t xml:space="preserve"> 200	Piece	T-SHIRT WITH PRINT, ABC 300.00/pc 		White w/ print (Please see attached)				 		Small - 30				 		Medium - 50				 		Large - 50				 		Extra Large - 30				 		Extra Extra Large - 20				 		Extra Extra Extra Large - 20				 RFQ#06-0620</t>
  </si>
  <si>
    <t xml:space="preserve"> Republic ofthe Philippines Province ofNueva Vizcaya Municipality of Ambaguio BARANGAY AMMOWEG June 15, 2020 INVITATION TO APPLY FOR ELIGIBILITY AND TO BID The Barangay Local Government Unit of Ammoweg, Ambaguio, Nueva Vizcaya through the Bids and Awards C</t>
  </si>
  <si>
    <t xml:space="preserve"> Procurement of supply and delivery of food (40 pax per Batch)	 240	pax	 July 28, 2020 August 25, 2020 September 29, 2020 October  27, 2020 November 24, 2020 December 8, 2020	 AM Snacks Lunch PM Snacks 		Note: Food will be delivered on site.	 PR# 2020-944</t>
  </si>
  <si>
    <t xml:space="preserve"> Number: 	Quantity: 	 1	300	bag		Vermicast (organic  fertilizer)	( Bag)		600.00	180,000.00 2	45	bag		AMMONIUM PHOSPHATE	16-20-0, 50kg/bag		1,300.00	58,500.00 3	30	bag		Chicken dung	50 kg/bag		300.00	9,000.00 4	50	bag		Urea (46-0-0)	50 kg/bag		1,000.00	50,0</t>
  </si>
  <si>
    <t xml:space="preserve"> SSS Dumaguete Branch Supply of Diesel Fuel covering the period July to December 2020 Specifications: 2,500 liters  Diesel or approved equal for automotive Euro 4 compliant Clean Air Act of 2014 compliant to sulfur content Water Content (%vol.): 0.1 maximu</t>
  </si>
  <si>
    <t xml:space="preserve"> Repair of Perimeter Fence at Samal South Elementary School @ Samal, Bataan 500 pcs - CHB #5 35 pcs - 12mm dia. Def Bar 30 pcs - 10mm dia. Def Bar 30 bags Cement 1 m/dt - Sand 2 m/dt - Gravel 3/8 1 kg - G.I Wire #18</t>
  </si>
  <si>
    <t xml:space="preserve"> Supply and Delivery of Various Agricultural Supplies 200 sack Chicken Dung (45kg/sack)- 36,000.00 200 sack Coco Coir (30kg/sack)- 36,000.00 300 pcs sack (single; green)- 6,300.00 500 pcs Plastic (clear, s.22x38)- 4,750.00 1 pc Soil tester (PH &amp;  Moisture)</t>
  </si>
  <si>
    <t xml:space="preserve"> PACK IN 5 KGS/SACK PROPERLY LABELED</t>
  </si>
  <si>
    <t xml:space="preserve"> 500 pcs Chip board #30 10 rolls Book binding gold foil 2.5".........etc Please see and download the attachment</t>
  </si>
  <si>
    <t xml:space="preserve"> see attached document</t>
  </si>
  <si>
    <t xml:space="preserve"> Republic of the Philippines Province of Cotabato Municipality of Arakan Barangay Tumanding BIDS AND AWARDS COMMITTEE INVITATION TO BID FOR  Ri Bid For Construction of Multi-purpose Bldg. @ Sitio Side B 1.	The Barangay Government Unit of Tumanding, through</t>
  </si>
  <si>
    <t xml:space="preserve"> By Contract.</t>
  </si>
  <si>
    <t xml:space="preserve"> FOR MODULAR PURPOSES</t>
  </si>
  <si>
    <t xml:space="preserve"> Requesting for Quotation (RFQ) for PR No. 2005210  Interested suppliers are invited to submit Sealed Price Quotations for the above listed items. The Request for Quotation (RFQ) for may be obtained from Mr. Albert A. Camarillo City General Services Office</t>
  </si>
  <si>
    <t xml:space="preserve"> LED Flood Light for Basketball Court</t>
  </si>
  <si>
    <t xml:space="preserve"> Republic of the Philippines Province of Nueva Vizcaya Municipality of Ambaguio BARANGAY AMMOWEG -00000- June 15, 2020 INVITATION TO APPLY FOR ELIGIBILITY AND TO BID The Barangay Local Government Unit of Ammoweg, Ambaguio, Nueva Vizcaya through the Bids an</t>
  </si>
  <si>
    <t xml:space="preserve"> Fabrication &amp; Intallation of five (5) units towing accessories, per BSP scope of works &amp; material specifications</t>
  </si>
  <si>
    <t xml:space="preserve"> Bids and Awards Committee															 INVITATION TO BID/ REQUEST FOR QUOTATION															 															          The City Government of Pagadian, through its Bids and Awards Committee (BAC), invites suppliers/manufacturers/distributors to apply f</t>
  </si>
  <si>
    <t xml:space="preserve"> SUPPLY AND DELIVERY OF TIRES</t>
  </si>
  <si>
    <t xml:space="preserve"> 1 unit Motorcycle, etc.</t>
  </si>
  <si>
    <t xml:space="preserve"> able Signs Of Brgy. Personnel</t>
  </si>
  <si>
    <t xml:space="preserve"> RFQ No. 20-06-057 - Procurement of Diesel Fuel and Lubricants for use of Service Vehicle and Heavy Equipment for the 1st &amp; and Quarter</t>
  </si>
  <si>
    <t xml:space="preserve"> INVITATION TO BID FOR THE PROPOSED BOX CULVERT AT PUBLIC PLAZA, BRGY. III, POBLACION, MUNICIPALITY OF HINIGARAN, NEGROS OCCIDENTAL 1.	The Local Government Unit of Hinigaran, through 20% Development Fund intends to apply the sum of  ₱ 2,999,526.55 being th</t>
  </si>
  <si>
    <t xml:space="preserve"> Delivery and Supply of Construction Materials</t>
  </si>
  <si>
    <t xml:space="preserve"> School Signage Lighted Panaflex</t>
  </si>
  <si>
    <t xml:space="preserve"> l.	The MUNICIPALITY OF GUINAYANGAN, QUEZON, through  the  2020 C.O.    intends to apply the sum of  One Hundred Sixty  Two Thousand Three Hundred Ten  Pesos                      (P 162,310.00) being the Approved Budget for the Contract (ABC) to payments u</t>
  </si>
  <si>
    <t xml:space="preserve"> REQUEST FOR QUOTATION RFQ No. 2020-0238 The CITY GOVERNMENT OF CABANATUAN through its Bid and Awards Committee (BAC), will undertake Small Value Procurement for the SUPPLY AND DELIVERY OF OFFICE SUPPLIES in accordance with Section 53.9 of the Revised Impl</t>
  </si>
  <si>
    <t xml:space="preserve"> Republic of the Philippine Province of Davao de Oro  BIDS AND AWARDS COMMITTEE  Cabidianan, Nabunturan, Davao de Oro INVITATION TO SUBMIT QUOTATION FOR THE PROCUREMENT OF GOODS RECOMMENDED FOR SMALL VALUE PROCUREMENT PURSUANT TO SECTION 53.9 OF THE REVISE</t>
  </si>
  <si>
    <t xml:space="preserve"> Requesting for Quotation (RFQ) for PR No. 2005231  Interested suppliers are invited to submit Sealed Price Quotations for the above listed items. The Request for Quotation (RFQ) for may be obtained from Mr. Albert A. Camarillo City General Services Office</t>
  </si>
  <si>
    <t xml:space="preserve"> Wreaths Flowers large  Wreaths Flowers medium</t>
  </si>
  <si>
    <t xml:space="preserve"> Republic of the Philippines Province of Cotabato Municipality of Arakan Barangay Meocan BIDS AND AWARDS COMMITTEE INVITATION TO BID FOR  Ri Bid For Supply for Installation of P.E Pipes @ Upper Meocan 1.	The Barangay Local Government Unit of Meocan, throug</t>
  </si>
  <si>
    <t xml:space="preserve"> 1 unit - Fabricated Wood Medicine Cabinet (2 columns; 7 layers with varnish and transparent 1/8 inch thick sliding glass) H=2.15m; L=1.35m; W=0.30m 1 unit - Fabricated Wood Medicine Cabinet (2 columns; 7 layers with varnish and transparent 1/8 inch thick </t>
  </si>
  <si>
    <t xml:space="preserve"> 65 Hectares Comprehensive Site Development under the Enhanced National Greening Program Cacao Component located at Brgy. Balaoi, Pagudpud, Ilocos Norte</t>
  </si>
  <si>
    <t xml:space="preserve"> The BPDA-BARMM intends to apply the sum of Two Hundred Fifteen Thousand Pesos (Php 215,000.00) as Approved Budget for the Contract (ABC) for the procurement of Consultancy Services for the Hiring, Recruitment and Employee Assessment through Small Value Pr</t>
  </si>
  <si>
    <t xml:space="preserve"> Republic of the Philippines BATANGAS STATE UNIVERSITY ARASOF-Nasugbu Nasugbu, Batangas Tel. Nos. (043) 416-0350loc 105 REQUEST FOR QUOTATION Purchase of Tools &amp; Equipments for Repair and Maintenance of BatStateU-ARASOF Nasugbu The Batangas State Universit</t>
  </si>
  <si>
    <t xml:space="preserve"> The National Center for Mental Health (NCMH) is inviting all Phil-GEPS registered to apply the Request for Quotation for the SUPPLY AND DELIVERY FOR IT EQUIPMENT AND DEVICES FOR VIDEO CONFERENCING AND LIVE STREAMING CY 2020 - LOT. (Complete Technical Pros</t>
  </si>
  <si>
    <t xml:space="preserve"> 56 bags cement 5.5 cu.m gravel 3/4 3 cu.m sand 28 pcs 2x6x12 coco lumber 12 kgs CW nails (asstd. sizes) Labor</t>
  </si>
  <si>
    <t xml:space="preserve"> Republika ng Pilipinas BAYAN NG CORTES Surigao del Sur BIDS AND AWARDS COMMITTEE June 16, 2020 INVITATION TO BID FOR   Rehabilitation of Barangay Farm to Market Roads Osawan-Tigao to Burgos, Cortes Surigao del Sur 	The Local Government Unit of Cortes thro</t>
  </si>
  <si>
    <t xml:space="preserve"> Tube, LED Type, T8, 4ft., 18 watts; + 1 item - T8 LED, 18 watts - 36 watts T8 FL Replacement  - Lumen output   : 1800 Lumens - Color Temperature   : 6500 Daylight - Input Voltage   : 100-240 VAC, 60Hz - Life hours   : 10,000 Life Hours  - Lamp base    : G</t>
  </si>
  <si>
    <t xml:space="preserve"> Procurement of supply and delivery of food (50 pax/batch) 300	pax	 July 1, 2020 August 5, 2020 September 2, 2020 October  7, 2020 November 4, 2020 December 2, 2020 		Note: Food will be delivered on site. PR# 2020-945</t>
  </si>
  <si>
    <t xml:space="preserve"> OPENING OF BIDS IN DSWD FO IX ZAMBOANGA CITY						 DELIVERY IN DSWD FO IX ZC						 PROCUREMENT FOR THE FF.						 						 3,000	BOOKLETS	          RECIPE/MENU BOOKLET				 		SPECIFICATION:				 		&gt;4 PAGES COLORED BACK TO BACK				 		&gt; THICK PAPER				 						 		</t>
  </si>
  <si>
    <t xml:space="preserve"> 2,201 pieces 4" X 8" x 16" Concrete Hollow Block 97 CU.M. washed GRAVEL 78 CU.M. washed SAND</t>
  </si>
  <si>
    <t xml:space="preserve"> Requesting for Quotation (RFQ) for PR No. 2005233  Interested suppliers are invited to submit Sealed Price Quotations for the above listed items. The Request for Quotation (RFQ) for may be obtained from Mr. Albert A. Camarillo City General Services Office</t>
  </si>
  <si>
    <t xml:space="preserve"> The Bids and Awards Committee								 Province of Iloilo								 								      In connection with your Invitation to Bid No. PEO-20-0504 B (Rebid) scheduled on July 1, 2020, I/we proposed to furnish and deliver in conformity with the terms and conditions,</t>
  </si>
  <si>
    <t xml:space="preserve"> RFQ No. 20-06-058 - Purchase of Coring Bit for use in the QualityAssurance Section (Laboratory)</t>
  </si>
  <si>
    <t xml:space="preserve"> The City Government of Santiago invites interested parties to submit price quotation for the “SUPPLY AND DELIVERY OF SANITARY PERMIT AND HEALTH ID FOR SANITARY REQUIREMENT“ City Hall, Santiago City, details as follows: ABC: Php 118,000.00 Contract Duratio</t>
  </si>
  <si>
    <t xml:space="preserve"> DESCRIPTION: 1.	 Cement  - 63 bags 2.	Gravel, washed, ¾  -  6 cu.m. 3.	Sand, washed  -  3 cu.m. 4.	RSB, 10mm dia  -  33 pcs. 5.	Tie wire, G.I, #16  -  1 kilo 6.	Handsaw blade, metal cutting  -  10 pcs 7.	Longspan, 20 ft  -  14 pcs 8.	Longspan, 10 ft  -  3</t>
  </si>
  <si>
    <t xml:space="preserve"> REQUEST FOR QUOTATION The Dr. Jose Fabella Memorial Hospital hereby invites interested suppliers to submit quotation for the supply and delivery of: Particular	Quantity	Unit Cost	Total Cost 1.Airpot, electric, with dispenser, 4 liters capacity	1 pc.	₱4,50</t>
  </si>
  <si>
    <t xml:space="preserve"> Construction of Fence</t>
  </si>
  <si>
    <t xml:space="preserve"> Construction Project of Drainage Canal along Diosdado Macapagal St.,at East Pob., Rizal, Zamboanga del Norte Phase I</t>
  </si>
  <si>
    <t xml:space="preserve"> Tarpaulin 3x4</t>
  </si>
  <si>
    <t xml:space="preserve"> PR#20-06-0308 ABC 960,000.00 Poly Aluminum Chloride (PAC) 25kg. per bag Poly Aluminum Chloride, Food Grade Specs Drinking Water Treatment Properties: Lemon yellow fine powder use spray drying technology  Usage: The product is widely used for drinking wate</t>
  </si>
  <si>
    <t xml:space="preserve"> 1 unit Laptop</t>
  </si>
  <si>
    <t xml:space="preserve"> l.	The MUNICIPALITY OF GUINAYANGAN, QUEZON, through  the  2020 C.O.    intends to apply the sum of  Forty Six Thousand Six Hundred Ninety  Pesos   (P 46,690.00) being the Approved Budget for the Contract (ABC) to payments under the contract for Supply and</t>
  </si>
  <si>
    <t xml:space="preserve"> Concreting of Farm to Market Road Sitio Cabicalan  Zone 7</t>
  </si>
  <si>
    <t xml:space="preserve"> 20ID0073	Concreting of Poblacion District 9 to Brgy. Gamay FMR, Brgy. Gamay,Burauen, Leyte 	Concrete Paving for 2.06 Ln. Km. 	12,869,538.62	FMR FY 2020	65 CD	25,000.00 To be eligible to bid for this Contract, a contractor must meet the following major req</t>
  </si>
  <si>
    <t xml:space="preserve"> INVITATION TO BID Bid Reference No.  ____________ SUPPLY AND DELIVERY OF MEDICINES (CARI, ANTI RABIES, AND MASS CIRCUMCISION PROGRAM) (REBIDDING) Approved Budget for the Contract (ABC):  Php 638,980.10 1.	The Municipal Government Unit of Initao, Misamis O</t>
  </si>
  <si>
    <t xml:space="preserve"> One (1) Lot Supply, Delivery &amp; Installation of the following items for Ford F-750 Armored Truck SFX 417: -One (1) unit Clutch Fan Assembly -One (1) unit Air Brake Compressor Assembly</t>
  </si>
  <si>
    <t xml:space="preserve"> Requesting for Quotation (RFQ) for PR No. 2006017  Interested suppliers are invited to submit Sealed Price Quotations for the above listed items. The Request for Quotation (RFQ) for may be obtained from Mr. Albert A. Camarillo City General Services Office</t>
  </si>
  <si>
    <t xml:space="preserve"> REQUEST FOR QUOTATION RFQ No. 2020-0237 The CITY GOVERNMENT OF CABANATUAN through its Bid and Awards Committee (BAC), will undertake Small Value Procurement for the SUPPLY AND DELIVERY OF OFFICE SUPPLIES in accordance with Section 53.9 of the Revised Impl</t>
  </si>
  <si>
    <t xml:space="preserve"> 1	Diesel		1,564.40L 2	Premium 		1,281.78L</t>
  </si>
  <si>
    <t xml:space="preserve"> The City Government of Santiago invites interested parties to submit price quotation for the “SUPPLY AND DELIVERY OF TRAFFIC CITATION TICKET FOR THE IMPLEMENTATION OF CITY TRAFFIC ORDINANCES“ City Hall, Santiago City, details as follows: ABC: Php 82,500.0</t>
  </si>
  <si>
    <t xml:space="preserve"> Invitation to Bid for  SUPPLY &amp; DELIVERY OF CONSTRUCTION MATERIALS FOR THE COMPLETION OF SECOND FLOOR OF WAO MUNICIPAL HALL, MUNICIPAL SITE, BRGY. WESTERN, WAO, LANAO DEL SUR --------------------------------------------------------------------------------</t>
  </si>
  <si>
    <t xml:space="preserve"> Requesting for Quotation (RFQ) for PR No. 2006089  Interested suppliers are invited to submit Sealed Price Quotations for the above listed items. The Request for Quotation (RFQ) for may be obtained from Mr. Albert A. Camarillo City General Services Office</t>
  </si>
  <si>
    <t xml:space="preserve"> purchased and delivery of multivitamins and powdered milk</t>
  </si>
  <si>
    <t xml:space="preserve"> The City Government of Santiago invites interested parties to submit price quotation for the “SUPPLY AND DELIVERY OF CONSTRUCTION MATERIALS FOR REPAIR OF TENTS“ City Hall, Santiago City, details as follows: ABC: Php 74,406.00 Contract Duration: 14 calenda</t>
  </si>
  <si>
    <t xml:space="preserve"> INVITATION TO BID  Please quote your lowest price inclusive of VAT on the item/s listed below, subject to the Terms and Conditions of this RFQ, and submit your quotation duly signed by your representative not later than June 23, 2020 at 2 in the afternoon</t>
  </si>
  <si>
    <t xml:space="preserve"> Republic of the Philippines Province of Cotabato Municipality of Arakan Barangay Napalico BIDS AND AWARDS COMMITTEE INVITATION TO BID FOR  Ri Bid For Installation of Water Tank 1.	The Barangay Local Government Unit of Napalico, through the GENERAL      FU</t>
  </si>
  <si>
    <t xml:space="preserve"> Number: 	Quantity: 	 1	10	bags		Complete Fertilizer			1,500.00	15,000.00 2	10	bags		Urea Fertilizer			1,400.00	14,000.00 3.	8	bags		Muriate of Potash			1,500.00	12,000.00 4.	5	bags		zinc sulfate			1,500.00	7,500.00 5.	80	bags		Organic Fortified Fertilizer</t>
  </si>
  <si>
    <t xml:space="preserve"> PR#20-06-0309 ABC 119,400.00 1 box  COLILERT-18 Defects Coliforms/E. Coli or fecal coliforms Pack of 200/box 18 hours for results 15 months shelf life Snap packs for 100ml sample 2 boxes STERILE 51-WELL QUANTI TRAY Pack of 100/box 36 months shelf life fro</t>
  </si>
  <si>
    <t xml:space="preserve"> INVITATION TO BID									 									 The LOCAL GOVERNMENT UNIT OF SINDANGAN, through its Bids and Awards Committee (BAC), hereby invites suppliers/manufacturers/ distributors/contractors to apply for eligibility and to bid for the hereunder project.						</t>
  </si>
  <si>
    <t xml:space="preserve"> Invitation to Bid “Acquisition of One (1) Lot Supply and Delivery of Various Security Equipment” 01.The National Bureau of Investigation, through the 2019 NBI Clearance Retention Fees pursuant to RA 10867 otherwise known as the NBI Reorganization and Mode</t>
  </si>
  <si>
    <t xml:space="preserve"> ABC = P95,200.00 Catering Services re: On-Site Training on Product Branding, Packaging  And Labelling for the Coco Coir Slipper Production of Maonon Upland  Planters Assn., Inc (MUPAI) on June 23-26, 2020 at Barangay Maonon,  Ligao, Albay DAY 1 – JUNE 23,</t>
  </si>
  <si>
    <t xml:space="preserve"> Concreting of Farm to Market Road Zone 6</t>
  </si>
  <si>
    <t xml:space="preserve"> I Construction/Extension of Covered Court @ Barangay Nalneran  a) Project/Billboard/Sigh board - 1 lot  b) Excavation for struct ion - 19.19 cu.m  c) Concrete works - 5.65 cu.m  d) Reinforcing Steel bar - 1029.60 kgs  e) Roofing works - 101.00 sq.m II Con</t>
  </si>
  <si>
    <t xml:space="preserve"> 3 unit Filing Cabinet, etc.</t>
  </si>
  <si>
    <t xml:space="preserve"> 10 bxs Amlodifine 5mg 3 bxs Amlodifine 10mg 10 bxs Losartan 50mg 3 bxs Losartan 100mg 20 tabs Catapres tab 16 bx B-Complex tab 1 bx Carridol 12.5mg 1 bx Gliclazide 80mg 100 tabs Rexidol tab 100 tabs Biogesic tab 4 bxs Mefenamic 500mg 2 bxs Metropolol 50mg</t>
  </si>
  <si>
    <t xml:space="preserve"> PLEASE CONTACT BAC SECRETARIAT FO MORE DETAILS</t>
  </si>
  <si>
    <t xml:space="preserve"> Various Office Equipment Supplies &amp; Consumables</t>
  </si>
  <si>
    <t xml:space="preserve"> 19 set amglobe crystal light 1/2 clear 5 bxs #12 THW stranded wire 22 pcs bulb 18 watts 10 roll electrical tape (big) Labor</t>
  </si>
  <si>
    <t xml:space="preserve"> The City Government of Santiago invites interested parties to submit price quotation for the “SUPPLY AND DELIVERY OF CONSTRUCTION MATERIALS FOR INSTALLATION OF CEILING AND OTHER ELECTRICAL JOBS“ City Hall, Santiago City, details as follows: ABC: Php 93,92</t>
  </si>
  <si>
    <t xml:space="preserve"> please download rfq and store furnish in the associated component</t>
  </si>
  <si>
    <t xml:space="preserve"> 85 LENGTH 10 mm diameter X 6 meter DEF. BAR 23 LENGTH 12 mm diameter X 6 meter DEF BAR 5 pcs. 1.5 mm X 2" X 5" X 6.0 m C-purlins Rafter 14 pcs. 1.2 mm X 2" X 3" X 6.0 m Purlins 13 pcs. 1" X 6 m Flat BAr 31 pcs. double metal paring (joist) 10 pcs. double m</t>
  </si>
  <si>
    <t xml:space="preserve"> Please see attached PR for description</t>
  </si>
  <si>
    <t xml:space="preserve"> 2ND REQUEST FOR PROPOSAL Pursuant to RA 9184, the Department of Human Settlements and Urban Development (DHSUD) located at the 8th Floor DHSUD Building Kalayaan Avenue cor. Mayaman Street, Diliman, Quezon City would like to request for proposal for the hi</t>
  </si>
  <si>
    <t xml:space="preserve"> Job Description: -prepare relevant communications and maintain required office files - assist in gathering the information and survey, -will identify commercial strategies for transferring technologies to industry/technology adopter - assist in negotiatin</t>
  </si>
  <si>
    <t xml:space="preserve"> Republic of the Philippines PROVINCE OF SOUTHERN LEYTE Maasin City Invitation to Bid for the Procurement of IT and Office Equipment  Contract ID # 2020-07-07-358PG 1.	The Provincial Government of Southern Leyte through the PAIASO–Information &amp; Communicati</t>
  </si>
  <si>
    <t xml:space="preserve"> DESCRIPTION: 1.	Tire, 265/60/RM 18/110H  -  4 pcs</t>
  </si>
  <si>
    <t xml:space="preserve"> materials for the Repair and Maintenance of Energy Structure</t>
  </si>
  <si>
    <t xml:space="preserve"> PURCHASE ORDER							 Calamba, Misamis Occidental							 Local Government Unit							 							 Supplier:        		 A.G. ANTON STORE 			P.O. No.:	 2020-04-124-D 	 					Date:	06/04/2020	 Address: 		Calamba, Misamis Occidental			Mode of Procurement:		SVP 				</t>
  </si>
  <si>
    <t xml:space="preserve"> The Department of Education, Schools Division of Ilocos Sur, Bantay, Ilocos Sur is in need of suppliers for the Supply, Delivery and Installation of 75KVA Transformer including its Accessories. The submission of quotation  is not later than June 19, 2020,</t>
  </si>
  <si>
    <t xml:space="preserve"> INVITATION TO BID  PROCUREMENT AND INSTALLATION OF AIR-CONDITIONING UNITS FOR THE OFFICES &amp; CLASSROOMS OF THE NFSTI - PPSC BAC IB NO.007 (G) 2020 1.	The Philippine Public Safety College through the General Appropriations Act of FY2020 , intends to apply t</t>
  </si>
  <si>
    <t xml:space="preserve"> REPAIR AND OTHER OPERATING EXPENSES MOOE 2020 2ND QUARTER -51,470.00</t>
  </si>
  <si>
    <t xml:space="preserve"> Establishment protection and maintenance of coffee plantation to Upland communities to abate illegal logging as a means of promoting peace and order (program against Illegal Logging) Materials Seedlings Bamboo strikes Man power Plantation establishment st</t>
  </si>
  <si>
    <t xml:space="preserve"> ****see attached PR *****</t>
  </si>
  <si>
    <t xml:space="preserve"> LGU-ALLEN, NORTHERN SAMAR                                               MUNICIPAL BIDS AND AWARDS COMMITTEE                                                                INVITATION TO BID 	The Municipal Government of Allen Northern Samar through its Bids</t>
  </si>
  <si>
    <t xml:space="preserve"> The City Government of Santiago invites interested parties to submit price quotation for the “SUPPLY AND DELIVERY OF VARIOUS WOODCRAFTS FOR EXECUTIVE LOUNGE USE“ City Hall, Santiago City, details as follows: ABC: Php 106,798.00 Contract Duration: 14 calen</t>
  </si>
  <si>
    <t xml:space="preserve"> Republic of the Philippines          City of Dumaguete Bids and Awards Committee INVITATION TO BID FOR PURCHASE REQUEST OF 10 PCS AUTO BULB 24 VOLTS (DOUBLE BIG) AND OTHER ITEMS 	The City of Dumaguete thru its BIDS AND AWARDS COMMITTEE (BAC), invites all </t>
  </si>
  <si>
    <t xml:space="preserve"> The City Government of San Pedro, Laguna invites interested parties to quote for the following item/s as per request Sangguniang Panlungsod: Qty.	Unit of Issue	Item Description 		 40	sacks	Rice 1200	cans	Sardines (155g.) Forms can be obtained from the BAC</t>
  </si>
  <si>
    <t xml:space="preserve"> PLEASE SEE ATTACHED FILE FOR REFERENCE</t>
  </si>
  <si>
    <t xml:space="preserve"> The City Government of Santiago invites interested parties to submit price quotation for the “SUPPLY AND DELIVERY OF VARIOUS EQUIPMENT FOR VARIOUS SECTION OF CHO“ City Hall, Santiago City, details as follows: ABC: Php 454,670.00 Contract Duration: 14 cale</t>
  </si>
  <si>
    <t xml:space="preserve"> POLE SITAO SQUASH AMPALAYA EGGPLANT TOMATO OKRA KANGKONG MARIGOLD SWEET BASIL UPO PECHAY  PEPPER</t>
  </si>
  <si>
    <t xml:space="preserve"> UNIVERSITY OF THE PHILIPPINES BAGUIO											 Governor Pack Road, Baguio City, Benguet, CAR											 VAT Reg. TIN: 000-864-006-00007											 Telephone No. 074.442.3484											 Email Address: spmo.upbaguio@up.edu.ph											 											 REQUEST</t>
  </si>
  <si>
    <t xml:space="preserve"> 1.	2	unit/s	Desktop Computer Intel core i7 License 2.	2	unit/s	Printer Laserjet Pro MFP 3.	1	box/es	Toner Cartridge CF280XC</t>
  </si>
  <si>
    <t xml:space="preserve"> Handheld Pneumatic Rock Drill Jack Hammer, hose connection: 19mm diameter; Bore diameter of 30-42mm, carbide tipped  Concrete Cutter with motor and accessories, 400mm dia., 7.5 hp, 20 liters water tank capacity Electric Drill with Hammer, 20mm dia. capaci</t>
  </si>
  <si>
    <t xml:space="preserve"> STP at slaugther House</t>
  </si>
  <si>
    <t xml:space="preserve"> Republic of the Philippines Province of Misamis Occidental Municipality of Plaridel REQUEST FOR QUOTATION Shopping No._____________________ ________________________________ ________________________________ Sir/Madam: Please quote your lowest price on the </t>
  </si>
  <si>
    <t xml:space="preserve"> Procurement of Newspaper Subscription for July to December 2020 		Philippine Daily Inquirer 132	issue	Office of the Auditor 132	issue	Office of the Regional Executive Director 132	issue	Office of the Chief, Field Operations Division 132	issue	Soils Labora</t>
  </si>
  <si>
    <t xml:space="preserve"> REQUEST FOR QUOTATION Office Supplies Expenses (PCADG-5020301000-1061-2020) 1.	The Philippine National Police Community Affairs and Development Group, through its Bids and Awards Committee (BAC), will undertake a Small Value Procurement (SVP) for the proc</t>
  </si>
  <si>
    <t xml:space="preserve"> L=5.5LM;  W=7M, FLOORING EMBANKMENT=1M COL. SIZE= 10"X10"</t>
  </si>
  <si>
    <t xml:space="preserve"> Requesting for Quotation (RFQ) for PR No. 2005284  Interested suppliers are invited to submit Sealed Price Quotations for the above listed items. The Request for Quotation (RFQ) for may be obtained from Mr. Albert A. Camarillo City General Services Office</t>
  </si>
  <si>
    <t xml:space="preserve"> Requesting for Quotation (RFQ) for PR No. 2005160  Interested suppliers are invited to submit Sealed Price Quotations for the above listed items. The Request for Quotation (RFQ) for may be obtained from Mr. Albert A. Camarillo City General Services Office</t>
  </si>
  <si>
    <t xml:space="preserve"> SCOPE OF WORKS       I. Demolition of Existing Structure               Quantity - 1 Lot     II. Excavation               Quantity - 0.78 cu. m     III. Concrete Works                  A. Wall Footing - 0.24 cu m                  B. Wall Beam - 0.24 cu m  </t>
  </si>
  <si>
    <t xml:space="preserve"> Construction of Slope Protection</t>
  </si>
  <si>
    <t xml:space="preserve"> The City Government of Santiago invites interested parties to submit price quotation for the “SUPPLY AND DELIVERY OF EXTENSION ENERGY EFFECT CUSHION FOR ELECTRICAL POTENTIAL THERAPY EQUIPMENT“ City Hall, Santiago City, details as follows: ABC: Php 325,000</t>
  </si>
  <si>
    <t xml:space="preserve"> OPENING OF BIDS IN DSWD FO IX ZAMBOANGA CITY									 DELIVERY IN DSWD FO IX ZC									 PROCUREMENT FOR THE FF. 1 LOT PRINTING SERVICES									 									 50,000	copies	REPRODUCTION OF LBP PAYMENT SLIP							 25,000	copies	REPRODUCTION OF BLANK DSWD AUTH</t>
  </si>
  <si>
    <t xml:space="preserve"> Description: *Length: 10 meter *Kink protection *Can be coupled and uncoupled under pressure *Hose safety factor is more that 4:1 *Equipped with single coupling system on both ends to provide feasible and rapid handling *The single-coupling has a safety v</t>
  </si>
  <si>
    <t xml:space="preserve"> Republic of the Philippines CRUZ NA LIGAS ELEMENTARY SCHOOL Quezon City REQUEST FOR QUOTATION “PURCHASE OF COVID-19 RESPONSE ITEMS” 1.	The CRUZ NA LIGAS Elementary School through its Bids and Awards Committee invites interested firms/supplier to submit qu</t>
  </si>
  <si>
    <t xml:space="preserve"> Construction Project of Drainage Canal along Diosdado Macapagal St.,at East Pob., Rizal, Zamboanga del Norte Phase II</t>
  </si>
  <si>
    <t xml:space="preserve"> The National Center for Mental Health (NCMH) is inviting all Phil-GEPS registered to apply the Request for Quotation for the ANNUAL PREVENTIVE MAINTENANCE FOR VARIOUS MEDICAL EQUIPMENT CY 202. (Complete Technical Prospective Bidders are REQUIRED to downlo</t>
  </si>
  <si>
    <t xml:space="preserve"> Republic of the Philippines PROVINCE OF BUKIDNON Municipality of Sumilao INVITATION TO BID ITB NO. GS-2020-26 PROCUREMENT OF VARIOUS FRUITS SEEDLINGS FOR THE SUSTAINABLE LAND RESOURCE MANAGEMENT APPROACH (SLRMA) FOR AGRI-ENVIRONMENTAL DEVELOPMENT OF UPLAN</t>
  </si>
  <si>
    <t xml:space="preserve"> Republic of the Philippines												 PROVINCE OF ZAMBOANGA SIBUGAY												 Municipality of Payao												 												 REQUEST FOR QUOTATION												 ALTERNATIVE METHODS OF PROCUREMENT THRU												 NEGOTIATED PROCUREMENT-SMALL VALUE (Sec.</t>
  </si>
  <si>
    <t xml:space="preserve"> The City Government of Santiago invites interested parties to submit price quotation for the “SUPPLY AND DELIVERY OF BULB FOR MARKET OPERATION USE“ City Hall, Santiago City, details as follows: ABC: Php 72,000.00 Contract Duration: 14 calendar days Schedu</t>
  </si>
  <si>
    <t xml:space="preserve"> 17	roll	1 x 1 x 4 ft x 20 m Chicken Wire 168	pcs	10 mm Ø x 6.0 m RSB 10	kls	Welding Rod 1	pcs	Cutting Disk 6	pcs	Paint Brush 400	pcs	Screw with Tox 4	gal	Latex Paint 2	pcs	Drill Bit</t>
  </si>
  <si>
    <t xml:space="preserve"> Purchase and Installation of CCTV and Solar Panel Lights for MDDRMC, Calasiao, Pangasinan</t>
  </si>
  <si>
    <t xml:space="preserve"> SOURCE OF FUNDS: IMPROVEMENT/REHABILITATION OF DRAINAGE SYSTEM BIDDING DATE &amp; TIME: JUNE 23, 2020- 1:00 P.M</t>
  </si>
  <si>
    <t xml:space="preserve"> Requesting for Quotation (RFQ) for PR No. 2005265  Interested suppliers are invited to submit Sealed Price Quotations for the above listed items. The Request for Quotation (RFQ) for may be obtained from Mr. Albert A. Camarillo City General Services Office</t>
  </si>
  <si>
    <t xml:space="preserve"> PR#20-06-0317 ABC 140,400.00 INSTRUCTIONS/ NOTES TO BIDDERS: 1.	Please indicate the following information in your bid: a) Company Name, Address, Tel/Fax nos.; b)PhilGEPS Registration Certificate No. and date of validity; c) Bidder’s offer ( Technical Spec</t>
  </si>
  <si>
    <t xml:space="preserve"> REQUEST FOR QUOTATION Other Supplies &amp; Materials Expenses (PCADG-5020399000-1062-2020) 1.	The Philippine National Police Community Affairs and Development Group, through its Bidsand Awards Committee(BAC), will undertakea Small Value Procurement (SVP) for </t>
  </si>
  <si>
    <t xml:space="preserve"> Invitation to Bid for  Completion of Climate Resilient Multi-Purpose Hall  @Brgy. Capalong, Real, Quezon 1.	The Municipal Government of Real, Quezon, through the 20% MDF CY2019 intends to apply the sum of One Million Two Hundred  Ninety Nine Thousand Two </t>
  </si>
  <si>
    <t xml:space="preserve"> REQUEST FOR QUOTATION For Negotiated Procurement thru Small Value Procurement under Sec. 53.9 of the 2016 Revised IRR of RA 9184 Quotation No.:  2020-06-204 Date: June 15, 2020 PR No.: 20-06-212 PR Date: June 4, 2020 The Metropolitan Tuguegarao Water Dist</t>
  </si>
  <si>
    <t xml:space="preserve"> INVITATION TO APPLY FOR ELIGIBILITY AND TO BID THE BIDS AND AWARD COMMITTEE OF THE MUNICIPALITY OF CAIBIRAN, BILIRAN IS INVITING ALL INTERESTED BIDDERS ON ITS FORTH COMING PUBLIC BIDDING FOR:   Project Title	                : Improvement of Vice Mayor’s O</t>
  </si>
  <si>
    <t xml:space="preserve"> 3,000 pcs cloth face mask</t>
  </si>
  <si>
    <t xml:space="preserve"> please see attached document</t>
  </si>
  <si>
    <t xml:space="preserve"> Piston Ring, (STD)  Overhauling Gasket  Main Bearing  (STD)  Cone Rod Bearing (STD)  Thrust Washer (STR)  Crankshaft Assembly  Silicone Gasket  Sand Paper, #1000 grits  Plastic Gauge  Grinding Stick  Alternator Assembly  Radiator Assembly  Oil Pan Gasket </t>
  </si>
  <si>
    <t xml:space="preserve"> Procurement of supply and delivery of food (30 pax/Batch)	 180	pax	 July 8, 2020 August 12, 2020 September 9, 2020 October 14, 2020 November 11, 2020 December 9, 2020	 AM Snacks Lunch PM Snacks 		Note: Food will be delivered on site.	 PR# 2020-941</t>
  </si>
  <si>
    <t xml:space="preserve"> Request for Price Quotation</t>
  </si>
  <si>
    <t xml:space="preserve"> The City Government of Santiago invites interested parties to submit price quotation for the “SUPPLY AND DELIVERY OF ELECTRICAL SUPPLIES FOR INSTALLATION OF OVERCURRENT PROTECTION AND UPGRADING TRANSFER SWITCH“ City Hall, Santiago City, details as follows</t>
  </si>
  <si>
    <t xml:space="preserve"> Republic of the Philippines Province of Compostela Valley Municipality of Monkayo -o0o- NEGOTIATED PROCUREMENT OF ADDITIONAL CCTV CAMERA AT MONCAST  The Municipality of Monkayo, through the TRUST FUND  intends to apply the sum of SIXTY THOUSAND PESOS ONLY</t>
  </si>
  <si>
    <t xml:space="preserve"> Subgrade Preparation Portland Cement Conc, Pavement</t>
  </si>
  <si>
    <t xml:space="preserve"> 1.	1	unit/s	Computer set with Accessories 			Specs: 			Processor: Intel Core i3 			Motherboard: Gigabyte/Asus 			Memory: 4GB Kingston 			HDD:500GB 			UPS: 650 VA 			AVR, Mouse, Keyboard 			LED Monitor 19" 2.	1	unit/s	Printer 3 in 1 3.	2	unit/s	LED 27 to 2</t>
  </si>
  <si>
    <t xml:space="preserve"> Telephone Mobile Expenses</t>
  </si>
  <si>
    <t xml:space="preserve"> Pakyaw Labor Provision of Equipment</t>
  </si>
  <si>
    <t xml:space="preserve"> Purchase of Brochures, Leaflets and Learning Materials for Protection of Children Program</t>
  </si>
  <si>
    <t xml:space="preserve"> Requesting for Quotation (RFQ) for PR No. 2005270  Interested suppliers are invited to submit Sealed Price Quotations for the above listed items. The Request for Quotation (RFQ) for may be obtained from Mr. Albert A. Camarillo City General Services Office</t>
  </si>
  <si>
    <t xml:space="preserve"> Please see attached Program of Works for Specifications</t>
  </si>
  <si>
    <t xml:space="preserve"> 1. The Fortunato F. Halili National Agricultural School (FFHNAS), through the Bids and Awards Committee (BAC) invites bids for the procurement of PHOTOCOPYING MACHINE for Junior High School and Senior High School (for reproduction of learning materials fo</t>
  </si>
  <si>
    <t xml:space="preserve"> see attach RFQ</t>
  </si>
  <si>
    <t xml:space="preserve"> Municipality of Dumanjug, Cebu through the SB Resolution No. 2018-136 Series of 2018  intends to apply the sum of THREE  HUNDRED FIFTY-FIVE THOUSAND PESOS ONLY (Php 355,000.00) being the Approved Budget for the Contract (ABC) to payments under the contrac</t>
  </si>
  <si>
    <t xml:space="preserve"> One (1) Job Contract for the Electrification (Installation of 25Kva, 760Vac Primary / 230Vac, Secondary, 60Hz, 1-Phase, OISC, Distribution Transformer and Construction of Streetlights)/Brgy. Gegacjac/P311,659.00</t>
  </si>
  <si>
    <t xml:space="preserve"> Construction Project (Construction/Improvement of Main MRF Building</t>
  </si>
  <si>
    <t xml:space="preserve"> The City Government of Santiago invites interested parties to submit price quotation for the “SUPPLY AND DELIVERY OF OFFICE AND JANITORIAL SUPPLIES FOR BJMP USE“ City Hall, Santiago City, details as follows: ABC: Php 68,401.00 Contract Duration: 14 calend</t>
  </si>
  <si>
    <t xml:space="preserve"> Labor and materials in the propagation of 20,000 quality bamboo seedlings at the Provincial Nursery Laoang Productivity Center, Barangay Laoang Tarlac City Materials Plastic pot (6x10x02black) Potting medium (garden Soil) Fertilizer (organic) Plastic Net </t>
  </si>
  <si>
    <t xml:space="preserve"> INVITATION TO QUOTE Date:  June 15, 2020 1.	The Provincial Government of Davao del Sur, through its Bids and Awards Committee (BAC), invites all interested bidders/suppliers to quote for the following goods under Alternative Methods of Procurement (Small </t>
  </si>
  <si>
    <t xml:space="preserve"> Item No.	Description	Qty.	Unit Winning Bidder must: 1.	Provide a Fully-Automated Chemiluminescent Microparticle Immuno Assay (CMIA) Technology for free, including its calibration, preventive and corrective maintenance.  2.	Provide all necessary accessorie</t>
  </si>
  <si>
    <t xml:space="preserve"> T E R M S   A N D   C O N D I T I O N S •	LOCATION – 1.	The venue must be within the area of (Proposed: Mainit, Kitcharao, Jabonga, Tubod)  2.	Must have enough parking space for vehicle/s •	SESSION AREAS/ FUNCTION ROOMS - 1.	Free use of air conditioned fu</t>
  </si>
  <si>
    <t xml:space="preserve"> Republic of the Philippines										 			      DEPARTMENT OF PUBLIC WORKS AND HIGHWAYS							 				               ISABELA 1ST						 DISTRICT ENGINEERING OFFICE										 REGIONAL OFFICE II										 City of Ilagan, Isabela										 										 Procuring En</t>
  </si>
  <si>
    <t xml:space="preserve"> The City Government of Santiago invites interested parties to submit price quotation for the “SUPPLY AND DELIVERY OF MASTER ROLLS AND GR INK FOR GSO USE“ City Hall, Santiago City, details as follows: ABC: Php 110,000.00 Contract Duration: 14 calendar days</t>
  </si>
  <si>
    <t xml:space="preserve"> weighing scale, 120 kgs. capacity</t>
  </si>
  <si>
    <t xml:space="preserve"> Supply &amp; Installation of Airconditioning System A. 1-unit 4HP Wall Mounted Inverter Type Aircon B. Labor &amp; Materials for Aircon Installation of 1-unit Wall Mounted Type	1	lot</t>
  </si>
  <si>
    <t xml:space="preserve"> Items Quantity / Units 1.flag for lamp post 60 pcs 3ftx6ft nylon (30 barangays) With ready layout and design PRICE QUOTATION/S SHOULD BE PRINTED ON COMPANY’S OFFICIAL LETTERHEAD TOGETHER WITH THE FOLLOWING DOCUMENTS; 1.Mayor’s/Business Permit 2.PhilGEPS R</t>
  </si>
  <si>
    <t xml:space="preserve"> REQUEST FOR QUOTATION Procurement of Printing &amp; Publication Expenses (PCADG-5029902000-1063-2020) 1.	The Philippine National Police Community Affairs and Development Group, through its Bidsand Awards Committee(BAC), will undertakea Small Value Procurement</t>
  </si>
  <si>
    <t xml:space="preserve"> Name of Project		: Riprapping and Construction of Concrete Pavement at Luacan Waterpark Location		: Sitio Luacan,Brgy. Paraiso,Milagros,Masbate Brief Description	:I. Mobilization and Demobilization                                         II. Stone Masonry</t>
  </si>
  <si>
    <t xml:space="preserve"> Procurement of supply and delivery of food for the conduct of DA-PA-Mas Monthly Assessment at OPA Conference Room, San Jose de Buenavista, Antique (45 pax / Batch)	 270	pax	 July 1, 2020 August 5, 2020 September 2, 2020 October 7, 2020 November 4, 2020 De</t>
  </si>
  <si>
    <t xml:space="preserve"> INVITATION TO BID SUPPLY AND DELIVERY OF 1,591 BOXES ROUND MOIST CAKE FOR PABIRTHDAY NI LOLO UG LOLA (2ND QUARTER) 1.	The Local Government Unit of Cabadbaran City through the GENERAL FUND intends to apply the sum of ONE HUNDRED NINETY THOUSAND NINE HUNDRE</t>
  </si>
  <si>
    <t xml:space="preserve"> Requesting for Quotation (RFQ) for PR No. 2005254  Interested suppliers are invited to submit Sealed Price Quotations for the above listed items. The Request for Quotation (RFQ) for may be obtained from Mr. Albert A. Camarillo City General Services Office</t>
  </si>
  <si>
    <t xml:space="preserve"> Republic of the Philippines PROVINCE OF SOUTHERN LEYTE Maasin City Invitation to Bid for the Procurement of Logbook  Contract ID # 2020-07-07-359PG 1.	The Provincial Government of Southern Leyte through the PDH– Office Supplies Expenses intend to apply fo</t>
  </si>
  <si>
    <t xml:space="preserve"> 3 drum Ink, drum DR512, color- drum for Ineo+284</t>
  </si>
  <si>
    <t xml:space="preserve"> Republic of the Philippines Province of Pangasinan Municipality of Natividad BTO CALAPUGAN INVITATION TO BID FOR ( BARANGAY HALL DEEP WELL REHABILITATION AT PUROK 3  BARANGAY CALAPUGAN, NATIVIDAD, PANGASINAN) The [BTO CALAPUGAN], through the  20% Developm</t>
  </si>
  <si>
    <t xml:space="preserve"> 236A - Supply and Delivery Additional Apparatus in Biology Laboratory of SDSSU Tandag</t>
  </si>
  <si>
    <t xml:space="preserve"> I. SUBBASE @ BASE COURSE II. CONCRETE WORKS III. FORMWORKS</t>
  </si>
  <si>
    <t xml:space="preserve"> Republika ng Pilipinas PAMAHALAANG LUNGSOD NG TACLOBAN (City Government of Tacloban) Kanhuraw Hill, Tacloban City 6500 Bids and Awards Committee INVITATION TO SUBMIT PRICE QUOTATIONS FOR THE NEGOTIATED PROCUREMENT (Small Value Procurement) OF ANIMAL FEEDS</t>
  </si>
  <si>
    <t xml:space="preserve"> Repair of Perimeter Fence at EcoPark @ Samal, Bataan 4 rolls - Cyclone Wire 2x2x6 1 kg - G.I Wire #16</t>
  </si>
  <si>
    <t xml:space="preserve"> Cement &amp; 48LI</t>
  </si>
  <si>
    <t xml:space="preserve"> Item No.	Unit	Description	Qty 1	pcs	Snare Drum	5 2	pcs	Trumpet	5 * * * * * * * * * * * * * * * * * * * * * * * * NOTHING FOLLOWS * * * * * * * * * * * * * * * * * * * * * * * *</t>
  </si>
  <si>
    <t xml:space="preserve"> Please see attached PR for Specification</t>
  </si>
  <si>
    <t xml:space="preserve"> The Bids and Awards Committee								 Province of Iloilo								 								      In connection with your Invitation to Bid No. PEO-20-0695 B  scheduled on June 23, 2020, I/we proposed to furnish and deliver in conformity with the terms and conditions, and s</t>
  </si>
  <si>
    <t xml:space="preserve"> 40 Reams Bond Paper (Long Subs. 20) 10 Reams Bond Paper ( short subs. 20) 40 Reams Bond Paper (A4 subs. 20) 50 pcs. folder (long) 2 dozens Sign Pen(0.05 black color) 5 pcs Stapler No. 35 Big (Heavy Duty) 5 pcs. Puncher (big) 4 pcs Toilet Brush 3 Boxes Pap</t>
  </si>
  <si>
    <t xml:space="preserve"> 100	ream		Book Paper			Long, 70gsm, 216x330mm				 2	cart		Toner			for copier machine (Kyocera Mita) - ECOSYS M2540dn/L				 100	unit		Arch File Folder			Long large Lever with Ring Binder &amp; Metal Finger Pull (Black color, Heavy Duty)</t>
  </si>
  <si>
    <t xml:space="preserve"> Construction Project of Floating Seaweed Dryer II</t>
  </si>
  <si>
    <t xml:space="preserve"> Requesting for Quotation (RFQ) for PR No. 2006044  Interested suppliers are invited to submit Sealed Price Quotations for the above listed items. The Request for Quotation (RFQ) for may be obtained from Mr. Albert A. Camarillo City General Services Office</t>
  </si>
  <si>
    <t xml:space="preserve"> Construction of Niches</t>
  </si>
  <si>
    <t xml:space="preserve"> The City Government of Santiago invites interested parties to submit price quotation for the “SUPPLY AND DELIVERY OF CONSTRUCTION MATERIALS FOR CONSTRUCTION OF MOTORPOOL GUARD HOUSE“ City Hall, Santiago City, details as follows: ABC: Php 186,602.80 Contra</t>
  </si>
  <si>
    <t xml:space="preserve"> Procurement of Various COD Working Uniform for 2020</t>
  </si>
  <si>
    <t xml:space="preserve"> Invitation to Bid “Acquisition of One (1) Lot Health Care Services through Health Maintenance Organization” 01.The National Bureau of Investigation, through the 2019 NBI Clearance Retention Fees pursuant to RA 10867 otherwise known as the NBI Reorganizati</t>
  </si>
  <si>
    <t xml:space="preserve"> Detailed Estimate		 For the Declogging /Clearing of Canal		 at Barangay Asinan, Bugallon, Pangasinan		 		 ABC: 20,371.43		 A. Materials		 		 11	Laborer</t>
  </si>
  <si>
    <t xml:space="preserve"> Items Quantity / Units 1.morgue refrigeration system 1 unit 6 corpses capacity 2,100w input power 1c-5c temperature 2,520 x 1,580 x 1,850 exterior size (wxdxh) 680kg weight -18c/-30c quantity compressor 6 doors PRICE QUOTATION/S SHOULD BE PRINTED ON COMPA</t>
  </si>
  <si>
    <t xml:space="preserve"> See attached Documents</t>
  </si>
  <si>
    <t xml:space="preserve"> The City Government of Santiago invites interested parties to submit price quotation for the “SUPPLY AND DELIVERY OF ELECTRICAL SUPPLIES FOR IMPROVEMENT OF MUSCOVADO BUILDING“ City Hall, Santiago City, details as follows: ABC: Php 365,276.00 Contract Dura</t>
  </si>
  <si>
    <t xml:space="preserve"> 1,500 pcs.	BAG TAGS Specifications: Material:  PVC, matte laminated Size:  3.4”  x  2.2” Thickness:  0.76 mm Feature:  with Class A rubber loop (white) Color:   3 colors Printing:  Digital full printing, front &amp; back       500 pcs   CERTIFICATE HOLDER Spe</t>
  </si>
  <si>
    <t xml:space="preserve"> Republic of the Philippines PROVINCE OF BUKIDNON Municipality of Sumilao INVITATION TO BID ITB NO. GS-2020-27 PROCUREMENT OF CORN SEEDS &amp; FERTILIZERS FOR THE SUSTAINABLE LAND RESOURCE MANAGEMENT APPROACH (SLRMA) FOR AGRI-ENVIRONMENTAL DEVELOPMENT OF UPLAN</t>
  </si>
  <si>
    <t xml:space="preserve"> Requesting for Quotation (RFQ) for PR No. 2005208  Interested suppliers are invited to submit Sealed Price Quotations for the above listed items. The Request for Quotation (RFQ) for may be obtained from Mr. Albert A. Camarillo City General Services Office</t>
  </si>
  <si>
    <t xml:space="preserve"> REQUEST FOR QUOTATION Procurement of Printing &amp; Publication Expenses (PCADG-5029902000-1064-2020) 1.	The Philippine National Police Community Affairs and Development Group, through its Bidsand Awards Committee(BAC), will undertakea Small Value Procurement</t>
  </si>
  <si>
    <t xml:space="preserve"> Republika ng Pilipinas PAMAHALAANG LUNGSOD NG TACLOBAN (City Government of Tacloban) Kanhuraw Hill, Tacloban City 6500 Bids and Awards Committee INVITATION TO SUBMIT PRICE QUOTATIONS FOR THE NEGOTIATED PROCUREMENT (Small Value Procurement) OF INDUSTRIAL M</t>
  </si>
  <si>
    <t xml:space="preserve"> PLEASE CONTACT BAC SECRETARIAT FOR MORE DETAILS</t>
  </si>
  <si>
    <t xml:space="preserve"> REQUEST FOR QUOTATION (RFQ) The MEO  through the Bids and Awards Committee (BAC) of the Municipality of Banaybanay, Davao Oriental hereby notifies and invites you to submit your quotation/bid for the hereunder proposed project/request, viz:  CONSTRUCTION </t>
  </si>
  <si>
    <t xml:space="preserve"> 1.	2	unit/s	Aircondition - Floor Mounted/ Single Phase 2.	2	unit/s	Aircondition  2HP Window Type</t>
  </si>
  <si>
    <t xml:space="preserve"> The Local Government Unit of Barugo, through the General Fund intends to apply the sum of Fifty-Two Thousand Five Hundred Pesos (Php 52,500.00) being the Approved Budget for the Contract (ABC) to payment under the contract for the Procurement of Various M</t>
  </si>
  <si>
    <t xml:space="preserve"> Republic of the Philippines					 PROVINCE OF SIQUIJOR					 BIDS &amp; AWARDS COMMITTEE					 Capitol Building, Siquijor, Siquijor					 					 Business Name:_____________________________				AD. No.: 436-06-2020	 Address:___________________________________				DAT</t>
  </si>
  <si>
    <t xml:space="preserve"> Republic of the Philippines Province of Batangas Municipality of San Juan BIDS AND AWARDS COMMITTEE INVITATION TO APPLY FOR ELIGIBILITY AND TO BID THE LOCAL GOVERNMENT UNIT OF BRGY. PULANGBATO,  SAN JUAN, BATANGAS, through its Bids and Awards Committee (B</t>
  </si>
  <si>
    <t xml:space="preserve"> REQUEST FOR QUOTATION Other Supplies &amp; Materials Expenses (PCADG-5020399000-1065-2020) 1.	The Philippine National Police Community Affairs and Development Group, through its Bidsand Awards Committee(BAC), will undertakea Small Value Procurement (SVP) for </t>
  </si>
  <si>
    <t xml:space="preserve"> 1	ID CARD 2.13" X 3.37" (ATM SIZE) W/ID HOLDER							100	PCS 2	ID CARD 3.5" X 4.5"  W/LANYARD					                         		100	PCS</t>
  </si>
  <si>
    <t xml:space="preserve"> Requesting for Quotation (RFQ) for PR No. 2005237  Interested suppliers are invited to submit Sealed Price Quotations for the above listed items. The Request for Quotation (RFQ) for may be obtained from Mr. Albert A. Camarillo City General Services Office</t>
  </si>
  <si>
    <t xml:space="preserve"> The Cagayan State University is pleased to invite you to quote your lowest price on the item/s attached herewith, stating the shortest time of delivery and submit your quotation duly signed by you, or by your authorized representative.</t>
  </si>
  <si>
    <t xml:space="preserve"> Requesting for Quotation (RFQ) for PR No. 2006011  Interested suppliers are invited to submit Sealed Price Quotations for the above listed items. The Request for Quotation (RFQ) for may be obtained from Mr. Albert A. Camarillo City General Services Office</t>
  </si>
  <si>
    <t xml:space="preserve"> Specifications can be viewed online by clicking the "Associated Components" section on this ITB. The Local Government Unit-Municipality of Malinao, Aklan through the Bids and Awards Committee, intends to apply the sum of Five Hundred  Thousand  Pesos and </t>
  </si>
  <si>
    <t xml:space="preserve"> *LARGE FORMAT PRINTER 36" MAX DOCUMENT WIDTH - 2400 x 1200 dpi Print Resolution for sharp text Documents, A1-Size print Speeds of 35 seconds, Wi-fi Enabled wireless printing (1 unit) *PROJECTOR - 5,500 Lumens, XGA 1024x768 Display Resolution, Aspect Ratio</t>
  </si>
  <si>
    <t xml:space="preserve"> For negotiated procurement as per Sec. 53.9 of Revised IRR or small value procurement: The Provincial Government of Laguna through its Bids and Awards Committee (BAC) invites suppliers/manufacturers/distributors/contractors to submit quotations for the he</t>
  </si>
  <si>
    <t xml:space="preserve"> Republic of the Philippines													 City of San Carlos													 Negros Occidental													 													 INVITATION TO BID											FOR SALE	 			PURCHASE REQUEST NO: 1-20-06-0669				P 300.00	 Sealed bids for quotation of prices will be recei</t>
  </si>
  <si>
    <t xml:space="preserve"> 20	sack		Gestating			Mash				 20	sack		Grower			Mash				 10	sack		Lactating			Mash				 20	sack		Starter			Mash				 5	sack		Corn Bran			Yellow				 10	sack		Laying			Mash</t>
  </si>
  <si>
    <t xml:space="preserve"> Please see attached Program of Works for Specification</t>
  </si>
  <si>
    <t xml:space="preserve"> Republic of the Philippines Cordillera Administrative Region MUNICIPAL GOVERNMENT OF MALIBCONG Province of Abra Project Title: CONSTRUCTION OF TWO STOREY MULTI-PURPOSE (MUNICIPAL ISOLATION) BUILDING POBLACION, MALIBCONG, ABRA 1.  The Municipal Government </t>
  </si>
  <si>
    <t xml:space="preserve"> 06192020-087 NOTICE FOR NEGOTIATED PROCUREMENT Publication: June 16, 2020 Closing: June 19, 2020 Name of Project	Purchase of Real Property Tax Account Register Card for Treasurer’s Office use Approved Budget for the Contract	 ₱200,000.00 Contract Period:	</t>
  </si>
  <si>
    <t xml:space="preserve"> OPENING OF BIDS IN DSWD FO IX ZAMBOANGA CITY		 DELIVERY IN AVRC III, MAMPANG ZC		 PROCUREMENT FOR THE FF.	 	 		 50	PCS.	LIQUID DISPENSER (HIGH QUALITY ABS MATERIAL, NON-TOXIC , RUSTPROOF AND CORRUSION  RESISTANCE , LONG LIFE ; 2) VIEWING BODY ; MATERIALS:</t>
  </si>
  <si>
    <t xml:space="preserve"> Reference No. PR # 20-03-0438 PRICE QUOTATION FORM (BID FORM) Sealed Bids shall be dropped in the BIDDERS BOX on or before 2:00 P.M.  June 19, 2020    placed at the office of the Chairman of the College BAC. Thereafter, the Bidder's Box shall be sealed un</t>
  </si>
  <si>
    <t xml:space="preserve"> Construction Project of Pres. Elpidio Quirino Street</t>
  </si>
  <si>
    <t xml:space="preserve"> Republic of the Philippines					 Province of Palawan					 MUNICIPALITY OF EL NIDO					 PR No. Name of Procuring Entity: Municipal Government of El Nido			RFQ No.	MDRRMO-200-2020	 Date:		 Office/End-User: MDRRMO					 Company Name					 Adress:					 Business</t>
  </si>
  <si>
    <t xml:space="preserve"> School and Office Supplies</t>
  </si>
  <si>
    <t xml:space="preserve"> Procurement of supply and delivery of food fo the conduct of Rice Report Officers Monthly Meeting Review and Assessment at OPA, Conference Room, Bacolod City  (40 pax / Batch) 	 240	pax July 28, 2020 August 25, 2020 September 29, 2020 October  27, 2020 No</t>
  </si>
  <si>
    <t xml:space="preserve"> Republic of the Philippines													 City of San Carlos													 Negros Occidental													 												REBIDDING LOT 3 ONLY	 INVITATION TO BID											FOR SALE	 			PURCHASE REQUEST NO: 1-19-09-1639				P 1,913.00	 Sealed bids for quotation o</t>
  </si>
  <si>
    <t xml:space="preserve"> Item No.	Qty. 	Unit	Item Description		Unit Price	Total Price 						 1	50	ream	PAPER, MULTICOPY, 80gsm, size: 210mm x 297mm			 2	50	ream	PAPER, MULTICOPY, 80gsm, size: 216mm x 330mm			 3	100	ream	PAPER, Multi-Purpose (COPY) Legal, 70 gsm			 4	30	pad	PAPER,</t>
  </si>
  <si>
    <t xml:space="preserve"> Post Cement, Banana Twine &amp; Bamboo Poles for LSA - FRIEND Organic Farm 800 posts Post Cement 10 rolls Banana Twine 300 poles Bamboo Poles for Trellis *Free Delivery on-site **Please see an attached document in ASSOCIATED COMPONENTS for RFQ</t>
  </si>
  <si>
    <t xml:space="preserve"> Republic of the Philippines Province of South Cotabato BIDS AND AWARDS COMMITTEE Capitol Compound Alunan Avenue, Koronadal City Tel. Fax No.: (083) 228-9951/228-8570 INVITATION TO BID FOR THE SUPPLY AND DELIVERY OF 7,000 BAGS CEMENT, PORTLAND, QUICK DRY &amp;</t>
  </si>
  <si>
    <t xml:space="preserve"> l.	The MUNICIPALITY OF GUINAYANGAN, QUEZON, through  the  2020 C.O.    intends to apply the sum of  One Hundred Sixty Nine Thousand Four Hundred Ninety  Pesos                      (P 169,490.00) being the Approved Budget for the Contract (ABC) to payments</t>
  </si>
  <si>
    <t xml:space="preserve"> REQUEST FOR QUOTATION (RFQ) Date: June 15, 2020 R.I.S. No.:	20-13-098 Gentlemen:			 Please submit your lowest price quotation (including taxes and government discounts) on charged account basis, on the following supplies/materials/ equipment or labor for </t>
  </si>
  <si>
    <t xml:space="preserve"> BIDS AND AWARDS COMMITTEE ATTENTION:		ALL INTERESTED BIDDERS 			 SUBJECT:	INVITATION TO BID –   Procurement of Communication Plan for 1 Year DATE:	June 15, 2020 - - - - - - - - - - - - - - - - - - - - - - - - - - - - - - - - - - - - - - - - - - - - - - - </t>
  </si>
  <si>
    <t xml:space="preserve"> Training Expense</t>
  </si>
  <si>
    <t xml:space="preserve"> IMPROVEMENT OF MUNICIPAL IP HALL GROUND</t>
  </si>
  <si>
    <t xml:space="preserve"> *A3 MACHINE - photocopier maximum monthly duty cycle: 50,000 copies introductory comsumables toner: 4,000 copiesdrum: 80,000 copies w/ embedded web server A3 digital monochrome multifunction (print, copy, scan)flatbed &amp; automatic document feeder for duple</t>
  </si>
  <si>
    <t xml:space="preserve"> Please see attachment.</t>
  </si>
  <si>
    <t xml:space="preserve"> Bid-Opening-June 25, 2020 at 2:00 P.m. at Municipal Conference Room</t>
  </si>
  <si>
    <t xml:space="preserve"> Requesting for Quotation (RFQ) for PR No. 2006001  Interested suppliers are invited to submit Sealed Price Quotations for the above listed items. The Request for Quotation (RFQ) for may be obtained from Mr. Albert A. Camarillo City General Services Office</t>
  </si>
  <si>
    <t xml:space="preserve"> INVITATION TO BID COMPLETION OF PAAGAN WATER SYSTEM PAAGAN, SANTOL, LA UNION 1.	The Municipal Government of Santol, La Union through the MDF-2020 intends to apply the sum of ONE MILLION FIVE HUNDRED THOUSAND PESOS (Php 1,500,000.00) being the Approved Bud</t>
  </si>
  <si>
    <t xml:space="preserve"> INVITATION TO BID FOR SUPPLY AND INSTALL OF BY-PASS POTABLE WATER PIPE LINE QUINANLIMAN, BRGY. POB. 1, REAL, QUEZON 1.	The Municipal Government of Real, Quezon, through the Economic Enterprise &amp; General Fund CY 2020  intends to apply the sum of Nine Hundr</t>
  </si>
  <si>
    <t xml:space="preserve"> B.9	Mobilization/Demobiliazation	lot	all	18,854.00 103(1)a	Structure Excavation (CommonSoil)	5.30	cu.m.	1,780.80 105(1)	Subgrade Preparation (Common Material)	312	sq.m.	5,460.00 201	Aggregate Base Coarse (100mm thk.)	31.20	cu.m.	38,073.36 311(1)a	PCC Pave</t>
  </si>
  <si>
    <t xml:space="preserve"> 1 UNIT STEEL CABINET, ETC.</t>
  </si>
  <si>
    <t xml:space="preserve"> Republic of the Philippines Province of Leyte Municipality of Hilongos Barangay LAMAK REQUEST FOR QUOTATION  JUNE 15, 2020          Date               ______________________ _______________________ _______________________ _________________________________</t>
  </si>
  <si>
    <t xml:space="preserve"> Republika ng Pilipinas PAMAHALAANG LUNGSOD NG TACLOBAN (City Government of Tacloban) Kanhuraw Hill, Tacloban City 6500 Bids and Awards Committee INVITATION TO SUBMIT PRICE QUOTATIONS FOR THE NEGOTIATED PROCUREMENT (Small Value Procurement) OF LIVE ANIMALS</t>
  </si>
  <si>
    <t xml:space="preserve"> Job Description: -Maintenance of the nursery and area for herbs, spices and medicinal plants -Planting and propagation of herbs, spices and medicinal plants -process and follow-up documents</t>
  </si>
  <si>
    <t xml:space="preserve"> Section I. Invitation to Bid Republic of the Philippines Province of Bukidnon MUNICIPALITY OF TALAKAG Invitation to Bid for Procurement of Diesoline (For LGU Use) 1.	The Municipality of Talakag through the General Fund, CY 2020 intends to apply the sum of</t>
  </si>
  <si>
    <t xml:space="preserve"> CADO - PESO - TVET TRAINING EXPENSES FOR SECURITY NC I</t>
  </si>
  <si>
    <t xml:space="preserve"> INVITATION TO APPLY FOR ELIGIBILITY AND TO BID THE BIDS AND AWARD COMMITTEE OF THE MUNICIPALITY OF CAIBIRAN, BILIRAN IS INVITING ALL INTERESTED BIDDERS ON ITS FORTHCOMING PUBLIC BIDDING FOR: Project Title	: Acquisition of Air Conditioning Unit Delivery Pe</t>
  </si>
  <si>
    <t xml:space="preserve"> Construction of 6.00mx2.00m Steel Gate (Double leaf) with service gate (1.00mx2.00m). Description of works includes :  Earthworks, Reinforced Concrete Works and Progress Photo</t>
  </si>
  <si>
    <t xml:space="preserve"> VARIOUS CONSTRUCTION MATERIALS.</t>
  </si>
  <si>
    <t xml:space="preserve"> REQUEST FOR QUOTATION (RFQ) Date: June 15, 2020 R.I.S. No.:	20-83-069 Gentlemen:			 Please submit your lowest price quotation (including taxes and government discounts) on charged account basis, on the following supplies/materials/ equipment or labor for </t>
  </si>
  <si>
    <t xml:space="preserve"> Jetmatic pump-const of shallow wells</t>
  </si>
  <si>
    <t xml:space="preserve"> 200	sachet		Fabric Conditioner							 200	sachet		Detergent Powder							 5	kl		Chlorine							 20	gal		Muriatic Acid							 50	pcs		Toilet Brush							 20	pales		Floor wax							 100	pcs		Soft Broom							 100	pcs		Stick Broom							 30	pcs		Toilet Pump</t>
  </si>
  <si>
    <t xml:space="preserve"> Republic of the Philippines PROVINCE OF SOUTHERN LEYTE Maasin City Invitation to Bid for the Procurement of Various Medicines and Vitamins  Contract ID # 2020-07-07-379PG 1.	The Provincial Government of Southern Leyte through the PHSO Donation Expenses in</t>
  </si>
  <si>
    <t xml:space="preserve"> INVITATION TO BID IB No. GS-2020 – 051-A Books, Maps and Other Publications for Distribution to all Barangays of Oriental Mindoro 1. The  Provincial  Government  of  Oriental  Mindoro  (PGOM)  through  the  General Fund  intends  to  apply  the  sum  of  </t>
  </si>
  <si>
    <t xml:space="preserve"> BIDS AND AWARDS COMMITTEE ATTENTION:		ALL INTERESTED BIDDERS 			 SUBJECT:	INVITATION TO BID –   Procurement of Office Equipment DATE:	June 15, 2020 - - - - - - - - - - - - - - - - - - - - - - - - - - - - - - - - - - - - - - - - - - - - - - - - - - - - - -</t>
  </si>
  <si>
    <t xml:space="preserve"> Please see attached PR for specification</t>
  </si>
  <si>
    <t xml:space="preserve"> PROCUREMENT OF SUPPLY AND INSTALLATION FOR THE REPLACEMENT OF VEHICLE TIRES 8 pieces VEHICLE TIRES, 195 R15 for Toyota Hi-Ace Commuter Vans with Plate nos. VK-4756 &amp; VK-4857 4 pieces VEHICLE TIRES, 205/65 R15 for Toyota Innova E with Plate no. SKE-945 2 p</t>
  </si>
  <si>
    <t xml:space="preserve"> Republic of the Philippines Province of Leyte Municipality of Hilongos BARANGAY LAMAK INVITATION TO BID FOR THE PROCUREMENT OF OFFICE SUPPLIES.  1.  The Barangay Lamak, through the IRA intends to apply the sum THIRTY FIVE THOUSAND PESOS (₱ 35,000.00) bein</t>
  </si>
  <si>
    <t xml:space="preserve"> Republic of the Philippines Province of South Cotabato BIDS AND AWARDS COMMITTEE Capitol Compound Alunan Avenue, Koronadal City Tel. Fax No.: (083) 228-9951/228-8570 INVITATION TO BID FOR THE SUPPLY AND DELIVERY OF 5 DRUMS HYDRAULIC OIL, AW 68 &amp; ETC. 1.  </t>
  </si>
  <si>
    <t xml:space="preserve"> Republic of the Philippines Province of Cotabato Municipality of Arakan Barangay Sumalili BIDS AND AWARDS COMMITTEE REQUEST FOR QUOTATION Purchase of Assorted Goods The Barangay Local Government Unit of Sumalili is inviting interested suppliers to submit </t>
  </si>
  <si>
    <t xml:space="preserve"> Purchase of cellphone for brgy use..</t>
  </si>
  <si>
    <t xml:space="preserve"> Procurement of supply and delivery of food fr the conduct of DA Program Assessment &amp; Forum of City/Municipal Agricvulturists at Conference Room, OPA, Roxas City, Capiz (50 pax/Batch)	 300	pax	 July 15, 2020 August 19, 2020 September 16, 2020 October  21, </t>
  </si>
  <si>
    <t xml:space="preserve"> The San Jose City – Local Government Unit (SJC-LGU) through its Bids and Award Committee (BAC), will undertake an Alternative Method of Procurement through Negotiated Procurement for the item stated below, in accordance with Section 53.9 Small Value Procu</t>
  </si>
  <si>
    <t xml:space="preserve"> PB NO. 2020-036		 			Security Service for July 2020 to December 2020 1.	1	persons	OIC Security Guard x 18,796.54 x 6 months for 8 hours 2.	8	persons	Security Guards (Dayshift) x 17,796.54 x 6 months for 8 hours 2.	5	persons	Security Guards (Nightshift) x </t>
  </si>
  <si>
    <t xml:space="preserve"> Requesting for Quotation (RFQ) for PR No. 2004142  Interested suppliers are invited to submit Sealed Price Quotations for the above listed items. The Request for Quotation (RFQ) for may be obtained from Mr. Albert A. Camarillo City General Services Office</t>
  </si>
  <si>
    <t xml:space="preserve"> June 15, 2020                                                                   	          Solicitation No.: RFQ2020-06-01 REQUEST FOR QUOTATION The Fertilizer and Pesticide Authority, through its Bids and Awards Committee (BAC), invites interested partie</t>
  </si>
  <si>
    <t xml:space="preserve"> LAPTOP COMPUTER 8GB DDR4 2400MHZ SDRAM OPERATING SYSTEM-INTEL CORE i7-7700HQ(2.8ghz) PROCESSOR WINDOWS 10 HOME GTX 1050-8GB GDD5-VRAM GRAPHICS 150W POWER ADAPTOR  9HRS. BATTERY LIFE SPEARKER WITH SMARTAMP TECHNOLOGY OPTICAL DRIVE 1TB-8GB+128GB SSD</t>
  </si>
  <si>
    <t xml:space="preserve"> Lot 1 PhP 5, 001.00 (See attached file or call for more details.)</t>
  </si>
  <si>
    <t xml:space="preserve"> 1 Unit Laptop * CPU: Intel Core i7 processor (10th Generation) * Hard Drive: 256GB Solid State Drive * RAM: 16GB * Display 3840x2400 resolution * Wireless: 802.1 1ac 2x2 Wifi and *OS: windows 10 Home Unit Cost: P 80,550.00 Total Amount: P 80,550.00 5 Unit</t>
  </si>
  <si>
    <t xml:space="preserve"> *CONFERENCE TABLE - w/o Chair, Size: 3x1.2x.8, Materials: Laminated Particle Board, Metal Table Leg, Rectangular Metal Grommet (1 pc) *Please see attached sample layout and canvass form.</t>
  </si>
  <si>
    <t xml:space="preserve"> INVITATION TO BID IB No. GS-2020 – 052-A Construction Materials and Supplies for Provision of Cement and Painting Materials to Various Schools Provincewide 1. The  Provincial  Government  of  Oriental  Mindoro  (PGOM)  through  the  Special Education Fund</t>
  </si>
  <si>
    <t xml:space="preserve"> Qty.	UNIT	ITEM AND DESCRIPTION					 								TOTAL 1	unit	Entry Level File Server						  		• Processor(s): Intel Xeon E-2124 3.3GHz,						 		 8M cache, 4C/4T, turbo (71W)						 		• Memory: 8GB 2666MT/s DDR4 ECC UDIMM						 		• Storage Controller: PERC H330</t>
  </si>
  <si>
    <t xml:space="preserve"> 1.	The Municipality of Guinayangan, Quezon through the 2020 C.O. intends to apply the sum of One Million Five Hundred Thirty Six Thousand Pesos  (P 1,536,000.00) being the Approved Budget for the Contract (ABC) to payments under the contract for the Concr</t>
  </si>
  <si>
    <t xml:space="preserve"> Repair of Daycare Center</t>
  </si>
  <si>
    <t xml:space="preserve"> CARLOS HILADO MEMORIAL STATE COLLEGE 		BIDS AND AWARDS COMMITTEE Talisay City, Negros Occidental Telefax Nos. (034) 712-8404 INVITATION TO BID  FOR THE PROCUREMENT OF COMMON JANITORIAL SUPPLIES AND OFFICE SUPPLIES FOR THE FOUR (4) CAMPUSES CHMSC 20-017-06</t>
  </si>
  <si>
    <t xml:space="preserve"> Republic of the Philippines Province of South Cotabato BIDS AND AWARDS COMMITTEE Capitol Compound Alunan Avenue, Koronadal City Tel. Fax No.: (083) 228-9951/228-8570 INVITATION TO BID FOR THE SUPPLY AND DELIVERY OF 71 UNITS TELEVISION, LED, SMART TV 1.  T</t>
  </si>
  <si>
    <t xml:space="preserve"> Republic of the Philippines Province of Compostela Valley Municipality of Monkayo -o0o- NEGOTIATED PROCUREMENT OF MATERIALS FOR REPAIR AND MAINTENANCE OF PUMPING STATION FOR WATERWORKS OPERATION UNIT   The Municipality of Monkayo, through the TRUST FUND  </t>
  </si>
  <si>
    <t xml:space="preserve"> 2	set		Seat Assembly							 1	unit		Radiator Assly			(4BA1)				 3	pcs		Fan Belt			(A-54)				 2	pcs		Fan Belt			(B-42)				 4	pcs		Glow plug			24 volts				 4	gal		Oil			#40 Diesel				 2	pcs		Oil Filter							 2	pcs		Cross Joint							 1	pc 		Fuel Filter				</t>
  </si>
  <si>
    <t xml:space="preserve"> Qty.	UNIT	ITEM AND DESCRIPTION					APPROVED BUDGET COST	 							UNIT PRICE	TOTAL 20	BTLS	ALCOHOL (RUBBING 70% ISOPROPYL 500ML)					 68.48 	 1,369.60  30	POCUH	DETERGENT POWDER (ALL PURPOSE 1 KG)					 66.00 	 1,980.00  4	CANS	DISINFECTANT SPRAY (AEROSOL SC</t>
  </si>
  <si>
    <t xml:space="preserve"> *MODEM - Globe, Prepaid Wifi/Modem w/ Free initial load/10 Gbdata allocation, With LTE Capable Sim (64 units) *MODEM - PLDT, Prepaid Wifi/Modem w/ Free initial load/10 Gbdata allocation up to 42Mbps, With LTE Capable Sim (22 units) *Please see attached ca</t>
  </si>
  <si>
    <t xml:space="preserve"> Republika ng Pilipinas PAMAHALAANG LUNGSOD NG TACLOBAN (City Government of Tacloban) Kanhuraw Hill, Tacloban City 6500 Bids and Awards Committee INVITATION TO SUBMIT PRICE QUOTATIONS FOR THE NEGOTIATED PROCUREMENT (Small Value Procurement) OF FOOD STUFF (</t>
  </si>
  <si>
    <t xml:space="preserve"> Requesting for Quotation (RFQ) for PR No. 2006027  Interested suppliers are invited to submit Sealed Price Quotations for the above listed items. The Request for Quotation (RFQ) for may be obtained from Mr. Albert A. Camarillo City General Services Office</t>
  </si>
  <si>
    <t xml:space="preserve"> Republic of the Philippines Province of Davao de Oro MUNICIPALITY OF MONTEVISTA BIDS AND AWARDS COMMITTEE 		 Reference No:  CB-2020-016 INVITATION TO BID FOR OFFICE SUPPLIES 1. 	The Municipality of  Montevista, Compostela Valley Province, through its  Gen</t>
  </si>
  <si>
    <t xml:space="preserve"> Job Description: -Process and follow up documents related to the project -assist in the conduct of the study</t>
  </si>
  <si>
    <t xml:space="preserve"> 1,530 LITERS DIESEL 250 LITERS GASOLINE  1 LOT LUBRICANTS</t>
  </si>
  <si>
    <t xml:space="preserve"> 1. The Department of Agriculture – Regional Field Office – Cordillera Administrative Region (DA-RFO-CAR) intends to apply part of its CY 2020 General Appropriation Act (GAA) the total sum of Six Hundred Thousand Pesos (P6,000,000.00) being the Approved Bu</t>
  </si>
  <si>
    <t xml:space="preserve"> 2 UNIT OFFICE TABLE SMALL 2 UNIT OFFICE TABLE BIG 1 UNIT COMPUTER TABLE</t>
  </si>
  <si>
    <t xml:space="preserve"> purchased and delivery of wooden cabinet</t>
  </si>
  <si>
    <t xml:space="preserve"> PB NO. 2020-037		 			 1.	14	persons	Janitorial Service for July 2020 to December 2020 			14 Utility Worker x 17,325.03 x 6 months for 8 hrs. 			 	Deadline for Submission of Bids: July 7, 2020 10:00 am</t>
  </si>
  <si>
    <t xml:space="preserve"> 82 pcs graphicoat glassboard, 4ft x 8ft</t>
  </si>
  <si>
    <t xml:space="preserve"> INVITATION TO BID IB No. GS-2020 – 041-A Furniture to be used/installed in the executive building 1. The  Provincial  Government  of  Oriental  Mindoro  (PGOM)  through  the  General Fund intends  to  apply  the  sum  of  Two Million Four Hundred Thirty T</t>
  </si>
  <si>
    <t xml:space="preserve"> Prk. Pinya, Tagaytay, Josefina, ZDS</t>
  </si>
  <si>
    <t xml:space="preserve"> *DECIS - Active Ingredients (Deltamethrin) (15 liters) *SELECRON - Active Ingredients (Profenofos) (10 liters) *PENNANT - Active Ingredients (Phenthoate) (10 liters) *SUPER CARTAP - Active Ingredients (Cartap Hydrochloride), 500g/pack (15 liters) *LEYBAYC</t>
  </si>
  <si>
    <t xml:space="preserve"> 30 packs FOLDER, legal size, tagboard, 100pcs/pack, kraft outside white inside 300 pieces CORRECTION TAPE, 5mm x 10mm 300 pieces SIGn PEN, blue, liquid/gel ink, 0.5mm needle tip 150 pieces SIGN PEN, liquid/gel ink, 0.5mm needle tip 2 boxes ENVELOPE, expan</t>
  </si>
  <si>
    <t xml:space="preserve"> 1. Materials and Equipment Rental for the Repair and Improvement of School Stage , Efraim Santibañez National High School, Brgy. Sto. Tomas, Passi City, Iloilo/LSB/P 139,460.00 Stock No. Unit Description Qty. 1 pcs angle bar 1/4" x 2" x 6m 30 2 pcs c-purl</t>
  </si>
  <si>
    <t xml:space="preserve"> Improvement/Rehabilitation of President Bridge of Poblacion																																																																																																																																																																																																				</t>
  </si>
  <si>
    <t xml:space="preserve"> INVITATION TO BID IB No. GS-2020 – 048-A Hospital/Medical Equipment for the use of Naujan Community Hospital 1. The  Provincial  Government  of  Oriental  Mindoro  (PGOM)  through  the  General Fund intends  to  apply  the  sum  of  Two Million Eight Hund</t>
  </si>
  <si>
    <t xml:space="preserve"> RFQ (20-06-036) Various Drugs and Medicines</t>
  </si>
  <si>
    <t xml:space="preserve"> RFQ (20-06-040) Various IT Supplies</t>
  </si>
  <si>
    <t xml:space="preserve"> see attached price quotation form</t>
  </si>
  <si>
    <t xml:space="preserve"> Barangay Tagaytay Hill, Josefina, ZDS</t>
  </si>
  <si>
    <t xml:space="preserve"> I. Earthworks: 1.01 Structural Excavation : 4.62 cu.m., 1.02 : Structural Backfill: 2.47 cu.m.,                        1.03: Gravel Bedding: 0.66 cu.m. II. Masonry Works : 31.17 sq.m. III. Plastering : 62.34 sq.m. IV. Reinforcing Steel Bars : 616.37 kgs. </t>
  </si>
  <si>
    <t xml:space="preserve"> REQUEST FOR QUOTATION For Negotiated Procurement thru Small Value Procurement under Sec. 53.9 of the 2016 Revised IRR of RA 9184 Quotation No.:  2020-05-176 (2ND QUOTE) Date: June 15, 2020 PR No.: 20-05-169 PR Date: May 8, 2020 The Metropolitan Tuguegarao</t>
  </si>
  <si>
    <t xml:space="preserve"> UNIVERSITY OF THE PHILIPPINES BAGUIO																					 Governor Pack Road, Baguio City, Benguet, CAR																					 VAT Reg. TIN: 000-864-006-00007																					 Telefax No.: (074) 442-3484																					 email address:  spmo.upbagui</t>
  </si>
  <si>
    <t xml:space="preserve"> 000008969		100	rolls	THERMAL TRANSFER LABEL  					 1.0 x 1.2					PhP	  61,750.00 			100	rolls	THERMAL TRANSFER LABEL 			199,500.00 					  5 X 4</t>
  </si>
  <si>
    <t xml:space="preserve"> The ZAMBOANGA CITY STATE POLYTECHNIC COLLEGE through its Bids and Awards Committee (BAC) is inviting PHILGEPS registered suppliers to apply for eligibility and to submit bids for the items listed below: Upgrading of Fiber Line with Wi-Fi and Voice Over IP</t>
  </si>
  <si>
    <t xml:space="preserve"> purchased and delivery of office table with chair</t>
  </si>
  <si>
    <t xml:space="preserve"> Republic of the Philippines PROVINCE OF SOUTHERN LEYTE Maasin City Invitation to Bid for the Procurement of Survey Equipment  Contract ID # 2020-07-07-375PG 1.	The Provincial Government of Southern Leyte through the PEO – Technical and Scientific Equipmen</t>
  </si>
  <si>
    <t xml:space="preserve"> 2	pc	Fillet gauge		 11	pc	Try square 300 mm long		 2	unit	Work bench w/ bench vice on 4 corners		 1	set	Belt tension gauge		 2	set	Box wrench metric size		 1	unit	Cooling system analyzer		 2	set	Socket wrench 		 2	set	Tire pressure gauge		 5	pc	Cover alls</t>
  </si>
  <si>
    <t xml:space="preserve"> Pakyaw Labor and Provision of Equipment</t>
  </si>
  <si>
    <t xml:space="preserve"> Republic of the Philippines Province of Misamis Occidental Municipality of Aloran INVITATION TO BID FOR THE IMPROVEMENT OF ALORAN WATER SUPPLY SYSTEM (BARANGAY OSPITAL-DULLAN) 				JUNE 15, 2020 1.	The Local Government Unit of Aloran, Misamis Occidental th</t>
  </si>
  <si>
    <t xml:space="preserve"> RESOLUTION ON PRIOR APPROVAL NO. 03-19                   Series of 2020 		 RESOLUTION RECOMMENDING THE USE OF ALTERNATIVE METHOD OF PROCUREMENT FOR  THE ACQUISITION OF GOODS AND SERVICES WHEREAS, various departments/offices submitted Purchase Requests wit</t>
  </si>
  <si>
    <t xml:space="preserve"> Invitation to Bid for  Rehabilitation of Extension/Satellite Office @ Brgy. Llavac, Real, Quezon 1.	The Municipal Government of Real, Quezon, through the General Fund -Continuing Legislative Appropriation 2015 intends to apply the sum of Three Hundred For</t>
  </si>
  <si>
    <t xml:space="preserve"> Water Soluble, Degreaser Industrial Typical Physical Properties Color    : Pink Odor     : Mild Solubility : Soluble in water Specific gravity : 1.5 Form : Liquid Features: Products rich foam which lifts dirt from surface Does not contain bio-stimulating </t>
  </si>
  <si>
    <t xml:space="preserve"> Solar Generator Set 6000 watts with (6) 370 watts panel          - Solar Panel: 370W 36V mono solar panel *6 pcs          - DC Combiner: 4 in 1 out          - Controler: PWM 60A48V          - Inverter: 6000W 48V Pure sine wave          - Battery: 200Ah12V</t>
  </si>
  <si>
    <t xml:space="preserve"> INVITATION TO APPLY FOR ELIGIBILITY AND TO BID  One (1) Lot Information Technology   ITB No. 2020-06-003 P.R. No. 2020-06-173 1.	The Mines and Geosciences Bureau, through the General Appropriations Act (GAA) for CY 2020 intends to apply the sum correspond</t>
  </si>
  <si>
    <t xml:space="preserve"> Unit 	Item Description	Quantity 		 ream	Bond Paper, A4, 80 gsm	236 ream	Bond Paper, Long, 80 gsm	3 bottle	Epson T664-1 Black Ink	13 bottle	Epson T664-2 Cyan Ink	9 bottle	Epson T664-3 Magenta Ink	8 bottle	Epson T664-4 Yellow Ink	8 piece	Flash Drive, 16 GB	</t>
  </si>
  <si>
    <t xml:space="preserve"> 1. The Mindanao State University - Tawi-Tawi College of Technology and Oceanography (MSU-TCTO), through the Trust Fund, intends to apply the sum of One Hundred Forty Thousand Pesos only (PhP 140,000.00) being Approved Budget of Contract to payments under </t>
  </si>
  <si>
    <t xml:space="preserve"> 1	TARPAULIN 1' X 2'							48	PCS 2	TARPAULIN 3' X 6'							20	PCS 3	TARPAULIN 3' X 6'							20	PCS</t>
  </si>
  <si>
    <t xml:space="preserve"> Republic of the Philippines Province of South Cotabato BIDS AND AWARDS COMMITTEE Capitol Compound Alunan Avenue, Koronadal City Tel. Fax No.: (083) 228-9951/228-8570 INVITATION TO BID FOR THE SUPPLY AND DELIVERY OF 1 UNIT X-RAY MACHINE 1.  The PROVINCIAL </t>
  </si>
  <si>
    <t xml:space="preserve"> TERMS AND CONDITIONS:						 1. All entries must be typewritten or legibly written. 					 2. Delivery period within _____3 days_______________________ upon receipt of the approved  funded Purchase Order (P.O.).   				 3. Warranty shall be for a minimum of </t>
  </si>
  <si>
    <t xml:space="preserve"> DEMOLITION OF CONCRETE LAYING OF CHB PLASTERING WORKS PLUMBING WORKS TILE WORKS FLOORING  DOORS AND PARTITION(ANALOK)</t>
  </si>
  <si>
    <t xml:space="preserve"> INVITATION TO BID IB No. GS-2020 – 046-A Agricultural Machinery and Equipment for subsidy/assistance to Local Government Units,  Other (Farmers Association/Cooperative) 1. The  Provincial  Government  of  Oriental  Mindoro  (PGOM)  through  the  General F</t>
  </si>
  <si>
    <t xml:space="preserve"> NEGOTIATED PROCUREMENT-TWO FAILED BIDDINGS OF ONE (1) UNIT LAPTOP AND ONE (1) UNIT PROJECTOR FOR DCA AGRI-FARM TRAINING SCHOOL  In view of two (2) failed biddings, the Municipality of Remedios T. Romualdez, Agusan del Norte  Bids and Awards Committee (BAC</t>
  </si>
  <si>
    <t xml:space="preserve"> Republic of the Philippines Province of Compostela Valley Municipality of Monkayo -o0o- NEGOTIATED PROCUREMENT OF GLASS DOOR FOR MUNICIPAL HEALTH CENTER BUILDING The Municipality of Monkayo, through the TRUST FUND  intends to apply the sum of  NINETY THRE</t>
  </si>
  <si>
    <t xml:space="preserve"> 130 pages per minute print speed 300 x 360 dpi print resolution 3 rubber feed rollers with one 91) Ink cartridge One (1) Master roll and Pedestal/ Table With Exclusive Distributor Certificate</t>
  </si>
  <si>
    <t xml:space="preserve"> Republic of the Philippines Province of Iloilo Municipality of Guimbal Rizal Street, Guimbal, Iloilo The Local Government Unit of Guimbal, Rizal Street, Guimbal, Iloilo, through its Bids and Award Committee (BAC), invites Contractors to submit bids for th</t>
  </si>
  <si>
    <t xml:space="preserve"> Section I. Invitation to Bid Republic of the Philippines Province of Bukidnon MUNICIPALITY OF TALAKAG Invitation to Bid for Procurement of Travelling Rice Mill  (For San Isidro Rice Farmer Association, BUB 2015) 1.	The Municipality of Talakag through the </t>
  </si>
  <si>
    <t xml:space="preserve"> Repair / Improve  of Handwashing Facilities in Front of Canteen/ Fornt of Bldg. 3 &amp; 5 / Front of SSES and Front of Kinder</t>
  </si>
  <si>
    <t xml:space="preserve"> Republic of the Philippines PROVINCE OF SOUTHERN LEYTE Maasin City Invitation to Bid for the Procurement of Various Catering Services  Contract ID # 2020-07-07-376PG 1.	The Provincial Government of Southern Leyte through the PGO – Other Maintenance and Op</t>
  </si>
  <si>
    <t xml:space="preserve"> 1. The Local Government Unit of Magsaysay, Occidental Mindoro through the Annual Budget approved by Sanggunian intends to apply the sum of Fifty One Thousand Pesos (P51,000.00) being the Approved Budget for the Contract (ABC) to payment under the contract</t>
  </si>
  <si>
    <t xml:space="preserve"> purchased and delivery of cctv</t>
  </si>
  <si>
    <t xml:space="preserve"> 18 assembly Pen Light 18 watt LED lamp 1,081 bags Portland Cement type 1p 11 bags skin coat 98 bags tile adhesive cement 7 boxes 1/8 blind rivets at 1,000 pcs. per box 1 box welding rod stainless steel 1 box #14 THW Stranded 1 box #12 THW Stranded  1 box </t>
  </si>
  <si>
    <t xml:space="preserve"> For Rosales Municipal Infirmary Unit use.</t>
  </si>
  <si>
    <t xml:space="preserve"> purchased and delivery of stand fan</t>
  </si>
  <si>
    <t xml:space="preserve"> REQUEST FOR QOUTATION  CADO -PESO FOR TVET TRAINING EXPENSE  CAREGIVING NC II - Php 200,000.00</t>
  </si>
  <si>
    <t xml:space="preserve"> 3	unit		Mower			heavy duty, original				 100	pcs		Faucet							 10	gal		Red Tile Paint							 50	pcs		Dustpan							 1	box		C.W. Nails			2"				 10	rolls		Garden Hose							 40	pcs		Incarta			formica				 10	gal		White Enamel							 10	gal		White Latex					</t>
  </si>
  <si>
    <t xml:space="preserve"> VARIOUS MEDICAL SUPPLIES</t>
  </si>
  <si>
    <t xml:space="preserve"> Republic of Canlaon 											 City of Canlaon											 OFFICE OF THE BIDS AND AWARDS COMMITTEE											 REQUEST FOR SEALED QUOTATION											 											 					Date:	6/15/2020					 					Quotation No.:	2020-06-023					 					JO No.:	2020-06-024-D				</t>
  </si>
  <si>
    <t xml:space="preserve"> Republic of the Philippines												 REGION IX      												 PROVINCE OF ZAMBOANGA DEL SUR												 Pagadian City     												 BIDS AND AWARDS COMMITTEE  												 Provincial Capitol, Pagadian City												 							 					 INVITATION FOR</t>
  </si>
  <si>
    <t xml:space="preserve"> purchased and delivery of gun</t>
  </si>
  <si>
    <t xml:space="preserve"> CONSTRUCTION OF PROPER KALEO DRAINAGE</t>
  </si>
  <si>
    <t xml:space="preserve"> Republic of the Philippines CITY OF BAIS BIDS AND AWARDS COMMITTEE INVITATION TO APPLY FOR ELIGIBILITY AND TO BID 	The City Government of Bais invites interested bidders to apply for eligibility and to bid for prevention and control of Deadly Dengue Carie</t>
  </si>
  <si>
    <t xml:space="preserve"> 1 unit - airconditioner split type,inverter, 2HP</t>
  </si>
  <si>
    <t xml:space="preserve"> 1. The  Municipality  of   Laua-an,  Antique   intends  to  apply  the  sum   of One Hundred Fifty Nine Thousand Nine Hundred Ninety Nine Pesos Only (Php159,999.00) being the Approved  Budget  for the  Contract  (ABC) to payments under the contract Purcha</t>
  </si>
  <si>
    <t xml:space="preserve"> INVITATION TO APPLY FOR ELIGIBILITY AND TO BID 	The local Government Unit of Can-avid, through is Bid and Awards Committee (BAC). Invites suppliers to apply for eligibility, to bid for the hereunder contract: Name of Contract:      CONCRETING OF BARANGAY </t>
  </si>
  <si>
    <t xml:space="preserve"> Republic of the Philippines Province of Cotabato Municipality of Arakan BIDS AND AWARDS COMMITTEE  RE BID FOR SUPPLY OF MEDICINE &amp; MEDICAL SUPPLIES FOR WALK IN CLIENT 1.	The Local Government Unit of Arakan, through the GENERAL  FUND  intends to apply the </t>
  </si>
  <si>
    <t xml:space="preserve"> PARTICULARS Start-up stock of cattle fattening (at least 150-180 kilos) Php16,500/head 70 beneficiaries Supplement commercial grower feeds Php. 1530/2 sacks 70 beneficiaries Dewormer (oral Albendazol to be administered 1ml/10kg body live weight a total of</t>
  </si>
  <si>
    <t xml:space="preserve"> PLEASE SEE ATTACHMENT FOR DETAILS</t>
  </si>
  <si>
    <t xml:space="preserve"> INVITATION TO BID IB No. GS-2020 – 071 Sporting Goods for distribution to Outstanding pupils and students in public and private schools in Oriental Mindoro 1. The  Provincial  Government  of  Oriental  Mindoro  (PGOM)  through  the  General Fund intends  </t>
  </si>
  <si>
    <t xml:space="preserve"> SOIL BEARING CAPACITY TEST 2 BOREHOLES</t>
  </si>
  <si>
    <t xml:space="preserve"> Catering Services of; STOCK NO.	UNIT	ITEM DESCRIPTION				QTY 		Meals and Snacks				 1	pax	Snacks a.m				89 2	pax	Lunch				89 3	pax	Tarpaulin				2 		x-x-x-x-x-x-x-x-x				 Purpose / Remarks:		For use during the the Tree Planting Activities for NIA-KIMO.</t>
  </si>
  <si>
    <t xml:space="preserve"> Republic of the Philippines Bangsamoro Autonomous Region in Muslim Mindanao Provincial Government of Maguindanao BIDS AND AWARDS COMMITTEE REQUEST FOR QUOTATION The PROVINCIAL GOVERNMENT OF MAGUINDANAO – Office of the Provincial Governor invites all inter</t>
  </si>
  <si>
    <t xml:space="preserve"> Floor Mop  Bathroom Tissue Roll Zonrox Powder Soap Walis Tambo Glade	   Pledge	  Lysol	  Joy Dishwashing 	  Domex	  Disinfectant  ( Gallon ) Welding rod G- Tect Black	  Bond Paper long	  Bond Paper  A4	  Led bulb	  Door knob Roller Brush Paint Brush Plast</t>
  </si>
  <si>
    <t xml:space="preserve"> ITEM NO.	ITEM &amp; DESCRIPTION	 BRAND	UOM	QTY. 1	Bamboo		Pcs	250 2	Drum plastic (Blue)		Pcs	16 3	Nylon (# 200)		Kgs	10 4	Nylon (# 150)		Kgs	5 5	Nylon (# 50)		Rolls	2 6	Nipa		Pcs	500 7	Pisi (evelon # 25)		Rolls	2 8	Pisi (evelon # 8)		Rolls	10 9	Binders		Rolls</t>
  </si>
  <si>
    <t xml:space="preserve"> Procurement is for Barangay Limama-an, Tambulig, ZDS</t>
  </si>
  <si>
    <t xml:space="preserve"> The Naga City School of Arts and Trades through the 2018 General Appropriation Act (GAA) intends to apply the sum of Eighty Two Thousand Six Hundred Sixteen pesos  and 10/100only (82,616.10) being the approved budget for the contract (ABC) to payments und</t>
  </si>
  <si>
    <t xml:space="preserve"> 1.     Provision of Design Services  : Architectural Plan, Civil/Structural Plan, Electrical Plan, Sanitary/Plumbing Plan, Mechanical Plan, Electronic Plan (Duly Signed and sealed by the Registered Professional) 2. Design and Seismic Analysis 3. Preparati</t>
  </si>
  <si>
    <t xml:space="preserve"> Republic of the Philippines PROVINCE OF SOUTHERN LEYTE Maasin City Invitation to Bid for the Procurement of Various Housekeeping Supplies  Contract ID # 2020-07-07-360PG 1.	The Provincial Government of Southern Leyte through the Admin– Other Supplies Expe</t>
  </si>
  <si>
    <t xml:space="preserve"> A=14m x 18m</t>
  </si>
  <si>
    <t xml:space="preserve"> 30 pax Heavy Snacks</t>
  </si>
  <si>
    <t xml:space="preserve"> Const. of Multi-purpose Hall at Brgy. Sta. Cruz  Contract ID No. MPP-2020-02  			 1.     	The Municipal Government of Veruela, by virtue of the AIP 2020 with the passage of SB Resolution No. 2019-151 is allocating funds for the “Const. of Multi-purpose Ha</t>
  </si>
  <si>
    <t xml:space="preserve"> INVITATION TO BID IB No. GS-2020 – 072 Vehicle for use of Bulalacao Community Hospital (BCH) 1. The  Provincial  Government  of  Oriental  Mindoro  (PGOM)  through  the  General Fund intends  to  apply  the  sum  of  Two Million Five Hundred Thousand Peso</t>
  </si>
  <si>
    <t xml:space="preserve"> Disinfectant - Sanitizer and Deodorizer, 20 liters</t>
  </si>
  <si>
    <t xml:space="preserve"> See attached file.....</t>
  </si>
  <si>
    <t xml:space="preserve"> PURPOSE: FOR DES USE. NEW PURCHASE REQUEST. (3 OF 3) FOR THE MONTH OF MAY 2020 TO AUGUST 2020. Fax your Price Quotation at Tel. Fax#: 426-30-45 / 927-64-26 local 2561 or Email at bacveterans@gmail.com. Please indicate the brand name and complete specifica</t>
  </si>
  <si>
    <t xml:space="preserve"> R/M Building</t>
  </si>
  <si>
    <t xml:space="preserve"> 1.     	The Municipal Government of Veruela, by virtue of the AIP 2020 with the passage of SB Resolution No. 2019-151 is allocating  funds for the “Const. of Multi-purpose Hall at Brgy. Sisimon” amounting to PhP 4,500,000.00 (Four Million Five Hundred Tho</t>
  </si>
  <si>
    <t xml:space="preserve"> Further information are provided in the Request For Quotation (RFQ).</t>
  </si>
  <si>
    <t xml:space="preserve"> 1.The Local Government Unit of the Municipality of Magsaysay, through the 2020 Annual Budget approved by the Sanggunian intends to apply the sum of One Million Pesos (P 1,000,000.00) being the Approved Budget for the Contract (ABC) to payment under the  C</t>
  </si>
  <si>
    <t xml:space="preserve"> B.9	Mobilization/Demobiliazation	lot	all	10,569.30 105(1)	Subgrade Preparation (Common Material)	336	sq.m.	6,216.00 201	Aggregate Base Coarse (100mm thk.)	34	cu.m.	48,273.20 311(1)a	PCC Pavement Plain-Conventional Method, 200mm thk	336	sq.m.	433,440.00 SP</t>
  </si>
  <si>
    <t xml:space="preserve"> Item Qty. 	Unit	Item Description		 no. 						 1	50	piece	BROOM, soft (tambo)			 2	50	piece	BROOM, STICK (TING-TING), usable length: 760mm min			 3	50	bottle	CLEANER,TOILET BOWL AND URINAL, 900ml-1000ml cap			 4	50	can 	CLEANSER, SCOURING POWDER, 350g min.</t>
  </si>
  <si>
    <t xml:space="preserve"> 1. Please see attached Request for Quotation Form for details 2. Please read the General Instructions to Bidders at the attached RFQ Form</t>
  </si>
  <si>
    <t xml:space="preserve"> Installation of Deepwell</t>
  </si>
  <si>
    <t xml:space="preserve"> Item No.  Description   Qty.   Unit 1 Laptop (with Licensed OS)                      3    units Specs : Windows 10 Inter Core i7-9750H Processor (12M Cache 4.5Ghz) NVIDEA GeForce RTX 2060 w/ 6GB GDDR6 16GB DDR4 2666 MHz RAM PCIE NVME 512GB M2 SSD+ 1TB 2.5</t>
  </si>
  <si>
    <t xml:space="preserve"> Republic of the Philippines PROVINCE OF SOUTHERN LEYTE Maasin City Invitation to Bid for the Procurement of Various Machinery and Equipment  Contract ID # 2020-07-07-362PG 1.	The Provincial Government of Southern Leyte through the PESO– Other Machinery an</t>
  </si>
  <si>
    <t xml:space="preserve"> 1.The Local Government Unit of the Municipality of Magsaysay, through funding from the Conditional Augmentation Fund for Municipal Initiated Projects (CAFMIP)  intends to apply the sum of Three Million Pesos Only (3,000,000.00) being the Approved Budget f</t>
  </si>
  <si>
    <t xml:space="preserve"> 1	ls	Assorted Biscuits, Juice &amp; Coffee 1	unit 	Two Burner Gas Stove 1560	pax	Meals (Breakfast,Lunch,Dinner) 		(for command center )for  May 16-31,2020 875	pax	Meals (Breakfast,Lunch,Dinner) 		(for opcen &amp; isolation facilities )for June 1-7,2020 100	bots	M</t>
  </si>
  <si>
    <t xml:space="preserve"> Republic of the Philippines CITY OF BAIS BIDS AND AWARDS COMMITTEE INVITATION TO APPLY FOR ELIGIBILITY AND TO RE-BID 	The City Government of Bais invites interested bidders to apply for eligibility and to bid for use of the City Planning Development Offic</t>
  </si>
  <si>
    <t xml:space="preserve"> Republic of the Philippines CITY OF BAIS BIDS AND AWARDS COMMITTEE INVITATION TO APPLY FOR ELIGIBILITY AND TO BID 	The City Government of Bais invites interested bidders to apply for eligibility and to bid for essential care services of Philhealth Members</t>
  </si>
  <si>
    <t xml:space="preserve"> 2 units 3in1 Color Printer 1 unit Laptop (Interl Core i7 Processor, 4 GB DDR4 Memory, 1TB Hard Drive, 15.6" LED Display, DVD Writer, Windows MS 10, MS Office &amp; with extra External HDD)</t>
  </si>
  <si>
    <t xml:space="preserve"> RFQ (20-06-039) Various IT Supplies</t>
  </si>
  <si>
    <t xml:space="preserve"> Republic of the Philippines Province of Leyte Municipality of Tunga REQUEST FOR QUOTATION FORM (RFQ) ______________ Date PROCUREMENT TERMS &amp; CONDITIONS 1.	The Total Approved Budget for the Contract (ABC) is One Hundred Thousand Pesos (P100,000.00) Only.  </t>
  </si>
  <si>
    <t xml:space="preserve"> Please see attached RFQ</t>
  </si>
  <si>
    <t xml:space="preserve"> The following eligibility and technical documents as well as the Financial Proposal Form shall be submitted on or before June 23, 2020, 9:00 AM at the Barangay Hall of Lemu Norte, Enrile, Cagayan. Checklist on Technical documents including eligibility req</t>
  </si>
  <si>
    <t xml:space="preserve"> Republic of the Philippines CITY OF BAIS BIDS AND AWARDS COMMITTEE INVITATION TO APPLY FOR ELIGIBILITY AND TO RE-BID 	The City Government of Bais invites interested bidders to apply for eligibility and to bid to be used for Incident Command System (ICS) o</t>
  </si>
  <si>
    <t xml:space="preserve"> 1 	 6 	 set 	 Computer Set with Accessories 	 			  Intel Core i5 Processor 	 			 8 GB (2 x 4GB) DDR3 memory 	 			 Integrated Display 	 			 1TB SATA HDD 	 			 DVD-RW Drive 	 			 18.5" LED Monitor 	 			 ATX Tower Casing w/ Power Supply 	 			 Keyboard, Optic</t>
  </si>
  <si>
    <t xml:space="preserve"> SEE ATTACHED BID DOCS</t>
  </si>
  <si>
    <t xml:space="preserve"> Republic of the Philippines Province of Batangas Municipality of San Juan BIDS AND AWARDS COMMITTEE INVITATION TO APPLY FOR ELIGIBILITY AND TO BID THE LOCAL GOVERNMENT UNIT OF BRGY. POCTOL,  SAN JUAN, BATANGAS, through its Bids and Awards Committee (BAC),</t>
  </si>
  <si>
    <t xml:space="preserve"> RESOLUTION RECOMMENDING THE USE OF ALTERNATIVE METHOD OF PROCUREMENT FOR  THE ACQUISITION OF GOODS AND SERVICES WHEREAS, various departments/offices submitted Purchase Requests with the following details: PR No.	Project Title	ABC	Department/ Office GF-20-</t>
  </si>
  <si>
    <t xml:space="preserve"> 1 unit Power Saw (Large) "36" 1 unit Power Saw (Medium) "25"</t>
  </si>
  <si>
    <t xml:space="preserve"> Republic of the Philippines					 PROVINCE OF SOUTHERN LEYTE					 Maasin City					 	Standard Form No.: SF-GOOD-60			 Project Reference No. 108	 	Revised on:  May 24, 2004			 Name of the Project:  _______	 	Standard Form Title:                              </t>
  </si>
  <si>
    <t xml:space="preserve"> 100 PCS TILES 60X60 80 PCS TILES 30X30 (FOR CR) 750 PCS HOLLOW BLOCKS #4 100 PCS CEMENT 20 PCS DEFORMED BAR 10MM 1 KLS TILE GROUT 1 KLS G.I. WIRE #16 1 SET PLAST DOOR WITH HAMBA (90CM) 50 L GOOD LUMBER 2X2X8 50 L GOOD LUMBER 1X2X8 10 KG CONCRETE NAIL #3 5</t>
  </si>
  <si>
    <t xml:space="preserve"> Supply and Delivery of Supplies for the HRM Laboratory of SDSSU Tagbina Campus Please see attached  Request for Quotation (RFQ)</t>
  </si>
  <si>
    <t xml:space="preserve"> PURPOSE: FOR DES USE. NEW PURCHASE REQUEST.  (1 OF 3) FOR THE MONTH OF MAY 2020 TO AUGUST 2020. Fax your Price Quotation at Tel. Fax#: 426-30-45 / 927-64-26 local 2561 or Email at bacveterans@gmail.com. Please indicate the brand name and complete specific</t>
  </si>
  <si>
    <t xml:space="preserve"> 1 storey building - 88m</t>
  </si>
  <si>
    <t xml:space="preserve"> PLEASE REFER TO REQUEST FOR QUOTATION.</t>
  </si>
  <si>
    <t xml:space="preserve"> see  attached RFQ and Schedule of requirements</t>
  </si>
  <si>
    <t xml:space="preserve"> PURCHASE REQUEST							 Municipality of Pangil							 Pangil, Laguna							 Department: 	Office of the Engineering			PR No.___________		Date:	 Section:				SAI No.___________		Date:____________	 				ALOBS No._______		Date:____________	 Item no.	Qty	Unit	It</t>
  </si>
  <si>
    <t xml:space="preserve"> NO.	Item	QTY.	UNIT		 1	Diesel	1	Drum 2	Gasoline	1	Drum 3	VS1	2	Pcs.  4	WD40	2	Pcs.  5	Top 1 Engine Oil	6	Pcs.  6	2T Oil	6	Pcs.  	Note: Delivery to the Project Site</t>
  </si>
  <si>
    <t xml:space="preserve"> Republic of the Philippines DEPARTMENT OF PUBLIC WORKS AND HIGHWAYS ISABELA 1ST DISTRICT ENGINEERING OFFICE REGIONAL OFFICE II City of Ilagan, Isabela INVITATION TO BID The DPWH-lsabela lst District Engineering Office, City of Ilagan, lsabela, through the</t>
  </si>
  <si>
    <t xml:space="preserve"> Rehabilitation/Improvement of Post-Harvest Facility (Warehouse-tiles and painting works &amp; Solar Dryer-plastering of surface.)</t>
  </si>
  <si>
    <t xml:space="preserve"> cleaning and dismantling installation of floor tiles installation of sink installation of laboratory tables installation of cabinet shelves provision of water line provision of sanitary line innovation of electrical connections additional convenience outl</t>
  </si>
  <si>
    <t xml:space="preserve"> PCC at CMU intend to apply an amount of 672,000 being the approved budget for the contract (ABC) under Skimmed Milk Powder for milk drinks with the following specifications:  96 bags Skimmed milk @ 25kg/bag MC= 3.6% - 3.9% Fat = 0.7% - 0.91% protein = 32%</t>
  </si>
  <si>
    <t xml:space="preserve"> Purpose: To be used in the Advocacy Campaign on Back to Basics: Scientific and Sustainable Livestock and Poultry Production with Post-training support at Pagadian City   We are looking for a supplier that can provide the herein stated articles. Please quo</t>
  </si>
  <si>
    <t xml:space="preserve"> Republic of the Philippines DEPARTMENT OF PUBLIC WORKS AND HIGHWAYS OFFICE OF THE DISTRICT ENGINEER Aklan District Engineering Office Toting Reyes St., Kalibo, Aklan Re-Invitation The Department of Public Works and Highways (DPWH), Aklan District Engineer</t>
  </si>
  <si>
    <t xml:space="preserve"> Republic of the Philippines City of Dapitan BIDS AND AWARDS COMMITTEE INVITATION TO BID June 15, 2020 	 The City Government of Dapitan, through its Bids and Awards Committee (BAC), invites interested parties to apply for eligibility and, if found eligible</t>
  </si>
  <si>
    <t xml:space="preserve"> See attach RFQ.</t>
  </si>
  <si>
    <t xml:space="preserve"> Republic of the Philippines					 PROVINCE OF SOUTHERN LEYTE					 Maasin City					 	Standard Form No.: SF-GOOD-60			 Project Reference No. 109	 	Revised on:  May 24, 2004			 Name of the Project:  _______	 	Standard Form Title:                              </t>
  </si>
  <si>
    <t xml:space="preserve"> CONSTRUCTION OF SIKLING FOOTBRIDGE BARANGAY LATANG</t>
  </si>
  <si>
    <t xml:space="preserve"> CARLOS HILADO MEMORIAL STATE COLLEGE 		BIDS AND AWARDS COMMITTEE Talisay City, Negros Occidental Telefax Nos. (034) 712-8404 INVITATION TO BID  FOR THE PROCUREMENT OF VARIOUS EQUIPMENT AND FURNITURE AND FIXTURES FOR INSTRUCTIONAL USE OF BSHM – TALISAY CAM</t>
  </si>
  <si>
    <t xml:space="preserve"> PURPOSE: FOR DES USE. NEW PURCHASE REQUEST. WITH SUPLEMENTAL APP 2020. FOR THE MONTH OF MAY 2020 TO AUGUST 2020 Fax your Price Quotation at Tel. Fax#: 426-30-45 / 927-64-26 local 2561 or Email at bacveterans@gmail.com. Please indicate the brand name and c</t>
  </si>
  <si>
    <t xml:space="preserve"> PURPOSE: FOR DES USE. NEW PURCHASE REQUEST. FOR THE MONTH OF APRIL 2020 TO JUNE 2020 Fax your Price Quotation at Tel. Fax#: 426-30-45 / 927-64-26 local 2561 or Email at bacveterans@gmail.com. Please indicate the brand name and complete specifications.</t>
  </si>
  <si>
    <t xml:space="preserve"> 11 units</t>
  </si>
  <si>
    <t xml:space="preserve"> Republic of the Philippines                       EASTERN VISAYAS STATE UNIVERSITY                                                                              Tacloban City                     										 BIDS AND AWARDS COMMITTEE INVITATION TO BID  SUPPL</t>
  </si>
  <si>
    <t xml:space="preserve"> Lenovo Ideapad S145-151KB (81VD008LPH+1TB Internal)15.6" Intel Core 3i-7020U 2.3GHz 4GB RAM 512GB SSD+ 1TB 2.5"</t>
  </si>
  <si>
    <t xml:space="preserve"> 1	LOT	Speech Laboratory Equipment (25 seats)		 		"Product: Digital Speech/Language Laboratory Equipment (25 seats) Model: SL50NB Specifications:  1 unit control panel (switches for Phone and Microphones, REQ Technologies Broadcast Thrower, Speech Processo</t>
  </si>
  <si>
    <t xml:space="preserve"> 30 boxes N95 Face mask 60 boxes Face mask 30 boxes Nitrile gloves (large) 30 boxes Gauze pad 10 packs Trauma dressing 10 packs Cotton balls 2 boxes Micropore tape 1 inch 1 box Povidone Iodine 120ml 1 box Blood glucose strips 1 box Glucometer strips 10 bot</t>
  </si>
  <si>
    <t xml:space="preserve"> 12,150 Pieces Vitamin C, 500g, Non-Acidic</t>
  </si>
  <si>
    <t xml:space="preserve"> Republic of the Philippines					 PROVINCE OF SOUTHERN LEYTE					 Maasin City					 	Standard Form No.: SF-GOOD-60			 Project Reference No. 111	 	Revised on:  May 24, 2004			 Name of the Project:  _______	 	Standard Form Title:                              </t>
  </si>
  <si>
    <t xml:space="preserve"> 525	pcs	BALLPEN, BLACK				17	8,662.50 348	piece	BALLPEN, BLUE				16.5	5,742.00 46	pcs	BALLPEN, Needle Point 0.5 mm (Black)				97.1	4,466.60 40	pcs	BALLPEN, Needle Point 0.5 mm (Blue)				97.5	3,900.00 20	piece	BALLPEN, pilot Hi-Techpoint V10 Grip (Black)		</t>
  </si>
  <si>
    <t xml:space="preserve"> Republic of the Philippines					 PROVINCE OF SOUTHERN LEYTE					 Maasin City					 	Standard Form No.: SF-GOOD-60			 Project Reference No. 110	 	Revised on:  May 24, 2004			 Name of the Project:  _______	 	Standard Form Title:                              </t>
  </si>
  <si>
    <t xml:space="preserve"> Date:				Project Reference Number ______________	 Quotation No.  ________				Name of Project:	 				Location  of the Project _____________	 	                                                                                                                   </t>
  </si>
  <si>
    <t xml:space="preserve"> B.9	Mobilization/Demobiliazation	lot	all	13,211.60 103(1)a	Structure Excavation (Common Soil)	9.30	cu.m.	2,966.70 105(1)	Subgrade Preparation (Common Material)	260	sq.m.	4,563.00 201	Aggregate Base Coarse (100mm thk.)	26	cu.m.	48,360.00 311(1)a	PCC Paveme</t>
  </si>
  <si>
    <t xml:space="preserve"> Provision of Repar and Maintenance of PENRO-Quezon Office Building for CY-2020 to include the following  listed below:     1 set     ROLL UP DOOR (GROUND FLOOR)                 SIZE: 480 X 280 (MOTORIZED)     1 set     HEAVY DUTY SWING DOOR TO 2nd FLOOR  </t>
  </si>
  <si>
    <t xml:space="preserve"> Procurement of materials for Proj Batang SES- Mahalin, Ingatan, Iligtas sa COVID 70% alcohol -500ml bottle                                                            9,600.00 Liquid hand soap 450ml                                                          </t>
  </si>
  <si>
    <t xml:space="preserve"> 12 sets HOSPITAL BED MANUAL (3 CRANKS) complete accessories with Bedside Table</t>
  </si>
  <si>
    <t xml:space="preserve"> 1. 18 tube Chlorine (45Kg) 2. 1 pc. Telescopic Handle (24 ft.) 3. 1 roll Vacuum Hose (50 ft) 4. 1 pc. Vacuum Head 5. 1 pc. Nylon Brush (18 inches w/ handle) 6. 20 gal. Muriatic Acid 7. 7 kg. Chlorine Tablet</t>
  </si>
  <si>
    <t xml:space="preserve"> 4.20m x 3.70m</t>
  </si>
  <si>
    <t xml:space="preserve"> Republic of the Philippines					 PROVINCE OF SOUTHERN LEYTE					 Maasin City					 	Standard Form No.: SF-GOOD-60			 Project Reference No. 113	 	Revised on:  May 24, 2004			 Name of the Project:  _______	 	Standard Form Title:                              </t>
  </si>
  <si>
    <t xml:space="preserve"> Republic of the Philippines							 Province of Iloilo							 MUNICIPALITY OF BINGAWAN							 							 							 REQUEST FOR QUOTATION							 							 Company Name: ______________________						Date: ___________________________	 Address: _______________________</t>
  </si>
  <si>
    <t xml:space="preserve"> 2	unit		Battery			9 plates for SDD161				 1	unit		Battery			11 plates for SHA-195				 1	unit		Battery			11 plates for SHJ-232				 1	unit		Battery			11 plates for A4K-734				 1	unit		Battery			11 plates for A4H-865				 1	unit		Battery			11 plates for A4H-8</t>
  </si>
  <si>
    <t xml:space="preserve"> Republic of the Philippines  BIDS AND AWARDS COMMITTEE FOR THE PROCUREMENT OF GOODS City of Puerto Princesa Barangay Sta. Monica INVITATION TO BID (Procurement of Goods) PR No. 2020-06-023 Date: June 11, 2020 Procuring/Funding Office/Department: Barangay </t>
  </si>
  <si>
    <t xml:space="preserve"> OFFICE SUPPLIES MOOE 2020 2ND QUARTER- 82,943</t>
  </si>
  <si>
    <t xml:space="preserve"> Republic of the Philippines					 PROVINCE OF SOUTHERN LEYTE					 Maasin City					 	Standard Form No.: SF-GOOD-60			 Project Reference No. 	 	Revised on:  May 24, 2004			 Name of the Project:  _______	 	Standard Form Title:                                 </t>
  </si>
  <si>
    <t xml:space="preserve"> PLEASE SEE ATTACHMENT</t>
  </si>
  <si>
    <t xml:space="preserve"> Procurement of Cellular Load</t>
  </si>
  <si>
    <t xml:space="preserve"> 240 boxes Continuous form, 2 ply, 280 x 241mm, 11 x 9 1/2 1000 sheets per box</t>
  </si>
  <si>
    <t xml:space="preserve"> 4	unit		Tires			700x15 for SDD-161					                4	unit		Tires			195x14 for SHA-195					                4	unit		Tires			235x70x15 for SHJ-232					                4	unit		Tires			195x15 for A4K-734					                4	unit		Tires			195x15 for A4H-8</t>
  </si>
  <si>
    <t xml:space="preserve"> 4,000 pcs printed ID 4,000 pcs ID Lace 4,000 pcs Id holder</t>
  </si>
  <si>
    <t xml:space="preserve"> NOTICE OF NEGOTIATED PROCUREMENT (Small Value Procurement) PNOC Exploration Corporation (PNOC EC), through its 2020 Corporate Budget, has an Approved Budget for the Contract (ABC) of  Sixty Four Thousand Pesos (Php64,000.00), inclusive of all applicable t</t>
  </si>
  <si>
    <t xml:space="preserve"> The Municipality of Bay, through the GOP – 20% Economic Development Fund (EDF) intends to apply the sum of Two Hundred Thousand Pesos Only (PHP 200,000.00) being the Approved Budget for the Contract (ABC) to payments under the contract for the Delivery of</t>
  </si>
  <si>
    <t xml:space="preserve"> INVITATION TO BID SUPPLY AND DELIVERY OF 1,709 SETS GROCERY PACKS FOR PA-BIRTHDAY NI LOLO UG LOLA  1.	The Local Government Unit of Cabadbaran City through the GENERAL FUND intends to apply the sum of EIGHT HUNDRED ELEVEN THOUSAND SEVEN HUNDRED SEVENTY-FIV</t>
  </si>
  <si>
    <t xml:space="preserve"> Republic of the Philippines DEPARTMENT OF PUBLIC WORKS AND HIGHWAYS CAGAYAN 2ND DISTRICT ENGINEERING OFFICE Regional Office II Abulug, Cagayan June 15, 2020 INVITATION TO BID  The Cagayan 2nd District Engineering Office, Abulug, Cagayan, through its Bids </t>
  </si>
  <si>
    <t xml:space="preserve"> Unit 	Item Description	QTY 		  kls 	TIE WIRE	1  bdft 	LUMBER 2X2X10	15  pcs 	plywood	2  bags 	Cement	20  pcs 	hollow blocks	200  pcs 	Tapelon	3  lenth 	Round Bar 10mm	12  pcs 	Tiles	40  pcs 	Faucet	8  length 	Blue pipe	8  pcs 	Elbow	10  load 	sand &amp; grave</t>
  </si>
  <si>
    <t xml:space="preserve"> Republic of the Philippines					 PROVINCE OF SOUTHERN LEYTE					 Maasin City					 	Standard Form No.: SF-GOOD-60			 Project Reference No. 112	 	Revised on:  May 24, 2004			 Name of the Project:  _______	 	Standard Form Title:                              </t>
  </si>
  <si>
    <t xml:space="preserve"> 80	packs	Garbage bag(small)		 58	packs	Garbage bag(medium)		 100	packs	Garbage bag(large)		 10	pcs	Doormat		 100	bottles	Toilet Bowl Cleaner		 100	boxes	Bath Soap Green/Blue		 12	packs	Detergent Soap Powder(big)		 100	cans	Insect killer		 15	pcs	Tornado M</t>
  </si>
  <si>
    <t xml:space="preserve"> SUPPLIES AND MATERIALS FOR IMPROVEMENT ROAD,SIDEWALK/PATHWAY &amp; REPLACEMENT MANHOLE COVER</t>
  </si>
  <si>
    <t xml:space="preserve"> INVITATION TO BID SUPPLY AND DELIVERY OF FUEL (DIESEL &amp; GASOLINE) FOR THE CITY ENGINEER’S OFFICE  1.	The Local Government Unit of Cabadbaran City through the GENERAL FUND intends to apply the sum of THREE HUNDRED SEVENTY-FIVE THOUSAND NINE HUNDRED PESOS O</t>
  </si>
  <si>
    <t xml:space="preserve"> Please quote your lowest price on item/s listed in the line item and submit your quotation duly signed by your authorized representative through email at bac.secretariat@pnu.edu.ph not later than June 22, 2020 @ 4PM. Note: 1. Delivery period within fiftee</t>
  </si>
  <si>
    <t xml:space="preserve"> INVITATION TO APPLY FOR ELIGIBILITY AND BID								 								 The  Municipality  of  Maasin,  Iloilo,  through  its  Bids  and  Awards  Committee (BAC),  invites  suppliers/								 distributors/ contractors to apply for eligibility and to bid for the here</t>
  </si>
  <si>
    <t xml:space="preserve"> 1	set		Laptop			with Accessories (14inch HD/FHD display powered by up to core i7 processor, has 2 memory slots, which are expandable up to 32GB and coupled with up to 1TB HDD/512GB SSD Storage)				 1	pc		External Hard Drive			1TB 2.5"HDD, USB 3.0 1 unit		</t>
  </si>
  <si>
    <t xml:space="preserve"> MEDIA CONVERTER, CAMERA, FIBER OPTIC CABLE</t>
  </si>
  <si>
    <t xml:space="preserve"> Republic of the Philippines DEPARTMENT OF PUBLIC WORKS AND HIGHWAYS ILOILO 1st  DISTRICT ENGINEERING OFFICE Fort San Pedro Road, Iloilo City INVITATION TO BID FOR: 20GGF0015 – Procurement  of Spare parts for use in printer INEO+227 of Administrative Secti</t>
  </si>
  <si>
    <t xml:space="preserve"> 130 pages per minute print speed, 300 x 360 dpi print resolution, rubber feed rollers, with one (1) ink cartridge, one (1) master roll and pedestal/table with exclusive distributor  certificate</t>
  </si>
  <si>
    <t xml:space="preserve"> STREETLIGHT SUPPLIES AND MATERIALS</t>
  </si>
  <si>
    <t xml:space="preserve"> 20HN0083 (Re-advertisement) -LP: Construction/Repair/ Rehabilitation/Improvement of  Various Infrastructure including Local Projects - Local Roads  and Bridges - Local Roads - Construction of Local Road,.Brgy.Sto. Nino Lamac, Consolacion, Cebu (Modified t</t>
  </si>
  <si>
    <t xml:space="preserve"> Republic of the Philippines Province of Agusan del Norte Municipality of Magallanes BIDS AND AWARDS COMMITTEE INVITATION TO BID The Municipality of Magallanes through its Bids and Awards Committee (BAC), invites potential and interested bidders to apply f</t>
  </si>
  <si>
    <t xml:space="preserve"> Request for Quotation                                                                          Date   :   O6- 15-2020_                                                                          Quotation No. :2020-006-001_ 									 Mode of Proc.:	shopping_</t>
  </si>
  <si>
    <t xml:space="preserve"> 1 - 7 units Heavy Duty Printer/Scanner                 Specifications:                 Wi-Fi Direct, ADF and FAX Ready,                  All-in-One Ink Tank Printer, Multi-function printer with integrated ink tanks for fast, cost-effective and            </t>
  </si>
  <si>
    <t xml:space="preserve"> The Municipality of Limay, through its Bids and Awards Committee (BAC) invites registered contractors to apply for eligibility and if found eligible, to bid for the hereunder project/contract: Project/Contract:     CONSTRUCTION OF CONCRETE PEDESTAL FOR SO</t>
  </si>
  <si>
    <t xml:space="preserve"> SOLID WASTE</t>
  </si>
  <si>
    <t xml:space="preserve"> INVITATION TO BID INSTALLATION OF STREET LIGHTS IN PUROK 1 AND 3, BARANGAY MAHABA 1.	The Local Government Unit of Cabadbaran City through the PEACE &amp; ORDER FUND (EO 70 ELCAC IMPLEMENTATION) intends to apply the sum of NINE HUNDRED EIGTHY-EIGTH THOUSAND FO</t>
  </si>
  <si>
    <t xml:space="preserve"> June 15, 2020 INVITATION TO BID FOR CONCRETING OF FARM-TO-MARKET ROAD AT SITIO PULO, BRGY. KABULUSAN, MAGALLANES, CAVITE The Municipality of Magallanes, Cavite, through the Budget for the Contract approved by the DILG through Performance Challenge Fund (P</t>
  </si>
  <si>
    <t xml:space="preserve"> HMD-2020-02-0115 (Re-canvass) Early Warning Device for car color: bright red 2 set Hard Hat, Heavy Duty, color: white, adjustable size 10 piece range: 52-61 cm Heavy Duty Gloves, cowhide grain leather, rigger's 10 piece gloves Safety Clothing, Pants and R</t>
  </si>
  <si>
    <t xml:space="preserve"> EPSON PRINTER L120 EPSON L120 INK, BLACK EPSON L120 INK, MAGENTA EPSON L120 INK, CYAN EPSON L120 INK, YELLOW</t>
  </si>
  <si>
    <t xml:space="preserve"> Location: PSU Goa campus Bidding Fee: P 3,000.00 (Non-refundable) Schedule of activities: 1. Issuance and availability of Bid Documents: June 16, 2020 until 12:00 noon of July 7, 2020  (except week-ends &amp; Holidays at the BAC Secretariat Office, PSU-Goa ca</t>
  </si>
  <si>
    <t xml:space="preserve"> SUPPLIES AND MATERIALS FOR URBAN GREENING</t>
  </si>
  <si>
    <t xml:space="preserve"> Republic of the Philippines DEPARTMENT OF PUBLIC WORKS AND HIGHWAYS ILOILO 1st  DISTRICT ENGINEERING OFFICE Fort San Pedro Road, Iloilo City INVITATION TO BID FOR: 20GGF0016 – Procurement  of Global Navigation Satellite System (GNSS) Equipment (1 base, 2 </t>
  </si>
  <si>
    <t xml:space="preserve"> The works consist of (a.) Occupational and Health Program, (b.) Surplus Common Excavation, (c.) Structural Excavation (d) Embankment from Roadway Excavation, (e.) Sub-grade Preparation (f.) Aggregate Sub-Base Course, (g.) Portland cements Concrete Pavemen</t>
  </si>
  <si>
    <t xml:space="preserve"> 20ID0074	Concreting of Sitio Diyo to Sitio Kapitugan Brgy. Libo FMR,Brgy. Libo,Carigara,Leyte  	Concrete Paving for 1.400 Ln. Km.	11,879,669.71	FMR FY 2020	86 CD	25,000.00 To be eligible to bid for this Contract, a contractor must meet the following major</t>
  </si>
  <si>
    <t xml:space="preserve"> The Municipality of Limay, through its Bids and Awards Committee (BAC) invites registered contractors to apply for eligibility and if found eligible, to bid for the hereunder project/contract: Project/Contract:     REPAIR WORKS AT SAINT FRANCIS NATIONAL H</t>
  </si>
  <si>
    <t xml:space="preserve"> 20ID0075	Repair/ Rehabilitation of Damaged Concrete Pavement along Dulag-Julita-Burauen Road, K0946+000-K0947+500 with exceptions 	Concrete Reblocking  For 0.135 Km.	1,411,491.00	Routine Maintenance CY 2020	60 CD	5,000.00 To be eligible to bid for this Co</t>
  </si>
  <si>
    <t xml:space="preserve"> RFQ-2020-169		 			 1.	50	units	DUAL-BAND WIFI Gigabit Router 			Broadcom 1.4GHz Dual-Core CPU, 5 Gigabit Ports, 			2167Mbps at 5GHZ + 1000Mbps at 2.4GHZ, 5 Gigabit Ports, 1 USB 3.0 			1 USB 2.0, 4 antennas, HomeCare, MU MIMO, Smart Connect, Beamforming, 	</t>
  </si>
  <si>
    <t xml:space="preserve"> PURCHASE OF OFFICE SUPPLIES</t>
  </si>
  <si>
    <t xml:space="preserve"> 1.	22 tanks - Solane</t>
  </si>
  <si>
    <t xml:space="preserve"> RESOLUTION ON PRIOR APPROVAL NO. 06-61                   Series of 2020 	 RESOLUTION RECOMMENDING THE USE OF ALTERNATIVE METHOD OF PROCUREMENT FOR  THE ACQUISITION OF GOODS AND SERVICES WHEREAS, various departments/offices submitted Purchase Requests with</t>
  </si>
  <si>
    <t xml:space="preserve"> Republic of the Philippines Province of Misamis Occidental Municipality of Plaridel INVITATION TO APPLY FOR ELIGIBILITY AND TO BID 	The Local Government Unit, LGU-Plaridel, Misamis Occidental, through its Bids and Awards Committee (BAC), invites suppliers</t>
  </si>
  <si>
    <t xml:space="preserve"> 1	set		Thermal Camera	Specs and Package				 						                                                 Image Sensor: Uncooled Vox Focal Plane Detector				 						Resolution: 300(H) x 400(V)				 						Optical Resolution: 1920(H) x 1080 (V), 2MP				 						Pixel </t>
  </si>
  <si>
    <t xml:space="preserve"> R/M FOR OFFICE BUILDING SUPPLIES AND MATERIALS</t>
  </si>
  <si>
    <t xml:space="preserve"> FOR DISINFECTANT FOR NCOV PREVENTION OF THE VARIOUS OFFICES</t>
  </si>
  <si>
    <t xml:space="preserve"> 1.Barangay #6, Municipality of Amadeo through its AIP, intends to apply the sum of Php 49,500.00 being the Approved Budget Ceiling for the MAINTENANCE OF CCTV @ POBLACION #6, AMADEO, CAVITE 2. BAC of Barangay #6, Amadeo, Cavite now invites interested supp</t>
  </si>
  <si>
    <t xml:space="preserve"> please see attached RFQ</t>
  </si>
  <si>
    <t xml:space="preserve"> Unit 	Item Description	QTY 		 load	Gravel and Sand	3 sack	Cement	21 pc	Corrugated bar (8mm)	25 gal	Latex Paint (White)	15 gal	Enamel Paint (White)	15 can	Tinting Colors	70 pc	Paint Brush  # 4	5 kl.	Tie Wire	2  load 	  Sand &amp; Gravel	2  pax 	Labor Package	1</t>
  </si>
  <si>
    <t xml:space="preserve"> PLEASE SEE ATTACHED DOCUMENT FOR DETAILS.</t>
  </si>
  <si>
    <t xml:space="preserve"> Service Fees of Various Basketball Officials ( Referees, Table Officials, Barker,etc.) for 2019-2020 1st Inter-Barangay Basketball Tournament</t>
  </si>
  <si>
    <t xml:space="preserve"> R/M SPAREPART OF BARANGAY VEHICLES</t>
  </si>
  <si>
    <t xml:space="preserve"> Republic of the Philippines Province of Ilocos Norte Municipality of Paoay BARANGAY 12 SAN BLAS  BIDS AND AWARDS COMMITTEE INVITATION TO BID 2020-001 Invitation to bid for the Purchase of Materials for the Installation and Rehabilitation of street lightin</t>
  </si>
  <si>
    <t xml:space="preserve"> purchase request</t>
  </si>
  <si>
    <t xml:space="preserve"> ITEM NO.	QTY.	UNIT	ITEMS &amp; DESCRIPTION	 				 1	1	unit	Aircondition Split Type Inverter 2.5HP	 			KV-24Wm-Arf 21B 2.5HP	 			Inverter Split Type aircon	 				 2	1	l.s	Installation</t>
  </si>
  <si>
    <t xml:space="preserve"> Unit 	Item Description	Quantity 		  pcs 	Culvert	4  length 	Stainless Pipe #2	2  Unit  	Electrical Motor	1  pcs 	Fabricated Aluminum Letters A4 size	25  pcs 	Tiles 12x12	24  bdft 	Lumber 2x2 8	80  bundle 	Lumber Stick	5  pcs 	Plywood ordinary	6  kls 	Comm</t>
  </si>
  <si>
    <t xml:space="preserve"> Republic of the Philippines PROVINCE OF SOUTHERN LEYTE Maasin City Invitation to Bid for the Procurement of Various Office Supplies  Contract ID # 2020-07-07-363PG 1.	The Provincial Government of Southern Leyte through the PAGSO– Office Supplies Expenses </t>
  </si>
  <si>
    <t xml:space="preserve"> ITEM NO.	QTY.	UNIT	ITEMS &amp; DESCRIPTION	 				 1	2	units	Motorcycle (Supremo)	 			Specifications:	 			Frame: Backbone	 			TransmissionType: Manual 5-Speed Constant Mesh	 			Ignition Type: DC-CDI	 			Fuel Capacity (L): 14.3 liters	 			Engine Type: 4 stroke. </t>
  </si>
  <si>
    <t xml:space="preserve"> PCC at CMU intend to apply an amount of 351,000 as the approved budget for the contract (ABC) under Premium Cocoa Powder for milk drinks with the following specifications: 27 Bags @ 25 kgs/bag MC = 4% fat = 20% - 22% Fineness = 99% Chocolate brown in colo</t>
  </si>
  <si>
    <t xml:space="preserve"> RFQ (20-06-059) Various Laboratory Supplies and Reagents</t>
  </si>
  <si>
    <t xml:space="preserve"> Labor and materials for drilling 50 ft water well for the campus water system as per attached Request for Quotation.</t>
  </si>
  <si>
    <t xml:space="preserve"> Republic of the Philippines Province of Pangasinan Bids and Awards Committee Municipality of Calasiao INVITATION TO BID  REPAIR/MAINTENANCE OF MACHINERIES AND EQUIPMENT AT CALASIAO, PANGASINAN 1.	The Municipality of Calasiao, through the Annual Budget 202</t>
  </si>
  <si>
    <t xml:space="preserve"> REPUBLIC OF THE PHILIPPINES								 PROVINCE OF DAVAO DEL SUR								 MUNICIPALITY OF PADADA								 								 								 Standard Form Number : SF - GOOD -60								 Revised on: May 24, 2004								 Standard Form Tittle : REQUEST FOR QUOTATION						Date :		</t>
  </si>
  <si>
    <t xml:space="preserve"> RFQ2020-06-0918 Category	Item No.	QTY	Unit of Issue	Item Description	Stock No. / APP NO	Estimated Unit Cost	Estimated Cost Construction Materials and Supplies		150	piece	Doorknob, Heavy Duty		390	58,500.00 Total Cost :			58,500.00 ------------------------</t>
  </si>
  <si>
    <t xml:space="preserve"> please see the attached RFQ</t>
  </si>
  <si>
    <t xml:space="preserve"> REFER TO ATTACHED ITB NO. 010 OF 2020</t>
  </si>
  <si>
    <t xml:space="preserve"> Republic of the Philippines Province of Zamboanga del Sur MUNICIPALITY OF LAKE WOOD BIDS AND AWARDS COMMITTEE Invitation to Bid for Procurement of Construction of 105 meters Dona Josefina H. Cerilles Ave. Phase 11 in this Municipality 1.	The Local Governm</t>
  </si>
  <si>
    <t xml:space="preserve"> Ink for Epson L1455, for three units Epson Printer 180 cart Cyan 180 cart Magenta 180 cart Yellow 180 cart Black -with free used of printers -see attached RFQ Form</t>
  </si>
  <si>
    <t xml:space="preserve"> Lenovo Ideapad S145-151KB (81VD008LPH+ 1TB Internal) 15.6" Intel Core i3-7020U 2.3GHz 4GB RAM 512GB SSd+ 1TB 2.5"</t>
  </si>
  <si>
    <t xml:space="preserve"> One (1) Job Contract Furnishing Materials</t>
  </si>
  <si>
    <t xml:space="preserve"> PR No.   :					 Approved Budget for Contract (ABC)   :PHP 73,920.00					 QTY	UNIT	ITEM/S DESCRIPTION		UNIT PRICE	TOTAL PRICE 84	sample	Analysis of Water Samples*			 		Parameter: Hexavalent Chromium Cr(VI)			 		Sample Volume: 30-50 mL			 		Turn-around time</t>
  </si>
  <si>
    <t xml:space="preserve"> RFQ2020-06-0917 Category	Item No.	QTY	Unit of Issue	Item Description	Stock No. / APP NO	Estimated Unit Cost	Estimated Cost Medical Supplies and Instrument		1000	box	Gloves, Clean Large Size, natural rubber latex, smooth surface, beaded cuff, high strength</t>
  </si>
  <si>
    <t xml:space="preserve"> The Local Government Unit-Municipality of Malinao, Aklan through the Bids and Awards Committee, intends to apply the sum of Eighty Eight Thousand Two Hundred Forty Four Pesos and 80/100 (Php88,244.80) as the Approved Budget for the Contract (ABC) to payme</t>
  </si>
  <si>
    <t xml:space="preserve"> 1		bx			Bond Paper (Long)															45			 2		bx			Bond Paper (Short)															30			 3		bx			Bond Paper A3															40			 4		pcs			Folder (Long)															500			 5		pcs			Folder (Short)															100			 6		pcs			Brown Envelop (Long)		</t>
  </si>
  <si>
    <t xml:space="preserve"> Supply and Delivery of 1 Lot Premium Rice and others</t>
  </si>
  <si>
    <t xml:space="preserve"> PVC Pipe 2 "X 10"	2	 pcs PVC P. Trap 2"	7	 pcs PVC WYE 2"	1	 pc PVC Elbow 2" X 90°	5	 pcs PVC Clean out	1	 pc PVC Elbow 2" X 45°	3	 pcs PVC TEE 2"	3	 pcs PVC Pipe 4"X 10	5	 pcs PVC Elbow 4" x 90°	13	 pcs PVC Elbow 4" X 45°	5	 pcs PVC TEE 4" X 4"	2	 pcs PV</t>
  </si>
  <si>
    <t xml:space="preserve"> Department of Education Region VI-Western Visayas Cadiz City Alimatoc Elementary School Invitation to Bid for the Repair of School Stage of Alimatoc Elementary School 1.	The Alimatoc Elementary School, through the School’s MOOE 2020  intends to apply the </t>
  </si>
  <si>
    <t xml:space="preserve"> Procurement of assorted navigation equipment under the Hybrid Trimaran Project as per attached Request for Quotation.</t>
  </si>
  <si>
    <t xml:space="preserve"> Supply and Delivery of Supplies for the HRM Laboratory of SDSSU Tagbina Campus Please see attached Request for Quotation (RFQ)</t>
  </si>
  <si>
    <t xml:space="preserve"> Rhode Island Native Red-Rooster (ready to breed) Philippine Native Chicken-hen(ready to lay) Muscovy Duck-Drake (ready to breed) Muscovy Duck-Hen (ready to lay) Purpose: Stocks for the Corn-Livestock Integration Project in Quirino Province. Please see att</t>
  </si>
  <si>
    <t xml:space="preserve"> Installation of 3-phase primary line extension with transformer and electrical accessories</t>
  </si>
  <si>
    <t xml:space="preserve"> SEEDS		 Ampalaya	100	sacks Eggplant	100	sacks Pepper (sili espada)	100	sacks Bell Pepper	100	sacks Upo	100	sacks Okra	100	sacks Pole Sitao	100	sacks Tomato	100	sacks Upland Kangkong	100	sacks Patola	100	sacks Pechay	100	sacks</t>
  </si>
  <si>
    <t xml:space="preserve"> Food for working committee / researchers and staff Pack Meals (15 pax X 21 days x P 150.00 each) = P 47,250.00	15	pax Snacks (AM) (15 pax X 21 days X P 50.00 each) = P 15,750.00	15	pax Snacks (PM) (15 pax X 21 days X P 50.00 each) = P 15,750.00	15	pax</t>
  </si>
  <si>
    <t xml:space="preserve"> a) 80 pcs Water Meters</t>
  </si>
  <si>
    <t xml:space="preserve"> Furnishing Security Services for 6 Security Guards for the period covering July 1, 2020 to December 31, 2020 with the following assignments: 1) PhilFIDA - Regional Office, Legazpi City - 2 security guards with 12 hours a day duty per guard 2) PhillFIDA - </t>
  </si>
  <si>
    <t xml:space="preserve"> REFER TO ATTACHED ITB NO. 011 OF 2020</t>
  </si>
  <si>
    <t xml:space="preserve"> Procurement of assorted CCTV equipment and accessories under the Hybrid Trimaran Project as per attached Request for Quotation.</t>
  </si>
  <si>
    <t xml:space="preserve"> Republic of the Philippines Local Government Unit of Tinambac, Camarines Sur Municipal Compound, Binalay, Tinambac, Camarines Sur Standard Form Number: SF-GOOD-05 Revised on: July 28, 2004 INVITATION TO APPLY FOR ELIGIBILITY AND TO BID The Local Governmen</t>
  </si>
  <si>
    <t xml:space="preserve"> Republic of the Philippines Province of Guimaras OFFICE OF THE BIDS AND AWARDS COMMITTEE INVITATION TO BID FOR    SUPPLY AND DELIVERY OF OUTER TIRE WITH INNER TUBE AND FLAP Bid Ref. No. 2020-06-339 1.	The Province of Guimaras , through the Repair and Main</t>
  </si>
  <si>
    <t xml:space="preserve"> Republic of the Philippines PROVINCE OF SOUTHERN LEYTE Maasin City Invitation to Bid for the Procurement of Various IT Supplies   Contract ID # 2020-07-07-364PG 1.	The Provincial Government of Southern Leyte through the ADH – Other Supplies and Materials </t>
  </si>
  <si>
    <t xml:space="preserve"> Republic of the Philippines						 	Cordillera Administrative Region						 	Provincial Local Government Unit of Ifugao						 	BIDS AND AWARDS COMMITTEE ON GOODS						 	2nd Floor COA Bldg., Capitol Compound						 	Lagawe, Ifugao						 	Email Ad.: bacgoodsif</t>
  </si>
  <si>
    <t xml:space="preserve"> Stock No.:	Unit	Item Description				                    Quantity	Unit Cost	         Total Cost 1	pc.	IP Radio				                                                 4	         13,000.00 	 52,000.00  		     - Operating Frequency : 5150 - 5875 MHz						 		    </t>
  </si>
  <si>
    <t xml:space="preserve"> For use of Dagupan City National High School. (Wash Area)</t>
  </si>
  <si>
    <t xml:space="preserve"> Republic of the Philippines Province of Davao Del Sur Municipality of Padada INVITATION TO BID June 15, 2020 PURCHASE OF VARIOUS SUPPLIES FOR THE BPAT’S OF LGU PADADA  1.	The Local Government Unit of Padada, Davao Del Sur, Chargeable against the Peace and</t>
  </si>
  <si>
    <t xml:space="preserve"> To provide materials for the Improvement of Poultry House for Native Chicken at DA-QES, Dungo, Aglipay, Quirino. Please see attached file.</t>
  </si>
  <si>
    <t xml:space="preserve"> RFQ (20-06-031) Various Information Technology Supplies</t>
  </si>
  <si>
    <t xml:space="preserve"> Bonding Agent, 3 grams	8	tube Car Freshener 32 grams	10	can Clog Remover 500ml	2	gal Contact Cleaner 311 grams	6	pc First Aid Kit (high end)	2	set Glass Cleaner 22 oz	3	btl Multi Purpose Cleaner (high end)	3	can Rat Killer 100 grams	2	pouch Rugby 331ml	2	</t>
  </si>
  <si>
    <t xml:space="preserve"> 1.	The Local Government Unit of Baleno, Masbate, through the 2020 Economic Development Fund intends to apply the sum of Two Million Nine Hundred Fifty-nine Thousand Eight Hundred Forty-seven Pesos &amp; 63/100 (P 2,959,847.63 ) being the Approved Budget for t</t>
  </si>
  <si>
    <t xml:space="preserve"> OPERATING System: Windows 10 Processor Type: 3rd Generation Processor Base Frequency: 2.3 GHz Memory Capacity: 4 GB Memory Type: DDR4 Max Supported Memory: 32 GB Drive Configuration: 200 GB SSD + 1 TB HDD Dedicated Graphics: Yes Video Ports: 1xHDMI Audio </t>
  </si>
  <si>
    <t xml:space="preserve"> Republic of the Philippines Province of Nueva Vizcaya BIDS AND AWARDS COMMITTEE (BAC-Goods) BAC OFFICE, Provincial Capitol, Bayombong, Nueva Vizcaya 	 REQUEST FOR QUOTATION (RFQ)  For the Procurement 1 Lot Digital VHF Base Radio (20 units) For the Governo</t>
  </si>
  <si>
    <t xml:space="preserve"> PLEASE SEE ATTACHED AND DOWNLOAD THE DOCUMENT</t>
  </si>
  <si>
    <t xml:space="preserve"> REFER TO ATTACHED ITB NO. 012 OF 2020</t>
  </si>
  <si>
    <t xml:space="preserve"> INVITATION TO APPLY FOR ELIGIBILITY AND TO BID FOR THE CONCRETING OF BURGOS – QUIRINO PROVINCIAL ROAD @ BURGOS, ISABELA DESCRIPTION OF WORK 101	(3) a2.  REMOVAL OF ACTUAL STRUCTURES/ OBSTRUCTION - 5429 SQ. M.	 105.  SUB GRADE PREPERATION - 8099 SQ. M.	 20</t>
  </si>
  <si>
    <t xml:space="preserve"> OTHER SUPPLIES AND MATERIALS EXPENSES</t>
  </si>
  <si>
    <t xml:space="preserve"> 30	boxes	surgical facemask 120	pcs	reusable facemask 120	pcs	face shield 4	pcs	disinfecting fog machine  1	pc	portable sink 24	packs	germ protection soap 3x130grams 30	pcs	1x1x10 good lumber 5	rolls	plastic cover gauge no. 10 1	pc	tucker gun 15	rolls	pack</t>
  </si>
  <si>
    <t xml:space="preserve"> Ficem board "1/4 Metal stud 25G Electrical moulding 3/4" Plywood 1/4 x 4 x 8 Single stranded wire # 12 Rivet 1/8 x 1/2 outlet two gang plate utility box junction box electrical tape White flat latex Gloss latex paint (beige) hanza yellow Light switch Maso</t>
  </si>
  <si>
    <t xml:space="preserve"> INVITATION TO APPLY FOR ELIGIBILITY AND TO BID FOR THE CONSTRUCTION OF EVACUATION CENTER (COMPLETION) @ MUNICIPAL COMPOUND, BURGOS, ISABELA DESCRIPTION OF WORK I.	GENERAL REQUIREMENTS - 1.00 lot	 II.	CEILING WORKS - 288.00 sq.m.	 III.	STEEL WORKS - 1.00 l</t>
  </si>
  <si>
    <t xml:space="preserve"> REQUEST FOR QUOTATION Date	:	June 11, 2020 Project Title	:	Two (2) Lots Supply and Delivery of Stock Office Supplies ITB No.             	:	SV20-06-003ILO Approved Budget for the Contract (ABC)	:	One Hundred Fifty Five Thousand Five Hundred Fifteen Pesos </t>
  </si>
  <si>
    <t xml:space="preserve"> delivery of equipment</t>
  </si>
  <si>
    <t xml:space="preserve"> Republic of the Philippines Province of Camarines Norte MUNICIPALITY OF VINZONS BIDS AND AWARDS COMMITTEE (BAC) (Tel. # 446-63-09) INVITATION TO BID 	 Invitation to Bid for: REHABILITATION OF BREAKWATER PHASE I (SABANG)  1.	The Local Government Unit of Vi</t>
  </si>
  <si>
    <t xml:space="preserve"> Republic of the Philippines PROVINCE OF SOUTHERN LEYTE Maasin City Invitation to Bid for the Procurement of Various Catering Services  Contract ID # 2020-07-07-365PG 1.	The Provincial Government of Southern Leyte through the OVG/OSP – Other Maintenance an</t>
  </si>
  <si>
    <t xml:space="preserve"> 1.	Repair and rehabilitation of pole mast with additional guying, rust treatment, repainting, replacement of damaged guy clips, steps, and grounding (Agoo), 1 set 2.	Repair and rehabilitation of pole mast with additional guying, rust treatment, repainting</t>
  </si>
  <si>
    <t xml:space="preserve"> 11		GAL.	FLAT WALL ENAMEL 20		PC.	BABY ROLLER, FOAM # 4" 30		GAL.	QUICK DRY ENAMEL 10		GAL.	CAST 30		GAL.	FLAT LATEX 30		GAL.	SEMI-GLOSS LATEX 30		PC.	BABY ROLLER, COTTON # 4  20		PC.	PAINT BRUSH # 2 1/2 40		PC.	SAND PAPER # 120 5		KG	BORAL 5		SHEET	SAND </t>
  </si>
  <si>
    <t xml:space="preserve"> Procurement of supply and delivery of arm sleeve and paddy boots 50	pair	Arm Sleeves 	 Paddy boots 10	pair	Size 9 15	pair	Size 10 10	pair	Size 11 PR# 2020-936</t>
  </si>
  <si>
    <t xml:space="preserve"> FOOD GLOVES, CELLOPHANE N95 MASK LIQUID SOAP, 500ML</t>
  </si>
  <si>
    <t xml:space="preserve"> REQUEST FOR QUOTATION							 							 PR No.:	20-06-063		RFQ No.:		NIAREG9-06-2020-FUND501LFPS-077 (SH)		 PR. Date:	June 03, 2020		RFQ Date:		June 15, 2020		 End-User:	NIA-ZDN RSO		PhilGEPS Reference No.:				 ABC:	99,000.00		PhilGEPS Closing Date:		June 19</t>
  </si>
  <si>
    <t xml:space="preserve"> Interested Suppliers are invited to submit Sealed Price Quotations for the above listed items. The Official Department of Health Drug Abuse Treatment and Rehabilitation Center Request for Quotation Forms may be obtained from Ms. SUSAN P. DELA CRUZ Head of</t>
  </si>
  <si>
    <t xml:space="preserve"> Inks ( for second-quarter consumption) HPCE Toner 85A - 2pcs HP 61 Black-10pcs HP 678 Black - 15pcs HP 678 Colored- 15pcs HP 704 Black - 9pcs HP 704 Colored - 9pcs Epson 664 Black - 3pcs BT6000 Black - 5pcs BT5000 Yellow - 2pcs BT5000 Cyan - 3pcs BT5000 M</t>
  </si>
  <si>
    <t xml:space="preserve"> OPENING OF BIDS IN DSWD FO IX ZAMBOANGA CITY	 DELIVERY IN DSWD FO IX ZC	 PROCUREMENT FOR THE FF.	 1 LOT SUPPLIES 24	can	AIR FRESHENER, aerosol, 280ml/150g min, in can, shrink wrapped, assorted scents 30	gal	"ALCOHOL, ethyl, 68%-70%, scented, 500 ml, color</t>
  </si>
  <si>
    <t xml:space="preserve"> IMPROVEMENT OF BARANGAY ROAD LOACTED AT SUNRISE VILLAGE, STO. NIÑO , BALOLAO &amp; CALANASAN ROAD</t>
  </si>
  <si>
    <t xml:space="preserve"> Shopping. . .</t>
  </si>
  <si>
    <t xml:space="preserve"> Republic of the Philippines Province of Nueva Vizcaya BIDS AND AWARDS COMMITTEE (BAC-Goods) BAC OFFICE, Provincial Capitol, Bayombong, Nueva Vizcaya 	 REQUEST FOR QUOTATION (RFQ)  For the Procurement of Desktop Computer, Laptop &amp; Scanner For the Nueva Viz</t>
  </si>
  <si>
    <t xml:space="preserve"> 10	 reams 	folder, tagboard, for legal size docs			 250	 pcs 	pencil, leadHB			 50	 pcs 	sign pen, black			 50	 pcs 	sign pen, blue			 10	 bot 	riso ink kz30			 10	 roll 	master roll kz30			 15	 bot 	epson L3110  ink 70 ml cyan			 15	 bot 	epson L3110  in</t>
  </si>
  <si>
    <t xml:space="preserve"> 1. PC Desktop, Processor: Intel Core 17 2600, 3.4Ghz, 8M cache, RAM memory total :8GB, Hard Drive: 2TB, OS: Windows 10, Monitor, 22 inch LCD DVD: recordable (with DVD playback &amp; burner software), Keyboard: Full size-US english, Pointing device: Optical mo</t>
  </si>
  <si>
    <t xml:space="preserve"> 35 trucks/loads screened mixed</t>
  </si>
  <si>
    <t xml:space="preserve"> pcs	Flyers,on  "Free Range Chickens"			5000 	A4 size 3 folds C2s 80			 	back to back print full color			 pcs	Pamphlet			200 	8.5 x 11			 	14 pages inc. cover			 	C2s 80 inside			 	C2S 220 cover</t>
  </si>
  <si>
    <t xml:space="preserve"> Republic of the Philippines Province of Camarines Norte MUNICIPALITY OF VINZONS BIDS AND AWARDS COMMITTEE (BAC) (Tel. # 446-63-09) INVITATION TO BID 	 Invitation to Bid for: REHABILITATION OF PUBLIC MARKET – POBLACION I, VINZONS, CAM. NORTE  1.	The Local </t>
  </si>
  <si>
    <t xml:space="preserve"> 1	unit	Submersible Pump and Motor 		Motor: 20Hp, 230V, 3phase, 60hz 		Pump Model: S8S - 475 - 2 		Heavy Duty, Stainless Steel</t>
  </si>
  <si>
    <t xml:space="preserve"> We are looking for a supplier for Gabion, please see attached documents for the specification and complete description.  Please submit your original quotations on or before closing date in sealed envelope, and /or e-mailed together with your Business Perm</t>
  </si>
  <si>
    <t xml:space="preserve"> Republic of the Philippines Province of Nueva Vizcaya BIDS AND AWARDS COMMITTEE (BAC-Goods) BAC OFFICE, Provincial Capitol, Bayombong, Nueva Vizcaya 	 REQUEST FOR QUOTATION (RFQ)  For the Procurement 1 unit ADF High Speed Scanner For the Governor’s Office</t>
  </si>
  <si>
    <t xml:space="preserve"> Shopping . . . .</t>
  </si>
  <si>
    <t xml:space="preserve"> RFQ (20-06-054) Oxygen</t>
  </si>
  <si>
    <t xml:space="preserve"> Please find attach quotation</t>
  </si>
  <si>
    <t xml:space="preserve"> RESCUE VEHICLE Body Type- FX Type Wheelbase- 3,085 Engine Type- 4-Cylinder; 16 valve 2.4  Displacement -2,393cc Maximum Output- 147hp/ 3,400rpm Maximum Torque- 343 Nm/2,800rpm Transmission- MANUAL Fuel Type- Diesel Color- White With Blinker, Siren &amp; Ambul</t>
  </si>
  <si>
    <t xml:space="preserve"> CULTURAL ACTIVITY OF BARANGAY SAN JAOQUIN</t>
  </si>
  <si>
    <t xml:space="preserve"> 1	lot job 	Repair &amp; Materials of COA Service Vehicle: 1.	2	piece	Tie Rod - Inner 2.	2	piece	Tie Rod - Outer 3.	2	piece	Upper Ball Joint 4.	2	piece	Lower Ball Joint 5.	4	piece	Upper Arm Bushing 6.	4	piece	Press Job 7.	2	piece	Stabilizer Link-Front 8.	2	pie</t>
  </si>
  <si>
    <t xml:space="preserve"> 1500	heads	Layer Chicks		 		***nothing follows***</t>
  </si>
  <si>
    <t xml:space="preserve"> Republic of the Philippines												 REGION IX      												 PROVINCE OF ZAMBOANGA DEL SUR												 Pagadian City     												 BIDS AND AWARDS COMMITTEE  												 Provincial Capitol, Pagadian City												 												 INVITATION FOR </t>
  </si>
  <si>
    <t xml:space="preserve"> INVITATION FOR SUBMISSION OF QUOTATION (SMALL VALUE PROCUREMENT) 	The local Government Unit of Can-avid, through is Bid and Awards Committee (BAC). Invites suppliers to apply for eligibility, to bid for the hereunder contract: Name of Contract:  	Maintena</t>
  </si>
  <si>
    <t xml:space="preserve"> 22 pieces Corrugated Steel Sheet 12 ft 4 pieces Corrugated Steel Sheet 10 ft 20 pieces Corrugated Steel Sheet 8 ft 16 pieces Hardiflex Sanipa 12x8 ft 12 pieces Ridge Roll 2 boxes Texscrew 3" 1 kilo Concrete Nail 3" 3 kilos CWN 3" 3 kilos CWN 2" 1 kilo CWN</t>
  </si>
  <si>
    <t xml:space="preserve"> INVITATION TO BID FOR THE INSTALLATION OF FIBER GLASS BOARD AND LIGHTING OF BASKETBALL COURT OF BARANGAY BAG-ONG KAUSWAGAN, TAMBULIG, ZAMBOANGA DEL SUR 1.	The BLGU  of Barangay Bag-ong Kauswagan, Tambulig Zamboanga del Sur now invites bid for INSTALLATION</t>
  </si>
  <si>
    <t xml:space="preserve"> Republic of the Philippines Province of Camarines Norte MUNICIPALITY OF VINZONS BIDS AND AWARDS COMMITTEE (BAC) (Tel. # 446-63-09) 	 INVITATION TO BID FOR: PURCHASE/DELIVERY OF 1 UNIT BACKHOE 1.	The Local Government Unit of Vinzons through the MDRRMF – CA</t>
  </si>
  <si>
    <t xml:space="preserve"> for office use</t>
  </si>
  <si>
    <t xml:space="preserve"> CELEBRATION OF WOMEN'S MONTH 2020</t>
  </si>
  <si>
    <t xml:space="preserve"> Republic of the Philippines											 Province of Occidental Mindoro											 Mamburao, Occidental Mindoro											 REQUEST FOR QUOTATION											 Date of Posting:	June 18, 2020					Ref. No.		363-2020 RFQ			 						PR No.					 											 The Provin</t>
  </si>
  <si>
    <t xml:space="preserve"> Please see attached document...</t>
  </si>
  <si>
    <t xml:space="preserve"> Furnish of s units printer scanner/copier, long bond capable, 7 units printer, 1 unit printer A3 capable</t>
  </si>
  <si>
    <t xml:space="preserve"> FOR WO-0620-001: SLOPE STABILIZATION PROJECT AT LAPAAN WATERSHED AREA REFER TO ATTACHED FILE.</t>
  </si>
  <si>
    <t xml:space="preserve"> This project entails for the construction of 1m x 210m x 0.10m concrete pathway at Purok 1,4,6 at Brgy. Sta. Elena, Magallanes, Sorsogon.</t>
  </si>
  <si>
    <t xml:space="preserve"> •	Desktop Computer     -      4 Units         A6 7480; 3.0GHz; 8GB RAM; 1TB HDD         ATI RADEON; 700W PSU; 18.5” Led Monitor;         Keyboard, Mouse, Speaker    •	Printer Brother T710W   -    3 Units         Print/Scan/Copy        •	Uninterruptible Po</t>
  </si>
  <si>
    <t xml:space="preserve"> Republic of the Philippines Province of Nueva Vizcaya BIDS AND AWARDS COMMITTEE (BAC-Goods) BAC OFFICE, Provincial Capitol, Bayombong, Nueva Vizcaya 	 2ND REQUEST FOR QUOTATION (RFQ)  For the Procurement of Desktop Computer, Laptop &amp; Scanner For Provincia</t>
  </si>
  <si>
    <t xml:space="preserve"> See attached RFQ</t>
  </si>
  <si>
    <t xml:space="preserve"> PURCHASE OF OFFICE SUPPLIES FOR THE USE OF BARANGAY STAFF</t>
  </si>
  <si>
    <t xml:space="preserve"> delivery of 6set</t>
  </si>
  <si>
    <t xml:space="preserve"> CONSTRUCTION MATERIALS</t>
  </si>
  <si>
    <t xml:space="preserve"> 1.	The Local Government Unit of Baleno, Masbate, through the 2020 Economic Development Fund intends to apply the sum of One Million One Hundred Seventy-seven Thousand Two Hundred Ninety-six Pesos &amp; 74/100 (P 1,177,296.74 ) being the Approved Budget for th</t>
  </si>
  <si>
    <t xml:space="preserve"> Republic of the Philippines DEPARTMENT OF PUBLIC WORKS AND HIGHWAYS OFFICE OF THE DISTRICT ENGINEER Aklan District Engineering Office Toting Reyes St., Kalibo, Aklan The Department of Public Works and Highways (DPWH), Aklan District EngineeringOffice, Kal</t>
  </si>
  <si>
    <t xml:space="preserve"> UNIVERSITY OF THE PHILIPPINES MANILA The Health Sciences Center 8/F PGH Central Block Bldg,  Taft Avenue, Manila INVITATION TO BID PROPOSED RENOVATION OF CAMPUS PLANNING  DEVELOPMENT AND MAINTENANCE OFFICE UNIVERSITY OF THE PHILIPPINES MANILA 1.	The Unive</t>
  </si>
  <si>
    <t xml:space="preserve"> 431 Bags Cement 21 cu.m. Sand 42 cu.m. Gravel 485 pcs. 10mm Ø def. bars 40 pcs. Marine Plywood ¼” 2 pcs. Marine Plywood ½” 2000 bdft. 500-2” x 3” x 8’ Coco Lumber 20 kls. C.W. Nails #4” 3 kls. C.W. Nails #3” 5 kls. C.W. Nails #11/2” 30 kls. Tie Wire #16 1</t>
  </si>
  <si>
    <t xml:space="preserve"> Hydrogen Gas 75 tank For PAGASA TUGUEGARAO Upper Air Station  x-x-x-x-x-x-x-x-x-x-x-x-x-x-x-x-x Total ABC  (in PhP) 225,000.00</t>
  </si>
  <si>
    <t xml:space="preserve"> Republic of the Philippines											 Province of Occidental Mindoro											 Mamburao, Occidental Mindoro											 REQUEST FOR QUOTATION											 Date of Posting:	June 15, 2020					Ref. No.		RN 364-2020			 						PR No.					 											 The Provinc</t>
  </si>
  <si>
    <t xml:space="preserve"> RFQ-2020-170		 			 1.	100	kls.	Odoriser 1.	146	gallon	Wipe out 			 	Deadline for Submission of Bids: June 22, 2020, 11:00 AM		 			PAYMENT TERM: 90 DAYS</t>
  </si>
  <si>
    <t xml:space="preserve"> REQUEST FOR QUOTATION RFQ No. 2020-0236 The CITY GOVERNMENT OF CABANATUAN through its Bid and Awards Committee (BAC), will undertake Small Value Procurement for the SUPPLY AND DELIVERY OF OFFICE SUPPLIES in accordance with Section 53.9 of the Revised Impl</t>
  </si>
  <si>
    <t xml:space="preserve"> For the Research.</t>
  </si>
  <si>
    <t xml:space="preserve"> Please quote your lowest price for the item: ABC:  75,000.00 1. Airconditioning Unit - 1 unit          Split-Type, Inverter, 2.5 HP    Includes delivery and installation</t>
  </si>
  <si>
    <t xml:space="preserve"> CELLULAR PHONE</t>
  </si>
  <si>
    <t xml:space="preserve"> TO BE USED FOR THE REPAIR OF 1 UNIT SENIOR HIGH SCHOOL PRINTER FOR THE PRINTING OF HAND-OUTS, DAILY LESSON LOGS, SCHOOL FORMS AND LEARNING MODULES FOR THE SHS STUDENTS.</t>
  </si>
  <si>
    <t xml:space="preserve"> The Local  Government   Unit  of General  Santos  City, through  the  GENERAL FUND CY 2020  intends  to apply  the sum of three thousand nine hundred sixty and xx / 100 Pesos Only (3,960.00)   being  the Approved  Budget  for the Contract   (ABC) to payme</t>
  </si>
  <si>
    <t xml:space="preserve"> Republic of the Philippines Province of Nueva Vizcaya BIDS AND AWARDS COMMITTEE (BAC-Goods) BAC OFFICE, Provincial Capitol, Bayombong, Nueva Vizcaya 	 REQUEST FOR QUOTATION (RFQ)  For the Procurement of 3,420 pax Meals &amp; Snacks, etc. II For the Governor’s</t>
  </si>
  <si>
    <t xml:space="preserve"> 1	copy	Wireless information and power transfer, thoery and practice by Ng c2019 1	copy	Discrete mathematics with applications metric version by Epp c2020 1	copy	Professional andriod 4E by Meier c2018 1	copy	Essentials of contemporary management by Jones c</t>
  </si>
  <si>
    <t xml:space="preserve"> Contract Duration: The service maintenance contract shall commence on the date stipulated in the Notice to Proceed to be issued by Facilities Management and Engineering Department (FMED) and shall end on 31 December 2020 Bidders should have completed from</t>
  </si>
  <si>
    <t xml:space="preserve"> 1 unit photocopier PGO-BAC Goods &amp; Services</t>
  </si>
  <si>
    <t xml:space="preserve"> OFFICE SUPPLIES</t>
  </si>
  <si>
    <t xml:space="preserve"> Please find attach file.</t>
  </si>
  <si>
    <t xml:space="preserve"> Construction Materials and Supplies</t>
  </si>
  <si>
    <t xml:space="preserve"> INVITATION TO BID No. DARRO V-4-2020 1.	The Department of Agrarian Reform Regional Office No. V (DARRO V) through the General Appropriations Act (GAA) 2020 intends to apply the amount of  EIGHT HUNDRED FORTY-FIVE THOUSAND PESOS (P 845,000.00), being the s</t>
  </si>
  <si>
    <t xml:space="preserve"> 1	load	Sand and Gravel	2	 10,000.00  2	sacks	Portland Cement	30	 10,500.00  3	pcs	Corrugated Bar, 10mm	15	 1,500.00  4	pcs	Corrugated Bar, 9mm	15	 1,500.00  5	kl	Grout	5	 500.00  6	pcs	Tiles 60x60	120	 21,000.00  7	pcs	Stone Bricks	50	 10,000.00  8	pcs	Ho</t>
  </si>
  <si>
    <t xml:space="preserve"> attached</t>
  </si>
  <si>
    <t xml:space="preserve"> Republic of the Philippines											 Province of Occidental Mindoro											 Mamburao, Occidental Mindoro											 REQUEST FOR QUOTATION											 Date of Posting:	June 15, 2020					Ref. No.		RN 365-2020			 						PR No.					 											 The Provinc</t>
  </si>
  <si>
    <t xml:space="preserve"> The Local  Government   Unit  of General  Santos  City, through  the  GENERAL CY 2020  intends  to apply  the sum of twenty thousand and xx / 100 Pesos Only (20,000.00)   being  the Approved  Budget  for the Contract   (ABC) to payments  under  the  contr</t>
  </si>
  <si>
    <t xml:space="preserve"> Small Value Procurement . . . .</t>
  </si>
  <si>
    <t xml:space="preserve"> PURCHASE OF RICE, CANNED GOOD AND NOODLES</t>
  </si>
  <si>
    <t xml:space="preserve"> The SANGGUNIANG BARANGAY OF DARASA, TANAUAN CITY, BATANGAS, through the Barangay Operating Budget 2020 intends to apply the sum of Fifteen Thousand Pesos Only (Php 15,000.00) being the Approved Budget of the Contract (ABC) to payment under the Provision o</t>
  </si>
  <si>
    <t xml:space="preserve"> Standard Form Number: SF-GOOD-60                                                       Republic of the Philippines Standard Form Title: Request for                                                                                                       Taclo</t>
  </si>
  <si>
    <t xml:space="preserve"> INVITATION FOR SUBMISSION OF QUOTATION (SMALL VALUE PROCUREMENT) 	The local Government Unit of Can-avid, through is Bid and Awards Committee (BAC). Invites suppliers to apply for eligibility, to bid for the hereunder contract: Name of Contract:  	Purchase</t>
  </si>
  <si>
    <t xml:space="preserve"> SEE ATTACHED CANVASS</t>
  </si>
  <si>
    <t xml:space="preserve"> RFQ (20-06-052) Entera Nutrition - Pediatric POlymeric 400g 1-3 years old</t>
  </si>
  <si>
    <t xml:space="preserve"> kshs is in need of Parchment paper with printing for Diploma</t>
  </si>
  <si>
    <t xml:space="preserve"> The PHILIPPINE SCIENCE HIGH SCHOOL SYSTEM - CALABARZON REGION CAMPUS (PSHS-CBZRC) intends to apply the sum of TWO HUNDRED FIFTEEN THOUSAND PESOS (Php215,000.00) being the Approved Budget for the Contract (ABC) to pay for the contract for the Project: SUPP</t>
  </si>
  <si>
    <t xml:space="preserve"> One (1) lot office equipment  The complete list of activities: 1. Issuance of bid documents: June 16 to June 19, 2020 @ 09:00 A.M. 2. Bid Opening: June 19, 2020 @ June 10:00 A.M.</t>
  </si>
  <si>
    <t xml:space="preserve"> Detailed Estimate		 For the Construction of Drainage Line Canal		 at Nalbagan Street, Umanday, Bugallon, Pangasinan		 		 ABC: 50,000.00		 A. Materials		 		 435	pcs	4" CHB 30	bags	Portland Cement 6	cu.m	S1 21	pcs	10mm Ø x 6m RSB 3	kls	# 16 Tie Wire 16	bags</t>
  </si>
  <si>
    <t xml:space="preserve"> PURCHASE OF RICE AND NOODLES</t>
  </si>
  <si>
    <t xml:space="preserve"> The Local  Government   Unit  of General  Santos  City, through  the  GENERAL FUND CY 2020  intends  to apply  the sum of forty five thousand three hundred ninety and xx / 100 Pesos Only (45,390.00)   being  the Approved  Budget  for the Contract   (ABC) </t>
  </si>
  <si>
    <t xml:space="preserve"> Juan Sumulong Elementary School ICT supply 2020-2021</t>
  </si>
  <si>
    <t xml:space="preserve"> Republic of the Philippines											 Province of Occidental Mindoro											 Mamburao, Occidental Mindoro											 REQUEST FOR QUOTATION											 Date of Posting:	June 15, 2020					Ref. No.		RN 366-2020			 						PR No.					 											 The Provinc</t>
  </si>
  <si>
    <t xml:space="preserve"> PLEASE REFER ATTACHMENT</t>
  </si>
  <si>
    <t xml:space="preserve"> PURCHASE OF MEDICINES</t>
  </si>
  <si>
    <t xml:space="preserve"> PR No.   :					 Approved Budget for Contract (ABC)   :PHP  129,870.00					 QTY	UNIT	ITEM/S DESCRIPTION		UNIT PRICE	TOTAL PRICE 26	samples	Analysis of Wastewater Samples			 		parameters:			 		-color			 		-pH			 		-COD			 		-oil and grease			 		-TSS			 		-a</t>
  </si>
  <si>
    <t xml:space="preserve"> JOB ORDER: Furnishing of labor, materials and equipment for the Proposed Construction of Market Fire Exit Stairs(additional) phase II at Legazpi City Public Market</t>
  </si>
  <si>
    <t xml:space="preserve"> The Local Government Unit of Amulung, Cagayan intends to purchase Supply and Delivery of Medicine for 2nd Quarter Use through Alternative Mode of Procurement with an ABC of Php 199,950.00 Interested suppliers can avail of the Request for Quotation at the </t>
  </si>
  <si>
    <t xml:space="preserve"> Procurement of Fuel Supply for the Government Vehicle Transportation Used Diesel/Gasoline - 3, 027 Liters TERM OF REFERENCE: 1. The procurement of products using the WPP index, the Bid Price shall be determined based on the prospective supplier's WPP ten </t>
  </si>
  <si>
    <t xml:space="preserve"> 200	pcs	Seedling tray(128holes)		 2	pcs	pruning shear(heavy duty)		 25	pair	snap solution		 50	bottle	molasses		 3	can	eggplant seeds		 3	can	tomato seeds		 2	kilos	beans		 2	kilos	string beans		 2	kilos	raddish 		 2	can	 red pepper		 1	unit	impluse seale</t>
  </si>
  <si>
    <t xml:space="preserve"> Engine Type : Single Cylinder, 4-Stroke, Air-Cooled Gasoline Engine Displacement : 124.00 cc (min.) Start System : Kick/ Electric Transmission : 4-Speed Manual</t>
  </si>
  <si>
    <t xml:space="preserve"> 1 LOT LABOR SERVICES FOR HAULING ACTIVITY FROM SITIO BAGONG SILANG TO AREA 1 FOR WO-0620-001: SLOPE STABILIZATION PROJECT AT LAPAAN WATERSHED AREA  (REFER TO ATTACHED FILE)</t>
  </si>
  <si>
    <t xml:space="preserve"> Tarpaulin	 1 pc Requirements:	 Size: 7” x 10”	 With eyelets on the corner	 8oz. print	 ****nothing follows****</t>
  </si>
  <si>
    <t xml:space="preserve"> REPUBLIC OF THE PHILIPPINES OFFICE OF BIDS AND AWARDS COMMITTEE 2ND FLOOR, ADMINISTRATION BUILDING ACCESS, EJC., MONTILLA, TACURONG CITY   INVITATION TO BID FOR MACHINERY &amp; EQUIPMENT OUTLAY FOR THE PURCHASE OF ONE UNIT NURSING SIMULATOR FOR THE USE OF COL</t>
  </si>
  <si>
    <t xml:space="preserve"> 1.	The Local Government Unit of Baleno, Masbate, through the 2020 Local Disaster and Risk Reduction Fund intends to apply the sum of Six Hundred Ninety-two Thousand Seven Hundred Forty-six Pesos &amp; 69/100 (P692,746.69) being the Approved Budget for the Con</t>
  </si>
  <si>
    <t xml:space="preserve"> 12 PCS TIRES 195/70 R15C</t>
  </si>
  <si>
    <t xml:space="preserve"> Republic of the Philippines Province of Zamboanga del Sur MUNICIPALITY OF LAKE WOOD BIDS AND AWARDS COMMITTEE Invitation to Bid for Procurement of Construction of Dagum-Tiwales Road (Road Opening) in this Municipality 1.	The Local Government Unit of Lake </t>
  </si>
  <si>
    <t xml:space="preserve"> Republic of the Philippines Province of Guimaras OFFICE OF THE BIDS AND AWARDS COMMITTEE INVITATION TO BID FOR    SUPPLY AND DELIVERY OF LIVE ANIMALS AND FEEDS Bid Ref. No. 2020-06-335 1.	The Province of Guimaras , through the DOLE Kabuhayan Program (Vari</t>
  </si>
  <si>
    <t xml:space="preserve"> 3  unit Epson L3110 Printer 1  unit  Desktop Computer            Intel Core i5 9400F Coffee Lake up to 4.10 Ghz with Motherboard            1TB HDD            16GB RAM            GTX 1060 5G Video Card            24 inch Monitor            Generic Tower C</t>
  </si>
  <si>
    <t xml:space="preserve"> SEE ATTACHED</t>
  </si>
  <si>
    <t xml:space="preserve"> for stock pile</t>
  </si>
  <si>
    <t xml:space="preserve"> Rehabilitation of Deep well</t>
  </si>
  <si>
    <t xml:space="preserve"> 1. POULTRY/RICE PRODUCTION OF DIMAAMPO NATIVE INHABITANTS ARB COOP AT BARANGAY GUILING, ALAMADA, COTABATO. 2. FARM INPUTS/FERTILIZERS FOR BANGILAN FA, KABACAN, COTABATO. 3. GENERATOR SET 4. ASSORTED FARM INPUTS/GARDEN TOOLS OF DIMAAMPO NATIVE INHABITANTS </t>
  </si>
  <si>
    <t xml:space="preserve"> Republic of the Philippines											 Province of Occidental Mindoro											 Mamburao, Occidental Mindoro											 REQUEST FOR QUOTATION											 Date of Posting:	June 15, 2020					Ref. No.		RN 362-2020			 						PR No.		PS2020-022			 											 T</t>
  </si>
  <si>
    <t xml:space="preserve"> PURCHASE</t>
  </si>
  <si>
    <t xml:space="preserve"> Republic of the Philippines				Project Reference Number: 	G-20-0560                                           Province of Compostela Valley				Name of the Project	:  Supplies (isolation) MUNICIPALITY OF MONTEVISTA			Location of the Project	:           MEO</t>
  </si>
  <si>
    <t xml:space="preserve"> MATERIALS NEEDED FOR THE FABRICATION OF SPOOL, BEND CONNECTIONS AND EXPOSED STEEL PIPE IN CONNECTION WITH THE WATERLINE EXTENSION PROJECT FROM HDA. DANIEL TO IMBANG BRIDGE, BRGY. E. LOPEZ, SILAY CITY: 1. BI PIPE, 6`` DIAMETER, ASTM A-53, SEAMLESS, STANDAR</t>
  </si>
  <si>
    <t xml:space="preserve"> 166 Bags Complete Fertilizer (14-14-14)</t>
  </si>
  <si>
    <t xml:space="preserve"> please download the ITB and its supporting documents in the associated component</t>
  </si>
  <si>
    <t xml:space="preserve"> 3000	heads	Broiler chicks		 16	bags	Broiler feed(booster)		 125	bags	Broiler feed(starter)		 115	bags	Broiler feed(finisher)		 2	kgs	Multi vitamins w/electrolytes		 2	kgs	Chlortetracycline w/ vit.A&amp;vit b12		 		***nothing follows***</t>
  </si>
  <si>
    <t xml:space="preserve"> The Local  Government   Unit  of General  Santos  City, through  the  GENERAL FUND  CY 2020  intends  to apply  the sum of one hundred thirty two thousand five hundred and xx / 100 Pesos Only (132,500.00)   being  the Approved  Budget  for the Contract   </t>
  </si>
  <si>
    <t xml:space="preserve"> P.R NO. 100-2020-03-0323 PURCHASE OF AGRICULTURAL MATERIALS USE FOR RE-FORESTATION</t>
  </si>
  <si>
    <t xml:space="preserve"> 1 LOT LABOR SERVICES FOR HAULING ACTIVITY FROM AREA 1 TO AREA 2 FOR WO-0620-001: SLOPE STABILIZATION PROJECT AT LAPAAN WATERSHED AREA (REFER TO ATTACHED FILE)</t>
  </si>
  <si>
    <t xml:space="preserve"> INVITATION FOR SUBMISSION OF QUOTATION (SMALL VALUE PROCUREMENT) 	The local Government Unit of Can-avid, through is Bid and Awards Committee (BAC). Invites suppliers to apply for eligibility, to bid for the hereunder contract: Name of Contract:  	Office S</t>
  </si>
  <si>
    <t xml:space="preserve"> Please see attached Purchase Request of Supplies and Materials</t>
  </si>
  <si>
    <t xml:space="preserve"> Sir/Madam:																																						 																																						 Please quote your government price/s including delivery charges, VAT or other applicable taxes, and other incidental expenses for the goods listed in Annex A.  Failure</t>
  </si>
  <si>
    <t xml:space="preserve"> The Bids and Awards Committee (BAC) of the Department of Public Works and Highways (DPWH), Ilocos Sur 1st District Engineering Office, Bantay, Ilocos Sur will conduct SMALL VALUE PROCUREMENT in accordance with Section 53.9 of the Revised Implementing Rule</t>
  </si>
  <si>
    <t xml:space="preserve"> 1.	Materials &amp; Equipment Rental for the Improvement of Agriculture Office, Brgy. Sablogon, Passi City, Iloilo, (P 83,910.39)		 Stock No.	Description	Unit	Qty. 1	D-1,0.90m x 2.10m Painted Wood Panel type Door (Swing Type), w/ Wood Door Jam, Heavy Duty Door</t>
  </si>
  <si>
    <t xml:space="preserve"> Please find attach quotation.</t>
  </si>
  <si>
    <t xml:space="preserve"> 1.	2	units	HIGH SPEED SEWING MACHINE 			Technical Specification: 			Application: light to medium weight	heavy weight 			Max. Sewing speed: 4,500 spm		4,000 spm 			Max. Stitch length: 5mm 			Needle bar stroke: 30.7mm		35mm 			Lift of presser foot: by hand </t>
  </si>
  <si>
    <t xml:space="preserve"> JOB ORDER: Furnishing of labor, materials and equipment for the Proposed road Concreting at Brgy. 15- Ilawod East, Legazpi City</t>
  </si>
  <si>
    <t xml:space="preserve"> Ozone 03 Generator Machine Air Purifier Deodorizer Sanitizer 220V 10G/24G/H Ozone   Air Volumes: 51-150mᶾ/h   Application area: 11-20m²   Installation: Portable   Type: Ozone Generator   Power Source: AC source   Noise: ≤45dB   Anion Density: 1000000pcs/m</t>
  </si>
  <si>
    <t xml:space="preserve"> Procurement of TLE Instructional Tools and Materials</t>
  </si>
  <si>
    <t xml:space="preserve"> 215	bags	Layer mash 1		 51	bags	Pre layer mash		 		***nothing follows***</t>
  </si>
  <si>
    <t xml:space="preserve"> The Local  Government   Unit  of General  Santos  City, through  the  GENERAL FUND CY 2020  intends  to apply  the sum of ten thousand one hundred ninety seven and xx / 100 Pesos Only (10,197.00)   being  the Approved  Budget  for the Contract   (ABC) to </t>
  </si>
  <si>
    <t xml:space="preserve"> for MDRRM Office. Local Government Unit-Nabua, Camarines Sur</t>
  </si>
  <si>
    <t xml:space="preserve"> Purchase of Laptop to be use by the Audit Team Member (Gen. M. Natividad/Palayan)</t>
  </si>
  <si>
    <t xml:space="preserve"> 56	bags	Quail feeds		 500	heads	Layer quail		 		***nothing follows***</t>
  </si>
  <si>
    <t xml:space="preserve"> For specification details, please contact MR. JEFFERSON O. CORUNO at 09157584241 or email at psuprocurementunit@gmailcom or procurement@parsu.edu.ph</t>
  </si>
  <si>
    <t xml:space="preserve"> Request for Quotation City Agriculture Office CO - Other Machinery and Equipment P 74,155.00</t>
  </si>
  <si>
    <t xml:space="preserve"> 25 CU.M   READY MIXED AND AND GRAVEL</t>
  </si>
  <si>
    <t xml:space="preserve"> Interested Suppliers may submit sealed quotations to the General Services Offices, Municipal Compound, Bgy. Poblacion, Narra, Palawan and Addressed to the BAC Chairman through BAC Secretariat.     Deadline of submission Three days starting from the public</t>
  </si>
  <si>
    <t xml:space="preserve"> Printer</t>
  </si>
  <si>
    <t xml:space="preserve"> The Local  Government   Unit  of General  Santos  City, through  the  GENERAL FUND CY 2020  intends  to apply  the sum of two hundred forty four thousand eight hundred and xx / 100 Pesos Only (244,800.00)   being  the Approved  Budget  for the Contract   </t>
  </si>
  <si>
    <t xml:space="preserve"> The Local  Government   Unit  of General  Santos  City, through  the  GENERAL FUND CY 2020  intends  to apply  the sum of seventy four thousand and xx / 100 Pesos Only (74,000.00)   being  the Approved  Budget  for the Contract   (ABC) to payments  under </t>
  </si>
  <si>
    <t xml:space="preserve"> Republic of the Philippines					 Province of Palawan					 MUNICIPALITY OF EL NIDO					 PR No.		 Name of Procuring Entity: Municipal Government of El Nido			RFQ No.		 Date:		 Office/End-User: MNAO					 Company Name					 Adress:					 Business Permit No.:			</t>
  </si>
  <si>
    <t xml:space="preserve"> 1.	240	bag/s	Open Pollinated Variety (OPV) White Registered  			Corn Seeds 20kgs/bag 			Passed Quality Certification by BPI-NSQCS 			Date of Harvest not later than February 2020</t>
  </si>
  <si>
    <t xml:space="preserve"> Const. of Vertical Garden</t>
  </si>
  <si>
    <t xml:space="preserve"> 1 LOT LABOR SERVICES FOR HAULING ACTIVITY FROM AREA 2 TO AREA 3 FOR WO-0620-001: SLOPE STABILIZATION PROJECT AT LAPAAN WATERSHED AREA (REFER TO ATTACHED FILE)</t>
  </si>
  <si>
    <t xml:space="preserve"> TO BE USED BY THE SHS TEACHERS AND STUDENTS FOR HAND WASHING UPON ENTERING THE SCHOOL PREMISES IN COMPLIANCE TO HEALTH PROTOCOL AMIDST COVID-19 PANDEMIC.</t>
  </si>
  <si>
    <t xml:space="preserve"> 300 bags Complete Fertilizer (14-14-14)</t>
  </si>
  <si>
    <t xml:space="preserve"> Republic of the Philippines PROVINCE OF ZAMBOANGA DEL SUR Municipality of Dimataling BIDS AND AWARD COMMITTEE Reference Number : DIM-INFRA-2020-09 Project Title/P.R. # : UPGRADING/INSTALLATION OF ISOLATION FACILITY Approved Budget: MHO (MOOE) Area of Deli</t>
  </si>
  <si>
    <t xml:space="preserve"> SUPPLY OF MATERIALS</t>
  </si>
  <si>
    <t xml:space="preserve"> 1	unit	Digital DO/ temperature meter: (preferably YSI), built-in barometer, connector waterproof with bayonet lock, 50 data sets (data memory), dimension 8.3cm width x 21.6cm length x 5.6cm depth. Power: 2 alkaline C-cells approx 400hrs, salinity range 0-</t>
  </si>
  <si>
    <t xml:space="preserve"> for Maintenance of MDRRM Ambulance, Local Government Unit - Nabua, Camarines Sur</t>
  </si>
  <si>
    <t xml:space="preserve"> 12   pieces   Alcohol Foot Pump</t>
  </si>
  <si>
    <t xml:space="preserve"> Heavy Duty Welding Machine (Bx1-500A Electrode  Holder(300amp)/ground Clamp(300amp)/pure copper welding cable (20mtrs)/ARC welding  helmet, oxygen/acetylene gauge welding Kit accessory with cylinder tank alum Power sparyer w/ induction motor 1.5hp (30m ho</t>
  </si>
  <si>
    <t xml:space="preserve"> Supply and Delivery of various equipments The Metro Midsayap Water District (MMWD) gives notice that  quotations are invited for the Supply and Delivery of various equipments 1 UNIT - DIESEL WELDING GENERATOR			    SPECIFICATIONS:			  	-SILENT TYPE; AIR C</t>
  </si>
  <si>
    <t xml:space="preserve"> PR No. 2020-079, 2020-080, 2020-081, 2020-082, 2020-083 RFQ No. 2020-053 ABC: Php 262,472.00 Request for Quotation (RFQ) with details of procurement is available for download. Or you may visit during office hours, look for Ms. Angelee M. Bernal, BAC Secre</t>
  </si>
  <si>
    <t xml:space="preserve"> JOB ORDER: Furnishing of labor, materials and equipment for the Proposed Rehabilitation of Drainage System at Brgy. 3-EM's Barrio East, Legazpi City</t>
  </si>
  <si>
    <t xml:space="preserve"> Other Supplies</t>
  </si>
  <si>
    <t xml:space="preserve"> 1	7	cu. m.	Fine Sand	 2	9	drum	Asphalt	 			***nothing follows***	 				 			1. For asphalt patching around poblacion	 				 APPROVED BUDGET FOR THE CONTRACT: PHP 162,800.00 LOCATION OF THE CONTRACT: BATARAZA, PALAWAN DURATION OF THE CONTRACT: 7 DAYS SCHEDULE</t>
  </si>
  <si>
    <t xml:space="preserve"> Interested suppliers are required to submit the following requirements: (1) valid Mayor’s/Business Permit; (2) PhilGEPS Registration Number; (3) Income/Business Tax Return; (4) Omnibus Sworn Statement; (5) Performance Security; (6) Registration Certificat</t>
  </si>
  <si>
    <t xml:space="preserve"> Description	Quantity	Unit GI Pipe Casing, 8” Ø Dia. (Sch.40)	17	Lengths GI Pipe Casing, 10” Ø Dia. (Sch 40)	5	Lengths Submersible Pump, 5 Hp. w/ Motor and Control Box	1	Set Panel Board, for 5 Hp	1	Set Submer Cable	90	M P.E Pipes, 3” Ø Dia. X 60m	9	Rolls</t>
  </si>
  <si>
    <t xml:space="preserve"> Republic of the Philippines City of Dapitan BIDS AND AWARDS COMMITTEE 						June 15, 2020 NOTICE FOR NEGOTIATED - SMALL VALUE PROCUREMENT 	The City Government of Dapitan through the Bids and Awards Committee (BAC) would like to inform PhilGEPS registered </t>
  </si>
  <si>
    <t xml:space="preserve"> See attached for the request of quotation form.</t>
  </si>
  <si>
    <t xml:space="preserve"> 77 piece Bulb, LED, 11 watts 131 piece Electric Fan, orbit type, ceiling, plastic blade</t>
  </si>
  <si>
    <t xml:space="preserve"> 1 LOT FOR INSTALLATION OF GABIONS AND LOG-CUTTING ACTIVITY FOR WO-0620-001: SLOPE STABILIZATION PROJECT AT LAPAAN WATERSHED AREA (REFER TO ATTACHED FILE)</t>
  </si>
  <si>
    <t xml:space="preserve"> City Government of La Carlota								          Standard Form Number: SF-GOOD-59 Revised on: May 24, 2004 Standard Form Title: REQUEST FOR QUOTATION 												Date: ______________ 												Quotation No.________ Company Name Address 	Please quote your </t>
  </si>
  <si>
    <t xml:space="preserve"> Republic of the Philippines PROVINCE OF SOUTHERN LEYTE Maasin City Invitation to Bid for the Procurement of Window Blinds and Glass Sticker  Contract ID # 2020-07-07-366PG 1.	The Provincial Government of Southern Leyte through the OVG Other Supplies and M</t>
  </si>
  <si>
    <t xml:space="preserve"> Construction of Deep well at Zone III Brgy, San Miguel</t>
  </si>
  <si>
    <t xml:space="preserve"> 1 unit 	Water bath/holding tank with thermometer and heater	 	  -Rectangular shape, L1M x W0.6M x H0.5M	 	  -made of stainless steel 304 materials , 3mm thick	 	  -removable inner platform, made of perforated sheet	 	  -hinge cover with gasket	 	  -electr</t>
  </si>
  <si>
    <t xml:space="preserve"> 50 bot cleaner disinfectant &amp; 8 others</t>
  </si>
  <si>
    <t xml:space="preserve"> 9 units Tab A 8.0 (2GB Ram, 32Gb ROM, Battery 5100mAh, OS Android 9.0 Pie &amp; Processor Quadcore 2.0GHz) T295 1 unit Tab A 8.0 w/ S Pen (3GB Ram, 32GB ROM, battery 4,200mAh, OS  Android 9.0 pie &amp; processor quad core 1.8GHz) SM-P205</t>
  </si>
  <si>
    <t xml:space="preserve"> The National Mapping and Resource Information Authority, Bids and Awards Committee (NAMRIA BAC) invites interested SUPPLIERS/DEALERS &amp; CONTRACTORS for the following project/s: Procurement of ICT Resources for Geospatial Information and System Management U</t>
  </si>
  <si>
    <t xml:space="preserve"> 1 kit Glucose Pap SL 6x100ml + STD 1 kit Cholesterol SL 6x100ml + STD 1 kit Uric Acid SL 5x100ml + STD 2 kit CreatinineJaffe 4 x250ml 2 kit Triglycerides Mono 6x50ml + STD 1 kit ALT/SGPT 4x62.5ml 1 kit HDL Chol 3x80ml 1 box Elitrol Normal Control 1 box El</t>
  </si>
  <si>
    <t xml:space="preserve"> Hatchery Equipments and paraphernalia 1. 	5	pcs.	a. Red liquid glass thermometer (6mmx300mm) 2. 	1	pc.	b. Portable D.O. Meter (Digital)		 			c. Weighing Scales 3.	1	pc.	c. 1 Digital weighing scale (5kg cap) 4.	1	pc.	c. 2 Weighing Scale (10kg cap) 5.	1	pc.</t>
  </si>
  <si>
    <t xml:space="preserve"> The Barangay Government of Altura Matanda, Tanauan City through the Bids and Awards Committee(BAC) invites Suppliers/Contractors to apply for the eligibility and if subsequently found eligible to bid for the supply of materials for the project described h</t>
  </si>
  <si>
    <t xml:space="preserve"> 1. Heavy Duty Steel Folding Bed with Mattress 5 piece	6,250.00 2. Single Foam Mattress 3 piece	4,000.00 3. Fold-A-Mattress with Thin cotton 12 piece	2,150.00 4. Emergency Light 1 piece	1,950.00 5. Disinfectant Mat (for shoes) 3 piece	1,500.00 6. Electric </t>
  </si>
  <si>
    <t xml:space="preserve"> Item No.	Unit	Description	Qty 1	prs	Working Glove	1500 2	roll	Laminated Sack 10 x 16	20 3	roll	Nylon Rope 10 x 100 m	50 4	kl	Brown Sugar 1 kL	50 5	box	Sardinas	96 6	ea	Styro Bowl 10 s	1000 7	pcs	Mineral Water 500 ml	1000 8	pck	Biscuit 150 gms	500 9	ea	Duc</t>
  </si>
  <si>
    <t xml:space="preserve"> The Local  Government   Unit  of General  Santos  City, through  the  GENERAL FUND CY 2020  intends  to apply  the sum of four hundred fifty thousand and xx / 100 Pesos Only (450,000.00)   being  the Approved  Budget  for the Contract   (ABC) to payments </t>
  </si>
  <si>
    <t xml:space="preserve"> June 15, 2020 REQUEST FOR QUOTATION (RFQ) CORRECTIVE MAINTENANCE SERVICE OF GENERATOR SET II (AKSA) 1.	The Batangas Medical Center hereinafter referred to as the “Purchaser” now request for submission of price proposal for the procurement of the aforesaid</t>
  </si>
  <si>
    <t xml:space="preserve"> Small Value Procurement . . .</t>
  </si>
  <si>
    <t xml:space="preserve"> Invitation to Bid for the supply &amp; delivery of Goods &amp; Commodities for use of the Bureau of Jail Management &amp; Penology, Batangas City</t>
  </si>
  <si>
    <t xml:space="preserve"> The Local  Government   Unit  of General  Santos  City, through  the  GENERAL FUND CY 2020  intends  to apply  the sum of five hundred forty one thousand one hundred and xx / 100 Pesos Only (541,100.00)   being  the Approved  Budget  for the Contract   (A</t>
  </si>
  <si>
    <t xml:space="preserve"> SUPPLY &amp; DELIVERY OF INSERT WATER METER &amp; TAILPIECE GASKET</t>
  </si>
  <si>
    <t xml:space="preserve"> Please see attached PR for specifications</t>
  </si>
  <si>
    <t xml:space="preserve"> 70 bxs. Bond Paper (Long) sub.22 @ 5 reams/box 70 bxs. Bond Paper (Short) sub.22 @ 5 reams/box 150 pcs. Record book 300 leaves 150 pcs. Record book 500 leaves 1,000 pcs. Ball pen Blk @ 50/box 500 pcs. Ball pen Blue @ 50/box 200 pcs. Ball pen Red @ 50/box </t>
  </si>
  <si>
    <t xml:space="preserve"> Sala Set = 1 set Dinning Set (6-Seater) = 1 set Sofa = 1 set</t>
  </si>
  <si>
    <t xml:space="preserve"> 4 PCS Ordinary Plywood, 1/4" 25 pcs 2x2 bd. Ft Form Lumber 3 kg. Common Wire Nails, 3" 2 kg. Common WireNails, 2" 8 kg. Tie Wire, #16 138 bags Cement 9 cu.m Sand 16 cu.m Gravel 161 pc 12mmoDeformable Steel Bar 92 pc 10mmoDeformable Steel Bar 23 kg Tie Wir</t>
  </si>
  <si>
    <t xml:space="preserve"> INVITATION FOR SUBMISSION OF QUOTATION (SMALL VALUE PROCUREMENT) 	The local Government Unit of Can-avid, through is Bid and Awards Committee (BAC). Invites suppliers to apply for eligibility, to bid for the hereunder contract: Name of Contract:  	T-shirt </t>
  </si>
  <si>
    <t xml:space="preserve"> Republic of the Philippines PROVINCE OF DAVAO ORIENTAL MUNICIPALITY OF SAN ISIDRO INVITATION TO BID FOR THE PROCUREMENT OF WORKS FOR THE CONST’N OF VAWC CRISIS CENTER INCL. MADAC DRUG TREATMENT CENTER AT BRGY BATOBATO, SAN ISIDRO, DAVAO ORIENTAL 1.	The Mu</t>
  </si>
  <si>
    <t xml:space="preserve"> Item No.	Unit		Item Description		Quantity 					 1	pcs.		Water Meter 1/2"		                100 2	pcs.		Water Meter 1"		                           2 3	pcs.		Gate Valve with Magnetic Lock		100 4	pcs.		Saddle Clamp 4"x1/2"		          50 5	pcs.		Sadlle Clamp 2</t>
  </si>
  <si>
    <t xml:space="preserve"> Invitation to Bid for the supply, delivery &amp; printing of Pamphlets, Letterheads &amp; Tarpaulins for use of different Offices of Batangas City Government.</t>
  </si>
  <si>
    <t xml:space="preserve"> For the maintenance of diff. offices of the Municipal Hall.</t>
  </si>
  <si>
    <t xml:space="preserve"> Improvement / Upgrading of Pasalubong Center (Window Grilles, Door and Tables)</t>
  </si>
  <si>
    <t xml:space="preserve"> JOB ORDER: Furnishing of labor, materials and equipment for the Proposed Rehabilitation/Improvement of School Facilities at Legazpi Port Elementary School Brgy. 31- Baybay, Legazpi City</t>
  </si>
  <si>
    <t xml:space="preserve"> PURCHASE OF FUEL, OIL AND LUBRICANTS, CMO, CALBAYOG CITY</t>
  </si>
  <si>
    <t xml:space="preserve"> Hybrid Trimaran Vessel Classification as per attached Request for Quotation.</t>
  </si>
  <si>
    <t xml:space="preserve"> Republic of the Philippines PROVINCE OF DAVAO ORIENTAL MUNICIPALITY OF SAN ISIDRO INVITATION TO BID FOR THE PROCUREMENT OF WORKS FOR THE CONST’N OF 1 UNIT – 67.20 SQ.M. AND 3 UNITS – 25.5 SQ.M. MRF, SAN ISIDRO, DAVAO ORIENTAL 1.	The Mun. of San Isidro, Da</t>
  </si>
  <si>
    <t xml:space="preserve"> Republic of the Philippines Province of Batangas CITY OF STO. TOMAS INVITATION TO BID The City Government of Sto. Tomas, Batangas through its Bids and Awards Committee (BAC) invites accredited contractors registered with and classified by the Philippine C</t>
  </si>
  <si>
    <t xml:space="preserve"> The AGRICULTURAL TRAINING INSTITUTE-REGIONAL TRAINING CENTER (ATI-RTC) X, through the 2020 General Appropriations Act intends to apply the sum of Eighteen  Thousand Pesos (P 18,000.00) being the Approved Budget for the Contract (ABC) to payments under the</t>
  </si>
  <si>
    <t xml:space="preserve"> 5	pc.	P-Trap 5	pc.	Flexible Hose, 1/2 x 1/2 x 1/8" 3	pc.	Angle Valve 3	pc.	Faucet (ordinary) 5	pc.	Faucet (lavatory) 5	set	Water Closet 1	gal.	Muriatic Acid 10	pc.	Teflon Tape (big) 1	1/2 lt.	Epoxy 1	pc.	Snake Wire Pipe Cleaner, 1/4 x 25' 2	bg.	Cement 6	p</t>
  </si>
  <si>
    <t xml:space="preserve"> 60	ream	Bond Paper, (Good Quality, Long) 60	ream	Bond Paper (Good Quality, A4) 60	pcs	Expanding Envelope (Brown, Long) 12	cart	HP 680 (Black) 10	cart	HP 680 (Colored) 500	pc	Folder (White, Long) 100	pc	Folder (Green, Long) 3	gal	Alcohol 4	pcs	Dater 3	pcs	</t>
  </si>
  <si>
    <t xml:space="preserve"> Item No.	Unit	Description	Qty 1	pcs	Hardiflex 1/4x4x8	60 2	pcs	Metal furring 1x2x16	150 3	bxs	Blind Rivets 1/8	4 4	pcs	Drill bit 1/8	30 5	pcs	Metal stud 2x3x10	150 6	kgs	Concrete nail 2	3 7	pcs	Panel door 0.80x2.10	2 8	pcs	Door knob	6 9	prs	Door hinges LP</t>
  </si>
  <si>
    <t xml:space="preserve"> Brand New Tires ( 8 pcs. 10.00x20, 6 pcs. 11.00x20, 4 pcs. 8.25x20)</t>
  </si>
  <si>
    <t xml:space="preserve"> ITEM NO.	ITEM &amp; DESCRIPTION	 BRAND	UOM	QTY. 1	205/65 R15 Ecopia EP300 (Tire)			2 2	235/75 R15 (6FR) 697 Dueler (Tire)			2 3	135R14 R624 (Tire)			4</t>
  </si>
  <si>
    <t xml:space="preserve"> Please see attached PR in Associated Components</t>
  </si>
  <si>
    <t xml:space="preserve"> 1	2	unit	PRINTER	 			L3110 EPSON	 				 2	1	unit	LAPTOP 	 			Inspiron 5570	 			INTELCORE i5-8250 U	 			Ram-4GB_DDR4	 			HHD-118	 			Video Card Radion 530	 			15.6''/ DVD RW	 			windows 10	 				 APPROVED BUDGET FOR THE CONTRACT: PHP 50,000.00 LOCATION OF TH</t>
  </si>
  <si>
    <t xml:space="preserve"> The National Mapping and Resource Information Authority, Bids and Awards Committee (NAMRIA BAC) invites interested SUPPLIERS/DEALERS &amp; CONTRACTORS for the following project/s: Upgrading of Staboardside Main Engine of BRP Hydrographer Ventura. Kindly conta</t>
  </si>
  <si>
    <t xml:space="preserve"> Metropolitan Manila Development Authority																																     BIDS AND AWARDS COMMITTEE																																 																																    REQUEST FOR QUOTATION																																 Small Value Procurement						</t>
  </si>
  <si>
    <t xml:space="preserve"> JANITORIAL SERVICES 1 person/unit July to December 2020 Cebu Mode of Procurement: Negotiated Procurement-Small Value Procurement Approved Budget for the Contract: Php108,000.00 Requirements: 1.	Business Permit/Mayor’s Permit 2.	Philgeps Registration Numbe</t>
  </si>
  <si>
    <t xml:space="preserve"> Republic of the Philippines Province of Cebu MUNICIPALITY OF BALAMBAN Balamban, Cebu REQUEST FOR QUOTATION The Municipality of Balamban, through its Bids and Awards Committtee (BAC), will undertake a Negotiated Procurement (Small Value Procurement) for ME</t>
  </si>
  <si>
    <t xml:space="preserve"> JOB ORDER: Furnishing of labor, materials and equipment for the Proposed Concrete Fence and Slope Protection at Lamba Elementary School, Brgy. 60- Lamba, Legazp City</t>
  </si>
  <si>
    <t xml:space="preserve"> MEALS AND SNACKS</t>
  </si>
  <si>
    <t xml:space="preserve"> 1	1	UNIT	Executive Chair	 				 			*Ergodynamic	 			*HBC 132-CUL	 			*Essential Leather/PU Leather	 				 				 2	4	UNIT	Computer Chair/Swivel Chair	 				 			*Ergodynamic Chair	 			*Black	 				 				 APPROVED BUDGET FOR THE CONTRACT: PHP 15,000.00 LOCATION OF</t>
  </si>
  <si>
    <t xml:space="preserve"> Small  Value Procurement . . . .</t>
  </si>
  <si>
    <t xml:space="preserve"> Please see attached file (RFQ-20-06-0459) for reference.</t>
  </si>
  <si>
    <t xml:space="preserve"> Supply &amp; Delivery of D.I.S.T.C 2", 3" &amp; 4"</t>
  </si>
  <si>
    <t xml:space="preserve"> 1300 Pcs. 2020 Quadrivalent Inactivated Influenza Vaccine</t>
  </si>
  <si>
    <t xml:space="preserve"> 375 bags cement , Portland 3 kgs CW Nails, Assorted 17 pcs RSB 16mm0 3 pcs RSB 12mm0 288 bdft Coco lumber 42 cu.m. Gravel 21 cu.m. Sand</t>
  </si>
  <si>
    <t xml:space="preserve"> MATERIALS/TOOLS/EQUIPMENT FOR THE IMPLEMENTATION OF LIVELIHOOD PROJECT OF MUSLIM CHRISTIAN REPAIR UMBRELLA ASSOCIATION SEE ATTACHED CANVASS FORM FOR THE DETAILS PROCUREMENT IS ON A LOT BASIS</t>
  </si>
  <si>
    <t xml:space="preserve"> Department of Education Region VI-Western Visayas Cadiz City Alimatoc Elementary School Invitation to Bid for the Repair and Maintenance of Faulty Electrical Wiring of Alimatoc Elementary School 1.	The Alimatoc Elementary School, through the School’s MOOE</t>
  </si>
  <si>
    <t xml:space="preserve"> 40	pcs	File Box w/cover (Green) 360	pcs	File Box w/cover (Red)</t>
  </si>
  <si>
    <t xml:space="preserve"> Republic of the Philippines Cordillera Administrative Region Province of Kalinga B A L B A L A N BARANGAY POBLACION Invitation to Apply for Eligibility and to Bid for the PURCHASE AND DELIVERY OF IT EQUIPMENTS, POBLACION, BALBALAN 1.	The Local Government </t>
  </si>
  <si>
    <t xml:space="preserve"> 8 sack, Industrial Salt Ion Exchange Resin, high sodium chloride purity, large chunky crystal for water treatment use, 12.5 kilos/sack</t>
  </si>
  <si>
    <t xml:space="preserve"> The Local  Government   Unit  of General  Santos  City, through  the  GENERAL FUND CY 2020  intends  to apply  the sum of five hundred twenty four thousand eight hundred and xx / 100 Pesos Only (524,800.00)   being  the Approved  Budget  for the Contract </t>
  </si>
  <si>
    <t xml:space="preserve"> Window Type Aircon 2HP</t>
  </si>
  <si>
    <t xml:space="preserve"> Supply and Delivery of Customized Cabinet for the Accounting Department</t>
  </si>
  <si>
    <t xml:space="preserve"> Item No.	Unit	Description	Qty 1	sets	Window Roller Blinds 120 x 180	5 2	pcs	THHN wire 12/7	5 3	rlls	THHN wire 14/7	3 4	rlls	Moldflex tube 1/2 in NULL	5 5	rlls	PVC junction box w/ cover	60 6	pcs	PVC utility box	30 7	pcs	Pinlight 4in NULL	50 8	pcs	LED bulb </t>
  </si>
  <si>
    <t xml:space="preserve"> INVITATION TO BID REPUBLIC OF THE PHILIPPINES CITY OF GOVERNMENT OF NAVOTAS BARANGAY SAN RAFAEL VILLAGE   BIDS AND AWARDS COMMITTEE 1.The Sangguniang BaraNGAY San Rafael Village, through its Bids and Awards Committee intends      to apply the sun of One H</t>
  </si>
  <si>
    <t xml:space="preserve"> Provision of :								 	SURVEY SERVICES FOR THE FOLLOWING LOTS:								 									 Lot 1 	LOT 3 - CSII-2020 (CC)							has. 	12.6945 	&gt;  Subdivision Survey of Collective CLOA located at Tinambac,								 		Camarines Sur 							 									 Lot 2 	LOT 4-CSII-</t>
  </si>
  <si>
    <t xml:space="preserve"> PROCUREMENT OF LOGISTIC SUPPLIES FOR RABIES CONTROL PROGRAM OF THE MUNICIPAL AGRICULTURE OFFICE FOR THE 1ST QUARTER OF THE YEAR 2020</t>
  </si>
  <si>
    <t xml:space="preserve"> QUANTITY	UNIT	ARTICLES				 60	rolls	Adhesive Tape, Scotch Tape 1"				 30	reams	Bond Paper, Long, S-20, Good Quality				 50	reams	Bond Paper, Short, S-20, Good Quality				 10	reams	Bond Paper, Short, S-24, Good Quality				 20	reams	Colored Paper, Long, Neo</t>
  </si>
  <si>
    <t xml:space="preserve"> Supply and Delivery of Administrative Facilities and Equipment at NFA Laguna Provincial Office</t>
  </si>
  <si>
    <t xml:space="preserve"> Supply &amp; Delivery OF PLASTIC FITTINGS</t>
  </si>
  <si>
    <t xml:space="preserve"> See attached Request for Quotation of Seedlings</t>
  </si>
  <si>
    <t xml:space="preserve"> Kindly refer to the attached RFQ</t>
  </si>
  <si>
    <t xml:space="preserve"> 1.	a) Contract ID:       20GOF0010 b) Contract Name:  Supply and Delivery of Clearance Light (Amber) and Sixteen others for use of Drop Side Truck with DPWH No. H2-348/Property Plate No. DOQ-314 assigned at Maintenance Section, Quezon City I Engineering D</t>
  </si>
  <si>
    <t xml:space="preserve"> Republic of the Philippines Province of Davao del Sur MUNICIPALITY OF STA.CRUZ INVITATION TO BID REHABILITATION / IMPROVEMENT OF POTABLE WATER SYSTEM – LEVEL II (ITB No. 06-INFRA-2020) 1.	The Local Government Unit of Sta. Cruz, Davao del Sur through the T</t>
  </si>
  <si>
    <t xml:space="preserve"> CATERING SERVICES DURING SP SESSION/LEGISLATIVE ACTIVITIES, SPO, CALBAYOG CITY</t>
  </si>
  <si>
    <t xml:space="preserve"> QUANTITY	UNIT	ARTICLES				 2	units	File Cabinet, Lateral, Steel, 3-Drawer, Heavy Duty				 3	units	File Cabinet, Vertical, Steel, 4-Drawer, Heavy Duty				 2	units	Locker Cabinet, Metal, 15-Door (See attached sample)				 4	units	Rubber Boots Rack (See attac</t>
  </si>
  <si>
    <t xml:space="preserve"> various electrical materials</t>
  </si>
  <si>
    <t xml:space="preserve"> QUANTITY	UNIT	ARTICLES				 40	boxes	Bond Paper Sub 20 (70 GSM), Short  8.5" x 11", 5 reams/box				 50	boxes	Bond Paper Sub 20 (70 GSM), Long 8.5" x 13", 5 reams/box				 50	boxes	Bond Paper Sub 20 (70 GSM), A4 210mm x 297mm, 5 reams/box				 		*****END*****</t>
  </si>
  <si>
    <t xml:space="preserve"> Republic of the Philippines Province of Samar  Municipality of Jiabong INVITATION TO BID FOR  CONSTRUCTION OF MULTI-PURPOSE HALL BRGY CANTONGTONG, JIABONG SAMAR Jiab-2020-25A 1.	The Municipal Government of Jiabong, Samar, intends to apply the sum of ONE H</t>
  </si>
  <si>
    <t xml:space="preserve"> Solar Streetlights w/stand Solar Panel 5V/35W (movable panel) Lamp: Nichia Led SMD, 3400 lumens equivalent to 68 watts Battery: 3.2V/ 26AH Life PO4 battery Charging Time: 4 hours Lighting Time: All night lighting 4 hours full power lighting and intelligen</t>
  </si>
  <si>
    <t xml:space="preserve"> SULTAN KUDARAT STATE UNIVERSITY OFFICE OF BIDS AND AWARDS COMMITTEE 2ND FLOOR, ADMINISTRATION BUILDING ACCESS, EJC., MONTILLA, TACURONG CITY INVITATION TO BID FOR MACHINERY &amp; EQUIPMENT OUTLAY FOR THE PURCHASE OF VARIOUS EQUIPMENT FOR THE SCIENCE LABORATOR</t>
  </si>
  <si>
    <t xml:space="preserve"> 3 units - Rechargeable Megaphone 5 units Heavy Duty Rechargeable Flashlight 10 pcs Resucue Helmet 1 unit Infant CPR Mannequin 1 unit Child CPR Mannequin 3 units VHF Radio with License 13 pairs Knee Pads 13 pairs Elbow Pads 15 PCs Head Lamp 15 pcs Personal</t>
  </si>
  <si>
    <t xml:space="preserve"> Printing &amp; Publication Expenses</t>
  </si>
  <si>
    <t xml:space="preserve"> Purchase of  relief good</t>
  </si>
  <si>
    <t xml:space="preserve"> QUANTITY	UNIT	ARTICLES				 1200	bottles	Ferrous Sulfate with Folic Acid Tab, 100's				 750	boxes	Calcium Carbonate Tab, 100's				 		*****END*****</t>
  </si>
  <si>
    <t xml:space="preserve"> PLease refer to the attached terms of reference. Download and send the attached RFQ to car.mountainprovince@dti.gov.ph to MBAEL F. BANGGAWAN, OIC-Provincial Director, DTI-Mountain Province</t>
  </si>
  <si>
    <t xml:space="preserve"> CONSTRUCTION OF LOCAL ACCESS ROAD @ BRGY. BAWOD, SAN ISIDRO, LEYTE. CONSTRUCTION OF 91.20M. X 6.0M X.20M CONCRETE PAVEMENT WITH REINFORCED CONCRETE CANAL AND COVER ON BOTH SIDES OF THE ROAD 5.0 UNITS 1.0M. X 1.0M. RCBC, 334.34 LN.M. CENTER ISLAND, 574.32 </t>
  </si>
  <si>
    <t xml:space="preserve"> Office supplies and equipment</t>
  </si>
  <si>
    <t xml:space="preserve"> 1 unit 	UV-Vis spectrophotometer - Benchtop type, double-beam, Compact  	 	     (space saver), Wavelength range of 190nm-1100nm, Path length must	 	     be 1 cm, and/or changeable with 1-10cm path, must include at least 2 	 	     cuvettes and all necessar</t>
  </si>
  <si>
    <t xml:space="preserve"> 1 pc. beam, 12 pcs. torque rod bushing, 1 pc. trunion assy., 2 pcs. trunion seat, 2 pcs. trunion oil seal, 4 pcs. torque rod bolt long, 16 pcs. torque rod bolt short, 32 pcs. trunion bolt, 8 pcs. u-bolt rear, 32 pcs. hub bolt, 2 pcs. trunion washer, 4 pcs</t>
  </si>
  <si>
    <t xml:space="preserve"> Engine Oil Synthetic = 200 btls. Tire Block  = 50 btls.</t>
  </si>
  <si>
    <t xml:space="preserve"> QUANTITY	UNIT	ARTICLES				 80	boxes	Losartan 50mg, 100's				 80	boxes	Atorvastatin 20mg, 100's				 80	boxes	Losartan 100mg, 100's				 80	trays	Amlodipine 5mg, 100's				 80	boxes	Amlodipine 10mg, 100's				 100	vials	Insulin 70/30				 100	boxes	Gliclazide 3</t>
  </si>
  <si>
    <t xml:space="preserve"> Construction Materials</t>
  </si>
  <si>
    <t xml:space="preserve"> 2.	a) Contract ID:       20GOF0011 b) Contract Name:  Supply and Delivery of Data Arch File Folder and one (1) other for use of various Sections at Quezon City I District Engineering Office. c) Contract Location: Quezon City d) Approved Budget for the Con</t>
  </si>
  <si>
    <t xml:space="preserve"> Farm Inputs...diff vegetable seeds  for crop production under DAR ARBold program</t>
  </si>
  <si>
    <t xml:space="preserve"> 3.	a) Contract ID:       20GOF0012 b) Contract Name:  Supply and Delivery of L-Type Table with Partition and four (4) others for use of Construction Section at Quezon City I District Engineering Office. c) Contract Location: Quezon City d) Approved Budget</t>
  </si>
  <si>
    <t xml:space="preserve"> 1	200	liter	Gasoline	 				 APPROVED BUDGET FOR THE CONTRACT: PHP 11,600.00 LOCATION OF THE CONTRACT: BATARAZA, PALAWAN DURATION OF THE CONTRACT: 7 DAYS SCHEDULE OF ACTIVITIES: POSTING AND ISSUANCE OF BIDS: JUNE 15-22, 2020 PRE-BID CONFERENCE : DEADLINE FO</t>
  </si>
  <si>
    <t xml:space="preserve"> Use for Backhoe -UH-04</t>
  </si>
  <si>
    <t xml:space="preserve"> Municipality of Manay Invitation to Bid for Fencing of Municipal Baywalk 1.	The Municipality of Manay, through General Fund ( 20% Development Fund ) intends to apply the sum of One Million Five Hundred Pesos  (P 1,500,000.00)  being the Approved Budget fo</t>
  </si>
  <si>
    <t xml:space="preserve"> 1. WITHIN URDANETA CITY OR NEARBY TOWNS 2. FOR 125 PERSONNEL 3. SERVICES SHOULD BE DONE IN THE SCHOOLS DIVISION OFFICE FOR NOT MORE THAN 7 DAYS</t>
  </si>
  <si>
    <t xml:space="preserve"> Strenghtening of Internet Connectivity for New Normal Classes</t>
  </si>
  <si>
    <t xml:space="preserve"> 30 Rolls PE PIPE SDR9 # 1 1/2</t>
  </si>
  <si>
    <t xml:space="preserve"> PURCHASE OF DESKTOP COMPUTER AND CPU, CEO, CALBAYOG CITY</t>
  </si>
  <si>
    <t xml:space="preserve"> LIQUID SOAP KIT                        10     UNITS</t>
  </si>
  <si>
    <t xml:space="preserve"> The Municipality of Baliwag, through its Bids and Awards Committee (BAC), invites contractors to apply for eligibility and to bid the here ender project: Name of Project	:	PURCHASE OF ONE YEAR SSL SUBSCRIPTION FOR 				THE MUNICIPALITY OF BALIWAG 	 Locatio</t>
  </si>
  <si>
    <t xml:space="preserve"> Please see attached Request for Quotation (RFQ)</t>
  </si>
  <si>
    <t xml:space="preserve"> The City Government of San Pedro, Laguna invites interested parties to quote for the following item/s as per request GSO: Qty.	Unit of Issue	Item Description 		 5000	pcs	Garbage Bag (18.5 x 18.5 x 40 x 0.0012 - Biodegradeable) 75	gals	70% Isoprophyl Alcoh</t>
  </si>
  <si>
    <t xml:space="preserve"> 8 pcs. ASUS X550ZE Battery (replace/installation)		 4 pcs. ASUS X550ZEKeyboard (replace/installation)		 8 pcs. ASUS X550ZECharger (replace/installation) 		 1 pc.  17” ASUS ROG GL552V Carrying Pack</t>
  </si>
  <si>
    <t xml:space="preserve"> QUANTITY	UNIT	ARTICLES				 2	units	Printer				 		          L3110 or its equivalent				 		          All-in-One Printer (Print, Scan, Copy)				 		          Continuous Ink Support System				 		Desktop Computer				 1	unit	System Unit :				 		          Process</t>
  </si>
  <si>
    <t xml:space="preserve"> The DENR PENRO Zamboanga del Sur invites interested suppliers to submit quotation for Common Use Supplies with the following specifications: Specification Quantity Unit Bond Paper Sub.20,Long 200 Reams Bond Paper Sub.20,A4 50 Reams Folder Long 10 Reams Ex</t>
  </si>
  <si>
    <t xml:space="preserve"> REQUEST FOR QUOTATION The Municipality of Balamban, through its Bids and Awards Committtee (BAC), will undertake a Negotiated Procurement (Small Value Procurement) for CONSTRUCTION MATERIALS OF COVERED COURT AT MENTERYONG DAAN PONDOL BALAMBAN CEBU   ( Mat</t>
  </si>
  <si>
    <t xml:space="preserve"> INVITATION FOR SUBMISSION OF QUOTATION (SMALL VALUE PROCUREMENT) 	The local Government Unit of Can-avid, through is Bid and Awards Committee (BAC). Invites suppliers to apply for eligibility, to bid for the hereunder contract: Name of Contract:  	Catering</t>
  </si>
  <si>
    <t xml:space="preserve"> 4.	a) Contract ID:       20GOF0013 b) Contract Name:  Supply and Delivery of Flat Latex Paint (White) for use in Maintenance of various National Roads within District I, II, V and VI, Q.C. c) Contract Location: Quezon City d) Approved Budget for the Contr</t>
  </si>
  <si>
    <t xml:space="preserve"> 6.	a) Contract ID:       20GOF0015 b) Contract Name:  Supply and Delivery of Thermoplastic Paint White and One (1) other, to be used along various National Roads in District I, II, V and VI, Q.C. c) Contract Location: Quezon City d) Approved Budget for th</t>
  </si>
  <si>
    <t xml:space="preserve"> 100 pcs, N95 Small For COVID-19 testing use</t>
  </si>
  <si>
    <t xml:space="preserve"> WEBCAM - ANTI GLARE</t>
  </si>
  <si>
    <t xml:space="preserve"> QUANTITY	UNIT	ARTICLES				 5	cu.m.	Sand				 150	pcs	CHB #4				 20	rolls	P.E Pipe Blue 3/4 150m				 20	pcs	Compression Coupling 3/4				 1	pc	Solvent 250cc				 40	pcs	KD 2 x 4 x 12				 50	pcs	KD 2 x 3 x 12				 100	pcs	KD 2 x 2 x 12				 40	pcs	KD 1 x 2 x 12	</t>
  </si>
  <si>
    <t xml:space="preserve"> 1.	The OROQUIETA CITY WATER DISTRICT, through the Corporate Approved Budget 2020 intends to apply the sum of Eight Hundred Thousand Pesos &amp; 00/100 (Php 800,000.00) being the Approved Budget for the Contract (ABC) to payments under the contract for the sup</t>
  </si>
  <si>
    <t xml:space="preserve"> RFQ (20-06-053) Compressed Air</t>
  </si>
  <si>
    <t xml:space="preserve"> I. GLASS AND ALUMINUM INSTALLATION (OFFICE PARTITION) II. IRON WORKS (CONSTRUCTION OF MPB KITCHEN-ROOF FRAMING, ROOFING , DOOR GRILLS, SECURITY GRILLS, MBP DOOR / WINDOW GRILLS. FIRE EXIT LADDER) III. MASONRY WORKS INCLUDING FORM WORKS (MBP-KITCHEN) BREAK</t>
  </si>
  <si>
    <t xml:space="preserve"> Qty	Unit	Particulars	Unit Price	 20	pcs	Broom soft	 	 60	kl	Chlorine		 150	pck	Detergent powder (82g) 6pcs/pack		 75	can	Disinfectant spray (510ml)		 50	box	Disposable Face mask (3ply/50s)		 10	box	Disposable Gloves (100s)		 20	pcs	Dustpan Plastic		 160	p</t>
  </si>
  <si>
    <t xml:space="preserve"> RFQ (20-06-049) Various Supplies for Mechanical Ventilator Rental Use</t>
  </si>
  <si>
    <t xml:space="preserve"> 5.	a) Contract ID:       20GOF0014 b) Contract Name:  Supply and Delivery of Cold Mix Asphalt for use in Maintenance/Rehabilitation and Improvement of National Roads in District I, II, V and VI, Q.C. c) Contract Location: Quezon City d) Approved Budget fo</t>
  </si>
  <si>
    <t xml:space="preserve"> QUANTITY	UNIT	ARTICLES				 25	bags	Cement				 1	pc	Nylon Wire				 10	pcs	RSB 10mm				 25	pcs	Cutting Disc #4, Metal				 4	pcs	Drill Bit 1/4				 3	pcs	Drill Bit 3/16				 2	pcs	Drill Bit 1/8				 2	pcs	Pail				 100	pcs	Bolt &amp; Nut 3/8 x 1 1/4				 5	kgs	Weldin</t>
  </si>
  <si>
    <t xml:space="preserve"> 1	1,000	PCS	REAL PROPERTY TAX ACCOUNT REGISTER	 				 APPROVED BUDGET FOR THE CONTRACT: PHP 30,000.00 LOCATION OF THE CONTRACT: BATARAZA, PALAWAN DURATION OF THE CONTRACT: 7 DAYS SCHEDULE OF ACTIVITIES: POSTING AND ISSUANCE OF BIDS: JUNE 15-22, 2020 PRE-BI</t>
  </si>
  <si>
    <t xml:space="preserve"> BIDS AND AWARDS COMMITTEE REQUEST FOR QUOTATION United Coconut Planters Bank (UCPB) invites all interested suppliers, which are registered in the Philippine Government Electronic System (PhilGEPS), to submit their lowest price proposal/quotation for Print</t>
  </si>
  <si>
    <t xml:space="preserve"> 1	20	kgs	Welding Rod 2	3	pcs	14" Cutting Disk 3	9	gals	Rust Converter 4	14	gals	Roof Paint 5	16	gals	Red Oxide Primer 6	9	gals	Paint Thinner 7	11	pcs	#120 Sand Paper 8	2	pails	Flat Latex 9	2	pails	Semi-Gloss Latex 10	3	pcs	9" Roller Brush w/ Tray 11	5	pcs</t>
  </si>
  <si>
    <t xml:space="preserve"> SANGGUNIANG PANLUNGSOD 1 1 Unit/s Motorcycle, brand new, with complete accessories, with standard   tools, inclusive of LTO Registration and GSIS Comprehensive Insurance, with one (1) year warranty on parts and services, with the following Specifications:</t>
  </si>
  <si>
    <t xml:space="preserve"> QUANTITY	UNIT	ARTICLES				 926	pcs	Hard Bound Cover				 		          Color: Blue				 		          Height: 3.5 inches				 		          Length: 16 inches				 		          Width: 9 inches				 		          Mechanism: 70mm				 		*****END*****</t>
  </si>
  <si>
    <t xml:space="preserve"> 1. The Local Government Unit of Magsaysay, Occidental Mindoro through the Annual Budget approved by Sanggunian intends to apply the sum of Ninety Nine Thousand Nine-hundred Forty Five Pesos (P99,945.00) being the Approved Budget for the Contract (ABC) to </t>
  </si>
  <si>
    <t xml:space="preserve"> Republic of the Philippines PROVINCE OF DAVAO ORIENTAL MUNICIPALITY OF SAN ISIDRO INVITATION TO BID FOR THE PROCUREMENT OF VCM&amp;S FOR THE REHABILITATION OF LOCAL ROAD AT KABAISANAN, PUROK PERLAS, BATOBATO, SAN ISIDRO,DAVAO ORIENTAL 1.	The Municipality of S</t>
  </si>
  <si>
    <t xml:space="preserve"> Republic of the Philippines Province of Davao Oriental CITY OF MATI REQUEST FOR QUOTATION 			 Date:	11 JUNE 2020 RFQ No.:	0796-2020 Name of Company: __________________________________________________________________________________________________________</t>
  </si>
  <si>
    <t xml:space="preserve"> Use For Executive Order in Schedule Barangay ( Tarpaulin )</t>
  </si>
  <si>
    <t xml:space="preserve"> Republic of the Philippines Province of Davao Oriental CITY OF MATI REQUEST FOR QUOTATION 			 Date:	11 JUNE 2020 RFQ No.:	0795-2020 Name of Company: __________________________________________________________________________________________________________</t>
  </si>
  <si>
    <t xml:space="preserve"> Procurement of 1 Set Steel Water Tank for Slaughterhouse use</t>
  </si>
  <si>
    <t xml:space="preserve"> To be used for baking, cooking and dressmaking during TLE classes; for ventilation of tle office</t>
  </si>
  <si>
    <t xml:space="preserve"> Floor tiling of AVR and Head Teacher's Office</t>
  </si>
  <si>
    <t xml:space="preserve"> Consulting Services for the Relocation, Topographic and Subdivision Survey of Various LGU Owned Lots</t>
  </si>
  <si>
    <t xml:space="preserve"> CONSUMABLE</t>
  </si>
  <si>
    <t xml:space="preserve"> 1. FREE DELIVERY AT THE SCHOOLS DIVISION OFFICE 2. WITHIN URDANETA CITY OR NEARBY TOWNS 3. SHOULD BE DELIVERED ON OR BEFORE JUNE 26, 2020</t>
  </si>
  <si>
    <t xml:space="preserve"> 1	3	sets	Computer - Intel Corei7 7700/i7  8700; ECS H11 m/ Gigabyte	 			H310; 4GB DDR4 Hyper-X, 18.5" Monitor, CPU CASE w/ 700	 			PSU, KB/Mouse  Micropack USB, Headset, Mouse pad,	 			Speaker Bosston, AVR Secure 500W with UPS	 2	3	units	Printer : T710W ;</t>
  </si>
  <si>
    <t xml:space="preserve"> 7.	a) Contract ID:       20GOF0016 b) Contract Name:  Gender and Development (GAD) Activities in the observance of National Women’s Celebration and 18-Day End VAW Campaign c) Contract Location: Quezon City d) Approved Budget for the Contract (ABC): P 100,</t>
  </si>
  <si>
    <t xml:space="preserve"> FABRICATION OF SYMBOLIC GONG WITH 7" DIAMETER TO BE INSTALLED AT MUNICIPAL LOBBY. BAC ACTIVITIES: JUNE 23, 2020  - PURCHASE OF BID DOCS                            JUNE 26, 2020  - SUBMISSION OF BID DOCS</t>
  </si>
  <si>
    <t xml:space="preserve"> TO BE USED BY THE SENIOR HIGH SCHOOL TEACHERS  IN THE PRINTING AND PREPARATION OF THEIR HAND-OUTS, DAILY LESSON LOGS, SCHOOL FORMS AND LEARNING MODULES FOR THE SHS STUDENTS.</t>
  </si>
  <si>
    <t xml:space="preserve"> Provision of Food and Physical Arrangement of the Venue relative to the conduct of Mid-year Performance Assessment (MYPA) &amp; 2nd Sem Re-Planning Exercises and Year-end Performance Assessment (YEPA) &amp; Corplanning Exercises ABC = P 150,000.00 MYPA &amp; Re-Plann</t>
  </si>
  <si>
    <t xml:space="preserve"> PURCHASE OF PROGESTIN SUBDERMAL IMPLANT (50 PCS), CHO, CALBAYOG CITY</t>
  </si>
  <si>
    <t xml:space="preserve"> 1. 400  pcs. Brass Adopter ISO 20mm 2. 100  pcs. Brass Adopter ISO 25mm 3. 100  pcs. Brass Adopter ISO 32mm 4. 200  pcs.  Brass Ball Valve w/ Lockwing 1/2" 5. 100  pcs.  Brass Corp. Stop 3/4 " 6.  100  pcs.  Brass Union Compression Type 32mm 7.  10   roll</t>
  </si>
  <si>
    <t xml:space="preserve"> QUANTITY	UNIT	ARTICLES				 42	bags	Cement				 2.5	cu.m.	Sand				 5	cu.m.	Gravel				 100	pcs	RSB 12mm x 6.00mm				 10	pcs	Angle Bar 2" x 2" x 4.5mm				 15	kgs	Tie Wire # 16				 330	bd.ft.	Coco Lumber				 10	kgs	CWN, Assorted 				 10	pcs	Plywood, Ordinary 1</t>
  </si>
  <si>
    <t xml:space="preserve"> QUANTITY	UNIT	ARTICLES				 150	pcs	CHB #4				 6	pcs	Angle Bar 1/4 x 1				 30	pcs	RSB 2.2				 30	pcs	Plywood 1/4				 26	bags	Cement				 2	kgs	Concrete Nail #3				 1	kg	Welding Rod				 2	boxes	THHN #12				 7	pcs	Electrical Tape				 15	pcs	Louver Block				 1</t>
  </si>
  <si>
    <t xml:space="preserve"> 2	pcs	4k resolution HDMI cable - 10 meters		 4	pcs	4k resoulution HDMI cable - 5 meters		 3	pcs	OmniDirectional USB Conference Microphone for Desktop/Laptop Computers		 4	pcs	3.55 mm  Stereo Jack male to 6.35 mm (1/4 inch) male Stereo cable dual (L and R)</t>
  </si>
  <si>
    <t xml:space="preserve"> Republic of the Philippines Province of Davao Oriental CITY OF MATI REQUEST FOR QUOTATION 			 Date:	11 JUNE 2020 RFQ No.:	0785-2020 Name of Company: __________________________________________________________________________________________________________</t>
  </si>
  <si>
    <t xml:space="preserve"> QUANTITY	UNIT	ARTICLES				 150	pcs	Longspan Rib Type 20'				 17	pcs	Ridgeroll				 30	pcs	Wall Flashing				 17	pcs	Gutter				 350	pcs	Gutter Rivets				 290	pcs	Plywood, 3/4 				 290	pcs	Plywood, 1/2 				 300	bd. ft.	Coco Lumber (form &amp; scaffolding)				 8	k</t>
  </si>
  <si>
    <t xml:space="preserve"> 8 unit 	Automated rain guage	 	Components:	 	*One (1) unit tipping bucket with cable terminated via connector compatible	 	to datalogger	 	*One (1) unit solar panel (30 watts) with holder and brackets	 	*One(1) Controller Box Assembly inside shall store t</t>
  </si>
  <si>
    <t xml:space="preserve"> 1 lot labor &amp; materials for the construction of proposed workstation of OMA1 office</t>
  </si>
  <si>
    <t xml:space="preserve"> Procurement of Various  Common-Use Office Supplies. Please refer to ABE for the specifications</t>
  </si>
  <si>
    <t xml:space="preserve"> B.9	Mobilization/Demobiliazation	lot	all	21,13860 102(2)b	Roadway Excavation (Surplus Common)	103	cu.m.	17,407.00 105(1)	Subgrade Preparation (Common Material)	316	sq.m.	6,004.00 201	Aggregate Base Coarse (100mm thk.)	31.50	cu.m.	44,100.00 311(1)a	PCC Pav</t>
  </si>
  <si>
    <t xml:space="preserve"> 1.	The Local Government Unit of Las Nieves, through the Budget for the Contract Approved by the Sanggunian (20% DF) intends to apply the sum of One Hundred Thirty eight Thousand Two Hundred Pesos (Php 138,200.00)  being the Approved Budget for the Contrac</t>
  </si>
  <si>
    <t xml:space="preserve"> 10	bag	Hog Starter @ kg/bag 15	bag	Duck layer Pellet @ 50 kg/bag 17	bag	Corn grits @ 40 kg/bag 30	bag	Rice bran D1 @ 40kg/bag 2	bag	Soybean Oil meal @ 40kg/bag 80	bag	Copra meal 80	kg	Fishmeal 30	kg	Limestone Grits 4	kg	Salt 5	kg	Vitamin/Mineral Premix 6	</t>
  </si>
  <si>
    <t xml:space="preserve"> for administrative and office use 10 units pedestal filing cabinet/drawer 1 unit office table  10 units low back office swivel chair</t>
  </si>
  <si>
    <t xml:space="preserve"> Construction of Mini-Library</t>
  </si>
  <si>
    <t xml:space="preserve"> 1	100	boxes	Tinapa		(425 grms)	 2	95	boxes	Beef Loaf		(425 grms)	 3	90	boxes	Lechon Paksiw	(210 grms)	 4	95	boxes	Corned Beef	(215 grms)</t>
  </si>
  <si>
    <t xml:space="preserve"> PHILIPPINE DEPOSIT INSURANCE CORPORATION SSS MAKATI Building, 6782 Ayala Avenue corner V.A. Rufino Street, Makati City PROCUREMENT AND PROPERTY DEPARTMENT REQUEST FOR QUOTATION Supplier       The PDIC invites you to submit a quotation for the item/s state</t>
  </si>
  <si>
    <t xml:space="preserve"> Republic of the Philippines Province of Zamboanga del Sur MUNICIPALITY OF LAKE WOOD BIDS AND AWARDS COMMITTEE Invitation to Bid for Procurement of Construction of Gender Sensitive Common C.R in this Municipality 1.	The Local Government Unit of Lake Wood, </t>
  </si>
  <si>
    <t xml:space="preserve"> Bus Rental for Stranded Individual from Region V</t>
  </si>
  <si>
    <t xml:space="preserve"> 3 piece, Brush Cutter, MultiColor  Engine type: air-cooled, two-stroke,single cylinder gasoline  Engine power: 1.45kw/6500-7000r/min  Displacement: 40.2cc Carburetor: float type Garsoline/2-cycle  Oil mixing ratio: 25:1  Idling speed: 2800-3200r/min  Fuel</t>
  </si>
  <si>
    <t xml:space="preserve"> Republic of the Philippines Province of Albay Municipality of Sto. Domingo Bids and Awards Committee Request for Quotation: 06-03-2020 	 The LGU- Sto. Domingo, Albay through its Bids and Awards Committee (BAC) invites Suppliers/Manufacturer/Distributors f</t>
  </si>
  <si>
    <t xml:space="preserve"> CIRCUIT BREAKER WITH ENCLOSURE 40AMPS PDX WIRE #12 SPECIAL OUTLET WITH ENCLOSURE PDX WIRE STAPLE FOR #12 ELECTRICAL TAPE DRILLL BIT MASON #5 RUBBER TAPE</t>
  </si>
  <si>
    <t xml:space="preserve"> ANGLE BAR SQUARE BAR FLAT BAR</t>
  </si>
  <si>
    <t xml:space="preserve"> TERMS AND CONDITIONS:						 1. All entries must be typewritten or legibly written. 					 2. Delivery period within ________3 days____________________ upon receipt  of the approved  funded Purchase Order (P.O.).   				 3. Warranty shall be for a minimum of</t>
  </si>
  <si>
    <t xml:space="preserve"> 2	units		DRONE CAMERA 			(with 2 extra batteries) 		Sensor	1" CMOS 			Effective Pixels: 20 million 		Lens	FOV: about 77  ̊ 			35 mm Format Equivalent: 28 mm 			Aperture: f/2.8-f/11 			Shooting Range: 1 m to ꚙ 		ISO Range	Video:  			100-6400 			Photo: 			1</t>
  </si>
  <si>
    <t xml:space="preserve"> Republic of the Philippines Province of Abra Municipality of Pilar  Invitation to Bid for Construction/Rehabilitation of Irrigation System 1.	The Municipality of Pilar, through the RA 7171 to apply the sum of Php4,000,000.00 being the Approved Budget for </t>
  </si>
  <si>
    <t xml:space="preserve"> Republic of the Philippines Province of Davao Oriental CITY OF MATI REQUEST FOR QUOTATION 			 Date:	11 JUNE 2020 RFQ No.:	0793-2020 Name of Company: __________________________________________________________________________________________________________</t>
  </si>
  <si>
    <t xml:space="preserve"> 39 unit 	Small smoke house - Height: 1 meter, Diameter 37.5 cm with 5 	 	     stainless steel trays and 4 tray holders, With glass view window,	 	     With thermostat; Stainless body, With stainless sliding firebed and	 	     firebed holder heat source, C</t>
  </si>
  <si>
    <t xml:space="preserve"> Purchase of Second Hand Garbage Truck- Elf Truck (2019 Model)</t>
  </si>
  <si>
    <t xml:space="preserve"> The AGRICULTURAL TRAINING INSTITUTE-REGIONAL TRAINING CENTER (ATI-RTC) X, through the 2020 General Appropriations Act intends to apply the sum of Sixty Eight Thousand Pesos (P 68,000.00) being the Approved Budget for the Contract (ABC) to payments under t</t>
  </si>
  <si>
    <t xml:space="preserve"> 4 units Siren</t>
  </si>
  <si>
    <t xml:space="preserve"> 1	2	boxes	1.0mm gel Impact (blue)	 2	5	boxes	BX-V7 Hi-Techpoint (black)/doz.	 3	10	doz	V5 Hi-Tech Point Roller Ballpen(blue)/doz.	 4	5	doz	V5 Hi-Tech Point Roller Ballpen(black)/doz.	 5	2	doz	G-Tech-C4 Roller Ballpen(black)/doz.	 6	15	doz	Refil G-Tec-C4 R</t>
  </si>
  <si>
    <t xml:space="preserve"> Janitorial Service</t>
  </si>
  <si>
    <t xml:space="preserve"> 1. The Local Government Unit of Magsaysay, Occidental Mindoro through the Annual Budget approved by Sanggunian intends to apply the sum of Fifty Two Thousand Five-hundred Pesos (P52,500.00) being the Approved Budget for the Contract (ABC) to payment under</t>
  </si>
  <si>
    <t xml:space="preserve"> REPAIR &amp; MAINTENANCE OF FISHPORT FACILITIES (A. PERIMETER FENCE) REPAIR &amp; MAINTENANCE OF FISHPORT FACILITIES (B. OLD PUBLIC MARKET BLDG.) EXPANSION OF MAGSAYSAY BOULEBARD</t>
  </si>
  <si>
    <t xml:space="preserve"> Tarpaulin</t>
  </si>
  <si>
    <t xml:space="preserve"> Floor tiling of  clinic and guidance office</t>
  </si>
  <si>
    <t xml:space="preserve"> 1	1	Unit	Water Dispenser 			Hot and Cold 			Compressor Cooling 			Floor-Standing 			1 Year Warranty on Parts &amp; Service 2	1	Unit	Refrigerator 2 Door 			8.0 cu.ft. Two Door Top Freezer Refrigerator 			Inverter Linear Compressor 			Door Cooling 			Tempered G</t>
  </si>
  <si>
    <t xml:space="preserve"> The Local Government Unit of Isabel, Leyte through its Bids and Awards Committee (BAC), invites eligible philgeps supplier in the Philippines to supply the hereunder; Name of Project : Purchase of Various Construction Materials Location: Mayor's Office, I</t>
  </si>
  <si>
    <t xml:space="preserve"> for Guiuan emergency Response  Team equipments and supplies 5 bxs gloves nono sterile 10 pcs face shield (original) 2 pcs scanner 5 gal. alcohol (3.6 liters) 5 bxs facemask white 1 pc foldable stretcher 1 pc box strap spine board 1 pc head immobilizer</t>
  </si>
  <si>
    <t xml:space="preserve"> Concreting of 71.0m x 5.0m. local access road (thickness=0.20m). Concrete curb and gutter and concrete canal with reinforced canal cover on both sides of the road including 1.0m. (1.0m x1.0m. x5.0m.) RCBC</t>
  </si>
  <si>
    <t xml:space="preserve"> note: please see attach supporting rfq</t>
  </si>
  <si>
    <t xml:space="preserve"> 120 pcs Led ecolum bulb 11 watts 25 pcs Amglobe crystal light 1/2 clear</t>
  </si>
  <si>
    <t xml:space="preserve"> 1 unit 	Dual-powered solar dryer</t>
  </si>
  <si>
    <t xml:space="preserve"> Request for Quotation PVC Card w/ Hologram Stamp						4463	pcs YMCKT-K Color Ribbon Kit @ 375/roll						13	roll Top Coat @ 1000/roll						10	roll for the use of ODA, 9ID, PA</t>
  </si>
  <si>
    <t xml:space="preserve"> assorted drugs &amp; medicines</t>
  </si>
  <si>
    <t xml:space="preserve"> 1	10	BOTTLE	REFILL INK, L3110 PRINTER, BLACK		 2	3	BOTTLE	REFILL INK, L3110 PRINTER, CYAN		 3	3	BOTTLE	REFILL INK, L3110 PRINTER, MAGENTA		 4	3	BOTTLE	REFILL INK, L3110 PRINTER, YELLOW		 5	6	BOTTLE	REFILL INK, L220,L565 PRINTER, BLACK		 6	2	BOTTLE	REFILL </t>
  </si>
  <si>
    <t xml:space="preserve"> 1	unit	Cardiac Monitor (5 Parameters) 20	unit	Finger Pulse Oximeter Adult 3	unit	Finger Pulse Oximeter Pedia 1	unit	Laryngoscope Set (Fiber Optic Mac 0,00,1,2,3,4) 9	unit	LED Otoscope 15	unit	Desk or Table top Sphygmomanometer 48	unit	Sphygmomanometer (re</t>
  </si>
  <si>
    <t xml:space="preserve"> QTY		UNIT		DESCRIPTION LABORATORY EQUIPMENTS AND REAGENTS 1		Unit		Fully Automated Chemistry Analyzer 1		Unit		Automated Hematology Analyzer(3 Parts) 1		Unit		Electrolytes Analyzer 1		Unit		Digital Clinical Centrifuge 		 *Chemistry Analyzer* 1		Btl		Chole</t>
  </si>
  <si>
    <t xml:space="preserve"> Republic of the Philippines Province of Pangasinan MUNICIPALITY OF LINGAYEN BARANGAY MANIBOC Invitation to Bid    1. The Barangay Maniboc, through the Barangay  Development Fund CY 2020 intends to apply the sum of  One  Million Two Hundred Sixty Seven  Th</t>
  </si>
  <si>
    <t xml:space="preserve"> Republic of the Philippines PROVINCE OF SOUTHERN LEYTE Maasin City Invitation to Bid for the Procurement of Various Agricultural Supplies  Contract ID # 2020-07-07-367PG 1.	The Provincial Government of Southern Leyte through the PAGSO Other Maintenance an</t>
  </si>
  <si>
    <t xml:space="preserve"> The Municipality of Tanza, Cavite, through its Bids and Awards Committee (BAC), invites contractors registered with and classified by the Philippine Contractors Accreditation Board (PCAB) to apply for eligibility and if found eligible, to bid for the here</t>
  </si>
  <si>
    <t xml:space="preserve"> CITY LIBRARY OFFICE 1 1 Lot LIBRARY ONLINE RESOURCES FOR THE DAVAO CITY LIBRARY AND INFORMATION CENTER Please see attached file/document on associated components or BAC website www.davaocityportal.com (BAC posting) for the complete descriptions, terms of </t>
  </si>
  <si>
    <t xml:space="preserve"> PROCUREMENT OF MATERIALS FOR THE CONSTRUCTION OF DRAINAGE SYSTEM AT LAPUAK PHASE - I				 ABC: 692,500.00				 				 46	cu.m	Gravel 2' dia.		 690	bags	Portland Cement		 547	pcs	12mm dia. X 6.0 deformed bar		 69	cu.m	Riversand		 2000	db.ft.	Form Lumber		 10	p</t>
  </si>
  <si>
    <t xml:space="preserve"> PLEASE SEE THE ATTACHMENT</t>
  </si>
  <si>
    <t xml:space="preserve"> Supply and Delivery with Installation of Steel Racks for official use of CENRO Tagbilaran City	 	  Steel Rack	10	unit</t>
  </si>
  <si>
    <t xml:space="preserve"> City Anti Drug Abuse Council CMO/ SPORTS DEV. DIVISION Please see attached file/document on associated components or BAC website www.davaocityportal.com (BAC posting) for the complete descriptions, terms of conditions and terms of references. Bidding will</t>
  </si>
  <si>
    <t xml:space="preserve"> PROJECT: DISSILTING OF CREEK FOR FLOOD PREVENTION LOCATION: BICOS, RIZAL, NUEVA ECIJA DESCRIPTION: L=200.0M, W=6.0M, H=3.0M SOURCE OF FUND: CALAMITY FUND ABC: PHP 150,000.00</t>
  </si>
  <si>
    <t xml:space="preserve"> RFQ (20-06-057) Tolda and Sodium hypochlorite (sprayer decontamination)</t>
  </si>
  <si>
    <t xml:space="preserve"> Please quote your lowest price on the line items.</t>
  </si>
  <si>
    <t xml:space="preserve"> I. Removal of Existing Structures II. Chipping of Concrete III. Concrete Works (Stairs &amp; Columns) IV. Masonry Works V. RSB VI. Plastering Works VII. Electrical Works VIII, Ceiling Works IX. Forms &amp; Scaffoldings X. Plumbing Works XI. Tile Works XII. Doors </t>
  </si>
  <si>
    <t xml:space="preserve"> NOTICE FOR NEGOTIATED PROCUREMENT Publication: June 16, 2020 Closing: June 19, 2020 Name of Project	Road Concreting at Barangay Paoa, Vigan City Approved Budget for the Contract	 ₱200,000.00 Contract Period:	6 days Item No.	SCOPE OF WORKS	QTY	UNIT	UNIT CO</t>
  </si>
  <si>
    <t xml:space="preserve"> 14 cavans Rice and 14 other LI</t>
  </si>
  <si>
    <t xml:space="preserve"> Republic of the Philippines								 Province of Negros Occidental								 Municipality of La Castellana								 Bids and Awards Committee								 								 INVITATION TO APPLY FOR ELIGIBILITY AND TO BID								 								 Name of Project: 		PURCHASE OF MEDIC</t>
  </si>
  <si>
    <t xml:space="preserve"> Republic of the Philippines Province of Batangas Municipality of San Juan BIDS AND AWARDS COMMITTEE INVITATION TO APPLY FOR ELIGIBILITY AND TO BID THE LOCAL GOVERNMENT UNIT OF BRGY. SAMPIRO,  SAN JUAN, BATANGAS, through its Bids and Awards Committee (BAC)</t>
  </si>
  <si>
    <t xml:space="preserve"> This project is by lot, partial bid is not accepted LOT JANITORIAL SERVICES 1 JANITORIAL SERVICES *Equivalent Monthly Rate(EMR)/Average Pay/Month (305.00 x 261/12)= 6633.75 *COLA (RB XIII-12) (15 x 261/12)=326.25, *Five day service leave rate (pro rated) </t>
  </si>
  <si>
    <t xml:space="preserve"> Please quote your best price 150 boxes of Surgical Gloves (Size 7.5) 100 pcs\ box ABC 150,000.00 150 boxes of Surgical Gloves (Size 8) 100 pcs\ box ABC 150,000.00 Please email your quotation Please download canvass form</t>
  </si>
  <si>
    <t xml:space="preserve"> CONSTRUCTION MATERIALS AND SUPPLIES</t>
  </si>
  <si>
    <t xml:space="preserve"> Republic of the Philippines PROVINCE OF SOUTHERN LEYTE Maasin City Invitation to Bid for the Procurement of Banana Cardava Plantlets  Contract ID # 2020-07-07-368PG 1.	The Provincial Government of Southern Leyte through the PAGSO - Other Maintenance and O</t>
  </si>
  <si>
    <t xml:space="preserve"> Concreting of Local Road, Siempre Eterno, Paloyon Proper, Nabua, Camarines Sur</t>
  </si>
  <si>
    <t xml:space="preserve"> SMART CARD 78PCS GLOBE CARDS 110PCS TM CARDS 59PCS</t>
  </si>
  <si>
    <t xml:space="preserve"> 1	7	bottle	Epson L3110 Refill Ink, black	 2	7	bottle	Epson L3110 Refill Ink, cyan	 3	7	bottle	Epson L3110 Refill Ink, magenta	 4	7	bottle	Epson L3110 Refill Ink, yellow	 5	2	units	External Hard Drive,1TB	 				 APPROVED BUDGET FOR THE CONTRACT: PHP 21,942.</t>
  </si>
  <si>
    <t xml:space="preserve"> INVITATION TO APPLY FOR ELIGIBILITY AND TO BID The Barangay Council of San Ramon, Bula, Camarines Sur, through its Bids and Awards Committee (BAC), invites suppliers/ contractors to apply for eligibility and to bid for the hereunder projects: Name of Proj</t>
  </si>
  <si>
    <t xml:space="preserve"> 1 LOT 	Manila: 1.	Customer Service Training for 1 Batch on June 20-22, 2020 	Qualification  1.	Global leader in professional training; 2.	Trainers undergo a strict and standardized qualification program and training overseas and locally; 3.	Offers profess</t>
  </si>
  <si>
    <t xml:space="preserve"> 1 Set	Water Retort Chamber with Accessories 	 	(steam boiler and cooling tower)	 		 	A. Counter Pressure Retort ,2 - baskets capacity	 	  -  Horizontal type, Stainless Steel T304 type materials	 	  -  Dimensions: L220mm x Diameter 1200mm	 	  -  2" thick r</t>
  </si>
  <si>
    <t xml:space="preserve"> QUOTATION ON LABORATORY AND EQUIPMENT</t>
  </si>
  <si>
    <t xml:space="preserve"> Department of Public Works and Highways Contract ID:	20NA0070 Title: 		Concreting of Brgy. Sangay FMR, Buenavista, Agusan del Norte Location:		Buenavista, Agusan del Norte ___________________________________________________________________________________</t>
  </si>
  <si>
    <t xml:space="preserve"> 1. The Department of Agriculture – Regional Field Office – Cordillera Administrative Region (DA-RFO-CAR) intends to apply part of its CY 2020 General Appropriation Act (GAA) the total sum of Nine Hundred Ninety Four Thousand Four Hundred Ten Pesos (P994,4</t>
  </si>
  <si>
    <t xml:space="preserve"> PROCUREMENT OF TOOLS AND EQUIPMENT FOR CITY ENGINEER'S OFFICE				 ABC: 1,188,509.64				 				 1	unit	Surveying Instrument		 1	unit	Road Concrete Cutter with 10 blades		 2	units	Welding Machine 500 ampere		 1	unit	Electric Bar Cutting Machine 32mm dia.		 1	</t>
  </si>
  <si>
    <t xml:space="preserve"> Losartan 50mg Metoprolol 50mg Ascorbic Acid 500mg Multivitamins capsule Surgical Masks</t>
  </si>
  <si>
    <t xml:space="preserve"> SULTAN KUDARAT STATE UNIVERSITY  OFFICE OF BIDS AND AWARDS COMMITTEE 2ND FLOOR, ADMINISTRATION BUILDING ACCESS, EJC MONTILLA, TACURONG CITY INVITATION TO BID FOR Machinery &amp; Equipment Outlay for the Purchase of Various Equipment for the use of Science Lab</t>
  </si>
  <si>
    <t xml:space="preserve"> CTTMO PR # 2004-001 1 20 Gallon/s Adhesive, stikwel  2 100 Pack/s Calsomine, powder  3 100 Piece/s Paint Brush No.4  4 133 Piece/s Paint Roller Try  5 6 Roll/s Rope, nylon, no. 24 color yellow, 200mtrs  1. All quoted shall be inclusive of VAT. 2. Allquote</t>
  </si>
  <si>
    <t xml:space="preserve"> Name of Project: CONS. AND IMPROVEMENT OF TABBAC FOOTRAIL					 Location: Sapid, Mankayan, Benguet					 Materials:					 Description		Qty.	Unit	Unit Cost	Amount 1x4x10 lumber forms		98.1	bd.ft	50.00	 4,905.23  Assorted common nails		9	kgs	95.00	855.00 port </t>
  </si>
  <si>
    <t xml:space="preserve"> OFFICE OF THE BIDS AND AWARDS COMMITTEE (BAC)                                                                                                     Notice No     : 2020-245                                                                                     </t>
  </si>
  <si>
    <t xml:space="preserve"> Republic of the Philippines PROVINCE OF SOUTHERN LEYTE Maasin City Invitation to Bid for the Procurement of Various Catering Services &amp; Training Materials  Contract ID # 2020-07-07-369PG 1.	The Provincial Government of Southern Leyte through the PAGSO – O</t>
  </si>
  <si>
    <t xml:space="preserve"> Please see attached Invitation to Bid (ITB) and Purchase Request (PR).</t>
  </si>
  <si>
    <t xml:space="preserve"> Procurement of Cattle Fattening Supplies</t>
  </si>
  <si>
    <t xml:space="preserve"> Concreting of Local Road, Dolorosa, Nabua, Camarines Sur</t>
  </si>
  <si>
    <t xml:space="preserve"> 2BOX OF FOLDER, WHITE, LEGAL 10BOX OF PAPER FASTENER, PLASTIC 1PC OF PUNCHER, paper, heavy duty, with two hole guide 4BOX OF ERASER, PLASTIC/RUBBER, for pencil draft/writing 40UNIT OF Calculator, SCIENTIFIC 1PC OF In and Out filer 10PCS OF Staple # 35  25</t>
  </si>
  <si>
    <t xml:space="preserve"> PROCUREMENT OF VARIOUS MACHINERIES AND EQUIPMENT FOR THE USE OF MDRRM OPERATION CENTER, TIGBAUAN, ILOILO.</t>
  </si>
  <si>
    <t xml:space="preserve"> 6	pairs	MAONG PANTS SIZE 28-30 6	pairs	MAONG PANTS SIZE 26-28 6	pairs	MAONG PANTS SIZE 24-26 6	pairs	MAONG PANTS SIZE 22-24 6	pairs	MAONG PANTS SIZE 20-22 6	pairs	MAONG PANTS (GARTERIZED SIZED 18-20) 6	pairs	MAONG PANTS (GARTERIZED SIZED 16-18) 6	pairs	MA</t>
  </si>
  <si>
    <t xml:space="preserve"> The detailed Bill of Materials is attached to the Bid Forms.</t>
  </si>
  <si>
    <t xml:space="preserve"> Republic of the Philippines                   Department of Health	       CENTRAL OFFICE BIDS AND AWARDS COMMITTEE  PROCUREMENT OF TROCLOSENE SODIUM IB No. 2020- 176 1.	The Department of Health (DOH), through the General Appropriations Act of 2020 intends</t>
  </si>
  <si>
    <t xml:space="preserve"> *PAINT - Acrytex Gloss (80 gallons) *PAINT - Acrytex Primer (50 gallons) *PAINT - Acrytex Reducer (30 gallons) *ROOFING - G.I. Corrugated Sheet 3' x 10', Ga. 24 (0.30mm thk) (200 sheets) *PLYWOOD (MARINE) - 4' x 8' x 5mm thk (200 sheets) *Please see attac</t>
  </si>
  <si>
    <t xml:space="preserve"> INVITATION TO BID FOR  1.	The Municipal Government of Coron, Palawan, through the 2020 Annual Municipal Budget intends to apply the sum of One Million Nine Hundred Twenty Seven Thousand Eight Hundred Twenty S Pesos (PhP1,927,827.00) being the Approved Bud</t>
  </si>
  <si>
    <t xml:space="preserve"> Republic of the Philippines Province of Abra Municipality of Pilar  Invitation to Bid for Construction of Flood Control 1.	The Municipality of Pilar, through the RA 7171 to apply the sum of Php25,000,000.00 being the Approved Budget for the Contract (ABC)</t>
  </si>
  <si>
    <t xml:space="preserve"> PROJECT:CONSTRUCTION OF SEPTIC VAULT FOR HEALTH CARE WASTE LOCATION: SAN GREGORIO, RIZAL, NUEVA ECIJA DESCRIPTION: 10 X 2 = 20.0 SQ.M. SOURCE OF FUND: 20% MUNICIPAL DEVELOPMENT FUND ABC: PHP 200,000.00</t>
  </si>
  <si>
    <t xml:space="preserve"> TO BE USED BY THE SHS TEACHERS AND GRADE 11- MARRIOTT STUDENTS FOR THE PRESENTATION OF THEIR AUDIO-VISUAL MATERIALS.</t>
  </si>
  <si>
    <t xml:space="preserve"> SNACKS</t>
  </si>
  <si>
    <t xml:space="preserve"> CITY HEALTH OFFICE -- Assorted Eye Glasses -- Please see attached file/document on associated components or BAC website www.davaocityportal.com (BAC posting) for the complete descriptions, terms of conditions and terms of references. Bidding will be condu</t>
  </si>
  <si>
    <t xml:space="preserve"> Please see attached Request for Quotation.</t>
  </si>
  <si>
    <t xml:space="preserve"> Sir/Madam: Please quote your government price/s including delivery charges, VAT or other applicable taxes, and other incidental expenses for the goods listed in Annex A. Failure to indicate information could be basis for non - compliance. Also, furnish us</t>
  </si>
  <si>
    <t xml:space="preserve"> RFQ-2020-171		 			 1.	30	btls	Multivitamins 2.	30	btls	Antibiotics 			 	Deadline for Submission of Bids: June 22, 2020, 11:00 AM		 			PAYMENT TERM: 90 DAYS</t>
  </si>
  <si>
    <t xml:space="preserve"> 2 pcs 8 stack Variloop Antenna / VHF 1 pc RGB (50 Ohms) Coaxial Cable 1 set System Design and Installation -repeater set-up (frequency testing, tuning and others) -antenna set up -coaxial cable termination and installation 6 pcs PL259 Connector 1 set Copp</t>
  </si>
  <si>
    <t xml:space="preserve"> 14	unit 	Chest type freezer/chiller - Chest type, Two door, 18 cu ft, Inverter 1	unit 	Ice cream machine - 304 stainless steel blade with adjustable scrapers,  		     ABS Housing, Air cooled,  304 stainless steel inner bowl, Large opening:  		     Allows </t>
  </si>
  <si>
    <t xml:space="preserve"> FABRICATION : I MASONRY AND METAL WORKS  BREAKDOWN OF EXPENDITURES :  I.  MATERIALS        -       P   71,185.00  II. LABOR              -            28,800.00                                     ______________      TOTAL              -       P    99,985.</t>
  </si>
  <si>
    <t xml:space="preserve"> Republic of the Philippines						 City Government of Davao						 						 INVITATION TO BID						 for Infrastructure Projects B13-2020						 						 The City Government of Davao now invites bidders for the project/s under B13-2020 as listed below.   The pros</t>
  </si>
  <si>
    <t xml:space="preserve"> Completion of Concreting of Local  Road, Inapatan to Angustia, Nabua, Camarines Sur</t>
  </si>
  <si>
    <t xml:space="preserve"> Meatloaf, 150g 48's Sardines, 155g 100's Noodles 3 in 1 Coffee Corned beef</t>
  </si>
  <si>
    <t xml:space="preserve"> 47	bags	Portland Cement 3	cu.m.	Sand (S1) 6	cu.m.	Gravel (G1) 141	pcs	10mmØ x 6m RSB 112	pcs	12mmØ x 6m RSB 11	kgs	#16 G.I. Tie Wire 8	pcs	6mm thk ordinary plywood 174.3	bd.ft.	2”x2”x10’ good lumber 5	kgs.	Assorted CW Nails</t>
  </si>
  <si>
    <t xml:space="preserve"> Republic of the Philippines                   Department of Health	       CENTRAL OFFICE BIDS AND AWARDS COMMITTEE  PROCUREMENT OF RED EVACUATED TUBE IB No. 2020- 189 1.	The Department of Health (DOH), through the General Appropriations Act of 2020 intend</t>
  </si>
  <si>
    <t xml:space="preserve"> CONSTRUCTION OF DEEP WELL, CONCRETE FLOORING AND COVER, INSTALLATION OF ELECTRIC PUMP &amp; PIPPINGS AND INSTALLATION OF 750.00 LINEAR METERS PIPELINES.</t>
  </si>
  <si>
    <t xml:space="preserve"> Materials Labor SCHEDULE OF BIDDING Advertisement/Posting – June 16-23, 2020 Issuance of Bid Documents – June 16-24, 2020 Submission and Opening of Bids – June 24, 2020 (Wednesday, 10:00 AM, General Services Office Conference Room, Municipal Compound, Nat</t>
  </si>
  <si>
    <t xml:space="preserve"> INVITATION TO BID  Please quote your lowest price inclusive of VAT on the item/s listed below, subject to the Terms and Conditions of this RFQ, and submit your quotation duly signed by your representative not later than June 19, 2020 at 2 in the afternoon</t>
  </si>
  <si>
    <t xml:space="preserve"> 1 Set Submersible Motor: 3HP, 1PH, 220 V, 3450 RPM, 60Hz, 14 inches diameter and Control Box 3HP including Pull Out and Install and Testing and Commissioning</t>
  </si>
  <si>
    <t xml:space="preserve"> The Local Government Unit of Barugo, through the 20% Project Development Fund intends to apply the sum of Two Million Six Hundred Fifty Thousand Pesos (Php2,650,000.00)  being the Approved Budget for the Contract (ABC) to payments under the contract for P</t>
  </si>
  <si>
    <t xml:space="preserve"> OFFICE OF THE BIDS AND AWARDS COMMITTEE (BAC)                                                                                                     Notice No     : 2020-246                                                                                     </t>
  </si>
  <si>
    <t xml:space="preserve"> BCCAD 1 1000 Piece/s Umbrella  Delivery Period : 30 Days Upon Receipt of Approved P.O. Please see attached file/document on associated components or BAC website www.davaocityportal.com (BAC posting) for the complete descriptions, terms of conditions and t</t>
  </si>
  <si>
    <t xml:space="preserve"> OFFICE OF THE BIDS AND AWARDS COMMITTEE (BAC)                                                                                                     Notice No     : 2020-247                                                                                     </t>
  </si>
  <si>
    <t xml:space="preserve"> REPUBLIC OF THE PHILIPPINES PROVINCE OF ORIENTAL MINDORO MUNICIPALITY OF GLORIA NOTICE OF REQUEST FOR QUOTATION The Municipality of Gloria through its Bids and Awards Committee (BAC) will undertake alternative mode of procurement, small value procurement </t>
  </si>
  <si>
    <t xml:space="preserve"> Republic of the Philippines PROVINCE OF SOUTHERN LEYTE Maasin City Invitation to Bid for the Procurement of Catering Services, Venue/Rental, Training Supplies &amp; Materials and Agricultural Supplies  Contract ID # 2020-07-07-370PG 1.	The Provincial Governme</t>
  </si>
  <si>
    <t xml:space="preserve"> CSSDO 1 2320 Can/s Beef Loaf 150 grams per can  2 210 Sack/s Rice (50kls) per sack, Well-milled, Good Quality  Delivery Period : 15 Days Upon Receipt of Approved P.O. Please see attached file/document on associated components or BAC website www.davaocityp</t>
  </si>
  <si>
    <t xml:space="preserve"> OFFICE OF THE BIDS AND AWARDS COMMITTEE (BAC)                                                                                                     Notice No     : 2020-248                                                                                     </t>
  </si>
  <si>
    <t xml:space="preserve"> 1	Wireless Ink Tank Printer	2 units 	Specification:	 	    Automatic   Duplex	 	    Print, Scan, Copy, Fax up to A3+ with	 	   ADF Printer	 	     High Speed Duplex Printing	 	     Printspeed up to 32ppm/20ppm	 	     With a 35-sheet duplex ADF unit 	 	     </t>
  </si>
  <si>
    <t xml:space="preserve"> See attach RFQ,.</t>
  </si>
  <si>
    <t xml:space="preserve"> Procurement of Sewing machines and Stainless Rack for Kitchen Utensils</t>
  </si>
  <si>
    <t xml:space="preserve"> NOTICE OF NEGOTIATED PROCUREMENT (Two Failed Biddings) TO ALL INTERESTED BIDDERS We are pleased to invite you in our negotiation conference for the project requirements “To hire contractor to provide materials, labor, and equipment for the “Additional App</t>
  </si>
  <si>
    <t xml:space="preserve"> Concreting of Local Road at Topas Proper, Nabua, Camarines Sur</t>
  </si>
  <si>
    <t xml:space="preserve"> NOTICE OF NEGOTIATED PROCUREMENT (Two Failed Biddings) TO ALL INTERESTED BIDDERS We are pleased to invite you in our negotiation conference for the project requirements requirement To hire contractor to provide materials, labor and equipment for six (6) I</t>
  </si>
  <si>
    <t xml:space="preserve"> INVITATION TO BID FOR THE SUPPLY, DELIVERY AND COMMISSIONING OF OPHTHALMIC ULTRASOUND A/B SCAN WITH UBM 1.  The Cagayan Valley Medical Center (CVMC), intends to apply the sum Three Million Pesos (Php   3,000,000.00 ) being the Approved Budget for the Cont</t>
  </si>
  <si>
    <t xml:space="preserve"> 1 lot Additional 22 seaters for the existing H-Tech  "Hello-3" Digital Language Learning System A.22 units Students Unit Hello-3 Features 1.Digital flat switch panel. Spill proof. 2.Stereo sound reproduction and two track recording  L+R, L+L, R+R, LR+LR t</t>
  </si>
  <si>
    <t xml:space="preserve"> Request for Quotation Cheese Cake 35x10s						65	pack Chocolate bar cake						65	pack Pansit canton						10	bx Rice 50kls						10	sack Juice in can 240ml x 24s						12	bx Coffee original 3 in 1						30	pack Corned Beef 175g x 48's						2	bx Mineral Water </t>
  </si>
  <si>
    <t xml:space="preserve"> Republic of the Philippines					 Province of Southern Leyte					 Municipality of Silago					 					 REQUEST FOR QUOTATION(RFQ)					 ______________________________________					                                           Date					 ____________________________</t>
  </si>
  <si>
    <t xml:space="preserve"> Republic of the Philippines Municipality of Tabuelan Invitation to Bid  The Philippine Government Electronic Procurement System Office – Procurement Service invites PhilGEPS registered suppliers to bid for the hereunder items Attached: Bidding will be con</t>
  </si>
  <si>
    <t xml:space="preserve"> The Pasay City Government – General Services Office, through its Bids and Awards Committee, intends to apply the sum of Three Hundred Fifty Four Thousand Two Hundred Fifty Pesos (Php354,250.00) being the Approved Budget for the Contract (ABC) for the  pro</t>
  </si>
  <si>
    <t xml:space="preserve"> electrical materials and supplies</t>
  </si>
  <si>
    <t xml:space="preserve"> 20   bot    brother toner (printer &amp; xerox) 50   cart   Epson 003 black 50   cart   Epson 003 cyan 50   cart   Epson 003 magenta 50   cart   Epson 003 yellow 8     pc     ballpen pilot 265 pc     ballpen HBW 100 pc     ballpen, black, retractable 100 pc, </t>
  </si>
  <si>
    <t xml:space="preserve"> Invitation to Quote The Philippine Charity Sweepstakes Office thru the Procurement Division, General Services Dept. announces the purchase and procurement of the above listed item/s. All interested suppliers may secure the standard sealed quotation/canvas</t>
  </si>
  <si>
    <t xml:space="preserve"> Please quote your best price 250 boxes of Levothyroxine Thydin 12.5 mcg (100 pcs\ box) ABC 112,500.00 250 boxes of Levothyroxine Thydin 25 mcg (100 pcs\ box) ABC 137,500.00 150 boxes of Levothyroxine Thydin 50 mcg (100 pcs\ box) ABC 93,750.00 Please email</t>
  </si>
  <si>
    <t xml:space="preserve"> 5	 Pieces	With Side Drawers (1.2M) Materials: MDF Board Size: L120xW60x76HCM 2	 Pieces	With Side Drawers (1.4M) Material: MDF Board Size: L140xW70x76HCM 45	 Pieces	Executive Chair Material: Leatherette Chrome Leg Color: Black Leather 5	 Pieces	Senior Exec</t>
  </si>
  <si>
    <t xml:space="preserve"> see attached RFQ &amp; menu</t>
  </si>
  <si>
    <t xml:space="preserve"> PLEASE SEE ATTACHED COMPONENTS</t>
  </si>
  <si>
    <t xml:space="preserve"> June 15, 2020                                                                   	          Solicitation No.: RFQ2020-06-02 REQUEST FOR QUOTATION The Fertilizer and Pesticide Authority, through its Bids and Awards Committee (BAC), invites interested partie</t>
  </si>
  <si>
    <t xml:space="preserve"> PURCHASE OF RDT DETECTION OF DEGUE NSI ANTIGEN &amp; 1GM AND 1gG ANTIBODIES COMBINED, CHO</t>
  </si>
  <si>
    <t xml:space="preserve"> Please quote your lowest price on the item/s listed below, subject to the  General Conditions on this page, stating the shortest time of delivery and  submit your quotation duly signed by your representative not later than ten  (10) days upon receipt of t</t>
  </si>
  <si>
    <t xml:space="preserve"> TO BE USED BY THE SCHOOL CLINIC FOR THE STUDENTS AND TEACHERS' HEALTH-RELATED NEEDS AND DURING MEDICAL EMERGENCY CASES.</t>
  </si>
  <si>
    <t xml:space="preserve"> INVITATION TO BID Project Name:	Construction of Multi-Purpose Building Name of Bidder:	 Address :	 ITB Number:	BUSO – 001-20 ABC	P 444,728.50 Project Duration	66 Calendar Days Please quote your lowest price on the item/s listed below, stating the shortest</t>
  </si>
  <si>
    <t xml:space="preserve"> Republic of the Philippines CITY GOVERNMENT OF SAN FERNANDO City Hall Building, F. Ortega Highway Tel. No. (072)8886901, (072) 867-8100/Fax No. (072)8886907 Website: www.sanfernandocity.gov.ph Email: csflu_98@yahoo.com INVITATION TO BID FOR  CONSTRUCTION </t>
  </si>
  <si>
    <t xml:space="preserve"> PROCUREMENT OF MATERIALS FOR ELECTRICAL TRANSMISSION OF ROAD NETWORK AT BALOBO RESETTLEMENT PHASE-1				 ABC: 558,530.00				 				 1800	mtrs.	Wire ACSR #2		 610	mtrs.	Wire ACSR # 1/0		 3	pcs	Pole Top Pin		 3	pcs	Pin Insulator		 4	pcs	Suspension		 8	pcs	Mach</t>
  </si>
  <si>
    <t xml:space="preserve"> This project entails labor and materials for the rehabilitation /construction of 4 units Purok Marker at Brgy. Binisitahan Norte, Magallanes, Sorsogon.</t>
  </si>
  <si>
    <t xml:space="preserve"> Supply and Delivery of Kitchen Supplies for HRM Laboratory of SDSSU Tagbina Campus Lot A- P 88,000.00 Lot B- P 25,300.00 Please see attached Request for Quotation (RFQ)</t>
  </si>
  <si>
    <t xml:space="preserve"> Republic of the Philippines CENTRAL BICOL STATE UNIVERSITY OF AGRICULTURE Impig, Sipocot, Camarines Sur 4408 Website: www.cbsua.edu.ph INVITATION TO BID     CBSUA-SIP-INFRA-01-2020 Design and Build of 3-Storey Solar Powered Gender-Neutral Student Dormitor</t>
  </si>
  <si>
    <t xml:space="preserve"> Bond Paper Long(Cactus) Bond paper short (cactus) Computer Ink (Epson) Ballpen (Fabel Castel) Log Book (150 pages) Columnar (24c) Pentel Pen (Pilot) Folder Long (Assorted) Fastener  Correction Tape (joy) Staple Wire (big) Stapler (Big) Puncher (Big) Yello</t>
  </si>
  <si>
    <t xml:space="preserve"> see attached associated component documents</t>
  </si>
  <si>
    <t xml:space="preserve"> QUOTATION ON DRUGS AND MEDICINES</t>
  </si>
  <si>
    <t xml:space="preserve"> 1 unit Laptop Minimum Specifications:            Intel Core i5 Processor            RAM: 8gb, 32GB            Memory Type: DDR4            Memory Speed: 2400MHz, 2666MHz            Memory Expandable: Max 32gb            Memory Slots: 2 slots            St</t>
  </si>
  <si>
    <t xml:space="preserve"> Republic of the Philippines Province of Quezon Municipality of Atimonan INVITATION FOR ELIGIBILITY AND TO BID 	The Local Government Unit of Atimonan thru the Bids and Awards Committee (BAC) invites interested suppliers/contractors to apply for eligibility</t>
  </si>
  <si>
    <t xml:space="preserve"> Republic of the Philippines Province of Bohol MUNICIPALITY OF DANAO INVITATION TO BID FOR  PROCUREMENT OF OFFICE SUPPLIES FOR LGU-DANAO, BOHOL 2ND QUARTER OF FY 2020 1.	The Municipality of Danao, Bohol, through the General Fund of the Local Government Uni</t>
  </si>
  <si>
    <t xml:space="preserve"> 1,630 liters diesel</t>
  </si>
  <si>
    <t xml:space="preserve"> Diesel Consumption of Maasin LHIO Service Vehicle</t>
  </si>
  <si>
    <t xml:space="preserve"> INVITATION TO BID SUPPLY AND DELIVERY OF IT EQUIPMENT AND ACCESSORIES FOR THE CITY HEALTH OFFICE – 2ND BIDDING 1.	The Local Government Unit of Cabadbaran City through the GENERAL FUND intends to apply the sum of TWO HUNDRED FIFTY-FIVE THOUSAND FOUR HUNDRE</t>
  </si>
  <si>
    <t xml:space="preserve"> Construction of Bridge ( Phase I &amp; Phase II) at Antipolo Old, Nabua, Camarines Sur</t>
  </si>
  <si>
    <t xml:space="preserve"> .                               - Republic of the Philippines CITY OF MARIKINA SF-GOOD-05											Mkna-GSO-20-271                                Revised on: July 28, 2004				 														 	BIDS AND AWARDS COMMITTEE		 NOTICE OF PROPOSED PROCUREMENT The</t>
  </si>
  <si>
    <t xml:space="preserve"> 1	Unit 	Biology Table w/ End Sink, 10 Seaters 		Dimension: 		   3600mm L x 800mm W x 850mm H 		Table top: 		Molded resin top (acid resistant), one pc. 		Molded resin edge less and semi gloss finish. 		Base: Epoxy coated steel tubular base and frames with </t>
  </si>
  <si>
    <t xml:space="preserve"> Republic of the Philippines CITY OF BAIS BIDS AND AWARDS COMMITTEE NOTICE FOR NEGOTIATED PROCUREMENT (53.9) (SMALL VALUE PROCUREMENT) 	The City Government of Bais invites interested suppliers to apply for small value procurement for the supply and deliver</t>
  </si>
  <si>
    <t xml:space="preserve"> To our Suppliers, Request for Quotation forms are available at BAC Secretariat.</t>
  </si>
  <si>
    <t xml:space="preserve"> 550 bag portland cement 4.32 cum fine aggregate 4.83 cum coarse aggregate 114 pc 10mm dia x 6m RSB 7.30kg #16 GI tie wire 150 pc 4" CHB 280 pc 5" CHB 1 pc GI pipe 2 1/2 sched 40 6 pc C purlins 2 x 3 (1.2mm) 4 pc GI tubular 2x4 9 pc corr GI sheet 12' 5 kg </t>
  </si>
  <si>
    <t xml:space="preserve"> 6	pcs	Tarpaulin 2x3       1	pc	Tarpaulin 3x4</t>
  </si>
  <si>
    <t xml:space="preserve"> 20-10042</t>
  </si>
  <si>
    <t xml:space="preserve"> Name of  Procuring Entity : DPWH Isabela 4th DEO				 Request for Quotation /(PR No.)		:RFQ-2020-0010 (RE-ADVERTISED)	/	Various PR # Requested on				Date		:June 15, 2020		 Standard Form/Title: REQUEST FOR QUOTATION			 Office/End-User		:Isabela 4th DEO		 		</t>
  </si>
  <si>
    <t xml:space="preserve"> June 15, 2020 INVITATION TO BID  Reference No. 7046273 /Solicitation No.20-22 The City Government of Tagum invites interested Bidders/Suppliers to bid for the following: Name of Contract         :  CONSOLIDATED OFFICE SUPPLIES 2020 (2ND QUARTER)          </t>
  </si>
  <si>
    <t xml:space="preserve"> 1  Vermicast    415    sacks</t>
  </si>
  <si>
    <t xml:space="preserve"> Please quote your lowest price on the items in the line item.</t>
  </si>
  <si>
    <t xml:space="preserve"> Section I. Invitation to Bid   Republic of the Philippines CITY GOVERNMENT OF SAN FERNANDO City Hall Building, F. Ortega Highway Tel. No. (072)8886901, (072) 867-8100/Fax No. (072)8886907 Website: www.sanfernandocity.gov.ph Email: csflu_98@yahoo.com INVIT</t>
  </si>
  <si>
    <t xml:space="preserve"> PURCHASE OF DESKTOP COMPUTER ETC., CHO, CALBAYOG CITY</t>
  </si>
  <si>
    <t xml:space="preserve"> OFFICE SUPPLIES AND DEVICES</t>
  </si>
  <si>
    <t xml:space="preserve"> Please refer to attached RFQ and sample letterhead</t>
  </si>
  <si>
    <t xml:space="preserve"> PHILIPPINE INFORMATION AGENCY PIA Bldg, Visayas Avenue, Diliman Quezon City REQUEST FOR QUOTATION (RFQ) The Philippine Information Agency (PIA), through its Bids and Awards Committee (BAC), hereby invites all interested suppliers to quote their lowest pri</t>
  </si>
  <si>
    <t xml:space="preserve"> INVITATION TO BID SUPPLY AND DELIVERY OF ONE (1) UNIT BRAND NEW GENERATOR SET FOR THE CITY HEALTH OFFICE – 2ND BIDDING 1.	The Local Government Unit of Cabadbaran City through the GENERAL FUND intends to apply the sum of FIVE HUNDRED THIRTY-TWO THOUSAND PE</t>
  </si>
  <si>
    <t xml:space="preserve"> BAC RESOLUTION NO. 316-2020 “A RESOLUTION RECOMMENDING “NEGOTIATED - SMALL VALUE PROCUREMENT” FOR THE VARIOUS PURCHASE REQUESTS (PR’s) FROM VARIOUS OFFICES OF THE CITY OF CABADBARAN” 	 NO.	PR NO.	END-USER	PARTICULARS	AMOUNT 1	1379	CGSO	PORTABLE PRESSURE W</t>
  </si>
  <si>
    <t xml:space="preserve"> Republic of the Philippines Province of South Cotabato BIDS AND AWARDS COMMITTEE City of Koronadal  (INF-ITB 20-003) INVITATION TO BID  PROJECT NAME/LOCATION/		          	          ABC/SOURCE OF FUND          PROJECT DURATION (BRIEF DESCRIPTION) 	 1.	Prov</t>
  </si>
  <si>
    <t xml:space="preserve"> To be used by the Principal, ADAS, Heads, Guidance Office, and Clinic for storing of school documents/reports and supplies; to be used by the office for printing documents; and to be used by the ADAS and LIS coordinator for storing softcopies of files</t>
  </si>
  <si>
    <t xml:space="preserve"> Item No.	Quantity	Unit of Issue	Item Description SLP-1	         19.72	Cu.m.	               Excavation SLP-11	 4.788	Cu.m.  	       Concrete Post 704	         102.0	Sq. m.	       Masonry</t>
  </si>
  <si>
    <t xml:space="preserve"> Design and Build for the Construction of the Proposed Sewerage Treatment Plant of the Municipality of Coron. Invitation to Bid  1.The Municipal Government of Coron, Palawan, through the 2020 Annual Municipal Budget intends to apply the sum of FIFTEEN MILL</t>
  </si>
  <si>
    <t xml:space="preserve"> Quantity    Unit       Description 1              Pails      Quick Dry Enamel 1              Gallons  Paint Thinner 4              Pieces    Paint Brush No. 1 20            Pails       Latex Gloss 5              Pails       Latex Gloss (Red) 5            </t>
  </si>
  <si>
    <t xml:space="preserve"> Republic of the Philippines SILAY CITY GOVERNMENT Zamora Street Silay City, Negros Occidental Telefax No. (034) 495-3746 	Control  Reference Number : GOODS#0121, ITB#0123,  PR#0364: SCG-2020 Name of the Project: Purchase of BIOMETRIC MACHINE to be use of </t>
  </si>
  <si>
    <t xml:space="preserve"> 1	20	sacks	Rice 2	6	case	Beef Loaf (72cans/case) 3	6	case	Coffee 3 in 1 (12bags/30pcs) 4	5	case	Corned beef 150grams(100cans) 5	7	case	Sardines (100cans/case</t>
  </si>
  <si>
    <t xml:space="preserve"> Republic of the Philippines 	Province of Pangasinan 	Municipality of Infanta 	Barangay Poblacion 	BIDS AND AWARDS COMMITTEE 	 Invitation to Bid for CONCRETING OF ACCESS ROAD @ SAN ROQUE ST., POBLACION, INFANTA, PANGASINAN 1.	The BARANGAY POBLACION, INFANT</t>
  </si>
  <si>
    <t xml:space="preserve"> Republic of the Philippines CITY GOVERNMENT OF SAN FERNANDO City Hall Building, F. Ortega Highway Tel. No. (072)8886901, (072) 867-8100/Fax No. (072)8886907 Website: www.sanfernandocity.gov.ph Email: csflu_98@yahoo.com INVITATION TO BID FOR  REHABILITATIO</t>
  </si>
  <si>
    <t xml:space="preserve"> Request for Quotation Date:  June 15, 2020 Quotation No.: 2020-006-001               										Mode of Proc.: Shopping To all Eligible Suppliers: 	Please quote your lowest price include of VAT on the item/s below, subject to the Terms and Conditions of th</t>
  </si>
  <si>
    <t xml:space="preserve"> The Office of Associate Justice Carandang of the Supreme Court, through the Procurement Section, invites interested suppliers to quote for the price/s of the item/s listed in the attached document (PLEASE DOWNLOAD) Please also provide "Eligibility Documen</t>
  </si>
  <si>
    <t xml:space="preserve"> RM Machinery Equip-ICT Equipment</t>
  </si>
  <si>
    <t xml:space="preserve"> Scope of Works: 1)  Electrical Works 1)  Please submit your quotation together with your eligibility requirements to the BAC Office, Ground Floor, Alonte Sports Arena, Brgy. Zapote., City of Binan, Laguna on June 22, 2020, on or before 10:00 AM.  Opening </t>
  </si>
  <si>
    <t xml:space="preserve"> TO BE USED BY THE SENIOR HIGH SCHOOL STUDENTS (GRADE 11&amp;12) IN THEIR HOUSEKEEPING TASKS SUCH AS CLEANING AND MAINTENANCE OF COMFORT ROOMS AND OTHER AREAS OF RESPONSIBILITY.</t>
  </si>
  <si>
    <t xml:space="preserve"> Supply and Delivery of Classmate Chair without Book Tray of SDSSU Tagbina Campus Please see attached Request for Quotation (RFQ)</t>
  </si>
  <si>
    <t xml:space="preserve"> PLEASE QUOTE PER: ITEM					SUPPLIER/CONTRACTOR/CONSULTANT'S PROPOSAL BOX		 Item No.	QTY	Unit of Measure	ITEM DESCRIPTION                                                 (ITEM NAME &amp; TECHNICAL SPECIFICATIONS)	Approved Budget for the Contract (ABC)	FINANCIA</t>
  </si>
  <si>
    <t xml:space="preserve"> Item No.	Quantity	Unit of Issue	Item Description 803 (1)	  7.01  	Cu.m.	                Structural Excavation 804	         33.04	Cu.m.	                Embankment 404     	301.28	Kgs.	                Reinforcing Steel Bars 405 (1)	3.11	        Cu.m.	      </t>
  </si>
  <si>
    <t xml:space="preserve"> 45 units - Periodic preventive maintenance of aircon units at DDB offices from July 2020 to December 2020 Scope of Services: 1. Monthly rotation for air filter cleaning and monitor cooling condition to avoid water dripping 2. Tabulate all electrical and c</t>
  </si>
  <si>
    <t xml:space="preserve"> The City Government of San Pedro, Laguna invites interested parties to quote for the following item/s as per request  SPUDMO: Qty.	Unit of Issue	Item Description 		 		Landscaping and Landscape Maintenance Supplies 4	rolls	Water Hose (½)(90mts.length) 4	pc</t>
  </si>
  <si>
    <t xml:space="preserve"> 1	Wooden Chairs, Pastel Color	35	 set  	Chair Dimension: Standard size (450x520x975mm)</t>
  </si>
  <si>
    <t xml:space="preserve"> SUBMERSIBLE PUMP “GRUNDFOS”SP 30-3  30 M3/hr rated cap. @ 50 meter TDH coupled with  SUBMERSIBLE MOTOR “Franklin”, 5hp, 440VAC, 3Phase with lead wire</t>
  </si>
  <si>
    <t xml:space="preserve"> 2,500 bags Portland Cement</t>
  </si>
  <si>
    <t xml:space="preserve"> Purchase of materials for INSET 2020 to be used in the development of teaching and learning</t>
  </si>
  <si>
    <t xml:space="preserve"> 1	63	bots	Alcohol 70% (500ml) 2	140	cont.	Purified water (4ltrs/gal) 3	85	pouch	Detergent powder (1kl/plastic pouch) 4	60	pcs	Toilet Deodorizer 5	68	pcs	Waste basket plastic (asstd colors) 6	25	packs	Trash bag(470mm)18.5/10pcs/roll 7	25	packs	Toilet Tissu</t>
  </si>
  <si>
    <t xml:space="preserve"> 1) 1 unit - Tires 225/80/r  17.5 tubeless 2) 5 unit - Tires 8.25-16  14 pr with flaps &amp; tubes 3) 2 unit - Tires 7.50-16 LT with Flaps &amp; tubes 4) 5 unit - Tires 7.00 x 16 with flaps and tubes  For the use of Garbage compactors ad mini dumptrucks,City of Ta</t>
  </si>
  <si>
    <t xml:space="preserve"> see ITB attached</t>
  </si>
  <si>
    <t xml:space="preserve"> Please see the attached document.</t>
  </si>
  <si>
    <t xml:space="preserve"> Please quote your lowest price on the SUPPLY AND DELIVERY OF OFFICE FURNITURE AND EQUIPMENT FOR HRM OFFICE  as specified below and submit your quotation duly signed by your representative not later than 2pm of  JUNE 19, 2020. 				 					 								    LEONOR</t>
  </si>
  <si>
    <t xml:space="preserve"> Republic of the Philippines SILAY CITY GOVERNMENT Zamora Street Silay City, Negros Occidental Telefax No. (034) 495-3746 	Control  Reference Number : GOODS#0091, ITB#0092,  PR#0276: SCG-2020 Name of the Project: Purchase of Construction Materials for Cons</t>
  </si>
  <si>
    <t xml:space="preserve"> see attached Purchase request</t>
  </si>
  <si>
    <t xml:space="preserve"> REQUEST FOR QUOTATION SHOPPING OF (3 in 1) PHOTOCOPIER/SCANNER/PRINTER, LAPTOP, HARD DRIVE,               					    FLASH DRIVE AND PRINTER     RFQ No. 2020-02-003 The Obando Water District (OWD), through its Bids and Awards Committee (BAC), invites reputa</t>
  </si>
  <si>
    <t xml:space="preserve"> Please submit your quotation for the following items on or before 5:00PM on Jun 26, 2020. ITEM D E S C R I P T I O N QTY. UNIT 1 Pipe, G.I. S-40 Std 1``Ø x 6m 27 pc 2 Steel, Flat Bar, ¾`` x ¼``, (20mm x 6mm) 27 pc 3 Steel, Matting, 2`` x 4.5mmØ 18 pc 4 We</t>
  </si>
  <si>
    <t xml:space="preserve"> Request for Quotation 72	pack	Cheese Cake 35x10s					 70	pack	Chocolate bar cake					 12	bx	Pansit canton					 12	sack	Rice 50kls					 12	bx	Juice in can 240ml x 24s					 30	pack	Coffee original 3 in 1					 2	bx	Corned Beef 175g x 48's					 5	bx	Mineral W</t>
  </si>
  <si>
    <t xml:space="preserve"> 1	2	pcs	Plastic Socket 2 inches 2	2	set	Switch 1" Gang Flush Type 3	4	pcs	Utility Box 4	1	pc	Circuit Breaker 15A 5	3	pcs	Junction Box 6	1	box	Insulated Staple #1 7	2	set	3 Gang Outlet Flush Type 8	2	pcs	LED Bulb 11 watts 9	1	kl	Electrical Tape 10	2	pcs	Ba</t>
  </si>
  <si>
    <t xml:space="preserve"> Supply, Fabrication and Installation of Acrylic Counter Shields: 1 Lot I. Specifications : Supply, Fabrication, Installation of Acrylic Counter Shields for IPOPHL’s: 1. Receiving: ● Size : (H) 70 cm (W) 676 cm ● Thickness : 6mm ● Color : Clear ● with five</t>
  </si>
  <si>
    <t xml:space="preserve"> 1	95	BOXES	m/v Capsule 2	126	bots	Ferrous Syrup 250ml 3	130	bots	Salbu+Guia 250ml 4	120	bots	Aluminum Mag. 120ml 5	129	BOXES	Metoprolol 50mg 6	119	boxes	Dicyloverine 10mg 7	129	bots	PNSS 1 liter 8	138	bots	D5 IMB 500cc 9	130	bots	D5LR 1 liter 10	120	bots	</t>
  </si>
  <si>
    <t xml:space="preserve"> I. Excavation Works II. RSB III. Concrete Works IV.Forms and Scaffoldings SPL Construction Safety and Health</t>
  </si>
  <si>
    <t xml:space="preserve"> 1 unit Generator -model: diesel generator -rated frequency: 60 Hz -rated voltage: 220V -primer power: 7.5 KVA -surge power: 6.1 KVA -power factor: 1 -see attached RFQ Form for more details.</t>
  </si>
  <si>
    <t xml:space="preserve"> INVITATION TO BID The MUNICIPALITY OF TABOGON through its Bids and Awards Committee (BAC), invites suppliers/manufacturers/distributors/contractors to apply eligibility and to bid for the hereunder project: Name of Project			: SUPPLY AND DELIVERY OF SUPPL</t>
  </si>
  <si>
    <t xml:space="preserve"> Republic of the Philippines Province of Davao Oriental City of Mati BIDS &amp; AWARDS COMMITTEE INVITATION TO BID (REBID) Procurement of MEDICAL SUPPLIES for the Use of DOPH LUPON SOURCE OF FUND: GENERAL FUND [4421-200A-200-5-02-03-080] 1.	The Provincial Gove</t>
  </si>
  <si>
    <t xml:space="preserve"> 3 Units 2.5HP Split Type AC, Installation Supplies and Labor</t>
  </si>
  <si>
    <t xml:space="preserve"> Supply and Delivery of  One (1) Lot Construction Materials- 109,105.00 3 pc G.I. pipe, S40 Ø, 2" 24 pc C.G.I., 26x10 (pre-painted) 3 pc G.I. ridge rolls (pre-painted) 4 pc G.I. flushing (pre-painted) 16 pc Lumber, 2"x6"x10' 18 ps Lumber, 2"x4"x10' 45 pc L</t>
  </si>
  <si>
    <t xml:space="preserve"> Please quote your best price 30 pcs of HP 680, Blk ABC 16,500.00 10 pcs of HP 680, Tricolor ABC 5,500.00 Please email your quotation Please download canvass form</t>
  </si>
  <si>
    <t xml:space="preserve"> To be used for rewiring and replacement of damaged electrical materials in the school</t>
  </si>
  <si>
    <t xml:space="preserve"> PURCHASE OF CONSTRUCTION MATERIALS FOR GULAYAN SA PAARALAN PERIMETER FENCE ( CEMENT, CHB #14, SAND, GRAVEL, G.I WIRE #16 AND THE LIKE</t>
  </si>
  <si>
    <t xml:space="preserve"> 1	Charging Counter	2	 pcs  	Costumized with, 3 layers, 3 drawers at both end of the counter, made of hardwoord, with tiles, ceramic top and fully painted		 	Height 1st layer: 1.5 ft		 	Height 2nd layer: 1 ft		 	Height 3rd layer: 1 ft		 	Footer: 0.5 ft		 	</t>
  </si>
  <si>
    <t xml:space="preserve"> Provision of Catering Services good for 30 pax during the conduct of Video Tele Conference Meeting w Local Chief Executives on June 25,29 and July 1,6 and 7,2020 at DA-RFO 8,Tacloban City Scope of Work:  June 25,2020 A.M Snack: Spaghetti with Toasted Brea</t>
  </si>
  <si>
    <t xml:space="preserve"> INVITATION TO BID (2nd Bidding) The MUNICIPALITY OF TABOGON through its Bids and Awards Committee (BAC), invites suppliers/manufacturers/distributors/contractors to apply eligibility and to bid for the hereunder project: Name of Project			: SUPPLY AND DEL</t>
  </si>
  <si>
    <t xml:space="preserve"> Printing Services</t>
  </si>
  <si>
    <t xml:space="preserve"> INVITATION TO BID Please quote your lowest price inclusive of VAT on the item/s listed below, subject to the Terms and Conditions of this RFQ, and submit your quotation duly signed by your representative not later than June 23, 2020 at 2 in the afternoon </t>
  </si>
  <si>
    <t xml:space="preserve"> Training Expense Projects, Program and Activities.</t>
  </si>
  <si>
    <t xml:space="preserve"> Republic of the Philippines Province of Davao Oriental City of Mati BIDS &amp; AWARDS COMMITTEE INVITATION TO BID (REBID) LOT Procurement of MATERIALS for Use in Urban Greening and Landscaping of the TOURISM PREMISES SOURCE OF FUND: 20% LGDF [8000PA-300-1-07-</t>
  </si>
  <si>
    <t xml:space="preserve"> Republic of the Philippines Province of South Cotabato BIDS AND AWARDS COMMITTEE City of Koronadal  (GOODS-ITB 20-004) INVITATION TO BID  PROJECT NAME/LOCATION/		          	          ABC/SOURCE OF FUND          PROJECT DURATION (BRIEF DESCRIPTION) 	 1.	Pr</t>
  </si>
  <si>
    <t xml:space="preserve"> Ink 003 (Black) - 10 bottle Ink 003 (Yellow)-5 bottle Ink 003 (Cyan)-5 bottle Ink 003 (Magenta) -5 bottle Cartridge # 810 Black - 10 cart. Cartridge # 811 Colored - 8 cart.</t>
  </si>
  <si>
    <t xml:space="preserve"> Supply and Delivery of : 1	250	mtrs	THW WIRE 38 mm2 2	4	sets	SECONDARY RACK 2P 3	2	rolls	ELECTRICAL TAPE (BIG) 			xxxxxxx</t>
  </si>
  <si>
    <t xml:space="preserve"> PLEASE SEE ATTACHED REQUEST FOR QUOTATION.</t>
  </si>
  <si>
    <t xml:space="preserve"> Construction materials</t>
  </si>
  <si>
    <t xml:space="preserve"> for installation and deliverey to DVTS Dumalag, Capiz</t>
  </si>
  <si>
    <t xml:space="preserve"> 1.	The Compostela Water District, through the CWD GAA-2017 LOAN intends to apply the sum of Two Million Five Hundred Pesos (₱2,500,000.00) being the Approved Budget for the Contract (ABC) to payments under the contract for Supply, Delivery and Installatio</t>
  </si>
  <si>
    <t xml:space="preserve"> Invitation to Submit Quotation Date:  June 15, 2020 Canvass/Quotation No.: 2020-06-064  	 To All Eligible Service Providers/Bidders I. Please quote your lowest price inclusive of VAT on the items/ listed below, subject to the Terms and Conditions of this </t>
  </si>
  <si>
    <t xml:space="preserve"> PCC at CMU invites suppliers for  20 tons of good quality Rice bran D2 with an ABC of 300,000. Suppliers must be a Philgeps registered with ANIMAL FEEDS, RICE MILL Category and so with its business permit. For more information, please visit the PCC at CMU</t>
  </si>
  <si>
    <t xml:space="preserve"> 250 bags Ammonium Sulfate 200 bags Complete (14-14-14) 50 liters Herbicide (Glyphosate 480g/liter with epicacy test on abaca 50 liters Insecticide (Cypermetrin 50g/liter with epicacy test on abaca Note:  Inclusive of delivery at the following location: He</t>
  </si>
  <si>
    <t xml:space="preserve"> COVID !(  Medical supplies 1	box	KN95 Face Mask 2	box	Surgical Mask 3	box	Vinyl Gloves 4	can	Disinfectant Spray, 1L 5	gal.	Isoprophyl Alcoho l70%, Green Cross 6	unit	Knapsack Sprayer 7	gal.	Disinfectant Liquid Solution (Zonrox) 8	gal.	Handwashing Soap 9	s</t>
  </si>
  <si>
    <t xml:space="preserve"> Item No.	Quantity	Unit of Issue	Item Description 1	             1		                         Construction of Reservoir</t>
  </si>
  <si>
    <t xml:space="preserve"> INSTALLATION OF STREETLIGHTS @ BRGY. LINAO, SAN ISIDRO, LEYTE</t>
  </si>
  <si>
    <t xml:space="preserve"> see attached associated components.</t>
  </si>
  <si>
    <t xml:space="preserve"> Republic of the Philippines Province of Davao Oriental City of Mati BIDS &amp; AWARDS COMMITTEE INVITATION TO BID (REBID) Procurement of TIRES for Use in Mitsubishi Estrada of the Provincial Engineer’s Office SOURCE OF FUND: OLFP [1999Z4A-5-02-13-960-01] 1.	T</t>
  </si>
  <si>
    <t xml:space="preserve"> Republic of the Philippines Province of Southern Leyte Municipality of Silago BIDS AND AWARDS COMMITTEE INVITATION TO BID FOR  Supply and Delivery of  DENTAL EQUIPMENT/FACILITY 1.   The Local Government Unit of Silago, Province of Southern Leyte, through </t>
  </si>
  <si>
    <t xml:space="preserve"> Name of Procuring Entity:  LGU-WAO                               			Request for Quotation (P.R. No.): Revised on:							   	  Date:   June 15, 2020 Standard Form/Title:   REQUEST FOR QUOTATION           			Office/End-User: MENRO                           </t>
  </si>
  <si>
    <t xml:space="preserve"> You can submit your accomplished RFQ form  @ BAC Office, Bogo City Hall, Cayang, Bogo City, Cebu  or email us @ bogobacoffice2019@gmail.com / 	      bogocpdo@gmail.com Not later than the closing date.</t>
  </si>
  <si>
    <t xml:space="preserve"> PCC at CMU through the Bids and Awards Committee invites suppliers for 20 tons of good quality Copra Meal with an ABC of 300,000. Supplier possess the ANIMAL FEED Category of Philgeps registration and also the business permit. For more info please visit t</t>
  </si>
  <si>
    <t xml:space="preserve"> Please see attached Request for Quotation form for specifics.</t>
  </si>
  <si>
    <t xml:space="preserve"> Republic of the Philippines			 Province of Negros Oriental			 Municipality of Amlan			 BIDS AND AWARDS COMMITTEE			 			 INVITATION TO BID			 			 The Municipality of Amlan, Negros Oriental invites all interested bidders/suppliers  to a competitive bidding </t>
  </si>
  <si>
    <t xml:space="preserve"> The Maintenance Division of the Supreme Court, through the Procurement Section, invites interested suppliers to quote for the price/s of the item/s listed in the attached document (PLEASE DOWNLOAD) Please also provide "Eligibility Documents, Annex A"</t>
  </si>
  <si>
    <t xml:space="preserve"> AUTOMATED EXTERNAL DEFIBRILLATOR (AED) • 7 inch TFT monitor with colour display • Manual mode allows for individual adjustment of shock strength (100 J to 360 J for adults, 10 J to 100 J for children) • Automatically recognises child and adult electrodes </t>
  </si>
  <si>
    <t xml:space="preserve"> Republic of the Philippines Province of Batangas MUNICIPALITY OF ALITAGTAG BARANGAY STA. CRUZ INVITATION TO BID FOR INSTALLATION OF LED STREET LIGHTS ALONG NATIONAL ROAD AT STA. CRUZ, ALITAGTAG, BATANGAS  	The Barangay Sta. Cruz, Alitagtag, Batangas throu</t>
  </si>
  <si>
    <t xml:space="preserve"> REQUEST FOR QUOTATION       SHOPPING OF PORTABLE SOUND SYSTEM, SOUND SYSTEM, CAMERA,  REFRIGERATOR, TELEVISION &amp; ELECTRIC OVEN  RFQ No. 2020-02-004 The Obando Water District (OWD), through its Bids and Awards Committee (BAC), invites reputable supplier to</t>
  </si>
  <si>
    <t xml:space="preserve"> 4 units of Laptop Specifications: -I3-1005GI Processor -4 GB TAM -1 TB HDD -15.6" Screen -Windows 10</t>
  </si>
  <si>
    <t xml:space="preserve"> Republic of the Philippines Province of Davao Oriental City of Mati BIDS &amp; AWARDS COMMITTEE INVITATION TO BID Procurement of MEDICAL SUPPLIES for the Use of DOPH LUPON SOURCE OF FUND: GENERAL FUND [4421-200A-200-5-02-03-080-01] 1.	The Provincial Governmen</t>
  </si>
  <si>
    <t xml:space="preserve"> Republic of the Philippines NATIONAL FOOD AUTHORITY Pawing, Palo, Leyte Region VIII INVITATION TO SUBMIT PRICE QUOTATION   PROCUREMENT OF   BRAND NEW ADMINISTRATIVE FACILITIES AND EQUIPMENT      FOR NFA EASTERN VISAYAS REGIONAL  OFFICE VIII AND NFA  PROVI</t>
  </si>
  <si>
    <t xml:space="preserve"> Republic of the Philippines City of Manila OFFICE OF THE CITY MAYOR BIDS AND AWARDS COMMITTEE INVITATION TO BID  The City Government of Manila, through the Special Education Fund FY 2020, intends to apply the following amounts for the following proposed p</t>
  </si>
  <si>
    <t xml:space="preserve"> DEPARTMENT OF PUBLIC WORKS AND HIGHWAYS Ifugao Second District Engineering Office Aguinaldo, Ifugao INVITATION TO BID The DPWH- Ifugao Second District Engineering Office Aguinaldo, Ifugao, through its Bids and Awards Committee (BAC), invites contractors t</t>
  </si>
  <si>
    <t xml:space="preserve"> INVITATION TO BID FOR PROVISION OF MULTI-YEAR CONTRACT FOR THE HIRING OF SERVICE PROVIDER FOR PREVENTIVE MAINTENANCE OF THE PASSENGER ELEVATOR AT DSWD-CENTRAL OFFICE FOR CY 2020-2022 —  ITB NO. GOP/20-DSWD-041 — (PR NO. 01-20001-PR-2020-05-00030, 20200501</t>
  </si>
  <si>
    <t xml:space="preserve"> Construction of Steel Footbridge at Brgy. Acle, L10.00m , W1.20m 1.	Bids received in excess of the ABC shall be automatically rejected at bid opening. 2.	Bidders should have completed a contract similar to the Project. The description of an eligible bidde</t>
  </si>
  <si>
    <t xml:space="preserve"> ITB No. 2020 – 73 June 16, 2020 Republic of the Philippines Province of Davao Oriental CITY OF MATI INVITATION TO BID PROCUREMENT OF AIR-CONDITIONER (City Engineering Office) Name of Project 1.	The City Government of Mati, through the City Mayor’s Office </t>
  </si>
  <si>
    <t xml:space="preserve"> Supply and Delivery of One (1) Lot Vegetable Seeds for Agricultural and Fishery Modernization Program of LGU-Coron. 1. The Municipal Government of Coron, through the 2020 Annual Municipal Budget intends to apply the sum of THREE HUNDRED FIFTY-ONE THOUSAND</t>
  </si>
  <si>
    <t xml:space="preserve"> To All Eligible Suppliers ; Please quote your lowest price on the items listed below, subject to the General Condition stated herein and submit the same to the Office of the BAC-Secretariat on or before  July 01, 2020 at 10:00 o'clock in the morning. (SGD</t>
  </si>
  <si>
    <t xml:space="preserve"> 1		Stainless School Name 10 inch	1	 24,000.00  2		Stainless School I.D.	1	 6,000.00  3	pack	Grout	3	 450.00  4	pc	Hollowblock # 4	130	 1,950.00  5	pc	RSB 10 mm	12	 2,520.00  6	cubic	Sand &amp; Gravel 	3	 3,900.00  7	kg	Tie Wire # 16	1	 65.62  8	pc	Tiles 40 x </t>
  </si>
  <si>
    <t xml:space="preserve"> Please quote your lowest price on the CATERING SERVICES DURING THE MUNICIPAL DEVELOPMENT COUNCIL ANNUAL PLANNING CONFERENCE as specified below and submit your quotation duly signed by your representative not later than 2pm of  JUNE 19, 2020. 				 					 		</t>
  </si>
  <si>
    <t xml:space="preserve"> Water System Fittings</t>
  </si>
  <si>
    <t xml:space="preserve"> ITEM	QTY.	UNIT		ARTICLE AND DESCRIPTION				CEILING 					UNIT PRICE		TOTAL  								PRICE							 															 				Office: Department of Tourism, Culture and Arts of Manila				PR No. 830							 				Charge to: Other Supplies and Materials Expenses				OBR </t>
  </si>
  <si>
    <t xml:space="preserve"> Materials</t>
  </si>
  <si>
    <t xml:space="preserve"> Please quote your best price 30 rolls of Tape Transparent 1inch ABC 600.00 50 pcs of Record Book, 500 pages ABC 7,500.00 5 packs of Folder with tab, Legal ABC 2,000.00 10 boxes of Clip Backfold 32mm, 1 1\4 inches ABC 350.00 15 boxes of Clip Backfold 25mm,</t>
  </si>
  <si>
    <t xml:space="preserve"> REGION XII  Province of Cotabato  Municipality of Midsayap  BIDS &amp; AWARDS COMMITTEE  Tel. Nos. (064) 229-8018; 229-8650; 229-8450  INVITATION TO BID FOR   2020-060, COMPLETION OF COVERED COURT AT BARANGAY NALIN, MIDSAYAP, COTABATO    1.	The MUNICIPAL GOVE</t>
  </si>
  <si>
    <t xml:space="preserve"> Clearing and grubbing, Structure Excavation, Safety and Health</t>
  </si>
  <si>
    <t xml:space="preserve"> PLEASE SEE ATTACHED REQUEST FOR QUOTATION</t>
  </si>
  <si>
    <t xml:space="preserve"> JOB ORDER: Provide Catering Services good for 30 pax during the conduct of DA-RFO 8 Program Level 2nd Quarter Assessment CY 2020 on June 22,23,&amp; 24, 2020 at DA-RFO 8, Tacloban City. No.	Scope of Work	Quantity	Unit_Cost	ABC 	Day 1			 	AM Snacks: Special Mo</t>
  </si>
  <si>
    <t xml:space="preserve"> [Republic of the Philippines] Province of Pangasinan Municipality of Natividad INVITATION TO BID FOR TITLE: OTOP Production Bldg. Extension Completion Location: Brgy. San Maximo, Natividad, Pangasinan Approved Budget of the Contract: Php300,000.00 The [MU</t>
  </si>
  <si>
    <t xml:space="preserve"> Construction of Slope Protection at SO. Bancalan, Brgy Magahis. 1.	Bids received in excess of the ABC shall be automatically rejected at bid opening. 2.	Bidders should have completed a contract similar to the Project. The description of an eligible bidder</t>
  </si>
  <si>
    <t xml:space="preserve"> Item No.	Quantity	Unit of Issue	Item Description 1	24	Pcs.	10mm dia x 6m RSB Std. Def. Bar 2	26	Pcs.	12mm dia x 6m RSB Std. Def. Bar 3	6	Kgs.	#16 G.I. Wire  4	8	Pcs.	Hacksaw Blade 5	66	Bags 	40 kg. Portland Cement 6	4.5	Cu.m.	Washed Sand 7	7	Cu.m.	Washed </t>
  </si>
  <si>
    <t xml:space="preserve"> Dumping of Aggregates on the ground of TESDA MIMAROPA Provincial Training Center, Tawiran, Calapan City, Oriental Mindoro.</t>
  </si>
  <si>
    <t xml:space="preserve"> REQUEST FOR QUOTATION SHOPPING OF WASHABLE FACEMASK, ALCOHOL, VITAMIN C, ORAL ANTISEPTIC, WET WIPES AND MOPBUCKET  RFQ No. 2020-06-008 The Obando Water District (OWD), through its Bids and Awards Committee (BAC), invites reputable supplier to submit their</t>
  </si>
  <si>
    <t xml:space="preserve"> Laboratory Supply Expense - Reagents for chemical test.</t>
  </si>
  <si>
    <t xml:space="preserve"> OFFICE SUPPLIES EXPENSE</t>
  </si>
  <si>
    <t xml:space="preserve"> Item No.	Item and Description						Unit	Quantity 1		Monoblocks (cream)					pc	50 2		Water Dispenser (Standing, Hot and Cold)					pc	8</t>
  </si>
  <si>
    <t xml:space="preserve"> 1.	The Municipality of Esperanza, intends to apply the sum of  Two Hundred Four Thousand Three Hundred One Pesos (Php204,301.00) being the Approved Budget for the Contract (ABC) to payments under the contract for Supply and Delivery of  Animal Feeds &amp; Vit</t>
  </si>
  <si>
    <t xml:space="preserve"> Republic of the Philippines Province of Davao Oriental City of Mati BIDS &amp; AWARDS COMMITTEE INVITATION TO BID Procurement of 456 Bags NP Compound (Multi-Functional Fertilizer) in Support to Rice Farmers of the Province in the Rainfed Rice Areas SOURCE OF </t>
  </si>
  <si>
    <t xml:space="preserve"> Republic of the Philippines						 			Department of Health						 			Cagayan Valley Center for Health Development						 			Tuguegarao City, Cagayan						 									 						                                                         Request for Quoatation Number-</t>
  </si>
  <si>
    <t xml:space="preserve"> Pump &amp; Engine Set for LSA - MG Mantilla's Farm 1 set Pump &amp; Engine Set with complete accessories (air-cooled) *Free Delivery on-site **Please see an attached document in ASSOCIATED COMPONENTS for RFQ</t>
  </si>
  <si>
    <t xml:space="preserve"> 1 	 1 	 set 	 FRONT AXLE ( I-BEAM) ASSY. 	 			 INCLUSIVE THE FOLLOWING 	 			 A. BRAKE DRUM ( LH &amp; RH) 	 			 B. DRAG LINK 	 			 C. TIE ROD END ( LH &amp; RH) 	 			 D. WHEEL BEARINGS 	 			 E. WHEEL BRAKE CYLINDERS 	 			 F. BRAKES LINES &amp; FITTINGS 	  2 	 1 	 set</t>
  </si>
  <si>
    <t xml:space="preserve"> Invitation to Bid for the Supply and Delivery of various Medicine for the use of Brgy. Bucal, Batangas City</t>
  </si>
  <si>
    <t xml:space="preserve"> PROCUREMENT TERMS &amp; CONDITIONS					 1	The Total Approved Budget for the Contract (ABC) is Php 8,500.00.				 2	Price quotation should be inclusive of tax obligations.				 3	Delivery period is 10 calendar days from the receipt of NOA &amp; PO.				 4	If awarded </t>
  </si>
  <si>
    <t xml:space="preserve"> Clearing and grubbing, Common excavation manual, Masonry works, Plastering, Installation of paving blocks,     Sub-grade preparation, Aggregate sub-base course, PCCP, COSH</t>
  </si>
  <si>
    <t xml:space="preserve"> Concreting of Barangay Road in Brgy. Rillo, L117.00m, W3.00m, T0.15m 1.	Bids received in excess of the ABC shall be automatically rejected at bid opening. 2.	Bidders should have completed a contract similar to the Project. The description of an eligible b</t>
  </si>
  <si>
    <t xml:space="preserve"> QTY. UNIT DESCRIPTION  1 PC TRANSMISSION ASSEMBLY</t>
  </si>
  <si>
    <t xml:space="preserve"> 1     UNIT         LAPTOP            1               47,541.92            47,541.92 1     UNIT         PRINTER          2               12,045.29             12,045.29                                                                                TOTAL: 5</t>
  </si>
  <si>
    <t xml:space="preserve"> Please see attached Request for Quotation</t>
  </si>
  <si>
    <t xml:space="preserve"> 3	units	Refill of fire extinguisher - Dry chemical (10 lbs. capacity)       6 	units	Fire extinguisher - Dry chemical  		(10 lbs. capacity, brand new, with fire extinguisher holder)</t>
  </si>
  <si>
    <t xml:space="preserve"> Rehabilitation of  Barangay Road in Brgy. Talon 1.	Bids received in excess of the ABC shall be automatically rejected at bid opening. 2.	Bidders should have completed a contract similar to the Project. The description of an eligible bidder is contained in</t>
  </si>
  <si>
    <t xml:space="preserve"> Invitation to Bid for the Supply and Delivery of various Medicine for the use of Brgy. Banaba West, Batangas City</t>
  </si>
  <si>
    <t xml:space="preserve"> REGION XII  Province of Cotabato  Municipality of Midsayap  BIDS &amp; AWARDS COMMITTEE  Tel. Nos. (064) 229-8018; 229-8650; 229-8450  INVITATION TO BID FOR   2020-061, CONSTRUCTION OF 2 UNITS WATER SYSTEM LEVEL II AT PUROK 5 AND 10,   MALAMOTE, MIDSAYAP, COT</t>
  </si>
  <si>
    <t xml:space="preserve"> Invitation to Bid for the  CONSTRUCTION OF DRAINAGE CANAL  Kiblawan, Davao del Sur 1.The Local Government Unit of Kiblawan, through the 20% Local Government Development Fund 2020[ In the case of National Government Agencies, the General Appropriations Act</t>
  </si>
  <si>
    <t xml:space="preserve"> Please quote your lowest price on the items on the line item.</t>
  </si>
  <si>
    <t xml:space="preserve"> Republic of the Philippines								 Department of Health								 VICENTE SOTTO MEMORIAL MEDICAL CENTER								 B. Rodriguez St., Cebu City, 6000								 TELEFAX : 2532182/2540057								 			Email: vsmmc_procurement@yahoo.com					 (Establishment/Supplier)	</t>
  </si>
  <si>
    <t xml:space="preserve"> 350 X 20 pax X 10 days</t>
  </si>
  <si>
    <t xml:space="preserve"> Please refer to the attached RFQ for more details.</t>
  </si>
  <si>
    <t xml:space="preserve"> meals and snacks for the technical briefing in innovative family enterprise development</t>
  </si>
  <si>
    <t xml:space="preserve"> 100 sets Rapid Test Kit with red top tube collector</t>
  </si>
  <si>
    <t xml:space="preserve"> To be used for repairing water system</t>
  </si>
  <si>
    <t xml:space="preserve"> REQUEST FOR QUOTATION The Local Government of San Mateo, through its Bids and Awards Committee (BAC), invites suppliers, manufacturers, distributors, contractors registered with the BAC in the Local Government of San Mateo, to apply for eligibility and if</t>
  </si>
  <si>
    <t xml:space="preserve"> Item No.	Quantity	Unit of Issue	Item Description 1032 (1)	834.4	            Sq. m.	Metal Painting  B.5 H 	2	            Each	Project Billboard B.7	       L.S.	            L.S	Occupational Safety and Health</t>
  </si>
  <si>
    <t xml:space="preserve"> Republic of the Philippines Province of Davao Oriental City of Mati BIDS &amp; AWARDS COMMITTEE INVITATION TO BID LOT Procurement of MATERIALS for Use in the Improvement of Potable Water System at Brgy. Bobonao, Baganga, Davao Oriental SOURCE OF FUND: 20% LGD</t>
  </si>
  <si>
    <t xml:space="preserve"> The AGRICULTURAL TRAINING INSTITUTE-REGIONAL TRAINING CENTER (ATI-RTC) X, through the 2020 General Appropriations Act intends to apply the sum of Twenty Seven Thousand Pesos (P 27,000.00) being the Approved Budget for the Contract (ABC) to payments under </t>
  </si>
  <si>
    <t xml:space="preserve"> QTY	UNIT	DESCRIPTION 130	pcs	Ballpen, Retractable (Black) 70	pcs	Battery, size AA 106	ream	Bond Paper, Long 106	ream	Bond Paper, Medium 20	pcs	Brown envelope, long 20	pcs	Brown Envelope, medium 58	pcs	Correction Fluid 58	pcs	Dog Clip Long 52	pcs	Dog Clip,</t>
  </si>
  <si>
    <t xml:space="preserve"> Materials for the Refurbishment of Study Park and Provision of Two(2) Handwashing Facilities</t>
  </si>
  <si>
    <t xml:space="preserve"> INVITATION FOR PRICE QUOTATION Date:  15 June 2020 For The Repair And Repainting Of Runway, Taxiway and Apron Markings And Markers   At Virac Airport The Civil Aviation Authority of the Philippines (CAAP), Area Center V, Legazpi Airport intends to  apply </t>
  </si>
  <si>
    <t xml:space="preserve"> PR No.   :					 Approved Budget for Contract (ABC)   :PHP 161,413.63					 QTY	UNIT	ITEM/S DESCRIPTION		UNIT PRICE	TOTAL PRICE 		 OTHER SUPPLIES AND MATERIALS EXPENSES	 40	boxes	25 watts Incandescent Light Bulbs		 2	pcs	Plastic Bags, Medium		 4	pcs	Field B</t>
  </si>
  <si>
    <t xml:space="preserve"> 4 bot.   Epson Ink BK 664 4 bot. Alcohol 500 ml. # bot Elmer's Glue 4 bot Pentel Pen Ink 10 reams Bond Paper Long 10 reams Bond Paper Short 6 reams Bond Paper a4 5 reams Construction Paper Long 12 pcs Pilot BP-S Fine Ballpen Black 12 pcs Pilot Bp-S Fine B</t>
  </si>
  <si>
    <t xml:space="preserve"> Invitation to Bid for the Supply and Delivery of various Medicine for the use of Brgy. Balete, Batangas City</t>
  </si>
  <si>
    <t xml:space="preserve"> Construction Supplies and Materials</t>
  </si>
  <si>
    <t xml:space="preserve"> 1 Set Computer Desktop with printer Specs: Corei7, h110 motherboard 8GB RAM DDR4, 1TB sata HDD + 240GB ssd DV drw, reader, casing w/ 700w psu 24" Monitpr, avr, speaker, keyboard mouse pad 1 Unit External drive 2TB USB 2.0 PLEASE SEE ATTACHED RFQ. QUOTE YO</t>
  </si>
  <si>
    <t xml:space="preserve"> Concreting of Barangay Road of Brgy. Bayudbud L117.00m, W3.00m, T0.15m 1.	Bids received in excess of the ABC shall be automatically rejected at bid opening. 2.	Bidders should have completed a contract similar to the Project. The description of an eligible</t>
  </si>
  <si>
    <t xml:space="preserve"> Republic of the Philippines  PROVINCE OF SURIGAO DEL SUR  		MUNICIPALITY OF CARRASCAL	 Barangay Adlay INVITATION FOR BIDS The Barangay Adlay through its Bids and Awards Committee invites sealed bids from eligible supplier for Construction Materials with a</t>
  </si>
  <si>
    <t xml:space="preserve"> Republic of the Philippines PROVINCE OF SOUTHERN LEYTE Maasin City Invitation to Bid for the Procurement of Various Catering Services  Contract ID # 2020-07-07-371PG 1.	The Provincial Government of Southern Leyte through the PAGSO – Agricultural and Marin</t>
  </si>
  <si>
    <t xml:space="preserve"> see attached file</t>
  </si>
  <si>
    <t xml:space="preserve"> Republic of the Philippines Province of Davao Oriental City of Mati BIDS &amp; AWARDS COMMITTEE INVITATION TO BID LOT Procurement of MATERIALS for Use in the Construction of Multi-Purpose Building (Fabrication of Paving Blocks &amp; Installation of Tiles) at Siti</t>
  </si>
  <si>
    <t xml:space="preserve"> Repair &amp; Maintenance of Other Structure</t>
  </si>
  <si>
    <t xml:space="preserve"> 200	Box	Disposable Face mask ear loop, ABC 450.00/box RFQ#06-0625R</t>
  </si>
  <si>
    <t xml:space="preserve"> Title:Supply and Delivery for the City Disaster Risk Reduction and Management Office (CDRRMO) under P.R.No. 0999-2020-Subject to Ordering Agreement Arrangement-2nd bidding Total ABC: Php 2,014,700.00 For representative/s of interested bidders who wish to </t>
  </si>
  <si>
    <t xml:space="preserve"> Republic of the Philippines CITY GOVERNMENT OF SAN FERNANDO City Hall Building, F. Ortega Highway Tel. No. (072)8886901, (072) 867-8100/Fax No. (072)8886907 Website: www.sanfernandocity.gov.ph Email: csflu_98@yahoo.com INVITATION TO BID FOR  CONTINUATION </t>
  </si>
  <si>
    <t xml:space="preserve"> 2 units split type inverter aircon</t>
  </si>
  <si>
    <t xml:space="preserve"> 1	200	pcs	12mm corrugated steel bar		 2	75	pcs	10mm corrugated steel bar		 3	70	pcs	9mm corrugated steel bar standard		 4	600	pcs	CHB 4''		 5	40	pcs	2x2x10 good lumber		 6	10	pcs	1/2 marine flywood		 7	20	kilos	tir wire no. 16		 8	15	kilos	common wire nai</t>
  </si>
  <si>
    <t xml:space="preserve"> Supply and Delivery of Complete Set Fiber Glass Board for the Sports Activities of Lowland and Upland Barangays with an ABC of Php120,000.00 For further details, please refer to the attached Purchase Request in the associated components.</t>
  </si>
  <si>
    <t xml:space="preserve"> QTY.	UNIT	ARTICLES AND DESCRIPTION	 				 1	job	Termite Control 		 		Areas to be treated:		 		1. U-Shape Building 		 		2. Residents Dining		 		3. Kitchen Annex to Dining		 		4. New Warehouse/Storage Room		 		5. UNICEF Building		 		6. New Homelife Unit		 		</t>
  </si>
  <si>
    <t xml:space="preserve"> REQUEST FOR PRICE QUOTATION ________________________	 (Name of External Provider) ________________________ (Address) ________________________ (Address) Please quote your lowest price on the item listed below, subject to the General Conditions on the latte</t>
  </si>
  <si>
    <t xml:space="preserve"> 7	Pcs	Retirement Ring (18k-Gold-10 grams) 		 		 		 		Requirements: 		1. Mayor’s/Business Permit 		2. PhilGEPS Registration Number 		3.  Income/Business Tax return 		4.  Omnibus Sworn Statement</t>
  </si>
  <si>
    <t xml:space="preserve"> 6" Sleeve Type Coupling, CI  - 3 pcs 2" Sleeve Type Coupling, CI - 13 pcs 2" Gate Valve, CI - 13 pcs 3" Sleeve Type Coupling, CI - 2 pcs 3" Gate Valve, CI - 7 pcs 2" Cap Plug, GI - 6 pcs 3" Angle Hydrant - 8 sets 2" Angle Hydrant - 5 sets 2" Coupling, GI </t>
  </si>
  <si>
    <t xml:space="preserve"> Riprapping</t>
  </si>
  <si>
    <t xml:space="preserve"> INVITATION FOR PRICE QUOTATION Date:  15 June 2020 For The Repair And Repainting Of Runway, Taxiway and Apron Markings And Markers   At Masbate Airport The Civil Aviation Authority of the Philippines (CAAP), Area Center V, Legazpi Airport intends to  appl</t>
  </si>
  <si>
    <t xml:space="preserve"> Please see attached docs.</t>
  </si>
  <si>
    <t xml:space="preserve"> REQUEST FOR QUOTATION SHOPPING OF CONFERENCE TABLE WITH CLERICAL CHAIR, CLERICAL TABLE WITH CLERICAL CHAIR, CENTER TABLE, SOFA &amp; STEEL CABINET   RFQ No. 2020-06-009 The Obando Water District (OWD), through its Bids and Awards Committee (BAC), invites repu</t>
  </si>
  <si>
    <t xml:space="preserve"> Rehabilitation of Barangay Road, Removal and Replacement of Damaged Concrete Pavement at brgy. Lumbangan 1.	Bids received in excess of the ABC shall be automatically rejected at bid opening. 2.	Bidders should have completed a contract similar to the Proje</t>
  </si>
  <si>
    <t xml:space="preserve"> 4 bxs M32 DILUENT 20L 3 bot M32 LYSE 500ml 1 bot M32 RINSE 20L 1 bot EZ Cleaner 1 bot Probe Cleanser 1 set B30 Control Set</t>
  </si>
  <si>
    <t xml:space="preserve"> ROAD CONSTRUCTION WITH DRAINAGE CANAL AT PUROK 8A, BACACA, BARANGAY 19-B, POBLACION DISTRICT, DAVAO CITY ABC: 3,000,000.00 Location: Barangay 19-B, Davao City Fund Source: SARO-OSEC-19-0014429 Physical Target: Roads and Drainage</t>
  </si>
  <si>
    <t xml:space="preserve"> Contract ID: 20PL0104 Contract Name: Construction of Pinukpuk-Balbalan Road (Bal - Aba-Aba Section), Brgy. Ballayangon, Pinukpuk, Kalinga Contract Location: Pinukpuk, Kalinga Brief Description: Construction of 3,200m Road Gravelling Approved Budget for th</t>
  </si>
  <si>
    <t xml:space="preserve"> 1			steel truss	 2			roofing	 3			stair (grills)	 4			electricals	 5			sliding windows	 6			panel doors	 7	100	pcs	10mm	 8	1500	pcs	CHB #4	 9	100	bags	cement 	 10	50	kgs	tie wire #16	 11	4	load	sand</t>
  </si>
  <si>
    <t xml:space="preserve"> REQUEST FOR EXPRESSION OF INTEREST FOR THE  Procurement of Consultancy Services for the Philippine International Dive Expo (PHIDEX) Virtual Platform 1.	The Department of Tourism (DOT), through the General Appropriations Act 2020 intends to apply the sum o</t>
  </si>
  <si>
    <t xml:space="preserve"> 1	1	unit	Roll-up Door 3.01m x 2.88 2	1	unit	Roll-up Door 2.50m x 2.88 3	1	unit	Roll-up Door 3.72m x 2.88</t>
  </si>
  <si>
    <t xml:space="preserve"> Amoxicillin 500mg Capsule	2	boxes Amoxicillin LA 15% SC Inj Susp100 ml	1	bot Cephalexin 500mg Capsule	2	boxes Cephalexin 250mg/5ml Capsule 60ml	10	bots Diphenhydramine hydrochloride 50mg Capsule	1	box Trimethoprim Sulfadiazine 24% Inj 100ml	1	bot Marboflo</t>
  </si>
  <si>
    <t xml:space="preserve"> PROCUREMENT OF TWO (2) UNITS FLOOR MOUNTED AIRCON, SB OFFICE, TIGBAUAN, ILOILO</t>
  </si>
  <si>
    <t xml:space="preserve"> Construction Supplies and Materials for LSA - MG Mantilla's Farm *Please refer to an attached RFQ for the items *Free delivery at Macalang, Buenavista **Please see an attached document in ASSOCIATED COMPONENTS for the RFQ</t>
  </si>
  <si>
    <t xml:space="preserve"> 2 Unitts Laptop (Intel corei5, 4GB DDR4, 1TB+2GB SSD, NVDMX2450 2GB, 14" Display, Wifi, Cam, Bluetooth, Windows 10 Home License 1 Set Printer Switch 4 Port 3 Meters USB Cable 2 Set External Hard Drive 1TB 3.0 PLEASE SEE ATTACHED RFQ. QUOTE YOUR PRICE AND </t>
  </si>
  <si>
    <t xml:space="preserve"> 1	570	bags	NCC cement	 2	90	M3	washed sand	 3	70	M3	screened gravel	 4	8	pcs	2x6x20 c-purlins	 5	20	pcs	16mm corrugated steel bar</t>
  </si>
  <si>
    <t xml:space="preserve"> 1 572 pcs 4" x 8" x 16" CHB 2 95 bags 40kg Portland Cement 3 9 cu.m Crushed Sand 4 7 cu.m Crushed Gravel 3/4" dia 5 15 lgth 12mm dia x 6m def bars 6 110 lgth 10mm dia x 6m def bars 7 15 kls #16 Tie Wire 8 205 bd ft 2 x 3 x 10 Coco Lumber 9 11 lgth 1/4 x 2</t>
  </si>
  <si>
    <t xml:space="preserve"> 8 Ream Bond Paper Short 10 Ream Bond Paper Long 5  U S A-4 3 Computer Ink 3 Computer Ink Colored 90 U S Folder Long 2 Record Book 500 pages 1 Record Book 300 pages 1 Pilot Pentel pen 30 pcs. Photo Copy</t>
  </si>
  <si>
    <t xml:space="preserve"> Rehabilitation of 10 Child Development Centers is funded thru the Early Childhood Care &amp; Development Council Grant. Please be guided by the following schedule: 1. Submission of Letter of Intent - June 25-26, 2020 2. Eligibility Screening - June 29, 2020 3</t>
  </si>
  <si>
    <t xml:space="preserve"> The Department of Trade and Industry Regional Office invites PhilGEPS registered supplier for the AUGMENTATION OF SSF FOR KALAMANSIG COFFEE INDUSTRY DEVELOPMENT COUNCIL, INC. FOR COFFEE PROCESSING _Reposting based on the attached Terms of Reference (TOR) </t>
  </si>
  <si>
    <t xml:space="preserve"> 3 IN 1 PRINTER AND SCANNER WITH A4 PHTOCOPIER</t>
  </si>
  <si>
    <t xml:space="preserve"> Clearing &amp; grubbing, Structure excavation, Stone masonry, Embankment fill, Removal of existing concrete pavement, Sub-grade preparation, Aggregate sub-base course, PCCP, RSB, Structural concrete, Construction Safety and Health</t>
  </si>
  <si>
    <t xml:space="preserve"> 3 Units Laptop, intel core i7 8550U, 8GB DDR4 RAM, 2TB HDD, NVIDIA MX150 4GB GDDR5, 15.6" Full HD Display, Wifi, Cam, BT, Windows 10 Home License, free bag: lenovo wireless mouse, speaker fantech Gs202, Steel series mouse pad cleaner 1 Unit Printer 3in1 p</t>
  </si>
  <si>
    <t xml:space="preserve"> Chairs &amp; Tables for LSA - JRS Diversified Agri-Farm 45 pcs Monoblock Chairs 15 pcs Monoblock Tables *Free delivery at ATI-RTC 13, Los Angeles, Butuan City **Please see an attached document in ASSOCIATED COMPONENTS for the RFQ</t>
  </si>
  <si>
    <t xml:space="preserve"> [Republic of the Philippines] Province of Pangasinan Municipality of Natividad INVITATION TO BID FOR TITLE: Construction of MRF Expansion Perimeter Fence Location: Brgy. Cacandongan, Natividad, Pangasinan Approved Budget of the Contract: Php300,000.00 The</t>
  </si>
  <si>
    <t xml:space="preserve"> Republic of the Philippines CITY GOVERNMENT OF SAN FERNANDO City Hall Building, F. Ortega Highway Tel. No. (072)8886901, (072) 867-8100/Fax No. (072)8886907 Website: www.sanfernandocity.gov.ph Email: csflu_98@yahoo.com INVITATION TO BID FOR  ESTABLISHMENT</t>
  </si>
  <si>
    <t xml:space="preserve"> Evacuated Tubes - Gold Top with Gel Separator, 100/pack Multisampler Needle, Gauge 21, 100/box Multisampler Needle, Gauge 23, 100/box Pipette Tips, Blue Pipette Tips, Yellow Clear Test Tube, Glass, 100/box Scalp Vein Butterfly Needle Set, Gauge 25, 100/bo</t>
  </si>
  <si>
    <t xml:space="preserve"> Republic of the Philippines PROVINCE OF SOUTHERN LEYTE Maasin City Invitation to Bid for the Procurement of Fuel, Oil and Lubricant  Contract ID # 2020-07-07-372PG 1.	The Provincial Government of Southern Leyte through the PAGSO – Fuel, Oil and Lubricants</t>
  </si>
  <si>
    <t xml:space="preserve"> 4	box	Plastic Shoulder Length Gloves			 4	doz	Toilet - 2 ply			 1	doz	Isoprophyl Alcohol 500ml			 6	packs	Disposable Plastic Sheaths			 1	bot.	Mineral Oil 1000ml			 17	liters	Valbazen Suspension			 2	packs	Absorbent 300gms Cotton</t>
  </si>
  <si>
    <t xml:space="preserve"> Contract ID: 20PL0116 Contract Name: Concreting of Sitio Turod to Sitio Burubur (Phase II) FMR, Brgy. Bulo, Tabuk City, Kalinga Contract Location: Tabuk City, Kalinga Brief Description: Construction of 579m x 6.1m x 0.20m thk PCCP Approved Budget for the </t>
  </si>
  <si>
    <t xml:space="preserve"> 1	40	pcs	12mm			 2	60	pcs	10mmvel			 3	12	m3	sand			 4	6	m3	gravel			 5	450	pcs	tiles 40 x 40			 6	150	pcs	tiles 20 x 20			 7	250	pcs	tiles 20 x 30			 8	1	set 	toilet and bowl			 9	2	sets	sliding doors			 10	1100	pcs	concrete hallow blocks			 11	30	pcs	2x</t>
  </si>
  <si>
    <t xml:space="preserve"> 1	65	pcs	Duo Tone mats 2	25	pcs	Illustraton board 3	28	pcs	Cartolina 4	2	boxes	Pencil 5	6	meters	Paint Canvass</t>
  </si>
  <si>
    <t xml:space="preserve"> For Covid Response</t>
  </si>
  <si>
    <t xml:space="preserve"> Concreting of Barangay Road in Brgy. Dalima, L117.00m, W3.00m, T0.15m 1.	Bids received in excess of the ABC shall be automatically rejected at bid opening. 2.	Bidders should have completed a contract similar to the Project. The description of an eligible </t>
  </si>
  <si>
    <t xml:space="preserve"> Rehabilitation</t>
  </si>
  <si>
    <t xml:space="preserve"> 2 pcs Flower Stand</t>
  </si>
  <si>
    <t xml:space="preserve"> Rehabilitation of barangay road, removal of existing damaged PCC Pavement, Concreting of Pavement in brgy. Dalima 1.	Bids received in excess of the ABC shall be automatically rejected at bid opening. 2.	Bidders should have completed a contract similar to </t>
  </si>
  <si>
    <t xml:space="preserve"> Construction of 120m Sidewalk with Curbes and Gutter</t>
  </si>
  <si>
    <t xml:space="preserve"> Provision of 						 						 LEASE RENTAL of One (1) Airconditioning Unit 					unit	1 Inclusive of Installation (60 Feet)						 						 SPECIFICATIONS :						 &gt; 2.5 HP						 &gt; Split Type 						 &gt; Wall Mounted 						 						 Scope of Work :						 1. Supply of </t>
  </si>
  <si>
    <t xml:space="preserve"> Please see attached Purchase Request (PR) for the specifications.</t>
  </si>
  <si>
    <t xml:space="preserve"> Concreting of Access Road at Brgy. Magahis (MRF) Area 321.00sqm, T0.15m 1.	Bids received in excess of the ABC shall be automatically rejected at bid opening. 2.	Bidders should have completed a contract similar to the Project. The description of an eligibl</t>
  </si>
  <si>
    <t xml:space="preserve"> INVITATION FOR PRICE QUOTATION Date:  15 June 2020 For The Provision Of Runway Markers And Markings At Bacon Airport The Civil Aviation Authority of the Philippines (CAAP), Area Center V, Legazpi Airport intends to apply the estimated amount   of  Eighty </t>
  </si>
  <si>
    <t xml:space="preserve"> Purchase of CCTV camera and payment for the services for barangay safety and security.</t>
  </si>
  <si>
    <t xml:space="preserve"> ITEM NO.	ITEM &amp; DESCRIPTION	 BRAND	UOM	QTY. 1	Aircon Floor Mounted 3 Tonner, cooling capacity 38,160, 		Unit	4 	Power input: 4080W, floor area 44-54 sq. m., with installation			 	Dehumidification, low noise air flow, fresh air switch w/ installation			 2	</t>
  </si>
  <si>
    <t xml:space="preserve"> ICT Equipment for LSA - JRS Diversified Agri-Farm 1 unit Projector 1 unit Laptop *Please refer to an attached RFQ for the specifications **Please see an attached document in ASSOCIATED COMPONENTS for the RFQ</t>
  </si>
  <si>
    <t xml:space="preserve"> This RPQ and PR composed of various Office Supplies such as alcohol, tissue, glue, staple wire, etc.</t>
  </si>
  <si>
    <t xml:space="preserve"> REQUEST FOR EXPRESSION OF INTEREST FOR DETAILED ENGINEERING  STUDY/DESIGN  OF WARAS  SRIP,  IRIGA CITY, CAMARINES SUR 1.	The National Irrigation Administration RO V, Naga City, through the GAA/FSDE CY 2019  intends to apply the sum of P 11,005,392.85  bei</t>
  </si>
  <si>
    <t xml:space="preserve"> NOTICE IS HEREBY GIVEN that the National Food Authority Regional Office V, thru its Regional Procurement Committee (RPC) intends to procure thru Small Value Procurement for the Supply and Delivery of 5-Units Airconditioning Units (Rebidding).</t>
  </si>
  <si>
    <t xml:space="preserve"> Request for Quotation</t>
  </si>
  <si>
    <t xml:space="preserve"> Please see attached Request for Quotation (RFQ)..</t>
  </si>
  <si>
    <t xml:space="preserve"> Description   1     unit      Multi Function Copier</t>
  </si>
  <si>
    <t xml:space="preserve"> Contract ID: 20PL0117 Contract Name: Construction/Concreting of the Tabuk City, Kalinga - Tuao, Cagayan Road via the Burayugan-San Francisco-Naruangan Section, Cagayan Road, Tabuk City, Kalinga Contract Location: Tabuk City, Kalinga Brief Description: Con</t>
  </si>
  <si>
    <t xml:space="preserve"> INVITATION TO BID FOR Procurement of Various Medical Equipment for CY 2020 IB NO: 2020-020 The Western Visayas Medical Center, through Regular Agency Fund/SAA No. 2020-04-0846, in the amount of Twenty One Million Four Hundred Sixty Six Thousand Two Hundre</t>
  </si>
  <si>
    <t xml:space="preserve"> 3 Units -Outdoor CCTV Cameras 3 Units -Public Adress Speakers 10 Rolls -CCTV Cables 10 Rolls -Flat Cords 10 Rolls -Speaker Wires 3 Sets -Arm Braket/Conduits</t>
  </si>
  <si>
    <t xml:space="preserve"> Incubator for LSA - DAJ Diversified Farm 1 unit Incubator (Semi-Automatic), 150 eggs capacity/batch *Free delivery at ATI-RTC 13, Los Angeles, Butuan City **Please see an attached document in ASSOCIATED COMPONENTS for the RFQ</t>
  </si>
  <si>
    <t xml:space="preserve"> INVITATION FOR PRICE QUOTATION Date:  15 June 2020 For The Provision Of Runway Markers And Markings At Bulan Airport The Civil Aviation Authority of the Philippines (CAAP), Area Center V, Legazpi Airport intends to apply the estimated amount   of  One Hun</t>
  </si>
  <si>
    <t xml:space="preserve"> TYPE/MODEL: SINOTUK HOWO, T7 / A7 6 X 4, 10 WHEELER, DUMP TRUCK. ENGINE NO.: D10.38-40, 380HP, EURO 4 TRANSMISSION: HW19710 FRONT AXLE: HF9 REAR AXLE: HC16 COLOR: WHITE TIRES: 12.00R20, 11, STEEL TIRES INCLUDING ONE (1) SPARE TIRE DUMP: 5600*2300*1500mm F</t>
  </si>
  <si>
    <t xml:space="preserve"> PROVISION OF LABOR AND MATERIALS FOR THE CONSTRUCTION OF  CONCRETE STEP LADDERS AND HAND RAILINGS IN CAPE ENGAÑO, PALAUI ISLAND PROTECTED LANDSCAPE AND SEASCAPE (PIPLS), SAN  VICENTE, STA. ANA, CAGAYAN UNIT      ITEM DESCRIPTION   QUANTITY bag	CEMENT		250</t>
  </si>
  <si>
    <t xml:space="preserve"> 10000	Piece	Specimen Bottle for Stool Screw Cap (Sterile), ABC 12.00/pc 10	Tube	Cream for Defibrillator, ABC 1,500.00/tube 60	Box	Gauze 2x2 Sterile 100pcs per box, ABC 500.00/box 100	Piece	Thoracostomy Tube Size 36, ABC 500.00/pc 29	Piece	Tracheostomy Tub</t>
  </si>
  <si>
    <t xml:space="preserve"> Supply and Delivery of DRRM Information Signage to be installed at LGU Compound with an ABC of Php60,000.00 For further details, please refer to the attached Purchase Request in the associated components.</t>
  </si>
  <si>
    <t xml:space="preserve"> PGM-BAC reserves the right to reject any or all quotations to waive formality therein and to accept offers as may be considered advantageous to the government. The BAC Chairperson Boac, Marinduque</t>
  </si>
  <si>
    <t xml:space="preserve"> 1			paints 2			ceiling 3			plastering 4			sliding windows 5			grills 6			tiles</t>
  </si>
  <si>
    <t xml:space="preserve"> Republic of the Philippines Provincial Government of Aurora Bids and Awards Committee (BAC) BAC Office, Provincial Capitol Building, Baler, Aurora 3200, Philippines Standard Form Number: SF---GOODS-05 Revised on: July 28, 2004 INVITATION TO BID The PROVIN</t>
  </si>
  <si>
    <t xml:space="preserve"> Hammer Mill for LSA - DAJ Diversified Farm 1 unit Hammer Mill (Electric Motor Driven &gt; 150 kg/hr Capacity) *Free Delivery at ATI-RTC 13, Los Angeles, Butuan City **Please see an attached document in ASSOCIATED COMPONENTS for the RFQ</t>
  </si>
  <si>
    <t xml:space="preserve"> 1.	The Bureau of Fire Protection Caraga Regional Office, through the General Appropriation Act CY 2020 intends to apply the sum of Seven Million Three Hundred Twenty Thousand Nine Hundred Sixty-Eight Pesos and 20/100 (Php 7,320,968.20) being the Approved </t>
  </si>
  <si>
    <t xml:space="preserve"> Removal of structure and obstruction, Structure excavation, Reinforcing steel bar, Structural concrete works, Masonry works w/ plastering, Electrical works, Roofing works, Installation of ACP</t>
  </si>
  <si>
    <t xml:space="preserve"> Various Grocery Items for Distribution to Barangays  1.	Bids received in excess of the ABC shall be automatically rejected at bid opening. 2.	Bidders should have completed a contract similar to the Project. The description of an eligible bidder is contain</t>
  </si>
  <si>
    <t xml:space="preserve"> RFQ No.: 2020-029__			`			                  Date: June 16 ,2020 Name of Company: _______________________________________________________________ Address: _______________________________________________________________________ Business Permit No.: ________</t>
  </si>
  <si>
    <t xml:space="preserve"> Five(5) reams Bond Paper Legal sub 20 and 20 other LI</t>
  </si>
  <si>
    <t xml:space="preserve"> Supply and delivery of 1 unit Heavy Duty Shredder to be used at the Office of the RTD for Research and Regulatory 1	unit	Heavy Duty Shredder		 		Feed Width: 260mm		 		Shred Capacity: A4 80gsm: A4 70gsm: 11-13 sheets		 		12 - 14 sheets		 		Shred Size: 2 x </t>
  </si>
  <si>
    <t xml:space="preserve"> PART A 801 (3) REMOVAL OF STRUCTURES AND OBSTRUCTION 1,359.77 SQ.M (Existing longspan Metal Sheet, Purlins sag rods, struts and sway braces ITEM 1047 STRUCTURAL STEEL 1047(2)b ROOF TRUSS (Retrofitting and Lifting of Existing Steel Trusses and Provision of</t>
  </si>
  <si>
    <t xml:space="preserve"> National Power Corporation INVITATION TO BID PUBLIC BIDDING 2020-0125 1.	The NATIONAL POWER CORPORATION (NPC), through       its        approved       Corporate Budget of CY 2020 intends to apply   the   sum   of (Please see schedule below) being the Appr</t>
  </si>
  <si>
    <t xml:space="preserve"> Republic of the Philippines PROVINCE OF SOUTHERN LEYTE Maasin City Invitation to Bid for the Procurement of Various Planting Materials and Fertilizers  Contract ID # 2020-07-07-374PG 1.	The Provincial Government of Southern Leyte through the PAGSO – Agric</t>
  </si>
  <si>
    <t xml:space="preserve"> I 1.00 LOT Demolition, Chipping and Polishing Works II 32.00 SQ.M Tile Works III 1.00 LOT Doors and Windows IV 10.00 SQ.M Painting Works V 1.00 LOT Plumbing, Sanitary Works and Accessories VI 1.00 LOT Electrical Works VII 1.00 CU.M Concrete and Masonry Wo</t>
  </si>
  <si>
    <t xml:space="preserve"> Thirty (30) rolls Laminated Sacks 10 x 12 and thirty eight (38) other L/I</t>
  </si>
  <si>
    <t xml:space="preserve"> FM-LMSprc-02 Rev-0 	                                                                                                                                                                                                                        April 30, 2018     </t>
  </si>
  <si>
    <t xml:space="preserve"> SMART CELL CARDS 85PCS GLOBE CELL CARDS 68PCS TM CELL CARDS 47PCS</t>
  </si>
  <si>
    <t xml:space="preserve"> CONSTRUCTION/IMPROVEMENT/REHABILITATION</t>
  </si>
  <si>
    <t xml:space="preserve"> To enhance teachers professional growth and prepare materials for Alternative learning mode</t>
  </si>
  <si>
    <t xml:space="preserve"> 15,000 meters (50 rolls) HDPE (Sdr.11) - ½”Ø         P.E. Tube ½” (BLUE) with number per meter and with Property of NORZAGARAY WATER DISTRICT markings</t>
  </si>
  <si>
    <t xml:space="preserve"> 1	15	cu. M.	screened sand		 2	250	bags	northern cement		 3	500	pcs	concrete hollow blocks 4''		 4	30	kilos	sahara waterfroofing cement		 5	530	pcs	floor tiles 40 x 40		 6	160	pcs	staie tiles 30 x 40		 7	230	pcs	wall tiles for comfort room		 8	70	pcs	floor</t>
  </si>
  <si>
    <t xml:space="preserve"> Republic of the Philippines PROVINCE OF SOUTHERN LEYTE Maasin City Invitation to Bid for the Procurement of Various Office Supplies  Contract ID # 2020-07-07-373PG 1.	The Provincial Government of Southern Leyte through the PAGSO Office Supplies Expenses i</t>
  </si>
  <si>
    <t xml:space="preserve"> PURCHASE REQUEST											 											 											 Entity Name	BATA  ELEMENTARY SCHOOL II 						Fund Cluster				 											 Office / Section :	Division of Bacolod 			PR No.	:	   2020 - 06- 0014					 				Responsibility Center Code	:			Date	:	 06- 11-  20</t>
  </si>
  <si>
    <t xml:space="preserve"> Republic of the Philippines Province of Antique Municipality of Valderrama OFFICE OF THE BIDS AND AWARDS COMMITTEE  			 INVITATION TO BID The Local Government Unit of Valderrama, Antique through its Bids and Awards Committee (BAC), invites suppliers to ap</t>
  </si>
  <si>
    <t xml:space="preserve"> SUPPLY &amp; DELIVERY OF OFFICE SUPPLIES 1.	The Local Government Unit of Kabacan, through the MOOE 2020 of various offices  intends to apply the sum of Six Hundred Fifty Seven Thousand Eight Hundred Twenty Nine &amp; 82/100 (P 657,829.82) being the Approved Budge</t>
  </si>
  <si>
    <t xml:space="preserve"> Please see attached RFQ, Technical Specifications, in Associated Components   Note. Sealed Canvass.Please attach in your quotation the following documents: Mayor's Permit, Philgeps Registration number and Membership. The Omnibus sworn statement is to be s</t>
  </si>
  <si>
    <t xml:space="preserve"> Service Vehicles Engine: 2.8 Liter Diesel, 4 Cylinder in Line DOHC VAriable Nozzle Turbo with Front Mounted INtercooler 2,750cc - 2755cc, 171HP/3400rpm, 360Nm/1200-3405rpm, Direct Injection Common Rail, Fuel Tank: 55-65 Liters TRANSMISSION/SUSPENSION/BRAK</t>
  </si>
  <si>
    <t xml:space="preserve"> INVITATION TO BID  PURCHASE OF MEDICINE LGU-GIGMOTO, CATANDUANES 		 June 1, 2020 1.	The Municipal Government of Gigmoto, through CY 2020 General Fund intends to apply the sum of Seven Hundred Ninety Nine Thousand Nine Hundred Ninety Four Pesos (Php799,994</t>
  </si>
  <si>
    <t xml:space="preserve"> Clearing and grubbing, Excavation, RSB, Structural concrete, Construction Safety and Health</t>
  </si>
  <si>
    <t xml:space="preserve"> 5	Unit	3 in 1 Printer Continuous ink tank system, ABC 10,000.00/unit no re-setter needed w/ minimum 1 year warranty				 RFQ#06-0634</t>
  </si>
  <si>
    <t xml:space="preserve"> Republic of the Philippines DEPARTMENT OF HEALTH TALISAY DISTRICT HOSPITAL        (DR. JACINTO VELEZ SR. MEMORIAL HOSPITAL) San Isidro, Talisay City, Cebu (032)273-8785  (032) 273-8785 tdh.canvass@gmail.com http://www.tdh.doh.gov.ph “A PHIC Accredited </t>
  </si>
  <si>
    <t xml:space="preserve"> The DAR Provincial Agrarian Reform Office - Iloilo now invites bids for DAR-CARP Survey Project-Subdivision of New Lands (Agricultural) situated at 2nd, 3rd and 5th District of Iloilo Province involving 98.4681 Hectares. Please refer to the attached Invit</t>
  </si>
  <si>
    <t xml:space="preserve"> Construction Supplies &amp; Materials for LSA - Basmayor Farm *Please refer to an attached RFQ for the items *Free Delivery at ATI-RTC 13, Los Angeles, Butuan City **Please see an attached document in ASSOCIATED COMPONENTS for the RFQ</t>
  </si>
  <si>
    <t xml:space="preserve"> Contract Period: July 1, 2020 - December 31, 2020</t>
  </si>
  <si>
    <t xml:space="preserve"> 9 pieces HDPE (Sdr.11) - 8”Ø P.E. Tube 8”x6meters (BLUE) with free jointing of butt fusion</t>
  </si>
  <si>
    <t xml:space="preserve"> Plastic monobloc chairs with backrest (beige color)</t>
  </si>
  <si>
    <t xml:space="preserve"> Kindly download the attached Request for Quotation form for the details of this requirement. Thank you.</t>
  </si>
  <si>
    <t xml:space="preserve"> Advertisement/Posting of Invitation to Bid 16 June 2020 Issuance and Availability of Bid Documents 16 June to 06 July 2020 Pre-bid Conference 29 June 2020 10:00 AM Last Day of Written Clarification 02 July 2020 Last Day of Issuance of Bid Bulletin 06 July</t>
  </si>
  <si>
    <t xml:space="preserve"> Republic of the Philippines Province of Cotabato Municipality of Matalam BIDS AND AWARDS COMMITTEE INVITATION TO BID No. 11 s. 2020 SUPPLY &amp; DELIVERY OF THE TIRE FOR VARIOUS MUNICIPAL EQUIPMENT OF LGU 1.	The Local Government Unit (LGU) of Matalam, through</t>
  </si>
  <si>
    <t xml:space="preserve"> REQUEST FOR QUOTATION Printing Services of Tabloid in MinSCAT Main Campus The Mindoro State College of Agriculture and Technology (MinSCAT) through the Bids and Awards Committee invites interested firms/suppliers to submit quotation for the project “Print</t>
  </si>
  <si>
    <t xml:space="preserve"> 1. Pull-out Vehicle 2. Check-up 3. Battery and Tire Replacement 4. Body repair and painting. 5. Under Chassis  repair. 6. Electrical repair and wiring. 7. Engine repair.</t>
  </si>
  <si>
    <t xml:space="preserve"> 500 pcs. class 100 uPVC 4"  fixed seal (BLUE) 50 pcs. class 100 uPVC 6" fixed seal (BLUE)</t>
  </si>
  <si>
    <t xml:space="preserve"> please see attached PR</t>
  </si>
  <si>
    <t xml:space="preserve"> QTY.    UNIT    DESCRIPTION 2         units    Aircondition (Window Type) 2.5HP</t>
  </si>
  <si>
    <t xml:space="preserve"> I N V I T A T I O N   T O   B I D  The Visayas State University through its Bids and Awards Committee (BAC), invites suppliers/manufacturers/distributors to apply for eligibility and to bid for the hereunder project: Name of Project		 :  Supply and Delive</t>
  </si>
  <si>
    <t xml:space="preserve"> National Power Corporation INVITATION TO BID PUBLIC BIDDING 2020-0126 1.	The NATIONAL POWER CORPORATION (NPC), through       its        approved       Corporate Budget of CY 2020 intends to apply   the   sum   of (Please see schedule below) being the Appr</t>
  </si>
  <si>
    <t xml:space="preserve"> INVITATION TO BID  PURCHASE OF AUTO SUPPLIES &amp; SPAREPARTS LGU-GIGMOTO, CATANDUANES 		 June 15, 2020 1.	The Municipal Government of Gigmoto, through CY 2020 General Fund intends to apply the sum of Three Hundred Forty Two Thousand Four Hundred Pesos (Php34</t>
  </si>
  <si>
    <t xml:space="preserve"> Republic  of  the  Philippines  Province  of  Marinduque MUNICIPALITY  OF  GASAN INVITATION TO  BID  FOR THE IMPROVEMENT  OF SLAUGHTER HOUSE 1.	The Municipality of Gasan, through  20% Development Fund CY 2020, Public Market and Slaughter House intends to </t>
  </si>
  <si>
    <t xml:space="preserve"> Standard Form Number: SF-GOOD-60 Revised on May 24, 2004                                                                                                                                                            Republic of the Philippines CARLOS HILADO M</t>
  </si>
  <si>
    <t xml:space="preserve"> PHILIPPINE SCIENCE HIGH SCHOOL SYSTEM						"REQUEST FOR QUOTATION FORM &amp;  NOTICE (GOODS)"		 Office / Campus:			MAIN CAMPUS					 Address / Contact Details:			AGHAM ROAD, DILIMAN, QUEZON CITY					 								 						Quotation No.:	20-06-131	 	GENTELMEN:					Dat</t>
  </si>
  <si>
    <t xml:space="preserve"> PHILIPPINE SCIENCE HIGH SCHOOL SYSTEM						"REQUEST FOR QUOTATION FORM &amp;  NOTICE (GOODS)"		 Office / Campus:			MAIN CAMPUS					 Address / Contact Details:			AGHAM ROAD, DILIMAN, QUEZON CITY					 								 						Quotation No.:	20-06-132	 	GENTELMEN:					Dat</t>
  </si>
  <si>
    <t xml:space="preserve"> Two (2) ea Digital Camera 33mp 1080P 30FPS 8x and thirty seven (37) other L/I</t>
  </si>
  <si>
    <t xml:space="preserve"> Republic of the Philippines PROVINCE OF SOUTHERN LEYTE Maasin City Invitation to Bid for the Procurement of Various Housekeeping Supplies    Contract ID # 2020-07-07-377PG 1.	The Provincial Government of Southern Leyte through the PGO Other Supplies and M</t>
  </si>
  <si>
    <t xml:space="preserve"> Republic of the Philippines Province of Cotabato Municipality of Matalam BIDS AND AWARDS COMMITTEE INVITATION TO BID No. 12 s. 2020 PURCHASE OF DIESEL FUEL FOR THE REHAB OF SITIO KULOG TO ARAKAN RAOD 1.	The Local Government Unit (LGU) of Matalam, through </t>
  </si>
  <si>
    <t xml:space="preserve"> Advertisement/Posting of Invitation to Bid 16 June 2020 Issuance and Availability of Bid Documents 16 June to 06 July 2020 Pre-bid Conference 29 June 2020, 2:00 PM Last Day of Written Clarification 02 July 2020 Last Day of Issuance of Bid Bulletin 06 July</t>
  </si>
  <si>
    <t xml:space="preserve"> 1 unit MOTORCYCLE Engine Type : 4-Stroke, SOHC Displacement : 177 cc. Maximum Power : 12.74 HP @ 7,500 rpm Maximum Torque : 1.34 Kgf.m @ 4,500 rpm Transmission : 4-speed constant Fuel Tank : 12 Liters Cooling System : Air-cooled Electric Start With Free R</t>
  </si>
  <si>
    <t xml:space="preserve"> PHILIPPINE SCIENCE HIGH SCHOOL SYSTEM						"REQUEST FOR QUOTATION FORM &amp;  NOTICE (GOODS)"		 Office / Campus:			MAIN CAMPUS					 Address / Contact Details:			AGHAM ROAD, DILIMAN, QUEZON CITY					 								 						Quotation No.:	20-06-134	 	GENTELMEN:					Dat</t>
  </si>
  <si>
    <t xml:space="preserve"> PHILIPPINE SCIENCE HIGH SCHOOL SYSTEM						"REQUEST FOR QUOTATION FORM &amp;  NOTICE (GOODS)"		 Office / Campus:			MAIN CAMPUS					 Address / Contact Details:			AGHAM ROAD, DILIMAN, QUEZON CITY					 								 						Quotation No.:	20-06-133	 	GENTELMEN:					Dat</t>
  </si>
  <si>
    <t xml:space="preserve"> Republic of the Philippines Province of Cotabato Municipality of Matalam BIDS AND AWARDS COMMITTEE INVITATION TO BID No. 13 s. 2020 PURCHASE OF DIESEL FUEL FOR THE REHAB OF SITIO KULOG TO SITIO VALDEVIESO RAOD 1.	The Local Government Unit (LGU) of Matalam</t>
  </si>
  <si>
    <t xml:space="preserve"> 1	LOT	1.	Repair and re-piping of main and existing sewer line system at NPO building. a.	Dismantling and subsequent replace of main sanitary and branch pipeline. b.	Repair of leaking sanitary branch pipe. c.	Repair of damaged ceiling board d.	Syphoning of</t>
  </si>
  <si>
    <t xml:space="preserve"> Refer to Attached Annex “A” Price Quotation Form</t>
  </si>
  <si>
    <t xml:space="preserve"> 1.	The Local Government Unit of Kabacan, through the MOOE 2020 of various offices  intends to apply the sum of Six Hundred Sixty Four Thousand One Hundred Twenty Eight &amp; 54/100 Pesos (P 664,128.54) being the Approved Budget for the Contract (ABC) to payme</t>
  </si>
  <si>
    <t xml:space="preserve"> Supply and Delivery of UV Light for the Medical Section of BDH</t>
  </si>
  <si>
    <t xml:space="preserve"> PHILIPPINE SCIENCE HIGH SCHOOL SYSTEM						"REQUEST FOR QUOTATION FORM &amp;  NOTICE (GOODS)"		 Office / Campus:			MAIN CAMPUS					 Address / Contact Details:			AGHAM ROAD, DILIMAN, QUEZON CITY					 								 						Quotation No.:	20-06-135	 	GENTELMEN:					Dat</t>
  </si>
  <si>
    <t xml:space="preserve"> PHILIPPINE SCIENCE HIGH SCHOOL SYSTEM						"REQUEST FOR QUOTATION FORM &amp;  NOTICE (GOODS)"		 Office / Campus:			MAIN CAMPUS					 Address / Contact Details:			AGHAM ROAD, DILIMAN, QUEZON CITY					 								 						Quotation No.:	20-06-136	 	GENTELMEN:					Dat</t>
  </si>
  <si>
    <t xml:space="preserve"> Supply, Delivery and Installation of Window Blinds</t>
  </si>
  <si>
    <t xml:space="preserve"> MARINE PLYWO D (3/4"), MARINE PLYWOOD (1/4"), MARINE PLYWOOD (1/2"), ORDINARY PLYWOOD (1/4"), 2"x2"x8' GEMILINA O, 1"x2"x8' GEMILINA , PREMIUM CEMENT, COMMON WOOD NAILS 3", COMMON WOOD NAILS 4", NEBRASKA ORDINARY PLYWOOD (1/4"), KITCHEN SINK, STAINLESS FA</t>
  </si>
  <si>
    <t xml:space="preserve"> Please download attached documents or visit our website @www.prc.gov.ph for more details.</t>
  </si>
  <si>
    <t xml:space="preserve"> ELECTRICAL WORKS: #12 THHN Wire (Stranded) #14 THHN Wire (Stranded) 1/2"0 PVC Pipe 3/4" 0 Pvc Pipe 4 X 4 Junctiom Box With Cover Mecca Tube (Small) 1/2" 0 Plastic Clamp 3/4" 0 Plastic Clamp 2 Gang Outlet 2 Gang Switch 1 Gang Switch 3/4"0 Plastic Moulding </t>
  </si>
  <si>
    <t xml:space="preserve"> Request for Quotation (RFQ) Request for Quotation No.: 2020-06-090-GS Date Published: June 15, 2020 Closing Date: June 19, 2020 at 10:00 AM, PST (refer to BAC Office Wall Clock) Opening of Quotation: June 19, 2020 at 10:30 AM, PST Title of the Projects: P</t>
  </si>
  <si>
    <t xml:space="preserve"> INVITATION TO BID (National Competitive Bidding) The BFAR XIII, through its Bids and Awards Committee (BAC), invites eligible suppliers to bid for the hereunder contracts: Project Title: Procurement of Fuel and Lubricants’ Fleet Card for Official use of B</t>
  </si>
  <si>
    <t xml:space="preserve"> PR NO. 0729 - 20                                                           Republic of the Philippines                 CITY GOVERNMENT OF TACURONG Alunan Highway, Tacurong City Sultan Kudarat BIDS AND AWARDS COMMITTEE                       Tel nos. (064) </t>
  </si>
  <si>
    <t xml:space="preserve"> PHILIPPINE SCIENCE HIGH SCHOOL SYSTEM						"REQUEST FOR QUOTATION FORM &amp;  NOTICE (GOODS)"		 Office / Campus:			MAIN CAMPUS					 Address / Contact Details:			AGHAM ROAD, DILIMAN, QUEZON CITY					 								 						Quotation No.:	20-06-139	 	GENTELMEN:					Dat</t>
  </si>
  <si>
    <t xml:space="preserve"> Request for Quotation (RFQ) Request for Quotation No.: 2020-06-088-GS Date Published: June 15, 2020 Closing Date: June 19, 2020 at 10:00 AM, PST (refer to BAC Office Wall Clock) Opening of Quotation: June 19, 2020 at 10:30 AM, PST Title of the Projects: P</t>
  </si>
  <si>
    <t xml:space="preserve"> PHILIPPINE SCIENCE HIGH SCHOOL SYSTEM						"REQUEST FOR QUOTATION FORM &amp;  NOTICE (GOODS)"		 Office / Campus:			MAIN CAMPUS					 Address / Contact Details:			AGHAM ROAD, DILIMAN, QUEZON CITY					 								 						Quotation No.:	20-06-140	 	GENTELMEN:					Dat</t>
  </si>
  <si>
    <t xml:space="preserve"> Request for Quotation (RFQ) Request for Quotation No.: 2020-05-085-GS Date Published: June 15, 2020 Closing Date: June 19,2020 at 10:00 AM, PST (refer to BAC Office Wall Clock) Opening of Quotation: June 19,2020 at 10:30 AM, PST Title of the Projects: Pro</t>
  </si>
  <si>
    <t xml:space="preserve"> Republic  of  the  Philippines  Province  of  Marinduque MUNICIPALITY  OF  GASAN INVITATION TO  BID  FOR THE CONSTRUCTION OF SECOND FLOOR FOOD COURT PHASE 2 1.	The Municipality of Gasan, through  20% Development Fund Continuing Appropriation,  Public Mark</t>
  </si>
  <si>
    <t xml:space="preserve"> 3 thermal scanner 90 box surgical facemask 4 PPE 92 faceshield 3 box alcohol 500 ml 1 foot tray 88 bottle spray 90 bottle zonrox 1 liter 90 pcs safeguard soap 90 pcs tide powder 1 box sign pen 18 box ballpen</t>
  </si>
  <si>
    <t xml:space="preserve"> PHILIPPINE SCIENCE HIGH SCHOOL SYSTEM						"REQUEST FOR QUOTATION FORM &amp;  NOTICE (GOODS)"		 Office / Campus:			MAIN CAMPUS					 Address / Contact Details:			AGHAM ROAD, DILIMAN, QUEZON CITY					 								 						Quotation No.:	20-06-138	 	GENTELMEN:					Dat</t>
  </si>
  <si>
    <t xml:space="preserve"> PURCHASE OF FIXTURES TO BE USED AT THE VISITOR'S INFORMATION CENTER OF PALAUI ISLAND PROTECTED LANDSCAPE AND SEASCAPE (PIPLS) UNIT  ITEM DESCRIPTION   QUANTITY pc	table		3 set	sala set		1</t>
  </si>
  <si>
    <t xml:space="preserve"> INVITATION TO BID 1.	The Tondo Medical Center (TMC), through the General Appropriations Act/HFEP intends to apply the sum of Five Million Eight Hundred Eighty Thousand Philippine Pesos (PhP 5,880,000.00) being the Approved Budget for the Contract (ABC) to</t>
  </si>
  <si>
    <t xml:space="preserve"> PHILIPPINE SCIENCE HIGH SCHOOL SYSTEM						"REQUEST FOR QUOTATION FORM &amp;  NOTICE (GOODS)"		 Office / Campus:			MAIN CAMPUS					 Address / Contact Details:			AGHAM ROAD, DILIMAN, QUEZON CITY					 								 						Quotation No.:	20-06-141	 	GENTELMEN:					Dat</t>
  </si>
  <si>
    <t xml:space="preserve"> unit	Floor Stand Water Dispenser Hot, warm and Cold with Storage		7 Unit	Black Office Chair		2 Unit	Wireless Multi Function Printer		1 pc	warding kit		1 unit	"4 Door 38 cu.ft. freezer,w/ 8 adjustable shelves,1,300 watts full  "		1 	"stainless steel ( body</t>
  </si>
  <si>
    <t xml:space="preserve"> 1.	The Philippine Science High School Central Luzon Campus through the GAA 2020  intends to apply the sum of Two Million Four Hundred Eighty Five Thousand Seven Hundred Eighty Five Pesos (PHP 2,485,785. 00) being the Approved Budget for the Contract (ABC)</t>
  </si>
  <si>
    <t xml:space="preserve"> SUPPLY AND DELIVERY OF FISHING GEARS FOR THE USE OF AGTAS IN PALAUI ISLAND PROTECTED LANDSCAPE AND SEASCAPE (PIPLS) , SNA VICENTE, STA. ANA, CAGAYAN UNIT   ITEM DESCRIPTION  QUANTITY 	Mesh Net/Fish Net		 roll	# 4-Twine 030 mm-Depth 100-Length 100 Meters  </t>
  </si>
  <si>
    <t xml:space="preserve"> 4" Tee Reducer, CI - 1 pc 4" x 3" Tee reducer, CI -  1 pc 4" x 2" Tee reducer, CI - 3 pcs 4" End Cap, CI - 3 pcs 4" Transition Coupling, CI - 1 pc 4" Sleeve Type Coupling, CI - 3 pcs 3" Sleeve Type Coupling, CI - 1 pc 3" End Cap, CI - 2 pcs 2" Sleeve Type</t>
  </si>
  <si>
    <t xml:space="preserve"> Desktop Computer</t>
  </si>
  <si>
    <t xml:space="preserve"> Name of Contract: Construction of Flood Control, Barangay San Jose (Additional Allocation) IAC Classification: Small "B" for Flood Control PCAB Category "D" Duration: 120 Calendar Days Approved Budget for the Contract: Php 2,000,000.00 xxxxxxxxxxxxxxxxxx</t>
  </si>
  <si>
    <t xml:space="preserve"> Please quote your best offer for the item described below, subject to the Terms and Conditions provided at the 2nd page portion of the attached request for quotation. 	Submit your quotation duly signed by you or your duly representative and copies of the </t>
  </si>
  <si>
    <t xml:space="preserve"> PHILIPPINE SCIENCE HIGH SCHOOL SYSTEM						"REQUEST FOR QUOTATION FORM &amp;  NOTICE (GOODS)"		 Office / Campus:			MAIN CAMPUS					 Address / Contact Details:			AGHAM ROAD, DILIMAN, QUEZON CITY					 								 						Quotation No.:	20-06-137	 	GENTELMEN:					Dat</t>
  </si>
  <si>
    <t xml:space="preserve"> PLEASE SEE ATTACHED RPQ</t>
  </si>
  <si>
    <t xml:space="preserve"> PHILIPPINE CHILDREN'S MEDICAL CENTER						 Quezon Avenue, Quezon City						 Tel. No. 8588-9900 local 224/226						 						 REQUEST FOR QUOTATION						 No. RFQ-2020-236						 						 Date :						 						 Name of Supplier :						 						 Address :						 						 </t>
  </si>
  <si>
    <t xml:space="preserve"> INVITATION TO BID FOR THE Procurement of Tires  1.	The Municipality of Alabel, through the Annual Budget for CY 2020  intends to apply the sum of: Lot No. 	Description		                                    ABC	        Name/no. of contract I.	Various Tires </t>
  </si>
  <si>
    <t xml:space="preserve"> oooOooo INVITATION TO BID FOR THE Procurement of Eco Solvent Printer  1.	The Municipality of Alabel, through the Annual Budget for CY 2020  intends to apply the sum of: Lot No. 	Description		                                    ABC	        Name/no. of cont</t>
  </si>
  <si>
    <t xml:space="preserve"> Quotation No.  20-06-012 To all eligible Suppliers: Please quote your lowest price inclusive of VAT on the item/s listed below, subject to the Terms and Condition of this RFQ, and submit your quotation duly signed by your representative not later than Jun</t>
  </si>
  <si>
    <t xml:space="preserve"> for office use 2 units computer desktop Specs: CPU intel pentium gold G5400 processor RAM 4GB DDR4 Memory HDD: 500GB Hard drive OpticalL DVD rewritable drive Video: Intel @ UHD Graphics 610 Keyboard: ISB Mouse: optical mouse Internal speaker Bios: R01-A2 </t>
  </si>
  <si>
    <t xml:space="preserve"> PURCHASE OF COMMUNICATION GADGETS FOR PALAUI ISLAND PROTECTED LANDSCAPE AND SEASCAPE (PIPLS) PAMB UNIT ITEM DESCRIPTION  QUANTITY pc	Laptop (Intel Core i7, 8GB Memory, 1TB Hard Drive)		1 pc	Printer (Wi-Fi all-in-one ink tank printer)		1</t>
  </si>
  <si>
    <t xml:space="preserve"> Republic of the Philippines         CITY GOVERNMENT OF TACURONG Alunan Highway, Tacurong City Sultan Kudarat BIDS AND AWARDS COMMITTEE                  Tel nos. (064) 562-0128 / Telefax no. (064) 477 - 0138         www.tacurong.gov.ph                     </t>
  </si>
  <si>
    <t xml:space="preserve"> PHILIPPINE SCIENCE HIGH SCHOOL SYSTEM						"REQUEST FOR QUOTATION FORM &amp;  NOTICE (GOODS)"		 Office / Campus:			MAIN CAMPUS					 Address / Contact Details:			AGHAM ROAD, DILIMAN, QUEZON CITY					 								 						Quotation No.:	20-06-142	 	GENTELMEN:					Dat</t>
  </si>
  <si>
    <t xml:space="preserve"> Republic of the Philippines                                                        Province of Misamis Oriental                                                MUNICIPALITY OF KINOGUITAN                                           BIDS AND AWARDS COMMITTEE (</t>
  </si>
  <si>
    <t xml:space="preserve"> Republic of the Philippines PROVINCE OF SOUTHERN LEYTE Maasin City Invitation to Bid for the Procurement of Various Food Stuff  Contract ID # 2020-07-07-378PG 1.	The Provincial Government of Southern Leyte through the PHSO – Other Maintenance and Operatin</t>
  </si>
  <si>
    <t xml:space="preserve"> PHILIPPINE SCIENCE HIGH SCHOOL SYSTEM						"REQUEST FOR QUOTATION FORM &amp;  NOTICE (GOODS)"		 Office / Campus:			MAIN CAMPUS					 Address / Contact Details:			AGHAM ROAD, DILIMAN, QUEZON CITY					 								 						Quotation No.:	20-06-143	 	GENTELMEN:					Dat</t>
  </si>
  <si>
    <t xml:space="preserve"> 1 set brother DCP-T710W Print-Copy-scan wireless printer with ADF Scanner ( BT - D60B/BT - 5000 CMY )</t>
  </si>
  <si>
    <t xml:space="preserve"> Procurement of Infrastructure and Construction Supplies RFQ No. 411          Item No.	Description	Qty.	Unit 	MATERIALS:		 1	¼’’ Marine Plywood	15	Sheet 2	#1 Hardinails, (Flat Head)	5	Kgs 3	Quick Dry Enamel, White	7	Gal. 4	Epoxy Primer Paint	5	Gals 5	12’’ </t>
  </si>
  <si>
    <t xml:space="preserve"> PRICE QUOTATION Ladies / Gentlemen: 	Please quote prices for the items listed below. This proposal is a request for quotation only and not an order. The terms / conditions shall be in accordance with the following: 1.	This proposal shall be submitted to t</t>
  </si>
  <si>
    <t xml:space="preserve"> Republic of the Philippines                CITY GOVERNMENT OF TACURONG Alunan Highway, Tacurong City Sultan Kudarat BIDS AND AWARDS COMMITTEE                  Tel nos. (064) 562-0128 / Telefax no. (064) 477 - 0138      www.tacurong.gov.ph                 </t>
  </si>
  <si>
    <t xml:space="preserve"> Republic of the Philippines PROVINCE OF SOUTHERN LEYTE Maasin City Invitation to Bid for the Procurement of Battery (12 Volts 9 Plates) - SOYMPH  Contract ID # 2020-07-07-380PG 1.	The Provincial Government of Southern Leyte through the SOYMPH – Repair and</t>
  </si>
  <si>
    <t xml:space="preserve"> Description   Republic of the Philippines BIDS AND AWARDS COMMITTEE FOR THE PROCUREMENT OF GOODS City of Puerto Princesa Barangay Sta. Monica INVITATION TO BID (Procurement of Goods) PR No. 2020-06-024 Date: June 15, 2020 Procuring/Funding Office/Departme</t>
  </si>
  <si>
    <t xml:space="preserve"> 1900 pcs printing of Certificate for Day Care Recognition</t>
  </si>
  <si>
    <t xml:space="preserve"> SEE ATTACHED BILL OF QUANTITIES.</t>
  </si>
  <si>
    <t xml:space="preserve"> PR NO. 0793 - 20                 Republic of the Philippines         CITY GOVERNMENT OF TACURONG Alunan Highway, Tacurong City Sultan Kudarat BIDS AND AWARDS COMMITTEE                  Tel nos. (064) 562-0128 / Telefax no. (064) 477 - 0138         www.tac</t>
  </si>
  <si>
    <t xml:space="preserve"> Please submit your quotation in a close and sealed envelop and mail in this address: Agricultural Training Institute Regional Training Center III Gov't Complex, San Ramon, Dinalupihan, Bataan C/O Supply Management Unit. or Email us on atiregion3@yahoo.com</t>
  </si>
  <si>
    <t xml:space="preserve"> 4 sets CCTV cameras</t>
  </si>
  <si>
    <t xml:space="preserve"> SOURCE DEVELOPMENT; PROVISION OF PUMP AND ITS ACCESSORIES; CONSTRUCTION OF POWER HOUSE</t>
  </si>
  <si>
    <t xml:space="preserve"> 1 lot  ABC- 640,000.00 Components 1.   2,400 cans Canned Sardines in tomato sauce (155g)	 2.   3,200 pcs Instant Noodles, Chicken (70g)	 3.   3,200 pcs Instant Noodles, Beef (70g)	 4.   2,320 packs Instant Coffee Refill (25g)	 5.   1,600 pcs Laundry Soap </t>
  </si>
  <si>
    <t xml:space="preserve"> lot	Queen Size Bed (with Bedside Table and Carving Design)		1 	Varnish, Nails, Concrete Epoxy (1quart), bontite (1 quart), Tinting Color		 	(3Kinds of Color), Sand Paper 60pcs of 3 sizes, top coat paint		 	Labor		 lot	Devider (with Carving Design)		1 	Var</t>
  </si>
  <si>
    <t xml:space="preserve"> Republic of the Philippines PROVINCE OF SOUTHERN LEYTE Maasin City Invitation to Bid for the Procurement of One (1) Unit Motor Service Vehicle  Contract ID # 2020-07-07-381PG 1.	The Provincial Government of Southern Leyte through the PHSO – Motor Vehicle </t>
  </si>
  <si>
    <t xml:space="preserve"> Republic of the Philippines PROVINCE OF SOUTHERN LEYTE Maasin City Invitation to Bid for the Procurement of Various Brand New Aircondition with Installation    Contract ID # 2020-07-07-341PG 1.	The Provincial Government of Southern Leyte through the SOYMP</t>
  </si>
  <si>
    <t xml:space="preserve"> SEE ATTACHED INVITATION TO BID, BIDDING DOCUMENTS, CHECKLISTS, STANDARD BIDDING FORMS AND PLANS</t>
  </si>
  <si>
    <t xml:space="preserve"> 20 pcs. lock wings 20 pcs. GI Elbow 1/2" 20 pcs. GI straight elbow 1/2" 20 pcs. nipple 1/2" x 12 20 pcs. Saddle clamp 2" 30 pcs. teflon 2 rolls PE black 1/2" x 150 10 can solvent cement neltex 40 pcs. PE Male Adaptor 20 set water meter</t>
  </si>
  <si>
    <t xml:space="preserve"> Construction/ Repair/ Rehabilitation/ Improvement of Various Infrastructure Including Local Projects - Rehabilitation of Multi-Purpose Hall, Baguio City Contract Location :	East Modernsite, Baguio City Approved Budget for the Contract :	Php980,000.00 Scop</t>
  </si>
  <si>
    <t xml:space="preserve"> 1.	The Philippine Science High School Central Luzon Campus through the GAA 2020  intends to apply the sum of One Million One Hundred Eighty Thousand Pesos (PHP 1,180,000.00) being the Approved Budget for the Contract (ABC) to payments under the contract f</t>
  </si>
  <si>
    <t xml:space="preserve"> 1 LOT REPAIR AND MAINTENANCE OF VARIOUS AIRCONDITIONER CLEANING OF AIRCONDITIONER &amp; FREON CHARGING LOCATION: NHMFC HEAD OFFICE - MAKATI 2 UNITS CASSETE TYPE, AIRCON (ANNEX - G/FLR) 1 UNIT WALL MOUNTED, AIRCON (OVP-FAMG ROOM - G/FLR) 3 UNITS FLOOR MOUNTED,</t>
  </si>
  <si>
    <t xml:space="preserve"> Republic of the Philippines PROVINCE OF SOUTHERN LEYTE Maasin City Invitation to Bid for the Procurement of Various Catering Services, Venue &amp; Accommodation  Contract ID # 2020-07-07-382PG 1.	The Provincial Government of Southern Leyte through the PVET – </t>
  </si>
  <si>
    <t xml:space="preserve"> Construction/ Repair/ Rehabilitation/ Improvement of Various Infrastructure Including Local Projects – Rehabilitation of Road Teodora Alonzo, Baguio City Contract Location :	Baguio City Approved Budget for the Contract :	Php1,960,000.00 Scope of  work  :	</t>
  </si>
  <si>
    <t xml:space="preserve"> Please see attached file (RFQ-20-06-0458) for reference.</t>
  </si>
  <si>
    <t xml:space="preserve"> Please quote hereunder your lowest possible price for the Laptop. For more specifications and for the sample please see attached Request for Quotation form and sample. Original Request for Quotation form will be available for pick-up or download from Phil</t>
  </si>
  <si>
    <t xml:space="preserve"> 1 unit 3 (seater) Passenger E-Bike</t>
  </si>
  <si>
    <t xml:space="preserve"> REQUEST FOR QUOTATION 							                                                                 Date: June 9, 2020 							                                                                 RFQ No.: 2020-21-06	 Name of Company: ________________________________</t>
  </si>
  <si>
    <t xml:space="preserve"> Title: CONTINUATION OF IMPROVEMENT OF MULTI PURPOSE HALL ABC: 438,311.60 SCOPE OF WORKS: I.	EARTHWORKS, 17.50 cu.m. II.	CONCRETE WORKS, 16.53 cu.m. III.	MASONRY WORKS, 193.70 sq.m. IV.	PLASTERING WORKS, 293.96 sq.m. V.	INSTALLATION OF DOORS AND WINDOWS, 1</t>
  </si>
  <si>
    <t xml:space="preserve"> Supplies and Materials</t>
  </si>
  <si>
    <t xml:space="preserve"> 2 lot Customized Mascot</t>
  </si>
  <si>
    <t xml:space="preserve"> Various seeds</t>
  </si>
  <si>
    <t xml:space="preserve"> Republic of the Philippines Province of South Cotabato Municipality of Sto. Niño BIDS AND AWARDS COMMITTEE (BAC) Invitation to Bid 1. The Local Government of Sto. Niño, through its Bids and Awards Committee (BAC) invites interested bidder to bid for the p</t>
  </si>
  <si>
    <t xml:space="preserve"> 200 pcs Certificates for Printing 200 pcs Token for Participants (Bag) 30   packs Envelope 4     pcs   Tarpaulin (2x5)</t>
  </si>
  <si>
    <t xml:space="preserve"> Local Infrastructure Program – Renovation of PFVR Building, Department of Education Division Office, Brgy. Military Cut Off, Baguio City, Benguet Contract Location :	Baguio City Approved Budget for the Contract :	Php24,750,000.00 Scope of  work  :	Rehabil</t>
  </si>
  <si>
    <t xml:space="preserve"> 1. 150 pcs folder long 2. 20 box record book 3. 4 box ordinary Ballpen  4.4 box sign pen  5.10 pcs ducumentary file blue  6.2 pads Cashbook  blue  7. 30 pads yellow paper 8.2 pcs stapler # 35 9. 7 Ream bond paper  A4  10. 20 Ream Bond paper long  11. 18 R</t>
  </si>
  <si>
    <t xml:space="preserve"> REQUEST FOR QUOTATION 							Date: June 9, 2020 							RFQ No.: 2020-22-06	 Name of Company: ________________________________________________________________________________ Address: ________________________________________________________________________</t>
  </si>
  <si>
    <t xml:space="preserve"> Quotation No. 2020-06-013 To all Eligible Supplier: Please quote your lowest price inclusive of VAT on the item/s listed below, subject to the Terms and Condition of this RFQ, and submit your quotation duly signed by your representative not later than Jun</t>
  </si>
  <si>
    <t xml:space="preserve"> 2 unit Emergency Motorcycle with Storage Bin</t>
  </si>
  <si>
    <t xml:space="preserve"> Construction/ Repair/ Rehabilitation/ Improvement of Various Infrastructure Including Local Projects - Rehabilitation of Road at Purok 2 and 3, Brgy. Sta. Escolastica Village, Baguio City Contract Location :	Baguio City Approved Budget for the Contract :	</t>
  </si>
  <si>
    <t xml:space="preserve"> REQUEST FOR QUOTATION 							Date: June 9, 2020 							RFQ No.: 2020-23-06	 Name of Company: ________________________________________________________________________________ Address: ________________________________________________________________________</t>
  </si>
  <si>
    <t xml:space="preserve"> Please submit price quotation as per attached RFQ</t>
  </si>
  <si>
    <t xml:space="preserve"> INVITATION TO BID Project  No. 2020-03-215 The Department of Education (DepEd), Division of Panabo City, through the  Continuing Appropriations  for the Provision of Funds for the Procurement of Temporary Learning Spaces for Schools Affected by Earthquake</t>
  </si>
  <si>
    <t xml:space="preserve"> The SANGGUNIANG BARANGAY OF BARANGAY BANJO WEST, TANAUAN CITY, BATANGAS, through the Barangay Operating Budget 2020 intends to apply the sum of Ten Thousand Pesos Only (Php 10,000.00) being the Approved Budget of the Contract (ABC) to payment under the Pr</t>
  </si>
  <si>
    <t xml:space="preserve"> Flue curing barn: Excavation works, Masonry works, Roofing works, Hangers, Door ventilation, Flue system, Construction safety and health</t>
  </si>
  <si>
    <t xml:space="preserve"> The SANGGUNIANG BARANGAY OF BARANGAY BANJO WEST, TANAUAN CITY, BATANGAS, through the Barangay Operating Budget 2020 intends to apply the sum of Fifty Thousand Pesos Only (Php 50,000.00) being the Approved Budget of the Contract (ABC) to payment under the </t>
  </si>
  <si>
    <t xml:space="preserve"> Standard Form Number: SF-GOOD-60   Revised on: May 24, 2004 Standard Form Title: Request for Quotation Date: Quotation ______________________________ (name of Company) ______________________________ (address/Tel. #) Please quote your lowest price on the i</t>
  </si>
  <si>
    <t xml:space="preserve"> REQUEST FOR QUOTATION 							Date: June 9, 2020 							RFQ No.: 2020-29-06	 Name of Company: ________________________________________________________________________________ Address: ________________________________________________________________________</t>
  </si>
  <si>
    <t xml:space="preserve"> PLEASE SEE THE BAC SECRETARIAT</t>
  </si>
  <si>
    <t xml:space="preserve"> Procurement Educational Equipment/Support Instructional Equipment</t>
  </si>
  <si>
    <t xml:space="preserve"> Section I. Invitation to Bid Republic of the Philippines Province of Davao Oriental Municipality of Boston Barangay Poblacion Bids and Awards Committee Invitation to Bid  for the  Procurement of Solar Street Lamp.  1.	The Barangay Government Unit of Pobla</t>
  </si>
  <si>
    <t xml:space="preserve"> Please see attached document for the specification.</t>
  </si>
  <si>
    <t xml:space="preserve"> Supply and delivery of the following items: 1,210 Liters Diesel Fuel 1 lot Lubricant (10% of Fuel)</t>
  </si>
  <si>
    <t xml:space="preserve"> Description I.	Structure Excavation  1. Barangay Ada, TANAUAN, LEYTE through the bids and awards comm.) invites suppliers, distributors of construction materials for the project: Improvement of Designated Excavation Center  2. The bids and awards committe</t>
  </si>
  <si>
    <t xml:space="preserve"> Please download the attached file for the purchase request, terms of reference and omnibus sworn statement form.</t>
  </si>
  <si>
    <t xml:space="preserve"> Invitation to Bid  for  PROVSION OF 14 SECURITY SERVICES AT DPWH REGIONAL OFFICE NO. IV-A, EDSA, QUEZON CITY FOR   SIX (6) MONTHS  Contract ID No. 20GD00003 The Department of Public Works and Highways (DPWH), Regional Office No. IV-A thru its Bids and Awa</t>
  </si>
  <si>
    <t xml:space="preserve"> Description I.	Metal Structures  1. Barangay Ada, TANAUAN, LEYTE through the bids and awards comm.) invites suppliers, distributors of construction materials for the project: Fabrication of 4-Units Waste Management Segregation  2. The bids and awards comm</t>
  </si>
  <si>
    <t xml:space="preserve"> Supply and Delivery of one (1) unit Projector and one (1) unit Laser Printer *See attached technical specifications</t>
  </si>
  <si>
    <t xml:space="preserve"> Improvement of Barangay Road to include:     1. Excavation    2. Drainage Riprap    3. Roadway Preparation    4. Concrete Pavement</t>
  </si>
  <si>
    <t xml:space="preserve"> REQUEST FOR QUOTATION 							                                                                        Date: June 9, 2020 							                                                                        RFQ No.: 2020-24-06	 Name of Company: __________________</t>
  </si>
  <si>
    <t xml:space="preserve"> Description: REHAB.OF BULUA BRGY.WATER SYSTEM, Barangay Bulua,Cagayan de Oro City.   Invitation to Apply for Eligibility and to Bid Republic of the Philippines City of Cagayan de Oro Barangay Bulua JUNE 29,2020 Date of Bidding Purchase Request : 20-06-55 </t>
  </si>
  <si>
    <t xml:space="preserve"> THE KAPITOLYO HIGH SCHOOL IS IN NEED OF CANOPY/RETRACTABLE TENT, FOLDING BED, FIRST AID KIT AND HAND HELD RADIO FOR SDRR USE.</t>
  </si>
  <si>
    <t xml:space="preserve"> REPUBLIC OF THE PHILIPPINES CITY OF MANILA OFFICE OF THE BARANGAY COUNCIL INVITATION TO BID SUBMISSION AND OPENING OF BID WILL BE ON JUNE 23, 2020 AT 8 AM. THE BARANGAY 140 ZONE 12 DISTRICT 1 MANILA THROUGH ITS BID AND AWARDS COMMITTEE (BAC) INVITES ALL Q</t>
  </si>
  <si>
    <t xml:space="preserve"> 1.       01       lot     Construction/Installation of 20 units Solar Power Streetlights</t>
  </si>
  <si>
    <t xml:space="preserve"> RCDG BRIDGE</t>
  </si>
  <si>
    <t xml:space="preserve"> Republic of the Philippines DEPARTMENT OF PUBLIC WORKS AND HIGHWAYS SULTAN KUDARAT 2ND DISTRICT ENGINEERING OFFICE REGION XII Lebak, Sultan Kudarat INVITATION TO BID FOR SUPPLY/DELIVERY OF DIESEL FUEL AND ENGINE OIL FOR USE OF SERVICE VEHICLE ASSIGNED AT </t>
  </si>
  <si>
    <t xml:space="preserve"> INDUSTRIAL TECHNOLOGY DEVELOPMENT INSTITUTE DOST Cmpd., Bicutan, Taguig City Telephone Nos. (02) 837-20-71 to 82 local 2221 E-mail Add.: itdi.admbac@gmail.com INVITATION TO BID June 15, 2020 Sir/Madam: Please quote your price for the item/items listed bel</t>
  </si>
  <si>
    <t xml:space="preserve"> 1. 1 unit Aircon</t>
  </si>
  <si>
    <t xml:space="preserve"> SCHOOL AND OFFICE SUPPLIES (INK AND OTHERS) ----------   PHP 10,700.00</t>
  </si>
  <si>
    <t xml:space="preserve"> 5	amp	dexamethsone ampule 5	amp	diphenhydramine amp 5	amp	tranexamic amp 10	gals	alcohol 70% 100	pcs	face mask 5	boxes	ibuprofen 400mg tab 10	boxes	amoxicillin 500mg 11	boxes	celecoxib 200mg cap 50	boxes	azithromycin tab 5	boxes	cloxacillin 500mg cap 20	b</t>
  </si>
  <si>
    <t xml:space="preserve"> Republic of the Philippines DEPARTMENT OF PUBLIC WORKS AND HIGHWAYS SULTAN KUDARAT 2ND DISTRICT ENGINEERING OFFICE REGION XII Lebak, Sultan Kudarat INVITATION TO BID FOR SUPPLY/DELIVERY OF TIRE AND BATTERY FOR USE OF SERVICE VEHICLE ASSIGNED AT THE PLANNI</t>
  </si>
  <si>
    <t xml:space="preserve"> Department of Public Works and Highways Contract ID	:	20MH0103 Contract Name	:	Concreting Local Road, Purok Narra, Brgy.Poblacion, Sultan Kudarat Contract Location	:	Lebak, Sultan Kudarat Department of Public Works and Highways Sultan Kudarat 2ndDistrict </t>
  </si>
  <si>
    <t xml:space="preserve"> Description   Supplies and Deliveries of   Electrical  Materials Invitation to Apply for Eligibility and to Bid Republic of the Philippines City of Cagayan de Oro Barangay Bulua JUNE 29,2020 Date of Bidding Purchase Request : 20-5-54 ABC Php 500,000.00 Na</t>
  </si>
  <si>
    <t xml:space="preserve"> ACCESS ROAD</t>
  </si>
  <si>
    <t xml:space="preserve"> THE KAPITOLYO HIGH SCHOOL IS IN NEED OF MURIATIC ACID, LYSOL AND BAYGON.</t>
  </si>
  <si>
    <t xml:space="preserve"> Reference No. PR # 20-06-0736 PRICE QUOTATION FORM (BID FORM) Sealed Bids shall be dropped in the BIDDERS BOX on or before 2:00 P.M.  June 19, 2020    placed at the office of the Chairman of the College BAC. Thereafter, the Bidder's Box shall be sealed un</t>
  </si>
  <si>
    <t xml:space="preserve"> please see attached</t>
  </si>
  <si>
    <t xml:space="preserve"> NAME OF PROJECT: IMPROVEMENT OF FARM TO MARKET ROAD AT PALINA  BALINSAWANG, TALOY SUR PROJECT LOCATION: PALINA, TALOY SUR, TUBA, BENGUET PROJECT DESCRIPTION: BILLBOARD, REMOVAL OF STRUCTURES AND OBSTRUCTIONS, SUBGRADE PREPARATION AND PORTLAND CEMENT CONCR</t>
  </si>
  <si>
    <t xml:space="preserve"> FOR CITY OF BALANGA NATIONAL HIGH SCHOOL OPERATIONS</t>
  </si>
  <si>
    <t xml:space="preserve"> Department of Public Works and Highways Contract ID	:	20MH0085 Contract Name	:	Concreting of Upper Balayan to Kinadao, Barangay Badiangon, Palimbang, Sultan Kudarat Contract Location	:	Palimbang, Sultan Kudarat Department of Public Works and Highways Sult</t>
  </si>
  <si>
    <t xml:space="preserve"> NAME OF PROJECT: CONSTRUCTION OF SEBIT-CAUCALAN WATER WORKS SYSTEM (PHASE 2) PROJECT LOCATION: CAUCALAN, TALOY SUR, TUBA, BENGUET PROJECT DESCRIPTION: BIILBOARD WITH STAND, STRUCTURE EXCAVATION, CONSTRUCTION OF WATER TANK (a. reinforced concrete works b. </t>
  </si>
  <si>
    <t xml:space="preserve"> REQUEST FOR QUOTATION 							Date: June 9, 2020 							RFQ No.: 2020-31-06	 Name of Company: ________________________________________________________________________________ Address: ________________________________________________________________________</t>
  </si>
  <si>
    <t xml:space="preserve"> School and office supplies (Bondpaper) ----------------------- Php 16,393.00</t>
  </si>
  <si>
    <t xml:space="preserve"> REQUEST FOR QUOTATION 							Date: June 15, 2020 							RFQ No.: 2020-32-06	 Name of Company: ________________________________________________________________________________ Address: _______________________________________________________________________</t>
  </si>
  <si>
    <t xml:space="preserve"> 1. 1 Unit Filing Cabinet</t>
  </si>
  <si>
    <t xml:space="preserve"> For further information, please refer to: Mrs. Maria Flora T. Pandes or Mrs. Herbie B. De Lemios Department of Education-Division of Camarines Norte F. Pimentel Avenue, Barangay II, Daet, Camarines Norte Telephone number: 054-440-4464 Cellphone number: 09</t>
  </si>
  <si>
    <t xml:space="preserve"> 1. 1 unit laptop computer</t>
  </si>
  <si>
    <t xml:space="preserve"> 1. set generator</t>
  </si>
  <si>
    <t xml:space="preserve"> NAME OF PROJECTS: CONSTRUCTION OF MULTIPURPOSE HALL LOCATION: TALOY SUR, TUBA, BENGUET SCOPE OF WORK: INSTALLATION OF SIGNBOARD, STRUCTURAL EXCAVATION, CONSTRUCTION OF TIE BEAM NO. OF WORKING DAYS TO COMPLETE WORK: 9</t>
  </si>
  <si>
    <t xml:space="preserve"> 1. 12 pcs Prepaid Cards</t>
  </si>
  <si>
    <t xml:space="preserve"> ARTICLE AND DESCRIPTION							 											 ITEM	QTY.	UNIT						CEILING 			 								PRICE			 											 				Office: Sta. Ana Hospital				PR No. 604			 				Charge to: Other Supplies and Materials Expenses				OBR No. 100-2005-004290			 				ABC:  Php135,674.</t>
  </si>
  <si>
    <t xml:space="preserve"> Please see attached file for the item to be purchased. For further information, please refer to: Mrs. Maria Flora T. Pandes or Mrs. Herbie B. De Lemios Department of Education-Division of Camarines Norte F. Pimentel Avenue, Barangay II, Daet, Camarines No</t>
  </si>
  <si>
    <t xml:space="preserve"> Please download the attached file for the item to be purchased. For further information, please refer to: Mrs. Maria Flora T. Pandes or Mrs. Herbie B. De Lemios Department of Education-Division of Camarines Norte F. Pimentel Avenue, Barangay II, Daet, Cam</t>
  </si>
  <si>
    <t xml:space="preserve"> ARTICLE AND DESCRIPTION							 											 ITEM	QTY.	UNIT						CEILING 			 								PRICE			 											 				Office: Sta. Ana Hospital				PR No. 644			 				Charge to: Repairs and Maintenance - Building				OBR No. 100-2005-04294			 				                    a</t>
  </si>
  <si>
    <t xml:space="preserve"> Republic of the Philippines Province of Camarines Sur MUNICIPALITY OF MINALABAC -o0o- Invitation to Bid for CONSTRUCTION OF SEAWALL WITH DRAINAGE CANAL &amp; EMBANKMENT at Salingogon, Minalabac, Camarines Sur 1. LGU-Minalabac, Camarines Sur, through Capital O</t>
  </si>
  <si>
    <t xml:space="preserve"> Box sizes:  14 1/4 x 9 1/4 x 6 3/4- 3,000 pcs.  17'/4 x 13 1/4 x 8 1/2- 800 pcs. Single Wall w/o Print RSC (Regular Slotted Container); Glued Joints/Color Brown, Flute Thickness of 5/32; Flutes/Linear Foot-39+3</t>
  </si>
  <si>
    <t xml:space="preserve"> BIDS AND AWARDS COMMITTEE – HEAD OFFICE INVITATION TO BID 1.	The Bangko Sentral ng Pilipinas (BSP), through its Bids and Awards Committee (BAC) – Head (HO), invites Bidders to apply for eligibility and to bid for the hereunder requirement: Name of Require</t>
  </si>
  <si>
    <t xml:space="preserve"> REQUEST FOR QUOTATION 							Date: June 9, 2020 							RFQ No.: 2020-25-06	 Name of Company: ________________________________________________________________________________ Address: ________________________________________________________________________</t>
  </si>
  <si>
    <t xml:space="preserve"> Repair and school maintenance -------- Php 17, 606.00</t>
  </si>
  <si>
    <t xml:space="preserve"> REQUEST FOR QUOTATION 							Date: June 9, 2020 							RFQ No.: 2020-27-06	 Name of Company: ________________________________________________________________________________ Address: ________________________________________________________________________</t>
  </si>
  <si>
    <t xml:space="preserve"> Republic of the Philippines Province of Camarines Sur MUNICIPALITY OF MINALABAC -o0o- Invitation to Bid for ROAD CONCRETING (NEAR MALABOG CREEK, HAMORAON) at Hamoraon, Minalabac, Camarines Sur 1. LGU-Minalabac, Camarines Sur, through 20% EDF, CY 2020, int</t>
  </si>
  <si>
    <t xml:space="preserve"> please see attached documents</t>
  </si>
  <si>
    <t xml:space="preserve"> Sir/Madam:																																		 																																		 Please quote your government price/s including delivery charges, VAT or other applicable taxes, and other incidental expenses for the goods listed in Annex A.  Failure to indi</t>
  </si>
  <si>
    <t xml:space="preserve"> Please be informed that additional specifications for the Supply and Installation of Street Light at Bislig City, which was inadvertently indicated and published in the PhilGEPS.  FROM 4” x 2” x 25ft. Hot-Dip Round Steel Tapered Lamp Post with single Curv</t>
  </si>
  <si>
    <t xml:space="preserve"> REQUEST FOR QUOTATION 							Date: June 9, 2020 							RFQ No.: 2020-28-06	 Name of Company: ________________________________________________________________________________ Address: ________________________________________________________________________</t>
  </si>
  <si>
    <t xml:space="preserve"> Province of Cagayan BARANGAY UGAC NORTE Tuguegarao City INVITATION TO BID NAME OF PROJECT:  CONSTRUCTION OF MASONRY DRAINAGE STRUCTURE  along Bassig Street (Simangan Alley) REFERENCE NO.: PB-INF-19-005  DATE OF POSTING: June 16, 2020 1. The Barangay Counc</t>
  </si>
  <si>
    <t xml:space="preserve"> REQUEST FOR QUOTATION 							Date: June 9, 2020 							RFQ No.: 2020-26-06	 Name of Company: ________________________________________________________________________________ Address: ________________________________________________________________________</t>
  </si>
  <si>
    <t xml:space="preserve"> Procurement of other supplies and materials</t>
  </si>
  <si>
    <t xml:space="preserve"> Invitation to Bid to all Supplier/Contractor duly accredited by the City Council of Manila to supply and deliver the following items provided hereunder, to wit; Item	 	Qty.	 	Unit	 	 	 	DESCRIPTION	  1	 	1	 	Unit	Aircon	 	 	 	 	 	 	  2	 	1	 	Set	Computer </t>
  </si>
  <si>
    <t xml:space="preserve"> LGU Patnanungan, Quezon						Ref.		See other bid docs                                                                                            	 Name of Project	As shown                                                                                    </t>
  </si>
  <si>
    <t xml:space="preserve"> Bond Paper 80 GSM  Paper sizes:  8 1/2 x 11- 500 reams 8 1/2 x 13- 300 reams 8 1/4 11 3/4 (A4)- 200 reams 8 1/2 x 14- 400 reams Substance 24 Color: Ultra White</t>
  </si>
  <si>
    <t xml:space="preserve"> PURCHASE REQUEST					 Barangay : ZONE - 1			P. R. No.: 2020 -	19	 City/ Municipality : Pinamalayan			Date: 		 Provicne : Oriental Mindoro					 REQUISITION					 Item Number	Qty	Unit of Measurement	Item Description 	Estimated Unit Cost	Estimated Amount 1	95</t>
  </si>
  <si>
    <t xml:space="preserve"> see attached douments</t>
  </si>
  <si>
    <t xml:space="preserve"> Province of Cagayan BARANGAY UGAC NORTE Tuguegarao City INVITATION TO BID NAME OF PROJECT:  CONSTRUCTION OF MASONRY DRAINAGE STRUCTURE  along Bassig Street (Bangayan Alley) REFERENCE NO.: PB-INF-19-006  DATE OF POSTING: June 16, 2020 1. The Barangay Counc</t>
  </si>
  <si>
    <t xml:space="preserve"> Repair and maintenance of sliding windows ------ Php 33,976.00</t>
  </si>
  <si>
    <t xml:space="preserve"> INVITATION TO BID FOR REPAIR AND IMPROVEMENT OF PERIMETER FENCE, SEPARATOR WALL, MAIN GATE AND PEDESTRIAN GATE 1.	The Bureau of Jail Management and Penology Region -7  through the GAA Fiscal Year 2020 Repair and Maintenance of Other Structure tends to app</t>
  </si>
  <si>
    <t xml:space="preserve"> Laptop Computer- 1 Unit Technical Specification:  • CPU: Intel Core i5 or i7 processor  • RAM: 8GB  • Storage: 256 GB PCLe SSD  • Screen size: 15.6 inches, 1920 x 1080 pixels  • Operating System: Microsoft Windows 10  • Dimensions: 14.3 x 10.8 x 0.9 inche</t>
  </si>
  <si>
    <t xml:space="preserve"> Medical supplies and equipments  - Php 16,815.oo</t>
  </si>
  <si>
    <t xml:space="preserve"> Republic of the Philippines Province of Iloilo Municipality of Pavia Invitation to Bid for the Purchase of  Brand New Motor Vehicle for the use of SB Office 1.	The Municipality of Pavia, Iloilo, through the General Fund Prior Year &amp; 2019 intends to apply </t>
  </si>
  <si>
    <t xml:space="preserve"> -157- lot -Flu Vaccine</t>
  </si>
  <si>
    <t xml:space="preserve"> Please see attached file for the item to be purchased. Labor Cost: 35% cost of materials (Php 52,610.55) Total Amount of Materials: Php 150,315.85 For further information, please refer to: Mrs. Maria Flora T. Pandes or Mrs. Herbie B. De Lemios Department </t>
  </si>
  <si>
    <t xml:space="preserve"> Purchase of IT Equipment The items to be delivered will be used in the Mayor's Office, Rural Health Unit, and the HR Office.</t>
  </si>
  <si>
    <t xml:space="preserve"> Graduation expense ------ Php 9,620.00</t>
  </si>
  <si>
    <t xml:space="preserve"> PUBLIC ADDRESS SYSTEM REPAIR</t>
  </si>
  <si>
    <t xml:space="preserve"> Laptop Computer- 1 Unit Technical Specification:  • 13.3 inch Retina Display with integrated Touch ID sensor  • CPU: 1.1GHz quad core 10th Gen Intel Core i5 processor Turbo Boost up to 3.6GHz with 6MB L3 cache  • Graphics: Intel Iris Plus Graphics  • RAM:</t>
  </si>
  <si>
    <t xml:space="preserve"> Furnishing of Construction Materials</t>
  </si>
  <si>
    <t xml:space="preserve"> The BARANGGAY INDUSTRIAL VALLEY COMPLEX, MARIKINA CITY,  through its Bids and Awards Committee (BAC), invites interested parties to apply for eligibility and to bid for the hereunder supplies contract: Name of Contract : Supply and Delivery of Office devi</t>
  </si>
  <si>
    <t xml:space="preserve"> Republic of the Philippines Pangasinan State University Lingayen, Pangasinan INVITATION TO BID FOR THE MODERNIZATION OF INFORMATION TECHNOLOGY AND NETWORK COMMUNICATION LABORATORY FACILITY OF COLLEGE OF COMPUTING SCIENCES 1.	The Pangasinan State Universit</t>
  </si>
  <si>
    <t xml:space="preserve"> INSTALLATION OF CCTV CAMERAS</t>
  </si>
  <si>
    <t xml:space="preserve"> CTP Plate Gloss- 4,000 kgs. Size: 889 x 586 x .30</t>
  </si>
  <si>
    <t xml:space="preserve"> MARAMAG WATER DISTRICT  Drilling of One (1) Production Well    1. The Maramag Water District, through the LWUA–MWD JSA Fund, intends to apply the sum of Two Million Five Hundred Thousand Pesos Only (P 2,500,000.00) being the Approved Budget for the Contra</t>
  </si>
  <si>
    <t xml:space="preserve"> Republic of the Philippines Department of Education CARAGA ADMINISTRATIVE REGION DIVISION OF CABADBARAN CITY CALAMBA NATIONAL HIGH SCHOOL Calamba, Cabadbaran City ___________________________________ Request for Quotation Date: June 15, 2020 Quotation No.:</t>
  </si>
  <si>
    <t xml:space="preserve"> Laptop Computer- 1 Unit Technical Specification:  • 2-in-1 laptop  • CPU: Intel Core i5 or i7 processor  • Graphics: Intel UHD Graphics  • RAM: 8GB  • Screen size and resolution: 13.3" diagonal MD IPS BrightView WLED-backlit mulfitouch-enabled edge-to edg</t>
  </si>
  <si>
    <t xml:space="preserve"> Repair/Maintenance of Building</t>
  </si>
  <si>
    <t xml:space="preserve"> SOLAR POWER SYSTEM INSTALLATION</t>
  </si>
  <si>
    <t xml:space="preserve"> Building</t>
  </si>
  <si>
    <t xml:space="preserve"> Process Black Ink- 200 kgs.</t>
  </si>
  <si>
    <t xml:space="preserve"> Repainting of Bridge</t>
  </si>
  <si>
    <t xml:space="preserve"> Republic of the Philippines Province of Iloilo Municipality of Pavia Invitation to Bid for the Improvement of School at Pagsanga-an Elementary School (Repair of Ceiling and Electrical Wiring in Library and Computer Room, Improvement of H.E. Room and Exten</t>
  </si>
  <si>
    <t xml:space="preserve"> Purchase of Meals and Snacks for Orientation on Livelihood Assistance Grant (LAG) Implementation ABC: Php 5,000.00 1 Meal for 25 Pax 2 Snacks for 25 Pax</t>
  </si>
  <si>
    <t xml:space="preserve"> Republic of the Philippines Pangasinan State University Lingayen, Pangasinan INVITATION TO BID FOR THE UPGRADING OF ENGINEERING AND TECHNOLOGY LABORATORIES OF THE PANGASINAN STATE UNIVERSITY 1.	The Pangasinan State University, through the Fund 184 (Extern</t>
  </si>
  <si>
    <t xml:space="preserve"> Item No.	Item/s and Description	Quantity	Unit 1	Grade three reading passage	2100	pcs. 	           English - 700pcs.		 	           Filipino - 700pcs.		 	           MTB - 700pcs.		 2	Grade three reading passage	1900	pcs. 	           English - 700pcs.		 	   </t>
  </si>
  <si>
    <t xml:space="preserve"> Republic of the Philippines Province of Quezon CITY GOVERNMENT OF TAYABAS INVITATION TO BID FOR PROJECT # 20-053 - PROCUREMENT OF CCTV CAMERA WITH TV MONITOR SYSTEM AND NETWORK INFRASTRUCTURE – CITY SCHOOL DIVISION OFFICE The City Government of Tayabas, t</t>
  </si>
  <si>
    <t xml:space="preserve"> L = 37.00 l.m.</t>
  </si>
  <si>
    <t xml:space="preserve"> Item No.	Item/s and Description	Quantity	Unit	Unit Price LOT 1				 1	hollow blocks	276	pcs	 2	Cement	72	bags	 3	solvent 100cc	15	cans	 4	tee pipe 1/2	23	pcs	 5	porcelain sink	1	unit	 6	coupling traded 1/2	22	pcs.	 7	elbow 1/2	23	pcs.	 8	 plastic water fau</t>
  </si>
  <si>
    <t xml:space="preserve"> Republic of the Philippines Province of Quezon CITY GOVERNMENT OF TAYABAS INVITATION TO BID FOR PROJECT # 20-043 – PROCUREMENT OF MOTOR VEHICLE (RESCUE VEHICLE CUSTOMIZED PICK-UP) -LDRRMO. 1.	The City Government of Tayabas, through the General Fund Contin</t>
  </si>
  <si>
    <t xml:space="preserve"> Republic of the Philippines Province of Iloilo Municipality of Pavia Invitation to Bid for the Improvement of School at Aganan-Ungka Elementary School (Elevation of Classroom, Canteen and Pathways) 1.	The Municipality of Pavia, Iloilo, through the Special</t>
  </si>
  <si>
    <t xml:space="preserve"> Republic of the Philippines Province of Iloilo Municipality of Pavia Invitation to Bid for the Purchase of one (1) unit Fully Reconditioned Double Cab Fire Truck of the MDRRM Office 1.	The Municipality of Pavia, Iloilo, through the General Fund 2020 inten</t>
  </si>
  <si>
    <t xml:space="preserve"> Republic of the Philippines Province of Quezon CITY GOVERNMENT OF TAYABAS INVITATION TO BID FOR PROJECT # 20-039 - PROCUREMENT OF ICT EQUIPMENT FOR TEACHING AND LEARNING PURPOSES – CITY SCHOOL DIVISION OFFICE. The City Government of Tayabas, through the S</t>
  </si>
  <si>
    <t xml:space="preserve"> Republic of the Philippines Province of Quezon CITY GOVERNMENT OF TAYABAS INVITATION TO BID FOR PROJECT # 20-055 – PROCUREMENT OF RESPONSE / VEHICLE 4 WHEELER -LDRRMO. 1.	The City Government of Tayabas, through the General Fund Continuing 2020 intends to </t>
  </si>
  <si>
    <t xml:space="preserve"> Purchase of Fuel, Oil and Lubricants for the 3rd Quarter ABC: Php 754,064.08 10,813 ltrs Diesel 1,950 ltrs Special Gasoline 100 ltrs Regular Gasoline 54 ltrs Oil 10 54 ltrs Oil 40 36 ltrs Gear Oil 140 9 ltrs Brake Fluid 9 Ltrs Coolant 5 ltrs 2T INVITATION</t>
  </si>
  <si>
    <t xml:space="preserve"> To support the procurement of services for the updating of two (2) ea Flight Management System (FMS) Navigational Data Base for use of NC-212i aircraft Nrs 2119 and 2120.</t>
  </si>
  <si>
    <t xml:space="preserve"> Procurement of Annual Subscription Renewal for the NWRB Managed Cloud Services and Web Hosting with Back-up Server and Maintenance. QUANTITY: 1 LOT BUDGET: Php 200,000.00 ----------------------------------- NOTE:  Interested bidders should fill-up the off</t>
  </si>
  <si>
    <t xml:space="preserve"> Invitation to Bid for Construction of Footbridge at Brgy. Bularong, Margosatubig, ZDS. Source of Fund: General Fund (20% EDF) Non-refundable fee for bidding documents: 500.00</t>
  </si>
  <si>
    <t xml:space="preserve"> The National Commission for Culture and the Arts (NCCA) through its Procurement Section intends to procure “Van Rental for Transportation Service of NCCA Employees” in accordance with Section 53.9 (Negotiated Procurement – Small Value Procurement) of the </t>
  </si>
  <si>
    <t xml:space="preserve"> To support the procurement of services for the updating of six (6) ea Global Positioning System (GPS) Navigational Data Base with PN: GPS-795 for use of C-130T aircraft Nrs 5011 and 5040.</t>
  </si>
  <si>
    <t xml:space="preserve"> Department of Education Region VI-Western Visayas Division of Cadiz City Alimatoc Elementary School SMALL VALUE PROCUREMENT OF HEAVY DUTY  PRINTER  WITH SCANNER 2019 1.	The Alimatoc Elementary School of Cadiz City, through the Schools MOOE Fund CY 2019  i</t>
  </si>
  <si>
    <t xml:space="preserve"> Republic of the Philippines Province of Quezon CITY GOVERNMENT OF TAYABAS INVITATION TO BID FOR PROJECT # 20-047 – PROCUREMENT OF DISASTER RESPONSE AND RESCUE EQUIPMENT - LDRRMO. 1.	The City Government of Tayabas, through the General Fund Continuing 2020 </t>
  </si>
  <si>
    <t xml:space="preserve"> Republic of the Philippines Province of Iloilo Municipality of Pavia Invitation to Bid for the Improvement of School at Pandac Elementary School (Extension of Covered Court, Roofing and Ceiling of Classrooms) 1.	The Municipality of Pavia, Iloilo, through </t>
  </si>
  <si>
    <t xml:space="preserve"> the materials need are; Item No.	Item/s and Description	Quantity	Unit LOT 1			 1	fastener	2	box 2	legal  bond papers  sub 20/70gsm, 	515	reams 3	letter bond papers  sub 20/70gsm, 	244	reams 4	Ink for Epson Printer (black)	67	btl. 5	Ink for Epson Printer (</t>
  </si>
  <si>
    <t xml:space="preserve"> Republic of the Philippines Province of Iloilo Municipality of Pavia Invitation to Bid for the Catering Services for Various Activities of the HRM Office and Mayor’s Office 1.	The Municipality of Pavia, Iloilo, through the General Fund 2020 intends to app</t>
  </si>
  <si>
    <t xml:space="preserve"> Item No.	Item/s and Description	Quantity	Unit 1	Thermal scanner	5	units 	Specs: one click usage, LCD screen, beeping		 	warning, long standby time and highly sensitive		 	infrared control		 2	Paracetamol Syrup 60ml.	6	btl. 3	Paracetamol tablet 500g.	25	pc</t>
  </si>
  <si>
    <t xml:space="preserve"> 1. The BARANGAY GOVERNMENT OF SAPA PEQUEÑA, BURGOS, PANGASINAN through its Barangay Development Fund CY 2020 intends to apply an amount of One Hundred Nine Thousand Seven Hundred Twenty Pesos Only (Php109,720.00) being the Approved Budget for the Contract</t>
  </si>
  <si>
    <t xml:space="preserve"> Republic of the Philippines Province of Agusan del Sur MUNICIPALITY OF PROSPERIDAD BIDS AND AWARDS COMMITTEE NOTICE FOR NEGOTIATED PROCUREMENT NO. 2020-054 The Municipal Government of PROSPERIDAD, Province of Agusan del Sur, through its Bids and Awards Co</t>
  </si>
  <si>
    <t xml:space="preserve"> lined canal</t>
  </si>
  <si>
    <t xml:space="preserve"> Republic of the Philippines Province of Iloilo Municipality of Pavia Invitation to Bid for the Purchase of Furniture and Fixtures for Mayor’s Office and MENR Office 1.	The Municipality of Pavia, Iloilo, through the General Fund 2020 intends to apply the s</t>
  </si>
  <si>
    <t xml:space="preserve"> SURIGAO STATE COLLEGE OF TECHNOLOGY Surigao City INVITATION TO BID FOR PROCUREMENT OF SECURITY SERVICES (1 YEAR CONTRACT)  1.	The Surigao State College of Technology, through the General Appropriations Act of 2020 intends to apply the sum of Five Million </t>
  </si>
  <si>
    <t xml:space="preserve"> Republic of the Philippines Province of Quezon CITY GOVERNMENT OF TAYABAS INVITATION TO BID FOR PROJECT # 20-050 - PROCUREMENT OF DISASTER RESPONSE AND RESCUE EQUIPMENT (GENERATOR) - LDRRMO The City Government of Tayabas, through the General Fund Continui</t>
  </si>
  <si>
    <t xml:space="preserve"> 1. The BARANGAY GOVERNMENT OF SAPA PEQUEÑA, BURGOS, PANGASINAN through its Barangay Development Fund CY 2020 intends to apply an amount of One Hundred Fifty Thousand Pesos Only (Php150,000.00) being the Approved Budget for the Contract (ABC) for payment u</t>
  </si>
  <si>
    <t xml:space="preserve"> 1	Computer w/ complete accessories		2	unit 	Specification:			 	Processor: Intel core i5 540 6 GHz			 	Motherboard: P7h55-M-LX			 	Memmory; 8GB ddr4			 	Graphics card: 2 GB ddr5 128 bit			 	Hard disk storage: 500 GB SATA 7200 RPM			 	DVD writer: DVD RW			 </t>
  </si>
  <si>
    <t xml:space="preserve"> supplies and equipment for covid</t>
  </si>
  <si>
    <t xml:space="preserve"> Republic of the Philippines Province of Agusan del Sur MUNICIPALITY OF PROSPERIDAD BIDS AND AWARDS COMMITTEE NOTICE FOR NEGOTIATED PROCUREMENT NO. 2020-055 The Municipal Government of PROSPERIDAD, Province of Agusan del Sur, through its Bids and Awards Co</t>
  </si>
  <si>
    <t xml:space="preserve"> INVITATION TO BID FOR THE PROCUREMENT OF FUEL FOR 3RD QUARTER OF 2020, SAN ISIDRO,DAVAO ORIENTAL 1.	The Municipality of San Isidro, through the AIP 2020 Fund intends to apply the sum of Php 600,000.00 being the Approved Budget for the Contract (ABC) to pa</t>
  </si>
  <si>
    <t xml:space="preserve"> To support the procurement of Seventy (70) quarts Polyester Body Filler w/ Hardener and 17 other L/I for use in the 12th and 13th  PIP Inspection Scheduled Maintenance of C-130B aircraft Nr 4704.</t>
  </si>
  <si>
    <t xml:space="preserve"> The Agricultural Training Institute Region IV-A (ATI Region IV-A) invites interested suppliers to submit quotations/ proposals for the hereunder requirement: Supply and Delivery of various Agricultural Tools, Materials and Inputs for Extension Initiatives</t>
  </si>
  <si>
    <t xml:space="preserve"> Mits. FB L300/SHG 273 (DepEd) Motor Oil Oil Filter Fuel Filter Gear Oil 90 &amp; 140 Center Post Bell Crank Idler Arm Tie Rod End Clutch Master Small Bearing Big Bearing Oil Seal Wheel Cylinder Cap Grease Cap Drain Plug Horn Wiper Blade w/ Handle Rear Door Lo</t>
  </si>
  <si>
    <t xml:space="preserve"> CALUMPIT WATER DISTRICT      Serrano. St. Corazon, Calumpit, Bulacan      (044) 675-1453; 202-4235; 913-0079      Fax No. (044) 202-5125; 913-0080      (Name of the Procuring Entity)      Project Reference Number: ______________      Name of Project: ____</t>
  </si>
  <si>
    <t xml:space="preserve"> 1. The PSHS-MRC now invites qualified suppliers/manufacturers/dealers to submit price quotations for the above item with the following specifications: SMART FUNCTION THERMAL IMAGING CAMERA  - Please see attached request for quotation. 2. Procurement will </t>
  </si>
  <si>
    <t xml:space="preserve"> To support the procurement of 500 ea Washer Sealing NAS1523-3Y and 6 other L/I for use during the Phase Maintenance Inspection Intermediate (PMI) of UH-1D Nr 8230, 8330 and 8392 at 205THW</t>
  </si>
  <si>
    <t xml:space="preserve"> REPAIR, IMPROVEMENT, OF SCHOOL CLINIC, AND 3 (THREE) WATER &amp; SANITATION (WATSAN).</t>
  </si>
  <si>
    <t xml:space="preserve"> Republic of the Philippines Province of Quezon CITY GOVERNMENT OF TAYABAS INVITATION TO BID FOR PROJECT # 20-054 – PROCUREMENT OF K TO 12 LEARNING MATERIALS DEVELOPED BG LCCAD FOR DEPED - DRRMO. The City Government of Tayabas, through the 5% DRRM Fund 202</t>
  </si>
  <si>
    <t xml:space="preserve"> OFFICE &amp; OTHER SUPPLIES IN VIEW OF COVID-19 PANDEMIC</t>
  </si>
  <si>
    <t xml:space="preserve"> 2000 pcs face mask</t>
  </si>
  <si>
    <t xml:space="preserve"> Republic of the Philippines Province of Quezon CITY GOVERNMENT OF TAYABAS INVITATION TO BID FOR PROJECT # 20-049 - SUPPLY AND DELIVERY OF OTHER SUPPLIES AND MATERIALS (PERSONAL PROTECTIVE GEAR/EQUIPMENT FOR RESPONDERS &amp; VOLUNTEERS) - DRRMO. The City Gover</t>
  </si>
  <si>
    <t xml:space="preserve"> To support the procurement of 2 ea Connecting Link PN: 205-060-734-11 and 2 other L/I for use of Bell 412 nrs 36691 and 36693 assigned at 205THW.</t>
  </si>
  <si>
    <t xml:space="preserve"> -Prevention of COVID19 materials and supplies -Reproduction of learner's worksheets materials</t>
  </si>
  <si>
    <t xml:space="preserve"> Reference No. PR # 20-06-0735 PRICE QUOTATION FORM (BID FORM) Sealed Bids shall be dropped in the BIDDERS BOX on or before 2:00 P.M.  June 19, 2020    placed at the office of the Chairman of the College BAC. Thereafter, the Bidder's Box shall be sealed un</t>
  </si>
  <si>
    <t xml:space="preserve"> The Agricultural Training Institute Region IV-A (ATI Region IV-A) invites interested suppliers to submit quotations/ proposals for the hereunder requirement: Supply and Delivery of various Training Supplies and Materials for the conduct of Extension Initi</t>
  </si>
  <si>
    <t xml:space="preserve"> Republic of the Philippines Province of Quezon CITY GOVERNMENT OF TAYABAS INVITATION TO BID FOR PROJECT # 20-071 - PROCUREMENT OF OFFICE EQUIPMENT 2ND QUARTER (VARIOUS OFFICES) - GSO The City Government of Tayabas, through the General  Fund 2020 intends t</t>
  </si>
  <si>
    <t xml:space="preserve"> CNH-0520-045</t>
  </si>
  <si>
    <t xml:space="preserve"> Description: Suzuki mini van Scrum cat eye 4x4 Manual transmission 12 valve Steering wheel All gauges working Body paint original 5 doors 600 cc Engine capacity Passenger capacity of 9 including driver Mags tires Fuel:Gas Accessories : fully loaded pionee</t>
  </si>
  <si>
    <t xml:space="preserve"> Invitation to Bid for  Purchase of One (1) unit Ambulance for MDRRM use Source of Fund: Trust Fund (5% MDRRMF) Nonrefundable Fee for Bidding Documents: 5,000.00</t>
  </si>
  <si>
    <t xml:space="preserve"> SHS OFFICE &amp; OTHER SUPPLIES IN VIEW OF COVID-19 PANDEMIC.</t>
  </si>
  <si>
    <t xml:space="preserve"> Republic of the Philippines Office of the Municipal Mayor BIDS AND AWARDS COMMITTEE Pasuquin, Ilocos Norte REQUEST FOR QUOTATIONS  Purchase of Business Plates 1.	The LGU-PASUQUIN, through the GENERAL FUND CY 2020  intends to apply the sum of P 44,000.00 b</t>
  </si>
  <si>
    <t xml:space="preserve"> Please see attached Request for Quotation and Technical Specifications</t>
  </si>
  <si>
    <t xml:space="preserve"> SUPPLIES AND MATERIALS FOR ANTI-VIRUS</t>
  </si>
  <si>
    <t xml:space="preserve"> The Agricultural Training Institute Region IV-A (ATI Region IV-A) invites interested suppliers to submit quotations/ proposals for the hereunder requirement: Supply and Delivery of various Agricultural Inputs and Materials for Adopt a Community - Starter </t>
  </si>
  <si>
    <t xml:space="preserve"> BIDS AND AWARDS COMMITTEE – HEAD OFFICE INVITATION TO BID 1.	The Bangko Sentral ng Pilipinas (BSP), through its Bids and Awards Committee  – Head Office (BAC-HO), invites Bidders to apply for eligibility and to bid for the hereunder requirement: Name of R</t>
  </si>
  <si>
    <t xml:space="preserve"> Republic of the Philippines Province of Quezon CITY GOVERNMENT OF TAYABAS INVITATION TO RE-BID FOR PROJECT # 20-062 - PROCUREMENT OF IT EQUIPMENT 2ND QUARTER NON-DBM (VARIOUS OFFICES) - GSO The City Government of Tayabas, through the General  Fund 2020 in</t>
  </si>
  <si>
    <t xml:space="preserve"> The Agricultural Training Institute Region IV-A (ATI Region IV-A) invites interested suppliers to submit quotations/ proposals for the hereunder requirement: Supply and Delivery of various Agricultural Tools, Materials and Inputs for Adopt a Community - C</t>
  </si>
  <si>
    <t xml:space="preserve"> Ten (10) Ea, Illustration Board (30"x40") and 24 Other line items.</t>
  </si>
  <si>
    <t xml:space="preserve"> NBC-0620-170</t>
  </si>
  <si>
    <t xml:space="preserve"> Eight (8) Ea, Fuel Filter (Ambulance MO4288) and 162 Other line items.</t>
  </si>
  <si>
    <t xml:space="preserve"> 1. The BARANGAY GOVERNMENT OF PAPALLASEN, BURGOS, PANGASINAN through its SK Fund CY 2020 intends to apply an amount of Sixty Eight Thousand Nine Hundred Thirty Pesos Only (Php68,930.00) being the Approved Budget for the Contract (ABC) for payment under th</t>
  </si>
  <si>
    <t xml:space="preserve"> Republic of the Philippines Office of the Municipal Mayor BIDS AND AWARDS COMMITTEE Pasuquin, Ilocos Norte REQUEST FOR QUOTATIONS  Purchase of Furniture and Fixtures for Office Use 1.	The LGU-PASUQUIN, through the GENERAL FUND CY 2020  intends to apply th</t>
  </si>
  <si>
    <t xml:space="preserve"> CONSTRUCTION OF PESKONG DRAINAGE</t>
  </si>
  <si>
    <t xml:space="preserve"> CONSTRUCTION OF SA-ONG COVERED DRAINAGE</t>
  </si>
  <si>
    <t xml:space="preserve"> PROVISION OF TRANSPORT SERVICE TO DENR MIMAROPA EMPLOYEES Requirement No. 1: 1. No. of Passenger Van: 1 unit	  2. Exclusive of Driver, Fuel, Toll Fee, Parking Fee 3. Inclusive of Vehicle Maintenance and VAT Charges 4. Destination: Within Metro Manila Vici</t>
  </si>
  <si>
    <t xml:space="preserve"> Republic of the Philippines Province of Quezon CITY GOVERNMENT OF TAYABAS INVITATION TO BID FOR PROJECT # 20-072 - PROCUREMENT OF OFFICE EQUIPMENT – CITY CIVIL REGISTRY OFFICE. The City Government of Tayabas, through the General  Fund 2020 intends to appl</t>
  </si>
  <si>
    <t xml:space="preserve"> Republic of the Philippines Province of Quezon CITY GOVERNMENT OF TAYABAS INVITATION TO RE-BID FOR PROJECT # 20-070 - PROCUREMENT OF FURNITURE AND FIXTURES 2ND QUARTER (VARIOUS OFFICES) - GSO The City Government of Tayabas, through the General  Fund 2020 </t>
  </si>
  <si>
    <t xml:space="preserve"> Republic of the Philippines Office of the Municipal Mayor BIDS AND AWARDS COMMITTEE Pasuquin, Ilocos Norte REQUEST FOR QUOTATIONS  Purchase of tires for the maintenance of heavy equipment (Dumptruck) 1.	The LGU-PASUQUIN, through the GENERAL FUND CY 2020  </t>
  </si>
  <si>
    <t xml:space="preserve"> Invitation to Bid for Purchase of Two (2) units Rescue Vehicle for the use of Emergency response Source of Fund: Trust Fund (5% MDRRMF) Nonrefundable fee for bidding douments: 10,000.00</t>
  </si>
  <si>
    <t xml:space="preserve"> Four Thousand Three hundred seventy three (4373) Pc, Misalette and 18 Other line items.</t>
  </si>
  <si>
    <t xml:space="preserve"> CONSTRUCTION OF SAFIANGON-CHALLOS FOOTBRIDGE</t>
  </si>
  <si>
    <t xml:space="preserve"> Invitation to Bid for Concreting of tire path at Digon, Margosatubig, ZDS. Source of Fund: General Fund (20% EDF) Nonrefundable fee for bid docs: 500.00</t>
  </si>
  <si>
    <t xml:space="preserve"> 1	1	unit	DSLR Camera 2	1	unit	Bluetooth DSLR Camera 3	1	unit	LED Ring Light Photo Studio Light with Tripod 4	1	unit	Universal Portable Digital Camera Camcorder Tripod 5	1	unit	Directional Lavalier Lapel Microphone for Smartphones &amp; DSLR Camera 6	1	unit	3-</t>
  </si>
  <si>
    <t xml:space="preserve"> Republic of the Philippines Province of Quezon CITY GOVERNMENT OF TAYABAS INVITATION TO RE-BID FOR PROJECT # 20-073 - PROCUREMENT OF ROBOTIC KITS - CITY SCHOOL DIVISION OFFICE. The City Government of Tayabas, through the Special Education Fund 2020 intend</t>
  </si>
  <si>
    <t xml:space="preserve"> Invitation to Bid for Installation of Basketball Goal/Ring with tempered glass board Spurce of Fund: General Fund (20% EDF) Nonrefundable fee for bid docs: 500.00</t>
  </si>
  <si>
    <t xml:space="preserve"> Republic of the Philippines Office of the Municipal Mayor BIDS AND AWARDS COMMITTEE Pasuquin, Ilocos Norte REQUEST FOR QUOTATIONS  Purchase of Toilet Bowls 1.	The LGU-PASUQUIN, through the GENERAL FUND CY 2020  intends to apply the sum of P 50,000.00 bein</t>
  </si>
  <si>
    <t xml:space="preserve"> PROCURMENT OF HARDWARE/SOFTWARE EQIPEMENTS FOR AUTOMATION OF PERMITS &amp; LICENSES (EASE OF DOING BUSINESS 1.	The Municipality of San Isidro, through the TRUST Fund 2019 Fund intends to apply the sum of Php 1,153,000.00 being the Approved Budget for the Cont</t>
  </si>
  <si>
    <t xml:space="preserve"> Republic of the Philippines Office of the Municipal Mayor BIDS AND AWARDS COMMITTEE Pasuquin, Ilocos Norte REQUEST FOR QUOTATIONS  Purchase of Spareparts for the Maintenace of Municipal Vehicle (Toyota Hilux PO1650) 1.	The LGU-PASUQUIN, through the GENERA</t>
  </si>
  <si>
    <t xml:space="preserve"> 1. The BARANGAY GOVERNMENT OF TAMBACAN, BURGOS, PANGASINAN through its SK Fund CY 2020 intends to apply an amount of Sixty Three Thousand Seven Hundred Twenty Pesos Only (Php63,720.00) being the Approved Budget for the Contract (ABC) for payment under the</t>
  </si>
  <si>
    <t xml:space="preserve"> To support the procurement of 15 ea RF Power Transistor with PN: QSD2019-2 and two (2) other L/I for the repair of two (2) units VHF AM Aircraft Radio and two (2) units Dual Tach Indicator for use of UH-1H Aircraft Nrs 516, 926, 929 and 181</t>
  </si>
  <si>
    <t xml:space="preserve"> The Agricultural Training Institute Region IV-A (ATI Region IV-A) invites interested suppliers to submit quotations/ proposals for the hereunder requirement: Supply and Delivery of various Training Supplies and Materials for the conduct of Training on Org</t>
  </si>
  <si>
    <t xml:space="preserve"> PROCUREMENT OF CONSTRUCTION MATERIALS AND SUPPLIES FOR CONSTRUCTION OF SPILLWAY (CONT.) MUN 2016 AT BRGY SAN VICENTE, MATALOM, LEYTE</t>
  </si>
  <si>
    <t xml:space="preserve"> Department of Education Region VI-Western Visayas Division of Cadiz City Alimatoc Elementary School SMALL VALUE PROCUREMENT OF 2 SETS 18X20 CANOPY  1.	The Alimatoc Elementary School of Cadiz City, through the Schools MOOE Fund CY 2020  intends to apply th</t>
  </si>
  <si>
    <t xml:space="preserve"> 1	1	job	Official Website Development and Website Hosting</t>
  </si>
  <si>
    <t xml:space="preserve"> PROCUREMENT OF CONSTRUCTION MATERIALS AND SUPPLIES FOR CONSTRUCTION OF SPILLWAY (CONT.) PROB ASST. 2015 AT BRGY SAN VICENTE, MATALOM, LEYTE</t>
  </si>
  <si>
    <t xml:space="preserve"> Republic of the Philippines Office of the Municipal Mayor BIDS AND AWARDS COMMITTEE Pasuquin, Ilocos Norte REQUEST FOR QUOTATIONS  Purchase of Materials for the Construction of Wooden Cabinet/shelves 1.	The LGU-PASUQUIN, through the GENERAL FUND CY 2020  </t>
  </si>
  <si>
    <t xml:space="preserve"> Fifty (50) pcs, Flat bar 3/16 x 1 1/2 and 14 other line items.</t>
  </si>
  <si>
    <t xml:space="preserve"> Two Hundred (200) rm, Bond paper (80GSM) A4 Size and 54 Other line items.</t>
  </si>
  <si>
    <t xml:space="preserve"> 1.     70        PIECE      ORBIT FAN 16" 2.     10        PIECE       RECHARGEABLE / SOLAR LAMP 3.      2         PIECE      OFFICE TABLE MELAMINE</t>
  </si>
  <si>
    <t xml:space="preserve"> The Agricultural Training Institute Region IV-A (ATI Region IV-A) invites interested suppliers to submit quotations/ proposals for the hereunder requirement: Supply and Delivery of Commercial chicks and Inputs for the Training on Organic Free Range Chicke</t>
  </si>
  <si>
    <t xml:space="preserve"> To support the procurement of 15 ea Ball Bearing Assembly with PN: 14900079-4 and two (2) other L/I for the repair of two (2) units Fuel Quantity Indicator, one (1) unit Voltage Regulator and one (1) unit Transmission Oil Pressure Indicator for use of UH-</t>
  </si>
  <si>
    <t xml:space="preserve"> Size : At least 8 x 8 Inches (round or square) Flavor : Preferably Mocha or Chocolate or other flavor for approval of TPB Dedication: “Happy Birthday from TPB Family” Breakdown: MONTH	QUANTITY April         	  16 May   	  8 June 	  15 July	          19 Au</t>
  </si>
  <si>
    <t xml:space="preserve"> See attachment!</t>
  </si>
  <si>
    <t xml:space="preserve"> Republic of the Philippines Office of the Municipal Mayor BIDS AND AWARDS COMMITTEE Pasuquin, Ilocos Norte REQUEST FOR QUOTATIONS  Purchase of Office Equipment for Office Use 1.	The LGU-PASUQUIN, through the GENERAL FUND CY 2020  intends to apply the sum </t>
  </si>
  <si>
    <t xml:space="preserve"> Three hundred (300) Ea, Coffee Creamer 450g and 40 Other line items.</t>
  </si>
  <si>
    <t xml:space="preserve"> To support the procurement of five (5) ea Rubber Boot with PN: 204-076-410-1 and four (4) other L/I for use during Phase Maintenance of UH-1 Aircraft Nrs 8308, 305, and 853</t>
  </si>
  <si>
    <t xml:space="preserve"> Republic of the Philippines  Province of Misamis Oriental  Municipality of Sugbongcogon  REQUEST FOR QUOTATION Supply and Delivery of Various Supplies for Charter Day Celebration ITB NO. 100-20-06-300 1.	The Municipality of Sugbongcogon through its Bids a</t>
  </si>
  <si>
    <t xml:space="preserve"> Item No. Description Qty. Unit 1 Photocopier Machine (Konica Minolta Bizhub 223 Imaging Unit) 2 set    OPC Drum    Blade    Developer    Space Roller 2  Upper Fuser Roller  4   pcs. 3  Toner Tube TN211   6 pcs</t>
  </si>
  <si>
    <t xml:space="preserve"> Item No.	Item/s and Description	Quantity	Unit	Unit Price LOT 1	Provision  of Labor for the improvement of handwashing	1		 	facilities.			 				 LOT 2	Provision  of Labor for the relocation of electrical connection			 	 to the school upgraded transformer.		</t>
  </si>
  <si>
    <t xml:space="preserve"> See Attachment!</t>
  </si>
  <si>
    <t xml:space="preserve"> The Department of Environment and Natural Resources , PENRO Pampanga , through the government appropriation act intends to apply the sum of PhP 120,000being the Approved Budget for the Contract (ABC) to payments under the " Procurement of  ICT Equipment’ </t>
  </si>
  <si>
    <t xml:space="preserve"> PROCUREMENT OF CONSTRUCTION MATERIALS AND SUPPLIES FOR CONSTRUCTION OF SPILLWAY (CONT.) BRGY AIP  2016 &amp; 2017, AT BRGY SAN VICENTE, MATALOM, LEYTE</t>
  </si>
  <si>
    <t xml:space="preserve"> 1.     72    VIAL    PURIFIED CHICK EMBRYOCELL RABIES VACCINE                           FOR HUMAN - 2.5I.U. LYOPHILIZED POWDER                           SOLUTION FOR INJECTION (IM/ID) (VAXIRAB) 2.      4     BOX    INSULIN SYRINGE 100's 3.      5     BOX </t>
  </si>
  <si>
    <t xml:space="preserve"> Republic of the Philippines																	 Province of Benguet																	 Municipality of Buguias																	 BIDS AND AWARDS COMMITTEE																	 																	 			Purchase Request Number:				Date:										 			Name of the Project:	</t>
  </si>
  <si>
    <t xml:space="preserve"> To support for the procurement of one (1) ea Starter Generator with PN: 205-075-443-5007 for use of UH-1D Nr 8478.</t>
  </si>
  <si>
    <t xml:space="preserve"> The Agricultural Training Institute Region IV-A (ATI Region IV-A) invites interested suppliers to submit quotations/ proposals for the hereunder requirement: Provision of Meals and Snacks for the conduct of 3 days Refresher Course for Farmers (Tanay, Riza</t>
  </si>
  <si>
    <t xml:space="preserve"> 1.     100    PIECE    FOLDING BED</t>
  </si>
  <si>
    <t xml:space="preserve"> The Agricultural Training Institute Region IV-A (ATI Region IV-A) invites interested suppliers to submit quotations/ proposals for the hereunder requirement: Provision of Food, Accommodation and function amenities for the conduct of Refresher Course for F</t>
  </si>
  <si>
    <t xml:space="preserve"> PROJECT NAME: Construction of Walkshed Bacasen – Wakit Elementary PROJECT LOCATION: Sebang, Buguias, Benguet DURATION: 7 CD (Including mobilization and Curing) PROJECT Cost: PHP 100,000.00 SOURCE OF FUND: 20% MDF CY 2020 ITEM NO. DESCRIPTION QTY UNIT I wa</t>
  </si>
  <si>
    <t xml:space="preserve"> Republic of the Philippines																		 Province of Benguet																		 Municipality of Buguias																		 BIDS AND AWARDS COMMITTEE																		 																		 			Purchase Request Number:				Date:											 			Name of the Pro</t>
  </si>
  <si>
    <t xml:space="preserve"> Quantity		Unit Issue			Item Description 150			length			10mm Square bar 20			kilogram			Welding  Electrode (Ordinary) 20			length			 ¼ x 1” Angle bar 195			bag				 Cement 35			cubic				 Coarse Sand CONSTRUCTION OF THE FOLLOWING FACILITY: 1. PATHWAY 2. WIND</t>
  </si>
  <si>
    <t xml:space="preserve"> Republic of the Philippines Office of the Punong Barangay BIDS AND AWARDS COMMITTEE Barangay #23 Sta. Catalina, Pasuquin, Ilocos Norte REQUEST FOR QUOTATIONS  Purchase of Office Supplies 1.	The BARANGAY STA. CATALINA-PASUQUIN, through the GENERAL FUND CY </t>
  </si>
  <si>
    <t xml:space="preserve"> Republic of the Philippines Office of the Punong Barangay BIDS AND AWARDS COMMITTEE Barangay #31 Carusikis, Pasuquin, Ilocos Norte REQUEST FOR QUOTATIONS  Purchase of Office Supplies 1.	The BARANGAY CARUSIKIS-PASUQUIN, through the GENERAL FUND CY 2020  in</t>
  </si>
  <si>
    <t xml:space="preserve"> Concreting of Road</t>
  </si>
  <si>
    <t xml:space="preserve"> PLEASE JUST SEE BAC SECRETARIAT</t>
  </si>
  <si>
    <t xml:space="preserve"> Republic of the Philippines															 Province of Benguet															 Municipality of Buguias															 BIDS AND AWARDS COMMITTEE															 															 			Purchase Request Number:				Date:								 			Name of the Project:				Quotation</t>
  </si>
  <si>
    <t xml:space="preserve"> The Agricultural Training Institute Region IV-A (ATI Region IV-A) invites interested suppliers to submit quotations/ proposals for the hereunder requirement: Provision of Meals and Snacks for the conduct of Refresher Course for LFTs (Batch 1) 26 pax - Sep</t>
  </si>
  <si>
    <t xml:space="preserve"> The Agricultural Training Institute Region IV-A (ATI Region IV-A) invites interested suppliers to submit quotations/ proposals for the hereunder requirement: Provision of Meals and Snacks for the conduct of 3 days Refresher Course for Farmers (Balayan, Ba</t>
  </si>
  <si>
    <t xml:space="preserve"> School and Office Equipment/Supplies</t>
  </si>
  <si>
    <t xml:space="preserve"> PLEASE SEE BAC SECRETARIAT</t>
  </si>
  <si>
    <t xml:space="preserve"> Invitation to Bid to all Supplier/Contractor duly accredited by the City Council of Manila to supply and deliver the following items provided hereunder, to wit; Item	Qty.	 	Unit	 	 	 	DESCRIPTION 1	 	15	 	Pcs	Flashlight HD	 	 	 	  2	 	20	 	Pcs	Refill of F</t>
  </si>
  <si>
    <t xml:space="preserve"> Construction of Indigenous Peoples Education Center at the compound of Betwagan National High School in Betwagan, Sadanga, Mountain Province</t>
  </si>
  <si>
    <t xml:space="preserve"> Republic of the Philippines Office of the Punong Barangay BIDS AND AWARDS COMMITTEE Barangay #29 San Juan, Pasuquin, Ilocos Norte REQUEST FOR QUOTATIONS  Purchase of Materials for the Installation of Streetlights and Slope Protection for Creek 1.	The BARA</t>
  </si>
  <si>
    <t xml:space="preserve"> School and office supplies/equipments</t>
  </si>
  <si>
    <t xml:space="preserve"> PROJECT NAME: Rehabilitation along JSNR BTK – Toking – Lingadan – Naliskey – J207 Road PROJECT LOCATION: Sebang, Buguias, Benguet DURATION: 48 CD (Including mobilization and Curing) PROJECT Cost: PHP 500,000.00 SOURCE OF FUND: 70% DRRMF CY 2020 ITEM NO. D</t>
  </si>
  <si>
    <t xml:space="preserve"> INVITATION TO BID The Philippine Children’s Medical Center, through GAA/HFEP (DOH) CY 2019 intends to apply the sum of Fourteen Million Seven Hundred Sixty Thousand Pesos (Php 14,760,000.00) being the Approved Budget for the Contract (ABC) to payment unde</t>
  </si>
  <si>
    <t xml:space="preserve"> Republic of the Philippines Office of the Punong Barangay BIDS AND AWARDS COMMITTEE Barangay #29 San Juan, Pasuquin, Ilocos Norte REQUEST FOR QUOTATIONS  Purchase of Office Supplies 1.	The BARANGAY SAN JUAN-PASUQUIN, through the GENERAL FUND CY 2020  inte</t>
  </si>
  <si>
    <t xml:space="preserve"> DESCRIPTION	UNIT	QTY 		 GENERAL REQUIREMENTS		 Mobilization/Temporary Structures, Utilities and Services/Demobilization	lot	1.00 Safety and Health	lot	1.00 Sub-total		 Gate Entrance		 Concrete Column and Forms		 Cement	bg	40.00 Steel Bars 10mm	pc	30.00 St</t>
  </si>
  <si>
    <t xml:space="preserve"> Supply and Delivery of meals, snacks, training supplies, materials and tarpaulin for the seminar-workshop on gender and development concepts, gender mainstreaming and gender analysis tools Meals and Snacks (lunch &amp; AM /PM) supplies and materials Tarpaulin</t>
  </si>
  <si>
    <t xml:space="preserve"> Requested by: M J. Atienza/HRMO</t>
  </si>
  <si>
    <t xml:space="preserve"> PROCUREMENT OF THE CONSTRUCTION  OF DOH REGIONAL OFFICE VI BUILDING, PHASE 2 DOH-REGIONAL OFFICE VI BRGY. BOLONG OESTE, STA. BARBARA, ILOILO IB NO.2020-06-001I 1.	The Department of Health, through the Health Facilities Enhancement Program (HFEP) of the De</t>
  </si>
  <si>
    <t xml:space="preserve"> Requested by: R B. Panganiban/CHO - Operation of Halfway Home Drop In Center</t>
  </si>
  <si>
    <t xml:space="preserve"> 3/4 PLYWOOD 1/4 PLYWOOD 2 X 2 X 8 KD 1/2 X 2 X 8 KD ASSORTED NAILS STICKWELL</t>
  </si>
  <si>
    <t xml:space="preserve"> Requested by: A D. Matillano/City Agriculture Office</t>
  </si>
  <si>
    <t xml:space="preserve"> ITEM OF WORKS: 1  GENERAL REQUIREMENTS 2  STRUCTURAL CONCRETE 3  STRUCTURAL STEEL 4  MASONRY WORKS 5  MOISTURE &amp; THERMAL PROTECTIONS 6  CARPENTRY WORKS 7  DOORS, WINDOWS &amp; PARTITIONS 8  IRON &amp; STAINLESS STEEL WORKS 9  ELECTRICAL WORKS 10  PLUMBING &amp; SANIT</t>
  </si>
  <si>
    <t xml:space="preserve"> Requested by: Atty. Anna Fatima R. Chavez/City Legal Office</t>
  </si>
  <si>
    <t xml:space="preserve"> Republic of the Philippines Province of Davao de Oro MUNICIPALITY OF COMPOSTELA BIDS AND AWARDS COMMITTEE CP#: 0998-571-7569 INVITATION TO BID FOR  Purchase of One (1) unit Computer Server with Complete Accessories – MASSO ITB NO. 2020-06-028, BID NO. 001</t>
  </si>
  <si>
    <t xml:space="preserve"> Requested by: Dr. Ricardo B. Panganiban/City Health Office</t>
  </si>
  <si>
    <t xml:space="preserve"> Rehab. of Drainage Canal</t>
  </si>
  <si>
    <t xml:space="preserve"> Procurement of supplies intended for Junior and Senior High School</t>
  </si>
  <si>
    <t xml:space="preserve"> June 09, 2020 RE-INVITATION TO BID 1.	The Department of Public Works and Highways, Mindoro Occidental District Engineering Office, Mamburao, Occidental Mindoro, through the General Appropriations Act intends to apply the sum of the Approved Budget for the</t>
  </si>
  <si>
    <t xml:space="preserve"> Rehabilitation of Seawall</t>
  </si>
  <si>
    <t xml:space="preserve"> PLEASE SEE ATTACHED INVITATION TO BID</t>
  </si>
  <si>
    <t xml:space="preserve"> To provide electrical connection.</t>
  </si>
  <si>
    <t xml:space="preserve"> Requested by: C G. Abogado, Jr./City Mayor's Office</t>
  </si>
  <si>
    <t xml:space="preserve"> Republic of the Philippines Province of Northern Samar MUNICIPALITY OF LOPE DE VEGA Lope De Vega, Northern Samar Invitation to Bid IMPROVEMENT OF WATER SYSTEM  Barangay Magsaysay and Poblacion (Purok 9 &amp; 10), Lope De Vega, Northern Samar  The Local Govern</t>
  </si>
  <si>
    <t xml:space="preserve"> Republic of the Philippines Province of Northern Samar MUNICIPALITY OF LOPE DE VEGA Lope De Vega, Northern Samar Invitation to Bid CONSTRUCTION OF WATER SYSTEM FOR DOMESTIC USE Barangay Poblacion, Lope De Vega, Northern Samar  The Local Government Unit – </t>
  </si>
  <si>
    <t xml:space="preserve"> Premium Quick Dry Enamel, White,	12 gals Premium Quick Dry Enamel, Bright Green,	4 gals Premium Quick Dry Enamel, Cheese,	2 gals Premium Semi Gloss Latex, Gentle Touch,	19 gals Premium Latex, Cheese,	2 gals Premium Latex, Bright Green,	2 gals Premium Red </t>
  </si>
  <si>
    <t xml:space="preserve"> Requested by: E A. Tuibeo/City Agriculture Office</t>
  </si>
  <si>
    <t xml:space="preserve"> Republic of the Philippines Province of Pangasinan MUNICIPALITY OF POZORRUBIO -o0o- 					 INVITATION TO BID FOR  REBIDDING OF SUPPLY, DELIVERY &amp; INSTALLATION OF MATERIALS REQUIRED FOR THE INSTALLATION OF POWER SUPPLY 3-PHASE LINE TO POZORRUBIO MUSICAL WAT</t>
  </si>
  <si>
    <t xml:space="preserve"> Republic of the Philippines Province of Northern Samar MUNICIPALITY OF LOPE DE VEGA Lope De Vega, Northern Samar Invitation to Bid CONSTRUCTION OF DAY CARE CENTER Barangay Cag-aguingay, Lope De Vega, Northern Samar  The Local Government Unit – Lope De Veg</t>
  </si>
  <si>
    <t xml:space="preserve"> Republic of the Philippines BIDS AND AWARDS COMMITTEE Province of Iloilo Invitation to Bid Purchase of MEDICAL SUPPLIES Bid No.RPT-20-0296-B  1. The Iloilo Provincial Government, through the 2020 GENERAL FUND intends to apply the sum of NINE HUNDRED FIFTY</t>
  </si>
  <si>
    <t xml:space="preserve"> Republic of the Philippines BIDS AND AWARDS COMMITTEE Province of Iloilo Invitation to Bid Purchase of DRUGS AND MEDICINES Bid No.RPT-20-0295-B  1. The Iloilo Provincial Government, through the 2020 GENERAL FUND intends to apply the sum of SEVEN HUNDRED T</t>
  </si>
  <si>
    <t xml:space="preserve"> Republic of the Philippines BIDS AND AWARDS COMMITTEE Province of Iloilo Invitation to Bid Purchase of LABORATORY SUPPLIES Bid No.RPT-20-0397-B  1. The Iloilo Provincial Government, through the 2020 GENERAL FUND intends to apply the sum of SEVEN HUNDRED S</t>
  </si>
  <si>
    <t xml:space="preserve"> Republic of the Philippines BIDS AND AWARDS COMMITTEE Province of Iloilo Invitation to Bid Purchase of LABORATORY SUPPLIES Bid No.RPT-20-0401-B  1. The Iloilo Provincial Government, through the 2020 GENERAL FUND intends to apply the sum of SIXTY-SIX THOUS</t>
  </si>
  <si>
    <t xml:space="preserve"> PRINTING &amp; PUBLICATION EXPENSE</t>
  </si>
  <si>
    <t xml:space="preserve"> PB NO. 2020-035		 			 1.	1	lot	Proposed Asphalt overlay at Brgy. Sta. Ana, San Pablo City. 			By: Contract 			 	Deadline for Submission of Bids: July 6, 2020 1:00 pm</t>
  </si>
  <si>
    <t xml:space="preserve"> Republic of the Philippines BIDS AND AWARDS COMMITTEE Province of Iloilo Invitation to Bid Purchase of LABORATORY SUPPLIES Bid No.RPT-20-0398-B  1. The Iloilo Provincial Government, through the 2020 GENERAL FUND intends to apply the sum of FIFTY-TWO THOUS</t>
  </si>
  <si>
    <t xml:space="preserve"> Republic of the Philippines BIDS AND AWARDS COMMITTEE Province of Iloilo Invitation to Bid Purchase of LABORATORY SUPPLIES Bid No.RPT-20-0431-B  1. The Iloilo Provincial Government, through the 2020 GENERAL FUND intends to apply the sum of EIGHTY-SEVEN TH</t>
  </si>
  <si>
    <t xml:space="preserve"> Requested by: J T. Ditona/CED - Motorpool</t>
  </si>
  <si>
    <t xml:space="preserve"> Republic of the Philippines BIDS AND AWARDS COMMITTEE Province of Iloilo Invitation to Bid Purchase of DRUGS AND MEDICINES Bid No.RPT-20-0357-B  1. The Iloilo Provincial Government, through the 2020 GENERAL FUND intends to apply the sum of SIX HUNDRED NIN</t>
  </si>
  <si>
    <t xml:space="preserve"> INVITATION TO BID FOR THE PROCUREMENT OF SUPPLY AND DELIVERY OF NINE (9) UNITS RICE COMBINE HARVESTER (REBID)   1.	The Department of Agriculture Regional Field Office (DA RFO) No. 6, through the General Appropriations Act of 2020 intends to apply the sum </t>
  </si>
  <si>
    <t xml:space="preserve"> INVITATION TO APPLY FOR ELIGIBILITY AND TO BID (IAEB)   The Municipality of Molave, Zamboanga del Sur, through its Bids and Awards Committee, invites suppliers/distributors to apply for eligibility and to bid for the hereunder project:   Name of Project  </t>
  </si>
  <si>
    <t xml:space="preserve"> AJJ TRADING Batangas City JEDECO TRADING CORP.  16 Del Pilar St., Barangay III, Vigan City, Ilocos Sur ASIAN HYBRID SEED TECHNOLOGIES, INC.  Door 4, 267 Juna Subd., Q Blvd., Brgy., Bucan, Talomo District AND ALL INTERESTED SUPPLIERS/BIDDERS REQUEST TO SUB</t>
  </si>
  <si>
    <t xml:space="preserve"> Republic of the Philippines BIDS AND AWARDS COMMITTEE Province of Iloilo Invitation to Bid Purchase of LABORATORY SUPPLIES Bid No.RPT-20-0400-B  1. The Iloilo Provincial Government, through the 2020 GENERAL FUND intends to apply the sum of EIGHTY-SIX THOU</t>
  </si>
  <si>
    <t xml:space="preserve"> AIMS AGRI VENTURES Zone 6, Tabuco, Naga City  	 BRIXTON CONSTRUCTION &amp; INDUSTRIAL  SUPPLY CORPORATION 142 Kamias Cor. Anonas Sts., Armon’s Bldg., 2nd Floor, East Kamias, Quezon City GRJC AGRI INDUSTRIAL MACHINERIES Nat’l Hi-way Corner Diversion Road  San </t>
  </si>
  <si>
    <t xml:space="preserve"> Other Supplies &amp; Materials Expenses</t>
  </si>
  <si>
    <t xml:space="preserve"> PB NO. 2020-034		 			 1.	100	UNITS	LAPTOP 			SPECIFICATIONS: 			ASUS TUF GAMING FX 505DT-AL182T 			SAND BLASTED FINISH-GUN METAL 			(COLOR/MAKE NAME: GOLD STEEL) 			DIMENSION: 36.0 X 26.2 X 2.50 2.60 CM 			14.17 X 10.31 X 0.98 1.02 INCHES 			PROCESSOR: AM</t>
  </si>
  <si>
    <t xml:space="preserve"> Republic of the Philippines BIDS AND AWARDS COMMITTEE Province of Iloilo Invitation to Bid Purchase of LABORATORY SUPPLIES Bid No.RPT-20-0429-B  1. The Iloilo Provincial Government, through the 2020 GENERAL FUND intends to apply the sum of ONE HUNDRED NIN</t>
  </si>
  <si>
    <t xml:space="preserve"> Republic of the Philippines BIDS AND AWARDS COMMITTEE Province of Iloilo Invitation to Bid Purchase of LABORATORY SUPPLIES Bid No.RPT-20-0399-B  1. The Iloilo Provincial Government, through the 2020 GENERAL FUND intends to apply the sum of NINETY THOUSAND</t>
  </si>
  <si>
    <t xml:space="preserve"> R&amp;M Disaster Response &amp; Rescue Equip</t>
  </si>
  <si>
    <t xml:space="preserve"> Hardware &amp; Construction Supplies-Flat Latex</t>
  </si>
  <si>
    <t xml:space="preserve"> SEMI-EXPENDABLE ICT EQUIPMENT (ODCOP-PHP58,500.00)</t>
  </si>
  <si>
    <t xml:space="preserve"> Repair and Maintenance of Various Service Vehicles of Provincial Government of Tarlac 1 Unit Toyota avanza with plate no. (SLF 169) 1 Unit Toyota  Hi-LUx with plate no. (SJP 929) 1 Unit Toyota  Hi-LUx with plate no. (SJL 587) 1 Unit Toyota  Hi-LUx with pl</t>
  </si>
  <si>
    <t xml:space="preserve"> Procurement of Various Tires for the repair and maintenance of various trucks and Heavy Equipments used at the Provincial Equipment Pool Office Tire Assy 20.5x25 tubeless (pay loader) Tire assy 12-R22.5 16P Rib type, tubeless (BUS) Job Installation of Tir</t>
  </si>
  <si>
    <t xml:space="preserve"> FOR KLX MOTOR BRAKE PAD BRAKE SHOE CHAIN INTERIOR SPROCKET FRONT/ REAR TIRE FRONT/ REAR  FOR XRM MOTOR TIRE AND INTERIOR 2.7X17 BRAKE PAD BRAKE SHOE CHAIN  SPROCKET FRONT AND REAR  FOR XTC BRAKE PAD/SHOE CHAIN SPROCKET TIRE AND INTERIOR RADIATOR FOR HI-LU</t>
  </si>
  <si>
    <t xml:space="preserve"> DESKTOP COMPUTER W/ COMPLETE ACCESS. PRINTER LQ310</t>
  </si>
  <si>
    <t xml:space="preserve"> INVITATION TO BID FOR SECURITY SERVICES 1. The Cebu Technological University, through the GAA intends to apply the sum of Nine Hundred Ninety-Five Thousand Pesos (Php995,000.00) being the Approved Budget for the Contract (ABC) to payments under the contra</t>
  </si>
  <si>
    <t xml:space="preserve"> Repair and Maintenance of Various Service Vehicles of Provincial Government of Tarlac</t>
  </si>
  <si>
    <t xml:space="preserve"> Lot 1:Repair and Maintenance of (1) unit Toyota Hilux FX with Plate no. SLF 463 Lot 2: Repair and Maintenance of (2) units Toyota Innova with CS no. VE 4878 and Plate no. SKX 466 and (1) unit Isuzu NHR Flexi Truck with CS no. CO 1538 Lot 3:Repair and Main</t>
  </si>
  <si>
    <t xml:space="preserve"> DIESEL GASOLINE</t>
  </si>
  <si>
    <t xml:space="preserve"> Republic of the Philippines Department of Education Region VI – Western Visayas DIVISION OF AKLAN Poblacion, Numancia, Aklan INVITATION TO BID Project No.: DepED-RO6-D1-2020QRF(REPAIR)-C1-018-2020 The Department of Education (DepED) Division of Aklan, thr</t>
  </si>
  <si>
    <t xml:space="preserve"> Repair and Maintenance of Aircon services of (3) units Toyota Avanza/Innova with plate no. SKX 520, SJL 512, SJ: 584 and (1) unit Hyundai Grand Starex with plate no. SKM 221</t>
  </si>
  <si>
    <t xml:space="preserve"> Repair and Maintenance of Various Service Vehicles of Provincial Government of Tarlac LOT 1: Repair and Maintenance (PMS) of (4) units Toyota Hi Lux 4x4/Innova with CS No. VG 0727, A7N606, P5N4041 and VE 4878 LOT 2: Repair and Maintenace (PMS) of (4) unit</t>
  </si>
  <si>
    <t xml:space="preserve"> Invitation to Bid for  Concreting &amp; Drainage Rehabilitation of J.M. Ceniza St., Looc, Mandaue City (21-2020) 1.	The City Government of Mandaue through the General Fund / Non-office (9999) Continuing Appropriation “Flood Control System” Approved by the San</t>
  </si>
  <si>
    <t xml:space="preserve"> Republic of the Philippines Province of Bohol Municipality of Duero BIDS AND AWARDS COMMITTEE Section 1. INVITATION TO BID The Municipality of Duero, Bohol, through its Bids and Awards Committee (BAC), invites suppliers/manufacturers/distributors to apply</t>
  </si>
  <si>
    <t xml:space="preserve"> Republic of the Philippines BIDS AND AWARDS COMMITTEE Province of Iloilo Invitation to Bid PURCHASE OF HOUSEKEEPING SUPPLIES Bid No. SDH-20-0395-B 1. The Iloilo Provincial Government, through the GENERAL FUND 2020 intends to apply the sum of FOUR HUNDRED </t>
  </si>
  <si>
    <t xml:space="preserve"> QTY	UNIT	ITEM DESCRIPTION 		  1,800.00 	pc/s	Non-Accountable Forms (Meter Reading Card)  105.00 	pad/s	Non-Accountable Forms (Meter Reading  Report - 100 leaves/pad in carbonized form</t>
  </si>
  <si>
    <t xml:space="preserve"> Republic of the Philippines Province of Cebu Municipality of Cordova BIDS &amp; AWARDS COMMITTEE (032-236-6171) 			  	June 15, 2020 Request for quotation  The Municipality of Cordova, through its Bids and Awards Committee (BAC), is inviting all interested bid</t>
  </si>
  <si>
    <t xml:space="preserve"> Republic of the Philippines BIDS AND AWARDS COMMITTEE Province of Iloilo Invitation to Bid PURCHASE OF DRUGS AND MEDICINES Bid No. SDH-20-0363-B 1. The Iloilo Provincial Government, through the GENERAL FUND 2020 intends to apply the sum of TWO HUNDRED NIN</t>
  </si>
  <si>
    <t xml:space="preserve"> Improvement of Women's Training Center</t>
  </si>
  <si>
    <t xml:space="preserve"> 1.       84      pcs      Tile 0.60 X 0.60M  2.       2        bags    Tile grout 3.       25      pcs.      12mm X 6M  RSB 4.       30      pcs        10mm X 6M  RSB 5.       2        T/L        Washed Sand 6.       1        T/L        Screened Gravel 7.</t>
  </si>
  <si>
    <t xml:space="preserve"> 1. 5 rolls P.E. Pipe 1" Diameter 2. 20 PC P.E. Tee 1 x1/2 3. 20 PC P.E. Adaptor 1/2 4. 14 PC P.E. Coupling 1/2 5. 9 ROLLS P.E. Pipe 1 1/2 6. 1 PC Bell Reducer 6" x 4" 7. 10 PC P.E. Coupling 1 1/2</t>
  </si>
  <si>
    <t xml:space="preserve"> Item 100-3 Individual Removal of Trees Item 100-4 Individual Removal of Big Trees Item 101 Removal of Actual Structures Item 102 Excavation Item 104 Common Embankment Item 511 Gabions and Mattresses Item 511-A Polyethylene Liner (PE) Sheets SPL-1 Construc</t>
  </si>
  <si>
    <t xml:space="preserve"> PR. No. 69-2020 (MDRRMO) 1.	1	pc	Cooking pot (height 6”diameter) 2.	2	pc	Cooking pot (12” height 12” diameter) 3.	1	set	Knife Set (5pcs) 4.	1	pc	Wok (small) 12” diameter 5.	2	pc	Wok (big) 18” diameter 6.	2	pcs	Soup Laddle (stainless) 7.	2	pcs	Sanshi (fryi</t>
  </si>
  <si>
    <t xml:space="preserve"> Republic of the Philippines BIDS AND AWARDS COMMITTEE Province of Iloilo Invitation to Bid PURCHASE OF DRUGS AND MEDICINES Bid No. SDH-20-0362-B 1. The Iloilo Provincial Government, through the GENERAL FUND 2020 intends to apply the sum of THREE HUNDRED F</t>
  </si>
  <si>
    <t xml:space="preserve"> Republic of the Philippines BIDS AND AWARDS COMMITTEE Province of Iloilo Invitation to Bid PURCHASE OF OFFICE SUPPLIES Bid No. SDH-20-0273-B 1. The Iloilo Provincial Government, through the GENERAL FUND 2020 intends to apply the sum of TWENTY-NINE THOUSAN</t>
  </si>
  <si>
    <t xml:space="preserve"> delivery of motorcycle</t>
  </si>
  <si>
    <t xml:space="preserve"> Republic of the Philippines BIDS AND AWARDS COMMITTEE Province of Iloilo Invitation to Bid Purchase of Water Supply Accessories Bid No. AGR-20-0668-B 1. The Iloilo Provincial Government, through the GENERAL FUND 2020 intends to apply the sum of THREE MILL</t>
  </si>
  <si>
    <t xml:space="preserve"> Republic of the Philippines BIDS AND AWARDS COMMITTEE Province of Iloilo Invitation to Bid PURCHASE OF LABORATORY SUPPLIES Bid No. SDH-20-0446-B 1. The Iloilo Provincial Government, through the GENERAL FUND 2020 intends to apply the sum of FOUR HUNDRED NI</t>
  </si>
  <si>
    <t xml:space="preserve"> Livestock Dispersal for Alliance of Cebu City Farmers Association</t>
  </si>
  <si>
    <t xml:space="preserve"> QTY	UNIT	ITEM DESCRIPTION 		  1.00 	unit	All-In-One Desktop Computer 		- Defective Hard Disk (for replacement) 		  1.00 	unit	Printer 		- for replacement of maintenance box 		- for ink pad resetting</t>
  </si>
  <si>
    <t xml:space="preserve"> Republic of the Philippines BIDS AND AWARDS COMMITTEE Province of Iloilo Invitation to Bid PURCHASE OF LABORATORY SUPPLIES Bid No. SDH-20-0449-B 1. The Iloilo Provincial Government, through the GENERAL FUND 2020 intends to apply the sum of ONE HUNDRED EIG</t>
  </si>
  <si>
    <t xml:space="preserve"> Republic of the Philippines PROVINCE OF NUEVA VIZCAYA Invitation to Bid for the  REHAB./RESTORATION OF ARTC GREENHOUSE INSTALLATION OF NET COVER AND DRIP IRRIGATION (INST. OF SOLAR PUMP IRRIGATION SYSTEM) Located at Prov’l. Nursery, Magsaysay, Bay., Nueva</t>
  </si>
  <si>
    <t xml:space="preserve"> Description 1     Unit       2.5 HP     Inverter</t>
  </si>
  <si>
    <t xml:space="preserve"> see attachment</t>
  </si>
  <si>
    <t xml:space="preserve"> Republic of the Philippines BIDS AND AWARDS COMMITTEE Province of Iloilo Invitation to Bid PURCHASE OF MEDICAL SUPPLIES Bid No. SDH-20-0441-B 1. The Iloilo Provincial Government, through the GENERAL FUND 2020 intends to apply the sum of NINE HUNDRED THIRT</t>
  </si>
  <si>
    <t xml:space="preserve"> Republic of the Philippines BIDS AND AWARDS COMMITTEE Province of Iloilo Invitation to Bid PURCHASE OF LABORATORY SUPPLIES Bid No. SDH-20-0444-B 1. The Iloilo Provincial Government, through the GENERAL FUND 2020 intends to apply the sum of SEVENTY-SEVEN T</t>
  </si>
  <si>
    <t xml:space="preserve"> Republic of the Philippines BIDS AND AWARDS COMMITTEE Province of Iloilo Invitation to Bid PURCHASE OF LABORATORY SUPPLIES Bid No. SDH-20-0445-B 1. The Iloilo Provincial Government, through the GENERAL FUND 2020 intends to apply the sum of ONE HUNDRED EIG</t>
  </si>
  <si>
    <t xml:space="preserve"> Republic of the Philippines PROVINCE OF NUEVA VIZCAYA Invitation to Bid for the  REHAB./RESTORATION OF ARTC GREENHOUSE INSTALLATION OF NET COVER AND DRIP IRRIGATION (INST. OF NET COVER) Located at Prov’l. Nursery, Magsaysay, Bay., Nueva Vizcaya  1.	The Pr</t>
  </si>
  <si>
    <t xml:space="preserve"> Republic of the Philippines PROVINCE OF NUEVA VIZCAYA Invitation to Bid for the  REHAB./RESTORATION OF ARTC GREENHOUSE INSTALLATION OF NET COVER AND DRIP IRRIGATION (CONST. OF ELEVATED CONC. WATER TANK) Located at Prov’l. Nursery, Magsaysay, Bay., Nueva V</t>
  </si>
  <si>
    <t xml:space="preserve"> Republic of the Philippines PROVINCE OF NUEVA VIZCAYA 2nd Invitation to Bid for the  CONSTRUCTION OF NAMANGEGAN ALLOY CIS PHASE III Located at Kasibu, Nueva Vizcaya  1.	The Provincial Government of Nueva Vizcaya, through the 2020 20% Development Fund inte</t>
  </si>
  <si>
    <t xml:space="preserve"> Republic of the Philippines PROVINCE OF NUEVA VIZCAYA 2nd Invitation to Bid for the  CONSTRUCTION OF PANIKI UPPER TALLA, CORDON CIS Located at Cordon, Kasibu, Nueva Vizcaya  1.	The Provincial Government of Nueva Vizcaya, through the 2020 20% Development F</t>
  </si>
  <si>
    <t xml:space="preserve"> Please see attached Bill of Quantities and Invitation to Bid in the Philippine Bidding Documents</t>
  </si>
  <si>
    <t xml:space="preserve"> Republic of the Philippines  Province of Leyte  MUNICIPALITY OF PALO NOTICE OF POSTING @ PHILGEPS WEBSITE	                                                                                                                                       June 15, 2020 </t>
  </si>
  <si>
    <t xml:space="preserve"> Purchase of various supplies</t>
  </si>
  <si>
    <t xml:space="preserve"> Republic of the Philippines PROVINCE OF NUEVA VIZCAYA Invitation to Bid for the  EXTENSION OF NVPH SLOPE PROTECTION Located at Almaguer North, Bambang, Nueva Vizcaya  1.	The Provincial Government of Nueva Vizcaya, through the PGSO (5-02-13-020) Land Impro</t>
  </si>
  <si>
    <t xml:space="preserve"> Republic of the Philippines PROVINCE OF NUEVA VIZCAYA Invitation to Bid for the  REHAB./RESTORATION OF ARTC GREENHOUSE INSTALLATION OF NET COVER AND DRIP IRRIGATION (INST. OF DRIP IRRIGATION SYSTEM) Located at Prov’l. Nursery, Magsaysay, Bay., Nueva Vizca</t>
  </si>
  <si>
    <t xml:space="preserve"> 12 Units Jetmatic Pump For water assistance program</t>
  </si>
  <si>
    <t xml:space="preserve"> For complete specification, please see attached RFQ at the  associate components link or request....</t>
  </si>
  <si>
    <t xml:space="preserve"> Supply &amp; Delivery of Construction Materials for the Improvement of OSCA Building at Sta. Cruz, Municipality of Bongabong, Oriental Mindoro</t>
  </si>
  <si>
    <t xml:space="preserve"> PR-000008919	 18  pcs.		Flood light / Y2 Supervision LED IP65		 				   200W, 20000LM, 4000k, 90 Degrees PLEASE FAX YOUR QUOTATION ASAP, ATTENTION TO MR. FERDINAND M. COMPUESTO, PURCHASING MANAGER AT 85524345/88793664 OR EMAIL AT guerreroll@dfp.com.ph. YOU</t>
  </si>
  <si>
    <t xml:space="preserve"> 1. 1 PC Submersible Pump w/ out Motor 5 Hp High Head</t>
  </si>
  <si>
    <t xml:space="preserve"> Section I. Invitation to Bid Section II. Instructions to Bidders A.  General 1.	Scope of Bid 		 	1.1	The Procuring Entity as defined in the BDS, invites bids for the construction of Works, as described in Section VI- Specifications.  The name and identifi</t>
  </si>
  <si>
    <t xml:space="preserve"> Republic of the Philippines										 Department of Public Works and Highways										 OFFICE OF THE DISTRICT ENGINEER										 Cagayan Third District Engineering Office										 Tuguegarao City										 Name of Procuring Entity: 			DPWH-Cagayan Third</t>
  </si>
  <si>
    <t xml:space="preserve"> Republic of the Philippines BIDS AND AWARDS COMMITTEE Province of Iloilo Invitation to Bid PURCHASE OF OFFICE SUPPLIES Bid No. SDH-20-0443-B 1. The Iloilo Provincial Government, through the GENERAL FUND 2020 intends to apply the sum of TWO HUNDRED SEVENTY</t>
  </si>
  <si>
    <t xml:space="preserve"> see line item:</t>
  </si>
  <si>
    <t xml:space="preserve"> Republic of the Philippines BIDS AND AWARDS COMMITTEE Province of Iloilo Invitation to Bid PURCHASE OF LABORATORY SUPPLIES Bid No. SDH-20-0448-B 1. The Iloilo Provincial Government, through the GENERAL FUND 2020 intends to apply the sum of FOUR HUNDRED FI</t>
  </si>
  <si>
    <t xml:space="preserve"> 79 cartridges Toner, CF281A ******** nothing follows ********</t>
  </si>
  <si>
    <t xml:space="preserve"> Supply &amp; delivery of: A. Chemical Detergent for Parts Washer @ Repair Kits 1. Chemical Detergent @ 20 Liters/Container/Pail        ------------------------------------------  8 pails Note: 1. Delivery of the items shall be at the Motorpool Compound,      </t>
  </si>
  <si>
    <t xml:space="preserve"> Please quote your lowest price on the Item/s below, subject to the terms and Conditions and Eligibility Requirements for the Suppliers, stating the shortest time of the delivery and submit your quotation duly signed by your representative not later than J</t>
  </si>
  <si>
    <t xml:space="preserve"> ARTICLE AND DESCRIPTION											 ITEM	QTY.	UNIT						CEILING 					UNIT PRICE		TOTAL  								PRICE							 															 				Office: Universidad De Manila				PR No. 319							 				Charge to: Other Supplies and Materials Expenses				OBR No. 100-2002-006</t>
  </si>
  <si>
    <t xml:space="preserve"> Republic of the Philippines PROVINCE OF NUEVA VIZCAYA 2nd Invitation to Bid for the  CONSTRUCTION OF UBUN-PAPAYA-DOMANG CIS Located at Kasibu, Nueva Vizcaya  1.	The Provincial Government of Nueva Vizcaya, through the 2020 20% Development Fund intends to a</t>
  </si>
  <si>
    <t xml:space="preserve"> Furniture and Fixtures for utilization of the Office of the mayor/ Department of General Services</t>
  </si>
  <si>
    <t xml:space="preserve"> 85 pieces Battery for UPS ******** nothing follows ********</t>
  </si>
  <si>
    <t xml:space="preserve"> QTY	UNIT	ITEM DESCRIPTION 		  4.00 	page/s	AN ORDINANCE IMPOSING STRINGENT REGULATIONS AND MEASURES IN TIMES OF EPIDEMIC, PANDEMIC OR OTHER NATIONAL OR LOCAL-WIDE HEALTH EMERGENCIES, PROVIDING EXEMPTIONS AND PENALTIES THEREFOR AND FOR OTHER PURPOSES OF ST</t>
  </si>
  <si>
    <t xml:space="preserve"> CONCRETING &amp; RIPRAPPING</t>
  </si>
  <si>
    <t xml:space="preserve"> Republic of the Philippines BIDS AND AWARDS COMMITTEE Province of Iloilo Invitation to Bid PURCHASE OF LABORATORY SUPPLIES Bid No. SDH-20-0447-B 1. The Iloilo Provincial Government, through the GENERAL FUND 2020 intends to apply the sum of FIVE HUNDRED EI</t>
  </si>
  <si>
    <t xml:space="preserve"> Republic of the Philippines BIDS AND AWARDS COMMITTEE Province of Iloilo Invitation to Bid PURCHASE OF MEDICAL SUPPLIES Bid No. SDH-20-0442-B 1. The Iloilo Provincial Government, through the GENERAL FUND 2020 intends to apply the sum of NINE HUNDRED NINET</t>
  </si>
  <si>
    <t xml:space="preserve"> Battery Pack &amp; 9 L/I</t>
  </si>
  <si>
    <t xml:space="preserve"> Please see attached.</t>
  </si>
  <si>
    <t xml:space="preserve"> REPAIR</t>
  </si>
  <si>
    <t xml:space="preserve"> 1	unit	Sound System 		 - microphone and speaker 		 - speaker system for frontline counters 		******** nothing follows ********</t>
  </si>
  <si>
    <t xml:space="preserve"> 2.00 units Printing Machine (RISO) 2.00 units Multifunction Copier</t>
  </si>
  <si>
    <t xml:space="preserve"> Thirty Five (35) bx 100% Pineapple Juice with A-C-E, 240ml 24s/box &amp; 49 other line items</t>
  </si>
  <si>
    <t xml:space="preserve"> INVITATION TO BID FOR THE PROCUREMENT OF SUPPLY AND DELIVERY OF EIGHT (8) UNITS RICE TRANSPLANTER (RIDE-ON) (REBID) 1.	The Department of Agriculture Regional Field Office (DA RFO) No. 6, through the General Appropriations Act of 2020 intends to apply the </t>
  </si>
  <si>
    <t xml:space="preserve"> 8	unit	Car Dashboard Camera, for service vehicles 		 - high-end, 1080 full high definition recording 		 - at least 140 degree wide angle lens 		 - night recording 		 - at least 5 MP with CMOS censor 		 - at least 2.7" LCD screen and display 		 - seamless </t>
  </si>
  <si>
    <t xml:space="preserve"> &gt; ONE JOB ORDER PUBLICATION OF PROVINCIAL ORDINANCES No. 16-24-03-20 An Ordinance Amending Sec. 6 of Provincial Ordinance No. 16-24-03-2020 -Curfew Hour 9:00 PM - 5:00 AM No. 16-27-04-2020 An Ordinance Requiring Government Institutions to Patronize Locall</t>
  </si>
  <si>
    <t xml:space="preserve"> I. Mobilization II. CSHP III. Road Preparation A. Equipment B. Materials IV. Portland Cement Concrete Pavement V. Equipment</t>
  </si>
  <si>
    <t xml:space="preserve"> This project entails purchase of office supplies for use in the COA Office.</t>
  </si>
  <si>
    <t xml:space="preserve"> Rehabilitation of Perimeter Pavement of Covered Court</t>
  </si>
  <si>
    <t xml:space="preserve"> Repair &amp; Maintenance - Motor Vehicle</t>
  </si>
  <si>
    <t xml:space="preserve"> I. Mobilization II. CSHP III. Road Preparation A. Equipment B. Materials IV. Portland Cement Concrete Pavement V. Equipment Labor</t>
  </si>
  <si>
    <t xml:space="preserve"> PHILIPPINE BIDDING DOCUMENTS (As Harmonized with Development Partners) FOR ENHANCEMENT OF CACAO PRODUCTION THRU PROVISION OF ACCREDITED VARIETY OF CACAO GRAFTED PLANTING MATERIALS AND FERTILIZER SUBSIDY BIDDING Government of the Republic of the Philippine</t>
  </si>
  <si>
    <t xml:space="preserve"> CONSTRUCTION OF 55 METERS CONCRETE CANAL AT PUROK SEGUIDILLA, BRGY. MAYPANGDAN, BORONGAN CITY, EASTERN SAMAR</t>
  </si>
  <si>
    <t xml:space="preserve"> 1500 L diesel fuel</t>
  </si>
  <si>
    <t xml:space="preserve"> Rice, 21sack</t>
  </si>
  <si>
    <t xml:space="preserve"> Office Supply</t>
  </si>
  <si>
    <t xml:space="preserve"> 3000-pcs. Medals, Gold Ordinary/Academic</t>
  </si>
  <si>
    <t xml:space="preserve"> PHILIPPINE BIDDING DOCUMENTS (As Harmonized with Development Partners) FOR ENHANCEMENT OF CACAO PRODUCTION THRU PROVISION OF ACCREDITED VARIETY OF CACAO BIDDING Government of the Republic of the Philippines TABLE OF CONTENTS SECTION I. INVITATION TO BID……</t>
  </si>
  <si>
    <t xml:space="preserve"> Washable Face Mask, 2000 pcs</t>
  </si>
  <si>
    <t xml:space="preserve"> PURCHASE OF JANITORIAL SUPPLIES</t>
  </si>
  <si>
    <t xml:space="preserve"> Republic of the Philippines							 Province of Lanao del Norte							 Municipality of Lala							 Office of the Municipal General Services							 				Date			 CANVASS							 							 							 	Sir/Madam:						 		Please quote your lowest price for the followi</t>
  </si>
  <si>
    <t xml:space="preserve"> Repair &amp; Maintenance of Buildings</t>
  </si>
  <si>
    <t xml:space="preserve"> 1	100	ALCOHOL, 70%,  500 ml 2	4	Ant-Virus INSTALLER 3	1	AVR (1000v) 4	24	Ballpen  BP-SF-B (Black) 5	11	Ballpen (Black) Press button 6	5	Ballpen (Blue) Press button 7	5	Ballpen (ordinary, black) 8	4	Ballpen 1423  0.5 black 9	1	Ballpen BP-S-F-B (Red) 10	12	</t>
  </si>
  <si>
    <t xml:space="preserve"> Rice, 29Sacks Sardines, 2boxes Noodles, 2boxes</t>
  </si>
  <si>
    <t xml:space="preserve"> INVITATION TO BID FOR (GOODS &amp; SERVICES) 	     20GJC0193 – 8 units Desktop Computer etc. To be used in Planning and Design Section.                          (PR # 20-05-181) 1. 	      The DPWH, 2nd District Engineering Office,Labason,Zamboanga del Norte, </t>
  </si>
  <si>
    <t xml:space="preserve"> Commercial Rice, 5 half sack Red Rice, 4 half Sack Malagkit Rice, 3 sacks Mongo, 3 sacks Brown Sugar, 2 sacks Iodized Salt, 2 sacks Bear Brand, 83kgs Oil, 4 doz Garlic, 10kgd  Tuna, 4case Teaspoon, 2doz Eggs, 12 trays</t>
  </si>
  <si>
    <t xml:space="preserve"> 2 units Air-conditioning Unit Window Type 1.5HP 1 unit  Air-conditioning Unit 1HP Split Type with Installation (Inverter)</t>
  </si>
  <si>
    <t xml:space="preserve"> 1500 kg Lean meat/liver/ribs/intestines/entrils 20 kg Bagnet 5 kg Ukilas 1500 kg Dressed chicken/liver/gizard Note: Daily delivery as needed within 30 days (June 2020) Please see and download the attachment</t>
  </si>
  <si>
    <t xml:space="preserve"> INVITATION TO BID FOR (GOODS &amp; SERVICES)       20GJC0191 – 100 liters UD Diesel Engine Oil Mega Multi 3 SAE 15W-40 etc. To be use in                           the preventive maintenance of UD Croner DT with code no. H3-6752 assigned                       </t>
  </si>
  <si>
    <t xml:space="preserve"> Republic of the Philippines Province of Cotabato Municipality of Antipas BIDS AND AWARDS COMMITTEE 	 REQUEST FOR QUOTATION (RFQ) The Municipal Government of Antipas, through its Bids and Awards Committee (BAC), hereby invites interested suppliers to submi</t>
  </si>
  <si>
    <t xml:space="preserve"> Invitation to Quote The Philippine Charity Sweepstakes Office thru the Procurement Division, General Services Dept. announces the purchase and procurement of the above listed item/s.  All interested suppliers may secure the standard sealed quotation/canva</t>
  </si>
  <si>
    <t xml:space="preserve"> Supply and delivery of 500 bags Granular Complete Fertilizer to be used by OPV white corn farmers, as package with the existing project on regular seed distribution for CY 2020 500	bags	Granular Complete Fertilizer		 		Minimum Specifications:		 		Packagin</t>
  </si>
  <si>
    <t xml:space="preserve"> 9,600 container	Procurement of 5 Gals Purified Drinking Water for CF- Iloilo 1.	pH	5-7 2.	TDS	&lt;10ppm (Total Dissolved Solids – TDS) 3.	Taste	No objectionable Taste 4.	Odor	No objectionable Odor 5.	Color	5 TCU (True Color Units) 6.	Turbidity	5 NTU ( Nephel</t>
  </si>
  <si>
    <t xml:space="preserve"> 1     unit     Dump box 1.20m x 2.90 with 4mm thl Steel Black Iron Plate and 2" x 3" x 1/4" Channel Bar including                   Baby Chassis 2" x 4" x 1/4"mm Channel Bar and accessories 1     unit     Assembly PTO with Complete Accessories</t>
  </si>
  <si>
    <t xml:space="preserve"> Supply and delivery of 500 bags Granular Urea to be used in the Cassava Model Farm for CY 2020 500	bags	Granular Urea		 		Minimum Specifications:		 		Packaging: 50 kg/bag with inner plastic lining		 		Nitrogen (N): 45.08%		 		FPA-accredited dealer and FPA</t>
  </si>
  <si>
    <t xml:space="preserve"> INVITATION TO BID FOR (GOODS &amp; SERVICES)       20GJC0192 – 1 unit Laptop. To be used for “work from home” of the resident auditor, this                          district. (PR # 20-03-191) 1.         The DPWH, 2nd District Engineering Office,Labason,Zamboa</t>
  </si>
  <si>
    <t xml:space="preserve"> Supply and delivery of various agricultural inputs to be used in the Sorghum Technology Demonstration 250	bags	Organic Fertilizer		 		Minimum Specifications:		 		Packaging: 50 kg/bag with inner plastic lining		 		Total NPK = 1.5% minimum; C:N = 15.1		 		M</t>
  </si>
  <si>
    <t xml:space="preserve"> Supply and delivery of 2 units Mobile Electric Weighing Scale for Smal Ruminant and 1 unit Electric Weighing Scale with Cattle Squeezer to be used in monitoring and assessment of breeder stocks produced and maintained in the stations 2	unit	Mobile Electri</t>
  </si>
  <si>
    <t xml:space="preserve"> INVITATION TO BID FOR (GOODS &amp; SERVICES)       20GJC0190 – 2 pcs. Oil Filter 3831236 etc. Item 1 to 4 to be use for preventive                              maintenance of Volvo Road Grader with code no. N1-2261, Item 5 to 12 use                           </t>
  </si>
  <si>
    <t xml:space="preserve"> 1  unit  Printer  Specs: DCP-T710W             3-in-1 Print, Copy, Scan             Colour Inject MFC Printer up to 12/10 ppm ( ISO )             150 sheets default paper tray             Manual Feed Slot             20 sheets Auto Document Feeder        </t>
  </si>
  <si>
    <t xml:space="preserve"> Portland Cement Gravel Gravel Rough Lumber 2x4x12 CWN Assorted Mixing Water</t>
  </si>
  <si>
    <t xml:space="preserve"> Republika ng Pilipinas PAMAHALAANG LUNGSOD NG TACLOBAN (City Government of Tacloban) Kanhuraw Hill, Tacloban City 6500 Tel. Nos.  325-4053 BIDS AND AWARDS COMMITTEE 	INVITATION TO SUBMIT PRICE QUOTATIONS 1st Posting BIDSTAC # SB 024-2020 (7041914). 	     </t>
  </si>
  <si>
    <t xml:space="preserve"> Republic of the Philippines Municipality of Taytay Taytay, Palawan NOTICE TO BIDDERS Item # Qty Unit Description Amount 1.    1    Lot    FUELS/FUEL ADDITIVES &amp; LUBRICANT &amp; ANTI-CORROSIVE The two envelope system of procurement shall be observed, Bidding d</t>
  </si>
  <si>
    <t xml:space="preserve"> Supply and delivery of 501 reams Bond Paper (Legal) to be used in masterlisting of farmer beneficiary of the Rice Resiliency Project 501	reams	Bond Paper		 		   Legal (8.5 x 13)</t>
  </si>
  <si>
    <t xml:space="preserve"> 1	unit	COMPUTER LAPTOP	 		Windows 10Home, AMD Ryzen 7-3750H Processor	 		(2m Cache, up to 4.0 GHz 15.6 inch  Full  HD (1920x1080)	 		IPS Level Panel, 120 Hz NVDIA,  Geforece GTX 1650 with	 		4GB GDDR5, 8GB DDR4MHz RAM,  PCIE NVME 512 GB M.2	 		SSD Backlit</t>
  </si>
  <si>
    <t xml:space="preserve"> please see attached Invitation to Offer for Negotiated Procurement</t>
  </si>
  <si>
    <t xml:space="preserve"> SUPPLY OF ONE (1) UNIT PORTABLE GENERATOR AND TWO (2) UNITS PORTABLE AIRCON under PR No. KMT-2003-005B and ITB No. 2005-025-04R Please quote your lowest price on the item/s listed below, subject to the Terms and Conditions set forth hereunder, stating amo</t>
  </si>
  <si>
    <t xml:space="preserve"> Hiring of one (1) Research Assistant I for 3 months to assist in the Community-Based Participatory Action Research on Breeder Goat Production 1	1 person x 3 months 	Research Assistant I		 		1. Assists in the project monitoring and data collection needed t</t>
  </si>
  <si>
    <t xml:space="preserve"> I N V I T A T I O N  T O  B I D The Manila International Airport Authority, through its Bids and Awards Committee (BAC), invites interested parties to apply for eligibility and to bid for the hereunder service contract: 	 Name of Contract       :  	Supply</t>
  </si>
  <si>
    <t xml:space="preserve"> Please submit your quotation for the following items on or before 5:00PM on Jun 19, 2020. ITEM D E S C R I P T I O N QTY. UNIT  1 Chemicals, Palintest Free Chlorine, DPD1 Tablets (APO II) 9 box Specifications/Recommendations: a. Supplier must provide Mate</t>
  </si>
  <si>
    <t xml:space="preserve"> Supply and delivery of various vehicle parts and accessories for the RP vehicle SJB-258 under HVCDP 4	pcs	Tires		 1	pc 	Battery		 1	set	Seat Cover		 1	pc 	Steering Cover		 1	set	Floor Matting</t>
  </si>
  <si>
    <t xml:space="preserve"> Republic of the Philippines Municipality of Taytay Taytay, Palawan NOTICE TO BIDDERS Item # Qty Unit Description Amount 1.	1	unit 	SCANNER:                         Specs: Compact size and Footpring,                         - Powered via USB 3.0 bus powere</t>
  </si>
  <si>
    <t xml:space="preserve"> Republika ng Pilipinas PAMAHALAANG LUNGSOD NG TACLOBAN (City Government of Tacloban) Kanhuraw Hill, Tacloban City 6500 Bids and Awards Committee INVITATION TO SUBMIT PRICE QUOTATIONS FOR THE NEGOTIATED PROCUREMENT (Small Value Procurement) OF AIRCONDITION</t>
  </si>
  <si>
    <t xml:space="preserve"> INVITATION TO BID FOR THE SUPPLY, DELIVERY, INSTALLATION AND COMMISSIONING OF ONE (1) UNIT ENT-HNS DIGITAL VIDEO STROBOSCOPE (IB NO. 2020-GOODS-014-01-0615) 1.	The ILOCOS TRAINING AND REGIONAL MEDICAL CENTER (ITRMC), through the GAA, FY 2020 (HFEP Fund), </t>
  </si>
  <si>
    <t xml:space="preserve"> Request for Quotation All interested suppliers are requested to submit their quotations on the items listed in the attached Request for Quotation.</t>
  </si>
  <si>
    <t xml:space="preserve"> Republic of the Philippines Province of Cavite Municipality of Naic BIDS AND AWARDS COMMITTEE PB-2020-05-032 INVITATION TO  BID  INSTALLATION OF TEN (10) UNITS STREETLIGHTS  AT RHU COMPOUND, BRGY. HALANG NAIC, CAVITE 1.       The Municipal Government of N</t>
  </si>
  <si>
    <t xml:space="preserve"> Procurement of Switch Hub, Router, Access Point and Web Camera (See attached Purchase Request for more detailed information.)</t>
  </si>
  <si>
    <t xml:space="preserve"> Republic of the Philippines Department of Health	 CENTRAL OFFICE BIDS AND AWARDS COMMITTEE  INVITATION TO BID FOR THE  PROCUREMENT OF BEDAQUILINE FUMARATE IB NO. 2020-221 1.	The Department of Health (DOH), through the General Appropriations Act of 2020 in</t>
  </si>
  <si>
    <t xml:space="preserve"> Republic of the Philippines Municipality of Taytay Taytay, Palawan NOTICE TO BIDDERS Item # Qty Unit Description Amount 1. 1 Lot FUELS/FUEL ADDITIVES &amp; LUBRICANT &amp; ANTI-CORROSIVE 			 Bulldozer #03  1.	1	pc	Priming Pump 2.	5	pcs	Ripper Point  3.	5	pcs	Pin </t>
  </si>
  <si>
    <t xml:space="preserve"> INVITATION TO BID The City of Bayawan, through its Bids and Awards Committee (BAC), invites suppliers/manufacturers/distributors/contractors to bid for the hereunder projects: 	Lot No. I		ICT EQUIPMENT					 1	15	unit(s)	Gigabit Manage Switch					 			Enclo</t>
  </si>
  <si>
    <t xml:space="preserve"> 1. ALLEN WRENCH SET &amp; 23 OTHERS DELIVERY SITE:  BURIAS DPP (BURIAS ISLAND)                          SAN PASCUAL, MASBATE PLEASE SUBMIT REQUIREMENTS: 1.	MAYOR’S/BUSINESS PERMIT 2.	PhilGEPS REG. NUMBER/CERTIFICATE</t>
  </si>
  <si>
    <t xml:space="preserve"> INVITATION TO BID ITB No. 2020-30 1.	The Dr. Jose Fabella Memorial Hospital, through its Hospital Income intends to apply the amount of Twelve Million Three Hundred Seventy-Three Thousand Nine Hundred Ninety-Two Pesos (Php 12,373,992) being the Approved B</t>
  </si>
  <si>
    <t xml:space="preserve"> BLGU-ANIBONGON-01-2020 CONSTRUCTION OF TWO-STOREY EVACUATION CENTER PHASE III BRGY. ANIBONGON ABUYOG, LEYTE</t>
  </si>
  <si>
    <t xml:space="preserve"> units		Panasonic AirConditioner 2.5hp Inverter 			3</t>
  </si>
  <si>
    <t xml:space="preserve"> Republika ng Pilipinas PAMAHALAANG LUNGSOD NG TACLOBAN (City Government of Tacloban) Kanhuraw Hill, Tacloban City 6500 Tel. Nos.  325-4053 BIDS AND AWARDS COMMITTEE 	INVITATION TO SUBMIT PRICE QUOTATIONS 1st Posting 	           The City Government of Tacl</t>
  </si>
  <si>
    <t xml:space="preserve"> Barangay Begong</t>
  </si>
  <si>
    <t xml:space="preserve"> INVITATION TO BID FOR  REHABILITATION OF MULTI-PURPOSE BUILDING - CAMINDOROAN The Municipality of San Juan, through its Bids and Awards Committee (BAC), invites contractors to submit bids for the following Contract: Contract ID		:          	20-00045						</t>
  </si>
  <si>
    <t xml:space="preserve"> Concrete Cutter         -----------------------------------------------------------------------  2 units Specification: Concrete and Asphalt Floor Saw Cutter;  10 HP; 220V; 3600 rpm Cutting Speed w/  Spare Blade (Blades: Diamond Blade w/ Hard Bond, Asphal</t>
  </si>
  <si>
    <t xml:space="preserve"> Republic of the Philippines DEPARTMENT OF PUBLIC WORKS AND HIGHWAYS DAVAO ORIENTAL FIRST DISTRICT ENGINEERING OFFICE REGION XI Lucod, Baganga, Davao Oriental INVITATION TO BID No. 2020-0009  1.	The Department of Public Works and Highways, Davao Oriental F</t>
  </si>
  <si>
    <t xml:space="preserve"> Republic of the Philippines Municipality of Taytay Taytay, Palawan NOTICE TO BIDDERS Item # Qty Unit Description Amount 1. 400 meters Local Access Roads, So. Lake Danao, Bgy. Poblacion                      Width = 6.1M                      Thickness = 20m</t>
  </si>
  <si>
    <t xml:space="preserve"> Job Order: Labor and Materials for the repair of Airconditioning Units located at Livestock Banner Program, Feed Laboratory and BAC Secretariat Office 		Job Order: Labor and Materials for the repair of Airconditioning Units located at Livestock Banner Pro</t>
  </si>
  <si>
    <t xml:space="preserve"> INVITATION TO BID (GOODS) The Municipality of Sibonga, through the General Fund intends to apply the sum of One hundred thousand pesos only (100,000.00) being the Approved Budget for the Contract (ABC) to payment under the contract Re-Bidding for the Supp</t>
  </si>
  <si>
    <t xml:space="preserve"> Office Equipment Supplies and Consumables</t>
  </si>
  <si>
    <t xml:space="preserve"> Invitation to Bid for the Supply and Delivery of various Equipment for the use of Brgy. Cuta, Batangas City</t>
  </si>
  <si>
    <t xml:space="preserve"> Invitation to Bid for the Supply and Delivery of various Medicine for the use of Brgy. Soro-Soro Karsada, Batangas City</t>
  </si>
  <si>
    <t xml:space="preserve"> PURCHASE REQUEST			 LGU BUGALLON						 Agency / Procuring Entity						 						 	Department: 		Mayor's Office 		Date:	 						 	Section:				Date:	 						 STOCK 		UNIT	Description	QTY	UNIT COST	AMOUNT NO.						 	1	box	RJ45	4		 	2	UNIT	Uninterrupted Power Supp</t>
  </si>
  <si>
    <t xml:space="preserve"> PURCHASE OF OFFICE, OTHER SUPPLIES AND MATERIALS</t>
  </si>
  <si>
    <t xml:space="preserve"> Invitation to Bid Barangay 895, Zone 99, District VI through its Bids and Awards Committee (BAC), invites all suppliers duly accredited and approved by the City Council of Manila to bid for the hereunder projects: 1  set  Closed Circuit Television (CCTV) </t>
  </si>
  <si>
    <t xml:space="preserve"> 1	Amlodipine 10mg Tab (100tabs/box)	420	bxs. 2	Amoxicillin 125mg/5ml	144	btls. 3	Amoxicillin 250mg/5ml	144	btls. 4	Amoxicillin 500mg (100 caps/box)	140	bxs. 5	Amoxicillin Drops	150	btls. 6	Ascorbic Acid 500mg Tab (100 tabs/box)	200	bxs. 7	Ascorbic Acid Sy</t>
  </si>
  <si>
    <t xml:space="preserve"> 1. ADJUSTABLE WRENCH, 12" LONG &amp; 6 OTHERS DELIVERY SITE:    CATANDUANES SUB STN (MARINAWA DPP)                             BATO, CATANDUANES  PLEASE SUBMIT REQUIREMENTS: 1	MAYOR’S/BUSINESS PERMIT 2	PhilGEPS REG. NUMBER/CERTIFICATE</t>
  </si>
  <si>
    <t xml:space="preserve"> Invitation to Bid for the Supply and Delivery of various Office Supplies for the use of Brgy. Soro-Soro Karsada, Batangas City</t>
  </si>
  <si>
    <t xml:space="preserve"> Repair/rewinding of various motors of Marinawa DPP  SCOPE OF WORKS: 1.	Dismantling of motors 2.	Transport/hauling of motors from plant site to electrical/machine shop 3.	Repair/rewinding 4.	Installation/Testing and commissioning 5.	Six (6) months warranty</t>
  </si>
  <si>
    <t xml:space="preserve"> Republika ng Pilipinas PAMAHALAANG LUNGSOD NG TACLOBAN (City Government of Tacloban) Kanhuraw Hill, Tacloban City 6500 Bids and Awards Committee INVITATION TO SUBMIT PRICE QUOTATIONS FOR THE NEGOTIATED PROCUREMENT (Small Value Procurement) OF MEDICAL SUPP</t>
  </si>
  <si>
    <t xml:space="preserve"> REQUEST FOR QUOTATION (RFQ)							 							 							 June 11, 2020		 R.I.S. No.: 20-93-017		 							 						 GENTLEMEN:			 Please submit  your  lowest price quotation (including taxes and government discounts) on charged account basis, on the following suppl</t>
  </si>
  <si>
    <t xml:space="preserve"> Section I. Invitation to Bid Republic of the Philippines PROVINCE OF ZAMBOANGA SIBUGAY Capitol Building, Ipil Heights, Ipil, Zamboanga Sibugay INVITATION TO BID FOR  Drugs &amp; Medicines 1.	The Province of Zamboanga Sibugay, through the GF-BY 2020 intends to</t>
  </si>
  <si>
    <t xml:space="preserve"> Section I. Invitation to Bid Republic of the Philippines PROVINCE OF ZAMBOANGA SIBUGAY Capitol Building, Ipil Heights, Ipil, Zamboanga Sibugay INVITATION TO BID FOR LPG Refill (50kgs &amp; 11kg) 1.	The Province of Zamboanga Sibugay, through the GF-BY 2020 int</t>
  </si>
  <si>
    <t xml:space="preserve"> LGU-AL-28-2020 REHABILITATION/IMPROVEMENT OF BARANGAY ROAD BRGY. MATAGNAO ABUYOG, LEYTE</t>
  </si>
  <si>
    <t xml:space="preserve"> Section I. Invitation to Bid Republic of the Philippines PROVINCE OF ZAMBOANGA SIBUGAY Capitol Building, Ipil Heights, Ipil, Zamboanga Sibugay INVITATION TO BID FOR  16 Units UPS 1.	The Province of Zamboanga Sibugay, through the General Fund BY 2020 inten</t>
  </si>
  <si>
    <t xml:space="preserve"> Section I. Invitation to Bid Republic of the Philippines PROVINCE OF ZAMBOANGA SIBUGAY Capitol Building, Ipil Heights, Ipil, Zamboanga Sibugay INVITATION TO BID FOR  Commercial Rice &amp; Sardines 1.	The Province of Zamboanga Sibugay, through the GF-BY 2020 i</t>
  </si>
  <si>
    <t xml:space="preserve"> Supply of labor, materials and expertise for the repair of calibration of injection Pumps (Cummins)  SCOPE OF WORKS: 1.	Pull-down and dismantling of injection pumps/motors. 2.	Replacement of nozzle, injector nozzle, delivery valve, plunger, and other defe</t>
  </si>
  <si>
    <t xml:space="preserve"> Section I. Invitation to Bid Republic of the Philippines PROVINCE OF ZAMBOANGA SIBUGAY Capitol Building, Ipil Heights, Ipil, Zamboanga Sibugay INVITATION TO BID FOR  Repair &amp; Maintenance of Aircondition 	 1.	The Province of Zamboanga Sibugay, through the </t>
  </si>
  <si>
    <t xml:space="preserve"> Please refer to the attached document.</t>
  </si>
  <si>
    <t xml:space="preserve"> 1. ABRASIVE SANDPAPER #150 &amp; 42 OTHERS DELIVERY SITE:  VIGA DPP                          VIGA, CATANDUANES PLEASE SUBMIT REQUIREMENTS: 1	MAYOR’S/BUSINESS PERMIT 2	PhilGEPS REG. NUMBER/CERTIFICATE</t>
  </si>
  <si>
    <t xml:space="preserve"> LGU-AL-29-2020 CONSTRUCTION OF EVACUATION CENTER PHASE II BRGY. KIKILO ABUYOG, LEYTE</t>
  </si>
  <si>
    <t xml:space="preserve"> Package of Office Supplies and Devices</t>
  </si>
  <si>
    <t xml:space="preserve"> 165 m.t. Bituminous Concrete Surface Course (FD-Sandmix) 416 m.t. Bituminous Concrete Surface Course (FD) x-x-x-x-xx-x-x-x-x-x-x-x-x-x-x-x-xxxxxxxxxxxxxxxxxx</t>
  </si>
  <si>
    <t xml:space="preserve"> Straight Contract</t>
  </si>
  <si>
    <t xml:space="preserve"> Invitation to Bid for the Supply and Delivery of various Office Supplies for the use of Brgy. Balagtas, Batangas City</t>
  </si>
  <si>
    <t xml:space="preserve"> Procurement of supply and delivery of Agricultural Supplies and Materials 5400	pc	Empty sacks (50 kg capacity) with seam at the opening end 30	Roll (200 meters/ roll)	Nylon line (for grass cutter), No. 9 (4.5 mm) PR# 2020-36</t>
  </si>
  <si>
    <t xml:space="preserve"> Section I. Invitation to Bid Republic of the Philippines PROVINCE OF ZAMBOANGA SIBUGAY Capitol Building, Ipil Heights, Ipil, Zamboanga Sibugay INVITATION TO BID FOR  1 Unit Floor Mounted Aircon 1.	The Province of Zamboanga Sibugay, through the GF-BY 2020 </t>
  </si>
  <si>
    <t xml:space="preserve"> REHABILITATION OF SOLAR DRYER BRGY. NEW VISAYAS, PANABO CITY  79.68 SQ.M OF CONCRETE SLAB NOTE: PLEASE ATTACHED LINK BELOW ON OHTER INFORMATION FOR MORE REFERENCE.</t>
  </si>
  <si>
    <t xml:space="preserve"> Invitation to Bid for the Supply and Delivery of other Supplies and Materials for the use of Brgy. Balagtas, Batangas City</t>
  </si>
  <si>
    <t xml:space="preserve"> Organic Disinfectant Solution</t>
  </si>
  <si>
    <t xml:space="preserve"> PURCHASE REQUEST			 LGU BUGALLON						 Agency / Procuring Entity						 						 	Department: 		SB		Date:	 						 	Section:				Date:	 						 STOCK 		UNIT	Description	QTY	UNIT COST	AMOUNT NO.						 	1	box	KN 95 Face Mask	15		 	2	gal	Isopropyl Alcohol (Project</t>
  </si>
  <si>
    <t xml:space="preserve"> Section I. Invitation to Bid Republic of the Philippines PROVINCE OF ZAMBOANGA SIBUGAY Capitol Building, Ipil Heights, Ipil, Zamboanga Sibugay INVITATION TO BID FOR  14 Units Printer 1.	The Province of Zamboanga Sibugay, through the General Fund BY 2020 i</t>
  </si>
  <si>
    <t xml:space="preserve"> Section I. Invitation to Bid Republic of the Philippines PROVINCE OF ZAMBOANGA SIBUGAY Capitol Building, Ipil Heights, Ipil, Zamboanga Sibugay INVITATION TO BID FOR  1 Unit Risograph Machine Photocopier 1.	The Province of Zamboanga Sibugay, through the Ge</t>
  </si>
  <si>
    <t xml:space="preserve"> 1	Neoprene Rubber Gasket with Single Ply (Nylon Ply) Size: 1/8”thick x 40” width	25	ft		 2	Neoprene Rubber Gasket with Single Ply (Nylon Ply) Size: ¼” thick x 40” width	25	ft		 3	Neoprene Rubber Gasket with Single Ply (Nylon Ply) Size: ½” thick x 40” widt</t>
  </si>
  <si>
    <t xml:space="preserve"> Section I. Invitation to Bid Republic of the Philippines PROVINCE OF ZAMBOANGA SIBUGAY Capitol Building, Ipil Heights, Ipil, Zamboanga Sibugay INVITATION TO BID FOR  1 Unit Motorcycle 1.	The Province of Zamboanga Sibugay, through the GF BY-2020 intends to</t>
  </si>
  <si>
    <t xml:space="preserve"> Section I. Invitation to Bid Republic of the Philippines PROVINCE OF ZAMBOANGA SIBUGAY Capitol Building, Ipil Heights, Ipil, Zamboanga Sibugay INVITATION TO BID FOR  Brass Cutter 1.	The Province of Zamboanga Sibugay, through the GF-BY 2020 intends to appl</t>
  </si>
  <si>
    <t xml:space="preserve"> Semi Expendable Machinery &amp; Equip-Furniture &amp; Fixture</t>
  </si>
  <si>
    <t xml:space="preserve"> 1,400 bags Thermoplastic Paint (White) 25kg. 200 bags Thermoplastic Paint (Yellow) 25kg. x-x-xx-x-x-x-x-x-x-x-x-xx-x-xxxxxxxxxxxxxxxxx</t>
  </si>
  <si>
    <t xml:space="preserve"> Section I. Invitation to Bid Republic of the Philippines PROVINCE OF ZAMBOANGA SIBUGAY Capitol Building, Ipil Heights, Ipil, Zamboanga Sibugay INVITATION TO BID FOR  Assorted Tires, Batteries, Oil and Fuel Filter, and Other Supplies and Materials for the </t>
  </si>
  <si>
    <t xml:space="preserve"> Section I. Invitation to Bid Republic of the Philippines PROVINCE OF ZAMBOANGA SIBUGAY Capitol Building, Ipil Heights, Ipil, Zamboanga Sibugay INVITATION TO BID FOR  3 Units Aircon, 3 Tons Inverter 1.	The Province of Zamboanga Sibugay, through the General</t>
  </si>
  <si>
    <t xml:space="preserve"> INVITATION TO BID FOR THE CONTRACT ID: 20-06-085 Contract Name: PROCUREMENT OF POLYETHYLENE NET / SCREEN Approved Budget for the Contract (ABC) : Php 1,674,792.00 Cost of Bidding Documents: Php 5,000.00 1. The Department of Health - ZAMBONAGA PENINSULA - </t>
  </si>
  <si>
    <t xml:space="preserve"> Invitation to Bid for the Supply and Delivery of CCTV Camera for the use of Brgy. Balagtas, Batangas City</t>
  </si>
  <si>
    <t xml:space="preserve"> The Government Service Insurance System (GSIS), through the GSIS Corporate Operating Budget for CY 2020, intends to apply the sum of Thirty Four Million Seven Hundred Fifty Thousand Pesos (Php34,750,000.00) being the Approved Budget for the Contract (ABC)</t>
  </si>
  <si>
    <t xml:space="preserve"> MATERIALS 1 pc 8 channel Hikvision DVR 1080p 5 in 1 (2mp tp 5 mp) 8 pcs Hikvision Bullet/Dome CCTV Camera 1080p 2 roll RG-6Siamens wire 1 pc 20Acentralized power supply 1 pc 6TB Seagate hard drive 8 set VIDEO bALUN 8 PCS SQUARE BOX 1 PC MONITOR 1 PC 1.5 M</t>
  </si>
  <si>
    <t xml:space="preserve"> Detailed Estimate		 For the Clearing of Barangay Road 		 at Barangay Portic, Bugallon, Pangasinan		 		 ABC: 30,000.00		 A. Materials		 		 8	Laborer</t>
  </si>
  <si>
    <t xml:space="preserve"> Small Flower Wreaths (small) Medium Flower Wreaths Large Flower Wreaths</t>
  </si>
  <si>
    <t xml:space="preserve"> Republic of the Philippines Province of Cebu MUNICIPALITY OF BANTAYAN INVITATION TO BID FOR SUPPLY &amp; DELIVERY OF ICT &amp; OFFICE EQUIPMENT, SUPPLIES AND CONSUMABLES 1.	The Municipality of Bantayan, through the GENERAL FUND intends to apply the sum of Nine Hu</t>
  </si>
  <si>
    <t xml:space="preserve"> INVITATION TO BID FOR THE CONTRACT ID: 20-06-084 Contract Name: SUPPLY, DELIVERY,INSTALLATION, TESTING AND COMMISSIONING OF VARIOUS MEDICAL EQUIPMENT Approved Budget for the Contract (ABC) : Php 10,840,000.00 Cost of Bidding Documents: Php 25,000.00 1. Th</t>
  </si>
  <si>
    <t xml:space="preserve"> INVITATION TO BID/REQUEST FOR EXPRESSION OF INTEREST The Department of Public Works and Highways (DPWH) Lanao del Norte 1st District Engineering Office, through its Bids and Awards Committee (BAC), is inviting interested consultants/firms with technical e</t>
  </si>
  <si>
    <t xml:space="preserve"> Photo Papers (for IATF Travel Pass and ID's)</t>
  </si>
  <si>
    <t xml:space="preserve"> Toners (6235 code)</t>
  </si>
  <si>
    <t xml:space="preserve"> Republic of the Philippines Province of Cebu MUNICIPALITY OF BANTAYAN INVITATION TO BID FOR SUPPLY &amp; DELIVERY OF LIMESTONES AND FUELS FOR ROAD OPENING AT BRGY. TAMIAO, BANTAYAN, CEBU 1.	The Municipality of Bantayan, through the GENERAL FUND intends to app</t>
  </si>
  <si>
    <t xml:space="preserve"> Invitation to Bid for the Supply and Delivery of  Xerox Machine for the use of Brgy. Sta. Rita Karsada, Batangas City</t>
  </si>
  <si>
    <t xml:space="preserve"> Sticker Papers, A4 size / 50's per pack</t>
  </si>
  <si>
    <t xml:space="preserve"> 1. The Government Service Insurance System (GSIS), through the GSIS Corporate Operating Budget for CY 2020, intends to apply the sum of Twenty Three Million Five Hundred Thousand Pesos (Php23,500,000.00) being the Approved Budget for the Contract (ABC) to</t>
  </si>
  <si>
    <t xml:space="preserve"> Various gauge of Medical Oxygen</t>
  </si>
  <si>
    <t xml:space="preserve"> 50 vial anti-rabies vaccine</t>
  </si>
  <si>
    <t xml:space="preserve"> Section I. Invitation to Bid Republic of the Philippines PROVINCE OF ZAMBOANGA SIBUGAY Capitol Building, Ipil Heights, Ipil, Zamboanga Sibugay INVITATION TO BID FOR  Catering Services for the Conduct of Legislative Sessions Hearings Consultations - Jul. 2</t>
  </si>
  <si>
    <t xml:space="preserve"> The PHILIPPINE SCIENCE HIGH SCHOOL - MIMAROPA REGION CAMPUS (PSHS-MRC) intends to apply the sum of TWO HUNDRED FOUR THOUSAND PESOS (Php204,000.00) being the Approved Budget for the Contract (ABC) to pay for the contract for the Project:SUPPLY AND DELIVERY</t>
  </si>
  <si>
    <t xml:space="preserve"> Section I. Invitation to Bid Republic of the Philippines PROVINCE OF ZAMBOANGA SIBUGAY Capitol Building, Ipil Heights, Ipil, Zamboanga Sibugay INVITATION TO BID FOR  Agricultural Supplies 1.	The Province of Zamboanga Sibugay, through the General Fund BY 2</t>
  </si>
  <si>
    <t xml:space="preserve"> Procurement of On Ground Equipment and Survey Tools for the use of Planning and Design Section, DPWH Iloilo 2nd DEO, Balabag, Dumangas, Iloilo</t>
  </si>
  <si>
    <t xml:space="preserve"> Odor Eliminator Solution</t>
  </si>
  <si>
    <t xml:space="preserve"> 55 pcs PPE 300 pcs hygeine kits 2 pcs 60 watts led bulb 2 pcs 35 watts UV lamp</t>
  </si>
  <si>
    <t xml:space="preserve"> A4 Size Advocacy Stickers "DISIPLINADO AKO" Laminated Water Proof</t>
  </si>
  <si>
    <t xml:space="preserve"> 1 ea 35ft x 40ft Canvass Awning &amp; 5 L/I</t>
  </si>
  <si>
    <t xml:space="preserve"> Procurement of 1 Unit Double Tank Thermoplastic Paint Preheater for Use in the Painting/Repainting of Thermoplastic Pavement Markings along Various National Roads of DPWH Iloilo 2nd DEO, Balabag, Dumangas, Iloilo</t>
  </si>
  <si>
    <t xml:space="preserve"> Benzalconium Chloride Solution (disinfectant)</t>
  </si>
  <si>
    <t xml:space="preserve"> for Crematorium Housing Structure</t>
  </si>
  <si>
    <t xml:space="preserve"> Republic of the Philippines Department of Agriculture BUREAU OF PLANT INDUSTRY 692 San Andres Street Malate, Manila, Philippines E-mail Address: bpibac@yahoo.com Tel. No.: (02) 8526-7859, (02) 8691-0736 | Website: bpi.da.gov.ph SOLICITATION NO.: ITB PR NO</t>
  </si>
  <si>
    <t xml:space="preserve"> CONTRACT NO.: BNLSL-LCB-30-2020 LOCATION: Buli SIP, Bato, Leyte SCOPE OF WORK: Construction of Diversion Works, Canal, Farm Level and Drainage System APPROVED BUDGET FOR CONTRACT: Php 28,252,433.41 CONTRACT DURATION: 360 calendar days Bidding will be cond</t>
  </si>
  <si>
    <t xml:space="preserve"> Various IV Fluids</t>
  </si>
  <si>
    <t xml:space="preserve"> CONTRACT NO.: BNLSL-LCB-31-2020 LOCATION: Bahay SIP, San Miguel, Leyte SCOPE OF WORK: Construction of Pump Works (Package I) APPROVED BUDGET FOR CONTRACT: Php 16,119,108.75 CONTRACT DURATION: 360 calendar days Bidding will be conducted in accordance with </t>
  </si>
  <si>
    <t xml:space="preserve"> 170 ea Water Container (20 ltrs cap) &amp; 2 L/I</t>
  </si>
  <si>
    <t xml:space="preserve"> for Milagrosa Homes Children Playground</t>
  </si>
  <si>
    <t xml:space="preserve"> CONTRACT NO.: BNLSL-LCB-31A-2020 LOCATION: Bahay SIP, San Miguel, Leyte SCOPE OF WORK: Construction of Canal, Farm Level, Drainage and Road System (Package II) APPROVED BUDGET FOR CONTRACT: Php 4,128,455.38 CONTRACT DURATION: 120 calendar days Bidding wil</t>
  </si>
  <si>
    <t xml:space="preserve"> INVITATION TO BID 1.	The Tondo Medical Center (TMC), through the General Appropriations Act/HFEP intends to apply the sum of Three Million Philippine Pesos (PhP 3,000,000.00) being the Approved Budget for the Contract (ABC) to payments under the contract </t>
  </si>
  <si>
    <t xml:space="preserve"> For complete specification, please see attached rfq at the  associate components link or request....</t>
  </si>
  <si>
    <t xml:space="preserve"> INVITATION TO BID 1.	The Tondo Medical Center (TMC), through the General Appropriations Act/HFEP intends to apply the sum of Fifteen Million Philippine Pesos (PhP 15,000,000.00) being the Approved Budget for the Contract (ABC) to payments under the contra</t>
  </si>
  <si>
    <t xml:space="preserve"> Republic of the Philippines MUNICIPALITY OF PAGBILAO Province of Quezon REQUEST FOR QUOTATION The Municipality of Pagbilao, through its Bids and Awards Committee (BAC), will undertake alternative method of Procurement (Shopping 52.1b) for Supply and Deliv</t>
  </si>
  <si>
    <t xml:space="preserve"> to be installed to various locations within Carmona</t>
  </si>
  <si>
    <t xml:space="preserve"> Various Dangerous Drugs</t>
  </si>
  <si>
    <t xml:space="preserve"> Republic of the Philippines Department of Education Region VI – Western Visayas DIVISION OF AKLAN Numancia, Aklan 	 REQUEST FOR QUOTATION (RFQ) Project No: DepED-RO6-D1-COVIDSUPPLIES-046-2020 The Department of Education Division of Aklan, through its Bids</t>
  </si>
  <si>
    <t xml:space="preserve"> Real Property Tax Forms Business Tax Form Sheets Subsidiary Ledgers Market Stall Record Forms</t>
  </si>
  <si>
    <t xml:space="preserve"> Social Case Study Forms Barangay Certification Forms Certificate of Eligibility Forms Animal bite Treatment Center Screening Sheets</t>
  </si>
  <si>
    <t xml:space="preserve"> Republic of the Philippines Department of Education Region VI – Western Visayas DIVISION OF AKLAN Numancia, Aklan 	 REQUEST FOR QUOTATION (RFQ) Project No: DepED-RO6-D1-BRIGAD ESKWELA2020-045-2020 The Department of Education Division of Aklan, through its</t>
  </si>
  <si>
    <t xml:space="preserve"> INVITATION TO BID FOR Procurement of Infra [Road Concreting of F. Dagohoy Circumferential Road (J.A. Clarin St. – C. Darunday St.)] The City Government of Tagbilaran, through the Continuing Appropriation, intends to apply the sum of Twenty Four Million Fo</t>
  </si>
  <si>
    <t xml:space="preserve"> Republic of the Philippines CITY OF PANABO Province of Davao del Norte BIDS AND AWARDS COMMITTEE -o0o- INVITATION TO BID  SUPPLY OF POLO SHIRT 1.	The City of Panabo, through CMO-PMP/OTHER SUPPLIES &amp; MATERIALS EXPENSES-LFP/PMP 2020 intends to apply the sum</t>
  </si>
  <si>
    <t xml:space="preserve"> REPUBLIC OF THE PHILIPPINES PROVINCE OF CEBU MUNICIPALITY OF PINAMUNGAJAN Invitation to Bid for:   PROVISION OF STREET LIGHTINGS (at Brgy. Pandacan) 1.The MUNICIPALITY OF PINAMUNGAJAN, through the GENERAL FUND  intends to apply the sum of THREE  HUNDRED T</t>
  </si>
  <si>
    <t xml:space="preserve"> Republic of the Philippines CITY OF PANABO Province of Davao del Norte BIDS AND AWARDS COMMITTEE -o0o- INVITATION TO BID  SUPPLY OF AIRCONDITIONER, 5TONNER 1.	The City of Panabo, through CPDO-1 UNIT AIRCONDITIONER (FLOOR MOUNTED) CAPITAL OUTLAY/CONT. 2019</t>
  </si>
  <si>
    <t xml:space="preserve"> REPUBLIC OF THE PHILIPPINES Province of CEBU MUNICIPALITY OF PINAMUNGAJAN                                    INVITATION TO BID FOR : 	                              IMPROVEMENT OF MUNICIPAL PLAZA 			(Supply of Painting Materials &amp; Supplies)     		 			     </t>
  </si>
  <si>
    <t xml:space="preserve"> REQUEST FOR QUOTATION Date: ____________ Name of Dealer: ____________ Address: ____________ GENTLEMEN: Please quote your lowest price and indicate shortest delivery date of articles herein below enumerated and return the same in SEALED ENVELOPE together w</t>
  </si>
  <si>
    <t xml:space="preserve"> Republic of the Philippines CITY OF PANABO Province of Davao del Norte BIDS AND AWARDS COMMITTEE -o0o- INVITATION TO BID  SUPPLY OF CONSOLIDATED OFFICE SUPPLIES FOR 2ND QUARTER CY 2020 (REBID) 1.	The City of Panabo, through VARIOUS OFFICES 2ND QUARTER MOO</t>
  </si>
  <si>
    <t xml:space="preserve"> CAREER DAY FOR POBLACION KIDS</t>
  </si>
  <si>
    <t xml:space="preserve"> FEELING PASKO SA POBLACION</t>
  </si>
  <si>
    <t xml:space="preserve"> REPUBLIC OF THE PHILIPPINES PROVINCE OF CEBU MUNICIPALITY OF PINAMUNGAJAN Invitation to Bid for:    SLOPE PROTECTION  (Purok Caimito, Brgy. Camugao) 1.  The MUNICIPALITY OF PINAMUNGAJAN, through the GENERAL FUND  intends to apply the sum of FOUR  HUNDRED </t>
  </si>
  <si>
    <t xml:space="preserve"> REQUEST FOR QUOTATION (RFQ) (Alternative Method – Shopping 52.1b) The Department of Education - Division of City Schools - City of San Jose del Monte, Bulacan (DepED - CSJDM), through its Bids and Awards Committee, intends to apply the sum of Php. 58,000.</t>
  </si>
  <si>
    <t xml:space="preserve"> 1 Lot CONSTRUCTION SUPPLIES AND MATERIALS</t>
  </si>
  <si>
    <t xml:space="preserve"> SAMPIRO LIVELIHOOD FESTIVAL</t>
  </si>
  <si>
    <t xml:space="preserve"> HELP:HONING AND EDUCATING LEADERS OF POBLACION</t>
  </si>
  <si>
    <t xml:space="preserve"> Anti-Dengue Solution; 2.5ec a.i Delthamitrin 25% Dillution Chemical</t>
  </si>
  <si>
    <t xml:space="preserve"> REQUEST FOR QUOTATION (RFQ) (Alternative Method – Shopping 52.1b) The Department of Education - Division of City Schools - City of San Jose del Monte, Bulacan (DepED - CSJDM), through its Bids and Awards Committee, intends to apply the sum of Php. 53,000.</t>
  </si>
  <si>
    <t xml:space="preserve"> General Cleaning of 22 Air-Conditioning units of SSS Bacoor Branch for the 3rd and 4th quarter of 2020 List of Requirements: 1. BIR 2303 2. Philgeps Registration Number/Certificate 3. Business/Mayor's Permit 4. Omnibus Sworn Statement 5. Accomplished RFQ/</t>
  </si>
  <si>
    <t xml:space="preserve"> DALOY NG KASAYSAYN POBLACION RIVER CRUISE</t>
  </si>
  <si>
    <t xml:space="preserve"> Various Medical and Laboratory Supplies</t>
  </si>
  <si>
    <t xml:space="preserve"> GIVING IN FAMILY TOGETHER (GIFT)</t>
  </si>
  <si>
    <t xml:space="preserve"> GI Pipe 4" sch. 40- 4pcs.  GI Pipe 2" sch. 40 - 8pcs GI Pipe 1 1/2" sch. 40- 4 pcs. GI Pipe 1" sch. 40- 2pcs.  Steel Plate 1/2" x 6" x 6" -2pcs Steel Plate 1/4" x 5" x5" - 8pcs.  Roller Wheel (HD)- 8pcs Machine Bolt 7/8" x 2" - 32 pcs.  Grinding Disc- 10 </t>
  </si>
  <si>
    <t xml:space="preserve"> To print tarpaulin for school announcements</t>
  </si>
  <si>
    <t xml:space="preserve"> MUSIK LABAN</t>
  </si>
  <si>
    <t xml:space="preserve"> Section I. Invitation to Bid Republic of the Philippines Province of Romblon  Invitation to Bid for the  Repair of Sitio Sinongtan Bridge Brgy. Lanas, San Jose, Romblon June 15, 2020  1.	The Province of Romblon through the CY 2019 ADP Ref. Code 8000-1-01-</t>
  </si>
  <si>
    <t xml:space="preserve"> RFQ No. 2020-06-007 The Obando Water District (OWD), through its Bids and Awards Committee (BAC), invites reputable supplier to submit their quotation Shopping of 40 units of Monobloc Chair with an Approved Budget for the Contract (ABC) of Sixteen Thousan</t>
  </si>
  <si>
    <t xml:space="preserve"> Section I. Invitation to Bid Republic of the Philippines Province of Romblon  Invitation to Bid for the  Completion of Cajidiocan Sports Complex Concrete Bleacher Cajidiocan, Romblon June 15, 2020 1.	The Province of Romblon through the CY 2019 ADP REF. CO</t>
  </si>
  <si>
    <t xml:space="preserve"> Section I. Invitation to Bid Republic of the Philippines Province of Romblon  Invitation to Bid for the  Construction of Perimeter Fence (Phase I) for the Bureau of Jail Management and Penology (BJMP) Facility at Barangay Lonos (Sitio Wireless) Romblon, R</t>
  </si>
  <si>
    <t xml:space="preserve"> ENVIRONMENTAL AWARENESS AND EDUCATION REPUBLIC ACT 9512 OF 2008</t>
  </si>
  <si>
    <t xml:space="preserve"> EDUCATION SUMMIT</t>
  </si>
  <si>
    <t xml:space="preserve"> Section I. Invitation to Bid Republic of the Philippines Province of Romblon  Invitation to Bid for the  Concrete Paving of Provincial Road to Public Cemetery (Additional Fund), Looc, Romblon June 15, 2020  1.	The Province of Romblon through the SP Res. N</t>
  </si>
  <si>
    <t xml:space="preserve"> Section I. Invitation to Bid Republic of the Philippines Province of Romblon  Invitation to Bid for the  Repair of Sitio Tinap-an Bridge Brgy. Lanas, San Jose, Romblon June 15, 2020  1.	The Province of Romblon through the CY 2019 ADP Ref. Code 8000-1-01-0</t>
  </si>
  <si>
    <t xml:space="preserve"> 5 ea RF-5800M HH Battery Pack &amp; 9 L/I</t>
  </si>
  <si>
    <t xml:space="preserve"> REPAIR &amp; IMPROVEMENT OF ADMIN BUILDING</t>
  </si>
  <si>
    <t xml:space="preserve"> Procurement of Material for the Rehabilitation and Installation of Streetlights</t>
  </si>
  <si>
    <t xml:space="preserve"> Section I. Invitation to Bid Republic of the Philippines Province of Romblon  Invitation to Bid for the  Concrete Paving of Farm to Market Road, Cambalo, Cajidiocan, Romblon June 15, 2020  1.	The Province of Romblon through the ADP CY 2020 AIP Ref. Code 8</t>
  </si>
  <si>
    <t xml:space="preserve"> Provision of 160 pax Meals, Snacks and Accommodation for the conduct of Business Plan Preparation and Business Management Training in Region 1 		Meals, Snacks and Accommodation for 3 days		 		Batch 1 (Ilocos Norte); Php144,000.00		 				 		Menu:		 40	pax	D</t>
  </si>
  <si>
    <t xml:space="preserve"> INVITATION TO APPLY FOR ELIGIBILITY AND TO BID THE BIDS AND AWARD COMMITTEE OF THE MUNICIPALITY OF CAIBIRAN, BILIRAN IS INVITING ALL INTERESTED BIDDERS ON ITS FORTH COMING PUBLIC BIDDING FOR:   Project Title	: Drainage Construction along General Luna St. </t>
  </si>
  <si>
    <t xml:space="preserve"> Section I. Invitation to Bid Republic of the Philippines Province of Romblon  Invitation to Bid for the  Completion of Food Court    Poblacion, Cajidiocan, Romblon June 15, 2020  1.	The Province of Romblon through the ADP CY 2020 AIP Ref. Code 8000-1-01-0</t>
  </si>
  <si>
    <t xml:space="preserve"> Republic of the Philippines MUNICIPALITY OF CABUGAO Ilocos Sur Invitation to Bid for the Construction of Multi-Purpose Drying Pavement (MPDP) @ Brgy. Bato, Cabugao, Ilocos Sur 1. The Local Government Unit of Cabugao, Ilocos Sur, through the R.A. 7171 thru</t>
  </si>
  <si>
    <t xml:space="preserve"> The Municipality of Bindoy, through the Municipal Unutilized &amp; Realigned 20% DF – Revised) intends to apply the sum of Two Million Six Hundred Eighty Eight Thousand Two Hundred Forty Pesos (P 2,688,240.00) being the Approved Budget for the Contract (ABC) </t>
  </si>
  <si>
    <t xml:space="preserve"> 2 unit   2 HP  window type  AC</t>
  </si>
  <si>
    <t xml:space="preserve"> Purchase of Construction Supplies</t>
  </si>
  <si>
    <t xml:space="preserve"> Section I. Invitation to Bid Republic of the Philippines Province of Romblon  Invitation to Bid for the  Concrete Paving of Poblacion-Jao-asan Provincial Road, Magdiwang, Romblon June 15, 2020  1.	The Province of Romblon through the ADP CY 2020 AIP Ref. C</t>
  </si>
  <si>
    <t xml:space="preserve"> Section I. Invitation to Bid Republic of the Philippines Province of Romblon  Invitation to Bid for the  Concrete Paving of Farm to Market Road, Gutivan, Cajidiocan, Romblon June 15, 2020  1.	The Province of Romblon through the ADP CY 2020 AIP Ref. Code 8</t>
  </si>
  <si>
    <t xml:space="preserve"> Republic of the Philippines MUNICIPALITY OF CABUGAO Ilocos Sur Invitation to Bid for the Construction of Multi-Purpose Building @ Brgy. Carusipan (Proper), Cabugao, Ilocos Sur 1. The Local Government Unit of Cabugao, Ilocos Sur, through the R.A. 7171 thru</t>
  </si>
  <si>
    <t xml:space="preserve"> Republic of the Philippines MUNICIPALITY OF CABUGAO Ilocos Sur Invitation to Bid for the Construction of Multi-Purpose Drying Pavement (MPDP) @ Brgy. Quezon, Cabugao, Ilocos Sur 1. The Local Government Unit of Cabugao, Ilocos Sur, through the R.A. 7171 th</t>
  </si>
  <si>
    <t xml:space="preserve"> Section I. Invitation to Bid Republic of the Philippines Province of Romblon  Invitation to Bid for the  Construction of Maternity Half-Way House, San Jose District Hospital, Poblacion, San Jose, Romblon June 15, 2020 1.	The Province of Romblon through th</t>
  </si>
  <si>
    <t xml:space="preserve"> Republic of the Philippines MUNICIPALITY OF CABUGAO Ilocos Sur Invitation to Bid for the Concreting of Farm to Market Road @ Brgy. Pug-os (Balay-oac), Cabugao, Ilocos Sur 1. The Local Government Unit of Cabugao, Ilocos Sur, through the R.A. 7171 thru Appr</t>
  </si>
  <si>
    <t xml:space="preserve"> Republic of the Philippines MUNICIPALITY OF CABUGAO Ilocos Sur Invitation to Bid for the Improvement of Water System @ Cabugao, Ilocos Sur 1. The Local Government Unit of Cabugao, Ilocos Sur, through the R.A. 7171 thru Appropriation Ordinance No. 2019-04 </t>
  </si>
  <si>
    <t xml:space="preserve"> Republic of the Philippines										 BIDS AND AWARDS COMMITTEE										 Baguio City										 (074) 300-6537/ (074)442-8795										 BID FORM										 CP No. 2020-38 Bidding										June 11, 2020 Circular Proposal No.										Date Prepared The City </t>
  </si>
  <si>
    <t xml:space="preserve"> Purchase of School Supplies</t>
  </si>
  <si>
    <t xml:space="preserve"> Republic of the Philippines MUNICIPALITY OF CABUGAO Ilocos Sur Invitation to Bid for the Construction of Slope Protection @ Brgy. Quezon, Cabugao, Ilocos Sur 1. The Local Government Unit of Cabugao, Ilocos Sur, through the R.A. 7171 thru Appropriation Ord</t>
  </si>
  <si>
    <t xml:space="preserve"> Please see attached file..</t>
  </si>
  <si>
    <t xml:space="preserve"> Invitation to Apply for Eligibility and to Bid Republic of the Philippines Municipality of  Roseller T. Lim Construction of Concrete Pavement at Public Market Area 									June  10, 2020 1.	The Municipality of Roseller T. Lim, through its 20% Economic De</t>
  </si>
  <si>
    <t xml:space="preserve"> Purchase of Garden Tools and DRRM Materials</t>
  </si>
  <si>
    <t xml:space="preserve"> Invitation to Apply for Eligibility and to Bid Republic of the Philippines Municipality of  Roseller T. Lim Concreting of Rerouting Road From Legislative to In Front of MSWD Office - Phase I 									June  10, 2020 1.	The Municipality of Roseller T. Lim, </t>
  </si>
  <si>
    <t xml:space="preserve"> 1 lot JSTOR Archival Collection Subscription Inclusion: 24/7 Access Unlimited simultaneous usage Institutional Access (IP Based)/Remote Access Product training and orientation Marketing collaterals Usage Report On-call support from Solutions specialists F</t>
  </si>
  <si>
    <t xml:space="preserve"> Purchase of Janitorial Supplies</t>
  </si>
  <si>
    <t xml:space="preserve"> Acquisition of Massage Therapy Machine</t>
  </si>
  <si>
    <t xml:space="preserve"> Republic of the Philippines										 BIDS AND AWARDS COMMITTEE										 Baguio City										 (074) 300-6537/ (074)442-8795										 BID FORM										 CP No. 2020-37 Bidding										June 11, 2020 Circular Proposal No.										Date Prepared The City </t>
  </si>
  <si>
    <t xml:space="preserve"> Republic of the Philippines MUNICIPALITY OF CABUGAO Ilocos Sur Invitation to Bid for the Concreting of Farm to Market Road @ Brgy. Pug-os (Inanama Sur), Cabugao, Ilocos Sur 1. The Local Government Unit of Cabugao, Ilocos Sur, through the R.A. 7171 thru Ap</t>
  </si>
  <si>
    <t xml:space="preserve"> Republic of the Philippines MUNICIPALITY OF CABUGAO Ilocos Sur Invitation to Bid for the Concreting of Farm to Market Road @ Brgy. Pug-os (Inanama Norte), Cabugao, Ilocos Sur 1. The Local Government Unit of Cabugao, Ilocos Sur, through the R.A. 7171 thru </t>
  </si>
  <si>
    <t xml:space="preserve"> Supplies and Materials for MV Repair and Maintenance</t>
  </si>
  <si>
    <t xml:space="preserve"> 6 pcs. Tires/flap/tube/ 8.25x20 westlake</t>
  </si>
  <si>
    <t xml:space="preserve"> Procurement of Office Table and Chair</t>
  </si>
  <si>
    <t xml:space="preserve"> Acquisition of Streetlights</t>
  </si>
  <si>
    <t xml:space="preserve"> ITEM	QTY.	UNIT		ARTICLE AND DESCRIPTION				CEILING 					UNIT PRICE		TOTAL  								PRICE							 				Office: Office of the Mayor				PR No. 437							 				Charge to: Other Supplies and Materials Expenses				OBR No. 100-2003-01846							 				ABC:  Php309,745</t>
  </si>
  <si>
    <t xml:space="preserve"> Acquisition of Documentation Camera</t>
  </si>
  <si>
    <t xml:space="preserve"> Supply and Delivery of Other Common Office Supplies</t>
  </si>
  <si>
    <t xml:space="preserve"> Acquisition of Laptop and Printer</t>
  </si>
  <si>
    <t xml:space="preserve"> Acquisition of Additional CCTV</t>
  </si>
  <si>
    <t xml:space="preserve"> Procurement of Office Supplies and Materials for CY 2020</t>
  </si>
  <si>
    <t xml:space="preserve"> Procurement of Medicine and other Medical Supplies</t>
  </si>
  <si>
    <t xml:space="preserve"> ITEM	QTY.	UNIT		ARTICLE AND DESCRIPTION				CEILING 					UNIT PRICE		TOTAL  								PRICE							 				Office: Office of the Mayor				PR No. 438							 				Charge to: Other Supplies and Materials Expenses				OBR No. 100-2003-01847							 				ABC:  Php463,690</t>
  </si>
  <si>
    <t xml:space="preserve"> Waste Supplies and Materials</t>
  </si>
  <si>
    <t xml:space="preserve"> Peace and Order Supplies and Consumables</t>
  </si>
  <si>
    <t xml:space="preserve"> ITEM	QTY.	UNIT		ARTICLE AND DESCRIPTION				CEILING 					UNIT PRICE		TOTAL  								PRICE							 				Office: City Planning and Development Office				PR No. 424							 				Charge to: Office Supplies Expenses				OBR No. 100-2002-01339							 				ABC:  Php400</t>
  </si>
  <si>
    <t xml:space="preserve"> 1.	The Department of Trade and Industry, through the Integrated Natural Resources and Environmental Management Project – Livelihood Enhancement Support 2 (INREMP-LES 2 ) under the Asian Development Bank (ADB) Funding intends to apply the sum of One Millio</t>
  </si>
  <si>
    <t xml:space="preserve"> 1.	The Department of Trade and Industry, through the Integrated Natural Resources and Environmental Management Project – Livelihood Enhancement Support 2 (INREMP-LES 2) under Asian Development Bank (ADB) Funding intends to apply the sum of Ninety Thousand</t>
  </si>
  <si>
    <t xml:space="preserve"> 1.	The Department of Trade and Industry, through the Integrated Natural Resources and Environmental Management Project – Livelihood Enhancement Support 2 (INREMP-LES 2) under Asian Development Bank (ADB) Funding intends to apply the sum of One Hundred Twe</t>
  </si>
  <si>
    <t xml:space="preserve"> Procurement of Portable Toilet for Barangay South Triangle</t>
  </si>
  <si>
    <t xml:space="preserve"> 1.	The Department of Trade and Industry, through the Integrated Natural Resources and Environmental Management Project – Livelihood Enhancement Support 2 (INREMP-LES 2) under Asian Development Bank (ADB) Funding intends to apply the sum of Eighty Thousand</t>
  </si>
  <si>
    <t xml:space="preserve"> 1.	The Department of Trade and Industry, through the Integrated Natural Resources and Environmental Management Project – Livelihood Enhancement Support 2 (INREMP-LES 2 ) under the Asian Development Bank (ADB) Funding intends to apply the sum of Three Hund</t>
  </si>
  <si>
    <t xml:space="preserve"> Perfume Making Program</t>
  </si>
  <si>
    <t xml:space="preserve"> ITEM	QTY.	UNIT		ARTICLE AND DESCRIPTION				CEILING 					UNIT PRICE		TOTAL  								PRICE							 				Office: Department of Tourism, Culture and Arts of Manila				PR No. 713							 				Charge to: Other Supplies and Materials Expenses				OBR No. 100-2005-045</t>
  </si>
  <si>
    <t xml:space="preserve"> 1.	The Department of Trade and Industry, through the Integrated Natural Resources and Environmental Management Project – Livelihood Enhancement Support 2 (INREMP-LES 2 ) under the Asian Development Bank (ADB) Funding intends to apply the sum of Six Hundre</t>
  </si>
  <si>
    <t xml:space="preserve"> 1.	The Department of Trade and Industry, through the Integrated Natural Resources and Environmental Management Project – Livelihood Enhancement Support 2 (INREMP-LES 2) under Asian Development Bank (ADB) Funding intends to apply the sum of Seven Hundred N</t>
  </si>
  <si>
    <t xml:space="preserve"> ITEM	QTY.	UNIT		ARTICLE AND DESCRIPTION				CEILING 					UNIT PRICE		TOTAL  								PRICE							 				Office: Department of Tourism, Culture and Arts of Manila				PR No. 714							 				Charge to: Other Supplies and Materials Expenses				OBR No. 100-2005-045</t>
  </si>
  <si>
    <t xml:space="preserve"> Republic of the Philippines COMMISSION ON AUDIT Quezon City	REQUEST FOR QUOTATION Procurement And Property &amp; Supply Management Services, General Services Office	 Date Prepared: June 12, 2020 Supplier     :______________________ Address      :_____________</t>
  </si>
  <si>
    <t xml:space="preserve"> 1.	The Department of Trade and Industry, through the Integrated Natural Resources and Environmental Management Project – Livelihood Enhancement Support 2 (INREMP-LES 2) under Asian Development Bank (ADB) Funding intends to apply the sum of Four Hundred Th</t>
  </si>
  <si>
    <t xml:space="preserve"> 1 UNIT WINDOW TYPE AIRCON 1.5 HP 1 UNIT FLOOR STANDING INVERTER AIRCON 3.5 HP</t>
  </si>
  <si>
    <t xml:space="preserve"> Procurement of Drug Testing Kits</t>
  </si>
  <si>
    <t xml:space="preserve"> 1.	The Department of Trade and Industry, through the Integrated Natural Resources and Environmental Management Project – Livelihood Enhancement Support 2 (INREMP-LES 2) under Asian Development Bank (ADB) Funding intends to apply the sum of Three Hundred N</t>
  </si>
  <si>
    <t xml:space="preserve"> 1.	The Department of Trade and Industry, through the Integrated Natural Resources and Environmental Management Project – Livelihood Enhancement Support 2 (INREMP-LES 2) under Asian Development Bank (ADB) Funding intends to apply the sum of Two Hundred Eig</t>
  </si>
  <si>
    <t xml:space="preserve"> Republic of the Philippines PROVINCE OF ZAMBALES IBA BIDS AND AWARD COMMITTEE Invitation to Bid for the Asphalt overlay of road in front of the Provincial Capitol including part of Iba-Sta. Barbara Road 1.	The Province of Zambales, through the 20% Economi</t>
  </si>
  <si>
    <t xml:space="preserve"> ITEM	QTY.	UNIT		ARTICLE AND DESCRIPTION				CEILING 					UNIT PRICE		TOTAL  								PRICE							 															 				Office: Department of Tourism, Culture and Arts of Manila				PR No. 716							 				Charge to: Office Supplies Expenses				OBR No. 100-2005-</t>
  </si>
  <si>
    <t xml:space="preserve"> Embankment of Earth Dike at Sitio Liki Section</t>
  </si>
  <si>
    <t xml:space="preserve"> GI Pipe 2" schedule 40, 12pcs Epoxy Primer, 1gal Gloss Enamel, 1gal Roller brush, 2pcs Paint Thinner, 1gal Six Pack Care Exercise, 2pcs Sky Linker AB Glider Generator, 2pcs M7 Electric Treadmill, 1pc Indoor Upright Stationary wire, 2pcs COD 3in 1 Exercise</t>
  </si>
  <si>
    <t xml:space="preserve"> Various Gardening Supplies  10 UNI Pruning Shears, 7, Japan Made  200 PC Bag plastic, black (FOR PLANT PROPAGATION 5" X 8")  50 PAK Compost Soil  31 PC Shovel  100 PC Water Sprinkler (rotary)  20 PC Rake for Gardening  2 UNI Wheel Barrow  -In accordance w</t>
  </si>
  <si>
    <t xml:space="preserve"> 1	pc.	Epson Printer , L3110 1	pc.	External CD reader 1	pc.	Numeric keypad</t>
  </si>
  <si>
    <t xml:space="preserve"> computer consumables</t>
  </si>
  <si>
    <t xml:space="preserve"> Section I. Invitation to Re-Bid Republic of the Philippines Province of Romblon  Invitation to Bid for the  Riprapping of Provincial Road Poblacion, Sta. Fe, Romblon June 15, 2020  1.	The Province of Romblon through the SP Res. No. 09-2019-60 dated Septem</t>
  </si>
  <si>
    <t xml:space="preserve"> 25 SETS OF DISINFECT SAFETY MAT 20 SETS OF ALCOHOL DISPENSING WITH PEDAL</t>
  </si>
  <si>
    <t xml:space="preserve"> Water Pump 2Hp Gould Pump, 1box PE hose 1" 100m, 2roll PE 3/4 100m, 2roll PE hose 1/2 100m, 2roll PE coupling 1", 20pcs PE coupling 3/4, 20pcs PE coupling 1/2, 20pcs Reducer 3/4 1/2, 10pcs Reducer 1x1/2 10, 10pcs Coupling Reducer 1 x 3/4,  10pcs T 1x3/4 ,</t>
  </si>
  <si>
    <t xml:space="preserve"> 10W Nissan DT/SHG-279 10.00 x 20 Rib Eye Tire 10.00 x 20 Interior Tube 10.00 x 20 Lug Type Tire Labor Cost: 6W Nissan DT/SFY-351 8.25 x 20 Rib Eye Tire 8.25 x 20 Interior Tube 8.20 x 20 Lug Type Tire Labor Cost:</t>
  </si>
  <si>
    <t xml:space="preserve"> Nissan 10W DT/SHG-280 10.00 x 20 Rib Type Tire 10.00 x 20 Interior Tube 10.00 x 20 Lug Type Tire Labor Cost: Isuzu Firework / SGR-968 &amp; Man Rosenbauer FT Eng. 2D MF Battery Labor Cost: JCB Backhoe Loader Hydraulic Assy Menzi Muck Excavator Hydraulic Oil 6</t>
  </si>
  <si>
    <t xml:space="preserve"> Office Supplies &amp; Consumables</t>
  </si>
  <si>
    <t xml:space="preserve"> See attach rfq</t>
  </si>
  <si>
    <t xml:space="preserve"> Isuzu Crosswind/SKP-997 (DepEd) Motor Oil Oil Filter Clutch Cover Clutch Disc Release Bearing Upper Balljoint Lower Balljoint Shock Absorber PMS, Change Oil Check/Repair Alternator Repair Underchassis Clean Brakes Isuzu Crosswind/SKP-969  Motor Oil Oil Fi</t>
  </si>
  <si>
    <t xml:space="preserve"> Nissan 10W DT/SHG-276 10.00 x 20 Rib Type Tire 10.00 x 20 Interior Tube 10.00 x 20 Lug Type Tire Labor Cost: 6W Isuzu DT/DT #12 3SM Battery Motor Oil Fuel Filter Oil Filter Air Filter Starter Switch Labor Cost:</t>
  </si>
  <si>
    <t xml:space="preserve"> Nissan 10W/SFY-352 10.00 x 20 Rib Type Tire 10.00 x 20 Interior Tube 10.00 x 20 Lug Type Tire Clutch Booster Assy Brake Fluids Labor Cost: Isuzu Manlift Room Truck/CS-0301 IC Regulator Bearing Fan Belt Oil Seal Check &amp; Repair Back Engine &amp; Main Engine Alt</t>
  </si>
  <si>
    <t xml:space="preserve"> Republic of the Philippines Province of Northern Samar MUNICIPALITY OF BOBON -oo0oo- BIDS AND AWARDS COMMITTEE INVITATION TO APPLY FOR ELIGIBILITY AND TO BID The Municipal Government of Bobon, Northern Samar through its Bids and Awards Committee (BAC) inv</t>
  </si>
  <si>
    <t xml:space="preserve"> Nissan 10W DT/SFY-353 10.00 x 20 Lug Type Tire 10.00 x 20 Interior Tube Labor Cost: HBM Motor Grader/ BG 110T - 5 # 2 Motor Oil (Main &amp; Back) Labor Cost: Nissan DT/SFY-351 Side Mirror</t>
  </si>
  <si>
    <t xml:space="preserve"> 29 cu.m Boulders 14 sets 1m x 1m x 2m Gabions incl. Tie wires</t>
  </si>
  <si>
    <t xml:space="preserve"> Section I. Invitation to Bid Republic of the Philippines Province of Romblon  Invitation to Bid for the  Repair/Rehabilitation of Main Building and Completion of Wards at Tablas Island District Hospital (TIDH) San Agustin, Romblon June 15, 2020 1.	The Pro</t>
  </si>
  <si>
    <t xml:space="preserve"> Garnite Tiles 60x60, 150pcs Sliding Window, 8sets Flatwall Nalcrete Paint White, 4Balde Gloss Nalcrete Paint White, 4Balde Panel Door, 3pcs Adhesive Cement, 20bags Cement, 20bags</t>
  </si>
  <si>
    <t xml:space="preserve"> 75 pieces 15 watts LED Bulb 45 pieces Receptacle Rubber 10 rolls Electrical Tape (big) 2 rolls  # 6 Duplex wire 6 box THHN H12 2 unit megaphone</t>
  </si>
  <si>
    <t xml:space="preserve"> NOTICE TO BIDDERS 	The Department of Public Works and Highways (DPWH), Dinagat Islands District Engineering Office, will procure through SHOPPING METHOD from accredited &amp; eligible suppliers /manufacturers/ distributors/contractors the procurement for the </t>
  </si>
  <si>
    <t xml:space="preserve"> Stone masonry of newly concreted barangay road.</t>
  </si>
  <si>
    <t xml:space="preserve"> Description Republic of the Philippines  City of Danao BIDS AND AWARDS COMMITTEE INVITATION TO APPLY FOR ELIGIBILITY AND TO BID INFRASTRUCTURE PROJECTS IN THE CITY OF DANAO Construction of Evacuation Center at Barangay Sabang, Danao City The City Governme</t>
  </si>
  <si>
    <t xml:space="preserve"> Concreting of Barangay Road Station 2</t>
  </si>
  <si>
    <t xml:space="preserve"> Republic of the Philippines Danao City BIDS AND AWARDS COMMITTEE 	 REQUEST FOR QUOTATION The Local Government of Danao City, through the City Mayors Office intends to apply the sum of Php114,000.00 being the Approved Budget for the Contract (ABC) to payme</t>
  </si>
  <si>
    <t xml:space="preserve"> Republic of the Philippines Bangsamoro Autonomous Region in Muslim Mindanao Provincial Government of Maguindanao BIDS AND AWARDS COMMITTEE INVITATION TO BID FOR CONSTRUCTION OF PIGKALAGAN – MATENGEN ROAD 1. The Provincial Government of Maguindanao, throug</t>
  </si>
  <si>
    <t xml:space="preserve"> THERMOGUN ALCOHOL</t>
  </si>
  <si>
    <t xml:space="preserve"> 1.	The Department of Trade and Industry, through the Integrated Natural Resources and Environmental Management Project – Livelihood Enhancement Support 2 (INREMP-LES 2) under Asian Development Bank (ADB) Funding intends to apply the sum of Six Hundred Sev</t>
  </si>
  <si>
    <t xml:space="preserve"> 1.	The Department of Trade and Industry, through the Integrated Natural Resources and Environmental Management Project – Livelihood Enhancement Support 2 (INREMP-LES 2 ) under the Asian Development Bank (ADB) Funding intends to apply the sum of One Hundre</t>
  </si>
  <si>
    <t xml:space="preserve"> Republic of the Philippines					 Province of Pangasinan 					 Municipality of Bolinao					 					 REQUEST FOR QUOTATION (RFQ)					 					 Company Name:  				Date:	15-Jun-20 					 Address:					 					       Please quote your lowest price on the item/s listed </t>
  </si>
  <si>
    <t xml:space="preserve"> TILING, WINDOWS, PAINTING, PLUMBING</t>
  </si>
  <si>
    <t xml:space="preserve"> 1.	The Department of Trade and Industry, through the Integrated Natural Resources and Environmental Management Project – Livelihood Enhancement Support 2 (INREMP-LES 2) under Asian Development Bank (ADB) Funding intends to apply the sum of One Million Thr</t>
  </si>
  <si>
    <t xml:space="preserve"> 1.	The Department of Trade and Industry, through the Integrated Natural Resources and Environmental Management Project – Livelihood Enhancement Support 2 (INREMP-LES 2) under Asian Development Bank (ADB) Funding intends to apply the sum of Seven Hundred S</t>
  </si>
  <si>
    <t xml:space="preserve"> 1.	The Department of Trade and Industry, through the Integrated Natural Resources and Environmental Management Project – Livelihood Enhancement Support 2 (INREMP-LES 2) under Asian Development Bank (ADB) Funding intends to apply the sum of Six Hundred Twe</t>
  </si>
  <si>
    <t xml:space="preserve"> 20 boxes Vicryl 1, Taper 12's  20 boxes Vicryl 2/0 Rapide, 12's  10 boxes 2/0 Cutting, 12's</t>
  </si>
  <si>
    <t xml:space="preserve"> Section I. Invitation to Re-Bid Republic of the Philippines Province of Romblon  Invitation to Bid for the  Slope/Shore Protection of Barangay Pandan, Sta. Fe, Romblon June 15, 2020  1.	The Province of Romblon through the PDRRMP CY 2020 Ref. Code 3000-1-0</t>
  </si>
  <si>
    <t xml:space="preserve"> -Paper, printer, inks and others for learner's worksheets -Disinfectant and protective materials to avoid the spread of virus</t>
  </si>
  <si>
    <t xml:space="preserve"> Supply and Delivery of Generator</t>
  </si>
  <si>
    <t xml:space="preserve"> Section I. Invitation to Re-Bid Republic of the Philippines Province of Romblon  Invitation to Bid for the  Slope Protection at Sitio Bagulayag, Tubigon, Ferrol, Romblon June 15, 2020  1.	The Province of Romblon through the ADP CY 2020 AIP Ref. Code 8000-</t>
  </si>
  <si>
    <t xml:space="preserve"> 400 pieces Cartolina (White) and others</t>
  </si>
  <si>
    <t xml:space="preserve"> Republic of the Philippines Bangsamoro Autonomous Region in Muslim Mindanao Provincial Government of Maguindanao BIDS AND AWARDS COMMITTEE INVITATION TO BID FOR OPENING/REHABILITATION OF FARM TO MARKET ROAD 1. The Provincial Government of Maguindanao, thr</t>
  </si>
  <si>
    <t xml:space="preserve"> 1.	The Department of Trade and Industry, through the Integrated Natural Resources and Environmental Management Project – Livelihood Enhancement Support 2 (INREMP-LES 2 ) under the Asian Development Bank (ADB) Funding intends to apply the sum of Ninety Tho</t>
  </si>
  <si>
    <t xml:space="preserve"> 1.	The Department of Trade and Industry, through the Integrated Natural Resources and Environmental Management Project – Livelihood Enhancement Support 2 (INREMP-LES 2) under Asian Development Bank (ADB) Funding intends to apply the sum of Six Hundred Eig</t>
  </si>
  <si>
    <t xml:space="preserve"> Republic of the Philippines Bangsamoro Autonomous Region in Muslim Mindanao Provincial Government of Maguindanao BIDS AND AWARDS COMMITTEE INVITATION TO BID FOR CONCRETING OF REBUKEN ROAD – TESDA ROAD 1. The Provincial Government of Maguindanao, through t</t>
  </si>
  <si>
    <t xml:space="preserve"> Section I. Invitation to Re-Bid Republic of the Philippines Province of Romblon  Invitation to Bid for the  Construction of River Walk/Promenade, Poblacion, Madiwang, Romblon June 15, 2020 1.	The Province of Romblon through the ADP CY 2020 AIP Ref. Code 8</t>
  </si>
  <si>
    <t xml:space="preserve"> Republic of the Philippines Bangsamoro Autonomous Region in Muslim Mindanao Provincial Government of Maguindanao BIDS AND AWARDS COMMITTEE INVITATION TO BID FOR CONSTRUCTION OF MAGNO – BRGY. RENTI ROAD 1. The Provincial Government of Maguindanao, through </t>
  </si>
  <si>
    <t xml:space="preserve"> Section I. Invitation to Re-Bid Republic of the Philippines Province of Romblon  Invitation to Bid for the  Completion of Educ’l Facilities (Completion of Stage) at Tampayan Elementary School Magdiwang, Romblon June 15, 2020  1.	The Province of Romblon th</t>
  </si>
  <si>
    <t xml:space="preserve"> The Department of Agriculture-RFO 3, invites interested suppliers to submit quotations/proposals for the hereunder requirement, to wit:  	 	OPV Seeds	 5	Can	Tomato (50 grams/can) Semi determinate, fruits matures at 55-60 DAS tolerant to heat and cracking	</t>
  </si>
  <si>
    <t xml:space="preserve"> Section I. Invitation to Re-Bid Republic of the Philippines Province of Romblon  Invitation to Bid for the  Repair/Improvement of Brgy. Water System Bachawan, San Agustin, Romblon June 15, 2020  1.	The Province of Romblon through the ADP CY 2020 AIP Ref. </t>
  </si>
  <si>
    <t xml:space="preserve"> Republic of the Philippines Province of Palawan Municipal Government of Quezon INVITATION FOR NEGOTIATED PROCUREMENT  PROCUREMENT OF OFFICE SUPPLIES FOR DIFFERENT OFFICES 1.	In view of three (3) failed public biddings, the Municipal Government of Quezon, </t>
  </si>
  <si>
    <t xml:space="preserve"> Invitation to Bid for CONSTRUCTION OF WATER SYSTEM LEVEL III WITH RESERVOIR AND DISTRIBUTION LINE CONNECT TO CENTRAL MAGUINDANAO INTEGRATED WATER SYSTEM 1.	The Municipality of Datu Piang, through the MPW-BARMM CY 2019 Water Supply System Project   intends</t>
  </si>
  <si>
    <t xml:space="preserve"> The Cotabato Irrigation Management Office, through its Bids and Awards Committee (BAC), intends to procure  the Supply and Delivery of Spare Part for Loader/Backhoe Case 480F  in accordance with Section 53.9 (Small Value Procurement) of the 2016 Revised I</t>
  </si>
  <si>
    <t xml:space="preserve"> BIDS AND AWARDS COMMITTEE – INFORMATION TECHNOLOGY INFRASTRUCTURE AND OTHER RELATED COMPONENTS INVITATION TO BID 1.	The Bangko Sentral ng Pilipinas (BSP), through its Bids and Awards Committee – Information Technology, Infrastructure and Other Related Com</t>
  </si>
  <si>
    <t xml:space="preserve"> Republic of the Philippines Bangsamoro Autonomous Region in Muslim Mindanao Provincial Government of Maguindanao BIDS AND AWARDS COMMITTEE INVITATION TO BID FOR CONSTRUCTION OF SENDITAN - SAMBOLAWAN ROAD 1. The Provincial Government of Maguindanao, throug</t>
  </si>
  <si>
    <t xml:space="preserve"> - Paper, printer, and other learner supplies for worksheets reproduction - COVID19 prevention materials  - Medicines</t>
  </si>
  <si>
    <t xml:space="preserve"> The Department of Agriculture-RFO 3, invites interested suppliers to submit quotations/proposals for the hereunder requirement, to wit: 1	Unit	Upright Chiller, 11 cu.ft. Glass Door, Showcase Chiller with 7-level temperature control,double glass door with </t>
  </si>
  <si>
    <t xml:space="preserve"> Section I. Invitation to Re-Bid Republic of the Philippines Province of Romblon  Invitation to Bid for the  Site Development for Municipal Housing Project at Brgy. Poblacion San Agustin, Romblon June 15, 2020  1.	The Province of Romblon through the ADP CY</t>
  </si>
  <si>
    <t xml:space="preserve"> Cordless phone duo (2 sets)</t>
  </si>
  <si>
    <t xml:space="preserve"> Republic of the Philippines Bangsamoro Autonomous Region in Muslim Mindanao Provincial Government of Maguindanao BIDS AND AWARDS COMMITTEE INVITATION TO BID FOR CONSTRUCTION OF TUDOK - PALAO ROAD 1. The Provincial Government of Maguindanao, through the An</t>
  </si>
  <si>
    <t xml:space="preserve"> The Department of Agriculture-RFO 3, invites interested suppliers to submit quotations/proposals for the hereunder requirement, to wit: 20	Bottle	Potato Dextrose Agar , for isolation and enumeration of yeasts and molds from dairy and other food products (</t>
  </si>
  <si>
    <t xml:space="preserve"> The Department of Agriculture-RFO 3, invites interested suppliers to submit quotations/proposals for the hereunder requirement, to wit:  	 	Vegetable Seeds 6	Pouch	Okra,OPV, 1kg/pouch 6	Pouch	Petchay, white stem, matures at 30-45 days,tolerant to Diamond </t>
  </si>
  <si>
    <t xml:space="preserve"> Please quote your lowest price inclusive of VAT on the item/s listed below, subject to the Terms and Conditions of this RFQ, and submit your quotation duly signed by your representative not later than June 18, 2020 at Bids and Awards Committee of BFAR 8, </t>
  </si>
  <si>
    <t xml:space="preserve"> Republic of the Philippines Region 10 – Northern Mindanao Province of Lanao del Norte MUNICIPALITY OF BALO-I Email: mlgubaloi.ldn@gmail.com Office of the Bids and Awards Committee Invitation to Bid 1.The Local Government Unit of Balo-i, Lanao del Norte, t</t>
  </si>
  <si>
    <t xml:space="preserve"> Description	Qty	Unit  Black Printer Ink	24	Bottle/s Blue Printer Ink	1	Bottle/s Bond Paper ( Long)	55	Reams Bond Paper (Short)	21	Reams Clear Book Long ( Violet)	1	Piece/s Construction Paper Long ( Asstd)	4	Reams Correction Tape	2	Piece/s Double Sided Tap</t>
  </si>
  <si>
    <t xml:space="preserve"> Name of the Procuring Entity 					Project Reference No.                              				 					      Name of the Project:  Purchase of Tents and Materials for Repair of MDRRM Tents				 									 				              Location of the Project :Looc,Romblon					</t>
  </si>
  <si>
    <t xml:space="preserve"> Fabrication Works Delivery Works Installation Works Painting Works Clearing Works</t>
  </si>
  <si>
    <t xml:space="preserve"> The Cotabato Irrigation Management Office, through its Bids and Awards Committee (BAC), intends to procure  the Supply and Delivery of Spare Part for UD Nissan Dump Truck  in accordance with Section 53.9 (Small Value Procurement) of the 2016 Revised Imple</t>
  </si>
  <si>
    <t xml:space="preserve"> The Department of Agriculture-RFO 3, invites interested suppliers to submit quotations/proposals for the hereunder requirement, to wit:          180 	Pairs	 Boots, (Rubber Boots/Rain Boots Waterproof), made from rubber or Polyvinyl chloride (PVC)         </t>
  </si>
  <si>
    <t xml:space="preserve"> The Department of Agriculture-RFO 3, invites interested suppliers to submit quotations/proposals for the hereunder requirement, to wit:  	 	Installation of Automatic Transfer Switch of Genset for Backup Power System of Regional Crop Protection Center 1	Is</t>
  </si>
  <si>
    <t xml:space="preserve"> The Department of Agriculture-RFO 3, invites interested suppliers to submit quotations/proposals for the hereunder requirement, to wit: 1500	Pieces	Seedling Tray (104 holes)  	 	   	 	   	 	Other Requirements  	 	Delivery Site: CLIARC UPLAND, Magalang Pam</t>
  </si>
  <si>
    <t xml:space="preserve"> 1. materials 6	pcs. 	100mmx6.00m. G.I. pipe sched. 40		 10	pcs. 	12mmx6.00m.COTT. BARS		 58	BAGS	GRAND PORTLAND CEMENT		 35	CU.M.	SAND to include delivery		 7.0	CU.M.	# 3/4 GRAVEL to include delievry		 32	pcs. 	2X 1/4	ANGLE BAR (STANDARD)	 25	pcs. 	1X 1/4</t>
  </si>
  <si>
    <t xml:space="preserve"> 20 units Andorid Tablet, 10.1 Inches, 2GB/16GB			 Minimum Specifications:			 Atleast MediaTek Helio P22T Quad-core processor or Qualcomm			 Atleast PowerVR GE8320 GPU			 Atleast 2GB LPDDR4X RAM or Higher			 10.1-inch IPS LCD display, 1920×1200 resolution,</t>
  </si>
  <si>
    <t xml:space="preserve"> Motorcycle 150i scooter Specifications: Engine type: 150cc(single cylinder 4 stroke SOHC, Liquid cooled Rear tire 100/80-14M/C46P Wheelbase 1,280mm Displacement 150cc Power 13hp Strat option:electric Bore X stroke:57.3x57.9mm</t>
  </si>
  <si>
    <t xml:space="preserve"> Items Listed are Supplies and Instructional Materials to be used by Pangantucan National High School for the First Quarter.</t>
  </si>
  <si>
    <t xml:space="preserve"> The Department of Agriculture-RFO 3, invites interested suppliers to submit quotations/proposals for the hereunder requirement, to wit:  	 	Hybrid Seeds 205	sachet	Tomato (190 seeds) Matures at 55-60 DAT,TYLCV tolerant with bigger fruits &amp; high yielding 1</t>
  </si>
  <si>
    <t xml:space="preserve"> EDUCATIONAL SUPPLIES AND MATERIALS</t>
  </si>
  <si>
    <t xml:space="preserve"> (see Associated Components for details)</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</si>
  <si>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</si>
  <si>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EDUCATIONAL SUPPLIES AND CONSUMABLES</t>
  </si>
  <si>
    <t xml:space="preserve"> 1	Unit	Laptop w/ Accessories:  Processor: Intel Core i5-8265U Processor (6M Cache, up to 3.90GHz Memory: 4GB DDR4-2400 DRAM (1x4GB) Storage: 1 TB 5400RPM SATA HDD Operating System: Windows 10 Battery: 3 cell Display: 14” diagonal FHD IPS micro edge WLED b</t>
  </si>
  <si>
    <t xml:space="preserve"> Invitation to Bid for CY 2020 QRF Repair &amp; Rehabilitation Program 1.	The Department of Education – Division of Samar, through the General Appropriations Act ( GAA ) CY 2020 intends to apply the sum of Twenty Five Million Five Hundred Eighty Seven Thousand</t>
  </si>
  <si>
    <t xml:space="preserve"> ITEM #	QUANTITY			ITEM &amp; DESCRIPTION					 									 1	20	reams		Bond paper, S-20, 8.5x11"					 2	10	sets		Ink refill for Brother copier					 3	10	sets		Ink refill for Epson printer, T6641, T6642, T6643, T6644					 4	10	boxes		Ball pen, 25's, black					 5	</t>
  </si>
  <si>
    <t xml:space="preserve"> Labor and materials</t>
  </si>
  <si>
    <t xml:space="preserve"> Supply and Delivery of Materials to be used in IT Equipment</t>
  </si>
  <si>
    <t xml:space="preserve"> Labor and Materials</t>
  </si>
  <si>
    <t xml:space="preserve"> see Purchase Request</t>
  </si>
  <si>
    <t xml:space="preserve"> ITEM #	QUANTITY			ITEM &amp; DESCRIPTION					 									 1	66	pcs		Fire extinguisher refill and service charge					 				*****END****</t>
  </si>
  <si>
    <t xml:space="preserve"> Republic of the Philippines Province of Ilocos Norte MUNICIPALITY OF PINILI REQUEST FOR QUOTATION PIN2020-077 The Municipality of Pinili invites all interested registered suppliers to submit quotations for:   1 LOT  =	SUPPLY OF ONE (1) UNIT HEAVY DUTY COP</t>
  </si>
  <si>
    <t xml:space="preserve"> Outdoor Projector White Screen Resolution : XGA Pixel Count: 1024 x 768 Aspect Ratio: 4:3 Lumens (Normal) : 5000 Lumens (Eco): 3800 VGA: 2 Composite: 1 Monitor Out: 1 (shared) HDMI: 2 (1 MHL) Audio in: 1 RCA/2 Mini USB A: 1 USB B: 1 LAN: 1 Wireless: Optio</t>
  </si>
  <si>
    <t xml:space="preserve"> RFQ -SUPPLY INSTALLATION AND ACTIVATION  OF THE  CCTV LINE FOR THE CITY DISASTER RISK REDUCTION MANAGEMENT OFFICE</t>
  </si>
  <si>
    <t xml:space="preserve"> ITEM #	QUANTITY			ITEM &amp; DESCRIPTION					 									 1	40	reams		Bond paper, S-20, short					 2	100	reams		Bond paper, S-20,long					 3	10	boxes		Sign pen, 0.7, black, 12's, good quality					 4	5	boxes		Letter envelope w/o window, white, long, 500's					 5</t>
  </si>
  <si>
    <t xml:space="preserve"> SUPPLY AND DELIVERY OF SEMI-EXPENDABLE OFFICE EQUIPMENTS</t>
  </si>
  <si>
    <t xml:space="preserve"> ITEM #	QUANTITY			ITEM &amp; DESCRIPTION					 									 1	5	pcs		Scotch tape, 1", big, good quality					 2	5	pcs		White board marker, black					 3	5	pcs		Marker, permanent, black					 4	5	pcs		Masking tape, 1", big, good quality					 5	70	reams		Bond paper, S</t>
  </si>
  <si>
    <t xml:space="preserve"> 1.	The Department of Education, Schools Division Office of Albay, through the General Appropriations Act of 2019 or Continuing Appropriations intends to apply the sum of Nine Hundred Thirty Eight Thousand, Three Hundred Pesos (Php 938,300.00) being the Ap</t>
  </si>
  <si>
    <t xml:space="preserve"> ITEM #	QUANTITY			ITEM &amp; DESCRIPTION					 									 1	100	bottles		Ethyl alcohol, 70% solution with moisturizer, 500ml					 2	20	packs		Tissue paper, 3 ply, 12's					 3	40	bottles		Dishwashing liquid, 500ml					 4	20	pcs		Scour pad with sponge, large					</t>
  </si>
  <si>
    <t xml:space="preserve"> Please see ASSOCIATED COMPONENTS for details</t>
  </si>
  <si>
    <t xml:space="preserve"> SUPPLY AND DELIVERY OF SEMI-EXPENDABLE ICT EQUIPMENT</t>
  </si>
  <si>
    <t xml:space="preserve"> for the distribution to the constituents during Pandemic CORONA VIRUS 17 sacks Rice 10 bags   Plastic bag</t>
  </si>
  <si>
    <t xml:space="preserve"> Please see attached RFQ...</t>
  </si>
  <si>
    <t xml:space="preserve"> REQUEST FOR QUOTATION No. 2020-323                                                                                                                                 	   Request Reference Number: 100-20-05-165         Date: June 15, 2020 Pursuant to R.A. 918</t>
  </si>
  <si>
    <t xml:space="preserve"> ITEM #	QUANTITY			ITEM &amp; DESCRIPTION					 									 1	50	bottles		Liniment oil, 12ml					 2	50	bottles		Hydrogen peroxide, 500ml					 3	50	bottles		Povidone iodine 500ml					 4	10	pcs		Oxygen tank regulator					 5	50	pcs		Oxygen cannula adult					 6	50	pc</t>
  </si>
  <si>
    <t xml:space="preserve"> RFQ-SUPPLY AND DELIVERY OF GENERAL MDSE- EMS DUTY VEST WITH REFLECTORIZED PRINT</t>
  </si>
  <si>
    <t xml:space="preserve"> RFQ - SUPPLY DELIVERY AND INSTALLATION OF INVERTER 2 HP SPLIT TYPE AIRCONDITIONING UNIT FOR THE CITY HEALTH OFFICE</t>
  </si>
  <si>
    <t xml:space="preserve"> for the distributions to the constituents of the Barangay 17 sacks    Rice 10 bags     Plastic bag</t>
  </si>
  <si>
    <t xml:space="preserve"> NATIONAL TRANSMISSION CORPORATION RESOURCE MANAGEMENT SERVICES GROUP TransCo Annex Bldg., Diliman, Quezon City Tel. No. 902-1521/Fax No. 914-6209 SUPPLIER’S TECHNICAL/PRICE QUOTATION FORM (NEGOTIATED PROCUREMENT: SMALL VALUE PROCUREMENT) REFERENCE NO.:  G</t>
  </si>
  <si>
    <t xml:space="preserve"> REQUEST FOR QUOTATION No. 2020-338                                                                                                                                 	   Request Reference Number: 100-20-05-243         Date: June 15, 2020 Pursuant to R.A. 918</t>
  </si>
  <si>
    <t xml:space="preserve"> REQUEST FOR QUOTATION No. 2020-333                                                                                                                                 	   Request Reference Number: 100-20-06-281         Date: June 15, 2020 Pursuant to R.A. 918</t>
  </si>
  <si>
    <t xml:space="preserve"> ITEM #	QUANTITY			ITEM &amp; DESCRIPTION					 									 1	12	gal		Multi-purpose disinfectant					 2	1	pcs		Tornado mop, ZT 11 or its equivalent					 3	6	pcs		Trash bin w/ pedal, black, 22L capacity, slim					 4	12	canister		Air freshener spray 275ml					 5	12</t>
  </si>
  <si>
    <t xml:space="preserve"> ITEM #	QUANTITY			ITEM &amp; DESCRIPTION					 									 1	5	units		Megaphone					 2	10	units		Flashlight, night shadow					 3	10	units		Fire extinguisher, dry chemical ABC, 10lbs					 				*****END*****</t>
  </si>
  <si>
    <t xml:space="preserve"> Supply &amp; Delivery of other supplies and materials 01D Aux &amp; HES F24-2020 Kindly see attached file. Thank you!</t>
  </si>
  <si>
    <t xml:space="preserve"> REQUEST FOR QUOTATION No. 2020-343                                                                                                                                 	   Request Reference Number: 100-20-03-140         Date: June 15, 2020 Pursuant to R.A. 918</t>
  </si>
  <si>
    <t xml:space="preserve"> ITEM #	QUANTITY			ITEM &amp; DESCRIPTION					 									 1	2	units		Power sprayer 3HP with complete accessories					 2	4	rolls		Hose, 100m					 				*****END*****</t>
  </si>
  <si>
    <t xml:space="preserve"> 1	Low Bed Truck Specifications: 1. Engine 1.1 19,688cc, V Type, 355hp 1.2 8 cylinder 1.3 7 Speed Manual Transmission 1.4 12 wheeler 2. Self-Loader Body and Cabin 2.1 Self Loader with sliding body 2.2 Non-skid heavy duty wood flooring with side mounted hoo</t>
  </si>
  <si>
    <t xml:space="preserve"> Republic of the Philippines Department of Education Region VI – Western Visayas DIVISION OF AKLAN Poblacion, Numancia, Aklan INVITATION TO BID Project No.: DepED-RO6-D1-2020QRF(REPAIR)-C2-019-2020 The Department of Education (DepED) Division of Aklan, thr</t>
  </si>
  <si>
    <t xml:space="preserve"> Procurement of various materials with installation of CCTV Fiber Optic</t>
  </si>
  <si>
    <t xml:space="preserve"> ITEM #	QUANTITY			ITEM &amp; DESCRIPTION					 									 1	20	rolls		Garbage bag, medium, 10's					 2	20	rolls		Garbage bag, large, 10's					 3	50	rolls		Garbage bag, 2XL, 10's					 4	50	rolls		Garbage bag, 3XL, 10's					 5	50	canister		Disinfectant spray, 340</t>
  </si>
  <si>
    <t xml:space="preserve"> ITEM #	QUANTITY			ITEM &amp; DESCRIPTION					 									 1	2	units		Projector					 				Resolution — Native: XGA (1024 x 768)					 				Resolution — Maximum:  WUXGA (1920 x 1200)					 				Display Technology:  DLP					 				Video Standard Compatibility:   NTSC, PA</t>
  </si>
  <si>
    <t xml:space="preserve"> INDUSTRIAL TECHNOLOGY DEVELOPMENT INSTITUTE DOST Cmpd., Bicutan, Taguig City Telephone Nos. (02) 837-20-71 to 82 local 2221 E-mail Add.: itdi.admbac@gmail.com INVITATION TO BID June 14, 2020 Sir/Madam: Please quote your price for the item/items listed bel</t>
  </si>
  <si>
    <t xml:space="preserve"> ITEM #	QUANTITY			ITEM &amp; DESCRIPTION					 									 				Meals for launching Oplan Ligtas na Pamayanan:					 1	124	pax		Breakfast: Chicken, chopsuey, rice, bottled softdrinks 250ml					 2	48	pax		Merienda: Pancit, sandwich, bottled water					 3	48	pax		Lun</t>
  </si>
  <si>
    <t xml:space="preserve"> Supply and Delivery of 10pcs Water Resistant 2-way Radio with extra 2 pcs battery</t>
  </si>
  <si>
    <t xml:space="preserve"> ITEM #	QUANTITY			ITEM &amp; DESCRIPTION					 									 				Printing of:					 1	10	reams		Prescription pad, 1/2 short					 2	5	reams		NTP lab request form, short					 3	20	reams		Prescription pad, 1/4 long					 4	30	reams		Clinical record, long					 5	3	reams</t>
  </si>
  <si>
    <t xml:space="preserve"> Provision of Security Services for eleven (11) Security Guards   within DENR-PENRO Quezon for six months starting July-December for CY-2020, distributed as follows:   1. PENR Office         - 3 Security Guards   2. CENRO Tayabas    - 2 Security Guards-   </t>
  </si>
  <si>
    <t xml:space="preserve"> ITEM #	QUANTITY			ITEM &amp; DESCRIPTION					 									 				Food/meals					 									 				Day 1					 1	30	pax		Breakfast: Rice, beef tapa, fruits coffee					 2	30	pax		Snack AM: Spaghetti, toasted bread, bottled water 350ml					 3	30	pax		Lunch: Fried fish, t</t>
  </si>
  <si>
    <t xml:space="preserve"> ITEM #	QUANTITY			ITEM &amp; DESCRIPTION					 									 				Hygiene Supplies/Kit					 1	30	packs		  Shampoo, 8pcs, 15ml sachet					 2	30	packs		  Regular bath soap, 60g, 2pcs					 3	30	packs		  Laundry powder, 30g, 4pcs					 4	30	packs		  Alcohol, small, 1pc	</t>
  </si>
  <si>
    <t xml:space="preserve"> Republic of the Philippines PROVINCE OF NUEVA VIZCAYA Municipality of Aritao BIDS AND AWARDS COMMITTEE ITB-BONE SOUTH ES SLOPE PROTECTION-20-06-01 INVITATION TO BID FOR CONSTRUCTION OF SLOPE PROTECTION At Bone South Elementary School (Main), Bone South, A</t>
  </si>
  <si>
    <t xml:space="preserve"> Provision of Janitorial  Services for seven (7)  Utility men/women  within DENR-PENRO Quezon for six months starting July-December for CY-2020, distributed as follows:   1. PENR Office             -  3   2. CENRO Tayabas        -  1   3. CENRO Real       </t>
  </si>
  <si>
    <t xml:space="preserve"> Republic of the Philippines Department of Education Region VI – Western Visayas DIVISION OF AKLAN Poblacion, Numancia, Aklan INVITATION TO BID Project No.: DepED-RO6-D1-2020QRF(REPAIR)-C5-022-2020 The Department of Education (DepED) Division of Aklan, thr</t>
  </si>
  <si>
    <t xml:space="preserve"> Republic of the Philippines Department of Education Region VI – Western Visayas DIVISION OF AKLAN Poblacion, Numancia, Aklan INVITATION TO BID Project No.: DepED-RO6-D1-2020QRF(REPAIR)-C4-021-2020 The Department of Education (DepED) Division of Aklan, thr</t>
  </si>
  <si>
    <t xml:space="preserve"> Republic of the Philippines Department of Education Region VI – Western Visayas DIVISION OF AKLAN Poblacion, Numancia, Aklan INVITATION TO BID Project No.: DepED-RO6-D1-2020QRF(REPAIR)-C10-027-2020 The Department of Education (DepED) Division of Aklan, th</t>
  </si>
  <si>
    <t xml:space="preserve"> Republic of the Philippines Department of Education Region VI – Western Visayas DIVISION OF AKLAN Poblacion, Numancia, Aklan INVITATION TO BID Project No.: DepED-RO6-D1-2020QRF(REPAIR)-C6-023-2020 The Department of Education (DepED) Division of Aklan, thr</t>
  </si>
  <si>
    <t xml:space="preserve"> Republic of the Philippines Department of Education Region VI – Western Visayas DIVISION OF AKLAN Poblacion, Numancia, Aklan INVITATION TO BID Project No.: DepED-RO6-D1-2020QRF(REPAIR)-C9-026-2020 The Department of Education (DepED) Division of Aklan, thr</t>
  </si>
  <si>
    <t xml:space="preserve"> PURCHASE OF OFFICES SUPPLIES FOR THE REPRODUCTION OF IM'S IN PREPARATION FOR THE OPENING OF SCHOOL YEAR ON AUGUST 24, 2020, IN WHICH FACE-FACE INSTRUCTION IS WAIVED DUE TO COVID-19 PANDEMIC (BONDPAPER, STAPLER, STAPLE WIRE, INK)</t>
  </si>
  <si>
    <t xml:space="preserve"> Republic of the Philippines Department of Education Region VI – Western Visayas DIVISION OF AKLAN Poblacion, Numancia, Aklan INVITATION TO BID Project No.: DepED-RO6-D1-2020QRF(REPAIR)-C8-025-2020 The Department of Education (DepED) Division of Aklan, thr</t>
  </si>
  <si>
    <t xml:space="preserve"> Republic of the Philippines Department of Education Region VI – Western Visayas DIVISION OF AKLAN Poblacion, Numancia, Aklan INVITATION TO BID Project No.: DepED-RO6-D1-2020QRF(REPAIR)-C3-020-2020 The Department of Education (DepED) Division of Aklan, thr</t>
  </si>
  <si>
    <t xml:space="preserve"> Republic of the Philippines Department of Education Region VI – Western Visayas DIVISION OF AKLAN Poblacion, Numancia, Aklan INVITATION TO BID Project No.: DepED-RO6-D1-2020QRF(REPAIR)-C7-024-2020 The Department of Education (DepED) Division of Aklan, thr</t>
  </si>
  <si>
    <t xml:space="preserve"> Republic of the Philippines Department of Education Region VI – Western Visayas DIVISION OF AKLAN Poblacion, Numancia, Aklan INVITATION TO BID Project No.: DepED-RO6-D1-2020QRF(REPAIR)-C18-035-2020 The Department of Education (DepED) Division of Aklan, th</t>
  </si>
  <si>
    <t xml:space="preserve"> Republic of the Philippines Province of Surigao del Sur Municipality of Lanuza INVITATION TO BID  PROCUREMENT OF HARDWARE MATERIALS FOR CONSTRUCTION OF 83.95 LM. OPEN CANAL ALONG THE NATIONAL HIGHWAY AT ZONE II, LANUZA SURIGAO DEL SUR 1.	The Local Governm</t>
  </si>
  <si>
    <t xml:space="preserve"> Republic of the Philippines Department of Education Region VI – Western Visayas DIVISION OF AKLAN Poblacion, Numancia, Aklan INVITATION TO BID Project No.: DepED-RO6-D1-2020QRF(REPAIR)-C11-028-2020 The Department of Education (DepED) Division of Aklan, th</t>
  </si>
  <si>
    <t xml:space="preserve"> Republic of the Philippines Department of Education Region VI – Western Visayas DIVISION OF AKLAN Poblacion, Numancia, Aklan INVITATION TO BID Project No.: DepED-RO6-D1-2020QRF(REPAIR)-C17-034-2020 The Department of Education (DepED) Division of Aklan, th</t>
  </si>
  <si>
    <t xml:space="preserve"> Supply and Delivery of Diesel at NIA PRIS, Peñablanca, Cagayan</t>
  </si>
  <si>
    <t xml:space="preserve"> Republic of the Philippines Department of Education Region VI – Western Visayas DIVISION OF AKLAN Poblacion, Numancia, Aklan INVITATION TO BID Project No.: DepED-RO6-D1-2020QRF(REPAIR)-C15-032-2020 The Department of Education (DepED) Division of Aklan, th</t>
  </si>
  <si>
    <t xml:space="preserve"> Other machineries and Equipment/motor vehicle</t>
  </si>
  <si>
    <t xml:space="preserve"> Republic of the Philippines Department of Education Region VI – Western Visayas DIVISION OF AKLAN Poblacion, Numancia, Aklan INVITATION TO BID Project No.: DepED-RO6-D1-2020QRF(REPAIR)-C12-029-2020 The Department of Education (DepED) Division of Aklan, th</t>
  </si>
  <si>
    <t xml:space="preserve"> Republic of the Philippines Department of Education Region VI – Western Visayas DIVISION OF AKLAN Poblacion, Numancia, Aklan INVITATION TO BID Project No.: DepED-RO6-D1-2020QRF(REPAIR)-C13-030-2020 The Department of Education (DepED) Division of Aklan, th</t>
  </si>
  <si>
    <t xml:space="preserve"> Republic of the Philippines Department of Education Region VI – Western Visayas DIVISION OF AKLAN Poblacion, Numancia, Aklan INVITATION TO BID Project No.: DepED-RO6-D1-2020QRF(REPAIR)-C16-033-2020 The Department of Education (DepED) Division of Aklan, th</t>
  </si>
  <si>
    <t xml:space="preserve"> SUPPLY AND DELIVERY OF VARIOUS ICT EQUIPMENT</t>
  </si>
  <si>
    <t xml:space="preserve"> Republic of the Philippines Department of Education Region VI – Western Visayas DIVISION OF AKLAN Poblacion, Numancia, Aklan INVITATION TO BID Project No.: DepED-RO6-D1-2020QRF(REPAIR)-C21-038-2020 The Department of Education (DepED) Division of Aklan, th</t>
  </si>
  <si>
    <t xml:space="preserve"> Republic of the Philippines Department of Education Region VI – Western Visayas DIVISION OF AKLAN Poblacion, Numancia, Aklan INVITATION TO BID Project No.: DepED-RO6-D1-2020QRF(REPAIR)-C14-031-2020 The Department of Education (DepED) Division of Aklan, th</t>
  </si>
  <si>
    <t xml:space="preserve"> Republic of the Philippines Department of Education Region VI – Western Visayas DIVISION OF AKLAN Poblacion, Numancia, Aklan INVITATION TO BID Project No.: DepED-RO6-D1-2020QRF(REPAIR)-C20-037-2020 The Department of Education (DepED) Division of Aklan, th</t>
  </si>
  <si>
    <t xml:space="preserve"> Republic of the Philippines Province of Surigao del Sur Municipality of Lanuza INVITATION TO BID  PROCUREMENT OF HARDWARE MATERIALS FOR PROPOSED NURSERY ESTABLISHMENT 1.	The Local Government Unit of Lanuza, through the People’s Survival Fund Projects inte</t>
  </si>
  <si>
    <t xml:space="preserve"> NOTICE TO THE PUBLIC REQUEST FOR PROPOSAL Purchase Request No: PUR20-05-0391  The Philippine General Hospital hereby informs the public that it will be procuring the following item/s through Small Value Procurement:				 PUR20-05-0391 - DPPS							 							</t>
  </si>
  <si>
    <t xml:space="preserve"> Republic of the Philippines Department of Education Region VI – Western Visayas DIVISION OF AKLAN Poblacion, Numancia, Aklan INVITATION TO BID Project No.: DepED-RO6-D1-2020QRF(REPAIR)-C19-036-2020 The Department of Education (DepED) Division of Aklan, th</t>
  </si>
  <si>
    <t xml:space="preserve"> Republic of the Philippines Department of Education Region VI – Western Visayas DIVISION OF AKLAN Poblacion, Numancia, Aklan INVITATION TO BID Project No.: DepED-RO6-D1-2020QRF(REPAIR)-C22-039-2020 The Department of Education (DepED) Division of Aklan, th</t>
  </si>
  <si>
    <t xml:space="preserve"> SUPPLY AND DELIVERY OF SEMI-EXPENDABLE OFFICE EQUIPMENT</t>
  </si>
  <si>
    <t xml:space="preserve"> Republic of the Philippines Department of Education Region VI – Western Visayas DIVISION OF AKLAN Poblacion, Numancia, Aklan INVITATION TO BID Project No.: DepED-RO6-D1-2020QRF(REPAIR)-C27-044-2020 The Department of Education (DepED) Division of Aklan, th</t>
  </si>
  <si>
    <t xml:space="preserve"> Republic of the Philippines Department of Education Region VI – Western Visayas DIVISION OF AKLAN Poblacion, Numancia, Aklan INVITATION TO BID Project No.: DepED-RO6-D1-2020QRF(REPAIR)-C24-041-2020 The Department of Education (DepED) Division of Aklan, th</t>
  </si>
  <si>
    <t xml:space="preserve"> Republic of the Philippines Department of Education Region VI – Western Visayas DIVISION OF AKLAN Poblacion, Numancia, Aklan INVITATION TO BID Project No.: DepED-RO6-D1-2020QRF(REPAIR)-C26-043-2020 The Department of Education (DepED) Division of Aklan, th</t>
  </si>
  <si>
    <t xml:space="preserve"> Republic of the Philippines Province of Davao De Oro 		Municipality of Compostela BARANGAY SIOCON BIDS AND AWARDS COMMITTEE CP #: 09101906158 INVITATION FOR SMALL VALUE PROCUREMENT. 2020-07-009 SVP #009 1.	The Barangay Siocon through its Bids and Awards C</t>
  </si>
  <si>
    <t xml:space="preserve"> Republic of the Philippines Department of Education Region VI – Western Visayas DIVISION OF AKLAN Poblacion, Numancia, Aklan INVITATION TO BID Project No.: DepED-RO6-D1-2020QRF(REPAIR)-C25-042-2020 The Department of Education (DepED) Division of Aklan, th</t>
  </si>
  <si>
    <t xml:space="preserve"> Republic of the Philippines Province of Surigao del Sur Municipality of Lanuza INVITATION TO BID  PROCUREMENT OF HABAL-HABAL MINI SPAREPARTS STORE WITH CARWASH WELDING AND VULCANIZING SHOP AT BARANGAY MAMPI, LANUZA, SURIGAO DEL SUR  1.	The Local Governmen</t>
  </si>
  <si>
    <t xml:space="preserve"> Republic of the Philippines Department of Education Region VI – Western Visayas DIVISION OF AKLAN Poblacion, Numancia, Aklan INVITATION TO BID Project No.: DepED-RO6-D1-2020QRF(REPAIR)-C23-040-2020 The Department of Education (DepED) Division of Aklan, th</t>
  </si>
  <si>
    <t xml:space="preserve"> NOTICE TO THE PUBLIC REQUEST FOR PROPOSAL Purchase Request No: PUR20-03-0248 The Philippine General Hospital hereby informs the public that it will be procuring the following item/s through Small Value Procurement: 192 gallon   Alcohol, ethyl 70%  P 400.0</t>
  </si>
  <si>
    <t xml:space="preserve"> For the use of City Health Office - Animal Bit Section 500 box insulin syringe 0.5cc 50U, g.29x1/2", 100's 15 box latex exam gloves, large, non-sterile, powder free, 100's 50 box latex exam gloves, medium, non-sterile, powder free, 100's 20 box latex exam</t>
  </si>
  <si>
    <t xml:space="preserve"> NOTICE TO THE PUBLIC REQUEST FOR QUOTATION Purchase Request No: PUR20-05-0443 The Philippine General Hospital hereby informs the public that it will be procuring the following item/s through SHOPPING 10,637 bottle Alcohol P 59.00 &gt; 68-72% ethanol (ethyl) </t>
  </si>
  <si>
    <t xml:space="preserve"> Republic of the Philippines						 Province of Cebu						 Municipality of Alcantara						 						 STATEMENT OF BUDGETARY REQUIREMENT						 						 Name of Project	 	        : Repairs and Maintenance of Fire Truck 				 Location		                : Poblacion Al</t>
  </si>
  <si>
    <t xml:space="preserve"> Republic of the Philippines Province of Davao De Oro 		Municipality of Compostela BARANGAY SIOCON BIDS AND AWARDS COMMITTEE CP #: 09101906158 INVITATION FOR SMALL VALUE PROCUREMENT. 2020-07-008 SVP #008 1.	The Barangay Siocon through its Bids and Awards C</t>
  </si>
  <si>
    <t xml:space="preserve"> NOTICE TO THE PUBLIC REQUEST FOR PROPOSAL Purchase Request No: PUR20-06-0456 The Philippine General Hospital hereby informs the public that it will be procuring the following item/s through Small Value Procurement: 20 case Pre-disinfectant with tri-enzyma</t>
  </si>
  <si>
    <t xml:space="preserve"> Name of Project : Furnishing of Construction Materials for Carol-an Dagyangaw SIP  Location : Ayungon, Negros Oriental  Contract No. : NOSO-Goods-SIP-04-2020  Approved Budget for the Contract : P 1,183,800.00  Estimated Contract Duration : 150 calendar da</t>
  </si>
  <si>
    <t xml:space="preserve"> Office: Gat Andres Bonifacio Memorial Medical Center 				PR No. 403		 				Charge to: Other Supplies and Materials Expenses				OBR No. 100-2002-01144		 				ABC:  Php89,080.00						 										 										 1	13	 pads 		OBR'S Form 5pcs./set,50 sets/pad, carbon</t>
  </si>
  <si>
    <t xml:space="preserve"> Procurement (alcohol, liquid bleach, liquid hand soap,etc.)</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</si>
  <si>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</si>
  <si>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Office: CTO and SAH				PR No. 218 and 128		 				Charge to: Printing and Publication Expenses				OBR No. 100-2001-00296 and 100-2001-00206		 				ABC:  Php410,720.00						 										 										 				CITY TREASURER'S OFFICE - PR No. 218						 1	100	pcs.		Gree</t>
  </si>
  <si>
    <t xml:space="preserve"> Republic of the Philippines																																																										 DEPARTMENT OF PUBLIC WORKS AND HIGHWAYS																																																										 OFFICE OF THE DISTRICT ENGINEER																																								</t>
  </si>
  <si>
    <t xml:space="preserve"> Office: Gat Andres Bonifacio Memorial Medical Center 				PR No. 184		 				Charge to: Philhealth Trust Fund						 				ABC:  Php950,000.00						 										 										 1	20	units		LED Television 43"				Php	7,000.00	25,000.00 				Flat Screen						 				IPS Pan</t>
  </si>
  <si>
    <t xml:space="preserve"> Name of Project : Furnishing of Construction Materials for Carol-an Dagyangaw SIP (CY 2019)  Location : Ayungon, Negros Oriental  Contract No. : NOSO-Goods-SIP-05-2020  Approved Budget for the Contract : 1,401,900.00  Estimated Contract Duration : 150 cal</t>
  </si>
  <si>
    <t xml:space="preserve"> see attached bidding documents</t>
  </si>
  <si>
    <t xml:space="preserve"> Attached RFQs and Purchase Requests</t>
  </si>
  <si>
    <t xml:space="preserve"> Office: Office of the Vice-Mayor 				PR No. 574		 				Charge to: Representation Expenses				OBR No. 100-2005-04112		 				ABC:  Php600,000.00						 										 										 1	2,000	 packs 		Breakfast				Php	7,000.00	300.00 				Choices of						 				 - arroz ca</t>
  </si>
  <si>
    <t xml:space="preserve"> 1,333.33	Bd.ft	200-2 x 4 x 10 Good Lumber 2,133.33	Bd.ft	160-4 x 4 x 10 Good Lumber 1600	Bd.ft	480-2 x 2 x 10 Good Lumber 1066.67	Bd.ft	200-2 x 4 x 8 Good Lumber 1200	Bd.ft	300-2 x 3 x 8 Good Lumber 833.33	Bd.ft	100-1 x 10 x 10 Good Lumber 75	Pcs	Hardifle</t>
  </si>
  <si>
    <t xml:space="preserve"> Office: Gat Andres Bonifacio Memorial Medical Center 				PR No. 169 				Charge to: Philhealth Trust Fund				 				ABC:  Php984,000.00				 								 								 1	1	unit		Digital Duplicators with Platen Cover				Php 				Inclusions:				 				One (1) Cartridge Ink</t>
  </si>
  <si>
    <t xml:space="preserve"> Republic of the Philippines Danao City BIDS AND AWARDS COMMITTEE 	 REQUEST FOR QUOTATION The Local Government of Danao City, through the Sangguniang Panlungsod Office intends to apply the sum of Php65,990.00 being the Approved Budget for the Contract (ABC</t>
  </si>
  <si>
    <t xml:space="preserve"> INVITATION TO BID FOR THE COMPLETION OF MULTI-PURPOSE HALL (CES), CAMBALO, CAJIDIOCAN, ROMBLON 1.	The Municipal Government of Cajidiocan, Romblon through the 20% MDF CY-2019 intends to apply the sum of FOUR HUNDRED NINETY-NINE THOUSAND, NINE HUNDRED NINET</t>
  </si>
  <si>
    <t xml:space="preserve"> Republic of the Philippines Danao City BIDS AND AWARDS COMMITTEE 	 REQUEST FOR QUOTATION The Local Government of Danao City, through the City Planning and Development Office intends to apply the sum of Php183,060.00 being the Approved Budget for the Contr</t>
  </si>
  <si>
    <t xml:space="preserve"> Office: Office of the Vice Mayor 				PR No. 573		 				Charge to: Office Supplies Expenses				OBR No. 100-2005-04111		 				ABC:  Php590,250.00						 										 										 1	10	box		Clip, Backfold 1" (32mm) pack				Php	7,000.00	59.00 2	10	box		Clip, Backfol</t>
  </si>
  <si>
    <t xml:space="preserve"> INVITATION TO BID 1. The University of the Philippines Manila through its Bids and Awards Committee I (BAC 1), invites suppliers/manufacturers/distributors/contractors to apply for eligibility and to bid for the hereunder project: Name of Project : MANNIN</t>
  </si>
  <si>
    <t xml:space="preserve"> Republic of the Philippines Danao City BIDS AND AWARDS COMMITTEE 	 REQUEST FOR QUOTATION The Local Government of Danao City, through the 20% EDF/CPDO intends to apply the sum of Php78,947.00 being the Approved Budget for the Contract (ABC) to payments und</t>
  </si>
  <si>
    <t xml:space="preserve"> Office: City Budget Office 				PR No. 115		 				Charge to: Office Supplies Expenses				OBR No. 100-2001-00184		 				ABC:  Php91,518.20						 										 										 1	4	pack		Battery, Drycell, AAA, 2pcs/pack				Php	7,000.00	77.70 2	10	pieces		Clear Folder, </t>
  </si>
  <si>
    <t xml:space="preserve"> 206	Pcs	G.I. Pipe 3” Ø sch 40 65	Gals	Flatwall latex  65	Gals	Semi – gloss latex 40	Gals	Red oxide 40	Gals	Quickdry metal paint (golden yellow) 40	Gals	Quickdry metal paint (black) 20	Pcs	Paint brush #2 20	Sets	Roller brush w/ tray 25	Gals	Paint thinner  </t>
  </si>
  <si>
    <t xml:space="preserve"> Office: ONT, MHD, YDWB				PR No. 204,  180, 251		 				Charge to: Other Supplies and Materials Expenses				OBR No. 100-2001-00351, 100-2001-00321		 				ABC:  Php165,754.85				              100-2001-00451		 										 										 				OSPITAL NG TONDO - PR No</t>
  </si>
  <si>
    <t xml:space="preserve"> REPAIR/MAINTENANCE OF FLOOD CONTROL</t>
  </si>
  <si>
    <t xml:space="preserve"> Republic of the Philippines Danao City BIDS AND AWARDS COMMITTEE 	 REQUEST FOR QUOTATION The Local Government of Danao City, through the City Agriculture Services Office intends to apply the sum of Php74,295.00 being the Approved Budget for the Contract (</t>
  </si>
  <si>
    <t xml:space="preserve"> Republic of the Philippines Danao City BIDS AND AWARDS COMMITTEE 	 REQUEST FOR QUOTATION The Local Government of Danao City, through the CDRRMO intends to apply the sum of Php108,000.00 being the Approved Budget for the Contract (ABC) to payments under th</t>
  </si>
  <si>
    <t xml:space="preserve"> Office: City Budget Office 				PR No. 342		 				Charge to: Capital Outlay-Office Equipment				OBR No. 100-2002-00895		 				ABC:  Php80,000.00						 										 										 1	1	 unit 		Airconditioner, split type, HP2				Php	7,000.00	80,000.00</t>
  </si>
  <si>
    <t xml:space="preserve"> 618	Bags	Portland cement 62	Cu.m	Fine sand 42	Cu.m	Selected gravel 103	Pcs	12mmØ RSB 412	Pcs	10mmØ RSB 309	Sheets	Acrylic sheets 309	Length	2” x 3” x 1.5mm rectangular tube 206	Pcs	Turn buckle 6” 103	Length	12mm round tension rod 206	Kls	Welding rod 52	Pc</t>
  </si>
  <si>
    <t xml:space="preserve"> 1	Lot	Formworks and Scaffolding 13,050	Pcs	CHB 4”x8”x16” 750	Bags	Portland cement 75	Cu.m	Gravel  60	Cu.m	Sand 710	Length	10mm dia RSB 575	Length	12mm dia RSB</t>
  </si>
  <si>
    <t xml:space="preserve"> INVITATION TO BID FOR THE REHABILITATION OF MULTI-PURPOSE HALL, LICO, CAJIDIOCAN, ROMBLON 1.	The Municipal Government of Cajidiocan, Romblon through the 20% MDF CY-2019 intends to apply the sum of EIGHT HUNDRED NINETY-NINE THOUSAND, NINE HUNDRED NINETY SI</t>
  </si>
  <si>
    <t xml:space="preserve"> Office: City Legal Office 				PR No. 293		 				Charge to: Office Supplies Expenses				OBR No. 100-2001-00500		 				ABC:  Php134,970.00						 										 										 1	25	pcs.		Ballpens, black				Php	7,000.00	15.00 2	12	pcs.		Ballpens, red						15.00 3	12	bx</t>
  </si>
  <si>
    <t xml:space="preserve"> 150	Pcs	2’x2’x2mm Square tube 125	Pcs	1’x1”x5mm Angle bar 130	Pcs	6mm Steel matting 100	Bags	Skim coat (Super white) 120	Gals	Flat wall latex 100	Gals	Quickdry latex 50	Gals	Red oxide 36	Gals	Quick dry enamel (black) 6	Gals	Paint thinner 11	Gals	Time out </t>
  </si>
  <si>
    <t xml:space="preserve"> INVITATION TO BID 1. The University of the Philippines Manila through its Bids and Awards Committee I (BAC 1), invites suppliers/manufacturers/distributors/contractors to apply for eligibility and to bid for the hereunder project: Name of Project : SUPPLY</t>
  </si>
  <si>
    <t xml:space="preserve"> Republic of the Philippines Danao City BIDS AND AWARDS COMMITTEE 	 REQUEST FOR QUOTATION The Local Government of Danao City, through the CDRRMO intends to apply the sum of Php75,000.00 being the Approved Budget for the Contract (ABC) to payments under the</t>
  </si>
  <si>
    <t xml:space="preserve"> Republic of the Philippines Province of Palawan Municipality of Narra INVITATION TO BID 1.	The Municipal Government of Narra, through Bids and Awards Committee intends to apply the sum of TWO HUNDRED ELEVEN THOUSAND PESOS (PHP 211,000.00) being the Approv</t>
  </si>
  <si>
    <t xml:space="preserve"> Republic of the Philippines Danao City BIDS AND AWARDS COMMITTEE 	 REQUEST FOR QUOTATION The Local Government of Danao City, through the CDRRMO intends to apply the sum of Php72,000.00 being the Approved Budget for the Contract (ABC) to payments under the</t>
  </si>
  <si>
    <t xml:space="preserve"> 4,000 packs or groceries</t>
  </si>
  <si>
    <t xml:space="preserve"> INVITATION TO BID FOR THE REHABILITATION OF MULTI-PURPOSE HALL LUMBANG ESTE, CAJIDIOCAN, ROMBLON 1.	The Municipal Government of Cajidiocan, Romblon through the 20% MDF CY-2019 intends to apply the sum of FOUR HUNDRED NINETY-NINE THOUSAND, NINE HUNDRED NIN</t>
  </si>
  <si>
    <t xml:space="preserve"> Installation of Steel Grills and Gate, Grade 1 Building, along Capulong St.</t>
  </si>
  <si>
    <t xml:space="preserve"> INVITATION TO BID FOR THE CONSTRUCTION FOR COCONUT PROCESSING CENTER FOR LIVELIHOOD PHASE II, LUMBANG ESTE, CAJIDIOCAN, ROMBLON 1.	The Municipal Government of Cajidiocan, Romblon through the 20% MDF CY-2019 intends to apply the sum of SIX HUNDRED NINETY-N</t>
  </si>
  <si>
    <t xml:space="preserve"> Republic of the Philippines Danao City BIDS AND AWARDS COMMITTEE 	 REQUEST FOR QUOTATION The Local Government of Danao City, through the Public Information Office intends to apply the sum of Php61,500.00 being the Approved Budget for the Contract (ABC) to</t>
  </si>
  <si>
    <t xml:space="preserve"> Republic of the Philippines Province of Palawan Municipality of Narra INVITATION TO BID 1.	The Municipal Government of Narra, through Bids and Awards Committee intends to apply the sum of TWO HUNDRED FIFTEEN THOUSAND NINE HUNDRED FIFTEEN PESOS (PHP 215,91</t>
  </si>
  <si>
    <t xml:space="preserve"> Republic of the Philippines Danao City BIDS AND AWARDS COMMITTEE 	 REQUEST FOR QUOTATION The Local Government of Danao City, through the CDRRMO intends to apply the sum of Php97,500.00 being the Approved Budget for the Contract (ABC) to payments under the</t>
  </si>
  <si>
    <t xml:space="preserve"> 5,000 packs of rice</t>
  </si>
  <si>
    <t xml:space="preserve"> INVITATION TO BID FOR THE REHABILITATION OF WATER SUPPLY SYSTEM LUMBANG WESTE, CAJIDIOCAN, ROMBLON 1.	The Municipal Government of Cajidiocan, Romblon through the 20% MDF CY-2019 intends to apply the sum of FIVE HUNDRED NINETY-NINE THOUSAND, NINE HUNDRED N</t>
  </si>
  <si>
    <t xml:space="preserve"> This project has the following terms and specifications: 3 seal with hole maximum of 4-5 color print for dehydrated mango size: 5 x 9 inch (WxH) capacity: 100g Please submit your quotation until June 17, 2020 at WPU-Procurement Office, San Juan, Aborlan, </t>
  </si>
  <si>
    <t xml:space="preserve"> Republic of the Philippines Danao City BIDS AND AWARDS COMMITTEE 	 REQUEST FOR QUOTATION The Local Government of Danao City, through the CMO/Traffic Office intends to apply the sum of Php54,710.00 being the Approved Budget for the Contract (ABC) to paymen</t>
  </si>
  <si>
    <t xml:space="preserve"> INVITATION TO BID 1. The University of the Philippines Manila through its Bids and Awards Committee I (BAC 1), invites suppliers/manufacturers/distributors/contractors to apply for eligibility and to bid for the hereunder project: Name of Project :  SUPPL</t>
  </si>
  <si>
    <t xml:space="preserve"> Republic of the Philippines Province of Palawan Municipality of Narra INVITATION TO BID 1.	The Municipal Government of Narra, through Bids and Awards Committee intends to apply the sum of FIVE HUDRED FORTY-EIGHT THOUSAND EIGHT HUNDRED FIFTY-TWO PESOS AND </t>
  </si>
  <si>
    <t xml:space="preserve"> Republic of the Philippines Province of Palawan Municipality of Narra INVITATION TO BID 1.	The Municipal Government of Narra, through Bids and Awards Committee intends to apply the sum of TWO HUNDRED SIXTEEN THOUSAND SIX HUNDRED NINETY-NINE PESOS (PHP 216</t>
  </si>
  <si>
    <t xml:space="preserve"> INVITATION TO BID FOR THE REHABILITATION OF MULTI-PURPOSE HALL LUMBANG WESTE, CAJIDIOCAN, ROMBLON 1.	The Municipal Government of Cajidiocan, Romblon through the 20% MDF CY-2019 intends to apply the sum of FOUR HUNDRED NINETY-NINE THOUSAND, NINE HUNDRED NI</t>
  </si>
  <si>
    <t xml:space="preserve"> INVITATION TO BID 1. The University of the Philippines Manila through its Bids and Awards Committee I (BAC 1), invites suppliers/manufacturers/distributors/contractors to apply for eligibility and to bid for the hereunder project: Name of Project :  COMPR</t>
  </si>
  <si>
    <t xml:space="preserve"> Republic of the Philippines Province of Palawan Municipality of Narra INVITATION TO BID 1.	The Municipal Government of Narra, through Bids and Awards Committee intends to apply the sum of TWO HUNDRED FORTY-THOUSAND SIX HUNDRED FORTY-FIVE PESOS AND 45/100 </t>
  </si>
  <si>
    <t xml:space="preserve"> Republic of the Philippines Danao City BIDS AND AWARDS COMMITTEE 	 REQUEST FOR QUOTATION The Local Government of Danao City, through the City Agriculture Services Office intends to apply the sum of Php687,500.00 being the Approved Budget for the Contract </t>
  </si>
  <si>
    <t xml:space="preserve"> Republic of the Philippines Province of Palawan Municipality of Narra INVITATION TO BID 1.	The Municipal Government of Narra, through Bids and Awards Committee intends to apply the sum of TWO HUNDRED TWENTY-TWO THOUSAND ONE HUNDRED FIFTY PESOS (PHP 222,15</t>
  </si>
  <si>
    <t xml:space="preserve"> pls see attached docs</t>
  </si>
  <si>
    <t xml:space="preserve"> INVITATION TO BID FOR THE REHABILITATION OF CAMBICANG MULTI-PURPOSE HALL, MARIGONDON, CAJIDIOCAN, ROMBLON 1.	The Municipal Government of Cajidiocan, Romblon through the 20% MDF CY-2019 intends to apply the sum of FOUR HUNDRED NINETY-NINE THOUSAND, NINE HU</t>
  </si>
  <si>
    <t xml:space="preserve"> Republic of the Philippines Danao City BIDS AND AWARDS COMMITTEE 	 REQUEST FOR QUOTATION The Local Government of Danao City, through the BFP-Danao City intends to apply the sum of Php75,000.00 being the Approved Budget for the Contract (ABC) to payments u</t>
  </si>
  <si>
    <t xml:space="preserve"> Please see associated document. Please submit your quotation until June 18, 2020 at WPU-Procurement Office, San Juan, Aborlan, Palawan or email to us at wpu.proc@gmail.com</t>
  </si>
  <si>
    <t xml:space="preserve"> Republic of the Philippines Danao City BIDS AND AWARDS COMMITTEE 	 REQUEST FOR QUOTATION The Local Government of Danao City, through the City Engineering Office intends to apply the sum of Php198,423.50 being the Approved Budget for the Contract (ABC) to </t>
  </si>
  <si>
    <t xml:space="preserve"> Republic of the Philippines Danao City BIDS AND AWARDS COMMITTEE 	 REQUEST FOR QUOTATION The Local Government of Danao City, through the CDRRMO intends to apply the sum of Php57,600.00 being the Approved Budget for the Contract (ABC) to payments under the</t>
  </si>
  <si>
    <t xml:space="preserve"> Labor and Materials :    - For the repair and Installation of  Built In Cabinet at LEIPO Office, SecondFloor Left Wing,           New City Hall, AVL St., Zone 12A, Talisay City</t>
  </si>
  <si>
    <t xml:space="preserve"> INVITATION TO BID FOR THE CONSTRUCTION OF FMR-ILAYA MARIGONDON, CAJIDIOCAN, ROMBLON 1.	The Municipal Government of Cajidiocan, Romblon through the 20% MDF CY-2019 intends to apply the sum of SIX HUNDRED NINETY-NINE THOUSAND, NINE HUNDRED NINETY FIVE PESOS</t>
  </si>
  <si>
    <t xml:space="preserve"> Republic of the Philippines Danao City BIDS AND AWARDS COMMITTEE 	 REQUEST FOR QUOTATION The Local Government of Danao City, through the CDRRMO intends to apply the sum of Php116,820.00 being the Approved Budget for the Contract (ABC) to payments under th</t>
  </si>
  <si>
    <t xml:space="preserve"> Republic of the Philippines Danao City BIDS AND AWARDS COMMITTEE 	 REQUEST FOR QUOTATION The Local Government of Danao City, through the CDRRMO intends to apply the sum of Php86,250.00 being the Approved Budget for the Contract (ABC) to payments under the</t>
  </si>
  <si>
    <t xml:space="preserve"> INVITATION TO BID FOR THE IMPROVEMENT OF MULTI-PURPOSE HALL PHASE II- MUNICIPAL BUILDING, POBLACION, CAJIDIOCAN, ROMBLON 1.	The Municipal Government of Cajidiocan, Romblon through the 20% MDF CY-2019 intends to apply the sum of FOUR HUNDRED NINETY-NINE TH</t>
  </si>
  <si>
    <t xml:space="preserve"> INVITATION TO BID FOR THE SUPPLY OF GASOLINE AND DIESEL THROUGH FLEET CARD TECHNOLOGY SYSTEM FOR TWO (2) YEARS UNDER ITB NO. PB20-01-015CORA-06 (REBIDDING) The Philippine Amusement and Gaming Corporation (PAGCOR) is inviting all interested bidders in its </t>
  </si>
  <si>
    <t xml:space="preserve"> Supply &amp; Delivery of Materials ABC:884,533.12 468 bot      ALCOHOL, 68-72% ethyl, 500 ml.  305 pc      BALLPEN, ordinary Black  255 pc       BALLPEN, ordinary Blue  1  tube       BALLPEN, Blue ink, retractable, 50 pcs/tube  1 tube	      BALLPEN, Black ink</t>
  </si>
  <si>
    <t xml:space="preserve"> INVITATION TO BID FOR THE CONSTRUCTION OF FMR- SITIO SAED, TAGUILOS, CAJIDIOCAN, ROMBLON 1.	The Municipal Government of Cajidiocan, Romblon through the 20% MDF CY-2019 intends to apply the sum of SEVEN HUNDRED NINETY-NINE THOUSAND, NINE HUNDRED NINETY SIX</t>
  </si>
  <si>
    <t xml:space="preserve"> Republic of the Philippines Danao City BIDS AND AWARDS COMMITTEE 	 REQUEST FOR QUOTATION The Local Government of Danao City, through the City Admin./Waterworks Division intends to apply the sum of Php75,000.00 being the Approved Budget for the Contract (A</t>
  </si>
  <si>
    <t xml:space="preserve"> The Power Sector Assets and Liabilities Management (PSALM) Corporation is procuring the services of qualified service providers to undertake Sampling and Analysis of Transformer Oil from Five (5) units of Unserviceable Transformers stored at Ligao Stockya</t>
  </si>
  <si>
    <t xml:space="preserve"> Republic of the Philippines Danao City BIDS AND AWARDS COMMITTEE 	 REQUEST FOR QUOTATION The Local Government of Danao City, through the CDRRMO intends to apply the sum of Php63,000.00 being the Approved Budget for the Contract (ABC) to payments under the</t>
  </si>
  <si>
    <t xml:space="preserve"> Republic of the Philippines Danao City BIDS AND AWARDS COMMITTEE 	 REQUEST FOR QUOTATION The Local Government of Danao City, through the City Admin./Waterworks Division intends to apply the sum of Php70,830.00 being the Approved Budget for the Contract (A</t>
  </si>
  <si>
    <t xml:space="preserve"> Republic of the Philippines Danao City BIDS AND AWARDS COMMITTEE 	 REQUEST FOR QUOTATION The Local Government of Danao City, through the City Agriculture Services Office intends to apply the sum of Php75,000.00 being the Approved Budget for the Contract (</t>
  </si>
  <si>
    <t xml:space="preserve"> INVITATION TO BID FOR PURCHASE OF OFFICE SUPPLIES LGU, CAJIDIOCAN, ROMBLON 1.	The Municipal Government of Cajidiocan, Romblon intends to apply the sum of ONE MILLION, NINETY-FIVE THOUSAND, FOUR HUNDRED SEVENTY SIX PESOS and 00/100 (P 1,095,476.00) being t</t>
  </si>
  <si>
    <t xml:space="preserve"> QTY	UNIT	ARTICLE / DESCRIPTION						 								 								 		Hepa Filter, ACFHEPA						 		For Airclean PCR Workstation						 		099.997% efficient at 0.3 microns						 								 		Size:						 1	unit	305 x 610 x 76mm						 2	unit	305 x 457 x 76mm Submit the foll</t>
  </si>
  <si>
    <t xml:space="preserve"> Republic of the Philippines Danao City BIDS AND AWARDS COMMITTEE 	 REQUEST FOR QUOTATION The Local Government of Danao City, through the City Admin./Waterworks Division intends to apply the sum of Php247,334.00 being the Approved Budget for the Contract (</t>
  </si>
  <si>
    <t xml:space="preserve"> Republic of the Philippines Danao City BIDS AND AWARDS COMMITTEE 	 REQUEST FOR QUOTATION The Local Government of Danao City, through the City Health Services Office intends to apply the sum of Php390,000.00 being the Approved Budget for the Contract (ABC)</t>
  </si>
  <si>
    <t xml:space="preserve"> Republic of the Philippines  Barangay 373, Zone 38, District III, Manila Bids and Awards Committee INVITATION TO BID Barangay 373, Zone 38, District III, Manila through its Bids and Awards Committee (BAC), Invites all Suppliers Contractors to bid the here</t>
  </si>
  <si>
    <t xml:space="preserve"> Solicitation No:20GPF0011 Contract Name: Supply and delivery of Thermoplastic Paints and mixtures for repair and maintenance of Reflective Thermoplastic Pavement Markings along National Road by the Maintenance Section within DPWH-Benguet Second District E</t>
  </si>
  <si>
    <t xml:space="preserve"> Republic of the Philippines Danao City BIDS AND AWARDS COMMITTEE 	 REQUEST FOR QUOTATION The Local Government of Danao City, through the City Admin./Waterworks Division intends to apply the sum of Php77,400.00 being the Approved Budget for the Contract (A</t>
  </si>
  <si>
    <t xml:space="preserve"> Republic of the Philippines PROVINCE OF NUEVA VIZCAYA Munici pality of Aritao BIDS AND AWARDS COMMITTEE               INVITATION TO BID FOR  FURNISHING/DELIVERY OF FUEL, OIL &amp; LUBRICANTS 1.	The Municipality of Aritao, through its 2020 General Fund intends</t>
  </si>
  <si>
    <t xml:space="preserve"> QTY	UNIT	ARTICLE / DESCRIPTION						 								 								 25	pk	18mm Screw Cap, 100pcs/pck						 		 Silver color open top metal cap, magnetic						 		 with 17.5mm blue PTFE / White Silicon Septa						 		 for 20ml headspace Vial Submit the following: (soft or</t>
  </si>
  <si>
    <t xml:space="preserve"> Invitation to Bid for SUPPLY AND DELIVERY OF OFFICE EQUIPMENT  FOR MDRRM OFFICE The Municipal Government of Looc, Romblon, through the AO NO 021-2020 Supplemental Appropriation intends to apply the sum of Two Hundred Twenty-Three Thousand Pesos Only (P 22</t>
  </si>
  <si>
    <t xml:space="preserve"> Republic of the Philippines Danao City BIDS AND AWARDS COMMITTEE 	 REQUEST FOR QUOTATION The Local Government of Danao City, through the 20% EDF Current Appropriation intends to apply the sum of Php307,565.00 being the Approved Budget for the Contract (AB</t>
  </si>
  <si>
    <t xml:space="preserve"> Republic of the Philippines PROVINCE OF NUEVA VIZCAYA Munici pality of Aritao BIDS AND AWARDS COMMITTEE               INVITATION TO BID FOR  PURCHASE/DELIVERY OF PLASTIC DENSIFIER/MELTER MACHINE FOR RESIDUAL WASTES 1.	The Municipality of Aritao, through i</t>
  </si>
  <si>
    <t xml:space="preserve"> Appendix 60	 PURCHASE REQUEST 					 					 Entity Name: REBOKON AGRI. AND VOC. HIGH SCHOOL			Fund Cluster: REGULAR		 Office/Section : PRINCIPAL'S		PR No.: 2020-05-0012		Date: May 25, 2020	 OFFICE 		Responsibility Center Code : 100010000			 Stock/ Property </t>
  </si>
  <si>
    <t xml:space="preserve"> Republic of the Philippines Danao City BIDS AND AWARDS COMMITTEE 	 REQUEST FOR QUOTATION The Local Government of Danao City, through the City Admin./Waterworks Division intends to apply the sum of Php63,640.00 being the Approved Budget for the Contract (A</t>
  </si>
  <si>
    <t xml:space="preserve"> 1.	The Bangko Sentral ng Pilipinas (BSP), through its Bids and Awards Committee –Information Technology, Infrastructure and Other Related Components (BAC-ITIO), invites bidders to apply for eligibility and to bid for the hereunder requirement: Name of Req</t>
  </si>
  <si>
    <t xml:space="preserve"> Republic of the Philippines PROVINCE OF NUEVA VIZCAYA Munici pality of Aritao BIDS AND AWARDS COMMITTEE               INVITATION TO BID FOR  FURNISHING/DELIVERY OF ASSORTED MEDICINES AND SUPPLIES 1.	The Municipality of Aritao, through its 2020 General Fun</t>
  </si>
  <si>
    <t xml:space="preserve"> See attached necessary document.</t>
  </si>
  <si>
    <t xml:space="preserve"> 1. The ENERGY REGULATORY COMMISSION (ERC), through the Government of the Philippines (GOP), intends to apply the sum of One Million Nine Hundred Sixteen Thousand Pesos (P1,916,000.00.), inclusive of all government taxes, and other fees and charges being t</t>
  </si>
  <si>
    <t xml:space="preserve"> Republic of the Philippines Central Visayas Region Province of Negros Oriental MUNICIPALITY OF SANTA CATALINA Bids and Awards Committee ITB NO.: 2020-06-02-014 INVITATION TO BID FOR THE SUPPLY AND DELIVERY OF MEDICAL EQUIPMENT 1.	The Municipality of Santa</t>
  </si>
  <si>
    <t xml:space="preserve"> Invitation to Bid for SUPPLY AND DELIVERY OF DISASTER EQUIPMENT The Municipal Government of Looc, Romblon, through the AO NO 018-2019 Regular intends to apply the sum of Two Hundred Fifty-Five Thousand Seven Hundred Eighty Pesos &amp; 07/100 Only (P 255,780.0</t>
  </si>
  <si>
    <t xml:space="preserve"> 1.Barangay Minantok East, Municipality of Amadeo through its GEN. FUND intends to apply the sum of Php 132,715 being the Approved Budget Ceiling for the INSTALLATION OF SOLAR STREETLIGHT @ BRGY. MINANTOK EAST, AMADEO, CAVITE Quotation received in excess o</t>
  </si>
  <si>
    <t xml:space="preserve"> Procurement of Automatic Traffic Classifier Please see attached Associated Component for the Request for Quotation (RFQ) Form.</t>
  </si>
  <si>
    <t xml:space="preserve"> Republic of the Philippines Department of Public Works and Highways OFFICE OF THE DISTRICT ENGINEER 		Camarines Sur 4th  District Engineering Office (Formerly: Camarines Sur 3rd DEO) REGION V Caraycayon, Tigaon, Camarines Sur Tel #(054) 881-0107 INVITATIO</t>
  </si>
  <si>
    <t xml:space="preserve"> Republic of the Philippines Central Visayas Region Province of Negros Oriental MUNICIPALITY OF SANTA CATALINA Bids and Awards Committee ITB NO.: 2020-06-02-012 INVITATION TO BID FOR THE SUPPLY AND DELIVERY OF COMPUTER EQUIPMENT 1.	The Municipality of Sant</t>
  </si>
  <si>
    <t xml:space="preserve"> 10		bag	Cement 1		cu m	Sand  1		cu m	Gravel 5		pcs	2x3x12 Coco Lumber 5		pcs	GI Pipe 2Ø S-40 10		pcs	RSB 10mm 15		pcs	RSB 9mm 9		pcs	MS Plate 8x8x1/4 36		pcs	M Bolt ½x7 2		kls	Tie Wire 2		pcs	Plywood 9		pcs	Insulator 1		pc	Eletrical Tape  9		pcs	LED Flood</t>
  </si>
  <si>
    <t xml:space="preserve"> PLEASE SEE THE ATTACHED FILE.</t>
  </si>
  <si>
    <t xml:space="preserve"> 1. The ENERGY REGULATORY COMMISSION (ERC), through the Government of the Philippines (GOP), intends to apply the sum of Six Million Five Hundred Seventy-Two Thousand Five Hundred Pesos (PhP6,572,500.00) inclusive of all government taxes and other fees and</t>
  </si>
  <si>
    <t xml:space="preserve"> Republic of the Philippines Central Visayas Region Province of Negros Oriental MUNICIPALITY OF SANTA CATALINA Bids and Awards Committee 	ITB NO.: 2020-07-02-015 INVITATION TO BID FOR THE SUPPLY AND DELIVERY OF MOTORCYCLE VEHICLES 1.	The Municipality of Sa</t>
  </si>
  <si>
    <t xml:space="preserve"> Republic of the Philippines Central Visayas Region Province of Negros Oriental MUNICIPALITY OF SANTA CATALINA Bids and Awards Committee ITB NO.: 2020-06-02-013 INVITATION TO BID FOR THE SUPPLY AND DELIVERY OF TIRES 1.	The Municipality of Santa Catalina, N</t>
  </si>
  <si>
    <t xml:space="preserve"> 4		pail	Flat Latex 2		pail	Gloss Latex 4		pail	Flat Enamel 2		pail	QDE Gloss 2		gal	Galzing Putty 4		qrt	Acry Color 6		gal	Roof Paint 6		pcs	Paint roller 4		Pcs	Paint Brush 4" 2		Pcs	Paint Brush 2" 120		pcs	Good Lumber 2x2x12 38		pcs	Marine Plywood  1/4 1</t>
  </si>
  <si>
    <t xml:space="preserve"> Republic of the Philippines BIDS AND AWARDS COMMITTEE Municipality of Bulusan Reference Number: PG-20-06-011 June 15, 2020 REQUEST FOR QUOTATION The Local Government of Bulusan, through its Bids and Awards Committee (BAC), requests suppliers/manufacturers</t>
  </si>
  <si>
    <t xml:space="preserve"> 2		pcs	Flash Door 2		pcs	Door Jamb 4		box	Loose Pin Hinges 4'  2		pcs	Door Knob 3		pcs	Window Casement 120x150 3		pail	Flat latex 2		pail	Gloss Latex 3		quart	Acry color 6		gal.	Roof Paint 2		pcs	Paint Roller 4" 2		pcs	Paint Brush 4" 1		gal.	Concrete Neut</t>
  </si>
  <si>
    <t xml:space="preserve"> SUPPLY AND DELIVERY OF CONSTRUCTION MATERIALS</t>
  </si>
  <si>
    <t xml:space="preserve"> 130		Pcs	Floor Tiles 60x60 4		Cu m	Sand 35		Bags	Cement 8		Bags	Adhesive 3		Bags	Grout 3		Bags	Twine 2		Roll	THHN Wire #12 2		Pcs	Moldflex 1/2 12		Pcs	Utility Box 6		Pcs	Plate 2 gang 6		pcs	Switch 12		Pcs	Junction box 6		Pcs	Circuit Breaker, 30Amp. 1		Pc	</t>
  </si>
  <si>
    <t xml:space="preserve"> Invitation to Bid for SUPPLY AND DELIVERY OF IT EQUIPMENT FOR RHU The Municipal Government of Looc, Romblon, through the AO NO 021-2020 Supplemental Appropriation intends to apply the sum of Seventy-Five Thousand Pesos Only (P 75,000.00) being the Approve</t>
  </si>
  <si>
    <t xml:space="preserve"> Reconstruction of Frontline Offices (Registrar, School Health Facility and Principal's Office) for health precautionary measures</t>
  </si>
  <si>
    <t xml:space="preserve"> Republic of the Philippines Central Visayas Region Province of Negros Oriental MUNICIPALITY OF SANTA CATALINA Bids and Awards Committee ITB NO.: 2020-07-02-016 INVITATION TO BID FOR THE SUPPLY AND DELIVERY OF OFFICE EQUIPMENT 1.	The Municipality of Santa </t>
  </si>
  <si>
    <t xml:space="preserve"> See attached pertinent document.</t>
  </si>
  <si>
    <t xml:space="preserve"> Republic of the Philippines					 ISABELA STATE UNIVERSITY					 Roxas, Isabela	 				 CANVASS SHEET					 (Date)	 					 Name of Agency/ supplier							 Address		 			 Gentlemen:					 	Please quote your lowest price, tax included on the following item/s listed</t>
  </si>
  <si>
    <t xml:space="preserve"> The Cotabato Irrigation Management Office, through its Bids and Awards Committee (BAC), intends to procure  the Supply and Delivery of Spare Part for Hino Dump Truck  in accordance with Section 53.9 (Small Value Procurement) of the 2016 Revised Implementi</t>
  </si>
  <si>
    <t xml:space="preserve"> concreting of line canal at sitio Mataguissi Barangay Capalalian, Pamplona, Cagayan</t>
  </si>
  <si>
    <t xml:space="preserve"> .40 mo. occupational safety and health prog 570 sq.m. scarifying of concrete pavement 114 cu.m. hauling of waste materials 760 sq.m. sub-grade preparation 76 cu.m. excavation 66.55 cu.m. aggregate base course 190 cu.m. stone masonry 760 sq.m. PCCP</t>
  </si>
  <si>
    <t xml:space="preserve"> REPUBLIC OF THE PHILIPPINES																																							 Province of Davao del Sur																																							 MUNICIPALITY OF SANTA CRUZ																																							 -- oOo --																																							 								</t>
  </si>
  <si>
    <t xml:space="preserve"> .13 mo. CS and HP 133.50 sq.m. clearing and grubbing 106.80 cu.m. excavation 189.13 cu.m. stone masonry</t>
  </si>
  <si>
    <t xml:space="preserve"> Invitation to Bid for  Completion/Expansion of Vinegar Processing Center, Maragayap, Bacnotan, La Union 1.	The Provincial Government of La Union, through the RA7171 intends to apply the sum of ₱1,784,268.49 being the Approved Budget for the Contract (ABC)</t>
  </si>
  <si>
    <t xml:space="preserve"> Invitation to Bid for  Improvement of Barangay I Farm to Market Road, San Fernando City, La Union 1.	The Provincial Government of La Union, through the RA7171 intends to apply the sum of ₱1,950,000.00 being the Approved Budget for the Contract (ABC) to pa</t>
  </si>
  <si>
    <t xml:space="preserve"> Invitation to Bid for  Rehabilitation and Improvement of Pagbennecan - Tallaoen Road, Luna, La Union 1.	The Provincial Government of La Union, through the RA7171 intends to apply the sum of ₱1,950,000.00 being the Approved Budget for the Contract (ABC) to</t>
  </si>
  <si>
    <t xml:space="preserve"> 1 month CS and HP 41 cu.m. excavation 67.61 cu.m. concrete class A 2753.47 kgs reinforcing steel 1 ls form works and false works 663.52 l.m. pre-painted rib type roof 900 sq.m. painting works (metal surfaces) 25,535.05 kgs structural steel (roof framing)</t>
  </si>
  <si>
    <t xml:space="preserve"> Invitation to Bid for  Construction of Ambaracao Farmers Multi-Purpose Center, Naguilian, La Union 1.	The Provincial Government of La Union, through the RA7171 intends to apply the sum of ₱2,925,000.00 being the Approved Budget for the Contract (ABC) to p</t>
  </si>
  <si>
    <t xml:space="preserve"> Invitation to Bid for  Construction of Payocpoc Sur Slope Protection, Bauang, La Union 1.	The Provincial Government of La Union, through the RA7171 intends to apply the sum of ₱1,950,000.00 being the Approved Budget for the Contract (ABC) to payments unde</t>
  </si>
  <si>
    <t xml:space="preserve"> THE PROCURING ENTITY THROUGH ITS BIDS AND AWARDS COMMITTEE INVITES SUPPLIER TO QUOTE FOR THE HEREUNDER PROJECT/PROGRAM: ROAD REHABILITATION    ITEM    DESCRIPTION      ABC/UNIT	QTY  UNIT 1	   Various Construction Materials (Lumber):1 Lot. 	   45     pcs  </t>
  </si>
  <si>
    <t xml:space="preserve"> 2028 bags 21-0-0 (ammonia)</t>
  </si>
  <si>
    <t xml:space="preserve"> Invitation to Bid for SUPPLY AND DELIVERY OF MATERIALS FOR INSTALLATION  OF MUNICIPAL STREETLIGHTING SYSTEM The Municipal Government of Looc, Romblon, through the Appropriation Ordinance No. 018-2019 Regular intends to apply the sum of Four Hundred Fourte</t>
  </si>
  <si>
    <t xml:space="preserve"> 1 mo. CS and HP 101.17 sq.m. unglazed/glazed tiles (stainless letter) 58.76 sq.m. ceiling works 125.70 sq.m. structural steel (sidings cover and frame) 60 sq.m. painting works )metal surfaces/steel trusses)</t>
  </si>
  <si>
    <t xml:space="preserve"> UNIT          QTY. UNIT,          1 DESCRIPTION:  fx 4X2 2.4L   MANUAL TRANSMISSION  ENGINE/TRANSMISSION; MODEL:  2GD-FTV(LOW) TYPE: 2.4LDIESEL,  4-CYLINDER, 16-VALVE DOHC  VARIABLE NOZZLE TURBO WITH  FRONT MOUNTED INTERCOOLER  DISPLACEMENT CC: 2,393  MAX</t>
  </si>
  <si>
    <t xml:space="preserve"> For Toyota Hilux 				 -Roller-up				 -Car alarm &amp; key less entry(powerlock)				 -step board				 -roof rail and carrier				 -leather seat cover				 -rear bumper				 -magwheels and tires</t>
  </si>
  <si>
    <t xml:space="preserve"> The Cotabato Irrigation Management Office, through its Bids and Awards Committee (BAC), intends to procure  the Supply and Delivery of Spare Part for Mitsubishi Pajero Jeep    in accordance with Section 53.9 (Small Value Procurement) of the 2016 Revised I</t>
  </si>
  <si>
    <t xml:space="preserve"> Invitation to Bid for  Retrofitting/Strengthening of Bridge 1 and Bridge 4, Caba and Naguilian, La Union 1.	The Provincial Government of La Union, through the Development Fund intends to apply the sum of ₱20,000,000.00 being the Approved Budget for the Co</t>
  </si>
  <si>
    <t xml:space="preserve"> Republic of the Philippines Province of Surigao del Sur MUNICIPALITY OF CANTILAN REQUEST FOR QUOTATION The Local Government Unit of Cantilan, Surigao del Sur, through its Bids and Awards Committee (BAC), will undertake a Small Value Procurement for the Su</t>
  </si>
  <si>
    <t xml:space="preserve"> REQUEST FOR QUOTATION ______________________ 													Date        _______________________________     Name of Dealer        _______________________________ 	          Address GENTLEMEN: 		Please quote your lowest price and indicate shortest delivery d</t>
  </si>
  <si>
    <t xml:space="preserve"> 1. Procurement ID/Contract ID:	RFQ-006-2020 Contract Name:	PROCUREMENT OF MATERIALS FOR USE IN THE REPAINTING OF EDGELINE, CENTERLINE, BROKEN LINES, AND PEDESTRIAN LANES IN CONNECTION WITH THE REPAIR/MAINTENANCE OF NATIONAL ROADS AND BRIDGES (DISTRICTWIDE</t>
  </si>
  <si>
    <t xml:space="preserve"> Installation of Water System of Capalalian Barangay Hall</t>
  </si>
  <si>
    <t xml:space="preserve"> Invitation to Bid for SUPPLY AND DELIVERY OF AIR CONDITIONER FOR SANGGUNIANG BAYAN OFFICE AND SESSION HALL The Municipal Government of Looc, Romblon, through the AO NO 021-2020 Supplemental Appropriation intends to apply the sum of One Hundred Fifty-Five </t>
  </si>
  <si>
    <t xml:space="preserve"> Market-disinfectant</t>
  </si>
  <si>
    <t xml:space="preserve"> 1. Procurement ID/Contract ID:	SH-006-2020 Contract Name:	PROCUREMENT OF SPARE PARTS FOR USE OF MITSUBISHI STRADA PICK-UP WITH PLATE NUMBER 062008 ASSIGNED IN THE OFFICE OF THE ASSISTANT DISTRICT ENGINEER.	 Contract Location:	DPWH-CAPIZ 1ST DEO, KM. 1, RO</t>
  </si>
  <si>
    <t xml:space="preserve"> 200 pieces Administration Set Adult/Macroset 500 pieces Soluset 700 pieces IV Cannula G18</t>
  </si>
  <si>
    <t xml:space="preserve"> QTY	UNIT	ARTICLE / DESCRIPTION						 								 								 6	unit	Helium Gas Tank						 		Ultra high pure helium gas						 		Purity: 99.999%						 		Laboratory Grade						 		For Gas Chromatography Mass Spectrometry use						 		With Quality Certificate						 	</t>
  </si>
  <si>
    <t xml:space="preserve"> 2. Procurement ID/Contract ID:	RFQ-007-2020 Contract Name:	PROCUREMENT OF OFFICE SUPPLIES TO BE USED FOR DPWH, CAPIZ 1ST DEO COMPOUND. Contract Location:	DPWH-CAPIZ 1ST DEO, KM. 1, ROXAS CITY Brief Description:	PROCUREMENT OF UNIFORMS AND ACCESSORIES Appr</t>
  </si>
  <si>
    <t xml:space="preserve"> Invitation to Bid for SUPPLY AND DELIVERY OF MATERIALS FOR REPAIR  OF AGRICULTURE OFFICE The Municipal Government of Looc, Romblon, through the AO NO 021-2020 Supplemental Appropriation intends to apply the sum of One Hundred Twenty-Two Thousand Two Hundr</t>
  </si>
  <si>
    <t xml:space="preserve"> Republic of the Philippines Region XII Province of Cotabato BIDS AND AWARDS COMMITTEE Amas, Kidapawan City INVITATION TO BID FOR Procurement of Food and Accommodation for the conduct of various training activities of PDRRMO - Cotabato Province. (PB-20-294</t>
  </si>
  <si>
    <t xml:space="preserve"> Construction Projects</t>
  </si>
  <si>
    <t xml:space="preserve"> Republic of the Philippines Region XII Province of Cotabato BIDS AND AWARDS COMMITTEE Amas, Kidapawan City INVITATION TO BID FOR Supply &amp; Delivery of Emergency Go Bag to be given to high-risk learners in the province. (PB-20-295) 1.	The Provincial Governm</t>
  </si>
  <si>
    <t xml:space="preserve"> INVITATION TO BID For The  SCHOOL EQUIPMENT  Public Bidding No. 015-SHS-2020 Funding Source: Government of the Philippines Through General Appropriations Act (GAA)  FY 2020. The procurement service invites PhilGEPS registered suppliers to bid for the Scho</t>
  </si>
  <si>
    <t xml:space="preserve"> Please quote using the attached RFQ form with your lowest possible price and email at IleenVista@dti.gov.ph not later than June 18, 2020, 10:00 AM.   For those who have not yet submitted their SUPPLIERS’ ACCREDITATION REQUIREMENTS, please attach photocopi</t>
  </si>
  <si>
    <t xml:space="preserve"> Please see attached Purchase Request</t>
  </si>
  <si>
    <t xml:space="preserve"> Republic of the Philippines Region XII Province of Cotabato BIDS AND AWARDS COMMITTEE Amas, Kidapawan City INVITATION TO BID FOR Supply &amp; Delivery of Hardware Supplies for distribution to different barangay/recipients of the Province of Cotabato. (PB-20-3</t>
  </si>
  <si>
    <t xml:space="preserve"> Construction, Installation and painting of teachers cubicle.</t>
  </si>
  <si>
    <t xml:space="preserve"> Republic of the Philippines Region XII Province of Cotabato BIDS AND AWARDS COMMITTEE Amas, Kidapawan City INVITATION TO BID FOR Supply &amp; Delivery of Drone for Provincial Engineer’s Office, Amas, Kidapawan City. (PB-20-317) 1.	The Provincial Government of</t>
  </si>
  <si>
    <t xml:space="preserve"> Republic of the Philippines Region XII Province of Cotabato BIDS AND AWARDS COMMITTEE Amas, Kidapawan City INVITATION TO BID FOR Supply &amp; Delivery of Basketball Boards with Ring to be given to various barangay recipients in the Province of Cotabato. (PB-2</t>
  </si>
  <si>
    <t xml:space="preserve"> OFFICE OF THE BIDS AND AWARDS COMMITTEE (BAC) INVITATION TO BID FOR: 20-06-446 Consolidated Meals and Snacks of the Different Offices of LGU Alamada 3rd Quarter 2020 1.	The Local Government Unit of Alamada, through the MOOE 2020  intends to apply the sum </t>
  </si>
  <si>
    <t xml:space="preserve"> Republic of the Philippines Region XII Province of Cotabato BIDS AND AWARDS COMMITTEE Amas, Kidapawan City INVITATION TO BID FOR Supply &amp; Delivery of Hardware Supplies to be given to various clients in Aleosan and Pikit, Province of Cotabato. (PB-20-323) </t>
  </si>
  <si>
    <t xml:space="preserve"> Republic of the Philippines Region XII Province of Cotabato BIDS AND AWARDS COMMITTEE Amas, Kidapawan City INVITATION TO BID FOR Supply &amp; Delivery of Electrical Supplies for Asphalt Plant, Pag-asa, Mlang, Cotabato. (PB-20-319) 1.	The Provincial Government</t>
  </si>
  <si>
    <t xml:space="preserve"> Republic of the Philippines Region XII Province of Cotabato BIDS AND AWARDS COMMITTEE Amas, Kidapawan City INVITATION TO BID FOR Supply &amp; Delivery of Forestry Seedlings for flood control and watershed protection on Ancestral Domain areas. (PB-20-296) 1.	T</t>
  </si>
  <si>
    <t xml:space="preserve"> 2,085.76    LITERS   DIESEL</t>
  </si>
  <si>
    <t xml:space="preserve"> Agricultural Training Institute Regional Training Center, MiMaRoPa (ATI-RTC-MiMaRoPa) invites interested bidders/suppliers to submit quotation/proposals for the here under requirement: ATI-RTC MIMAROPA FY 2020 Midyear and Planning Workshop ATI-RTC-MIMAROP</t>
  </si>
  <si>
    <t xml:space="preserve"> Republic of the Philippines Region XII Province of Cotabato BIDS AND AWARDS COMMITTEE Amas, Kidapawan City INVITATION TO BID FOR Supply &amp; Delivery of Vibrating Screen for Asphalt Plant, Pag-asa, Mlang, Cotabato. (PB-20-320) 1.	The Provincial Government of</t>
  </si>
  <si>
    <t xml:space="preserve"> Republic of the Philippines Region XII Province of Cotabato BIDS AND AWARDS COMMITTEE Amas, Kidapawan City INVITATION TO BID FOR Supply &amp; Delivery of Automotive Parts and Supplies for Motorpool shop of Provincial Engineer’s Office, Amas, Kidapawan City. (</t>
  </si>
  <si>
    <t xml:space="preserve"> Republic of the Philippines Region XII Province of Cotabato BIDS AND AWARDS COMMITTEE Amas, Kidapawan City INVITATION TO BID FOR Supply &amp; Delivery of Hardware Supplies to be given to various clients in municipalities of Matalam, Carmen, Kabacan &amp; Mlang, P</t>
  </si>
  <si>
    <t xml:space="preserve"> Quantity		Unit Issue			Item Description 44			bags				cement 21			cubic				Screen Sand 12			length			C-Purlins 2x3x6 4			length			PE Pipe #4 20			sheet			Corrugated  GI Sheet 4x6 G24 4			kilo				Welding Rod (Special)	 2			length			Angular bar #1 4 			sheet</t>
  </si>
  <si>
    <t xml:space="preserve"> INVITATION TO BID For The  SCHOOL EQUIPMENT  Public Bidding No. 014-SHS-2020 Funding Source: Government of the Philippines Through General Appropriations Act (GAA)  FY 2020. The procurement service invites PhilGEPS registered suppliers to bid for the Scho</t>
  </si>
  <si>
    <t xml:space="preserve"> INVITATION TO BID  ACQUISITION OF FORENSIC TOOLS AND EQUIPMENT  FOR CYBERCRIME DIVISION (CCD)  ____________ (ITB No. 2020-06-0001) 1.	The National Bureau of Investigation (NBI), through the Trust Account - PAGCOR Fund intends to apply the sum of Three Mil</t>
  </si>
  <si>
    <t xml:space="preserve"> INVITATION TO BID For The  SCHOOL SUPPLIES  Public Bidding No. 012-SHS-2020 Funding Source: Government of the Philippines Through General Appropriations Act (GAA)  FY 2020. The procurement service invites PhilGEPS registered suppliers to bid for the Schoo</t>
  </si>
  <si>
    <t xml:space="preserve"> 1	UTP Cable CAT-6 Outdoor	UTP Cable CAT-6 Outdoor	1	Box	3,000.00 2	Crimping Tools	Crimping Tools	1	Piece	2,500.00 3	RJ45	RJ45 (Pass through hole design, Metal Shielded)	200	Piece	3,000.00 4	Gigabit Wi-Fi Router AC1900	Gigabit Wi-Fi Router AC1900 Max Strea</t>
  </si>
  <si>
    <t xml:space="preserve"> INVITATION TO BID For The  SCHOOL EQUIPMENT  Public Bidding No. 013-SHS-2020 Funding Source: Government of the Philippines Through General Appropriations Act (GAA)  FY 2020. The procurement service invites PhilGEPS registered suppliers to bid for the Scho</t>
  </si>
  <si>
    <t xml:space="preserve"> Department of Agriculture BUREAU OF PLANT INDUSTRY  Baguio National Crop Research, Development and Production Support Center Division BPI-Compound , Guisad, Baguio City Tel. No. (074)445-9084-85 ____________________________________________________________</t>
  </si>
  <si>
    <t xml:space="preserve"> Republic of the Philippines DEPARTMENT OF PUBLIC WORKS AND HIGHWAYS QUIRINO DISTRICT ENGINEERING OFFICE REGIONAL OFFICE II Cabarroguis, Quirino Procuring Entity	:	DPWH - QDEO	P.R. No.	:	2020-06-072 Revised on	:		Date	:	06/04/2020 Standard Form/Title	:	REQ</t>
  </si>
  <si>
    <t xml:space="preserve"> Palay Seeds: (Certified) 40kg/bag Seeds: (Registered) 20kg/bag</t>
  </si>
  <si>
    <t xml:space="preserve"> Republic of the Philippines DEPARTMENT OF PUBLIC WORKS AND HIGHWAYS QUIRINO DISTRICT ENGINEERING OFFICE REGIONAL OFFICE II Cabarroguis, Quirino Procuring Entity	:	DPWH - QDEO	P.R. No.	:	2020-06-069 &amp; 2020-06-074 Revised on	:		Date	:	06/04/2020 &amp; 06/09/202</t>
  </si>
  <si>
    <t xml:space="preserve"> 1	unit	Laptop 		- Intel core I7 9300H 4.0GHz 		- 16 GB DDR4 RAM 		- 256 GB SSD + 1TB HDD 		- Windows 10 Home OS 		- NVIDIA GTX 1650 (4GB GDDRS)</t>
  </si>
  <si>
    <t xml:space="preserve"> Air Compressor: HD Coffee Brewer: 15Liters Capacity Coffee Maker: (Commercial Coffee Maker); Dimension: 12.5"x13.25"x16"  2000ml 250g Commercial Juice Dispenser Machine: Dimension: 320x445x680mm; Net  Weight: 20kg Double Jacketed Kettle: /Machine, 300L Ge</t>
  </si>
  <si>
    <t xml:space="preserve"> Please see attached ITB. ABC: 298,440.00</t>
  </si>
  <si>
    <t xml:space="preserve"> 4	boxes	Sardines (100/box,s/s) 5	boxes	Corn beef 220	cans	Liberty Meat (Assorted flavor) 375 gms 10	gantas	Mongo 10	gantas	White Beans 20	kgs	Red Onions 20	kgs	Chinese Cabbage 20	kgs	String beans 20	kgs	Carrots 20	kgs	Cabbage 20	kgs	Brocolli 20	kgs	Caulif</t>
  </si>
  <si>
    <t xml:space="preserve"> 1.	The Bureau of Jail Management and Penology Regional Office CALABARZON (BJMPRO-CALABARZON) through the GAA2020   intends to apply the sum of Five  Million Five Hundred Thirty-Five Thousand Nine Hundred Pesos (Php 5,535,900.00) being the Approved Budget </t>
  </si>
  <si>
    <t xml:space="preserve"> Polycarbonate Roof: Transparent 12ft Chlorine Granules: 50kg Powder Soap: 10kg Formaldehyde: - Steel Wall: - Flexible Hose: 1/2 PVC Tee: 1.5" Alcohol: 70% 500 ml Plankton net: 46 microns Air Stone: - Spatula: 6" Foot Brush: -</t>
  </si>
  <si>
    <t xml:space="preserve"> Republic of the Philippines Department of Health CENTRAL OFFICE BIDS AND AWARDS COMMITTEE 11 June 2020 REQUEST FOR QUOTATION PROCUREMENT OF VARIOUS ICT RFQ No. 2020-003 1.	The Department of Health (DOH), hereinafter referred to as “the Purchaser”, has a r</t>
  </si>
  <si>
    <t xml:space="preserve"> Installation of 1 unit single piston at least 24HP diesel engine 2,400RPM, input capacity approximate 6 to 8sack/hour at 50kg per sack, all steel heavy duty framing, with a feeder and return elevator with auto overload by pass, with cyclone dust/bran cole</t>
  </si>
  <si>
    <t xml:space="preserve"> Please see attached Request for Quotation for details.</t>
  </si>
  <si>
    <t xml:space="preserve"> 1	1500	piece	Hollow Blocks	 2	60	piece	Corrugated Bar #10	 3	60	piece	Corrugated Bar #9	 4	150	bag	Cement	 5	5	kilo	Tie wire	 6	2	mini dum	Fine Sand	 7	60	piece	GI pipe 3/4	 8	50	piece	Faucet	 9	35	piece	GI joint 3/4	 10	40	piece	GI elbow 3/4	 11	30	piece</t>
  </si>
  <si>
    <t xml:space="preserve"> SectionI. Invitation to Bid Republic of the Philippines Province of Surigao del Sur Municipality of San Miguel BARANGAY POBLACION Invitation to Bid for the Supply and Delivery of DIESEL FUEL AND OIL LUBRICANTS FOR GRAVELLING OF FARM TO MARKET ROAD - PUROK</t>
  </si>
  <si>
    <t xml:space="preserve"> Republic of the Philippines DEPARTMENT OF PUBLIC WORKS AND HIGHWAYS  OFFICE OF THE DISTRICT ENGINEER Cavite 1 st  District Engineering Office   Brgy. De Ocampo, Trece Martires City    INVITATION TO BID    The Department of Public Works and Highways (DPWH)</t>
  </si>
  <si>
    <t xml:space="preserve"> The Barangay Government of Concepcion Pequeña, Naga City intends to apply for the sum of Five Hundred Twenty Thousand Three Hundred Pesos (Php 520,300.00) to payments under the contract for the proposed Drainage at Zone 2, Happy Homes to Outfall, Concepci</t>
  </si>
  <si>
    <t xml:space="preserve"> SUPPLIES AND DELIVERY OF OFFICE SUPPLIES FOR THE USED OF BARANGAY SAGAD</t>
  </si>
  <si>
    <t xml:space="preserve"> 1.     1,617      SACKS   RICE  (50/kls) APPROVED BUDGET FOR THE CONTRACT: PHP 3,557,400.00 LOCATION OF THE CONTRACT: BATARAZA, PALAWAN DURATION OF THE CONTRACT: 7 DAYS SCHEDULE OF ACTIVITIES: POSTING AND ISSUANCE OF BIDS: JUNE 13-17, 2020 PRE-BID CONFERE</t>
  </si>
  <si>
    <t xml:space="preserve"> 1	15	gal	Paint gloss -latex - cream	 2	10	gal	Paint gloss - latex- green	 3	2	gal	Paint thinner	 4	5	pcs	Paint brush #2	 5	5	pcs	Paint brush #1	 6	5	pcs	Paint brush #3	 7	2	pcs	Roller brush with plate	 8	10	pcs	Marine Plyboard #1	 9	2	kilo	Nails #2	 10	2	</t>
  </si>
  <si>
    <t xml:space="preserve"> 20 bags cement, 1 cu. m. sand, 1 cu. m. gravel, 80 kgs. 12mm dia. RSB, 1 kg. g.i. wire, 1 pc. 4 x 8 x 1/2 plywood 198 bags cement, 11 cu.m. sand, 22 cu.m. gravel 3/4, 119 bd.ft. form lumber, 5 kgs. asstd. C.W. nail</t>
  </si>
  <si>
    <t xml:space="preserve"> 1 unit Laptop - 15.6 inch 114Hz IPS display Full HD resolution (1920x1080) intel core i7-9750H processor NVIDIA GeForce GTX 1650GB graphics 8Gb DDR4-2666 RAM 512 GBM.2 2280SSD storage Windows 10 Home Backlit keyboard</t>
  </si>
  <si>
    <t xml:space="preserve"> The Barangay Government of Concepcion Pequeña, Naga City intends to apply for the sum of Two Hundred Ninety Seven Thousand One Hundred Pesos (Php 297,100.00) to payments under the contract for the proposed Drainage at Zone 2, Canuto Village, Concepcion Pe</t>
  </si>
  <si>
    <t xml:space="preserve"> 1 unit brand new komatsu D53 starter assy, 1 pail oil 40, 1 pc. epoxy, Labor 1 pc. radiator fan, 1 pc. oil filter, 4 ltrs. engine oil, 1 ltr. ATF, 1 set honda relay, 1 set fuse and relay box, electrical harness, Labor (electrical rehabilitation)</t>
  </si>
  <si>
    <t xml:space="preserve"> CNHS-JHS 10   piece   Tornado Mop (big)  1    unit     Balance Beam with Height Rod Physician Scale 10   piece   PC Headphone Microphone MIC A4 Tech  2    bndle   Rags, all cotton 32pcs per kilogram  2    piece   Disinfecting Foot Mat  2    piece   Wirele</t>
  </si>
  <si>
    <t xml:space="preserve"> I. EXCAVATION AND DISPOSAL: A. LABOR: 1 Foreman 6 Laborers B. EQUIPMENT: 1 Unit Jackhammer Direct Cost 15% O. C. M. 10% Profit 5% V.A.T II. CONCRETE WORKS: Canal Dimension: L= 60m  W=0.4m  H=0.2m A. MATERIALS: 120 bags Portland Cement 8 cu.m. White Sand 1</t>
  </si>
  <si>
    <t xml:space="preserve"> Item No. 	Description	UWM	QUANTITY	Unit Price (PhP)	Total Price (PhP) 1	Battery,Motolite,3SM	set	1		 2	Brake Fluid	liter	1		 3	Fuel Filter	pcs.	1		 4	Oil Filter	pcs.	1		 5	Synthetic Oil	liter	7		 6	Headlight bulb	pcs.	2		 7	wiper Blade	set 	1		 8	Air clea</t>
  </si>
  <si>
    <t xml:space="preserve"> 4 gal oil coolant, 1 pail oil 10 1 pc. injector assylum, 1 pc. R/R ECD assylum (driver injector), 1 pc. silica gel, 1 pc. valve cover gasket, 4 pcs. oil seal 1 pc. tire 70/70/14, 1 pc. tire 80/90/14, 2 pail rev-x sae 40, 4 gal diesel engine oil turbo, 2 p</t>
  </si>
  <si>
    <t xml:space="preserve"> SUPPLIES AND DELIVERY OF DRUGS AND MEDICINE AND VITAMINS FOR THE USED OF BARANGAY SAGAD</t>
  </si>
  <si>
    <t xml:space="preserve"> Lot No.  Unit Item  Description/Particular   Quantity             No. Of Pax                  Unit Cost      Total Cost Lot No. 1 PSA-RSSO IX - Zamboanga City-Procurement                      Live-in participants-    2,500/pax    Php 645,000.00 of Caterin</t>
  </si>
  <si>
    <t xml:space="preserve"> 100 Box Long White Folder (Sold by 50's) 100 Box Short White Folder (Sold by 50's) 50 Box Panda Crystal Ballpen Color Blue 50 Box Panda Crystal Ballpen Color Black 50 Box Erasing Whiteboard Marker Pen ( 1Box/10Pcs) Color Black 50 Box Erasing Whiteboard Ma</t>
  </si>
  <si>
    <t xml:space="preserve"> Agusan National High School with its Bids nd Awards Commiittee (BAC) would like to request for RFQ for the Supply and Delivery of Covid-Response items/ Item	Quantity	Unit	Name of Article(s) &amp; Descriptions	Unit Price	Total	Remarks 1              	4	unit	Th</t>
  </si>
  <si>
    <t xml:space="preserve"> Purchase of School Forms and School ID's amounting Php 12,000.00</t>
  </si>
  <si>
    <t xml:space="preserve"> TITLE: SUPPLY AND INSTALLATION OF AIRCON 2.5HP INVERTER SPLIT TYPE  ABC: PHP116,000.00 SOURCE OF FUNDS: BRGY. IRA FUND SUPPLY AND INSTALLATION OF 2 UNITS AIRCON 2.5HP INVERTER SPLIT TYPE                                               x-x-x-x-x-x</t>
  </si>
  <si>
    <t xml:space="preserve"> Office aircon 1HP window type   (2 units)</t>
  </si>
  <si>
    <t xml:space="preserve"> REHABILITATION OF BASKETBALL COURT</t>
  </si>
  <si>
    <t xml:space="preserve"> PURCHASE OF OFFICE SUPPLIES INCLUDES PRINTER Php 26,000.00 INCLUDES DELIVERY AND HAULING</t>
  </si>
  <si>
    <t xml:space="preserve"> Please submit your quotation on or before June 17, 2020 at 9:00 A.M. Please see attached RFQ for terms and conditions.</t>
  </si>
  <si>
    <t xml:space="preserve"> Sign pen 0.3 black	pc	200 Correction pen 12mL	pc	200 Flash drive 8GB	pc	200 Ballpen black	pc	200 Ballpen red	pc	100 Epson Inkbottle C13T664100 Black	Bottle	5 Epson Inkbottle C13T664200 Cyan	Bottle	5 Epson Inkbottle C13T664300 Magenta	Bottle	5 Epson Inkbot</t>
  </si>
  <si>
    <t xml:space="preserve"> Republic of the Philippines Province of Ilocos Sur Municipality of San Juan Barangay Lira OFFICE OF THE BIDS AND AWARDS COMMITTEE INVITATION TO APPLY FOR ELIGIBILITY AND TO BID The Barangay Lira,San Juan,Ilocos Sur through the Bids and Awards Committee (B</t>
  </si>
  <si>
    <t xml:space="preserve"> Date:_________________	 RFQ No.:SPPF2020-PR.179			 Name of Company: _____________________________________ Address: _______________________________________________ Name of Store/Shop:_______________________________________________________ Address:_________</t>
  </si>
  <si>
    <t xml:space="preserve"> Republic of the Philippines Province of Ilocos Sur Municipality of San Juan Barangay Lira OFFICE OF THE BIDS AND AWARDS COMMITTEE INVITATION TO APPLY FOR ELIGIBILITY AND TO BID The Barangay Lira,San Juan,Ilocos Sur through the Bids and Awards Committee(BA</t>
  </si>
  <si>
    <t xml:space="preserve"> Anti-flu vaccines @ least 6 months or more validity before expiry date (Quadrivalent Seasonal Flu/Influenza) 0.5 ml pre-filled syringe</t>
  </si>
  <si>
    <t xml:space="preserve"> Purchase of School Purchase materials Php 2,000.00</t>
  </si>
  <si>
    <t xml:space="preserve"> Please submit your quotation on or before June 17, 2020 at 9:00 A.M. Please see attached RFQ for requirements and terms and conditions.</t>
  </si>
  <si>
    <t xml:space="preserve"> 1. The Total Approved Budget for the Contract (ABC) is Seven Hundred Fifty Thousand Pesos (Php 750,000.00). 2. Price quotation/s should be inclusive of tax obligations. 3. Evaluation of bids will be conducted either on a “per item” or “lot” basis. 4. Deli</t>
  </si>
  <si>
    <t xml:space="preserve"> PURCHASE OF SCHOOL SUPPLIES Php 48,300.00</t>
  </si>
  <si>
    <t xml:space="preserve"> REHABILITATION OF SIXTEEN (16) UNITS CCTV CAMERAS AND REPLACEMENT OF VARIOUS MATERIALS AT BRGY. STA. ELENA, SAN PABLO CITY</t>
  </si>
  <si>
    <t xml:space="preserve"> PURCHASE OF SCHOOL GARDEN TOOLS AND OTHER MATERIALS Php 8,000.00 INCLUDES HAULING AND DELIVERY.</t>
  </si>
  <si>
    <t xml:space="preserve"> 15 gallons Chlorine Dioxide disinfectant 120 pieces Faceshield 100 cans Solbac Disinfectant spray 10 pieces Foot Mat Disinfectant 40 pieces Alcohol dispenser 2 rolls Plastic cover 30 pieces Plastic expanded envelope long with handle 50 reams Paper Multipu</t>
  </si>
  <si>
    <t xml:space="preserve"> Janitorial Supplies</t>
  </si>
  <si>
    <t xml:space="preserve"> 1 10 m MESH WIRE 1"X1"  2 2 UNIT PLATFORM TROLLEY, DURABLE, 300KG CAP  3 7 ROLL ORCHID NET FOR SCREENHOUSE, BLACK, 5FTX40M  4 20 m GARDEN HOSE, HEAVY DUTY</t>
  </si>
  <si>
    <t xml:space="preserve"> 1 150 PCS ATROPINE SULFATE 250MCG/ML AMPULE  2 135 PCS ADRENALINE AMPULE  3 1,000 PCS ALUMINUM + MAGNESIUM HYDROXIDE TABLET  4 86 BOT ASCORBIC ACID + ZINC DROPS 15ML  5 25 BOT ASCORBIC ACID + TAURINE + LYSINE SYRUP 60ML  6 36 BOT BUTAMIRATE CITRATE 7.5MG/</t>
  </si>
  <si>
    <t xml:space="preserve"> PURCHASE OF MEDICAL AND DENTAL SUPPLIES Php 3,780.00</t>
  </si>
  <si>
    <t xml:space="preserve"> 2 unit CAMERA FILM X-A7 Mirrorless Camera with 15-45mm lens - BRAND NEW with ONE YEAR warranty. film introduces the X-A7, the latest addition to its X-series. This versatile mirrorless camera combines a stylish interior with stunning imaging.</t>
  </si>
  <si>
    <t xml:space="preserve"> 1   1 unit Computer Laptop Inter Core i7 8th gen or latest (2.30 GHz or higher) 8GB DDR4 RAM 1 TB HDD SATA 15.6" HD LED Display Intel HD Graphics Optical Disk Drive Pre-installed Windows 10 64-bit Operating System Free Mouse and Laptop Bag   2   2 unit Co</t>
  </si>
  <si>
    <t xml:space="preserve"> Republika ng Pilipinas					 Department of Education					 Region XI					 Davao City					 Request for Quotation					 				Date:	 				PR No.:	000094 	Please quote your lowest price on the item/s listed below, subject to the General Conditions on the last page</t>
  </si>
  <si>
    <t xml:space="preserve"> 1 unit ID Printer Colored</t>
  </si>
  <si>
    <t xml:space="preserve"> 1 LOT Subscription to a Video Conferencing and Online Meeting Software  -In accordance with the Technical Specifications  ABC: Php 615,000.00  NOTE: Please sign all pages of the Technical Specifications and submit it together with your quotation in a SEAL</t>
  </si>
  <si>
    <t xml:space="preserve"> Please see attached Request for Quotation. Thank you.</t>
  </si>
  <si>
    <t xml:space="preserve"> 400 pax</t>
  </si>
  <si>
    <t xml:space="preserve"> Cooling fan with cold air release</t>
  </si>
  <si>
    <t xml:space="preserve"> Reproduction</t>
  </si>
  <si>
    <t xml:space="preserve"> Heavy duty mobile trash bins</t>
  </si>
  <si>
    <t xml:space="preserve"> Supplies and Materials for Barangay Traffic Enforcers</t>
  </si>
  <si>
    <t xml:space="preserve"> 1.	The Municipal Government of Burgos, Ilocos Norte, through the 20% Economic Development Fund intends to apply the sum of PhP4,200,000.00 being the Approved Budget for the Contract (ABC) to payments under the contract for Concreting of Paayas-Bobon-Bayog</t>
  </si>
  <si>
    <t xml:space="preserve"> 20 rolls	Gauze roll 20 boxes	Teramycin eye ointment 50 boxes	IV-cañula G 18 50 boxes	IV-cañula G 20 20 boxes	1cc syringe 20 boxes	3cc syringe 50 boxes	Vita K ampoules 10 gallon	Betadine solution 145 boxes 	Chromic 20 (double arm) 100 boxes	Amoxicillin 250</t>
  </si>
  <si>
    <t xml:space="preserve"> Motorcycle with sidecar and Single Motorcycle</t>
  </si>
  <si>
    <t xml:space="preserve"> DENR-ENVIRONMENTAL MANAGEMENT BUREAU Region 3 invites all eligible suppliers to quote the following: PROCUREMENT AND DELIVERY OF STORAGE DEVICES  PROCUREMENT AND DELIVERY OF STORAGE DEVICES  1. 128GB 2 in 19 Android mobile and computer U disk) Micro USB O</t>
  </si>
  <si>
    <t xml:space="preserve"> 1   1 UNIT MEDICAL CHART RACK WITH WHEELS (2 TIER) 37H X 23W X 13D 2   2 UNIT MEDICAL CHART RACK WITH WHEELS (3 TIER) 37H X 33W X 13D   Remarks : The aluminum whelled chart carriers are designed to provide a lightweight and easy to use medical chart cart </t>
  </si>
  <si>
    <t xml:space="preserve"> SECURITY SERVICES-PROVISION OF WATCHMAN FOR THE MONTH MARCH TO DECEMBER 2020 1 School Watchman of 12 HRS DUTY PER DAY FROM MARCH 1-DECEMBER 31, 2020(10 MONTHS)</t>
  </si>
  <si>
    <t xml:space="preserve"> Rizo Ink Master  Bond Paper A4 ect.</t>
  </si>
  <si>
    <t xml:space="preserve"> Republic of the Philippines Region 10 – Northern Mindanao Province of Lanao del Norte MUNICIPALITY OF BALO-I Email: mlgubaloi.ldn@gmail.com Office of the Bids and Awards Committee Invitation to Bid 1. The Local Government Unit of Balo-i, Lanao del Norte, </t>
  </si>
  <si>
    <t xml:space="preserve"> 7 Units Utility Cart Performance Specs: -To be Use in transporting food and wares in meals venues Technical Specs: -Versatile and durable utility cart -Holds up to 135kg -Textured surface for non-skid performance -Each shelf holds a full size dish rack or</t>
  </si>
  <si>
    <t xml:space="preserve"> Medical and Dental equipment</t>
  </si>
  <si>
    <t xml:space="preserve"> The National Irrigation Administration – Pangasinan IMO now invites bids for the CONSTRUCTION OF BAYAOAS SRIP – IRRIGATION FACILITIES (PHASE I) under FUND 501. The project is located at Aguilar, Pangasinan with the following description of work:	 I.	CONST</t>
  </si>
  <si>
    <t xml:space="preserve"> various</t>
  </si>
  <si>
    <t xml:space="preserve"> Desktop Computer, Laptop Computer and Colored Printer</t>
  </si>
  <si>
    <t xml:space="preserve"> DETAILED ESTIMATES: ITEM I EXCAVATION ITEM II CONCRETE WORKS ITEM III FORM WORKS</t>
  </si>
  <si>
    <t xml:space="preserve"> DENR-ENVIRONMENTAL MANAGEMENT BUREAU Region 3 invites all eligible suppliers to quote the following: PROCUREMENT AND DELIVERY OF STORAGE RACK AND LOCKER Storage Rack 4ft x 28in x 7ft--- 10 units Locker, 6 doors---- 3 pcs Cabinet for PPE’s, steel storage w</t>
  </si>
  <si>
    <t xml:space="preserve"> 1.	The Municipal Government of Burgos, Ilocos Norte, through the Nutrition Development Program, CY 2020 intends to apply the sum of PhP109,998.00 being the Approved Budget for the Contract (ABC) to payments under the contract for Purchase of Baby Cereals </t>
  </si>
  <si>
    <t xml:space="preserve"> Description  Section 1. Invitation to Bid Republic of the Philippines, Barangay Baluan, General Santos City, Invitation to Bid for the Improvement of Health Center at Baluan Proper. BAC-2020-003 1. The Barangay Council of Baluan, General Santos City hereb</t>
  </si>
  <si>
    <t xml:space="preserve"> 2 Sets Desktop Specs: Processor: INTEL CORE i5 Mainboard: / V / SND / GLAN Video Card: 1GB Memory: 8GB Casing: 500WATTS CASING Keyboard Optical Mouse SSD: 128GB Harddrive: 1TB SATA CDRW / DVDRW: 24X SATA LIGHTSCRIBE Monitor: 18.5” LED Speakers UPS: APC 65</t>
  </si>
  <si>
    <t xml:space="preserve"> 1 2,300 LTRS DIESEL  2 485 LTRS GASOLINE</t>
  </si>
  <si>
    <t xml:space="preserve"> Municipality of Sto. Tomas									 Barangay SAN PABLO									 									 									 INVITATION TO BID									 									 The Barangay Government of San Pablo, Sto. Tomas, Batangas through its Bids and Awards Committee ( BAC) 									 invites suppliers/de</t>
  </si>
  <si>
    <t xml:space="preserve"> 1 1 kg. 4" CW Nails  2 1 kg. 2½" CW Nails  3 1 kg. 1½" CW Nails  4 2 shts. 5mm thk. x 1.20m x 2.40m Marine Plywood, Type II with PS Markings  5 440 pcs. 0.60mm thk x 30mm x 75mm x 3.0m Metal Studs  6 160 pcs. 0.40mm thk x 19mm x 50mm x 5.0m Metal Furring </t>
  </si>
  <si>
    <t xml:space="preserve"> 1.	The Capiz Provincial Government, through the GOP–2020 intends to apply the total amount Two Million Two Hundred Twenty Thousand Five Hundred Twenty-Five Pesos (Php 2,220,525.00) being the total Approved Budget for the Contract (ABC) to payments under t</t>
  </si>
  <si>
    <t xml:space="preserve"> 20-10142</t>
  </si>
  <si>
    <t xml:space="preserve"> Contract ID:	20DL0209 Contract Name:	LOCAL PROGRAM, CONST. / REPAIR / REHAB. / IMPROVEMENT OF VARIOUS INFRASTRUCTURE INCLUDING LOCAL PROJECTS, NATIONAL ROADS AND BRIDGES, NATIONAL ROADS, CONSTRUCTION OF SLOPE PROTECTION ALONG OLD ZIGZAG ROAD, K0153+450 - </t>
  </si>
  <si>
    <t xml:space="preserve"> Request for Quotation Date	               : June 11, 2020 Quotation No.             : 025- 2020 Mode of Procurement : Small Value Procurement 	 To all Eligible Suppliers: I.	Please quote your lowest price inclusive of VAT on the item/s listed below, subje</t>
  </si>
  <si>
    <t xml:space="preserve"> BIDS AND AWARDS COMMITTEE INVITATION TO SUBMIT PRICE QUOTATIONS SMALL VALUE PROCUREMENT No. 053-2020                                                                 The METRO ROXAS WATER DISTRICT (MRWD), through its Bids and Awards Committee (BAC), invite</t>
  </si>
  <si>
    <t xml:space="preserve"> Request for Quotation Date	               : June 11, 2020 Quotation No.             : 027- 2020 Mode of Procurement : Small Value Procurement 	 To all Eligible Suppliers: I.	Please quote your lowest price inclusive of VAT on the item/s listed below, subje</t>
  </si>
  <si>
    <t xml:space="preserve"> 20-10144</t>
  </si>
  <si>
    <t xml:space="preserve"> Contract ID:	20DL0217 Contract Name:	C. CONVERGENCE AND SPECIAL SUPPORT PROGRAM 1. CONSTRUCTION / IMPROVEMENT OF ACCESS ROADS LEADING TO DECLARED TOURISM DESTINATIONS 4. ACCESS ROAD LEADING TO LAMESANG BATO, CALAUAG, QUEZON Contract Location:	CALAUAG, QUE</t>
  </si>
  <si>
    <t xml:space="preserve"> Contract ID:	20DL0216 Contract Name:	CONVERGENCE AND SPECIAL SUPPORT PROGRAM, CONSTRUCTION / IMPROVEMENT OF VARIOUS INFRASTRUCTURE IN SUPPORT OF NATIONAL SECURITY 1. ACCESS ROAD LEADING TO 85TH INFANTRY BATTALION BRGY. VILLA PRINSIPE-SAN ISIDRO KANLURAN-M</t>
  </si>
  <si>
    <t xml:space="preserve"> Contract ID:	20DL0214 Contract Name:	ORGANIZATIONAL OUTCOME 2 : PROTECT LIVES AND PROPERTIES AGAINST MAJOR FLOODS, FLOOD MANAGEMENT PROGRAM, CONSTRUCTION/ MAINTENANCE OF FLOOD MITIGATION STRUCTURES AND DRAINAGE SYSTEMS 6. CONSTRUCTION OF FLOOD CONTROL ALO</t>
  </si>
  <si>
    <t xml:space="preserve"> PROCUREMENT OF VARIOUS OFFICE SUPPLIES ***Please see attached list of items and their minimum specifications. NOTES: 1. Price quotations must be valid for a period of thirty calendar days from the date of submission. 2. Price quotations, to be denominated</t>
  </si>
  <si>
    <t xml:space="preserve"> Contract ID:	20DL0213 Contract Name:	LOCAL PROGRAM, CONST. / REPAIR / REHAB. / IMPROVEMENT OF VARIOUS INFRASTRUCTURE INCLUDING LOCAL PROJECTS, NATIONAL ROADS AND BRIDGES, NATIONAL ROADS, CONSTRUCTION OF SLOPE PROTECTION ALONG OLD ZIGZAG ROAD, K0157+050 - </t>
  </si>
  <si>
    <t xml:space="preserve"> Contract ID:	20DL0215 Contract Name:	ORGANIZATIONAL OUTCOME 2 : PROTECT LIVES AND PROPERTIES AGAINST MAJOR FLOODS, FLOOD MANAGEMENT PROGRAM, CONSTRUCTION/ MAINTENANCE OF FLOOD MITIGATION STRUCTURES AND DRAINAGE SYSTEMS 13. REHABILITATION OF FLOOD CONTROL </t>
  </si>
  <si>
    <t xml:space="preserve"> DETAILED ESTIMATES ITEM I DEMOLITION AND REMOVAL OF EXISTING STRUCTURES ITEM II CONCRETE WORKS ITEM III FORMS AND SCAFFOLDINGS ITEM IV ROOFING AND ROOF FRAMING</t>
  </si>
  <si>
    <t xml:space="preserve"> ITEM NO.	UNIT		QTY		DESCRIPTION		 							 1	 bags 		381		Portland Cement (Type I)		 2	 cu.m 		42		 Gravel  		 3	 cu.m 		21		 Sand 		 4	 kgs 		8		 Asphalt Filter 		 5	 cu.m 		37		 Mixed Aggregates 		 INVITATION TO BID The Municipality of Sablayan through i</t>
  </si>
  <si>
    <t xml:space="preserve"> Contract ID:	20DL0212 Contract Name:	LOCAL PROGRAM, CONST. / REPAIR / REHAB. / IMPROVEMENT OF VARIOUS INFRASTRUCTURE INCLUDING LOCAL PROJECTS, NATIONAL ROADS AND BRIDGES, NATIONAL ROADS, CONSTRUCTION OF SLOPE PROTECTION ALONG OLD ZIGZAG ROAD, K0156+650 - </t>
  </si>
  <si>
    <t xml:space="preserve"> as per attached RFQ</t>
  </si>
  <si>
    <t xml:space="preserve"> Request for Quotation Date	               : June 11, 2020 Quotation No.             : 026- 2020 Mode of Procurement : Small Value Procurement 	 To all Eligible Suppliers: I.	Please quote your lowest price inclusive of VAT on the item/s listed below, subje</t>
  </si>
  <si>
    <t xml:space="preserve"> See the attached document for details Download the RFQ at www.urs.edu.ph</t>
  </si>
  <si>
    <t xml:space="preserve"> See attached document Download the RFQ at www.urs.edu.ph</t>
  </si>
  <si>
    <t xml:space="preserve"> Contract ID:	20DL0211 Contract Name:	LOCAL PROGRAM, CONST. / REPAIR / REHAB. / IMPROVEMENT OF VARIOUS INFRASTRUCTURE INCLUDING LOCAL PROJECTS, NATIONAL ROADS AND BRIDGES, NATIONAL ROADS, CONSTRUCTION OF SLOPE PROTECTION ALONG DAANG MAHARLIKA (LZ), K0174+0</t>
  </si>
  <si>
    <t xml:space="preserve"> Contract Package 7: Preventive Maintenance: a. Abanao Ext. – Chainage 008 – Chainage 111 (SO5052LZ) b. Major Mane Rd. – Chainage 057 – Chainage 112 (SO0489LZ) c. Quezon Hill Drive – Chainage 000 – Chainage 075 (SO0503LZ) d. Quirino H-Way (Baguio-Bauang) –</t>
  </si>
  <si>
    <t xml:space="preserve"> The San Jose City LGU, through its BAC, invites contractors registered and classified by the Philippine Contractors Accreditation Board(PCAB) to apply for eligibility and if found eligible, to bid for the hereunder contract: Name of Project: Improvement o</t>
  </si>
  <si>
    <t xml:space="preserve"> Contract ID:	20DL0208 Contract Name:	LOCAL PROGRAM, CONST. / REPAIR / REHAB. / IMPROVEMENT OF VARIOUS INFRASTRUCTURE INCLUDING LOCAL PROJECTS, NATIONAL ROADS AND BRIDGES, NATIONAL ROADS, CONSTRUCTION OF SLOPE PROTECTION ALONG DAANG MAHARLIKA (LZ), K0155+1</t>
  </si>
  <si>
    <t xml:space="preserve"> Name of Activity: 	Repair of Division Office (SDS and Supervisor Office) ABC: 	Php. 200,041.71 Specifications: 		See the attached request for quotation Duration	:		30 calendar days Interested Bidders are required to submit their valid and current DTI Busi</t>
  </si>
  <si>
    <t xml:space="preserve"> Construction of Concrete Road</t>
  </si>
  <si>
    <t xml:space="preserve"> Deliveries of Supplies and Materials for the Rehabilitation of Gymnasium Phase IV at Barangay Basiad, Sta. Elena Camarines Norte.</t>
  </si>
  <si>
    <t xml:space="preserve"> The San Jose City LGU, through its BAC, invites contractors registered and classified by the Philippine Contractors Accreditation Board(PCAB) to apply for eligibility and if found eligible, to bid for the hereunder contract: Name of Project: Concreting of</t>
  </si>
  <si>
    <t xml:space="preserve"> Contract ID:	20DL0210 Contract Name:	LOCAL PROGRAM, CONST. / REPAIR / REHAB. / IMPROVEMENT OF VARIOUS INFRASTRUCTURE INCLUDING LOCAL PROJECTS, NATIONAL ROADS AND BRIDGES, NATIONAL ROADS, CONSTRUCTION OF SLOPE PROTECTION ALONG OLD ZIGZAG ROAD, K0154+150 - </t>
  </si>
  <si>
    <t xml:space="preserve"> Republic of the Philippines Province of Eastern Samar Municipality of Mercedes INVITATION TO BID FOR THE PROCUREMENT OF GOODS PROCUREMENT OF LDRRM IT EQUIPMENT  (1 LOT CCTV SUPPLY AND INSTALLATION) ITB NO. GOODS-2020-02-003  1.	The LOCAL GOVERNMENT  UNIT </t>
  </si>
  <si>
    <t xml:space="preserve"> Name of Project	:	HIRING OF RESEARCH BOAT AND MOTOR LAUNCH FOR OFFICIAL USE OF TUBBATAHA                                 REEFS NATURAL PARK – MANAGEMENT OFFICE Destination	:	Puerto Princesa City to Tubbataha Reefs Natural Park, Cagayancillo, Palawan to Pu</t>
  </si>
  <si>
    <t xml:space="preserve"> Construction / Rehabilitation of Water Supply</t>
  </si>
  <si>
    <t xml:space="preserve"> Deliveries of Supplies and Materials of Multi-Purpose Solar Drier at Barangay Basiad Sta. Elena, Camarines Norte.</t>
  </si>
  <si>
    <t xml:space="preserve"> Rehabilitation/ Reconstruction of Roads with Slips, Slope Collapse, and Landslide – Quezon Hill Rd #1 – K0308+153 – K0308+175, K0308+428 – K0308+447 Contract Location :	Baguio City Approved Budget for the Contract :	Php8,330,000.00 Scope of  work  :	Rehab</t>
  </si>
  <si>
    <t xml:space="preserve"> BIDS AND AWARDS COMMITTEE INVITATION TO SUBMIT PRICE QUOTATIONS SMALL VALUE PROCUREMENT No. 054-2020                                                                 The METRO ROXAS WATER DISTRICT (MRWD), through its Bids and Awards Committee (BAC), invite</t>
  </si>
  <si>
    <t xml:space="preserve"> Grade 7 = 280 pages x 120 learners x.0.75 = 25,200 Grade 8 = 264 pages x 120 learners x 0.75 = 23,760 Grade 9 = 280 pages x 110 learners x 0.75 = 23,100 Grade 10 = 272 pages x 120 learners x 0.75 = 24,480                                              Total</t>
  </si>
  <si>
    <t xml:space="preserve"> ITEM NO.	UNIT		QTY		DESCRIPTION		 							 1	 ltrs 		46270		Diesel		 2	 gal 		88		 Oil #10 		 3	 gal 		56		 Oil #40 		 4	 ltrs 		84		 ATF 		 INVITATION TO BID The Municipality of Sablayan through its Bids and Awards Committee (BAC) invites all interested c</t>
  </si>
  <si>
    <t xml:space="preserve"> 1 (one) Set of Public Address</t>
  </si>
  <si>
    <t xml:space="preserve"> Construction of Slope Protection- Stone Masonry and Retaining Wall</t>
  </si>
  <si>
    <t xml:space="preserve"> Deliveries of supplies and materials for the rehabilitation of Fence ( Barangay Site) at Barangay Basiad, Sta. Elena, Camarines Norte.</t>
  </si>
  <si>
    <t xml:space="preserve"> ITEM NO.	UNIT		QTY		DESCRIPTION		 							 							 1	 unit 		1		 Aircon Split type 2.5 HP 		 					 Inverter w/ remote 		 							 REQUEST FOR QUOTATION							 Date of Posting:	June 12, 2020					Ref. No.	RN 134-2020 RFQ  						PR No.	8731-20-6-10-0062L 					</t>
  </si>
  <si>
    <t xml:space="preserve"> Contact Person    : Alain D. Casison- Mun. Engineer -  09302969658  Venue                  : DatuManlumidssa Conference Hall, 2nd floor, Tubod Mun. Building                                Poblacion, Tubod, S.D.N.  Bid Opening         : June 22, 2020  Time</t>
  </si>
  <si>
    <t xml:space="preserve"> 1 lot 2020-058, CONSTRUCTION OF MULTI-PURPOSE HALL AT PUROK 6, BARANGAY NALIN, MIDSAYAP, COTABATO</t>
  </si>
  <si>
    <t xml:space="preserve"> INVITATION TO BID REPUBLIC OF THE PHILIPPINES CITY OF GOVERNMENT OF NAVOTAS BARANGAY SAN RAFAEL VILLAGE   BIDS AND AWARDS COMMITTEE 1.The Sangguniang BaraNGAY San Rafael Village, through its Bids and Awards Committee intends to  apply the sun of Two Hundr</t>
  </si>
  <si>
    <t xml:space="preserve"> Negotiated Procurement pursuant to Section 53.9 (Small Value Procurement) of the Revised Implementing Rules and Regulations (IRR) of Republic Act No. 9184 (RA 9184), which took effect on September 2, 2009. Sir/Madam:				      Please quote your government </t>
  </si>
  <si>
    <t xml:space="preserve"> 6 units Jetmatic Pump</t>
  </si>
  <si>
    <t xml:space="preserve"> 1 lot 2020-057, COMPLETION OF COVERED COURT AT BARANGAY SAN ISIDRO, MIDSAYAP, COTABATO</t>
  </si>
  <si>
    <t xml:space="preserve"> INVITATION TO BID NO. UPRIIS-DI-CW-2020-04 1.The National Irrigation Administration - Upper Pampanga River Integrated Irrigation Systems (NIA-UPRIIS), Division I, Malayantoc, Sto. Domingo, Nueva Ecija, through the GAA CY 2020 project intends to apply the </t>
  </si>
  <si>
    <t xml:space="preserve"> REQUEST FOR QUOTATION TERMS OF PAYMENT:   30 DAYS PRICE VALIDITY:        120 DAYS</t>
  </si>
  <si>
    <t xml:space="preserve"> The Sangguniang Barangay of  San Rafael Village, Navotas City through its Committee on Bids and Awards  is inviting prospective suppliers to give their lowest quotation for the following items.</t>
  </si>
  <si>
    <t xml:space="preserve"> 1.	For 30 years of age and below (Male and Female): a.	Physical Examination b.	Routine Urinalysis c.	Complete Blood Count with platelet count d.	Chest X-Ray (Plain) : Posterior-Anterior (PA) View e.	12-Lead Electrocardiogram (ECG) f.	Dental Examination g.</t>
  </si>
  <si>
    <t xml:space="preserve"> Supply and Delivery of Office Supplies</t>
  </si>
  <si>
    <t xml:space="preserve"> Please send your lowest possible quotation for the Procurement of Paper Shredder. Due to the recent situation, you can forward your proposal and queries at clarisseannesalenga@dti.gov.ph until 17 June 2020, 10:00AM. For those who have not yet submitted th</t>
  </si>
  <si>
    <t xml:space="preserve"> INVITATION TO BID REPUBLIC OF THE PHILIPPINES CITY OF GOVERNMENT OF NAVOTAS BARANGAY SAN RAFAEL VILLAGE   BIDS AND AWARDS COMMITTEE 1.The Sangguniang BaraNGAY San Rafael Village, through its Bids and Awards Committee intends to  apply the sun of Eighty Th</t>
  </si>
  <si>
    <t xml:space="preserve"> 1 unit 8way distribution box 1 pc.Circuit breaker 30A 2 pcs. Circuit breaker 20A 12 pcs LED bulb 30watts 10 pcs Rubber socket 5 pcs Tee socket 75 meters wire  3 pcs. Plug 2 rolls Electrical tape</t>
  </si>
  <si>
    <t xml:space="preserve"> INVITATION TO BID REPUBLIC OF THE PHILIPPINES CITY OF GOVERNMENT OF NAVOTAS BARANGAY SAN RAFAEL VILLAGE  BIDS AND AWARDS COMMITTEE 1.The Sangguniang Barangay San Rafael, through its Bids and Awards Committee intends to  apply the sun of One Hundred Five T</t>
  </si>
  <si>
    <t xml:space="preserve"> PM of Door Access Control and Biometrics System: 1 Lot I. Purpose: The procurement of contract for the preventive maintenance of door access control and biometrics system will ensure that the equipment is in good condition to achieve optimum performance a</t>
  </si>
  <si>
    <t xml:space="preserve"> INVITATION TO BID REPUBLIC OF THE PHILIPPINES CITY OF GOVERNMENT OF NAVOTAS BARANGAY SAN RAFAEL VILLAGE   BIDS AND AWARDS COMMITTEE 1.The Sangguniang BaraNGAY San Rafael Village, through its Bids and Awards Committee intends to  apply the sun of  Ninety-E</t>
  </si>
  <si>
    <t xml:space="preserve"> Please see attached RFQ. You may also visit our website at www.jhmc.com for your more procurement opportunities. Thank you.</t>
  </si>
  <si>
    <t xml:space="preserve"> Contact Person  : Alain D. Casison- Mun. Engineer - 09302969658  Venue               : Datu Manlumidsa Conference Hall, 2nd floor Tubod Mun. Building,                            Poblacion, Tubod, S.D.N  Bid Openig        : June 22, 2020  Time             </t>
  </si>
  <si>
    <t xml:space="preserve"> Pls. See attached RFQ</t>
  </si>
  <si>
    <t xml:space="preserve"> 1. 18 pcs. 2x2x10' Good Lumber 2. 6 pcs.   2x3x10' Good Lumber 3. 6 pcs.    2x4x10' Good Lumber 4. 8 pcs.   1/2"dia PVC Pipe (blue) 5. 10 pcs. 1/2" dia Assorted PVC Fittings 6. 8 pcs.   4'x8'x1/2" thick Marine Plywood 7. 2 cans  PVC Solvent Cement 8. 1 se</t>
  </si>
  <si>
    <t xml:space="preserve"> Aircon, 1HP   RTV Stainless Letters,   Malino Letters   Condenser Microphone Kit Studio   Mixer, with cables and guitar plug   Tripod, studio box  Microphone, wireless  Microphone, wired   Lapel   Green Screen, 3*3.6m/9.8*11.8ft   Studio Umbrella    Clip </t>
  </si>
  <si>
    <t xml:space="preserve"> INVITATION TO BID REPUBLIC OF THE PHILIPPINES CITY OF GOVERNMENT OF NAVOTAS BARANGAY SAN RAFAEL VILLAGE   BIDS AND AWARDS COMMITTEE 1.The Sangguniang BaraNGAY San Rafael Village, through its Bids and Awards Committee intends      to apply the sun of Eight</t>
  </si>
  <si>
    <t xml:space="preserve"> 100 pcs Plain R/N shirt (Unisex) - Color: Light Grey/Mint Blue  - Long Sleeves, Regular Fit - Cotton (Adult) - 1 color print, silkscreen</t>
  </si>
  <si>
    <t xml:space="preserve"> Description   Qty 1 lot    1 One (1) Year Subcription License  for Network Firewall Device SCOPE OF WORK:  &gt;Phone and Email support  &gt;Portal product updates  &gt;Version upgrades  &gt;Bug fixes  &gt;Knowledge Transfer   &gt;Assist in troubleshooting by the way of ass</t>
  </si>
  <si>
    <t xml:space="preserve"> - 4 units Air pump (silent linear) Specifications: 60Hz; 0.15KGF/cubic meter; 80L/min; 72watts; 220v - 20 pcs Aquarium heater Specifications: Stainless steel heating rod; 500watts; submersible; with thermostat - 3 units Submersible pump Specifications: 1.</t>
  </si>
  <si>
    <t xml:space="preserve"> - 3 units VHF Radio (Kenwood-218A) Specifications per unit: 136-174 mhz; 200 channel; 65W; and with NTC permit. - 3 units Power Supply 20 AMPS - 3 units VHF Diamond Antenna F23 - 30 meters RG8 COAX - 15 pieces Amphenol Connectors - 3 pieces Antenna Pole S</t>
  </si>
  <si>
    <t xml:space="preserve"> Sir/Madam: Please quote your government price/s including delivery charges, VAT or other applicable taxes, and other incidental expenses for the goods listed in Annex A. Failure to indicate information could be basis for non-compliance. Also, furnish us w</t>
  </si>
  <si>
    <t xml:space="preserve"> 10 pcs Oil filter BF 115-C415 2 pcs RACOR filter assembly 4 pcs RACOR filter element 53234 8 pcs Injector Assembly 1 pc Steering Assembly 20 pcs Spark Plug 4 pcs Control Cable 24ft Throttle and Shift 2 pcs Fuel Pump unit 2 pcs Fuel pump insulator 3 pcs Hi</t>
  </si>
  <si>
    <t xml:space="preserve"> Preventive Maintenance of Fire Suppression Systems: 1 Lot SPECIFICATIONS: I. Purpose: The procurement of contract for the preventive maintenance of fire suppression systems will ensure for the equipment is in good condition to achieve optimum performance </t>
  </si>
  <si>
    <t xml:space="preserve"> REPUBLIC OF THE PHILIPPINES CITY OF MANILA BARANGAY 241 ZONE 22 DISTRICT 2  BIDS AND AWARDS COMMITTEE  INVITATION TO BID THE BARANGAY 241 ZONE 22 DISTRICT 2 MANILA, THROUGH IT'S BID AND AWARDS COMMITTEE (BAC) INVITES ALL SUPPLIERS WITH CERTIFICATE OF ACCR</t>
  </si>
  <si>
    <t xml:space="preserve"> No.	"ITEM DESCRIPTION  (ITEM NAME &amp; TECHNICAL SPECIFICATIONS)"	QTY.	UNIT	UNIT COST	APPROVED BUDGET OF CONTRACT (ABC)	 						 1	Conference Table	1	set	₱68,750.00	 Php68,750.00 	 2	6 seater Table with 6 mobile cabinet	1	set	₱123,125.00	 Php123,125.00 	 3	3 </t>
  </si>
  <si>
    <t xml:space="preserve"> 1 lot 2020-059, EXPANSION OF RURAL HEALTH UNIT(RHU) BUILDING, POBLACION 3, MIDSAYAP, COTABATO</t>
  </si>
  <si>
    <t xml:space="preserve"> Republic of the Philippines Province of Pangasinan MUNICIPALITY OF AGNO THE BIDS AND AWARDS COMMITTEE Invitation to Bid for CONSTRUCTION OF PCCP AT SITIO ARINAAR ROAD, BARANGAY MAGSAYSAY 1.	The Municipality of Agno, Pangasinan, through the Annual Budget C</t>
  </si>
  <si>
    <t xml:space="preserve"> IMPROVEMENT OF HE BUILDING (REPLACEMENT AND REPAINTING OF CEILING AND ROOFING) - Php 22, 120.00 10 pcs. Plywood 1/4 - Php 4, 600.00 15 pcs. Good Lumber 2x2x8 - Php 2, 475.00 2 kg. nails #3 - Php 150.00 1 kg. nails #1 - Php 75.00 5 pcs. plain sheet 3x8x0.3</t>
  </si>
  <si>
    <t xml:space="preserve"> Republic of the Philippines Province of Pangasinan MUNICIPALITY OF AGNO THE BIDS AND AWARDS COMMITTEE Invitation to Bid for CONSTRUCTION OF BOX CULVERT AT BARANGAY PATAR 1.	The Municipality of Agno, Pangasinan, through the Annual Budget CY 2020 General Fu</t>
  </si>
  <si>
    <t xml:space="preserve"> No.	"ITEM DESCRIPTION  (ITEM NAME &amp; TECHNICAL SPECIFICATIONS)"	QTY.	UNIT	UNIT COST	APPROVED BUDGET OF CONTRACT (ABC)	 						 1	20 ft. Container House	3	unit	₱234,000.00	 Php702,000.00 	 2	Sliding door - Fixed Glass	1	set	₱60,000.00	 Php60,000.00 	 3	Stair</t>
  </si>
  <si>
    <t xml:space="preserve"> 6	pcs.	1/4" Marine plywood 24	pcs.	Metal Furring 128.34	sq.	1/4" thk Fixed Glass window  		on Alum. Frame 20.72	sq.	1/4" thk Swing Door Glass door  		on Alum. Frame  1	box	Blind rivets 1	kilo	Concrete Nails 1	pack	Sealant  16	pcs.	12 mm Square Bar 4	pcs.	</t>
  </si>
  <si>
    <t xml:space="preserve"> Republic of the Philippines Province of Pangasinan MUNICIPALITY OF AGNO THE BIDS AND AWARDS COMMITTEE Invitation to Bid for CONSTRUCTION OF PUBLIC MARKET ROOFING, POBLACION EAST 1.	The Municipality of Agno, Pangasinan, through the Annual Budget CY 2020 Ge</t>
  </si>
  <si>
    <t xml:space="preserve"> Procurement of 1 Lot Repair and Maintenance of Office Equipment (Desktop Computer) for the 3rd Quarter of 2020</t>
  </si>
  <si>
    <t xml:space="preserve"> Description  Section 1. Invitation to Bid Republic of the Philippines, Barangay Baluan, General Santos City, Invitation to Bid for the Riprapping of Drainage Canal at  Baluan Proper BAC-2020-004 1. The Barangay Council of Baluan, General Santos City hereb</t>
  </si>
  <si>
    <t xml:space="preserve"> Republic of the Philippines Province of Pangasinan MUNICIPALITY OF AGNO THE BIDS AND AWARDS COMMITTEE Invitation to Bid for CONSTRUCTION OF PCCP AT SITIO BARSAK ROAD, BARANGAY GAYUSAN 1.	The Municipality of Agno, Pangasinan, through the Annual Budget CY 2</t>
  </si>
  <si>
    <t xml:space="preserve"> see attached ITB</t>
  </si>
  <si>
    <t xml:space="preserve"> Supply and delivery of Real Time Kinematics (RTK)  Survey Instruments</t>
  </si>
  <si>
    <t xml:space="preserve"> REPUBLIC OF THE PHILIPPINES CITY OF MANILA BARANGAY 225 ZONE 22 DISTRICT 2  BIDS AND AWARDS COMMITTEE INVITATION TO BID THE BARANGAY 225 ZONE 22 DISTRICT 2 MANILA, THROUGH IT'S BID AND AWARDS COMMITTEE (BAC) INVITES ALL SUPPLIERS WITH CERTIFICATE OF ACCRE</t>
  </si>
  <si>
    <t xml:space="preserve"> Procurement of 1 Lot Repair and Maintenance of Office Equipment (Air-condition) for the 3rd Quarter of 2020</t>
  </si>
  <si>
    <t xml:space="preserve"> REHABILITATION OF THE SCHOOL FEEDING CENTER - Php 33, 860.00 30 sheets Corrugated G.I. sheet 3x12x0.4 - Php 15, 300.00 20 pcs. C purlins 2x3x20 - Php 8, 100.00 5 gal. Metal Primer - Php 2, 125.00 2 gal. Paint Thinner - Php 660.00 50 meters Heat Insulation</t>
  </si>
  <si>
    <t xml:space="preserve"> N. Cement Gravel 4 Cubic meters Sand 3 Cubic meters 10 mm Deformed steel bar 12 mm Deformed steel bar 12 mm Deformed steel bar GI wire # 16 Phenolic board 3/4" Good lumber 2x2x8 Concrete Nail # 3 Common Nail # 2 L Bar 1/4x3 MS plate 20x60x11/2 Turnbuckle </t>
  </si>
  <si>
    <t xml:space="preserve"> Procurement of 1 Lot Repair and Maintenance of Office Equipment (Printers) for the 3rd Quarter of 2020</t>
  </si>
  <si>
    <t xml:space="preserve"> REPAIR, IMPROVEMENT OF 2 (TWO) STOCK ROOMS (REPAIR OF STEEL DOORS, STEEL WINDOWS, ELECTRICAL WIRES, CEILING &amp; ROOF).</t>
  </si>
  <si>
    <t xml:space="preserve"> Purchase and delivery of 3 units Split type Airconditioner with Installation to be used in the Municipality of Concepcion, Tarlac Approed Budget for the Contract : P 174,000.00 Source of Fund : 5% Calamity Fund 2020 Deadline for submission, receipt and op</t>
  </si>
  <si>
    <t xml:space="preserve"> REHABILITATION OF DRAINAGE IN FRONT OF GRADE 5 BLDG. 1 - 15 METERS - Php 12, 670.00 150 pcs. Hollow Blocks - Php 2, 400.00 5 bags Cement - Php 1, 250.00 1/4 cubic meter Gravel - Php 425.00 1/4 cubic meter Sand - Php 230.00 1 pc. 1/4 marine plywood - Php 4</t>
  </si>
  <si>
    <t xml:space="preserve"> Purchase and delivery of Materials for the Repair and Maintenance of 11 heavy equipment used in the Municipality of Concepcion, Tarlac Approved Budget for the Contract : P 67,509.00 Source of Fund : MOOE 2020- Mun. Mayor's Office Deadline for submission, </t>
  </si>
  <si>
    <t xml:space="preserve"> Republic of the Philippines PROVINCE OF CAGAYAN MUNICIPALITY OF CLAVERIA INVITATION TO BID  									June 11, 2020 	The Local Government Unit of Claveria, Cagayan through the 20% Municipal Development Fund (2019 &amp; 2020 BIDA) would like to apply the sum of</t>
  </si>
  <si>
    <t xml:space="preserve"> REPAIR, IMPROVEMENT, OF WATER &amp; SANITATION (WATSAN) IN VIEW OF COVID-19 PANDEMIC.</t>
  </si>
  <si>
    <t xml:space="preserve"> REPAIR, IMPROVEMENT, OF HAND WASHING IN VIEW OF COVID-19 PANDEMIC FOR SHS BUDGET.</t>
  </si>
  <si>
    <t xml:space="preserve"> REHABILITATION OF SCHOOL COMFORT ROOMS BLDG. 4, 5 &amp; 26 - Php 14, 047.00</t>
  </si>
  <si>
    <t xml:space="preserve"> PROCUREMENT OF SPORTS/PE AND MUSICAL INSTRUMENTS - Php 30, 000.00</t>
  </si>
  <si>
    <t xml:space="preserve"> Procurement of 1 Lot Repair and Maintenance of Office Equipment (Photocopier) for the 3rd Quarter of 2020</t>
  </si>
  <si>
    <t xml:space="preserve"> PROCUREMENT OF TOILETRIES - Php 9,999.00</t>
  </si>
  <si>
    <t xml:space="preserve"> Invitation to Bid for the Repair of Multi-Purposed Building thru Repair and Water Collection for Environment Protection @ Brgy. Tongonan, Kananga, Leyte 1.	The Barangay Government of Tongonan, Kananga, Leyte, through its BIDS AND AWARDS COMMITTEE (BAC), t</t>
  </si>
  <si>
    <t xml:space="preserve"> Republic of the Philippines Province of Samar Catbalogan City INVITATION FOR NEGOTIATED PROCUREMENT GOODS 2020-013(NP) Supply and Delivery of  2 units Tires and Starter Motor   The City Government of Catbalogan, through the CY 2020 City Engineering FUND i</t>
  </si>
  <si>
    <t xml:space="preserve"> PROCUREMENT OF EXTERNAL HARD DRIVE FOR LIS, LRMDS &amp; ICT ROOM - Php 15, 000.00 3 pcs External hard drive - Php 15, 000.00 WD External Hard Drive 2 TeraByte</t>
  </si>
  <si>
    <t xml:space="preserve"> NOTICE TO THE PUBLIC  REQUEST FOR QUOTATION                                                     AMP SVP NO: 20-06-0348	              The University of the Philippines, System (UPS) hereby informs the public that it will be procuring the following item/s t</t>
  </si>
  <si>
    <t xml:space="preserve"> Invitation to Bid for the Repair of Multi-Purpose Building (GYM) @ Brgy. Tongonan, Kananga, Leyte 1.	The Barangay Government of Tongonan, Kananga, Leyte, through its BIDS AND AWARDS COMMITTEE (BAC), through the DOE ER 1-94 intends to apply the sum of Thre</t>
  </si>
  <si>
    <t xml:space="preserve"> 1. The City Government of Calamba through the General Fund intends to apply the sum of Php 997,500.00 being the Approved Budget for the Contract (ABC) to payments under the contract for G-2020-293 Supply and Delivery of Meals &amp; Snacks, Office of the City </t>
  </si>
  <si>
    <t xml:space="preserve"> Bidding will be conducted through open competitive bidding procedures using non-discretionary pass/fail criteria as specified in the Implementing Rules and Regulations Part A (IRR-A) of Republic Act 9184, otherwise known as the “Government Procurement Ref</t>
  </si>
  <si>
    <t xml:space="preserve"> see attached program of work</t>
  </si>
  <si>
    <t xml:space="preserve"> A. materials 2 sets panel door w/ jamb (0.80m)    Door knob &amp; Hinges 26 pcs. 1/4"thk ord. plywood 38 pcs. 2X2X10ft.Gemelina 14 kls. asstd. cw nails 2 sets 0.60X0.60m jealousy glass window 2 gals. Flat Enamel Paint 2 gals. Gloss Enamel Paint Labor Cost  Ph</t>
  </si>
  <si>
    <t xml:space="preserve"> 1. The City Government of Calamba through the GAD Fund intends to apply the sum of Php 52,500.00 being the Approved Budget for the Contract (ABC) to payments under the contract for G-2020-332 Supply and Delivery of Meals &amp; Snacks, Gender and Development/C</t>
  </si>
  <si>
    <t xml:space="preserve"> 1. The City Government of Calamba through the General Fund intends to apply the sum of Php 970,502.46 being the Approved Budget for the Contract (ABC) to payments under the contract for G-2020-311 Supply and Delivery of Office &amp; Janitorial Supplies, Offic</t>
  </si>
  <si>
    <t xml:space="preserve"> Please quote your lowest price on the item/s listed below,subject to the General Conditions on the last page, stating the shortest time of delivery and submit your quotation duly signed by your representative not later than in the return envelope attached</t>
  </si>
  <si>
    <t xml:space="preserve"> 1.  SITE WORKS AND SIGNS 2.  CONCRETE WORKS</t>
  </si>
  <si>
    <t xml:space="preserve"> construction materials for handwashing facility</t>
  </si>
  <si>
    <t xml:space="preserve"> please find attached Request for Quotation for complete details of the requirements</t>
  </si>
  <si>
    <t xml:space="preserve"> Construction of Concrete Pathway</t>
  </si>
  <si>
    <t xml:space="preserve"> Republic of the Philippines Department of Health 		Center for Health Development-Bicol BICOL REGION GENERAL HOSPITAL AND GERIATRIC MEDICAL CENTER                                            Cabusao, Camarines Sur INVITATION TO BID  PROCUREMENT OF MEDICAL S</t>
  </si>
  <si>
    <t xml:space="preserve"> Request for Expression of Interest (REOI)  for the  LIDAR DATA MAPPING AND PARCELLARY/ UTILITIES, FACILITIES/ TOPOGRAPHIC SURVEY FOR THE PROPOSED CONSTRUCTION OF MISSING LINK/NEW ROADS, SAN MANUEL (PANGASINAN)- ITOGON (BENGUET) ROAD 1.	The DPWH-Regional O</t>
  </si>
  <si>
    <t xml:space="preserve"> Request for Expression of Interest (REOI)  for the  LIDAR DATA MAPPING AND PARCELLARY/ UTILITIES, FACILITIES/ TOPOGRAPHIC SURVEY FOR THE PROPOSED CONSTRUCTION OF MISSING LINK/NEW ROADS, BOLINAO-DASOL COASTAL ROAD, PANGASINAN 1.	The DPWH-Regional Office I </t>
  </si>
  <si>
    <t xml:space="preserve"> Construction of concrete pathway</t>
  </si>
  <si>
    <t xml:space="preserve"> Construction of covered drainage canal</t>
  </si>
  <si>
    <t xml:space="preserve"> Construction of open canal</t>
  </si>
  <si>
    <t xml:space="preserve"> Republic of the Philippines Province of Agusan del Norte Municipality of Remedios T. Romualdez BARANGAY TAGBONGABONG Invitation to Bid SUPPLY AND DELIVERY OF RAW MATERIALS/INGREDIENTS (FOODSTUFF) FOR THE LIVELIHOOD PROGRAM-MEAT PROCESSING OF SALAKNIB FARM</t>
  </si>
  <si>
    <t xml:space="preserve"> Improvement of Covered Court Phase 2</t>
  </si>
  <si>
    <t xml:space="preserve"> INVITATION TO BID 2020-CS-03 The Department of Public Works and Highways QUEZON III DISTRICT ENGINEERING OFFICE, Catanauan, Quezon, through the FY2020 PDE FUND intends to apply the amount of ₱ ₱2,500,000.00  being the Approved Budget for the Contract (ABC</t>
  </si>
  <si>
    <t xml:space="preserve"> Republic of the Philippines Province of Iloilo Lemery Iloilo Invitation to Bid for Purchase of Information Technology Equipments 1.	The Municipality of Lemery, Iloilo, through the Purple Ribbon Fund   intends to apply the sum of  One Hundred Forty Nine Th</t>
  </si>
  <si>
    <t xml:space="preserve"> REQUEST FOR EXPRESSION OF INTEREST (REOI) FOR  Contract ID No. 	20CSAD03 Contract Name/Location: Sub-surface Exploration of Bridges for FY 2021, Ilocos Sur 2nd LD 1.	The DPWH Ilocos Sur Second District Engineering Office through the PDE 2020 intends to ap</t>
  </si>
  <si>
    <t xml:space="preserve"> See attached</t>
  </si>
  <si>
    <t xml:space="preserve"> 20 sets Solar Lamp 60w 38mm dia GI s40 Bracket 50mm dia GI s40 Column With Anchorae Bar Stiffener And Concrete Footing Padestal @0.60m depth Labor included</t>
  </si>
  <si>
    <t xml:space="preserve"> 1	Unit	Computer Desktop 		Processor: Core i5 or i7 		Hard Drive: at least 1TB 		Motherboard: Compatible with Processor and Memory, with built in a/v/gigabit LAN  		Optical Drive: DVD-RW 22x SATA(optional)ATX Casing with 600W Power Supply 		Monitor: at lea</t>
  </si>
  <si>
    <t xml:space="preserve"> Please submit bid based on the attached RFQ. If you are a new supplier please submit your Mayor's Permit, PhilGEPS Cert, Income Tax/Business Tax Return, Omnibus Sworn Statement.  If you have not renewed please submit updated copies of these documents.</t>
  </si>
  <si>
    <t xml:space="preserve"> June 09, 2020 INVITATION TO BID  The Department of Public Works and Highways, Mindoro Occidental District Engineering Office, Mamburao, Occidental Mindoro, through its Bids and Award Committee (BAC), invites contractors to submit bids for the following Co</t>
  </si>
  <si>
    <t xml:space="preserve"> 1. SECURITY PAPER (for Passed Report of Rating) Specifications: - 5 1/2 x 9 1/2 - Single ply, 4000's/box - TWO (2) COLOR PRINTING using imported CBBI, security check paper with UV printing continuous form  Security Features: * FIBRES - visible and invisib</t>
  </si>
  <si>
    <t xml:space="preserve"> Vitamin C Quantity: 9,000 Tabs/Caps ABC: P 90,000.00</t>
  </si>
  <si>
    <t xml:space="preserve"> SUPPLY AND DELIVERY OF VARIOUS OFFICE SUPPLIES FOR OFFICIAL USE OF PENRO ORIENTAL MINDORO Delivery Period: within 30 days See Attached Request for Quotation for the items to be procured. Interested Supplier shall submit the filled-up RFQ Form together wit</t>
  </si>
  <si>
    <t xml:space="preserve"> 1 lot</t>
  </si>
  <si>
    <t xml:space="preserve"> 1. SECURITY PADLOCK  - Body Material: Solid Brass  - Shackle Material: Hardened Steel   - Size: 30mm  - No. of keys: 3 2. ELECTRIC/SECURITY METER SEAL  - Weather reisitant  - Plastic seal with a galvanized steel shackle  - Grey color with black imprint. S</t>
  </si>
  <si>
    <t xml:space="preserve"> Republic of the Philippines Province of Cagayan Municipality of Aparri BARANGAY BULALA NORTE -oOo- BIDS AND AWARDS COMMITTEE 							                           June 10, 2020 	 RE-INVITATION TO APPLY FOR ELIGIBILITY AND TO BID The Barangay of BULALA NORTE, </t>
  </si>
  <si>
    <t xml:space="preserve"> Covered Court Improvement  Phase 2</t>
  </si>
  <si>
    <t xml:space="preserve"> Republic of the Philippines Province of Cagayan Municipality of Aparri BARANGAY CENTRO 4 -oOo- BIDS AND AWARDS COMMITTEE 								                           June 10, 2020 	 RE-INVITATION TO APPLY FOR ELIGIBILITY AND TO BID The Barangay of CENTRO 4, Municip</t>
  </si>
  <si>
    <t xml:space="preserve"> SUBGRADE PREPARATION  A. Capacity and Quantity Computation Area =10x1000 = 10,000.00 sq.m. Grader &amp; Roller days = 10,000.00 sq. m. / 2,000 per day = 5 days B. Direct Cost  350 ltrs Fuel deisel for grader 350 ltrs Fuel deisiel for roller 30 ltrs Oil 40 AGG</t>
  </si>
  <si>
    <t xml:space="preserve"> See attached.</t>
  </si>
  <si>
    <t xml:space="preserve"> Headset Duo, Noise Cancelling, USB Connectivity, Plug and Play Laptop Cooling pad 15 inches with 4-5 Built-in Fan; USB 2.0 Port; Adjustable Visual Angle</t>
  </si>
  <si>
    <t xml:space="preserve"> Republic of the Philippines Province of Oriental Mindoro MUNICIPALITY OF NAUJAN BIDS &amp; AWARDS COMMITTEE INVITATION TO BID CONSTRUCTION OF MULTI- PURPOSE HALL AT BARANGAY SANTIAGO, NAUJAN, ORIENTAL MINDORO 1.	The Municipal Government of Naujan – Bids and A</t>
  </si>
  <si>
    <t xml:space="preserve"> UNIT	  DESCRIPTION		QUANTITY I.	FABRICATION OF MISTING TENT  -  7 UNITS		 pcs	Ball Valve with Thread		84 pcs	Misting Nozz;e 1/4"		56 pcs	Safety Breaker w/Housing 20 Amp		35 m	Garden Hose 1/2"		210 rolls	THHN # 3.5		7 pcs	Cable Tie		140 pcs	Electrical Tape</t>
  </si>
  <si>
    <t xml:space="preserve"> Contract ID #					 :    20II0061 Contract Name				         :    Repair and Maintenance of Road Safety Facilities (Supply, Delivery and Installation of Danger, Hazard, Warning, Regulatory and Informative Signages) along Catarman Laoang Road, Laoang –Catubi</t>
  </si>
  <si>
    <t xml:space="preserve"> 1.	The Municipal Government of El Nido, through the Trust Fund-Office of the Bldg. Official (OBO), and General Fund intends to apply the sum of One Million One Hundred Twenty Three Thousand Five Hundred Pesos (₱ 1,123,500.00) being the Approved Budget for</t>
  </si>
  <si>
    <t xml:space="preserve"> 1.	The Municipal Government of El Nido, through the General Fund intends to apply the sum of  Three Hundred Fifty Six Thousand Four Hundred Ninety Pesos (₱ 356,490.00) being the Approved Budget for the Contract (ABC) to payments for the here under Procure</t>
  </si>
  <si>
    <t xml:space="preserve"> Republic of the Philippines PROVINCE OF ZAMBOANGA SIBUGAY Municipality of Buug BIDS AND AWARDS COMMITTEE Invitation to Bid for Rehablitation/Maintenance of Manlin-Pamintayan &amp; Delmonte FMR 1.	The Local Government Unit of Buug, through the 20 % Development</t>
  </si>
  <si>
    <t xml:space="preserve"> 1.	The Municipal Government of El Nido, through the General Fund intends to apply the sum of One Million One Hundred Eighty Two Thousand Six Hundred Pesos (₱ 1,182,600.00) being the Approved Budget for the Contract (ABC) to payments for the Procurement An</t>
  </si>
  <si>
    <t xml:space="preserve"> INVITATION TO BID  for  Supply and Delivery of Pre-Mix Asphalt and Emulsified Asphalt Solicitation No. PANG-2020-0782 1.	The Provincial Government of Pangasinan, through the Construction, Repair &amp; Maintenance of Various Roads and Bridges intends to apply </t>
  </si>
  <si>
    <t xml:space="preserve"> June 09, 2020 INVITATION TO BID 1.	The Department of Public Works and Highways, Mindoro Occidental District Engineering Office, Mamburao, Occidental Mindoro, through the General Appropriations Act intends to apply the sum of the Approved Budget for the Co</t>
  </si>
  <si>
    <t xml:space="preserve"> INVITATION TO BID  for  Construction of Covered Court at Gayusan Integrated School at Brgy. Gayusan, Agno, Pangasinan Solicitation No. PANG-2020-0780 1.	The Provincial Government of Pangasinan, through the School Board (PR#2020-02-1859) intends to apply t</t>
  </si>
  <si>
    <t xml:space="preserve"> 1.	The Municipal Government of El Nido, through the General Fund intends to apply the sum of Two Hundred Sixty Thousand Pesos (₱ 260,000.00) being the Approved Budget for the Contract (ABC) to payments for the Procurement and Delivery of Nutritional Foods</t>
  </si>
  <si>
    <t xml:space="preserve"> PDX wire # 1.6 mm PDX wire # 2.0 mm socket, 13/4" SPST switch ,surface type Convenience outlet, duplex surface type Insulated staple 1" THHN wire # 2.0 mm2 THHN wire # 3.5 mm2 THHN wire # 5.5 mm2 Plastic moulding 3/4" T. W. Wire # 1.6 mm T. W. Wire # 2.0 </t>
  </si>
  <si>
    <t xml:space="preserve"> INVITATION TO BID  for  Construction of Breakwater for Storm Surge Mitigation at Lingayen, Pangasinan Solicitation No. PANG-2020-0318 1.	The Provincial Government of Pangasinan, through the Local Disaster Risk Reduction Management Fund (PR#2020-02-1858) i</t>
  </si>
  <si>
    <t xml:space="preserve"> The Government of the Philippines (GOP) has received a loan from World Bank towards the cost of Philippine Rural Development Project, and it intends to apply part of the proceeds of this Loan to payments for the procurement of PRDP Vehicle Tires intended </t>
  </si>
  <si>
    <t xml:space="preserve"> Republic of the Philippines Province of Antique MUNICIPALITY OF SEBASTE OFFICE OF THE BIDS AND AWARDS COMMITTEE INVITATION TO BID ITB NO. 2020-01-010	 The Local Government Unit of Sebaste, Sebaste, Antique, Telephone No. (036) 278-2003, invites interested</t>
  </si>
  <si>
    <t xml:space="preserve"> INVITATION TO BID  for  Roofing of Existing Bleachers at Longos E/S, Calasiao, Pangasinan Solicitation No. PANG-2020-0778 1.	The Provincial Government of Pangasinan, through the School Board (PR#2020-02-1851) intends to apply the sum of One Million Five H</t>
  </si>
  <si>
    <t xml:space="preserve"> A Republic of the Philippines BIDS AND AWARDS COMMITTEE Dagupan City Invitation to Bid   for PROPOSED IMPROVEMENT/REHABILITATION OF THE CITY PEOPLE’S ASTRODOME (INTERIOR AND INCLUDING FAÇADE) AT BARANGAY TAPUAC, DAGUPAN CITY 1.	The City Government of Dagu</t>
  </si>
  <si>
    <t xml:space="preserve"> Description Please quote your price inclusive of VAT on the item/s listed below, subject to the Terms and conditions of the RFQ, and submit your quotation duly signed by your representative not later than June 18, 2020 at CGSO for Goods. Upon receipt of a</t>
  </si>
  <si>
    <t xml:space="preserve"> INVITATION TO BID  for  Repair of One (1) unit, Three (3) Classroom School Building at Mangatarem II Central E/S, Mangatarem, Pangasinan Solicitation No. PANG-2020-0779 1.	The Provincial Government of Pangasinan, through the School Board (PR#2020-02-1849)</t>
  </si>
  <si>
    <t xml:space="preserve"> 1 5 PC/S PAIL - RUBBER 2 2 PC/S SHOVEL - HEAVY DUTY - (Wooden Handle) 3 5 PC/S CONSTRUCTION SAFETY HAT - 4 Yellows &amp; 1 White 4 15 PR/S CONSTRUCTION GLOVES - (ORANGE PALM) 5 1 UNIT/S PE EMPTY CONTAINER - 1m. Dia. (Blue) 6 15 MTR/S PE PIPE - 1/2'' dia SDR 1</t>
  </si>
  <si>
    <t xml:space="preserve"> Republic of the Philippines Province of Leyte BRGY. PINAMOPOAN, CAPOOCAN, LEYTE -oOo- BIDS AND AWARD COMMITTEE INVITATION TO BID  FOR THE PROCUREMENT OF SUPPLIES AND MATERIALS FOR THE CONSTRUCTION OF GARAGE 1.	The Brgy. Pinamopoan, Capoocan, Leyte, throug</t>
  </si>
  <si>
    <t xml:space="preserve"> PURCHASE OF ONE(1) UNIT MINI-DUMP TRUCK SURPLUS ABC 850,000.00</t>
  </si>
  <si>
    <t xml:space="preserve"> INVITATION TO APPLY FOR ELIGIBILITY AND BID The Barangay of Magsaysay, Maasin, Iloilo, through its Bids and Awards Committee (BAC), invites suppliers/ distributors/ contractors to apply for eligibility and to bid for the hereunder project: Name of Project</t>
  </si>
  <si>
    <t xml:space="preserve"> INVITATION TO BID Purchase and Delivery of Automated External Defibrillator (AED) Complete Set ITB 2020-06-033 (GOODS) 1. 	The Municipality of Tuba, through the Budget for the contract approved by the Sangguniang Bayan for CY 2019 intends to apply the sum</t>
  </si>
  <si>
    <t xml:space="preserve"> INVITATION TO BID  for  Supply and Delivery of 160 MT Asphalt Pre-Mix and 8 drums Emulsified Asphalt at PGO, Lingayen, Pangasinan (for use in the Asphalting of School Ground at Libsong E/S and PSAT, Lingayen, Pangasinan) Solicitation No. PANG-2020-0783 1.</t>
  </si>
  <si>
    <t xml:space="preserve"> Const of Deped</t>
  </si>
  <si>
    <t xml:space="preserve"> INVITATION TO BID  for  Supply and Delivery of 577 MT Asphalt Pre-Mix at PGO, Lingayen, Pangasinan (for use in the Repair/Maintenance of Various Provincial Roads and Bridges within the Province) Solicitation No. PANG-2020-0784 1.	The Provincial Government</t>
  </si>
  <si>
    <t xml:space="preserve"> janitorial Supplies</t>
  </si>
  <si>
    <t xml:space="preserve"> length-40.00m width-0.40m height-0.40m</t>
  </si>
  <si>
    <t xml:space="preserve"> replacement of defective pipes &amp; installation of new pipelines &amp; faucets</t>
  </si>
  <si>
    <t xml:space="preserve"> Procurement of Fluids</t>
  </si>
  <si>
    <t xml:space="preserve"> Procurement of Niches</t>
  </si>
  <si>
    <t xml:space="preserve"> length-60.00m width-0.60m thickness-0.10m rip-rapping length-15.00m height-1.00m</t>
  </si>
  <si>
    <t xml:space="preserve"> Procurement of IT Server</t>
  </si>
  <si>
    <t xml:space="preserve"> Tagumpay St</t>
  </si>
  <si>
    <t xml:space="preserve"> BARANGAY CENTRAL SIGNAL BIDS AND AWARDS COMMITTEE Central Signal Village, Taguig City Supply and Delivery of Brand New Tires RFQ-202001 Approved Budget for the Contract (ABC) : Php 50,000.00 Source of Fund: Budget 2020 1. 4 pcs -	205/65/15 Tire size 2. 8 </t>
  </si>
  <si>
    <t xml:space="preserve"> INVITATION TO BID Bid Reference No.  ____________ SUPPLY AND DELIVERY OF FOGGING MACHINE (REBIDDING) Approved Budget for the Contract (ABC):  Php 260,000.00 1.	The Municipal Government Unit of Initao, Misamis Oriental intends to apply the sum of: Two Hund</t>
  </si>
  <si>
    <t xml:space="preserve"> Procurement of One (1) unit Motorcycle ACTIVITY	SCHEDULE	VENUE 1. Issuance of Bid Document June 12, 2020-June 30, 2020 BAC Secretariat Office -MPDO 2. Pre-Bid Conference/ Supplemental Bid-  3. Submission of Bids	  June 30, 2020 @ 10:00 AM BAC Secretariat </t>
  </si>
  <si>
    <t xml:space="preserve"> construction of multi purpose hall</t>
  </si>
  <si>
    <t xml:space="preserve"> Please quote us your lowest price inclusive of VAT on the items listed</t>
  </si>
  <si>
    <t xml:space="preserve"> Description   3.5mm dual plug computer stereo headset - 15 units FOR ONLINE MEETINGS AND CONFERENCE DIMENSIONS Height x Width x Depth: 162 mm x 144 mm x 46 mm Weight: .074 Kg SYSTEM REQUIREMENTS  Works with Common calling applications across almost all pl</t>
  </si>
  <si>
    <t xml:space="preserve"> 1. 838 book Notebook, 80 leaves 2. 19 boxes Chalk, Colored 3. 19 sets Stamp, appreciation, assorted 4. 19 pcs Alphabet Chart 5. 19 pcs Number Chart 6. 19 pcs Parts of the Body Chart 7. 19 pcs Color Chart 8. 19 pcs Shapes Chart 9. 19 pcs Five Senses chart </t>
  </si>
  <si>
    <t xml:space="preserve"> INVITATION TO BID					 					 Purchase and Delivery of Medical, Dental and Laboratory Supplies					 ITB 2020-06-034(GOODS)					 					 1. The Municipality of Tuba, through the Budget for the contract approved by the Sangguniang Bayan for CY 2020 intends to </t>
  </si>
  <si>
    <t xml:space="preserve"> Concreting of Farm-to Market Road w/ Drainage Canal, 20% D.F.</t>
  </si>
  <si>
    <t xml:space="preserve"> I - Drilling, Installation, Stockpiling Handling and Lifting of 6" dia. Casing BI pipes                      one                lot II - Progress Photograph          one              lot III - Project Billboard             one                      lot IV </t>
  </si>
  <si>
    <t xml:space="preserve"> Procurement of Construction Supplies and Materials</t>
  </si>
  <si>
    <t xml:space="preserve"> Frosted Sticker ( for Glasswall ) -1pc Aluminum Pipe ( 930 cm ) - 1pc Aluminum Pipe ( 480 cm ) - 2pcs Aluminum Pipe ( 460 cm ) - 5pcs Aluminum Pipe ( 400 cm ) - 1pc Aluminum Pipe ( 470 cm ) - 1pc curtain holder - 35pcs curtains ( 290 cm long and 150 cm wi</t>
  </si>
  <si>
    <t xml:space="preserve"> Booster Pump   Vertical in-Line Multi Stages Stainless steel impeller and shaft. Rated to deliver 500gpm-600gpm max against 40M 950osi driven by 25hp electric motor, 230Volts, 3Phase, 60Hz, 3450 RPM. Motor Controller:   Simplex type controller rated to dr</t>
  </si>
  <si>
    <t xml:space="preserve"> Improvement of Barangay Hall, 20% D.F.</t>
  </si>
  <si>
    <t xml:space="preserve"> medicine</t>
  </si>
  <si>
    <t xml:space="preserve"> SAFETY SHOES &amp; WORK PROTECTION SHOES</t>
  </si>
  <si>
    <t xml:space="preserve"> 1	INTERNET SERVICE		12	Mon 	 (Please see attached technical specifications)			 				 	(Please write Total amount in words) Total amount    			 				 	Please submit Omnibus Sworn Statement			 				 Any erasure, correction or alternation made by prospective Su</t>
  </si>
  <si>
    <t xml:space="preserve"> Ink Printer with Continuous Ink System and Pigment Ink compatible</t>
  </si>
  <si>
    <t xml:space="preserve"> The TARLAC AGRICULTURAL UNIVERSITY, through its Bids and Awards Committee (BAC), invites all suppliers and dealers to submit sealed quotation for the “PURCHASE OF 75" LED TV, AIRCON, OFFICE TABLES AND CHAIRS". Prospective bidders are required to submit th</t>
  </si>
  <si>
    <t xml:space="preserve"> I - Mobilization/ Demobilization                    one                   lot II - Construction Safety and Health Program                       one                        lot III - Project Billboard                   one                      set IV - Prog</t>
  </si>
  <si>
    <t xml:space="preserve"> 1.	The Local Government Unit (LGU) of Sta. Teresita , Cagayan, through the General Fund  intends to apply the sum of TWO HUNDRED FORTY THOUSAND &amp; 00/100  PESOS (P240,000.00) being the Approved Budget for the Contract (ABC) to payments under the contract f</t>
  </si>
  <si>
    <t xml:space="preserve"> I - Mobilization/ Demobilization                  one                    lot II - Construction Safety and Health Program                         one                  lot III - Project Billboard                     one                 set IV - Progress Pho</t>
  </si>
  <si>
    <t xml:space="preserve"> The LGU of San Andres, Quezon is requesting Quotation for Construction Materials  of Vermi Beds with Vermi Shed at Barangay Poblacion, San Andres, Quezon.</t>
  </si>
  <si>
    <t xml:space="preserve"> Delivery of solar lights</t>
  </si>
  <si>
    <t xml:space="preserve"> SPECIFICATIONS: 8 PCS TIRE FOR DUMP TRUCK (PHP48,000.00) SIZE: 700 - 16 LT TUBELESS NYLON MAXIMUM SINGLE LOAD - 1,320 KG 45 PCS TIRE FOR LOADER (PHP240,000.00) SIZE: 16.9 - 24 ORIGINAL WITH INTERIOR NYLON LOADER WHEEL TYPE MAXIMUM LOAD 7,826 KG MANUFACTUR</t>
  </si>
  <si>
    <t xml:space="preserve"> PROCUREMENT OF ONE (1) LOT SURVEY INSTRUMENT PARTS &amp; ACCESSORIES 1.  Pentax Total Station Battery, 	Pentax Serial No: 898322	- 2 UNITS		 2.  Pentax Total Station Battery, 	Pentax Serial No: 889120	- 2 UNITS 	 3.  Pentax Total Station Battery, 	Pentax Seri</t>
  </si>
  <si>
    <t xml:space="preserve"> 10 pcs, Acrylic Sandwich Board, Supply and Install - size: 2 ft (W) x 3.5 ft (H) - including Photo paper with print, bolt and nut (stainless)</t>
  </si>
  <si>
    <t xml:space="preserve"> 1.	1	set/s	Computer- AMD A6 Processor, MotherBoard 			4GB DDR3, 500GB HDD, Casing w/ PSU DVDROM 			18.5" Monitor, AVR, Keyboard, Mouse Pad 2.	1	set/s	Computer- Core i5 Processor, MotherBoard 			4GB,  500GB HDD Casing w/ PSU 			18.5" Monitor, Keyboard, Mou</t>
  </si>
  <si>
    <t xml:space="preserve"> PROCUREMENT OF ASSORTED ITEMS FOR MEALS AND SNACKS DURING THE REGULAR MEETING OF THE MUNICIPAL OFFICIALS AND DEPUTY MAYORS</t>
  </si>
  <si>
    <t xml:space="preserve"> 15 packs IREX Toner Cyan Unit Cost: P 1,313.00 Total Cost: P 19,695.00 15 packs IREX Toner Yellow Unit Cost: P 1,313.00 Total Cost: P 19,695.00 10 packs IREX Toner Magenta Unit Cost: P 1,313.00 Total Cost: P 13,130.00 10 packs IREX Toner Black Unit Cost: </t>
  </si>
  <si>
    <t xml:space="preserve"> PROCUREMENT OF ONE HUNDRED SIXTY (160) BAGS OF RICE (25 KILOS)</t>
  </si>
  <si>
    <t xml:space="preserve"> Supply and Delivery</t>
  </si>
  <si>
    <t xml:space="preserve"> FURNISHING AND DELIVERY OF LABOR, MATERIALS AND EQUIPMENT FOR THE CONSTRUCTION OF MULTI-PURPOSE COVERED COURT PAHSE 2 AT BARANGAY, BACOLOD, JUBAN, SORSOGON</t>
  </si>
  <si>
    <t xml:space="preserve"> Procurement of Vegetable Seeds for the Vegetable Production and Demonstration Site - HVCDP of MAGRO Laak, Davao De Oro with an ABC of Php. 94,890.00.</t>
  </si>
  <si>
    <t xml:space="preserve"> 182 lghts uPVC Pipes #100mm dia (4" dia) x 6m (S-10) x-x-x-x-x nothing follows x-x-x-x</t>
  </si>
  <si>
    <t xml:space="preserve"> delivery of solar lights</t>
  </si>
  <si>
    <t xml:space="preserve"> Furnish of 6 units Laptop Computer, 15.6" Silver Intel Core I7 9750H16GB, DDR4 S12SSD 16GB x 1650 Windows 10</t>
  </si>
  <si>
    <t xml:space="preserve"> The TARLAC AGRICULTURAL UNIVERSITY, through its Bids and Awards Committee (BAC), invites all suppliers and dealers to submit sealed quotation for the “PURCHASE OF MESH NETS TO BE USED IN THE CONSTRUCTION OF NETHOUSES FOR THE DA-ACEF PROJECT". Prospective </t>
  </si>
  <si>
    <t xml:space="preserve"> 4000 liters Crude/Diesel Oil</t>
  </si>
  <si>
    <t xml:space="preserve"> delivery of construction materials</t>
  </si>
  <si>
    <t xml:space="preserve"> I - Mobilization/ Demobilization               one             lot II - Construction Safety and Health Program              one                 lot III - Project Billboard             one             lot IV - Progress Photograph                    one    </t>
  </si>
  <si>
    <t xml:space="preserve"> REQUEST FOR QUOTATION For Negotiated Procurement thru Small Value Procurement under Sec. 53.9 of the 2016 Revised IRR of RA 9184 Quotation No.:  2020-02-086 (3rd QUOTE) Date: June 11, 2020 PR No.: 20-02-085 PR Date: February 7, 2020 The Metropolitan Tugue</t>
  </si>
  <si>
    <t xml:space="preserve"> HAND DRYER- 4 units • 1150 watts rated power. • 500 watts motor power. • Carbon brush motor type. • Wire type heating. • Brushed stainless steel case material. • IPX1 waterproof. • Touch-free Infrared sensing type</t>
  </si>
  <si>
    <t xml:space="preserve"> 20 LI</t>
  </si>
  <si>
    <t xml:space="preserve"> 1 unit, Computer Table, (must have) - 1. printer stand - 2. speaker stand - 3. pull-out keyboard slot - 4. width of at least 15 1/2" and at least 23" length 7 unit, Computer Chairs - must have arm and back rest with pneumatic seat height adjustment</t>
  </si>
  <si>
    <t xml:space="preserve"> Improvement of Executive Building</t>
  </si>
  <si>
    <t xml:space="preserve"> 1 9 REAM/S PAPER - BOND-SUBS.16,LONG (8 1/2"X13") 2 6 REAM/S PAPER - BOOK A4,210MMX297MM,MIN OF 70GSM 3 6 REAM/S PAPER - BOOK LEGAL,216MMX330MM(8-1/2"X13"),MIN OF 70GSM 4 5 ROLL/S TAPE - MASKING #1 5 10 PC/S BALLPEN - ORDINARY, BLACK 6 10 PC/S BALLPEN - O</t>
  </si>
  <si>
    <t xml:space="preserve"> 23 LI</t>
  </si>
  <si>
    <t xml:space="preserve"> 1 UNIT 4D56 ENGINE WITH TRANSMISSION 1 UNIT RADIATOR 4 ROWS 1 UNIT COOLER (TURBO) 2 PCS ENGINE SUPPORT 2 PCS CABLE (SHIFTING)</t>
  </si>
  <si>
    <t xml:space="preserve"> Supply and Delivery of various CI and Mechanical  Fittings for Potable Water The Metro Midsayap Water District (MMWD) gives notice that  quotations are invited for the Supply and Delivery of various CI and Mechanical  Fittings for Potable Water 8 PCS - 3"</t>
  </si>
  <si>
    <t xml:space="preserve"> Invitation to Bid for the Completion of Damilag Public Market (Construction of Waste Water Treatment Facilty) 1.	The Local Government Unit of Manolo Fortich, through the 20% Local Development Fund intends to apply the sum of FOUR MILLION FIVE HUNDRED THOU</t>
  </si>
  <si>
    <t xml:space="preserve"> 1.	1	unit/s	Aircondition 1.5HP (Split Type) w/ Installation 2.	30	feet	Copper Tube</t>
  </si>
  <si>
    <t xml:space="preserve"> Please see attached File</t>
  </si>
  <si>
    <t xml:space="preserve"> Purchase and delivery of tornado box fan to be used be different offices of the CGC</t>
  </si>
  <si>
    <t xml:space="preserve"> Construction of New Road at Sitio Pakiling Barangay Baraka Norzagaray Bulacan</t>
  </si>
  <si>
    <t xml:space="preserve"> Repair and maintenance of different airconditioning units in various offices in CGC</t>
  </si>
  <si>
    <t xml:space="preserve"> The Barangay Mungo, Tuao Cagayan through its 20% BARANGAY DEV'T Fund intends to apply the sum of             Php 99,668.44  being the Approved Budget for the Contract (ABC) to payments under the contract for  Installation of Street Lights (20 UNITS). Bids</t>
  </si>
  <si>
    <t xml:space="preserve"> Repair and maintenance of dump truck assigned to CEPWD</t>
  </si>
  <si>
    <t xml:space="preserve"> Purchase and delivery of janitorial supplies for City Public Market</t>
  </si>
  <si>
    <t xml:space="preserve"> REQUEST FOR QUOTATION PROCUREMENT OF TECHNICAL SURVEY &amp; DRAFTING SERVICES  LGU-GIGMOTO June 9, 2020 1.	The Local Government Unit of Gigmoto, through the CY 2020 General Fund intends to apply the sum of Ninety Nine Thousand Pesos (P99,000.00) being the App</t>
  </si>
  <si>
    <t xml:space="preserve"> FOR GOODS OFFERED Project Name:	Installation of Street Lighting System Location:	Brgy. Tagabakid, City of Mati, Davao Oriental Approved Budget:	P 999,087.75 Project Duration	39 Calendar Days ITB Number	TAGABAKID-2020-01 Please quote your lowest price on t</t>
  </si>
  <si>
    <t xml:space="preserve"> Printing of Gold Card ID's of Socialized Medical Health Care Program of the CGC</t>
  </si>
  <si>
    <t xml:space="preserve"> Purchase and delivery of equipment and consumables to be used by BPLS</t>
  </si>
  <si>
    <t xml:space="preserve"> INVITATION TO BID KB-INFRA- 2020-06 The MUNICIPALITY OF KITAOTAO, through its Bids and Awards Committee (BAC), invites supplier’s manufacturers/contractors to apply for eligibility and to bid for hereunder project:   Project Name	          :  CONSTRUCTION</t>
  </si>
  <si>
    <t xml:space="preserve"> PROVISION OF WATCHMAN SERVICES FROM MARCH 1-DECEMBER 31, 2020</t>
  </si>
  <si>
    <t xml:space="preserve"> Supply and delivery of Powder Activator to be used in the preparation of Silang Organiks (soil conditioner) for fast decomposition process</t>
  </si>
  <si>
    <t xml:space="preserve"> SUPPLY OF MATERIALS FOR - SCAFFOLDINGS - CONCRETE WORKS (Concrete Floor = 1.89 cu.m.) - PLASTERING WORKS (Interior Only = 43.62 sq.m.) - DOORS AND WINDOWS - ELECTRICAL WORKS (Rough-In Only) - PROJECT BILLBOARD</t>
  </si>
  <si>
    <t xml:space="preserve"> 1. 1 SET PURCHASE OF MANNEQUINS FOR TRAINING - PHP 50,000.00 	Professional Adult Medium Skin CPR-AED Training Manikin 4-Pack (with CPR Monitor)  Product features Part Number: PP-AM-400M-MS Product description Professional Adult Medium Skin CPR-AED Traini</t>
  </si>
  <si>
    <t xml:space="preserve"> TO : ALL BIDDERS WHAT : Schedule for the bid; WHEN : July 2, 2020 @ 9:00 A.M. WHERE : Multi-Purpose Hall, 2nd Floor, Left Wing, Bogo City Hall, Cayang, Bogo City, Cebu Attention: All Bidders 1) You are required to bring Universal Serial Bus (USB) Flash Dr</t>
  </si>
  <si>
    <t xml:space="preserve"> Republic of the Philippines Municipality of Taytay Barangay Casian NOTICE TO BIDDERS 1.	CONCRETING OF ROAD ( Bgy. Proper) Item#	Description		QTY.		UNIT	 1.	Portland Cement		769		bags 2.	12mm dia.x6.0m RSB		72		pcs 3.	½”Ordinary Plywood		3		pcs 4.	2”x6”x 1</t>
  </si>
  <si>
    <t xml:space="preserve"> NOTICE FOR NEGOTIATED PROCUREMENT (Small Value Procurement – Sec 53.9 of the Revised IRR of 9184) Reference No. 20-06-028TF Procuring Entity: MUNICIPALITY OF LILIW, LAGUNA Title: Supply and Delivery of Materials for the Repair and Maintenance of Truck MRF</t>
  </si>
  <si>
    <t xml:space="preserve"> Supply and Delivery of Construction Supplies and Materials for the Improvement of Barangay Health Station at Mabasa with an ABC of Php282,745.00 LOT 1. Billboard = 1,900.00 LOT 2. Miscellaneous Materials = 275,345.00 LOT 3. Equipment Rental = 5,500.00 For</t>
  </si>
  <si>
    <t xml:space="preserve"> 1 1 BOX/S BALLPEN - ORDINARY,RED 50'S 2 5 BOX BALLPEN - BLACK ORDINARY 50'S 3 5 REAM/S PAPER - BOND COLORED LONG-YELLOW 4 5 REAM/S PAPER - BOND COLORED LONG-BLUE 5 10 REAM/S PAPER - BOND COLORED LONG-PINK 6 45 REAM/S PAPER - BOOK LEGAL,216MMX330MM(8-1/2"X</t>
  </si>
  <si>
    <t xml:space="preserve"> AIR CONDITIONER - Wallmounted - Split type - 1.5 HP - Inverter ***NOTE: Pls. supply/fill-in preferred Deliver Period, Warranty (if applicable) and Price Validity*** ABC: 69,000.00 Delivery Period: Delivery Site: On Site SUBMIT CERTIFIED TRUE COPY OF THE F</t>
  </si>
  <si>
    <t xml:space="preserve"> For the repair and maintenance of vehicle  Lot 1 Labor and materials Work details PMS - 140,000 km and check-up (engine check) Clean EGR/valve kit Replace brake fluid &amp; bleed system Replace clutch fluid Parts: Fuel filter element Fully synthetic oil 5W-30</t>
  </si>
  <si>
    <t xml:space="preserve"> REQUEST FOR QUOTATION The City Government of San Jose del Monte, through its Bids and Awards Committee (BAC) Invites Suppliers/Manufacturers/Distributors to Bid for hereunder procurement: RFQ No.	PR No.	PROJECT TITLE	Requesting Office	Approved Budget for </t>
  </si>
  <si>
    <t xml:space="preserve"> INVITATION TO BID FOR THE Procurement of Various  Materials, Fuel and Lubricant for the Implementation of Road Rehabilitation Program  1.	The Municipality of Alabel, through the Annual Budget for CY 2020  intends to apply the sum of: Lot No. 	Description	</t>
  </si>
  <si>
    <t xml:space="preserve"> Supply and delivery of 3 units printer with scanner</t>
  </si>
  <si>
    <t xml:space="preserve"> Please see BAC Chairman &amp; attached document</t>
  </si>
  <si>
    <t xml:space="preserve"> Provision of Vehicle Rentals ABC:472,500.00 	1 unit Vehicle Rentals -	105 days Travel -	June –December 2020 -	Region-Wide 	(during the conduct of validation, inspection, Post Qualification and Mass Distribution in relation to the implementation 		Of the P</t>
  </si>
  <si>
    <t xml:space="preserve"> 78 PCS FLU VACCINE</t>
  </si>
  <si>
    <t xml:space="preserve"> NOTICE FOR NEGOTIATED PROCUREMENT (Small Value Procurement – Sec 53.9 of the Revised IRR of 9184) Reference No. 20-06-027TF Procuring Entity: MUNICIPALITY OF LILIW, LAGUNA Title: Supply and Delivery of Reagents used in Rural Health Unit Laboratory Area of</t>
  </si>
  <si>
    <t xml:space="preserve"> Project Description: Type: Concrete                                            Drainage Length: 123 meters                                      Length: 120m (L=60m,R=60m) Width: 4 meters                                           Width=0.50m Thickness: 6"(</t>
  </si>
  <si>
    <t xml:space="preserve"> Supply and Delivery of Construction Supplies and Materials needed for the Improvement of Barangay Health Station at Belance with an ABC of Php320,812.29 LOT 1. Billboard = 1,900.00 LOT 2. Miscellaneous Materials = 277,112.29 LOT 3. Electrical Supplies = 2</t>
  </si>
  <si>
    <t xml:space="preserve"> Please see attached Request for Quotation. ---------------------OPAG--------------------</t>
  </si>
  <si>
    <t xml:space="preserve"> QTY   UNIT    DESCRIPTION 1       lot        Emission Test for 2 units Generator set</t>
  </si>
  <si>
    <t xml:space="preserve"> Installation of 4 units floor mounted inverter type airconditioning units at PCA bldg., 4th floor</t>
  </si>
  <si>
    <t xml:space="preserve"> INVITATION TO BID KB-INFRA- 2020-06 The MUNICIPALITY OF KITAOTAO, through its Bids and Awards Committee (BAC), invites supplier’s manufacturers/contractors to apply for eligibility and to bid for hereunder project: Project Name	  : CONSTRUCTION OF MULTIPU</t>
  </si>
  <si>
    <t xml:space="preserve"> Republic of the Philippines BIDS AND AWARDS COMMITTEE Bacolod City INVITATION TO BID FOR THE PURCHASE OF HIGH SPEED FULL COLOR INKJET PRINTER 1.	The City of Bacolod, through the Sangguniang Panlungsod 2019 intends to apply the sum of                      </t>
  </si>
  <si>
    <t xml:space="preserve"> Supply and Delivery of Construction Supplies and Materials needed for the Improvement of Barangay Health Station at Bulala with an ABC of Php300,488.25 LOT 1. Billboard = 1,900.00 LOT 2. Miscellaneous Materials = 257,500.25 LOT 3. Electrical Supplies = 21</t>
  </si>
  <si>
    <t xml:space="preserve"> Republic of the Philippines                                                                   PROVINCE OF SAMAR                                                                    INVITATION TO BID                                                           </t>
  </si>
  <si>
    <t xml:space="preserve"> Supply &amp; Delivery of Materials ABC:138,000.00 	100 bot Alcohol 80% Ethyl or Isopropyl Alcohol, 500ml 	100 boxes Face mask, 3 ply, 50 pcs/box 	Delivery period: 30 days 	Delivery site: DA-RFO 12, Koronadal City (GSO/RPDP) Note: Bidders must quote in all ite</t>
  </si>
  <si>
    <t xml:space="preserve"> 1 10 REAM/S PAPER - BOND,PG,LEGAL,216MMX330MM(8-1/2"X13") 70 GSM 2 11 REAM/S PAPER - BOND,PG,A4,210MMX297MM,70GSM. 3 70 PC/S NOTEBOOK - YARN 4 1 REAM/S PAPER - BOND COLORED LONG-YELLOW 5 1 PC/S USB FLASH DRIVE - 16 GB 6 149 PC/S BALLPEN - ORDINARY, BLACK</t>
  </si>
  <si>
    <t xml:space="preserve"> INVITATION TO BID Bid Reference No. ____________ PURCHASE OF FUEL FOR THE SECOND QUARTER (BIDDING) Approved Budget for the Contract (ABC): Php 304,000.00 1. The Municipal Government Unit of Initao, Misamis Oriental intends to apply the sum of : Three Hund</t>
  </si>
  <si>
    <t xml:space="preserve"> Japan used and reconditioned  Suzuki Multicab Passenger type  4x4</t>
  </si>
  <si>
    <t xml:space="preserve"> PROCUREMENT OF 50 DRUMS OF CHLORINE GRANULES (CALCIUM HYPOCHLORITE) FOR WATER TREATMENT OF ACWD PUMPHOUSES TYPICAL PROPERTIES AND CHEMICAL ANALYSIS: - Available Chlorine (% by weight, min.) : 70 - Water, hydrate (%, min.) : 7.8 - PH : 9.4 (100 ppm water) </t>
  </si>
  <si>
    <t xml:space="preserve"> Procurement ID/Contract I.D.: 20CN0149 Contract Name: Retrofitting/Strengthening of Permanent Bridge – Aguang Br. (B03015LZ) Contract Location: along Baler – Casiguran Rd (Baler – Dinadiawan) Brief Description: Bridge Construction Approved Budget for the </t>
  </si>
  <si>
    <t xml:space="preserve"> Face Shield FACE SHIELD, full face shield, Anti-fog, Latex free, One size fits all, soft head foam, comfort stretch band, disposable</t>
  </si>
  <si>
    <t xml:space="preserve"> Republic of the Philippines Province of Camarines Sur BARANGAY MAANGAS       Municipality of Presentacion -o0o- Invitation to Bid for PURCHASE OF HARDWARE MATERIALS FOR BARANGAY ACCESS ROAD CONSTRUCTION. 1.	The BLGU of Maangas, Presentacion, Camarines Sur</t>
  </si>
  <si>
    <t xml:space="preserve"> 2	SETS	13.6x24 BRAND NEW TIRE W/ TUBE AND FLAP 12	SETS	1200X20 BRAND NEW TIRE W/ TUBE AND FLAP 12	SETS	1000X20 BRAND NEW TIRE W/ TUBE AND FLAP 4	SETS	900X20 BRAND NEW TIRE W/ TUBE AND FLAP 10	SETS	825X20 BRAND NEW TIRE W/ TUBE AND FLAP 10	SETS	825X16 BRAN</t>
  </si>
  <si>
    <t xml:space="preserve"> 350 bottles Multivitamins Syrup 60ml 350 bottles Ascorbic Acid Syrup 60ml 85 boxes Multivitamins Cap. 100pcs/box 85 boxes Ascorbic Acid Tab. 100pcs/box</t>
  </si>
  <si>
    <t xml:space="preserve"> Republic of the Philippines                                                                   PROVINCE OF SAMAR                                                                   2nd  INVITATION TO BID                                                       </t>
  </si>
  <si>
    <t xml:space="preserve"> Republic of the Philippines BIDS AND AWARDS COMMITTEE Bacolod City INVITATION TO BID FOR THE PURCHASE OF ONE MOTOR VEHICLE (AUV-BRAND NEW) FOR CITY MAYOR’S OFFICE USE 1.	The City of Bacolod, through the Sangguniang Panlungsod 2019 intends to apply the sum</t>
  </si>
  <si>
    <t xml:space="preserve"> Supply and Delivery of Construction Supplies and Materials needed for the Improvement of Barangay Health Station at New Gumiad with an ABC of Php339,158.66 LOT 1. Billboard = 1,900.00 LOT 2. Miscellaneous Materials = 320,758.66 LOT 3. Hauling of Materials</t>
  </si>
  <si>
    <t xml:space="preserve"> Republic of the Philippines Province of Occidental Mindoro Municipality of Sta. Cruz INVITATION TO BID The Municipality of Sta. Cruz, through its Bids and Awards Committee (BAC), invites qualified suppliers to bid for the implementation of hereunder progr</t>
  </si>
  <si>
    <t xml:space="preserve"> Supply &amp; Delivery of Tire/Spare Parts ABC:94,080.00 	4  pcs TIRE 265 x R16  for Ford Ranger 	4 pcs TIRE 265xR17 for Mitsubishi Strada 	Delivery period: 30 days 	Delivery site: DA-RFO 12, Koronadal City (GSO/RPDP) Note: Bidders must quote in all items (by </t>
  </si>
  <si>
    <t xml:space="preserve"> SOURCE OF FUNDS: ANNUAL BUDGET CY 2020-- 20% DF BIDDING DATE &amp; TIME: JUNE 19, 2020- 1:00 P.M</t>
  </si>
  <si>
    <t xml:space="preserve"> DESCRIPTION	QTY	UNIT	AMOUNT	TOTAL COST 1	7"    gong	33	PCS	 1,875.00 	 61,875.00  2	6"    gong	15	PCS	 1,354.00 	 20,310.00  3	5"    gong	19	PCS	 1,145.00 	 21,755.00  4	4"    gong	16	PCS	 833.00 	 13,328.00  5	3"   gong	98	PCS	 312.00 	 30,576.00  6	2.5"</t>
  </si>
  <si>
    <t xml:space="preserve"> Provision of Consultancy Services (July-December 2019) ABC:756,000.00 	1 pax  Administrative Offcer (July-December 2019)		180,000.00 TERMS OF REFERENCE (TOR) Job Title				:  ADMINSTRATIVE OFFICER  Official Station				: Regional Project Coordination Office</t>
  </si>
  <si>
    <t xml:space="preserve"> INSTALLATION OF SOLAR STREETLIGHT-NAPNAPAN, PANTUKAN</t>
  </si>
  <si>
    <t xml:space="preserve"> Please contact BAC Secretariat for details</t>
  </si>
  <si>
    <t xml:space="preserve"> Furnish of 1 set Desktop Computer (refer attachment for the specs)</t>
  </si>
  <si>
    <t xml:space="preserve"> The TARLAC AGRICULTURAL UNIVERSITY, through its Bids and Awards Committee (BAC), invites all suppliers and dealers to submit sealed quotation for the “PURCHASE AND DELIVERY OF FEMALE GOATS AND BUCKS". Prospective bidders are required to submit the followi</t>
  </si>
  <si>
    <t xml:space="preserve"> unit	Pick up type Vehicle 4x4	1 	With engine displacement not exceeding	 	3000cc	 	Diesel fed	 	Number of Cylinder: 4	 	Number Valves: 16	 	Transmission Category: 6 Speed Automatic	 Purpose: Peace and Order Monitoring to all barangays in the Municipality </t>
  </si>
  <si>
    <t xml:space="preserve"> Republic of the Philippines BIDS AND AWARDS COMMITTEE Bacolod City INVITATION TO BID FOR THE PURCHASE OF 4 WHEELER-TRUCK FOR SOCIO ECONOMIC ENTERPRISE UNIT-MARKETS USE 1.	The City of Bacolod, through the Sangguniang Panlungsod 2019 intends to apply the su</t>
  </si>
  <si>
    <t xml:space="preserve"> Invitation to Bid The Municipal Government of Liliw, Laguna, through its Bids and Awards Committee (BAC), invites bidders top bid for the hereunder project: Name of Project: Supply and Delivery of Various Equipment for different offices in the Municipalit</t>
  </si>
  <si>
    <t xml:space="preserve"> Republic of the Philippines BIDS AND AWARDS COMMITTEE Bacolod City INVITATION TO BID FOR THE PURCHASE OF MOTOR VEHICLE FOR CITY ADMINISTRATOR'S OFFICE USE 1.	The City of Bacolod, through the Sangguniang Panlungsod 2019 intends to apply the sum of         </t>
  </si>
  <si>
    <t xml:space="preserve"> REPUBLIC OF THE PHILIPPINES CITY GOVERNMENT OF OROQUIETA BIDS AND AWARD COMMITTEE City Hall , Oroquieta City                                                                                                                                                   </t>
  </si>
  <si>
    <t xml:space="preserve"> RFQ 2020-100 PROJECT		:	LBRDC MOST COMMONLY USED MATERIALS  IMPLEMENTOR		: 	LBP RESOURCES AND DEVELOPMENT CORPORATION OWNER			:	LAND BANK OF THE PHILIPPINES	 REQUEST FOR QUOTATION FOR	:	SUPPLY OF CONSTRUCTION MATERIALS    DATE / TIME OF SUBMISSION		:	ON O</t>
  </si>
  <si>
    <t xml:space="preserve"> ITEM NO.	QUANTITY	UNIT	DESCRIPTION 1	68	pcs	Angle Bar, 1/4" x 2" x 2" x 6m 2	25	m	Assorted Sanding Paper 3	70	pcs	Assorted Paint Rollers/Brush 4	100	pcs	Bamboo Poles 5	3	box	Blind Rivets, 5/32 x 1" 6	10	box	Blind Rivets, 1/8 x 1" 7	45	pcs	C-Purlin, 2" x 4</t>
  </si>
  <si>
    <t xml:space="preserve"> Polyethylene Water storage Tank (2,000 L) 1 unit Angle bar 2"x2"x1/4"thk 34 pcs Cement 33 bags Sand 2 cu.m Gravel 4 cu.m 16mm dia RSB 40 pcs 10mm dia RSB 25 pcs GI wire #16 4 kgs GI plain sheet 2 pcs Plywood 1/2"thk 4 pcs Cocolumber 2"x3"x10' 8 pcs Assort</t>
  </si>
  <si>
    <t xml:space="preserve"> ITEM NO.	QUANTITY	UNIT	DESCRIPTION 			 1	5400	pcs	35x25x5.5cm (Barbell) Block Paver 2	2250	pcs	Cement (Paver) Tiles 3	45	pcs	30 x 30 x 2 cm (Cement Tiles) 4	35	pcs	60 x 60cm Ceramic Tiles 5	30	cu.m.	Earthfilling 6	25	pcs	Gravel 7	45	cu.m.	Sand 8	356	bags	</t>
  </si>
  <si>
    <t xml:space="preserve"> Please see attached Request for Quotation. --------------------OPAG---------------------</t>
  </si>
  <si>
    <t xml:space="preserve"> Republic of the Philippines BIDS AND AWARDS COMMITTEE Bacolod City INVITATION TO BID FOR THE PURCHASE OF BRAND NEW SERVICE VEHICLE FOR USE AS SERVICE VEHICLE OF PUBLIC WORK DIVISION, CEO 1.	The City of Bacolod, through the Sangguniang Panlungsod 2019 inte</t>
  </si>
  <si>
    <t xml:space="preserve"> Republic of the Philippines Province of Davao Oriental City of Mati BIDS &amp; AWARDS COMMITTEE INVITATION TO BID (REBID) Procurement of One (1) Unit CACAO GRINDER in Support to Cacao/Coffee Village Plantation Development Program SOURCE OF FUND: OLFP [1999(OC</t>
  </si>
  <si>
    <t xml:space="preserve"> SOURCE OF FUNDS: ANNUAL BUDGET CY 2020-- 20% DF BIDDING DATE &amp; TIME: JUNE 19, 2020- 3:00 P.M</t>
  </si>
  <si>
    <t xml:space="preserve"> Supply &amp; Delivery of Agricultural  Equipment ABC:100,000.00 1 unit  Thresher (Complete Set)  	Delivery period: 30 days 	Delivery site: DA- AmasRES, Amas Kidapawan City Note: Bidders must quote in all items (by lot) in a Sealed Envelope  together with Mand</t>
  </si>
  <si>
    <t xml:space="preserve"> Republic of the Philippines Province of Camarines Norte MUNICIPALITY OF VINZONS BIDS AND AWARDS COMMITTEE (BAC) (Tel. # 446-63-09) INVITATION TO BID 	 Invitation to Bid for: CONSTRUCTION OF TEMPORARY FACILITY WITH MATERIALS RECOVERY FACILITY – BRGY. MANGC</t>
  </si>
  <si>
    <t xml:space="preserve"> 1.		3	 units 	of	16 Channel NVR4216-4KS2 2.		13	 units 	of	4MP IPC - b1b40 Bullet, 4MP 3.		3	 units 	of	4MP IR 30x PTZ ip Camera 4.		3	 units 	of	4TB WD Purple Hardisk 5.		4	 units 	of	AP Transceiver, Litebeam, M5, AP 6.		1	 unit 	of	AP Receiver, Litebeam</t>
  </si>
  <si>
    <t xml:space="preserve"> PABX/Telephone System 1 unit        Panasonic PABX Main Unit 1 unit        Panasonic Telephone Handset Main Console 21 units     Panasonic Telephone Handset 1  assy      Telephone Terminal Block 21 pcs       Telephone Outlet Cat5e 21 pcs       Simplex Fac</t>
  </si>
  <si>
    <t xml:space="preserve"> Per approved PR # 249 dated May 13, 2020 consisting of various drugs and medicines for use in the Mun. Heath Office.</t>
  </si>
  <si>
    <t xml:space="preserve"> Supply &amp; Delivery of Various Agri Supplies ABC:101,500.00 1,005 kgs. Heirloom  Rice Seeds 149 kgs Peanut Seeds 2 bags  Hybrid Corn Seeds 	Delivery period: 30 days 	Delivery site: DA-Aroman RES, Carmen, Cotabato Note: Bidders must quote in all items (by lo</t>
  </si>
  <si>
    <t xml:space="preserve"> A.I. Construction of 0.40 m. x 0.40 m. x 1.10 m. high pedestal																			 8			bags			Portland Cement															 25			cans			Washed Sand															 50			Cans			Washed Gravel															 7			pcs.			16 mm Ø RSB @ 6 m. long															 6</t>
  </si>
  <si>
    <t xml:space="preserve"> Supply &amp; Delivery of Various Supplies ABC:50,050.00 8 pcs Bukag  9 pcs Winnower  350 pcs Empty Sacks 5 pcs Shovel 6 pcs Spade, HD 2 units Wooden seed shelves (H= 6ft, W=8ft, D= 18”) 	Delivery period: 30 days 	Delivery site: DA-Aroman RES, Carmen, Cotabato</t>
  </si>
  <si>
    <t xml:space="preserve"> 7 units Manual BP Apparatus</t>
  </si>
  <si>
    <t xml:space="preserve"> Name of Project: COMPLETION OF LITEN MULTI-PURPOSE HALL						 Location: Suyoc, Mankayan, Benguet						 Materials:						 	Description		QTY	Unit 	Unit Cost	Amount 	Portland Cement		20	bags	351.00	 7,020.00  	Fine sand		1	cu m	 2,434.00 	 2,434.00  	.30x.30 </t>
  </si>
  <si>
    <t xml:space="preserve"> Assorted Drugs &amp; Medicines</t>
  </si>
  <si>
    <t xml:space="preserve"> Republic of the Philippines Province of Occidental Mindoro Municipality of Sta. Cruz INVITATION TO BID The Municipality of Sta. Cruz, through its Bids and Awards Committee (BAC), invites qualified contractors to bid for the construction of hereunder progr</t>
  </si>
  <si>
    <t xml:space="preserve"> Supply &amp; Delivery of Cacao Seedlings ABC:510,000.00 34,000 pcs Cacao Seedlings -	Pencil size -	Graftable  -	Potted on 6” x 10” x.003 -	Polyethylene  black bag 	Delivery period: 30 days 	Delivery site: DA- Amas RES, Kidapawan City  Note: Bidders must quote</t>
  </si>
  <si>
    <t xml:space="preserve"> REMINDERS: (1) SUBMISSION OF REQUEST FOR QUOTATION SHALL BE ON A SEALED ENVELOPE. THE FLAP OF THE ENVELOPE MUST BE SIGNED. THE DETAILS THAT SHOULD BE REFLECTED IN THE ENVELOPE ARE THE FOLLOWING:  a) RQ NUMBER;  b) COMPANY NAME;  c) REQUESTING UNIT; and  d</t>
  </si>
  <si>
    <t xml:space="preserve"> 2 units Laptop</t>
  </si>
  <si>
    <t xml:space="preserve"> I. SIGNBOARD II. LAY-OUT &amp; EXCAVATION III. STONE MASONRY WORKS</t>
  </si>
  <si>
    <t xml:space="preserve"> INVITATION TO BID IB No. 01-2020 PURCHASE OF VARIOUS CONSTRUCTION MATERIALS AND SUPPLY FOR THE PROPOSED CONSTRUCTION OF LINING CANAL APPROXIMATELY 100m 1.	The Barangay Cabolo-an Sur, Oton, Iloilo, through 20% Development, intends to apply the sum of One H</t>
  </si>
  <si>
    <t xml:space="preserve"> Supply &amp; Delivery of Laboratory Supplies ABC:57,000.00 	10  sacks Crack Corn  -	Yellow 	30 sacks Trigo/Wheat -	50 kgs/bag -	Big grains -	White in color and clean 	Delivery period: 30 days 	Delivery site: DA-RCPC, Tacurong City  Note: Bidders must quote in</t>
  </si>
  <si>
    <t xml:space="preserve"> I. SIGNBOARD II. REMOVAL OF DILAPIDATED FLOOR TILES (FITS CENTER) III. REMOVAL OF DILAPIDATED FLOOR TILES (DRRMO OFFICE) IV. REMOVAL OF DILAPIDATED FLOOR TILES (SB OFFICE) V. REMOVAL OF DILAPIDATED FLOOR TILES (MAYOR'S OFFICE) VI. REMOVAL OF DILAPIDATED F</t>
  </si>
  <si>
    <t xml:space="preserve"> Please download associated components</t>
  </si>
  <si>
    <t xml:space="preserve"> Supply &amp; Delivery of Planting Materials ABC:542,000.00 	542,000 pcs  Cassava Planting Materials   -	Good quality planting materials -	Free from pest &amp; diseases -	Mature stalks  -	With at least 30 viable node/stalk -	Diameter : 1.5m -	Lakan/Rayong Variety </t>
  </si>
  <si>
    <t xml:space="preserve"> 1.	The Brgy. Capayawan, Municipality of Botolan, through the Barangay Fund intends to apply the sum of P 360,688.00 being the Approved Budget for the Contract (ABC) to payments under the contract for Concreting of Capayawan Alley Road (Phase II), Botolan,</t>
  </si>
  <si>
    <t xml:space="preserve"> JANITORIAL SERVICES TO HANDLE CLEANING NEEDS AND SANITIZING THE SURFACE OF THE BFAR-NMC OFFICE ON JULY 1-DECEMBER 31, 2020			 			 Janitors BFAR NMC Main:			 Training Hall/Male Dormitory	2	pesonnel	 Admin Office/Female Dormitory	1	pesonnel	 Multi-Purpose C</t>
  </si>
  <si>
    <t xml:space="preserve"> RFQ 2020-101 PROJECT		:	LBRDC MOST COMMONLY USED MATERIALS  IMPLEMENTOR		: 	LBP RESOURCES AND DEVELOPMENT CORPORATION OWNER			:	LAND BANK OF THE PHILIPPINES	 REQUEST FOR QUOTATION FOR	:	SUPPLY OF GLASS &amp; STAINLESS MATERIALS    DATE / TIME OF SUBMISSION		:</t>
  </si>
  <si>
    <t xml:space="preserve"> SOURCE OF FUNDS: ANNUAL BUDGET CY 2020 BIDDING DATE &amp; TIME: JUNE 19, 2020- 1:00 P.M</t>
  </si>
  <si>
    <t xml:space="preserve"> Republic of the Philippines Province of Camarines Norte MUNICIPALITY OF VINZONS BIDS AND AWARDS COMMITTEE (BAC) (Tel. # 446-63-09) 	 INVITATION TO BID FOR: Materials for the Installation of Solar Lights – Brgy. Sabang, Vinzons, Camarines Norte 1.	The Loca</t>
  </si>
  <si>
    <t xml:space="preserve"> WRENCH, TORQUE S-WRENCH TORQUE</t>
  </si>
  <si>
    <t xml:space="preserve"> Supply &amp; Delivery of IT Supplies ABC:55,500.00 1 pc Intel core i5-7500 1 pc motherboard, Ex-H110M-V Micro ATX 1 pc 8GB DDR4 2666 DIMM Desktop memory 1 pc 1TB green SATA 6.0 gb/3.5 in IHD 1 pc  22 in widescreen LCD monitor/DVi 1 pc  ATX Case with 700 power</t>
  </si>
  <si>
    <t xml:space="preserve"> 1	Name of Project: IMPROVEMENT OF KAMANTUKOB-NAKAWA WWS					 	Location:Guinaoang, Mankayan, Benguet					 	Materials:					 	Description		Qty.	Unit	Unit Cost	Amount 	port land cement		25	bags	314.00	 7,850.00  	sand		1.5	cu m	 2,024.00 	 3,036.00  	gravel		</t>
  </si>
  <si>
    <t xml:space="preserve"> 1 unit Infant Weighing Scale</t>
  </si>
  <si>
    <t xml:space="preserve"> CALIBRATION OF SURVEY INSTRUMENT: SOKKIA GRS2, REAL TIME KINEMATIC (RTK) GLOBAL NAVIGATION SATELLITE SYSTEM (GNSS) RECEIVER</t>
  </si>
  <si>
    <t xml:space="preserve"> REPAIR AND RECONDITIONING OF SLURRY PUMP ROTOR OF THE DREDGING MACHINE</t>
  </si>
  <si>
    <t xml:space="preserve"> TO SUPPLY HYDRAULIC OIL FOR THE DREDGING MACHINE CONSUMPTION</t>
  </si>
  <si>
    <t xml:space="preserve"> 2  units  - Incubator (Automatic) with 250 eggs capacity per unit.  Requirements:   2020 PhilGeps Registration, Business Permit, Mayors Permit, Tax Clearance and Notarized Omnibus                         Sworn Statement of Business Transactions.</t>
  </si>
  <si>
    <t xml:space="preserve"> Service Vehicle				1	unit &gt; Brand New					 &gt; Sports Utility Vehicle					 &gt; Engine Displacement : 1898cc (minimum)					 &gt; Engine Type : 4-cylinder, Diesel-fed, with turbo intercooler					 &gt; Power : 150 PS 					 &gt; Torque : 350 N-m					 &gt; Fuel System : CRDI	</t>
  </si>
  <si>
    <t xml:space="preserve"> FABRICATION AND INSTALLATION OF WOODEN CABINET AT NEW DREDGING OFFICE AND OTHER ACTIVITIES</t>
  </si>
  <si>
    <t xml:space="preserve"> MAINTAINING A WATER LILY FREE AT THE SURGE POOL AREA, WHOLE YEAR ROUND WITHIN THE WHOLE BODY OF WATER</t>
  </si>
  <si>
    <t xml:space="preserve"> BIDS AND AWARDS COMMITTEE REQUEST FOR QUOTATION The UCPB invites all interested suppliers, which are registered in the Philippine Government Electronic Procurement System (PhilGEPS), to submit their lowest price proposal/quotation for the replacement of a</t>
  </si>
  <si>
    <t xml:space="preserve"> SOURCE OF FUNDS: ANNUAL BUDGET CY 2020 BIDDING DATE &amp; TIME: JUNE 19, 2020- 3:00 P.M</t>
  </si>
  <si>
    <t xml:space="preserve"> I. SIGNBOARD II. FACADE PAINTING AND FINISHING III.FACADE EAVES CEILING IV. CONCRETING OF FLOORING V. SENIOR &amp; PWD HOLDING AREA VI. CONCRETING &amp; MASONRY WORKS VII. STEEL WORKS VIII. FORM &amp; SCAFFOLDING IX. DOORS &amp; WINDOWS X. TRUSS AND ROOFING WORKS XI. CAR</t>
  </si>
  <si>
    <t xml:space="preserve"> TO SUPPLY DIESEL &amp; 1 OTHER ITEM</t>
  </si>
  <si>
    <t xml:space="preserve"> Republic of the Philippines					 DEPARTMENT OF PUBLIC WORKS AND HIGHWAYS					 BUTUAN CITY DISTRICT ENGINEERING OFFICE					 REGIONAL OFFICE XIII					 Butuan City, Agusan del Norte					   Tel. Nos. 342-5331  Fax No. 225-2022					 					Page 1 of 3 Name of Pr</t>
  </si>
  <si>
    <t xml:space="preserve"> covid protection and blended learning supplies</t>
  </si>
  <si>
    <t xml:space="preserve"> Supply, Delivery, Testing, Integration, Training and  Commissioning of News Production Editing System with  Complete Accessories for the Mindanao Media Hub of the  People’s Television Network, Inc. (PTNI)  (Negotiated Procurement: Two Failed Biddings)</t>
  </si>
  <si>
    <t xml:space="preserve"> Supply &amp; Delivery of Laboratory Supplies ABC: 327,000.00 	2 tube Avian Influenza Virus H5N1 Antigen 	2 tube Avian Influenza Virus H5N2 Antigen 	2 tube Avian Influenza Virus H7N1 Antigen 	1 bot EIA Equine Infections Anemia (Coggins Test kit) 	7 kit CAE Tes</t>
  </si>
  <si>
    <t xml:space="preserve"> Republic of the Philippines Province of Camarines Norte MUNICIPALITY OF VINZONS BIDS AND AWARDS COMMITTEE (BAC) (Tel. # 446-63-09) 	 INVITATION TO BID FOR: Hardware Materials for the Construction of Low Cost Housing Phase II – Gawad Kalinga 1.	The Local G</t>
  </si>
  <si>
    <t xml:space="preserve"> VACUUM INDUSTRIAL, 230 VOLTS POWER SUPPLY, WET &amp; SUPPLY</t>
  </si>
  <si>
    <t xml:space="preserve"> 1.	2,993	liter/s	Diesel Fuel</t>
  </si>
  <si>
    <t xml:space="preserve"> DESCRIPTION OF WORK QTY UNIT Installation of Shed Roofing 5.94 sq.m. Materials: 2" x 3" Rectangular Tube 4 lngth Welding Rod 1 kg Roofing Sheet (Rib Type) 4 sheets Roofing Insulator 6 mts Gutter 3.3 mts Down Spout 1 lot Red Oxide 1 quart Enamel (Brown) 1 </t>
  </si>
  <si>
    <t xml:space="preserve"> 114 reams Multipurpose, Copy Paper 70gsm A4 145 reams Multipurpose, Copy 70gsm Legal 1 pack Tagboard Folder, A4 2 packs Tagboard Folder, Legal 17 pieces Sign pen, blue 17 pieces Sign pen, black 2 tubes Brother Toner, DCP 2540DW 14 pieces Thermal Scanner 1</t>
  </si>
  <si>
    <t xml:space="preserve"> Request for Quotation City Agriculture Office CO - Breeding Stocks P310,000.00</t>
  </si>
  <si>
    <t xml:space="preserve"> Construction/ Concreting of Provincial Roads, Highways and Bridges (Panhutungan Feeder Road Slope Protection) Municipality of Placer, Surigao del Norte Name of Contract:	Construction/ Concreting of Provincial Roads, Highways and Bridges (Panhutungan Feede</t>
  </si>
  <si>
    <t xml:space="preserve"> I Removal of Existing Canal &amp; Excavation : A. Labor: 1 Foreman 6 Laborers B. Equipment: 1 Unit Jackhammer II C.H.B Laying Plastering and Canal Cover: Canal Dimension L= 37 m, W = 0.6 m (Outside ) , H = 0.6 m A. Mayterials: 105 bags Portland Cement 7 cu.m.</t>
  </si>
  <si>
    <t xml:space="preserve"> UNIT	  DESCRIPTION		QUANTITY SPL-1	INSTALLATION OF HOSPITAL LIFT ELEVATOR		 	Qty. = 1.00 lot		 I.	Materials		 lot	Hospital Lift Elevator 2 tons Capacity with		1 	75KW motor incl. mechanical and electrical		 	installation incl. accessories &amp; fittings		 II.</t>
  </si>
  <si>
    <t xml:space="preserve"> 5 UNITS OF AIR CONDITION</t>
  </si>
  <si>
    <t xml:space="preserve"> 1.  6,000 pcs.  - IEC Materials (Printing Trifold -A4 Size) 2.  300   pcs.   - Corporate Foldable Fans  3.  100   pcs    - Customized ATI garden gloves Requirements:   2020 PhilGeps Registration, Business Permit, Mayors Permit, Tax Clearance and Notarized</t>
  </si>
  <si>
    <t xml:space="preserve"> 1 lot ABC:       84,000.00 Components: "1. Batino’s Food Products 2. Calingayan Rural Improvement Club 3. Cynthia’s Food Products 4. Datsimas Food Products 5. David Menor Mendrata Mushroom Farm 6. Grace Bernadette Food Products 7. JGC Food Products 8. JL </t>
  </si>
  <si>
    <t xml:space="preserve"> The Mabitac Water District, through the Siniloan Water District (SIWADI) BAC intends to apply the sum of PhP 870,000.00 being ABC to payment under the contract for the Drilling of one (1) Exploratoryh/Production Well. We now invites sealed Bids from prosp</t>
  </si>
  <si>
    <t xml:space="preserve"> Billboard; Clearing and Excavation; Reinforcing Steel Bars; Concrete Works; Installation of 1/2 “ dia G.I. Pipe Sch. 40 and HDPP Pipe; Construction of Pump House and Upgrading of Water Pump; Electrical Permit/Processing Fee; Electrical Works; Construction</t>
  </si>
  <si>
    <t xml:space="preserve"> Republic of the Philippines Municipality of Taytay Barangay Casian NOTICE TO BIDDERS 1.	CONCRETING OF ROAD ( Construction of MPP) So. Amianan Rd. Item#	Description			QTY.		UNIT	 1.	Portland Cement			762		bags 2.	12mm dia.x6.0m RSB		        118		pcs 3.	½”O</t>
  </si>
  <si>
    <t xml:space="preserve"> INSTALLATION OF SOLAR STREETLIGHTS AT RICAFRENTE COMPOUND,  POBLACION, ROSARIO, CAVITE MATERIALS: 	25pcs.		Solar Powered Lightning Fixture, 10 Watts Led Lamp 	13pcs.		GI Pipe 2”0 	  8pcs		GI Pipe 1 ½”0 	10pcs.		RSB #9 	  3pcs.		Tie Wire #16 	  4pcs.		Weld</t>
  </si>
  <si>
    <t xml:space="preserve"> Top Loading, Hot and Cold Standing Water Dispenser  4     Pls. submit your quotation thru email:  mi_lynsn@yahoo.com x-x-x-x-x-x-x-x-x-x-x-x-x-x-x-x-x Total ABC  (in PhP)  24,000.00</t>
  </si>
  <si>
    <t xml:space="preserve"> PROJECT TITLE:	VARIOUS HARDWARE, ELECTRICAL &amp; INDUSTRIAL SUPPLIES		  					        INSTRUCTIONS:	__√_	ADDITIONAL INSTRUCTIONS ATTACHED 			___	NO ADDITIONAL INSTRUCTIONS 1.	Fax / Email / Submit your quote or regret (with reasons thereof) using the PNOC issu</t>
  </si>
  <si>
    <t xml:space="preserve"> Republic of the Philippines Province of Davao De Oro 		Municipality of Compostela BARANGAY SIOCON BIDS AND AWARDS COMMITTEE CP #: 09101906158 INVITATION TO BID NO. 2020-07-001 BID #001 1.	The Barangay Siocon through its Bids and Awards Committee invites S</t>
  </si>
  <si>
    <t xml:space="preserve"> 1.	1	unit/s	Motorcycle XRM-125 FI latest</t>
  </si>
  <si>
    <t xml:space="preserve"> PURCHASE REQUEST NO. 2020-11-0002								 								 Barangay:	Lower Baluran				Province:	Zamboanga Sibugay		 Municipality:	Imelda				Date:	6/11/2020		 								 								 								 QTY	   UNIT OF 	        ITEM			        ESTIMATED 	      ESTIMATED	 	MEASUREMEN</t>
  </si>
  <si>
    <t xml:space="preserve"> Republic of the Philippines Province of Batanes	 MUNICIPALITY OF BASCO               		INVITATION TO BID FOR THE PROCUREMENT OF MATERIALS FOR REPAIR AND MAINTENANCE OF SCHOOL BUILDINGS 1.	The Municipal Local Government Unit of Basco, through the General F</t>
  </si>
  <si>
    <t xml:space="preserve"> Please quote your lowest price inclusive of VAT on the item/s listed below, subject to the Terms and Conditions of this RFQ, and submit your quotation duly signed by your representative not later than  June 18,  2020  at Bids and Awards Committee Katipuna</t>
  </si>
  <si>
    <t xml:space="preserve"> INVITATION TO BID IB No. 03, S. 2020 The Municipality of General Nakar, Quezon through the Approved  Purchase Request amounting to One Million One Hundred Seventy Thousand Eight Hundred and Sixty Five Pesos (PhP1,170,865.00) being the Approved Budget for </t>
  </si>
  <si>
    <t xml:space="preserve"> Canal Dimension L = 90.00m, W = 0.40m , H = 0.40 Canal Cover L = 90.00m, W = 0/60m , thk = 0.10 Pathway L = 90.00m , W = 2.0m , thk = 0.10 I . Costruction of Canal Lining with Concrete Cover A. Materials : 1,000 pcs CHB #4 220 bags Portland Cement 15 cu.m</t>
  </si>
  <si>
    <t xml:space="preserve"> Republic of the Philippines BOHOL ISLAND STATE UNIVERSITY Main Campus, Tagbilaran City INVITATION TO BID FOR SUPPLY AND DELIVERY OF PRINTING SUPPLIES FOR DIFFERENT DEPARTMENTS (NON-PS) (PR NO. 2020-06-0560) 1.	The Bohol Island State University – Main Camp</t>
  </si>
  <si>
    <t xml:space="preserve"> To All Eligible Suppliers/Contractors: Please quote your lowest price inclusive of VAT on the items listed in the RFQ Form (please see and download attachment in the Associated Components), subject to the Terms and Conditions of this Request for Quotation</t>
  </si>
  <si>
    <t xml:space="preserve"> WDR Ir Dome Camera Network units 13 * 7mm-35mm 5x Zoom * Lens 5x Zoom 8MP 8MP WDR IR Mini Bullet Network Camera units 19 * 1/1.8" 8Megapixel progressive scan CMOS * H. 265&amp;H.264 dual-stream encoding * 25/30 fps @ 8MP (3840x2160) * WDR (120dB), Day/Night (</t>
  </si>
  <si>
    <t xml:space="preserve"> INVITATION TO BID FOR  SUPPLY AND DELIVERY OF ONE (1) UNIT RING NET (2nd Publication) 1.	The Local Government Unit of Laoang, through the Trust Fund ( intends to apply the sum of Two Million Five Hundred Thousand (Php2, 500,000.00) being the Approved Budg</t>
  </si>
  <si>
    <t xml:space="preserve"> 1.	2,000	liter/s	Diesel Fuel</t>
  </si>
  <si>
    <t xml:space="preserve"> Supply &amp; Delivery of  Various Laboratory Supplies ABC:230,100.00 	20  packs Filter paper, 125 mm, Whatman Grade 2, 110/pack 	3 units micropipette stand, carousel type, rotatable for six micropipette 	4 pairs safety shoes, size 6, 7, 8.5 &amp; 12 	4 units Sevi</t>
  </si>
  <si>
    <t xml:space="preserve"> 7	unit  'LED TV 40" width Ports Input: HDMI, VGA USB 2.0/3.0 Warranty Type: Local Supplier Warranty 40	unit  "WEBCAM 16 megapixels Computer interface: USB 2.0/3.0 System Requirements: Windows XP / Vista / 7 / 8 / 8.1 / 10"		 40	unit  "HEADSET Has micropho</t>
  </si>
  <si>
    <t xml:space="preserve"> The Barangay Government of Barangay Tagpopongan  through the 20% Devt Funds  intends to apply the sum of Four Hundred Twenty Two Thousand Five Hundred Forty Two Pesos Only (PhP422,542.00) for the Supply and Delivery of Materials for the Improvement of Wat</t>
  </si>
  <si>
    <t xml:space="preserve"> items:    1 pcs double swing glass door free installation    5 pcs. swivel chairs location: economic enterprise office, gutalac, zamboanga del norte approved budget for the contract: php62,000.00 opening of bids: june 17, 2020    2:00 pm submission of bid</t>
  </si>
  <si>
    <t xml:space="preserve"> 1 22 REAM/S PAPER - BOND,PG,A4,210MMX297MM,70GSM. 2 22 REAM/S PAPER - BOND,PG,LEGAL,216MMX330MM(8-1/2"X13") 70 GSM 3 3 BOX BALLPEN - BLACK ORDINARY 50'S 4 25 PC/S CORRECTION TAPE - W/ CASE 5 3 PACKS PAPER - PHOTO A4 SIZE 200GMS 20'S/PACK 6 10 BOX/S WIRE -</t>
  </si>
  <si>
    <t xml:space="preserve"> INVITATION TO BID BAC-IB NO. 2020-31 	 The Research Institute for Tropical Medicine (RITM) through its Bids and Awards Committee (BAC) invites legally, technically and financially capable PhilGEPS registered contractors with valid and appropriate PCAB Lic</t>
  </si>
  <si>
    <t xml:space="preserve"> RFQ 2020-102 PROJECT		:	LBRDC MOST COMMONLY USED MATERIALS  IMPLEMENTOR		: 	LBP RESOURCES AND DEVELOPMENT CORPORATION OWNER			:	LAND BANK OF THE PHILIPPINES	 REQUEST FOR QUOTATION FOR	:	SUPPLY OF ELECTRICAL MATERIALS    DATE / TIME OF SUBMISSION		:	ON OR </t>
  </si>
  <si>
    <t xml:space="preserve"> •	Multi-parameter Water Quality Probe   -   1 pc.    •	Hydrochloric Acid (Non-fuming)   - 1 bot    •	Magnesium chloride   -   1 bot    •	Sodium acetate         -   1 bot    *	Sodium carbonate     -   1 bot    •	N-1(1-Napthyl) Ethylenediamine dihychloride </t>
  </si>
  <si>
    <t xml:space="preserve"> Procurement of Fertilizers and Seeds						 Purchase Requested by the City Agriculture's Office, Tabaco City						 						 To Interested Suppliers, Manufacturers and Distributors,						 						 Please quote your lowest price/s on the lot or item/s  below, su</t>
  </si>
  <si>
    <t xml:space="preserve"> Republic of the Philippines PROVINCE OF SAMAR Catbalogan -o0o- REQUEST FOR EXPRESSION OF INTEREST FOR THE PROCUREMENT OF INDEPENDENT CONSULTANT FOR THE CONSULTANCY SERVICES FOR THE FORMULATION OF FEASIBILITY STUDY AND ENVIRONMENTAL IMPACT ASSESSMENT, AND </t>
  </si>
  <si>
    <t xml:space="preserve"> Project Title: 	 REPAIR AND IMPROVEMENT OF ELECTRICAL SYSTEM AT MASUNURIN BUILDING 1&amp;2  					  Location: 	BAGO OSHIRO, MINTAL, DAVAO CITY					 Approved Budget for the Contract (ABC):		₱822,800.00				 						  ITEM NO. 	SCOPE OF WORKS	Specific Inclusions (b</t>
  </si>
  <si>
    <t xml:space="preserve"> INVITATION TO BID FOR  REPAIR OF FARMERS TRAINING CENTER - CACANDONGAN The Municipality of San Juan, through its Bids and Awards Committee (BAC), invites contractors to submit bids for the following Contract: Contract ID		:          	20-00043						 Contra</t>
  </si>
  <si>
    <t xml:space="preserve"> Procurement of Seeds						 Purchase Requested by the City Agriculture's Office, Tabaco City						 						 To Interested Suppliers, Manufacturers and Distributors,						 						 Please quote your lowest price/s on the lot or item/s  below, subject to Terms a</t>
  </si>
  <si>
    <t xml:space="preserve"> Activities	Schedule 1. First Day of Issuance of Bid Documents: June 15, 2020 2. Last day of Issuance of Bid Documents: June 23, 2020 @ 2:00 PM 3. Last day of Submission and Opening of Bids: June 23, 2020 @ 2:00 PM</t>
  </si>
  <si>
    <t xml:space="preserve"> please see attached bid docs...</t>
  </si>
  <si>
    <t xml:space="preserve"> INVITATION TO BID FOR  “Supply and Delivery of One (1) lot Sealed Lead Acid Battery” 1.	The Philippine Institute of Volcanology and Seismology, through the GAA 2020 intends to apply the sum of Three Million Two Hundred Thousand Pesos Only (₱3,200,000.00) </t>
  </si>
  <si>
    <t xml:space="preserve"> UNIT	  DESCRIPTION		QUANTITY 			 			 201	Aggregate Base Course 		 	Qty.= 520  cu.m		 			 	I - MATERIALS		 cu.m	Crushed Gravel (G-1)		520</t>
  </si>
  <si>
    <t xml:space="preserve"> General cleaning of split type and window type ACUs of offices of J. Lantion (Rm 202) J, Gaerlan (rm 302) J. Legaspi (rm 402) vacant (rm 502) Requirements: 1  2020 Mayors Permit 2,  Philgeps Reg 3.  BIR Reg,  (Form 2303)</t>
  </si>
  <si>
    <t xml:space="preserve"> Procurement of Airconditioning Unit					 Purchase Requested by the City Mayor's Office, Tabaco City					 					 To Interested Suppliers, Manufacturers and Distributors,					 					 Please quote your lowest price/s on the lot or item/s  below, subject to Ter</t>
  </si>
  <si>
    <t xml:space="preserve"> INVITATION TO BID FOR CIVIL WORKS June 10, 2020 1.	The Department of Public Works and Highways (DPWH), Bukidnon Second District Engineering Office, Pinamaloy, Don Carlos, Bukidnon through its Bids and Awards Committee BAC, invites contractors to submit bi</t>
  </si>
  <si>
    <t xml:space="preserve"> 45 bags cement 3.5 cu.m. Sand 2.5 cu.m. Gravel 53 pcs 10mm0 RSB 18 pcs 12mm0 RSB 360 pcs CHB 4" 6 kgs #16 G.I. Tire wire 5 pcs O. Plywood 1/4" 120 bdft Coco lumber 3 kgs Assorted CW Nail 16 pcs G.I. Corr Roof Sheet 10" 3 pcs G. I. Gutter 8' 4 pcs G.I. End</t>
  </si>
  <si>
    <t xml:space="preserve"> 500 booklets traffic violation receipts (triplicate carbonized) - 72,500.00</t>
  </si>
  <si>
    <t xml:space="preserve"> 45 unit of Alcohol dispenser for the classrooms of Dagupan City National High School</t>
  </si>
  <si>
    <t xml:space="preserve"> Republic of the Philippines PROVINCE OF SAMAR Catbalogan -o0o- REQUEST FOR EXPRESSION OF INTEREST FOR THE PROCUREMENT OF INDEPENDENT CONSULTANT FOR THE CONSULTANCY SERVICES FOR THE FORMULATION OF MASTER DEVELOPMENT PLANS FOR BRGY. MERCEDES RECLAMATION PRO</t>
  </si>
  <si>
    <t xml:space="preserve"> INVITATION TO BID FOR THE PROCUREMENT OF Medical Equipment 1.	The Local Government Unit of Buug, through the General  Fund  intends to apply the sum of  Six Hundred Eighty Thousand Pesos only ( 680,000.00) being the Approved Budget for the Contract (ABC) </t>
  </si>
  <si>
    <t xml:space="preserve"> Republic of the Philippines Dagupan City BIDS AND AWARDS COMMITTEE INVITATION TO BID For the Procurement of Three (3) Units Brand New Motorcycle (PR no.: 2020-00784-024) 1.	The City Government of Dagupan, through the 2017 Approved CONTINUING APPROPRIATION</t>
  </si>
  <si>
    <t xml:space="preserve"> 1.  250 heads - Chicken (Rhode Island Red) 3 months old,  Ratio: 40 Males &amp; 210 Females vaccinated  with NCD                         and without any abnormalities. Requirements:    2020 PhilGeps Registration, Business Permit, Mayors Permit, Tax Clearance,</t>
  </si>
  <si>
    <t xml:space="preserve"> 1 1 PC/S USB FLASH DRIVE - 16 GB 2 4 PACK STICKER PAPER - 8.5 X 13, 10PCS/PACK 3 10 PC/S RECORD BOOK - 300 PAGES,SMALL DIMENSION 4 30 PC/S BALLPEN - ORDINARY, BLACK 5 3 REAM/S PAPER - BOND,PG,LEGAL,216MMX330MM(8-1/2"X13") 70 GSM 6 3 REAM/S PAPER - BOND,PG</t>
  </si>
  <si>
    <t xml:space="preserve"> Materials (Hardware/Construction)</t>
  </si>
  <si>
    <t xml:space="preserve"> Supply, delivery and installation of 24 units steel rack for ACA records Center</t>
  </si>
  <si>
    <t xml:space="preserve"> Car Rental/ Service Vehicle</t>
  </si>
  <si>
    <t xml:space="preserve"> Desktop Computer Please see attached Request for Quotation (RFQ)</t>
  </si>
  <si>
    <t xml:space="preserve"> Name of Project: BACK STREET DRAINAGE CANAL					 	Location: Poblacion, Mankayan, Benguet					 	Materials:					 	Description		Qty.	Unit	Unit Cost	Amount 	10mm diam. RSB(grade 40)		577.20	kgs	39.65	 22,886.57  	#16 GI Tie wire		9	kgs	80.00	720.00 	stone bou</t>
  </si>
  <si>
    <t xml:space="preserve"> Item No.	ITEM AND DESCRIPTION	QTY	Unit of Issue	UNIT PRICE 1	Bond Paper A3	2	 box	 2	Bond Paper A4	80	 box	 3	Folder (A4)	10	box	 4	Folder (long)	20	 box	 5	Staple Wire Copper # 35	12	box	 6	Staple Wire Copper # 10	8	 box	 7	Stapler #10	1	 pc	 8	Stapler #</t>
  </si>
  <si>
    <t xml:space="preserve"> Procurement ID/Contract ID:	20PI0096 Contract Name:	Maintenance, Repair and Rehabilitation of Infrastructure Facilities and Other Related Activities - Flood Control and Drainage Systems, Structures and Related Facilities: 2. Calacaban Bridge Abutment Supp</t>
  </si>
  <si>
    <t xml:space="preserve"> Request for Quotation City Agriculture Office CO - Vehicles (MOtor) P 151,652.50</t>
  </si>
  <si>
    <t xml:space="preserve"> 1  unit PRESSURE COOKER, large capacity pressure, 20l minimum capacity 1 unit RICE COOKER, 15 cups  1 unit WASHING MACHINE, wash &amp; spin, 7kg minimum capacity, single tub, top open 1 unit STOVE, heavy duty double burner</t>
  </si>
  <si>
    <t xml:space="preserve"> 1.	To reproduce sufficient materials for students 2.	To gauge the CIS pupils’ mastery of the different competencies in the different subject areas ;</t>
  </si>
  <si>
    <t xml:space="preserve"> MOBILIZATION/ DEMOBILIZATION											 OCCUPATIONAL SAFETY &amp; HEALTH PROGRAM											 SCALDING TANK , FURNACE AND CHIMNEY											 BLOOD COLLECTING SINK/ TROUGH											 HOG RESTRAINER											 ELECTRIC HOG STUNNER											 CLEARING OF UNNECESSA</t>
  </si>
  <si>
    <t xml:space="preserve"> Procurement of canned corned beef for augmentation support to LGUs to respond to the impact of COVID-19 CANNED CORNED BEEF - 2,500 boxes - 150 grams, 48pcs/box - Not spicy, not in easy open can - Certified Halal Product - With nutritional information in t</t>
  </si>
  <si>
    <t xml:space="preserve"> Bidding will be conducted through open competitive bidding procedures as specified in the Implementing Rules and Regulation (IRR) of Republic Act No. 9184 (R.A. 9184), otherwise known as the Government Procurement Reform Act.</t>
  </si>
  <si>
    <t xml:space="preserve"> details at the BAC and RHU</t>
  </si>
  <si>
    <t xml:space="preserve"> Supply &amp; Delivery of Various Laboratory Chemicals ABC:92,090.00 	1 bot. Sulfuric acid, 96%, 2.5 L, AR 	2 bot. Formaldeyde, 1 gallon, AR 	1 bot. Isopropyl alcohol, 1 gallon, AR 	2 bot. Cobalt (II) nitrate hexahydrate 500 g, AR 	4 bot. Nitric acid 69% 2.5L,</t>
  </si>
  <si>
    <t xml:space="preserve"> 25 set DISINFECTING RUG WITH TRAY, 16" x 22", with removable and washable mat, durable tray 75 piece PVC DOOR MAT, interlocking PVC, 12" x 12" 75 piece WOOVEN FOOT RAG, 12" x 22" minimum dimension</t>
  </si>
  <si>
    <t xml:space="preserve"> STRUCTURE EXCAVATION (COMMON SOIL) STRUCTURAL CONCRETE FOR FOOTING TIE BEAM, COLUMN, SUSPENDED SLAB, GIRDER/BEAM (CLASS A) I BEAM STRUCTURAL STEEL PURLINS PREPAINTED METAL SHEET(RIB TYPE, SHORT/LONG SPAN, BELOW 0.47/ABOVE 0.47 THK) REINFORCING STEEL OF RE</t>
  </si>
  <si>
    <t xml:space="preserve"> 1 1 PC/S INK - EPSON - CYAN T6642 2 1 PC/S INK - EPSON - MAGENTA T6643 3 1 PC/S INK - EPSON - YELLOW T6644 4 5 PC/S PEN - SIGN C4-BLACK 5 15 REAM/S PAPER - BOND,PG,A4,210MMX297MM,70GSM. 6 15 REAM/S PAPER - BOND,PG,LEGAL,216MMX330MM(8-1/2"X13") 70 GSM 7 50</t>
  </si>
  <si>
    <t xml:space="preserve"> Request for Quotation City Agriculture Office CO - Technical &amp; Scientific Equipment P 90,000.00</t>
  </si>
  <si>
    <t xml:space="preserve"> 7	unit  'PRINTER Printer Type: Print, Scan, Copy Copy Quality: Colour / Black-and-White; Draft / Standard Maximum Copy Size: A4, Letter Max Copy Resolution: 300 x 300 dpi Maximum Copies from Standalone: 20 copies Php 56,000.00</t>
  </si>
  <si>
    <t xml:space="preserve"> Procurement of canned sardines for augmentation support to LGUs to respond to the impact of COVID-19 CANNED SARDINES - 1,200 boxes -in tomato sauce, not spicy, not in easy-open can -155 grams, 100 pcs/box - Certified Halal Product - With nutritional infor</t>
  </si>
  <si>
    <t xml:space="preserve"> details at the GSO</t>
  </si>
  <si>
    <t xml:space="preserve"> Name of Project:LOWER PROPER COLALO GRAVELING					 Location:Colalo, Mankayan, Benguet					 Materials:					 Description		Qty.	Unit	Unit Cost	Amount mountain crushed gravel(Nayak source)		72	cu m	 1,245.00 	 89,640.00  				Total:	89, 640.00</t>
  </si>
  <si>
    <t xml:space="preserve"> PROCUREMENT OF 2,500 PC FACE MASK</t>
  </si>
  <si>
    <t xml:space="preserve"> INVITATION  TO BID: The Barangay  Gonzales, Tubao, La Union through the Bids and Awards Committee (BAC) invites suppliers/ manufactures/distributors/contractors to apply for the eligibility and to bid for the hereunder  project: Name of  Project:        S</t>
  </si>
  <si>
    <t xml:space="preserve"> INSTALLATION OF RCPC AT CONTROLLED DUMPSITE LOCATED AT AGOS, BATO, CAM. SUR</t>
  </si>
  <si>
    <t xml:space="preserve"> details at the agri office</t>
  </si>
  <si>
    <t xml:space="preserve"> CONSTRUCTION OF CORE HOUSING UNITS FOR BATO RESETTLEMENT PROJECT (PHASE 1) AT MASOLI, BATO, CAM. SUR</t>
  </si>
  <si>
    <t xml:space="preserve"> REQUEST FOR QUOTATION Procurement of Goods [Office Supplies] The   City Government of Tagbilaran, through its Bids and Awards Committee (BAC) intends to apply the sum of Two Hundred Twenty-NineThousand Three Hundred Fifty-Seven (P229,357.00) pesos onlybei</t>
  </si>
  <si>
    <t xml:space="preserve"> REPUBLIC OF THE PHILIPPINES CITY OF MANILA OFFICE OF THE BARANGAY COUNCIL INVITATION TO BID SUBMISSION AND OPENING OF BID WILL BE ON JUNE 19, 2020 AT 8 AM  THE BARANGAY 104 ZONE 8 DISTRICT 1 MANILA THROUGH ITS BID AND AWARDS COMMITTEE (BAC) INVITES ALL QU</t>
  </si>
  <si>
    <t xml:space="preserve"> The National Telecommunications Commission (NTC) hereby invites prospective Supplier to submit their Price Quotation for Project: Procurement of eScan Corporate Edition (with Hybrid Network Support) - 2 years license. ABC - Php216,000.00 Kindly submit the</t>
  </si>
  <si>
    <t xml:space="preserve"> METRO BANGUED WATER DISTRICT					 Bangued, Abra					 					 PURCHASE REQUEST					 					 DIVISION: 	COMMERCIAL				 PR No.     : 	20-06-068				 DATE       : 	10-Jun-20				 					 Item No.	Description	Quantity	Unit	 Unit Cost 	 Amount  					 1	COMPUTER CPU	1	u</t>
  </si>
  <si>
    <t xml:space="preserve"> Supply &amp; Delivery  of Proficiency Testing &amp; Certified Reference Materials ABC:77,000.00 	1  set Soil Proficiency Testing (PT) materials 		For pH, organic matter, NPK analysis, 500ml container, 5 containers 	    Specs:  -	PT materials must come from an int</t>
  </si>
  <si>
    <t xml:space="preserve"> REPUBLIC OF THE PHILIPPINES CITY OF MANILA OFFICE OF THE BARANGAY COUNCIL INVITATION TO BID SUBMISSION AND OPENING OF BID WILL BE ON JUNE 19, 2020 AT 8 AM  THE BARANGAY 54 ZONE 4 DISTRICT 1 MANILA THROUGH ITS BID AND AWARDS COMMITTEE (BAC) INVITES ALL QUA</t>
  </si>
  <si>
    <t xml:space="preserve"> Invitation to Apply for Eligibility and to Bid The Barangay Government of Barangay Dumantay, Batangas City intends to apply the sum of Three Hundred Fifty Thousand Pesos Only (Php 350,000.00) broken down as follow: ITEM Brief Description SUB-ABC Lot 1 PUR</t>
  </si>
  <si>
    <t xml:space="preserve"> The Agricultural Training Institute (ATI) invites interested suppliers to submit quotation/proposals for the hereunder requirements: Provision of Catering Services to be served during the CY 2020 Partnerships and Accreditation Division (PAD) Mid-year Revi</t>
  </si>
  <si>
    <t xml:space="preserve"> Additional Installation of 3 units of Solar Panel Street Lights with Installation</t>
  </si>
  <si>
    <t xml:space="preserve"> Supply &amp; Delivery  of Various Supplies ABC:51,000.00 	5  boxes U-Nail  	20 bags Cement 	2 rolls Barb wire 	8 bags  Salt 	5 pcs  Claw Hammer, HD 	5 pcs Hand Saw, high Quality 	1 roll 1” Rope @ 200 meter/roll 	1 roll 1.5” Rope @ 200 meter/roll 	Delivery per</t>
  </si>
  <si>
    <t xml:space="preserve"> The Energy Regulatory Commission (ERC), through the General Appropriations Act of 2020 intends to apply the sum of Two Hundred Thousand Pesos (PhP200,000.00), being the approved budget for the contract of the Statistical Analysis System (SAS) License, wit</t>
  </si>
  <si>
    <t xml:space="preserve"> BIDS AND AWARDS COMMITTEE ATTENTION:		ALL INTERESTED BIDDERS 			 SUBJECT:	INVITATION TO BID –   Procurement of RF Explorer Combo Spectrum Analyzer for Electronics Engineering Laboratory DATE:	June 10, 2020 - - - - - - - - - - - - - - - - - - - - - - - - -</t>
  </si>
  <si>
    <t xml:space="preserve"> The Agricultural Training Institute (ATI) invites interested suppliers to submit quotation/proposals for the hereunder requirements: Supply and Delivery of Assistant Director's supplies. Budget for the Contract = PHP 53,263.90 For more details, please dow</t>
  </si>
  <si>
    <t xml:space="preserve"> Supply &amp; Delivery of Microtubes ABC:73,400.00 	4 packs 0.5ml Microtubes conical bottom RNA’se &amp; DNA’se free (1,000 pcs/pack) 	4 packs 0.2ml Microtubes conical bottom RNA’se &amp; DNA’se free (1,000 pcs/pack) 	10 packs 1.5ml Microtubes conical bottom RNA’se &amp; </t>
  </si>
  <si>
    <t xml:space="preserve"> General cleaning of indoor and outdoor ACUs in the office of Justice Ramon Garcia, Room No 405, Main Building Requirements: 1.  2020 Mayors permit 2,  BIR reg. (form 2303) 3,  Philgeps reg</t>
  </si>
  <si>
    <t xml:space="preserve"> BIDS AND AWARDS COMMITTEE ATTENTION:		ALL INTERESTED BIDDERS 			 SUBJECT:	INVITATION TO BID –   Programmable Function Generator for Electronics Engineering Laboratory DATE:	June 10, 2020 - - - - - - - - - - - - - - - - - - - - - - - - - - - - - - - - - - </t>
  </si>
  <si>
    <t xml:space="preserve"> Purchase of Drugs and Medicines</t>
  </si>
  <si>
    <t xml:space="preserve"> Construction of  concrete footbridge phase 1</t>
  </si>
  <si>
    <t xml:space="preserve"> Cleaning of indoor and outdoor ACUs in the office of the Presiding Justice, Room 301, 3rd Floor, Main Building Requirements: 1.  2020 Mayors permit 2.  Philgeps reg. 3.  BIR Reg, (form 2303)</t>
  </si>
  <si>
    <t xml:space="preserve"> Supply &amp; Delivery of Steel Cabinet ABC:60,000.00 	12 units Steel Cabinet -	3 drawers, white or off white w/ lock keys 	 Delivery period :  30  days  Delivery site: DA-RFO 12, Koronadal City (HRMS)	 Note: Bidders must quote in all items (by lot) in a Seale</t>
  </si>
  <si>
    <t xml:space="preserve"> Supply &amp; Delivery of  other Supplies ABC:92,858.00 	4 pcs Storage Box (S) 	5 pcs Nigo/Kalalaw (round) 	5 pcs Syche /garab 	5 pcs meter stick , yellow (1 meter) 	2 pcs beach umbrella HD 	10 pair Arm sleeve, long 	10 pcs Fishing hat UV protecting sun hat fo</t>
  </si>
  <si>
    <t xml:space="preserve"> To purchase office supplies for Barangay Oranbo, Pasig City</t>
  </si>
  <si>
    <t xml:space="preserve"> General cleaning of split type 3TR floor mounted ACUs installed in the CA Auditorium - 12 units Requirements 1.  2020 Mayors Permit 2.  Philgeps reg. 3.  BIR reg (Form no 2303)</t>
  </si>
  <si>
    <t xml:space="preserve"> Cleaning of indoor and outdoor ACUs in the office of Justice Fernanda Peralta, Room 302, main bldg. Requirements: 1.  2020 Mayors Permit 2.  BIR reg. (form 2303) 3, Philgeps reg.</t>
  </si>
  <si>
    <t xml:space="preserve"> The TARLAC AGRICULTURAL UNIVERSITY, through its Bids and Awards Committee (BAC), invites all suppliers and dealers to submit sealed quotation for the “SUPPLY AND DELIVERY OF LABORATORY SUPPLIES". Prospective bidders are required to submit the following: &gt;</t>
  </si>
  <si>
    <t xml:space="preserve"> POROPOSED CONSTRUCTION OF CANAL AT BRGY II-B, SAN PABLO CITY</t>
  </si>
  <si>
    <t xml:space="preserve"> Supply &amp;  Delivery of Various Rice Seeds ABC:403,200.00 	72  bags Rice Seeds, Lowland (Inbred) NSIC RC 400 	72 bags  Rice Seeds, Lowland (Inbred) NSIC RC 160 	72  bags Rice Seeds, Lowland (Inbred) NSIC RC 216 	72 bags  Rice Seeds, Lowland (Inbred) NSIC RC</t>
  </si>
  <si>
    <t xml:space="preserve"> Construction of Stockroom for ballot boxes</t>
  </si>
  <si>
    <t xml:space="preserve"> Please quote your lowest price on the item(s)  listed below, subject to the Terms and Condition Stated												 below and submit your quotation duly signed by your representative not later than 10:30 A.M. of  June 22, 												 2020, at the return e</t>
  </si>
  <si>
    <t xml:space="preserve"> 478	bxs 	Face Mask, Surgical, 3-Ply, 50s/box, good quality 		Php__________		Php___________ 		x-x-x-Nothing Follows-x-x-x								 to be used by the Pag-IBIG Fund Employees as PPE against  COVID19</t>
  </si>
  <si>
    <t xml:space="preserve"> BIDS AND AWARDS COMMITTEE ATTENTION:		ALL INTERESTED BIDDERS 			 SUBJECT:	INVITATION TO BID –   Certification Audit for ISO 9001:2015 (Quality Management System) DATE:	June 10, 2020 - - - - - - - - - - - - - - - - - - - - - - - - - - - - - - - - - - - - -</t>
  </si>
  <si>
    <t xml:space="preserve"> Repair/rehabilitation of pathway</t>
  </si>
  <si>
    <t xml:space="preserve"> Name of Project: REHAB AND CONSTRUCTION OF AMBABAG WWS					 Location: Guinaong, Mankayan, Benguet					 Materials:					 Description		Qty.	Unit	Unit Cost	Amount 10mm diam.RSB		60	pcs	167.00	 10,020.00  # 16 G.I Tie wire		17	kgs	110.00	 1,870.00  port land c</t>
  </si>
  <si>
    <t xml:space="preserve"> Republic of the Philippines PROVINCE OF SAMAR Catbalogan -o0o- Standard Form Number: SF-INFRA-05 Revised on: July 29, 2004 INVITATION TO  BID The Provincial Government of Samar, through its Bids and Awards Committee (BAC), invites contractors registered w</t>
  </si>
  <si>
    <t xml:space="preserve"> Materials (Hardware/ Construction)</t>
  </si>
  <si>
    <t xml:space="preserve"> The Agricultural Training Institute (ATI) invites interested suppliers to submit quotation/proposals for the hereunder requirements: Supply and delivery of printers for official use of ATI Directorate and AFU-OD Offices. Budget for the Contract = PHP 145,</t>
  </si>
  <si>
    <t xml:space="preserve"> INVITATION TO BID FOR  COMPRESSED AIR (RE-BID) ITB No. 2020-MS-101 The Jose R. Reyes Memorial Medical Center, through the General Appropriations Act 2020 intends to apply the sum of One Million Seven Hundred Nineteen Thousand Six Hundred  Twenty Pesos (Ph</t>
  </si>
  <si>
    <t xml:space="preserve"> BIDS AND AWARDS COMMITTEE ATTENTION:		ALL INTERESTED BIDDERS 			 SUBJECT:	INVITATION TO BID –   Procurement of Materials to be used for the 13rh World Skills ASEAN Competition 2020, Singapore DATE:	June 10, 2020 - - - - - - - - - - - - - - - - - - - - - -</t>
  </si>
  <si>
    <t xml:space="preserve"> See attached file for reference.</t>
  </si>
  <si>
    <t xml:space="preserve"> Construction of concrete footbridge (phase 1)</t>
  </si>
  <si>
    <t xml:space="preserve"> The Agricultural Training Institute (ATI) invites interested suppliers to submit quotation/proposals for the hereunder requirements: Supply and delivery of training tables and chairs for Training Hall 3, Left Wing. Budget for the Contract = PHP 369,000.00</t>
  </si>
  <si>
    <t xml:space="preserve"> BIDS AND AWARDS COMMITTEE ATTENTION:		ALL INTERESTED BIDDERS 			 SUBJECT:	INVITATION TO BID –   Procurement of Variable Power Supply for Electronics Engineering Laboratory Use DATE:	June 10, 2020 - - - - - - - - - - - - - - - - - - - - - - - - - - - - - -</t>
  </si>
  <si>
    <t xml:space="preserve"> The Property Div.-OAS of the Supreme Court, through the Procurement Section, invites interested suppliers to quote for the price/s of the item/s listed in the attached document (PLEASE DOWNLOAD) Please also provide "Eligibility Documents, Annex A" For mor</t>
  </si>
  <si>
    <t xml:space="preserve"> Procurement of Various Medicines</t>
  </si>
  <si>
    <t xml:space="preserve"> BIDS AND AWARDS COMMITTEE ATTENTION:		ALL INTERESTED BIDDERS 			 SUBJECT:	INVITATION TO BID –   Procurement of Analogue Electronics System Lab Kit for Electronics Engineering Laboratory DATE:	June 10, 2020 - - - - - - - - - - - - - - - - - - - - - - - - -</t>
  </si>
  <si>
    <t xml:space="preserve"> Various Construction Materials (please download Associated Components for the details)</t>
  </si>
  <si>
    <t xml:space="preserve"> 1	1	unit/s	Aircon 2.5HP (Split Type)</t>
  </si>
  <si>
    <t xml:space="preserve"> Please download PDF @ associated components for information</t>
  </si>
  <si>
    <t xml:space="preserve"> Furnitures and Fixtures</t>
  </si>
  <si>
    <t xml:space="preserve"> Please download PDF @ associated components for more information</t>
  </si>
  <si>
    <t xml:space="preserve"> LOT 1: Installation of Additional Surveillance Cameras and upgrading of existing cabling system with the following items and specifications 1. 16 Channel DVR/NVR ----------------------------------------------- 1 pc  -16+4 IP, 4K/8MP 1080P realtime record </t>
  </si>
  <si>
    <t xml:space="preserve"> 1.	The PhilHealth Regional Office VIII, through the Corporate Budget for COB 2020  intends to apply the sum of One Million Pesos (P1,000,000.00) being the Approved Budget for the Contract (ABC) to payments under the contract for PROCUREMENT OF GENUINE HP </t>
  </si>
  <si>
    <t xml:space="preserve"> Four Wheel Drive 2.0 L BI Turbo Diesel 1,996 to 2,000 Engine Displacement 10 Speed Automatic Transmission Customized Equipment: Rain Gutter	 Hood Guard	 Head Light Cover	 Tail Guard Cover	 Hard Deck Cover Automatic	 Tow Hitch with Pin, Clip and Tow Ball	 </t>
  </si>
  <si>
    <t xml:space="preserve"> IMPROVEMENT / BEAUTIFICATION PHASE II OF SCHOOL STAGE</t>
  </si>
  <si>
    <t xml:space="preserve"> 520 pcs of Medical PPE Suits</t>
  </si>
  <si>
    <t xml:space="preserve"> Hiring of Individual Consultant for the Development of Demographic Dividend Estimate (see attached Term of Reference) Please attach quotation with the ff: 1.	Curriculum Vitae (CV) 2.	PhilGEPS Certification/Registration Number (Snap Shot of Certificate) AB</t>
  </si>
  <si>
    <t xml:space="preserve"> Inventory / Common Electrical Equipment</t>
  </si>
  <si>
    <t xml:space="preserve"> Rubber Shoes  -    15 Pairs</t>
  </si>
  <si>
    <t xml:space="preserve"> Republic of the Philippines					 DEPARTMENT OF PUBLIC WORKS AND HIGHWAYS					 BUTUAN CITY DISTRICT ENGINEERING OFFICE					 REGIONAL OFFICE XIII					 Butuan City, Agusan del Norte					   Tel. Nos. 342-5331  Fax No. 225-2022					 Name of Procuring Entity: D</t>
  </si>
  <si>
    <t xml:space="preserve"> Q   3.00 X 9.00  27m2</t>
  </si>
  <si>
    <t xml:space="preserve"> Inventory Office Equipment and Accessories</t>
  </si>
  <si>
    <t xml:space="preserve"> Drying Oven Please see attached Request for Quotation (RFQ)</t>
  </si>
  <si>
    <t xml:space="preserve"> Please download associated components.</t>
  </si>
  <si>
    <t xml:space="preserve"> I.T. Consumables</t>
  </si>
  <si>
    <t xml:space="preserve"> INVITATION TO BID NO. 2020-07-002 BID #002 1.	The Barangay Siocon through its Bids and Awards Committee invites Suppliers/Manufacturers/Distributors to apply For Eligibility and to Bid for the Supply and Delivery of the following: No.	PR No.	Particulars	A</t>
  </si>
  <si>
    <t xml:space="preserve"> Security Services    CSC Regional Office, San Gabriel, Tug. City                      3 Security Guards, 3 shifts, 7 days a week, Monday to Sunday                                Cagayan/Batanes Field Office , Carig Sur, Tuguegarao City                    </t>
  </si>
  <si>
    <t xml:space="preserve"> Procurement of IT Equipment</t>
  </si>
  <si>
    <t xml:space="preserve"> The Municipality of Limay, through its Bids and Awards Committee (BAC) invites registered suppliers to apply for eligibility and if found eligible, to bid for the hereunder project/contract: Project/Contract:     PROCUREMENT OF ONE (1) UNIT LIFTING PLATFO</t>
  </si>
  <si>
    <t xml:space="preserve"> The Government of the Philippines (GOP) has received a loan from World Bank towards the cost of Philippine Rural Development Project, and it intends to apply part of the proceeds of this Loan to payments for the procurement of labor, materials and spare p</t>
  </si>
  <si>
    <t xml:space="preserve"> Delivered on site</t>
  </si>
  <si>
    <t xml:space="preserve"> A.	REPAIR/ RECONDITIONING AND IMPROVEMENT OF SLIDING DOOR Heavy Duty Door Roller  Sliding Door Track/ Railing With Clamp  Angle Bar  Round Bar Welding Rod Cutting Disk #4 Grinding Disk #4 QDE  Paint Thinner Paint Brush #2 Baby Roller Welded Wire Mesh #8 B</t>
  </si>
  <si>
    <t xml:space="preserve"> Supply &amp; Delivery of Gasoline Rice Paddy Field Weeder ABC:62,500.00 	1 unit  Gasoline Rice Paddy Field Weeder 	    Specs: -	Engine: rated power: 1.46 KW/42.7cc -	Rated speed: 6500 r/min -	Overall Dimension (L*W*H*) -	1550 x 200 x 400mm, 1550 x 550 x 400mm</t>
  </si>
  <si>
    <t xml:space="preserve"> DESKTOP COMPUTER INK</t>
  </si>
  <si>
    <t xml:space="preserve"> Straight contract</t>
  </si>
  <si>
    <t xml:space="preserve"> Electrical &amp; Plumbing Supplies</t>
  </si>
  <si>
    <t xml:space="preserve"> Republic of the Philippines Dagupan City BIDS AND AWARDS COMMITTEE INVITATION TO BID For the Procurement of One (1) Unit Brand New Vacuum Excavation Truck (PR no.: 2020-00729-051) 1.	The City Government of Dagupan, through the 2017 &amp; 2019 Approved CONTINU</t>
  </si>
  <si>
    <t xml:space="preserve"> 164	sacks	Rice for consumption of AFP</t>
  </si>
  <si>
    <t xml:space="preserve"> The Environmental Management Bureau 10 through the (SAA No. MOOE-20-04-053 and charged from EMB Central Office’s allotment under 310200100001000) intends to apply the sum of [One Million Eight Hundred Thousand Pesos and Zero Centavo (Php 1,800,000.00) bei</t>
  </si>
  <si>
    <t xml:space="preserve"> Fuel (Gasoline)</t>
  </si>
  <si>
    <t xml:space="preserve"> Printer Consumables</t>
  </si>
  <si>
    <t xml:space="preserve"> Const. of 4 lane km. concrete road including 3,280 linear meter of lined canal</t>
  </si>
  <si>
    <t xml:space="preserve"> Supply &amp; Delivery of  Office Equipment ABC:76,000.00 	2  units Metal Office Desk -	Size: 0.4626 cm -	Materials: Heavy Gauge cold-rolled steel plate -	Color: classic  grey, two-tone option with one keyboard tray, 6 drawers 	 	2  units Office Chair -	Dimens</t>
  </si>
  <si>
    <t xml:space="preserve"> Supply and delivery of 1 Lot vehicle parts and accessories, etc.</t>
  </si>
  <si>
    <t xml:space="preserve"> INVITATION TO APPLY FOR ELIGIBILITY AND TO BID The Municipal Government of Piñan, through its Bids and Awards Committee (BAC), invites contractors registered with and classified by the Philippine Contractors Accreditation Board (PCAB) to apply for eligibi</t>
  </si>
  <si>
    <t xml:space="preserve"> Supply &amp; Delivery of  Purified Drinking Water ABC:84,000.00 	2,800 gal  Purified Drinking Water 		 Delivery period :  February – December 2020 Delivery site: DA- RFO 12, Koronadal City (GSO) Note: Bidders must quote in all items (by lot) in a Sealed Envel</t>
  </si>
  <si>
    <t xml:space="preserve"> 1	unit	Conference Table with Seater 1	unit	55" LED TV 20	pcs	Chair</t>
  </si>
  <si>
    <t xml:space="preserve"> Completion of Livelihood Center at Municipal Agri. Office, District III, San Miguel, Catanduanes. Scope of Works: Demolition (roof/roof framings, ceiling, beams) &amp; Chipping of Concrete Column, Concrete Works, Rebar Works, Forms/False Works &amp; Electrical Wo</t>
  </si>
  <si>
    <t xml:space="preserve"> Two units Pick-Up Type Vehicle not exceeding 3000cc engine displacement, diesel-fed, and 4 cylinder</t>
  </si>
  <si>
    <t xml:space="preserve"> Additional wall, flooring, roofing and roof framing and electrical works</t>
  </si>
  <si>
    <t xml:space="preserve"> Supply &amp; Delivery of  Agri marine and Supplies ABC:95,200.00 	10  bags Granular Complete Fertilizer (14-14-14) 50 kgs/bag 	10 bags Granular Urea Fertilizer (21-0-0) 50 kgs/bag 	15 pair HD Rubber Boots  	4 sets Garden Tools (Wheel barrow, Shovel, Rake, Gra</t>
  </si>
  <si>
    <t xml:space="preserve"> 65	pcs	1/4 Marine Plywood 88	pcs	2 x 3 x 12 Lumber 5	kls	1"CWNails 5	kls	2"CWNails 5	kls	3"CWNails 6	kls	3"Concrete Nail 2	pcs	5/32 Drill Bit 1	unit	Emergency Light 11	pcs	CFL 18 watts 1	pcs	Padlock (big) 13	gals	Flat Wall Enamel Paint 3	pcs	7"Roller Brus</t>
  </si>
  <si>
    <t xml:space="preserve"> Republic of the Philippines					 DEPARTMENT OF PUBLIC WORKS AND HIGHWAYS					 BUTUAN CITY DISTRICT ENGINEERING OFFICE					 REGIONAL OFFICE XIII					 Butuan City, Agusan del Norte					   Tel. Nos. 342-5331  Fax No. 225-2022					 					Page 1 of 2 Name of Pr</t>
  </si>
  <si>
    <t xml:space="preserve"> Republic of the Philippines PROVINCE OF DINAGAT ISLANDS Municipality of Basilisa -oOo- Invitation to Bid EMBANKMENT/EARTFILLING OF SITE FOR NATIONAL LINE AGENCY BUILDING The Municipality of Basilisa, through the 20 % Municipal Development Fund (MDF) 2013 </t>
  </si>
  <si>
    <t xml:space="preserve"> Republic of the Philippines PROVINCE OF DINAGAT ISLANDS Municipality of Basilisa -oOo- Invitation to Bid COUNTERPART FOR THE CONSTRUCTION OF BASILISA TOURISM INN The Municipality of Basilisa, through the 20 % Municipal Development Fund (MDF) 2020 intends </t>
  </si>
  <si>
    <t xml:space="preserve"> PCC at CMU through the BIDS and AWARDS Committee intend to apply the sum of 600,000 being the Approved Budget for the Contract (ABC) to payments under the contract Female nNative Carabao.  BIDs received in excess of the ABC shall be automatically rejected</t>
  </si>
  <si>
    <t xml:space="preserve"> Procurement of 1 Lot Surveying Services for Government Real Properties Titling</t>
  </si>
  <si>
    <t xml:space="preserve"> Fuel, Additives, Lubricants &amp; Anti-corrosive</t>
  </si>
  <si>
    <t xml:space="preserve"> Republic of the Philippines PROVINCE OF ZAMBOANGA SIBUGAY Municipality of Buug BIDS AND AWARDS COMMITTEE Procurement of Office Supplies ( 1st and 2nd quarter of 2020) 1. The Local Government Unit of Buug ,Buug, Zamboanga Sibugay, through the General Fund </t>
  </si>
  <si>
    <t xml:space="preserve"> please see attached file</t>
  </si>
  <si>
    <t xml:space="preserve"> INVITATION TO APPLY FOR ELIGIBILITY AND TO BID FOR THE SCIENCE RESEARCH FACILITY UNDER DESIGN AND BUILD SCHEME (REBIDDING) 1.The  Philippine Science High School-Bicol Region Campus, through the GAA 2020 intends to apply the sum of  FOUR MILLION EIGHT HUND</t>
  </si>
  <si>
    <t xml:space="preserve"> The East Avenue Medical Center through its Hospital Bids and Awards Committee (BAC) through the General Appropriations Act and /or Hospital Income, invites suppliers / manufacturers / distributors for the bidding of the following project for CY 2020. Inte</t>
  </si>
  <si>
    <t xml:space="preserve"> The Procuring Entity now invite bid for the Procurement of Motorcylce of PENRO Albay &amp; CENRO Guinobatan, pursuant to RA 9184, with  the following speficiations to wit; 2-Units Motorcycle Engine type -  Air cooled, 4-stroke, SOHC, 2-valve Cylinder layout –</t>
  </si>
  <si>
    <t xml:space="preserve"> Supply &amp; Delivery of other Supplies ABC:102,500.00 	31 pcs budding knife (Batanggas made) 	2000 pcs budding tape, 30 x 40 x .001 	5 pcs lopper  	10 pcs Pruning  shear with handle 	70 pcs mono block chair, high quality 	1 unit wooden seed shelves, H= 6 ft.</t>
  </si>
  <si>
    <t xml:space="preserve"> Adolescent Health and Development (AHD) Film Festival Virtual Awarding Running Time: Maximum of 3 hours Pre- Production: (Contractor Client): A.	Scriptwriting B.	Story board Concept C.	Sourcing and Briefing of Talents D.	Posters and Photos and Clips E.	In</t>
  </si>
  <si>
    <t xml:space="preserve"> Supply &amp; Delivery of ICT Equipment (Line 1 -2) ABC:489,000.00 	LINE ITEM # 1: (ICT Equipment)					399,000.00 	1 unit  Gigabit Router -	Firewall throughput-950 Mbps -	VPN Throughput -200 Mbps -	Concurrent sessions-50,000 -	New sessions (per second)-500 -	F</t>
  </si>
  <si>
    <t xml:space="preserve"> REPAIR &amp; MAINTENACE ICT EQUIP</t>
  </si>
  <si>
    <t xml:space="preserve"> Supply &amp; Delivery of  Materials for (repair &amp; maintenance of farm Machineries) ABC:105,900.00 	2 units Power Sprayer  (1.5 HP) beld driven  	2 units  Grass Cutter 2 in 1 Blade &amp; nylon attachment 43cc 2 stroke engine 	6  pcs Tire for farm machinery 	2 pcs </t>
  </si>
  <si>
    <t xml:space="preserve"> Const. of 1.12 lane km. concrete road including 590 linear meter of lined canal</t>
  </si>
  <si>
    <t xml:space="preserve"> Republic of the Philippines Dagupan City BIDS AND AWARDS COMMITTEE INVITATION TO BID For the Procurement of One (1) Unit Brand New 6-Wheeler Water Truck (PR no.: 2020-00730-051) 1.	The City Government of Dagupan, through the 2019 Approved CONTINUING APPRO</t>
  </si>
  <si>
    <t xml:space="preserve"> PLEASE SEE ATTACHED DOCUMENTS...</t>
  </si>
  <si>
    <t xml:space="preserve"> Unit 	Item Description	Quantity 		 Unit 	Single Function Ink Tank Colored Printer	3 Unit 	UPS 720 VA	4 Unit 	EcoTank All-in-One Ink Tank Printer with scanner	2 Set	Heavy Duty USB Keyboard and Mouse	10 Unit 	Professional Video Capture Card HDMI to USB Vide</t>
  </si>
  <si>
    <t xml:space="preserve"> INVITATION TO BID BID REFERENCE NO.: 2020-13 “SUPPLY, DELIVERY, AND INSTALLATION OF ENTERPRISE DATABASE MANAGEMENT SOFTWARE FOR LINUX PLATFORM” The Bureau of Fisheries and Aquatic Resources (BFAR) of the Department of Agriculture, through the General Appr</t>
  </si>
  <si>
    <t xml:space="preserve"> See attached specifications</t>
  </si>
  <si>
    <t xml:space="preserve"> REQUEST FOR PRICE QUOTATION Please quote your lowest price on the item/s listed below, subject to the General Conditions and stating the shortest time of delivery and submit  your  PRICE  QUOTATION duly  signed  by  your representative not later than two </t>
  </si>
  <si>
    <t xml:space="preserve"> Section I. Invitation to Bid INVITATION TO BID  DA8-Goods-2020-40 (PR No. RICE 20-05-12-0686) 1.	The Department of Agriculture-Regional Field Office No. 8, through the RICE 2020 intends to apply the sum of One Million Six Hundred Thousand Pesos Only (P1,6</t>
  </si>
  <si>
    <t xml:space="preserve"> Repair/Improvement of Office at Municipal Agri. Office, District III, San Miguel, Cat'nes. Scope of Works: Concrete Works, Masonry Works, Rebar Works, Forms/False Works, Cement Plastered Finish, Windows &amp; Electrical Works (installation/repair). Source of </t>
  </si>
  <si>
    <t xml:space="preserve"> Procurement of 1 Lot construction mateirias and supplies</t>
  </si>
  <si>
    <t xml:space="preserve"> Procurement of 1 Lot battery MF (Nissan Pathfinder SDP 285), etc.</t>
  </si>
  <si>
    <t xml:space="preserve"> Supply &amp; Delivery of Steel Cabinet ABC:64,000.00 	16  units Steel Cabinet  -	3 drawers -	White Delivery period :  30 days Delivery site: DA- RFO 12, Koronadal City (Rice Program) Note: Bidders must quote in all items (by lot) in a Sealed Envelope  togethe</t>
  </si>
  <si>
    <t xml:space="preserve"> Supply &amp; Delivery of Agricultural Supplies ABC:327,500.00 	300 packs Ampalaya, Meztiza  variety F1 Variety, 10 seeds/pack 	300 packs Eggplant Seeds, Fortuner F1 Variety, 300 seeds/pack 	300 packs Pole Sitao Seeds, Mariposa Variety, 100 seeds/pack 	300 pac</t>
  </si>
  <si>
    <t xml:space="preserve"> LOT 1: Tobtobob PIS &amp; Alfonso Lista, Ifugao Pumpset 	1. Pump set ------------------------------------ 3 Sets 		GENERAL: 		-Centrifugal Pump, Single Stage, Self Priming, 3-Inch Diameter 		-V-Belt Driven by Diesel Engine mounted on a Common Steel Base 		-Sk</t>
  </si>
  <si>
    <t xml:space="preserve"> The City Government of Tagum, through its Bids and Awards Committee (BAC) hereby invites all interested PhilGEPS registered suppliers to submit bids for the procurement of goods. Bids received in excess of the ABC shall be automatically rejected at bid op</t>
  </si>
  <si>
    <t xml:space="preserve"> ITB No. 2020-12-EFS June 12, 2020 Republic of the Philippines Province of Davao Oriental CITY OF MATI INVITATION TO BID CONSTRUCTION / IMPROVEMENT OF GOVERNMENT BUILDINGS: Repair/Rehab &amp; Improvement of Government Building Name of Project 1.	The City Gover</t>
  </si>
  <si>
    <t xml:space="preserve"> Supply and Delivery of Furniture for Gymnasium Male and Female CR of SDSSU Cantilan Please see attached Request for Quotation (RFQ)</t>
  </si>
  <si>
    <t xml:space="preserve"> Supply &amp; Delivery of  Rotary Weeder ABC:70,000.00	 	1 unit Rotary weeder  -	Compact tiller  -	Displacement : 63 cm (9.9) cu in) -	Net power (SAEJ1349) *1: 3.6 kW @ 3,600 rpm -	Maximum net torgue (SAE J1349): 10.3N-m @ 2,500 rpm -	Compression ratio: 8.5:1 </t>
  </si>
  <si>
    <t xml:space="preserve"> INVITATION TO BID  (SEC PB No. 2020-011) The Securities and Exchange Commission (SEC), through the authorized appropriations under the FY 2020 Revised Corporation Code (RCC) intends to apply the sum of Three Million Seventy Thousand Pesos (Php3,070,000.00</t>
  </si>
  <si>
    <t xml:space="preserve"> Supply &amp; Delivery of other Supplies ABC:240,000.00	 	1,500  pcs Sublimation Print ID Sling with Side Release and Hook -	1 inch width -	Da Logo Seal -	ID Cases for standard size and ARTA -	3.5” x 5” size 	Delivery period: 30 calendar Days after receipt of </t>
  </si>
  <si>
    <t xml:space="preserve"> INVITATION TO QUOTE Date:  June 11, 2020 1.	The Provincial Government of Davao del Sur, through its Bids and Awards Committee (BAC), invites all interested bidders/suppliers to quote for the following goods under Alternative Methods of Procurement (Small </t>
  </si>
  <si>
    <t xml:space="preserve"> 20	Box	FACE MASK 50PC/BOX (3 PLY)		 2	Box	Amoxicillin ( 500mg, 100 capsules/box)		 10	Bot	Sodium Chloride for irrigation 1 L, 0.9 %		 10	Bot	Sodium Chloride for injection1 L, 0.9 %		 40	Bot	Alcohol,70% 500 ml.		 4	Box	Adhesive bandage strip,sterilized .1"</t>
  </si>
  <si>
    <t xml:space="preserve"> Cleaning indoor and outdoor CPUs in the Office of Justice Japar Dimaampao,  room 402, Main Bldg. Requirements: 1.  2020 Mayors Permit 2.  BIR Reg. 3,  Philgeps Reg.</t>
  </si>
  <si>
    <t xml:space="preserve"> INVITATION TO BID FOR THE PROCUREMENT OF SUPPLY &amp; DELIVERY OF FARM INPUTS (TYPHOON URSULA)      1.	The Department of Agriculture Regional Field Office 6 through the General Appropriations Act (GAA) of 2020 intends to apply the sum of One Million One Hundr</t>
  </si>
  <si>
    <t xml:space="preserve"> Republic of the Philippines Province of Cagayan Municipality of Camalaniugan Barangay Minanga June 11, 2020 INVITATION TO BID  FOR THE FURNISHING &amp; DELIVERY OF VARIOUS  MATERIALS FOR THE CONCRETING OF BARANGAY ROAD AT MINANGA, CAMALANIUGAN, CAGAYAN - 1ST </t>
  </si>
  <si>
    <t xml:space="preserve"> INVITATION TO BID BID REFERENCE NO.: 2020-14 “SUPPLY AND DELIVERY OF BFAR COMPUTER HARDWARE FOR THE OFFICE PRODUCTIVITY PROJECT” The Bureau of Fisheries and Aquatic Resources (BFAR) of the Department of Agriculture, through the General Appropriations Act </t>
  </si>
  <si>
    <t xml:space="preserve"> Laboratory Equipment for the Rehabilitation of BSA/BTVTE Building at BPSU Abucay Campus. See attached bidding documents.</t>
  </si>
  <si>
    <t xml:space="preserve"> INVITATION TO BID BID REFERENCE NO.: 2020-15 “SUPPLY AND DELIVERY OF BFAR VIDEO/PHOTO EQUIPMENT FOR THE OFFICE PRODUCTIVITY PROJECT” The Bureau of Fisheries and Aquatic Resources (BFAR) of the Department of Agriculture, through the General Appropriations </t>
  </si>
  <si>
    <t xml:space="preserve"> 1.		298	Bags 	Cement 2.		58	Length 	16mm ᶲ x 6m Rebars 3.		80	Length	16mmᶲ x 7m Rebars 4.		35	Length	12mmᶲ x 6 m Rebars  5.		310	Length	10mm ᶲ x 6m Rebars 6.		49	Kls. 	#16 Tie Wire 7.		1,500	Pcs. 	4”x8”x16” Concrete Hollow Block 8.		30	Pcs.	10mm thk x 4’x</t>
  </si>
  <si>
    <t xml:space="preserve"> Section I. Invitation to Bid INVITATION TO BID  DA8-Goods-2020-41 (PR No. HVCDP 20-04-28-0551) 1.	The Department of Agriculture-Regional Field Office No. 8, through the HVCDP-2020 intends to apply the sum of Four Million Five Hundred Twenty-Two Thousand E</t>
  </si>
  <si>
    <t xml:space="preserve"> 556 packs Battery, Dry Cell, AAA ( 2 pcs. per blister pack)</t>
  </si>
  <si>
    <t xml:space="preserve"> Purchase of Furniture's and Fixtures</t>
  </si>
  <si>
    <t xml:space="preserve"> Various Office Supplies for Offices Items are indicated in the Bid Docs</t>
  </si>
  <si>
    <t xml:space="preserve"> Provision of Vehicle Rentals	ABC:153,000.00 	1 unit Vehicle Rentals -	34 days Travel -	June –December 2020 -	Region-Wide -	Payment shall be made after the conduct of Activity 	(during the conduct of  the Farm Inspection and evaluation, site validation of </t>
  </si>
  <si>
    <t xml:space="preserve"> Procurement of 1 Lot vehicle repair and maintenance</t>
  </si>
  <si>
    <t xml:space="preserve"> Please submit quotation for the above requirement. For inquiry/clarifications, please send email to the undersigned (ruby08abriol@gmail.com) Thank you.</t>
  </si>
  <si>
    <t xml:space="preserve"> Procurement of 1 Lot Wound Spray, etc.</t>
  </si>
  <si>
    <t xml:space="preserve"> Concrete Works: 62.96cu.m. Steel Rebar Works: 4,302.70 kg. Masonry Works:  6.40sq.m. Plastering Works:  6.40sq.m. Culvert Layout Works: Lump sum Formworks and Scaffoldings: Lump sum Earth Works and Fills: 239.75cu.m. Site Works: Lump sum</t>
  </si>
  <si>
    <t xml:space="preserve"> INVITATION TO BID (SEC PB No. 2020-012) The Securities and Exchange Commission (SEC), through the authorized appropriations under the FY 2020 Revised Corporation Code (RCC) intends to apply the sum of Five Million Pesos (Php5,000,000.00) being the Approve</t>
  </si>
  <si>
    <t xml:space="preserve"> 1.	1	bots	Paint Spray 2.	4	rolls	Automotive Wire #14 3.	20	pcs	Flange Bolt 6mx25 4.	20	pcs	Flange Bolt 8mmx25 5.	40	pcs	Metric CP/washer 6mm 6.	40	pcs	Metric CP/washer 8mm 7.	100	pcs	Blind Revits 3/16x3/4 8.	100	pcs	Blind Revits 3/32x3/4 9.	100	pcs	G.I Pl</t>
  </si>
  <si>
    <t xml:space="preserve"> Please download and then print the attached Invitation to Bid (ITB) for more details and for your reference. To view this attachment, just click “ORDER” opposite the ASSOCIATED COMPONENTS. TOTAL APPROVED BUDGET FOR THE CONTRACT (ABC): ₱8,075,000.00</t>
  </si>
  <si>
    <t xml:space="preserve"> Purchase of Peace and Order Supplies and Equipment's</t>
  </si>
  <si>
    <t xml:space="preserve"> for use during the Charter day of the City Government of Laoag</t>
  </si>
  <si>
    <t xml:space="preserve"> 2 Lots Adobe Creative Cloud Complete  Unit Cost: P 39,000.00  Total Price: P 78,000.00  19 Lots Windows 10 Pro (64 Bit)  Unit Cost: P 11,500.00  Total Price: P 218, 500.00    Total Price: P 296,500.00</t>
  </si>
  <si>
    <t xml:space="preserve"> Procurement of 1 Lot Pre-Anesthetic, etc.</t>
  </si>
  <si>
    <t xml:space="preserve"> Request for Quotation  (NEGOTIATED PROCUREMENT AFTER TWO-FAILED BIDDINGS) RFQ 2020-TFB-007  (MEDICAL &amp; LABORATORY SUPPLIES) The Department of Health – CENTER FOR HEALTH DEVELOPMENT IV-A (CALABARZON) through its Bids and Awards Committee (BAC), invites Phi</t>
  </si>
  <si>
    <t xml:space="preserve"> Republic of the Philippines Province of Samar BIDS AND AWARD COMMITTEE Negotiated Procurement Health Information Technology Provider Solicitation No. 60011042020 			            Source of Fund. Trust Fund Approved Budget for the Contract:  PhP234,000.00   </t>
  </si>
  <si>
    <t xml:space="preserve"> ITB No. 2020-09 (SHORT OF AWARD) 1.	The SUGAR REGULATORY ADMINISTRATION, through the SRA SIDA 2017/18/19 GAA re-budgeted to 2020 Budget intends to apply the sum of Seventeen Million One Hundred Thousand Pesos (₱17,100,000.00) being the total Approved Budg</t>
  </si>
  <si>
    <t xml:space="preserve"> Please submit quotation for the repair and maintenance of the above PRA Vehicle. For inquiry/clarificaations, please send email to the undersigned : ruby08abriol@gmail.com thank you.</t>
  </si>
  <si>
    <t xml:space="preserve"> Republic of the Philippines Province of Samar BIDS AND AWARD COMMITTEE Negotiated Procurement HEALTH INFORMATION TECHNOLOGY PROVIDER  Solicitation No. 60011052020 			            Source of Fund. Trust Fund Approved Budget for the Contract:  PhP195,000.00  </t>
  </si>
  <si>
    <t xml:space="preserve"> Republic of the Philippines Department of Public Works and Highways Pampanga 3rd District Engineering Office San Francisco Street, Brgy. Pampang, Angeles City Region III Telephone Nos. (045) 323-5782 / 887-5249 DPWH-INFR-04-2016 INVITATION TO BID The Depa</t>
  </si>
  <si>
    <t xml:space="preserve"> Procurement of 1 Lot Kitchenwares</t>
  </si>
  <si>
    <t xml:space="preserve"> Procurement of Tire</t>
  </si>
  <si>
    <t xml:space="preserve"> 50 ea Flaglets Philippine flag &amp; 19 Others</t>
  </si>
  <si>
    <t xml:space="preserve"> Cleaning of indoor and outdoor ACUs in the Office of Justice Ramon Bato, Jr. Room 304, Main Bldg. Requirements 1.  2020 Mayors Permit 2.  Philgeps Registration 3,  BIR registration (form2303)</t>
  </si>
  <si>
    <t xml:space="preserve"> 2,000 pcs. - Printing of Tarpaulin for Tricycle with singlet to promote Family Planning Scope of Work: SIZE:  Height: 36 inches/ 3ft               Width: 24 inches/ 2ft (See Attached Ready to Print Layout) Vat Inclusive Please attach quotation with the ff</t>
  </si>
  <si>
    <t xml:space="preserve"> Republic of the Philippines GENERAL SANTOS CITY WATER DISTRICT E. Fernandez Street, Barangay Lagao, General Santos Telephone No.: 552-3824; Telefax No.: 553-4960 Email Address: gscwdprocurement@yahoo.com REQUEST FOR QUOTATION RFQ #: 3-0620-021 DATE: 6/11/</t>
  </si>
  <si>
    <t xml:space="preserve"> Acrylic Dividers with Installation (See attached pictures) Specifications: FOR 2ND FLOOR 1-set 40" x 39", 3/16 clear acrylic with stand 1-set 49" x 12" X 40", 1/8 clear acrylic 1-set 48" x 12" X 40", 1/8 clear acrylic FOR 1ST FLOOR Admin/ HR, 1/8 clear ac</t>
  </si>
  <si>
    <t xml:space="preserve"> REQUEST FOR QUOTATION The Local Government Unit of General Santos City thru its Bids and Awards Committee invites interested suppliers for (2FB)N20-06-035 PURCHASE OF HORMONES ANTAGONISTS MEDICINES  amounting to P 238,500.00 Please visit or call Bids and </t>
  </si>
  <si>
    <t xml:space="preserve"> Please download and then print the attached Invitation to Bid (ITB) for more details and for your reference. To view this attachment, just click “ORDER” opposite the ASSOCIATED COMPONENTS. TOTAL APPROVED BUDGET FOR THE CONTRACT (ABC): ₱13,776,000.00</t>
  </si>
  <si>
    <t xml:space="preserve"> Procurement of 1 Lot Rabies Vaccine, etc.</t>
  </si>
  <si>
    <t xml:space="preserve"> Cleaning of indoor and outdoor ACUs in the office of Acting Presiding Justice Remedios Fernando, Room 404, Main Bldg. Requirements: 1.  2020 Mayors Permit 2,  BIR Reg (Form 2303) 3.  Philgeps reg</t>
  </si>
  <si>
    <t xml:space="preserve"> REQUEST FOR QUOTATION The Local Government Unit of General Santos City thru its Bids and Awards Committee invites interested suppliers for (2FB)N20-06-034 FURNITURES AND FIXTURES  amounting to P 95,911.00 Please visit or call Bids and Awards Committee off</t>
  </si>
  <si>
    <t xml:space="preserve"> INVITATION TO BID BID REFERENCE NO.: 2020-16 “SUPPLY AND DELIVERY OF UNMANNED AERIAL VEHICLE (UAV) “DRONE” AND ACCESSORIES” The Bureau of Fisheries and Aquatic Resources (BFAR) of the Department of Agriculture, through the General Appropriations Act for 2</t>
  </si>
  <si>
    <t xml:space="preserve"> Supply and delivery of 1 lot vehicle parts and accessories, etc.</t>
  </si>
  <si>
    <t xml:space="preserve"> Republic of the Philippines Province of Compostela Valley Municipality of Monkayo -o0o- INVITATION TO BID FOR THE PROCUREMENT OF FUEL FOR MOBILIZATION OF VARIOUS OFFICES  The Municipality of Monkayo, through the GENERL FUND intends to apply the sum of ONE</t>
  </si>
  <si>
    <t xml:space="preserve"> _______________________ _______________________ _______________________ _______________________ _______________________ The Sugar Regulatory Administration (SRA) Bids and Awards Committee (BAC) intends to procure 800 Booklets Shipping Permit under the SRA</t>
  </si>
  <si>
    <t xml:space="preserve"> -Compressor for 5 Tonner Air Conditioning Unit (ACU), Ceiling Mounted -Control Board for 5 Tonner Air Conditioning Unit (AVU), Ceiling Mounted</t>
  </si>
  <si>
    <t xml:space="preserve"> Name of Project	:	PURCHASE OF COMPLETE SET DESKTOP AND LAPTOP COMPUTERS FOR OFFICIAL USE OF                                 DENR PALAWAN Place of Delivery	:	PENRO Office, Bgy. Sta. Monica, Puerto Princesa City Brief Description	:	Supply and Delivery of: 	</t>
  </si>
  <si>
    <t xml:space="preserve"> Republic of the Philippines   Municipality of Sual BIDS AND AWARDS COMMITTEE Sual, Pangasinan   Invitation to Bid for Improvement of Ramp, Building, Canopy &amp; Pavement at PCF Caoayan, Sual, Pangasinan 1.	The Municipal Government of Sual, Pangasinan, throug</t>
  </si>
  <si>
    <t xml:space="preserve"> XENON LAMP, 300WATTS NOTE: PLEASE ATTACH THE FOLLOWING DOCUMENTS: 1.	TAX CLEARANCE 2.	MAYOR’S PERMIT 3.	SEC CERT. / DTI PERMIT 4.	FOR 50,000 AND ABOVE , PHILGEPS CERTIFICATE</t>
  </si>
  <si>
    <t xml:space="preserve"> Republic of the Philippines Province of Samar BIDS AND AWARD COMMITTEE Negotiated Procurement Health Information Technology Provider  Solicitation No. 60011062020 			            Source of Fund. Trust Fund Approved Budget for the Contract:  PhP65,000.00   </t>
  </si>
  <si>
    <t xml:space="preserve"> 20PA0134 : CONCRETING OF BARANGAY TABACDA FMR, Barangay Tabacda, Tubo, Abra Contract Location:                    Barangay Tabacda, Tubo, Abra Brief Description:                     Concreting of Road using PCCP (Unreinforced, 0.20m thk. 14 days) The DPWH</t>
  </si>
  <si>
    <t xml:space="preserve"> I - Mobilization/ Demobilization       one          lot II - Construction Safety and Health Program                     one              lot III - Project Billboard                  one              lot IV - Progress Photograph                  one       </t>
  </si>
  <si>
    <t xml:space="preserve"> Republic of the Philippines GENERAL SANTOS CITY WATER DISTRICT E. Fernandez Street, Barangay Lagao General Santos Telephone No.: 552-3824; Telefax No.: 553-4960 Email Address: gscwdprocurement@yahoo.com REQUEST FOR QUOTATION RFQ #: 3-0620-022 DATE: 6/11/2</t>
  </si>
  <si>
    <t xml:space="preserve"> Republic of the Philippines Province of Agusan del Norte Municipality of Remedios T. Romualdez Invitation to Bid SUPPLY AND DELIVERY OF DRUGS AND MEDICINES 1. The Municipality of Remedios T. Romualdez, Agusan del Norte, through the General Funds/PFPR inte</t>
  </si>
  <si>
    <t xml:space="preserve"> Project Billboard ---------------------- 1x Lot -------------------------- 5,744.07 Canalization Works 	A. Common Excavation ----------- 18.18 cu.m ---------------------- 2,897.71 	B. Manual Backfill &amp; Compaction- 15.15 cu.m ---------------------- 2,012.3</t>
  </si>
  <si>
    <t xml:space="preserve"> 5 UNITS STEEL FILING CABINET (LATERAL WITH THREE DRAWERS)</t>
  </si>
  <si>
    <t xml:space="preserve"> 2,040 pcs. - Printing of Progestin Sub-Dermal Implant (PSI) Box Sticker Label Project Specification/Details: 	Size: 125mm x 50mm 	Font: Akrobat 	Font Size:  •	(NOT FOR SALE) #36  •	(POPCOM and Philippine Government Property) #21 	Type of Sticker: Glos</t>
  </si>
  <si>
    <t xml:space="preserve"> DEPARTMENT OF PUBLIC WORKS AND HIGHWAYS										 LAS PINAS-MUNTINLUPA DISTRICT ENGINEERING OFFICE										 							Date:		June 17, 2020	 						RFQ No.:			2020-06-004 (SHOP)	 						Office/End-user:			Maintenance Section	 REQUEST FOR QUOTATION										 CO</t>
  </si>
  <si>
    <t xml:space="preserve"> Republic of the Philippines Province of Davao de Oro Municipality of Monkayo -o0o- INVITATION TO BID FOR THE PROCUREMENT OF FUEL FOR MAYOR’S OFFICE USE  The Municipality of Monkayo, through the GENERL FUND intends to apply the sum of SIX HUNDRED NINETY ON</t>
  </si>
  <si>
    <t xml:space="preserve"> 5 BOX LAN Cable CAT5e 5 BOX LAN Cable CAT6 ( Please see attached specifications) 10 UNITS WALL SOCKET PLATE, RJ45 4 PORT Specifications: Compatible with: CAT5e/CAT6 Color: White; Type:Wall Socket Size: 3.4inch x 3.4inch /86mm x 86 mm No. of Ports: 4</t>
  </si>
  <si>
    <t xml:space="preserve"> DEPARTMENT OF PUBLIC WORKS AND HIGHWAYS										 LAS PINAS-MUNTINLUPA DISTRICT ENGINEERING OFFICE										 							Date:		June 17, 2020	 						RFQ No.:			2020-06-006 (SHOP)	 						Office/End-user:			Maintenance Section	 REQUEST FOR QUOTATION										 CO</t>
  </si>
  <si>
    <t xml:space="preserve"> Procurement of 1 Lot IT Equipment, etc.</t>
  </si>
  <si>
    <t xml:space="preserve"> DEPARTMENT OF PUBLIC WORKS AND HIGHWAYS										 LAS PINAS-MUNTINLUPA DISTRICT ENGINEERING OFFICE										 							Date:		June 17, 2020	 						RFQ No.:			2020-06-007 (SHOP)	 						Office/End-user:			Maintenance Section	 REQUEST FOR QUOTATION										 CO</t>
  </si>
  <si>
    <t xml:space="preserve"> The National Telecommunications Commission hereby invites prospective Suppliers to submit their Price Quotation for the Project: Procurement of Heavy Duty Scanner for Different Branch and Regional Offices pf National Telecommunications Commission. ABC - P</t>
  </si>
  <si>
    <t xml:space="preserve"> Republic of the Philippines DEPARTMENT OF PUBLIC WORKS AND HIGHWAYS LAGUNA II DISTRICT ENGINEERING OFFICE REGIONAL OFFICE IV-A Brgy. Bambang, Los Baños, Laguna Invitation to Bid No. 2020 - 09 The Department of Public Works and Highways- Laguna II District</t>
  </si>
  <si>
    <t xml:space="preserve"> Gentlemen : Please furnish us with your quotation on or before June 15, 2020 for the supply, delivery and installation of sunscreen rollershade for SSS Kalookan Branch Office. End User: SSS Kalookan Branch Total Approved Budget for the Contract: Php530,42</t>
  </si>
  <si>
    <t xml:space="preserve"> INVITATION TO BID FOR PROCUREMENT OF BIOMETRIC 1.	The Local Government Unit of Josefina, through the 2020 Extra Ordinary Expenses intends to apply the sum of ONE HUNDRED FOURTEEN THOUSAND PESOS (Php 114,000.00) being the Approved Budget for the Contract (</t>
  </si>
  <si>
    <t xml:space="preserve"> DESIGN AND BUILD FOR THE CONSTRUCTION OF 2-STOREY PASSENGER TERMINAL BUILDING AT MALATAPAY, BARANGAY MALUAY, ZAMBOANGUITA, NEGROS ORIENTAL</t>
  </si>
  <si>
    <t xml:space="preserve"> Please see the attached file.</t>
  </si>
  <si>
    <t xml:space="preserve"> Republic of the Philippines DEPARTMENT OF PUBLIC WORKS AND HIGHWAYS LA UNION 2ND DISTRICT ENGINEERING OFFICE REGIONAL OFFICE I Natividad, Naguilian, La Union INVITATION FOR ELIGIBILITY SCREENING AND TO BID (For Small Value Procurement) SEALED BIDS, subjec</t>
  </si>
  <si>
    <t xml:space="preserve"> DEPARTMENT OF PUBLIC WORKS AND HIGHWAYS										 LAS PINAS-MUNTINLUPA DISTRICT ENGINEERING OFFICE										 							Date:		June 17, 2020	 						RFQ No.:			2020-06-008 (SHOP)	 						Office/End-user:			Maintenance Section	 REQUEST FOR QUOTATION										 CO</t>
  </si>
  <si>
    <t xml:space="preserve"> VARIOUS OFFICE SUPPLIES: 24	box	CLIP, backfold, all metal, 		clamping: 19mm (-1mm) 24	box	CLIP, backfold, all metal, 		clamping: 19mm (-1mm) 24	box	CLIP, backfold, all metal, 		clamping: 19mm (-1mm) 24	box	CLIP, backfold, all metal, 		clamping: 19mm (-1mm</t>
  </si>
  <si>
    <t xml:space="preserve"> Please download and then print the attached Invitation to Bid (ITB) for more details and for your reference. To view this attachment, just click “ORDER” opposite the ASSOCIATED COMPONENTS. TOTAL APPROVED BUDGET FOR THE CONTRACT (ABC): ₱931,550.00</t>
  </si>
  <si>
    <t xml:space="preserve"> Technical Assistance in the Preparation for QMS 1st year Surveillance (Consultancy Fee)  Total Price: P 280,000.00</t>
  </si>
  <si>
    <t xml:space="preserve"> DEPARTMENT OF PUBLIC WORKS AND HIGHWAYS										 LAS PINAS-MUNTINLUPA DISTRICT ENGINEERING OFFICE										 							Date:		June 17, 2020	 						RFQ No.:			2020-06-005 (SHOP)	 						Office/End-user:			Planning &amp; Design Section	 REQUEST FOR QUOTATION							</t>
  </si>
  <si>
    <t xml:space="preserve"> Procurement of 1 Lot (3 units) Air Conditioner</t>
  </si>
  <si>
    <t xml:space="preserve"> 50 HP Submersible Pump and Motor -	4” Discharge Line -	3 phase, 460 – 480 VAC -	TDH – 300 ft, Flow 100 m3 / hr Submersible Cable for Deepwell -	30 mm2, UL 83, 460-480V / 60OC</t>
  </si>
  <si>
    <t xml:space="preserve"> NOTICE OF SHORT LIST AND REQUEST FOR PROPOSALS (RFP) for 20CSPA001 : DETAILED ENGINEERING DESIGN OF ABRA COLISEUM AND CONVENTION CENTER, La Paz, Abra The DPWH-Abra District Engineering Office reserves the right to accept or reject any bid and to annul the</t>
  </si>
  <si>
    <t xml:space="preserve"> INFRASTRUCTURE WORKS FOR THE CONSTRUCTION OF LINE CANAL AT BARANGAY CALANGO, ZAMBOANGUITA, NEGROS ORIENTAL</t>
  </si>
  <si>
    <t xml:space="preserve"> BIDS AND AWARD COMMITTEE				 	                         INFRA 20-25A GENERAL FUND Standard Form Number: SF-INFR-O5                                                                 Renovation of Market Offices  Revised on: July 29, 2004   	Poblacion, Lapu-La</t>
  </si>
  <si>
    <t xml:space="preserve"> 16 LI</t>
  </si>
  <si>
    <t xml:space="preserve"> The work includes plastering of interior and exterior wall, replacement of wooden grills to steel grills, replacement of door and 2 roof sheets as per approved plan and POW.</t>
  </si>
  <si>
    <t xml:space="preserve"> The Technical Education and Skills Development Authority (TESDA), through the TESDA, through the Bids and Awards Committee, will undertake a Small Value Procurement for the “Procurement of Computer Set to be used in the preparation for Skills Competition”</t>
  </si>
  <si>
    <t xml:space="preserve"> Republic of the Philippines BIDS AND AWARDS COMMITTEE Municipality of Irosin Reference Number: BAC-0043-2020								 June 11, 2020 REQUEST FOR QUOTATION The Local Government Unit of Irosin, through its Bids &amp; Awards Committee (BAC), requests suppliers/man</t>
  </si>
  <si>
    <t xml:space="preserve"> "ROBOTICS KIT (complete with core and expansion sets) Specifications: (or equivalent) Display: 178×128 pixel Monochrome LCD Main Processor: TI Sitara AM1808 (ARM926EJ-S core) @300 MHz Main Memory: 64 MB RAM 16 MB Flash microSDHC Slot USB Host Port  WiFi O</t>
  </si>
  <si>
    <t xml:space="preserve"> INVITATION TO BID FOR PROCUREMENT OF MEDICINE AND MEDICAL SUPPLIES 1.	The Local Government Unit of Josefina, through the GAD 2020 intends to apply the sum of TWO HUNDRED FORTY NINE THOUSAND FIFTY SIX PESOS &amp; 50/100 CENTAVOS (249,056.50) being the Approved</t>
  </si>
  <si>
    <t xml:space="preserve"> VARIOUS TONERS: 6	bottle	INK for Epson L565 color Black 3	bottle	INK for Epson L565 color Cyan 3	bottle	INK for Epson L565 color Magenta 3	bottle	INK for Epson L565 color Yellow 15	bottle	INK, for stamp pad, purple or violet 2	cart		TONER CART, HP Laser 2</t>
  </si>
  <si>
    <t xml:space="preserve"> COMPUTER SET PURCHASED</t>
  </si>
  <si>
    <t xml:space="preserve"> Please submit a bid based on the attached RFQ. If you are a new supplier please submit your Mayor's Permit, PhilGEPS Cert, Income Tax/Business Tax Return, Omnibus Sworn Statement.  If you have not renewed please submit updated copies of these documents.</t>
  </si>
  <si>
    <t xml:space="preserve"> A.	REPAIR/ RECONDITIONING AND IMPROVEMENT OF SLIDING DOOR Heavy Duty Door Roller (2 Wheel, 300kg Cap) Sliding Door Track/ Railing With Clamp (6mm) Angle Bar (1”X1”X1/4”) Angle Bar (2”X2”X1/4”) Wire Mesh 1cm (6ftx20ft) Round Bar(10mm) Welding Rod Small Wel</t>
  </si>
  <si>
    <t xml:space="preserve"> 93 Pax Board and Lodging for 1 full day with the following inclusions:    - 3 buffet meals with 2 snacks daily to start     - AM snacks  on the 1st day and to end with Breakfast on the last day.       - Snacks with free flowing coffee, tea, chocolate drin</t>
  </si>
  <si>
    <t xml:space="preserve"> BIDS AND AWARD COMMITTEE				 	                         INFRA 20-26A DEVELOPMENT FUND Standard Form Number: SF-INFR-O5                                                                 Construction of Barangay Buaya Health Center (Phase I)  Revised on: July </t>
  </si>
  <si>
    <t xml:space="preserve"> INVITATION TO BID The Department of Public Works and Highways (DPWH) Camarines Sur 5th, District Engineering Office, Camarines Sur, through its Bids and Awards Committee (BAC), invites contractors to submit bids for the following contract(s):   Contract I</t>
  </si>
  <si>
    <t xml:space="preserve"> Hauling of four (4) sets of Motor Controls from Stage 2, Pula, Sto. Tomas to Stage 1 Pumping Station, Camp 6 Weight:: ±600.0 kgs / set Height: 2.05 meters Length: 1.10 meters / Width: 0.81 meters Hauling of two (2) sets Peerless Horizontal Split Case Boos</t>
  </si>
  <si>
    <t xml:space="preserve"> The Municipality of Limay, through its Bids and Awards Committee (BAC) invites registered contractors to apply for eligibility and if found eligible, to bid for the hereunder project/contract: Project/Contract:     SUPPLY AND INSTALLATION OF HAND WASH Loc</t>
  </si>
  <si>
    <t xml:space="preserve"> assorted office supplies, materials &amp; equipment</t>
  </si>
  <si>
    <t xml:space="preserve"> 1 5 PC/S PAIL - RUBBER 2 1 PC/S SHOVEL - HEAVY DUTY - (Wooden Handle) 3 5 PC/S CONSTRUCTION SAFETY HAT - 4 Yellows &amp; 1 White 4 5 PC/S CONSTRUCTION RAINCOATS - . - Size:L 5 1 PAIR/S CONSTRUCTION BOOTS - Steel Toe - High Cut Brown, Size:10 6 1 UNIT/S PE EMP</t>
  </si>
  <si>
    <t xml:space="preserve"> INVITATION TO BID FOR THE PROCUREMENT OF SUPPLY &amp; DELIVERY OF FARM INPUTS (TYPHOON URSULA)      1.	The Department of Agriculture Regional Field Office 6 through the General Appropriations Act (GAA) of 2020 intends to apply the sum of One Million Five Hund</t>
  </si>
  <si>
    <t xml:space="preserve"> Republic of the Philippines Province of Batangas Municipality of San Juan BIDS AND AWARDS COMMITTEE NEGOTIATED PROCUREMENT THE LOCAL GOVERNMENT UNIT OF SAN JUAN, BATANGAS, through its Bids and Awards Committee (BAC), invites registered PhilGEPS suppliers/</t>
  </si>
  <si>
    <t xml:space="preserve"> VARIOUS COMMON USE OFFICE SUPPLIES FOR REGIONAL OFFICE USE</t>
  </si>
  <si>
    <t xml:space="preserve"> INVITATION TO BID The Department of Public Works and Highways (DPWH) Camarines Sur 5th, District Engineering Office, Camarines Sur, through its Bids and Awards Committee (BAC), invites contractors to submit bids for the following contract(s): Contract ID </t>
  </si>
  <si>
    <t xml:space="preserve"> Please download and then print the attached Invitation to Bid (ITB) for more details and for your reference. To view this attachment, just click “ORDER” opposite the ASSOCIATED COMPONENTS. TOTAL APPROVED BUDGET FOR THE CONTRACT (ABC): ₱14,430,000.00</t>
  </si>
  <si>
    <t xml:space="preserve"> Republic of the Philippines Province of Compostela Valley Municipality of Monkayo -o0o- INVITATION TO BID FOR THE PROCUREMENT OF MATERIALS FOR CONSTRUCTION OF GOAT HOUSE  The Municipality of Monkayo, through the GENERL FUND intends to apply the sum of ONE</t>
  </si>
  <si>
    <t xml:space="preserve"> INVITATION  FOR NEGOTIATED PROCUREMENT  (goods) NAME OF PROJECT:  PURCHASE AND DELIVERY OF ANIMAL FEEDS AND VETERINARY MEDICINES 1.	In view of the two (2) failed public biddings, the Local Government Unit of  Tuao, Cagayan Bids and Awards Committee (BAC) </t>
  </si>
  <si>
    <t xml:space="preserve"> Republic of the Philippines REGION IX PROVINCE OF ZAMBOANGA DEL SUR Pagadian City Provincial Capitol, Pagadian City INVITATION TO APPLY FOR ELIGIBILITY AND TO BID The Provincial Government of Zamboanga del Sur, through its Bids and Awards Committee (BAC),</t>
  </si>
  <si>
    <t xml:space="preserve"> Media Platform: TV Length of Ad Spots: 30 seconder Frequency: Three (3) Spots per day, Daily Coverage: Zamboanga City Please use the attached RFQ form when submitting your quotation.</t>
  </si>
  <si>
    <t xml:space="preserve"> Republic of the Philippines Province of Agusan del Norte Municipality of Remedios T. Romualdez BARANGAY TAGBONGABONG Invitation to Bid SUPPLY AND DELIVERY OF FOOD PROCESSING EQUIPMENT FOR THE LIVELIHOOD PROGRAM-MEAT PROCESSING OF SALAKNIB FARMERS ASSOCIAT</t>
  </si>
  <si>
    <t xml:space="preserve"> 184 LI</t>
  </si>
  <si>
    <t xml:space="preserve"> 37 pax Board and Lodging for 1 full day with the following inclusions:    - 3 buffet meals with 2 snacks daily to start     - AM snacks  on the 1st day and to end with Breakfast on the last day.       - Snacks with free flowing coffee, tea, chocolate drin</t>
  </si>
  <si>
    <t xml:space="preserve"> 20 tank (big) / 20 tank (small)</t>
  </si>
  <si>
    <t xml:space="preserve"> Republic of the Philippines PROVINCE OF ZAMBOANGA DEL SUR Municipality of Dimataling BIDS AND AWARD COMMITTEE Reference Number : PR-132-100-2020 Date: May 18, 2020 Project Title/P.R. # : PURCHASE OF MEALS AND SNACKS Approved Budget of the Contract : Php 1</t>
  </si>
  <si>
    <t xml:space="preserve"> Republic of the Philippines GENERAL SANTOS CITY WATER DISTRICT E. Fernandez Street, Barangay Lagao General Santos Telephone No.: 552-3824; Telefax No.: 553-4960 Email Address: gscwdprocurement@yahoo.com REQUEST FOR QUOTATION RFQ #: 3-0620-023 DATE: 6/11/2</t>
  </si>
  <si>
    <t xml:space="preserve"> Purchase of Furniture’s and Fixtures for Various Offices Items to Bid are indicated on the Bid Docs</t>
  </si>
  <si>
    <t xml:space="preserve"> Republic of the Philippines Region XII Province of Cotabato Municipality of Aleosan  INVITATION TO BID FOR THE Supply and Delivery of Construction Materials and Supplies for the Improvement of Multi-Purpose Building June 12, 2020 1.	The Local Government U</t>
  </si>
  <si>
    <t xml:space="preserve"> 1	Lot	Various Office Supplies  for 2nd Qtr - 4th Qtr CY 2020</t>
  </si>
  <si>
    <t xml:space="preserve"> Please download and then print the attached Invitation to Bid (ITB) for more details and for your reference. To view this attachment, just click “ORDER” opposite the ASSOCIATED COMPONENTS. TOTAL APPROVED BUDGET FOR THE CONTRACT (ABC): ₱788,400.00</t>
  </si>
  <si>
    <t xml:space="preserve"> PR No.: 0620-017 Office: MALAYBALAY CITY WATER DISTRICT MCWD Procurement of Services ABC: 75,000.00 Date: 6/12/2020 Standard Form Number: SF-GOOD-60 Revised on May 24, 2004 Standard Form Title: Request for Quotation Company Name:_______________________ Ad</t>
  </si>
  <si>
    <t xml:space="preserve"> PR. No. 256-06-2020 	Republic of the Philippines Region XII Province of Cotabato Municipality of Aleosan  OFFICE OF BIDS AND AWARDS COMMITTEE REQUEST FOR QUOTATION __________________________ Name of Company __________________________ Address 	The Local Go</t>
  </si>
  <si>
    <t xml:space="preserve"> The Procuring Entity: LGU-INOPACAN, LEYTE Project Reference Number: MTO-100-300-03-05 Name of Project: PURCHASE OF BUSINESS PLATES/ STICKERS Location of Project: POBLACION, INOPACAN, LEYTE Standard Form Number: SF-GOOD-60 Standard Form Title: REQUEST FOR </t>
  </si>
  <si>
    <t xml:space="preserve"> No.	QTY.	UNIT	ITEM DESCRIPTION 1	1	6 man-month	Assisting Professional (AP) for Enterprise Development (EnDev) under the Forestland Management Project (FMP) of Nueva Vizcaya for CY 2020.</t>
  </si>
  <si>
    <t xml:space="preserve"> Section I. Invitation to Bid INVITATION TO BID  DA8-Goods-2020-42 (PR No. CORN 20-05-29-0164) 1.	The Department of Agriculture-Regional Field Office No. 8, through the CORN 2020-C.O intends to apply the sum of Three Million Five Hundred thousand Pesos Onl</t>
  </si>
  <si>
    <t xml:space="preserve"> Republic of the Philippines Province of Pangasinan Municipality of Sual Barangay Caoayan Invitation to Bid for the Construction of Brgy. Road at Sitio Dating Daan At Barangay Caoayan Sual, Pangasinan 1.	The Barangay Council of Caoayan,through the Barangay</t>
  </si>
  <si>
    <t xml:space="preserve"> Republic of the Philippines GENERAL SANTOS CITY WATER DISTRICT E. Fernandez Street, Barangay Lagao General Santos Telephone No.: 552-3824; Telefax No.: 553-4960 Email Address: gscwdprocurement@yahoo.com REQUEST FOR QUOTATION RFQ #: 3-0620-024 DATE: 6/11/2</t>
  </si>
  <si>
    <t xml:space="preserve"> PAINTING WORKS (MASONRY PAINTING) PAINTING WORKS (METAL PAINTING) ELECTRICAL ROUGHING-IN, WIRING AND ACCESSORIES FORM WORKS AND FALSE WORK OCCUPATIONAL SAFETY AND HEALTH PROGRAM</t>
  </si>
  <si>
    <t xml:space="preserve"> Please download and then print the attached Invitation to Bid (ITB) for more details and for your reference. To view this attachment, just click “ORDER” opposite the ASSOCIATED COMPONENTS. TOTAL APPROVED BUDGET FOR THE CONTRACT (ABC): ₱165,000.00</t>
  </si>
  <si>
    <t xml:space="preserve"> Supply, delivery and installation of Airconditioning Units</t>
  </si>
  <si>
    <t xml:space="preserve"> Media Platform: TV Length of Program: 30 Minutes Frequency: Weekly Type of Program: Live  Others: Local TV - 5 Ad Spots, Daily Cable TV - 5 Ad Spots, Daily FM Radio - 5 Ad Spots, Daily Facebook Live - 5 Ad Spots, Daily TV Program simulcast: Local TV, Cabl</t>
  </si>
  <si>
    <t xml:space="preserve"> PR. No.  	Republic of the Philippines Region XII Province of Cotabato Municipality of Aleosan  OFFICE OF BIDS AND AWARDS COMMITTEE REQUEST FOR QUOTATION __________________________ Name of Company __________________________ Address 	The Local Government Un</t>
  </si>
  <si>
    <t xml:space="preserve"> LCWD-2020-050 dtd. 06-10-20 Various Fittings     LCWD Warehouse INVITATION TO BID FOR VARIOUS FITTINGS PR No. &amp; Date : 2020-056, 2020-058 and 2020-059 dated June 1, 2020 Reference No. &amp; Date : __________ 		 1.	The LEGAZPI CITY WATER DISTRICT, through the </t>
  </si>
  <si>
    <t xml:space="preserve"> Please download and then print the attached Invitation to Bid (ITB) for more details and for your reference. To view this attachment, just click “ORDER” opposite the ASSOCIATED COMPONENTS. TOTAL APPROVED BUDGET FOR THE CONTRACT (ABC): ₱7,787,827.00</t>
  </si>
  <si>
    <t xml:space="preserve"> DOCUMENTARY REQUIREMENTS FOR SMALL VALUE PROCUREMENT All interested suppliers /service providers shall submit the following documents in a folder marked “(Project Name and SVP Number)”: a.	Duly accomplished and signed Price Quotation, inclusive of all tax</t>
  </si>
  <si>
    <t xml:space="preserve"> Republic of the Philippines Province of Compostela Valley Municipality of Monkayo -o0o- INVITATION TO BID FOR THE PROCUREMENT OF MATERIALS FOR REPAIR AND MAINTENANCE OF STREETLIGHTS  The Municipality of Monkayo, through the GENERL FUND intends to apply th</t>
  </si>
  <si>
    <t xml:space="preserve"> Please refer to the attached Request for Quotation.</t>
  </si>
  <si>
    <t xml:space="preserve"> 90 packs adult diaper/ 1,400 sachet adult milk, 90 cans biscuit/ 90 pcs. bath soap</t>
  </si>
  <si>
    <t xml:space="preserve"> Republic of the Philippines GENERAL SANTOS CITY WATER DISTRICT E. Fernandez Street, Barangay Lagao General Santos Telephone No.: 552-3824; Telefax No.: 553-4960 Email Address: gscwdprocurement@yahoo.com REQUEST FOR QUOTATION RFQ #: 3-0620-025 DATE: 6/11/2</t>
  </si>
  <si>
    <t xml:space="preserve"> Section I. Invitation to Bid Republic of the Philippines Province of Surigao del Sur Municipality of San Miguel BARANGAY TINA INVITATION TO BID FOR THE SUPPLY OF FUEL &amp; OIL LUBRICANTS. 1.	The Barangay Local Government Unit of Tina (BLGU-Tina)through the 2</t>
  </si>
  <si>
    <t xml:space="preserve"> Republic of the Philippines   Municipality of Sual BIDS AND AWARDS COMMITTEE Sual, Pangasinan   Invitation to Bid for Construction of Two (2) Units Potable Water Supply System Level 3 Baybay Norte &amp; Baybay Sur, Sual, Pangasinan 1.	The Municipal Government</t>
  </si>
  <si>
    <t xml:space="preserve"> TERMS and CONDITIONS:	 	 1	All entries must be typewritten or legibly written 2	Delivery period within 15 days upon receipt of the approved funded 	Purchase Order (P.O.) 3	Warranty shall be for a minimum of three (3) months for supplies &amp; materials       </t>
  </si>
  <si>
    <t xml:space="preserve"> The Central Bicol State University of Agriculture (CBSUA) announces that the aforesaid project will be procured through the Alternative Mode of Negotiated Procurement specified in Section 53.9 (Small Value Procurement) of the 2016 Revised Implementing Rul</t>
  </si>
  <si>
    <t xml:space="preserve"> One unit printer</t>
  </si>
  <si>
    <t xml:space="preserve"> Procurement for HP Toner Cartridges *Original and brand new cartridges only *HP CF226A (HP26A), black *HP 740A-black, 741A-cyan, 742A-yellow, 743A-magenta *quantities specified in the attached RFQ *incomplete bids will not be accepted  *Bids should be sub</t>
  </si>
  <si>
    <t xml:space="preserve"> 1. The [Local Government Unit of Inopacan, Leyte], through the [Installation of Budgeting and Accounting System, IT Equipment and Software under Capital Outlay of the Municipal Budget Office and Municipal Accounting Office in the 2020 General Fund Supplem</t>
  </si>
  <si>
    <t xml:space="preserve"> DESCRIPTION LOCAL GOVERNMENT UNIT - MUNICIPALITY OF BACOLOR INVITATION TO APPLY FOR ELIGIBILITY AND TO BID The Local Government Unit - Municipality of Bacolor, Bacolor, Pampanga, through the Bids and Award Committee (BAC), invites contractors to apply for</t>
  </si>
  <si>
    <t xml:space="preserve"> 3,257.14 ltrs. Diesel fuel</t>
  </si>
  <si>
    <t xml:space="preserve"> please see attached document...</t>
  </si>
  <si>
    <t xml:space="preserve"> Unit	Item Description		Qty 	Estimated 				                        Unit Cost Transfer of serviceable units from Lynzee's Bldg., J.P. Rosales Ave. to AB Calo Bldg., J.C. Aquino Ave., Butuan City			 Scope of Work:			 &gt; Labor and materials for re-installation</t>
  </si>
  <si>
    <t xml:space="preserve"> Please download and then print the attached Invitation to Bid (ITB) for more details and for your reference. To view this attachment, just click “ORDER” opposite the ASSOCIATED COMPONENTS. TOTAL APPROVED BUDGET FOR THE CONTRACT (ABC): ₱8,840,000.00</t>
  </si>
  <si>
    <t xml:space="preserve"> The Municipality of Limay, through its Bids and Awards Committee (BAC) invites registered contractors to apply for eligibility and if found eligible, to bid for the hereunder project/contract: Project/Contract:   CONSTRUCTION OF THREE (3) STOREY, NINE (9)</t>
  </si>
  <si>
    <t xml:space="preserve"> Purchase of IT Equipment for Various Offices Items to Bid are included on the Bid Docs</t>
  </si>
  <si>
    <t xml:space="preserve"> The National Telecommunications Commission (NTC) hereby invites prospective supplier to submit their Price Quotation for the Project: Procurement of Inkjet Printers, CISS, All in One, Print / Scan / Copy / WIFI Kindly check the attached RFQ for Specificat</t>
  </si>
  <si>
    <t xml:space="preserve"> Please download and then print the attached Invitation to Bid (ITB) for more details and for your reference. To view this attachment, just click “ORDER” opposite the ASSOCIATED COMPONENTS. TOTAL APPROVED BUDGET FOR THE CONTRACT (ABC): ₱392,400.00</t>
  </si>
  <si>
    <t xml:space="preserve"> Republic of the Philippines City of Cadiz Bids and Awards Committee BID FORM 							 Atty. Reggie C. Placido Chairman  Bids and Awards Committee Sir: 	 	After having carefully read and accepted the conditions in the Invitation to Bid, I/We quote you on th</t>
  </si>
  <si>
    <t xml:space="preserve"> The Municipal Government of Pilar, through the 20% Development Fund intends to apply the sum of Two Million Two Hundred Forty Nine Thousand Nine Hundred Twenty Four &amp; 25/100 Pesos (P/2,249, 924.25) being the Approved Budget for the Contract (ABC) to payme</t>
  </si>
  <si>
    <t xml:space="preserve"> 10 pails Oil 10/ 5 pails oil 40</t>
  </si>
  <si>
    <t xml:space="preserve"> June 11, 2020 	 1.	The Provincial Government of Davao del Sur, through its Special Bids and Awards Committee (SBAC), invites all potential bidders/contractors to participate to bid for the following project: Bids received in excess of the ABC shall be aut</t>
  </si>
  <si>
    <t xml:space="preserve"> VARIOUS ICT EQUIPMENTS FOR DARRO 02</t>
  </si>
  <si>
    <t xml:space="preserve"> INVITATION TO BID The Surigao del Sur 1st District Engineering Office, Tandag City, through its Bids and Awards Committee (BAC), invites contractors to submit bids for the following Contract: CONTRACT ID	:	20NH0089(RE-AD) CONTRACT NAME	:	Construction/ Reh</t>
  </si>
  <si>
    <t xml:space="preserve"> Construction of  Rainwater collector per Municipality</t>
  </si>
  <si>
    <t xml:space="preserve"> The Technical Education and Skills Development Authority (TESDA), through the TESDA-PTC Sindangan, Zamboanga del Norte will undertake a Small Value Procurement for the “Procurement of Computer set to be used in the preparation for Skills Competition”, in </t>
  </si>
  <si>
    <t xml:space="preserve"> Please download and then print the attached Invitation to Bid (ITB) for more details and for your reference. To view this attachment, just click “ORDER” opposite the ASSOCIATED COMPONENTS. TOTAL APPROVED BUDGET FOR THE CONTRACT (ABC): ₱999,971.00</t>
  </si>
  <si>
    <t xml:space="preserve"> June 11, 2020 1.	The Provincial Government of Davao del Sur, through its Special Bids and Awards Committee (SBAC), invites all potential bidders/contractors to apply to bid for the following project. Bids submitted in excess of the ABC shall be automatica</t>
  </si>
  <si>
    <t xml:space="preserve"> Repair &amp; Maintenance Barangay Service Patrol</t>
  </si>
  <si>
    <t xml:space="preserve"> I - Hauling of materials from Tagbakin to Calumayin by boat rental             one          lot II - Construction Safety and Health Program                    one                 lot III - Project Billboard               one                     lot IV - P</t>
  </si>
  <si>
    <t xml:space="preserve"> 2 pcs. 21 plates / 2 pcs. 17 plates / 1 pc. 15 plates</t>
  </si>
  <si>
    <t xml:space="preserve"> Invitation to Bid and Bidding Documents</t>
  </si>
  <si>
    <t xml:space="preserve"> CONSTRUCTION/CONCRETING OF PROVINCIAL ROADS, HIGHWAYS AND BRIDGES (PATAG-SAN MATEO ROAD) Municipality of Burgos, Surigao del Norte Brief Description: 	 The project will involve the Construction/ Concreting of Provincial Roads, Highways and Bridges (Patag-</t>
  </si>
  <si>
    <t xml:space="preserve"> 1 unit Travel Pump Assy.</t>
  </si>
  <si>
    <t xml:space="preserve"> 1.    11776    LITERS    DIESEL  APPROVED BUDGET FOR THE CONTRACT: PHP 482, 816.00 LOCATION OF THE CONTRACT: BATARAZA, PALAWAN DURATION OF THE CONTRACT: 7 DAYS SCHEDULE OF ACTIVITIES: POSTING AND ISSUANCE OF BIDS: JUNE 11-23, 2020 PRE-BID CONFERENCE : DEA</t>
  </si>
  <si>
    <t xml:space="preserve"> CONCRETING OF BAYATAKAN ROAD PHASE II Municipality of Dapa, Surigao del Norte Brief Description:    The project has the following scope of works: Construction survey and staking, Project Billboard, Occupational Safety and Health Program, Mobilization/Demo</t>
  </si>
  <si>
    <t xml:space="preserve"> Supply, delivery and installation of 1 set Submersible Pump.</t>
  </si>
  <si>
    <t xml:space="preserve"> Construction of Rainwater Collector</t>
  </si>
  <si>
    <t xml:space="preserve"> Republic of the Philippines BIDS AND AWARDS COMMITTEE Cadiz City      BID DOCUMENTS for the CONSTRUCTION OF CITY FIRE HYDRANTS &amp; ACCESSORIES @ CITY PROPER, CADIZ CITY (1) BIDS AND AWARDS COMMITTEE  Cadiz City   INVITATION TO BID/REQUEST FOR EXPRESSION OF </t>
  </si>
  <si>
    <t xml:space="preserve"> CONSTRUCTION OF MULTI PURPOSE BUILDING (WAREHOUSE) AT SIARGAO DISTRICT HOSPITAL Municipality of Dapa, Surigao del Norte Brief Description:    The project has the following scope of works: General Requirements, Earthworks, Concrete Works, Reinforcing Steel</t>
  </si>
  <si>
    <t xml:space="preserve"> 10     Units     VARIABLE FREQUENCY DRIVES 30HP 230V 3PH SPECS: Variable Frequency Drives								 Applicable Motor Output: 22kw/30Hp, 230v, 3ph								 Rated Output Capacity ( heavy duty application) : 34kva 								 Rated Output Current ( heavy duty appl</t>
  </si>
  <si>
    <t xml:space="preserve"> 1 unit 3HP Submersible Pump/ assorted sizes of pipes /assorted sizes of coupling</t>
  </si>
  <si>
    <t xml:space="preserve"> 400     Pcs.     GI PIPE 1/2"Ø X 6 MTRS HEAVY GAUGE PIPE  SPECS: PNS - 26 STANDARD Outside Diameter               :          21.3 mm Mass                                  :          7.662 kg Wall Thickness                  :          2.80 mm Length       </t>
  </si>
  <si>
    <t xml:space="preserve"> Media Platform: AM Length of Ads Spots: 30 - 35 seconder Frequency: Six (6) Spots per Day, Daily Coverage: Zamboanga City, Zamboanga del Sur, Sibugay Province, Zamboanga del Norte, Basilan, Sulu, Tawi-Tawi,                 Sultan Kudarat, and Saranggani P</t>
  </si>
  <si>
    <t xml:space="preserve"> I.	INTRODUCTION Marcopper Mining Corporation (MMC) is a Philippine mining company incorporated in 1964 wherein Canada-based Placer Dome, Inc. has a 39.9% shareholding.  Placer Dome acquired that interest after an association with the exploration of the mi</t>
  </si>
  <si>
    <t xml:space="preserve"> REQUEST FOR QUOTATION PROJECT TITLE:	TISSUE PAPER, PAPER TOWEL AND FACIAL TISSUE INSTRUCTIONS:	 ___	ADDITIONAL INSTRUCTIONS ATTACHED 			         ___	NO ADDITIONAL INSTRUCTIONS 1.	Fax / Email / Submit your quote or regret (with reasons thereof) using the P</t>
  </si>
  <si>
    <t xml:space="preserve"> Shipping Cartons	 Size: 235mm x 104mm x 160mm  	Can withstand 10 carton high</t>
  </si>
  <si>
    <t xml:space="preserve"> The Municipal Government of Luna, Isabela through its Bids and Awards Committee (BAC) invites all prospective bidders to apply and bid for the hereunder project: Name of Project: PROCUREMENT OF ONE (1) UNIT BRAND NEW DUPLICATING MACHINE WITH PROVISION OF </t>
  </si>
  <si>
    <t xml:space="preserve"> 1.  10,714.28    LITERS   DIESEL APPROVED BUDGET FOR THE CONTRACT: PHP 599,999.68 LOCATION OF THE CONTRACT: BATARAZA, PALAWAN DURATION OF THE CONTRACT: 7 DAYS SCHEDULE OF ACTIVITIES: POSTING AND ISSUANCE OF BIDS: JUNE 11-23, 2020 PRE-BID CONFERENCE : DEAD</t>
  </si>
  <si>
    <t xml:space="preserve"> 1.     4,000   LITERS   DIESEL APPROVED BUDGET FOR THE CONTRACT: PHP 220,000.00 LOCATION OF THE CONTRACT: BATARAZA, PALAWAN DURATION OF THE CONTRACT: 7 DAYS SCHEDULE OF ACTIVITIES: POSTING AND ISSUANCE OF BIDS: JUNE 11-23, 2020 PRE-BID CONFERENCE : DEADLI</t>
  </si>
  <si>
    <t xml:space="preserve"> PURCHASE OF 165 PCS FLU VACCINE WITH ADMINISTRATION</t>
  </si>
  <si>
    <t xml:space="preserve"> Republic of the Philippines GENERAL SANTOS CITY WATER DISTRICT E. Fernandez Street, Barangay Lagao General Santos Telephone No.: 552-3824; Telefax No.: 553-4960 Email Address: gscwdprocurement@yahoo.com REQUEST FOR QUOTATION RFQ #: 3-0620-026 DATE: 6/11/2</t>
  </si>
  <si>
    <t xml:space="preserve"> Media Platform: FM Length of Ad Spots: 30 seconder Frequency: Ten (10) Spots per Day, Daily Coverage: Zamboanga City  Please use the attached RFQ form when submitting your quotation.</t>
  </si>
  <si>
    <t xml:space="preserve"> 200     Pcs.     Electical Tape 500     Pcs.     Rubber Tape 3/4</t>
  </si>
  <si>
    <t xml:space="preserve"> Request for Proposal  The Bureau of Fisheries and Aquatic Resources Regional Office No. 5 (BFAR RO 5), Fabrica, Bula, Camarines Sur is requesting from prospective suppliers to submit written proposal for the Labor and Materials for the Fabrication and Ins</t>
  </si>
  <si>
    <t xml:space="preserve"> Republic of the Philippines BIDS AND AWARDS COMMITTEE Cadiz City      BID DOCUMENTS for the CONSTRUCTION OF ONE (1) STOREY, 1-CLASSROOM SCHOOL BUILDING @ SAN ANDRES ELEMENTARY SCHOOL, BRGY. BANQUEROHAN, CADIZ CITY (1) BIDS AND AWARDS COMMITTEE  Cadiz City</t>
  </si>
  <si>
    <t xml:space="preserve"> June 11, 2020 REQUEST FOR QUOTATION Supply/Delivery of Office Equipment for RIM Quarter &amp;  RO V Conference Room  of  NIA RO V, Naga City  PR No.: 20-05-068 Quotation/Bid No. F501-RO-049-20 The MANAGER BODEGA GLASSWARE Elias Angeles, Naga City  Sir; Please</t>
  </si>
  <si>
    <t xml:space="preserve"> INVITATION TO BID    SUPPLY AND DELIVERY OF THIRTY FOUR (34) UNITS BRAND NEW TRACTOR WITH IMPLEMENTS 1.	The Sugar Regulatory Administration through the 2018 and 2019 General Appropriations Act (GAA) Continuing Budget intends to apply the sum of One Hundre</t>
  </si>
  <si>
    <t xml:space="preserve"> REPUBLIC OF THE PHILIPPINES																															 	PROVINCE OF ZAMBOANGA DEL NORTE																															 	MUNICIPALITY OF PRES. MANUEL A. ROXAS																															 	BIDS AND AWARDS COMMITTEE																															 				</t>
  </si>
  <si>
    <t xml:space="preserve"> COPIER MACHINE SPECIFICATIONS: WITH DUPLEX DOCUMENT FEEDER, FAX FUNCTIONALITY, DUPLEX UNIT WITH ADDITIONAL PAPER TRAYS AND STAND, PAPER SIZE PRINTING - A4-A3 SIZE</t>
  </si>
  <si>
    <t xml:space="preserve"> Procurement for various Audio Visual Equipment *Subdivided into four (4) lots  -Lot 1 External Capture Card - ABC: 50,000.00  -Lot 2 Television Screen - ABC: 74,000.00  -Lot 3 Media Streaming Module - ABC: 13,000.00  -Lot 4 Desktop Computer (Mini PC Form </t>
  </si>
  <si>
    <t xml:space="preserve"> assorted construction materials, pipes &amp; fittings</t>
  </si>
  <si>
    <t xml:space="preserve"> GALVANIZED STEEL CABLE WIRE</t>
  </si>
  <si>
    <t xml:space="preserve"> REPUBLIC OF THE PHILIPPINES																																		 	PROVINCE OF ZAMBOANGA DEL NORTE																																		 	MUNICIPALITY OF PRES. MANUEL A. ROXAS																																		 	BIDS AND AWARDS COMMITTEE																											</t>
  </si>
  <si>
    <t xml:space="preserve"> Production/Printing OF 2019 NAPOLCOM Annual Report *Quantity: 450 copies *Size: 8.5"x 11" *No. of pages: 56 pages (Excluding the flyleaf + cover) *Stock: Cover-C2S 220; Inside: C2S 100           : Envelop - C2S 180 with design           : Others - encoded</t>
  </si>
  <si>
    <t xml:space="preserve"> Section I. Invitation to Bid Republic of the Philippines PROVINCE OF CAGAYAN Municipality of Peñablanca PROVINCIAL BIDS AND AWARDS COMMITTEE INVITATION TO BID FOR  Supply, Delivery and Installation of 4 Units High Volume Low Speed Fan 1.	The Provincial Go</t>
  </si>
  <si>
    <t xml:space="preserve"> To supply and deliver at Project site Diayo Maria Auro, Aurora 4 units Hapa net (3m width x 5m length x 1.5m depth) 10 rolls B-net (double width, black) size 32 10 rolls PE knotted net (size 17) 400 x 12 x 200 x MD 20 rolls PE rope 7mm diameter 3 rolls PE</t>
  </si>
  <si>
    <t xml:space="preserve"> Bandwidth : FM Length of Program : 30 minutes Frequency : Weekly Type of Program : Live Coverage : Zamboanga del Sur Please use the attached RFQ form when submitting your quotation.</t>
  </si>
  <si>
    <t xml:space="preserve"> portland cement/ washed sand/ washed gravel, Tie wire/ hacksaw blade/ red lead paint/ curing compound</t>
  </si>
  <si>
    <t xml:space="preserve"> Republic of the Philippines PROVINCE OF ZAMBOANGA SIBUGAY Municipality of Roseller T. Lim    INVITATION TO BID 						June 08, 2020 	 To All Interested Bidders: Notice is hereby served that sealed bid be received for public bidding under the harmonious pro</t>
  </si>
  <si>
    <t xml:space="preserve"> REPUBLIC OF THE PHILIPPINES																																			 	PROVINCE OF ZAMBOANGA DEL NORTE																																			 	MUNICIPALITY OF PRES. MANUEL A. ROXAS																																			 	BIDS AND AWARDS COMMITTEE																								</t>
  </si>
  <si>
    <t xml:space="preserve"> Purchase of 1 set 3hp Submersible Pump and Accessories  for Barangay Sambulawan Please bid documents for details and specifications.</t>
  </si>
  <si>
    <t xml:space="preserve"> 40    Pcs.     SEKO Injection Valve  Specs: for SEKO Metering/dosing pumps</t>
  </si>
  <si>
    <t xml:space="preserve"> Bandwidth : FM Length of Program : 30 minutes Frequency : Weekly Type of Program : Live Please use the attached RFQ form when submitting your quotation.</t>
  </si>
  <si>
    <t xml:space="preserve"> 1	50	Boxes.	Sodium Ascorbate 500mg tab 2	50	Boxes.	Vitamin B Complex tab 3	50	Boxes.	Paracetamol 500mg tab 4	50	Boxes.	Multivitamins + Iron Capsule 5	20	Boxes.	Symdex tablet 6	30	Boxes.	Metformin 500mg tab 7	50	Boxes.	Losartan 50mg tab 8	40	Boxes.	Amoxici</t>
  </si>
  <si>
    <t xml:space="preserve"> INVITATION TO REBID THE SUPPLY AND DELIVERY OF MATERIALS FOR REPLACEMENT AND EXPANSION OF PIPELINES 1.	The Balingasag Water District, through the Balingasag Water District Fund of 2020 intends to apply the following being the Approved Budget for the Contr</t>
  </si>
  <si>
    <t xml:space="preserve"> Section I. Invitation to Bid Republic of the Philippines PROVINCE OF CAGAYAN Municipality of Peñablanca PROVINCIAL BIDS AND AWARDS COMMITTEE INVITATION TO BID FOR   Supply and Delivery of Two (2) Units Brand New Mini Bus, 4x2 M/T Diesel 1.	The Provincial </t>
  </si>
  <si>
    <t xml:space="preserve"> 1.	The Municipality of Impasugong, through the 20% DF – Rehabilitation of Multi-Purpose Halls – Capitan Bayong – Barangay Proper Phase 2 intends to apply the sum of Two Million Five Hundred Thousand Pesos (PhP 2,500,000.00) being the Approved Budget for t</t>
  </si>
  <si>
    <t xml:space="preserve"> Section I. Invitation to Bid Republic of the Philippines PROVINCE OF CAGAYAN Municipality of Peñablanca PROVINCIAL BIDS AND AWARDS COMMITTEE INVITATION TO BID FOR  Supply and Delivery of One (1) Unit Brand New Big Bus, 6 Wheeler, Completely Build Unit (CB</t>
  </si>
  <si>
    <t xml:space="preserve"> RFQ-GS-20200605-01 Interested Suppliers are invited to submit  Price Quotation for the above listed item. The official LANDBANK Request for Quotation Form may be obtained from MS. NADZ ILETO (email address: iletonadia25@gmail.com).  The deadline for the s</t>
  </si>
  <si>
    <t xml:space="preserve"> please see attached file...</t>
  </si>
  <si>
    <t xml:space="preserve"> Supply and Delivery of Office Equipment &amp; I.T. Equipment.</t>
  </si>
  <si>
    <t xml:space="preserve"> INVITATION FOR PRICE QUOTATION Date:  11 June 2020 For The REPAIR AND MAINTENANCE OF CCTV SYSTEM AT  LEGAZPI AIRPORT – 2ND SVP The Civil Aviation Authority of the Philippines (CAAP) intends to apply the estimated amount   of   Two Hundred Ninety Nine Thou</t>
  </si>
  <si>
    <t xml:space="preserve"> 1	1	Lot	Supply and Delivery of  I.T. Equipment  			Item Description: 	1	Unit	Printer (with A3) On demand ink jet 360 nozzles Black, 59 nozzles each colour Bi directional printing, Uni directional printing 5760 x 1440 dpi Maximum Resolution Approx. 30 ppm </t>
  </si>
  <si>
    <t xml:space="preserve"> 20 units Alcohol Sprayer Wall Mounted 1000ml capacity, Automatic Sensor</t>
  </si>
  <si>
    <t xml:space="preserve"> Section I. Invitation to Bid Republic of the Philippines PROVINCE OF CAGAYAN Municipality of Peñablanca PROVINCIAL BIDS AND AWARDS COMMITTEE INVITATION TO BID FOR  Procurement of 313, 150 Liters Diesel Fuel 1.	The Provincial Government of Cagayan, through</t>
  </si>
  <si>
    <t xml:space="preserve"> Please refer to the attached Bid Documents for more details.</t>
  </si>
  <si>
    <t xml:space="preserve"> DESKTOP COMPUTER i5 INTEL PROCESSOR</t>
  </si>
  <si>
    <t xml:space="preserve"> Plastic School Tablet Armchair  Please see attached Request for Quotation (RFQ)</t>
  </si>
  <si>
    <t xml:space="preserve"> Rehabilitation of Multi Purpose Building Cost of Bidding Documents: Php 5,000.00					 Source of Funds: GAA FY 2020  The significant times and deadlines of procurement activities are shown below: 1. Issuance of Bidding Documents	Deadline: June 15 – 29, 202</t>
  </si>
  <si>
    <t xml:space="preserve"> 386	pcs	Granite Tiles 60x60 50	pcs	Cement Type 1 12	pcs	Colorproof 1 M x 14 feet 20	bags	Adhesive 8	pcs	Hardiflex 3/16 10	pcs	Angle Bar 1x1x20 10	cum	Find Sand 300	pcs	CHB #4 1	pcs	Hacksaw Blade</t>
  </si>
  <si>
    <t xml:space="preserve"> Republic of the Philippines Province of Ilocos Sur Municipality of San Juan Barangay Sunggiam OFFICE OF THE BIDS AND AWARDS COMMITTEE INVITATION TO APPLY FOR ELIGIBILITY AND TO BID The Barangay Sunggiam,Sa Juan,Ilocos Sur through the Bids And Awards Commi</t>
  </si>
  <si>
    <t xml:space="preserve"> PLEASE SEE ATTACHED FILE OF INVITATION TO BID</t>
  </si>
  <si>
    <t xml:space="preserve"> Package I	 Abra        1. Bucay BHS	              1,980,000.00        2. San Miguel BHS	      500,000.00        3. Talogtog BHS	              500,000.00  Package II	 Abra       1. Luba RHU	                       1,000,000.00       2. Manabo RHU	          </t>
  </si>
  <si>
    <t xml:space="preserve"> COMPLETION OF INSTALLATION OF STREETLIGHTING SYSTEM @ BANGQUEROHAN AREA</t>
  </si>
  <si>
    <t xml:space="preserve"> INVITATION TO QUOTE Date:  June 11, 2020 1.	The Provincial Government of Davao del Sur, through its Bids and Awards Committee (BAC), invites all interested bidders/suppliers to quote for the following goods under Alternative Methods of Procurement ([Shopp</t>
  </si>
  <si>
    <t xml:space="preserve"> portland cement/ coarse aggreagates/ fine aggreagates/ 16mm dia dsb/ 12mm dia, dsb/ Cw nails/ hacksaw blade</t>
  </si>
  <si>
    <t xml:space="preserve"> BRAND NEW, 4 X 2 - 6 WHEELER (EURO 4) TRUCK CHASSIS Engine: NO4C-UV (EURO 4) 150 PS (ISO NET) DIESEL Cycle cylinder, vertical in line, turbo charge and inner cooled overhead valve, water cooled, direct injection, electronic control common rail type Transm</t>
  </si>
  <si>
    <t xml:space="preserve"> RFQ-GS-20200605-02 Interested Suppliers are invited to submit  Price Quotation for the above listed item. The official LANDBANK Request for Quotation Form may be obtained from MS. NADZ ILETO (email address: iletonadia25@gmail.com).  The deadline for the s</t>
  </si>
  <si>
    <t xml:space="preserve"> 1 set Dining Table with Chair - 4 chairs with cushion - wooden (MDF) 1 set Office Table with fixed steel cabinet 1 pc Office Chair-High Back (Adjustable, with arm rest) 1 pc Plastic Rectangular Table</t>
  </si>
  <si>
    <t xml:space="preserve"> DESCRIPTION  35,000 SHEETS (35 BOXES, 1000 SHEETS  PER BOX) STATEMENT OF ACCOUNT  WHITE COPY WITH BACK PRINT TWO COLORS PRINT 8½  X  6½  CONTINUOUS FORM *Please use the attached Request for Quotation Form *please submit PhilGEPS Registration Certificate</t>
  </si>
  <si>
    <t xml:space="preserve"> REHABILITATION OF EXISTING MUNICIPAL ROADS @ Barangays San Jose and Salvacion, Panganiban, Catanduanes</t>
  </si>
  <si>
    <t xml:space="preserve"> CONCRETING OF ROAD AND CONSTRUCTION OF DRAINAGE CANAL Z-2</t>
  </si>
  <si>
    <t xml:space="preserve"> Construction of 1 unit Rainwater Collector System</t>
  </si>
  <si>
    <t xml:space="preserve"> Construction of Multi Purpose Building 		 Cost of Bidding Documents: Php 25,000.00					 Source of Funds: GAA FY 2020 The significant times and deadlines of procurement activities are shown below: 1. Issuance of Bidding Documents	Deadline: June 15 – 29, 20</t>
  </si>
  <si>
    <t xml:space="preserve"> Clutch Assembly, A/C Compressor					1	 l. s.  A/C   O-Ring					6	 pcs  Freon Refregerant  134A					1	 pc  PAG Oil					1	 pc  Solution  141					1	 pc  Replace Compressor and Clutch Assembly (Services-Labor) 					1	 l. s.  Fulldown Condenser (Services-Labor</t>
  </si>
  <si>
    <t xml:space="preserve"> Republic of the Philippines								 Province of Ilocos Norte								 Municipality of Paoay								 								 REQUEST FOR QUOTATION								 								 					Date:		6/12/2020	 					Qoutation No:		2020-116	 THE MANAGER				 				 								 								 								        </t>
  </si>
  <si>
    <t xml:space="preserve"> Republic of the Philippines Province of Pangasinan Municipality of Sual Barangay Caoayan Invitation to Bid for the Construction of Waiting Shed At Barangay Caoayan Sual, Pangasinan 1.	The Barangay Council of Caoayan,through the Barangay Fund 2020 intends </t>
  </si>
  <si>
    <t xml:space="preserve"> Wheel Tire  265/65 R16					4	 pcs  2SM Battery					1	 pc  Wiper Blade  16⅟₂" 					1	 pc  Wiper Blade 24"					1	 pc  x-x-x-x-x-x</t>
  </si>
  <si>
    <t xml:space="preserve"> Renewal of Adobe Creative Cloud Subscription *All apps subscription *Duration: 17 months (August 1, 2020 to December 31, 2021) *Warranty: 17 months *Bids should be submitted using a two-factor security procedure consisting of an archive format compression</t>
  </si>
  <si>
    <t xml:space="preserve"> Purchase of construction materials and supplies for Barangay Tubajon</t>
  </si>
  <si>
    <t xml:space="preserve"> Republic of the Philippines								 Province of Ilocos Norte								 Municipality of Paoay								 								 REQUEST FOR QUOTATION								 								 					Date:		6/12/2020	 					Qoutation No:		2020-118	 THE MANAGER				 				 								 								 								        </t>
  </si>
  <si>
    <t xml:space="preserve"> Split Type 2.5 Hp. Aircondition with accessories</t>
  </si>
  <si>
    <t xml:space="preserve"> IMPROVEMENT OF PANGANIBAN MUNICIPAL WATER SYSTEM of Barangays Sta. Ana, Burabod, Mabini, San Miguel, San Jose, San Nicolas, and Burabod, Panganiban, Catanduanes</t>
  </si>
  <si>
    <t xml:space="preserve"> Other Supplies and Materials</t>
  </si>
  <si>
    <t xml:space="preserve"> Bondpaper, A4, 80 gsm	80 reams Bondpaper, long, 80 gsm		20 reams		 Laid Paper, Letter sized,  Brilliant White	3 boxes Binder Clip, 32 mm	15 boxes Binder Clip, 19 mm	15 boxes Binder Clip, 51 mm	5 boxes Paper Clips (small)		15 boxes		 Sign pen, Black, .05	2</t>
  </si>
  <si>
    <t xml:space="preserve"> REQUEST FOR EXPRESSION OF INTEREST FOR  Consulting Services for the Preparation of Environmental Impact Statement and  Facilitation of ECC Application for the Modernization Plan of  Gov. Celestino Gallares Memorial Hospital Project located in Cortes, Boho</t>
  </si>
  <si>
    <t xml:space="preserve"> Flood Control 	 	 		 		 Cost of Bidding Documents: Php 5,000.00					 Source of Funds: Maintenance Fund 101 CY 2020 The significant times and deadlines of procurement activities are shown below: 1. Issuance of Bidding Documents	Deadline: June 15 – 29, 2020</t>
  </si>
  <si>
    <t xml:space="preserve"> 20CSE008: Consulting Services for the Conduct of Feasibility Study of the Proposed Coron-Culion Bridge, Palawan</t>
  </si>
  <si>
    <t xml:space="preserve"> please see attached file For further information, please refer to: Ms. Sofia Banta Telefax No. 837-8113 loc 318 / 837-2071 loc 2293 Email address: chiebanta@gmail.com For further information, please refer to: Mr. Marlon Balitaon Telefax No. 837-8113 loc 3</t>
  </si>
  <si>
    <t xml:space="preserve"> INVITATION TO BID The Department of Public Works and Highways-National Capital Region-Metro Manila 3rd District Engineering Office, through its Bids and Awards Committee (BAC), invites contractors to apply to bid for the following contract/s:     Contract</t>
  </si>
  <si>
    <t xml:space="preserve"> 1.	250		pcs.		Plastic Envelope w/ handle		 2.	2500		pcs.		Notebooks		 3.	500		pcs.		Pencil		 4.	750		pcs.		Ballpen		 5.	250		pcs.		Sharpener		 6.	250		pcs.		Ruler		 7.	250		pcs.		Eraser		 8.	250		pcs.		Pad Paper (Grade 1-4)		 9.	250		bxs.		Crayola #16		 1</t>
  </si>
  <si>
    <t xml:space="preserve"> Road Safety Devices  			 		 Cost of Bidding Documents: Php 5,000.00					 Source of Funds: GAA 101 Maintenance Fund CY 2020 The significant times and deadlines of procurement activities are shown below: 1. Issuance of Bidding Documents	Deadline: June 15 – </t>
  </si>
  <si>
    <t xml:space="preserve"> Food Supplies</t>
  </si>
  <si>
    <t xml:space="preserve"> Consolidated I.T. Consumables</t>
  </si>
  <si>
    <t xml:space="preserve"> Development of spring source, Construction of Intake Box, Construction of 250 cu.m. Concrete ground reservoir (2-ea) and Pipeline Distribution</t>
  </si>
  <si>
    <t xml:space="preserve"> 1. The City Government of Calamba through the GAD Fund intends to apply the sum of Php 396,000.00 being the Approved Budget for the Contract (ABC) to payments under the contract for G-2020-268 Supply and Delivery of Laying Cages for Egg Production, Gender</t>
  </si>
  <si>
    <t xml:space="preserve"> Republic of the Philippines Province of Dinagat Islands Municipality of Basilisa BARANGAY VILLA PANTINOPLE -oOo- BIDS AND AWARDS COMMITTEE -oOo- INVITATION TO APPLY FOR ELIGIBILITY AND TO BID The Barangay Villa Pantinople, Municipality of Basilisa, Provin</t>
  </si>
  <si>
    <t xml:space="preserve"> Procurement for Professional Video Conferencing Platform Subscription *period covered is six (6) months - July - December 2020 *Can accommodate up to one hundred (100) concurrent meeting participants *Bundled with webinar feature up to five hundred(500) p</t>
  </si>
  <si>
    <t xml:space="preserve"> labor for the construction of 8.0m x 12.0m Two Storey Multipurpose Building Phase 2 (to include tiling, painting, construction of plant box, installation of 2 PVC door, steel railing at 1st floor of the building)</t>
  </si>
  <si>
    <t xml:space="preserve"> REQUEST FOR EXPRESSION OF INTEREST FOR  Consulting Services for the Conduct of Geotechnical (Soil) Investigation for the Construction of Proposed 6-Storey New Buildings for the Modernization Plan of Gov. Celestino Gallares Memorial Hospital Project locate</t>
  </si>
  <si>
    <t xml:space="preserve"> RFQ-GS-20200323-02 Interested Suppliers are invited to submit Price Quotation for the above listed item. The official LANDBANK Request for Quotation Form may be obtained from MS. ANJ EMETERIO ILETO (tel no. 8-4057233-34, email address: mqemeterio@gmail.co</t>
  </si>
  <si>
    <t xml:space="preserve"> Repair of OCDRO5 Generator- FG Wilson</t>
  </si>
  <si>
    <t xml:space="preserve"> REPAIR AND MAINTENANCE OF THE OCDRO5 BUILDING</t>
  </si>
  <si>
    <t xml:space="preserve"> Please see attached Request for Quotation with Annex 'A' for complete listing.</t>
  </si>
  <si>
    <t xml:space="preserve"> Sorghum Seeds 10 bags @ 50 lbs/bag Delivery Site: Murtha Station San Jose, Occidental Mindoro - 5 bags Palawan Research &amp; Experiment Station, Puerto Princesa City, Palawan - 5 bags Please see attached and download RFQ # 20-1097-1. Submit your Sign and Sea</t>
  </si>
  <si>
    <t xml:space="preserve"> 1. The City Government of Calamba through the GAD Fund intends to apply the sum of Php 61,362.00 being the Approved Budget for the Contract (ABC) to payments under the contract for G-2020-341 Supply and Delivery of Customized Pin Badge Buttons &amp; Glass Pla</t>
  </si>
  <si>
    <t xml:space="preserve"> Please see attache RFQ for the specs.</t>
  </si>
  <si>
    <t xml:space="preserve"> REQUEST FOR QUOTATION (RFQ) (Alternative Method – Shopping 52.1b) The Department of Education - Division of City Schools - City of San Jose del Monte, Bulacan (DepED - CSJDM), through its Bids and Awards Committee, intends to apply the sum of Php. 125,350</t>
  </si>
  <si>
    <t xml:space="preserve"> 1. The City Government of Calamba through the Special Education Fund intends to apply the sum of Php 61,506.00 being the Approved Budget for the Contract (ABC) to payments under the contract for G-2020-344 Supply and Delivery of Surveillance Camera, City </t>
  </si>
  <si>
    <t xml:space="preserve"> REQUEST FOR QUOTATION Bid Ref. No 20200611-28 The ILOILO STATE COLLEGE OF FISHERIES MAIN TIWI CAMPUS, through its Bids and Awards Committee (BAC), invites eligible suppliers to submit quotation for the following project: Name of Project: REPOSTING: PURCHA</t>
  </si>
  <si>
    <t xml:space="preserve"> INVITATION TO BID The Department of Public Works and Highways (DPWH), Cavite 3rd District Engineering Office, Carmona, Cavite through its Bids and Awards Committee (BAC), invites contractors to submit bids for the following Contract: 1. Contract I.D. No.:</t>
  </si>
  <si>
    <t xml:space="preserve"> we are improving our 2nd floor to become an efficient quarantine facility cum evacuation center for this pandemic materials needed 6 sets 1.25x1.20m sliding windows 6 sets 1.20x1.20m tubular windo grills 3 bags tile grout 111 kgs 10mm dia dsb 106.6 kgs 12</t>
  </si>
  <si>
    <t xml:space="preserve"> HYDRAULIC EXCAVATOR - CRAWLER TYPE   - 2 units  Engine Rated Power         135/2050 kw/rpm   Bucket Capacity               1.0 cu.m.   Boom Length                    5680 mm   Arm Length                      2710 mm   10 WHEELER DUMPTRUCK - 6 X4          </t>
  </si>
  <si>
    <t xml:space="preserve"> Quantity       Unit of Issue       Item Description    150	        bxs	          D5 LR 1L x 12's      5          	bxs	          D5 0.3 Nacl 1L X 12's      5	                bxs              D5 0.3 Nacl 500ml X 24's     70	        bxs	          PNSS 1L x 1</t>
  </si>
  <si>
    <t xml:space="preserve"> Quantity       Unit of Issue       Item Description    100	       amps	          Amikacin 250mg/ml   1000	       vials	          Ampicillin 250mg   1000	       vials	          Ampicillin 500mg    500	       vials	          ATS 500     20	       amps	     </t>
  </si>
  <si>
    <t xml:space="preserve"> 1. The City Government of Calamba through the Trust Fund intends to apply the sum of Php 299,997.94 being the Approved Budget for the Contract (ABC) to payments under the contract for I-2020-015 Improvement of City Health Office, Barangay VII/City of Cala</t>
  </si>
  <si>
    <t xml:space="preserve"> 1. The City Government of Calamba through the Trust Fund intends to apply the sum of Php 967,192.80 being the Approved Budget for the Contract (ABC) to payments under the contract for G-2020-345 Supply and Delivery of Assorted Supplies, Publoc Order and S</t>
  </si>
  <si>
    <t xml:space="preserve"> REQUEST FOR EXPRESSION OF INTEREST REOI2020-C02 1.	The Department of Public Works and Highway-Isabela 3rd District Engineering Office     through the PDE 2020 intends to apply the Approved Budget for the Contract (ABC) to payment under the following contr</t>
  </si>
  <si>
    <t xml:space="preserve"> INVITATION TO BID The Department of Public Works and Highways (DPWH), Cavite 3rd District Engineering Office, Carmona, Cavite through its Bids and Awards Committee (BAC), invites contractors to submit bids for the following Contract: 2. Contract I.D. No.:</t>
  </si>
  <si>
    <t xml:space="preserve"> INVITATION TO BID The Department of Public Works and Highways (DPWH), Cavite 3rd District Engineering Office, Carmona, Cavite through its Bids and Awards Committee (BAC), invites contractors to submit bids for the following Contract:     4. Contract I.D. </t>
  </si>
  <si>
    <t xml:space="preserve"> 1. The City Government of Calamba through the General Fund intends to apply the sum of Php 128,040.00 being the Approved Budget for the Contract (ABC) to payments under the contract for G-2020-346 Supply and Installation of Airconditioning Unit, Office of</t>
  </si>
  <si>
    <t xml:space="preserve"> REQUEST FOR EXPRESSION OF INTEREST REOI2020-C03 1.	The Department of Public Works and Highway-Isabela 3rd District Engineering Office     through the PDE 2020 intends to apply the Approved Budget for the Contract (ABC) to payment under the following contr</t>
  </si>
  <si>
    <t xml:space="preserve"> Procurement of 1 Lot Fuel, Oil and Lubricant Expenses for the 3rd Quarter of 2020</t>
  </si>
  <si>
    <t xml:space="preserve"> INVITATION TO BID The Department of Public Works and Highways (DPWH), Cavite 3rd District Engineering Office, Carmona, Cavite through its Bids and Awards Committee (BAC), invites contractors to submit bids for the following Contract: 3. Contract I.D. No.:</t>
  </si>
  <si>
    <t xml:space="preserve"> REQUEST FOR EXPRESSION OF INTEREST (REI) FOR THE 20CSJ002 - CONSULTING SERVICES FOR THE SUB-SURFACE EXPLORATION THRU CALYX DRILLING AND LABORATORY WORKS/ANALYSIS FOR WIDENING OF FIVE BRIDGES FOR SULU 2ND, BARMM 1.	The Department of Public Works and Highwa</t>
  </si>
  <si>
    <t xml:space="preserve"> Procurement of 1 Lot Various Office Supplies for the 3rd Quarter of 2020</t>
  </si>
  <si>
    <t xml:space="preserve"> Procurement of 1 Lot Rehabilitation Supplies for the 3rd Quarter of 2020</t>
  </si>
  <si>
    <t xml:space="preserve"> 1700 pcs. CHB 4" thk 186 bags Portland Cement 18 cu.m. washed Sand 12 cu.m washed gravel 178 pcs. 10mm dia. x 6.0m RSB 45 pcs. 12mm dia. 6.0m RSB 20 pcs. 2''x2''x12' form lumber 6 pcs. 1/2'' thk phenolic board 15 pcs. hacksaw blade 10 kls. #16 tie wire 8 </t>
  </si>
  <si>
    <t xml:space="preserve"> INSTRUCTION TO BIDDERS (ITB) A. General 1. Scope of Bid 1.1 The Procuring Entity, as defined in the BDS, invites bids for the construction of the Works under the proposed Contract, as described in the BDS. The name and ID of the Contract are stated in the</t>
  </si>
  <si>
    <t xml:space="preserve"> REQUEST FOR EXPRESSION OF INTEREST (REI) FOR THE 20CSJ003 - CONSULTING SERVICES FOR THE SUB-SURFACE EXPLORATION THRU CALYX DRILLING AND LABORATORY WORKS/ANALYSIS FOR REPLACEMENT OF NINE (9) BRIDGES FOR SULU 1ST BARMM 1.	The Department of Public Works and </t>
  </si>
  <si>
    <t xml:space="preserve"> INVITATION TO BID The Department of Public Works and Highways (DPWH), Cavite 3rd District Engineering Office, Carmona, Cavite through its Bids and Awards Committee (BAC), invites contractors to submit bids for the following Contract: 5. Contract I.D. No.:</t>
  </si>
  <si>
    <t xml:space="preserve"> Procurement of 1 Lot Various Drugs and Medicines for the 3rd Quarter of 2020</t>
  </si>
  <si>
    <t xml:space="preserve"> 1.	The Department of Public Works and Highway-Isabela 3rd District Engineering Office     through the PDE 2020 intends to apply the Approved Budget for the Contract (ABC) to payment under the following contract for: Contract ID No.	: 20CSBG004 Contract Na</t>
  </si>
  <si>
    <t xml:space="preserve"> 20E00084 - LIP - Construction of Odiongan By-pass Road (Phase 4), Odiongan, Romblon</t>
  </si>
  <si>
    <t xml:space="preserve"> Republic of the Philippines Province of Masbate Municipality of Mandaon BIDS AND AWARD COMMITTEE INVITATION TO APPLY FOR ELIGIBILITY AND TO BID The Local Government Unit of Mandaon, through the ANNUAL BUDGET 2020   intends to apply for the sum of Php 590,</t>
  </si>
  <si>
    <t xml:space="preserve"> Quantity      Unit of Issue      Item Description     180	       btls	        Alcohol 70% Isopropyl 500ml      10	       pcs	        Bulb with Airflo Control 1891       5	       pcs     	Latex Bulb Adult 1840       5	       pcs	        Velcro Cuff Adult 1</t>
  </si>
  <si>
    <t xml:space="preserve"> INVITATION TO BID The Department of Public Works and Highways (DPWH), Cavite 3rd District Engineering Office, Carmona, Cavite through its Bids and Awards Committee (BAC), invites contractors to submit bids for the following Contract: 6. Contract I.D. No.:</t>
  </si>
  <si>
    <t xml:space="preserve"> ITEM	DESCRIPTION	QUANTITY	UNIT 1	Portland Cement	1,900	bags 2	Sand	130	cu.m. 3	Gravel (3/4” Ø)	340	cu.m. 4	RSB – 10 mm Ø	2,000	pcs. 5	4’ x 8’ x ½” Marine Plywood	100	pcs 6	2” x “ x 12’ Form Lumber	1,600	bd.ft 7	CWN 4” 	50	kgs. 8	CWN 3”	50	kgs. 9	CWN 2 ½”	</t>
  </si>
  <si>
    <t xml:space="preserve"> 1 unit water pump 1.5 Hp 1 unit stainless pressure tank 82 gal. 1 pc. 3'' dia. G.I Pipe s40 4 rolls P.E pipe 1'' dia. 1 unit 1'' dia. foot valve 1 unit check valve 1 unit pressure gauge 12 pcs. 1'' dia. Union patente 12 pcs. 1'' dia. Elbow 6 pcs. 1'' dia.</t>
  </si>
  <si>
    <t xml:space="preserve"> Procurement of 1 Lot Printing and Publication for the 3rd Quarter of 2020</t>
  </si>
  <si>
    <t xml:space="preserve"> schedule opening of bids</t>
  </si>
  <si>
    <t xml:space="preserve"> 1.	The Dangerous Drugs Board, through the General Appropriation Act of 2020  intends to apply the sum of Four Million Pesos (Php 4,000,000.00) being the Approved Budget for the Contract (ABC) to payments under the contract for the Development and Deployme</t>
  </si>
  <si>
    <t xml:space="preserve"> Procurement of 1 Lot Military Supplies (Ammunition) for the 3rd Quarter of 2020</t>
  </si>
  <si>
    <t xml:space="preserve"> ITEM	DESCRIPTION	QUANTITY	UNIT 	Civil Works - Construction of Construction of Canal Structures, Temporary Access Road, Supply &amp; Installation of Steel Pipe Siphon:		 A.	Temporary Works Facilities, Mobilization &amp; Demobilization &amp; Temporary Access Road		 1	T</t>
  </si>
  <si>
    <t xml:space="preserve"> 1.	The De Guzman Barangay Council, through the Barangay Fund CY 2020 intends to apply the sum of ONE HUNDRED THOUSAND PESOS (P100,000.00) being the Approved Budget for the Contract (ABC) to payments under the contract. Bids received in excess of the ABC s</t>
  </si>
  <si>
    <t xml:space="preserve"> For Road Protection of the Barangay.</t>
  </si>
  <si>
    <t xml:space="preserve"> Kinder   18 pages x 100 learners x Php0.75=Php 1,350 Grade1   210 pages  x 140 learners x Php0.75= Php 22,050 Grade2  245 pages x130 learners x Php 0.75 = Php23,887.50 Grade 3 264 pages x 130 learners x Php 0.75=Php 25, 740 Grade 4  272 pages x 80 learner</t>
  </si>
  <si>
    <t xml:space="preserve"> 1.	The Cabanaetan Barangay Council, through the Barangay Fund CY 2020 intends to apply the sum of Seventy Thousand Pesos PhP70,000.00 being the Approved Budget for the Contract (ABC) to payments under the contract for the supply and delivery of various co</t>
  </si>
  <si>
    <t xml:space="preserve"> REQUEST FOR QUOTATION The National Meat Inspection Service (NMIS) through the Bids and Awards Committee (BAC) is inviting interested parties to submit proposal/quotation for the here under project: Name of Project:    	Supply and Delivery of Laboratory Su</t>
  </si>
  <si>
    <t xml:space="preserve"> REPUBLIC OF THE PHILIPPINES  CITY OF MANILA BARANGAY 216 ZONE 20 DISTRICT 2  BIDS AND AWARDS COMMITTEE  INVITATION TO BID  THE BARANGAY 216 ZONE 20 DISTRICT 2 MANILA, THROUGH IT'S BID AND AWARDS COMMITTEE (BAC) INVITES ALL SUPPLIERS WITH CERTIFICATE OF AC</t>
  </si>
  <si>
    <t xml:space="preserve"> Description CITY GOVERNMENT OF DIGOS INVITATION TO BID The City Government of Digos thru the Bids and Awards Committee (BAC) invited interested suppliers/contractors to apply for eligibility screening and if subsequently found eligible to bid for the proc</t>
  </si>
  <si>
    <t xml:space="preserve"> PLEASE ATTACHED COMPONENTS</t>
  </si>
  <si>
    <t xml:space="preserve"> ITEM	DESCRIPTION	QUANTITY	UNIT 	A.	Temporary Works Facilities, Mobilization &amp; Demobilization		 1	Temporary Works Facilities	1.00	ls 2	Mobilization/Demobilization	1.00	ls 	B.	Construction of Canal Bench Flume		 1	Common Excavation	1,858.59	cu.m 2	Barrow w/</t>
  </si>
  <si>
    <t xml:space="preserve"> Procurement for ICT Supplies and Peripherals *The project is divided into two lots:  -Lot 1 USB C adapter ABC:50,000.00  -Lot 2 Computer Monitor ABC: 40,000.00 *Please refer to the attached TOR for other details and specifications *Quotations/Bids can be </t>
  </si>
  <si>
    <t xml:space="preserve"> Invitation to Bid The Barangay Calanutian, Municipality of San Nicolas Pangasinan through its Bids and Award Committee(BAC), invites contractors registered with and classfied by the Philgeps to apply for the eligibility and if found eligible, to bid for t</t>
  </si>
  <si>
    <t xml:space="preserve"> PLEASE SEE ATTACHED COMPONENT</t>
  </si>
  <si>
    <t xml:space="preserve"> REQUEST FOR QUOTATION The National Meat Inspection Service (NMIS) through the Bids and Awards Committee (BAC) is inviting interested parties to submit proposal/quotation for the here under project: Name of Project:    	Supply and Delivery of KN95 Face Mas</t>
  </si>
  <si>
    <t xml:space="preserve"> as per BSP Technical Specifications and Terms of Reference</t>
  </si>
  <si>
    <t xml:space="preserve"> CCTV Camera w/ installation * 8 channels * 6 cameras * 16'' monitor</t>
  </si>
  <si>
    <t xml:space="preserve"> The Philippine Nuclear Research Institute (PNRI), through the Bids and Awards Committee (BAC), invites interested bidders to bid for hereunder project:  Name of Project	Procurement of One (1) Lot Cremation Equipment for Small Animals and One (1) Lot Indiv</t>
  </si>
  <si>
    <t xml:space="preserve"> Republic of the Philippines																						 Province of Batangas																						 MUNICIPALITY OF ALITAGTAG																						 																						 REQUEST FOR SMALL VALUE PROCUREMENT																						 																						 										</t>
  </si>
  <si>
    <t xml:space="preserve"> REPUBLIC OF THE PHILIPPINES CITY OF MANILA BARANGAY 245 ZONE 22 DISTRICT 2  BIDS AND AWARDS COMMITTEE INVITATION TO BID THE BARANGAY 245 ZONE 22 DISTRICT 2 MANILA, THROUGH IT'S BID AND AWARDS COMMITTEE (BAC) INVITES ALL SUPPLIERS WITH CERTIFICATE OF ACCRE</t>
  </si>
  <si>
    <t xml:space="preserve"> Republic of the Philippines Pangasinan State University Lingayen, Pangasinan INVITATION TO BID FOR THE PROCUREMENT AND INSTALLATION OF RADIO STATION EQUIPMENT 1.	The Pangasinan State University, through the Fund 164 (Income) intends to apply the sum of Th</t>
  </si>
  <si>
    <t xml:space="preserve"> Republic of the Philippines Pangasinan State University Lingayen, Pangasinan INVITATION TO BID FOR THE PROCUREMENT AND INSTALLATION OF VARIOUS AIRCONDITION UNITS FOR THE DIFFERENT CAMPUSES OF THE UNIVERSITY 1.	The Pangasinan State University, through the </t>
  </si>
  <si>
    <t xml:space="preserve"> To provide Labor and materials for the Additional Construction of Multi Purpose Hall - Brgy. Buao Opening of Bids - June 29, 2020, 10:00AM, venue: Engineer's Office Other Information: Letter of Intent must be accompanied by a new TAX CLEARANCE.</t>
  </si>
  <si>
    <t xml:space="preserve"> Name of the Procuring Entity					"Project Reference Number Name of the Project Location of the Project"					 PHILIPPINE PORTS AUTHORITY, PMO MO/C										 Standard Form Number: SF-GOOD-60										 Revised on: May 24, 2004										 Standard Form Title: </t>
  </si>
  <si>
    <t xml:space="preserve"> To provide Labor and materials for the Repair of Brgy. Hall - Brgy. Carmona Opening of Bids - June 29, 2020, 10:00AM, venue: Engineer's Office Other Information: Letter of Intent must be accompanied by a new TAX CLEARANCE.</t>
  </si>
  <si>
    <t xml:space="preserve"> PARTICULARS	Unit Cost Supply, Delivery, Installation and Configuration of Various ICT Equipment, Office Equipment and Computer Software in Support to Operations and Research Division	 1) Twenty (20) Units Desktop Computer (Windows OS) 	Intel Core i3-9300</t>
  </si>
  <si>
    <t xml:space="preserve"> REPUBLIC OF THE PHILIPPINES CITY OF MANILA BARANGAY 216 ZONE 20 DISTRICT 2  BIDS AND AWARDS COMMITTEE INVITATION TO BID THE BARANGAY 216 ZONE 20 DISTRICT 2 MANILA, THROUGH IT'S BID AND AWARDS COMMITTEE (BAC) INVITES  ALL SUPPLIERS WITH CERTIFICATE OF ACCR</t>
  </si>
  <si>
    <t xml:space="preserve"> 20M00182 - Construction / Rehabilitation of Damawato Bridge</t>
  </si>
  <si>
    <t xml:space="preserve"> 20M00181 - Construction/Completion/Rehabilitation of MPB</t>
  </si>
  <si>
    <t xml:space="preserve"> 1 LOT ABC:    200,000.00 COMPONENTS:  - 20 pcs Stainless Mixing Bowl, 28 cm diameter; durable  - 20 pcs Stainless Tray, 40x030x2cm  - 20 pcs Spatula, length 21.7 cm/8.54; random color  - 20 pcs Blender, Aluminum alloy w/scrub surface; size: 17.7 x 9.1 x 9</t>
  </si>
  <si>
    <t xml:space="preserve"> Republic of the Philippines Pangasinan State University Lingayen, Pangasinan INVITATION TO BID FOR THE ONE (1) YEAR SUBSCRIPTION OF ELECTRONIC BOOKS FOR THE UNIVERSITY 1.	The Pangasinan State University, through the Fund 164 (Income) intends to apply the </t>
  </si>
  <si>
    <t xml:space="preserve"> To provide Labor and materials for the Repair and Improvement of Multi-Purpose Hall - Brgy. San Jose Pre-bid Conference: July 1, 2020 @ 9:00AM, venue: Engineer's Office Opening of Bids - July 13, 2020, 10:00AM Other Information: Letter of Intent must be a</t>
  </si>
  <si>
    <t xml:space="preserve"> 1 LOT ABC :  200,000.00 Components:    - 780 cans Canned Sardines in tomato sauce (155g)  - 800 pcs Instant Noodles, Chicken (70g)  - 800 pcs. Instant Noodles, Beef (70g)  - 600 packs Instant Coffee Reffill (25g)   - 600 pcs. Laundry Soap Bar (380 g)  - 6</t>
  </si>
  <si>
    <t xml:space="preserve"> 20GM00148 – Rental of Service Vehicle for Road Slope and Survey Investigation Activities for DPWH Projects (1-Unit 4x4 Pick-Up) (July 1-15, 2020) (Equipment Rental Only)</t>
  </si>
  <si>
    <t xml:space="preserve"> 20M00180 - Construction of Tulunan Public Cemetery</t>
  </si>
  <si>
    <t xml:space="preserve"> 20GM00146 – Provision of 4x4 Pick UP Type Service Vehicle for the Engineer for July 1-15, 2020   (Equipment Rental Only)</t>
  </si>
  <si>
    <t xml:space="preserve"> CARPENTRY WORKS MASONRY WORKS STEEL WORKS DOORS AND WINDOWS ROOFING WORKS</t>
  </si>
  <si>
    <t xml:space="preserve"> Procurement for various Computer Software *the project is subdivided into three lots  -LOT 1 Vision Mixer and Switcher Software (VMSS), ABC: 50,000.00  -LOT 2 Printer Management Software ABC:40,000.00  -LOT 3 Video Editing Software ABC: 65,000.00 *Quotati</t>
  </si>
  <si>
    <t xml:space="preserve"> To provide Labor and materials for the Renovation of Multi-purpose pavement - Brgy. Ngoso Opening of Bids - June 29, 2020, 10:00AM, venue: Engineer's Office Other Information: Letter of Intent must be accompanied by a new TAX CLEARANCE.</t>
  </si>
  <si>
    <t xml:space="preserve"> To provide Labor and materials for the Repair of Street Light - Brgy. Carmona Opening of Bids - June 29, 2020, 10:00AM, venue: Engineer's Office Other Information: Letter of Intent must be accompanied by a new TAX CLEARANCE.</t>
  </si>
  <si>
    <t xml:space="preserve"> See attached files.</t>
  </si>
  <si>
    <t xml:space="preserve"> The Bureau of Fisheries and Aquatic Resources (BFAR) of the Department of Agriculture, through the General Appropriations Act for 2020 intends to apply the sum of THIRTY TWO MILLION FIVE HUNDRED SEVENTY SEVEN EIGHT HUNDRED SEVENTY TWO AND 70/100 (Php 32,5</t>
  </si>
  <si>
    <t xml:space="preserve"> Pathwalk scope of work: 1. Cleaning and grubbing 2. Backfilling and compaction 3. Gravel bedding 4. Formworks 5. Rebar works 6. Concreting works</t>
  </si>
  <si>
    <t xml:space="preserve"> 20GM00147 – Rental of Service Vehicle Chargeable to CY 2020 Annual Maintenance Work Program (AMWP) for Inspection and Supervision of Routine / Periodic Maintenance for Roads and Bridge Projects (July 1-15, 2020) (Equipment Rental Only)</t>
  </si>
  <si>
    <t xml:space="preserve"> 20GM00149 – Provision of 4X4 Pick Up Type Service Vehicle for the Engineer for July 1-15, 2020  (Equipment Rental Only)</t>
  </si>
  <si>
    <t xml:space="preserve"> IB 2020-07-007 PVSV Procurement of Passenger Van Service Vehicle  2020-07</t>
  </si>
  <si>
    <t xml:space="preserve"> 20M00179 - Completion/Rehabilitation of MPB</t>
  </si>
  <si>
    <t xml:space="preserve"> Scope of Work: A. STAIR RAILING, WOODEN STEPS, TABLES &amp; CHAIRS   I. Steel Works   II. Carpentry and Joinery Works   III. Electrical Fixtures B. GENERAL REQUIREMENTS</t>
  </si>
  <si>
    <t xml:space="preserve"> Invitation to Bid for Improvement of Water System (Phase 2), Brgy.Lim-ao, Kananga, Leyte 1.	The Barangay Government of Lim-ao, Kananga, Leyte, through its BIDS AND AWARDS COMMITTEE (BAC),through the DOE ER 1-94 Fund intends to apply the sum of Six Million</t>
  </si>
  <si>
    <t xml:space="preserve"> Invitation to Bid for Construction of Multi-Purpose Pavement, Brgy.Lim-ao, Kananga, Leyte 1.	The Barangay Government of Lim-ao, Kananga, Leyte, through its BIDS AND AWARDS COMMITTEE (BAC),through the DOE ER 1-94 Fund intends to apply the sum of Four Milli</t>
  </si>
  <si>
    <t xml:space="preserve"> Request for Quotation for the Procurement of 2 Units Egg Incubator with Hatcher to be distributed to Farmer Associations in Ubay, Bohol in support to the Poultry Production in the Province under PEAF sub-program 1.	The Department of Agriculture-Regional F</t>
  </si>
  <si>
    <t xml:space="preserve"> Scope of Work: A. AMPHITHEATER CLEACHER   I. Steel Works   II. Carpentry Works B. PWD RAMP OF MUNICIPAL BUILDING   I. Earth Works   II. Concrete Works (Footing, Column, Beam, Slab)   III. Form Works   IV. Steel Works C. TRANSFORMER PEDESTAL PAD   I. Earth</t>
  </si>
  <si>
    <t xml:space="preserve"> Republic of the Philippines Local Government Unit of General Santos City BIDS AND AWARDS COMMITTEE City Hall, General Santos City INVITATION TO APPLY FOR ELIGIBILITY AND TO BID FOR 20CW-GSC-022 ESTABLISHMENT OF ORGANIC TRADING POST CITY OF GENERAL SANTOS </t>
  </si>
  <si>
    <t xml:space="preserve"> Republic of the Philippines Province of Ilocos Sur Municipality of Magsingal INVITATION TO BID FOR THE CONSTRUCTION OF WATER RESERVOIR OF BRGY. MACATCATUD, MAGSINGAL, I. SUR. 1. The Brgy. Macatcatud Magsingal, I. Sur intend to apple the sum of Two Hundred</t>
  </si>
  <si>
    <t xml:space="preserve"> Republic of the Philippines										 BIDS AND AWARDS COMMITTEE										 Province of Iloilo										 										 INVITATION TO BID										 Purchase and Delivery of Construction Materials for the Construction of Water System in Brgy. Poblacion Zone 1, T</t>
  </si>
  <si>
    <t xml:space="preserve"> The Municipal Government of Aloguinsan invites prospective bidders to bid for the project Supply and Delivery of Family Planning Commodities Source of Fund: General Fund FY 2020 ABC: Php 350,000.00 The complete schedule of activities will be as follows: 1</t>
  </si>
  <si>
    <t xml:space="preserve"> Request for Quotation for the Procurement of 1 Unit Generator to be used as Alternative and Emergency Power Supply Source for a Continuous Operations of Livestock Projects at NORDC Siaton, Negros Oriental 1.	The Department of Agriculture-Regional Field Of</t>
  </si>
  <si>
    <t xml:space="preserve"> The Municipal Government of Aloguinsan invites prospective bidders to bid for the project Supply and Delivery of Medical Supplies. Source of Fund: GEN. FUND FY 2020 ABC: Php 262,480.00 The complete schedule of activities will be as follows: 1. Submission </t>
  </si>
  <si>
    <t xml:space="preserve"> Republic of the Philippines										 BIDS AND AWARDS COMMITTEE										 Province of Iloilo										 										 INVITATION TO BID										 Purchase and Delivery of Construction Materials for the Construction of Elevated Concrete Water Tank in Brgy. Iga</t>
  </si>
  <si>
    <t xml:space="preserve"> various goods and supplies</t>
  </si>
  <si>
    <t xml:space="preserve"> Item No.		QTY			UNIT			ITEM &amp; DESCRIPTION																	 																									 		Construction of Municipal Hall Compound Perimeter Fence/Gates &amp; Installation 																							 		of slidingwindows &amp; re-painting of Municipal Hall Buildings.					</t>
  </si>
  <si>
    <t xml:space="preserve"> Request for Quotation for the Procurement of Seedling Tray to be used for the Vegetable Production Project in Negros Oriental 1.	The Department of Agriculture-Regional Field Office 7 (DA-RFO 7), through the General Appropriations Act of CY 2020)  intends </t>
  </si>
  <si>
    <t xml:space="preserve"> INVITATION TO BID FOR  SUPPLY &amp; DELIVERY OF VARIOUS MEDICINES (3rd QUARTER) FOR USE IN  MUNICIPAL HEALTH OFFICE VILLASIS, PANGASINAN 	 		 1.	The Local Government of Villasis, Pangasinan, through General Fund , intends to apply the sum of Four hundred Nine</t>
  </si>
  <si>
    <t xml:space="preserve"> INVITATION TO BID Land Survey and Mapping Projects 1.	The DAR-IV-A, Quezon II Provincial Office, through its Bids and Awards Committee (BAC), invites interested Bidders/GE Contractors to apply for Eligibility and Shortlisting and if subsequently found eli</t>
  </si>
  <si>
    <t xml:space="preserve"> Invitation to Bid for Construction of Dome Shape Gymnasium for Senior High School - at San Nicolas 3 (Greenvalley) City of Bacoor (Repost) 1.	The City Government of Bacoor, Cavite, through the SPP 2019 (S) - LSB -02 SEF Supplemental #2 intends to apply th</t>
  </si>
  <si>
    <t xml:space="preserve"> Republic of the Philippines Province of Cagayan Municipality of Baggao INVITATION TO BID FOR THE PROCUREMENT OF GOODS The Barangay Ibulo, Baggao, Cagayan, through the 20% BDF CY 2020 intends to apply the sum of Ninety Seven Thousand Four Hundred Eighteen </t>
  </si>
  <si>
    <t xml:space="preserve"> Republic of the Philippines Province of Cagayan Municipality of Baggao INVITATION TO BID FOR THE PROCUREMENT OF GOODS The Barangay San Jose, Baggao, Cagayan, through the Provincial Assistance CY 2018 intends to apply the sum of  Two Hundred Eighty Eight T</t>
  </si>
  <si>
    <t xml:space="preserve"> TERMS AND CONDITIONS: •	The details listed below are the end-user’s minimum specifications/requirements and must be complied on a pass/fail basis. •	Suppliers/Bidders shall provide correct and accurate information required in this form •	Prices must be qu</t>
  </si>
  <si>
    <t xml:space="preserve"> Pakyaw Labor etc. NOTE:To all bidders bid documents and BAC Resolution 2020-029 are available at BAC Office and LGU website.</t>
  </si>
  <si>
    <t xml:space="preserve"> The Municipal Government of Aloguinsan invites prospective bidders to bid for the project Supply and Delivery of Medicines &amp; Psychotropic Drugs. Source of Fund: GEN. FUND FY 2020 ABC: Php 1,659,930.00 The complete schedule of activities will be as follows</t>
  </si>
  <si>
    <t xml:space="preserve"> 20GM00150 – Rental of Service Vehicle for Roads and Bridges Investigation Activities for DPWH Projects (July 1-15, 2020) (Equipment Rental Only)</t>
  </si>
  <si>
    <t xml:space="preserve"> City Government of Manila INVITATION TO BID  NO. 2020-06-46A Procurement of one (1) lot Laboratory Examinations and Diagnostic  Procedures Send Out for 2020 1.	The City Government of Manila, through the General Fund CY 2020 – Other Maintenance and Operati</t>
  </si>
  <si>
    <t xml:space="preserve"> 1.	1 unit brand new PICK UP VEHICLE  Color Black customized with emergency equipment and  apparatus (emergency siren with speakers, Flood lights, strobe lights, emergency medical kit, rescue towing rope (2500kg towing capacity), overhead carrier, two-way </t>
  </si>
  <si>
    <t xml:space="preserve"> Installation and Implementation of Pre-Developed and customized Application Systems-Phase II NOTE: To all suppliers bid documents and BAC Resolution 2020-029 are available at BAC Office and LGU website.</t>
  </si>
  <si>
    <t xml:space="preserve"> Multiple Long Line etc. NOTE:To all suppliers bid documents  and BAC Resolution  2020-029 are available at BAC Office and LGU website.</t>
  </si>
  <si>
    <t xml:space="preserve"> Invitation to Bid for the Poblacion – Dicklum Water System – Phase I 1.	The Local Government Unit of Manolo Fortich, through the Special Trust Fund intends to apply the sum of TWELVE MILLION NINETY THREE THOUSAND FIVE HUNDRED NINETY SIX PESOS (PhP 12,093,</t>
  </si>
  <si>
    <t xml:space="preserve"> Invitation to Bid for Upgrading of Electrical Installation at Talaba Elementary School (Repost) 1.	The City Government of Bacoor, Cavite, through the SPP 2018(S)-LSB-01 (SEF 2018) intends to apply the sum of ONE MILLION TWO HUNDRED THOUSAND PESOS AND ZERO</t>
  </si>
  <si>
    <t xml:space="preserve"> Invitation to Bid for Construction of School Building Digman Elementary School at Digman Bacoor City, Cavite (Repost) 1.	The City Government of Bacoor, Cavite, through the APP 2019 - Annex C (LSB 2019) intends to apply the sum of SIX MILLION EIGHT HUNDRED</t>
  </si>
  <si>
    <t xml:space="preserve"> INVITATION TO BID IB No. 13 S. 2020 The Municipality of General Nakar, Quezon through the Approved Appropriation Ordinance No. 2019-29  appropriating funds for the Annual Budget CY 2020 intends to apply the sum of One Million Pesos (PhP1,000,000.00) being</t>
  </si>
  <si>
    <t xml:space="preserve"> Republic of the Philippines Province of Cagayan Municipality of Baggao INVITATION TO BID FOR THE PROCUREMENT OF GOODS The Barangay San Jose, Baggao, Cagayan, through the 20% Barangay Development Fund CY 2019 intends to apply the sum of  One Hundred Six Th</t>
  </si>
  <si>
    <t xml:space="preserve"> INVITATION TO BID IB No. 15 S. 2020 The Municipality of General Nakar, Quezon through the Approved Appropriation Ordinance No. 2019-29  appropriating funds for the Annual Budget CY 2020 intends to apply the sum of Five Hundred Thousand Pesos (PhP500,000.0</t>
  </si>
  <si>
    <t xml:space="preserve"> INVITATION TO BID IB No. 14 S. 2020 The Municipality of General Nakar, Quezon through the Approved Appropriation Ordinance No. 2019-29  appropriating funds for the Annual Budget CY 2020 intends to apply the sum of Seven Hundred Fifty Thousand Pesos (PhP75</t>
  </si>
  <si>
    <t xml:space="preserve"> Republic of the Philippines Province of Leyte BRGY. POBLACION ZONE 1, CAPOOCAN, LEYTE -oOo- BIDS AND AWARD COMMITTEE INVITATION TO BID  FOR THE PROCUREMENT OF CCTV 1.	The Brgy. Poblacion Zone I Capoocan, Leyte, through the 20% Development Funds of 2020 in</t>
  </si>
  <si>
    <t xml:space="preserve"> INVITATION TO BID The Municipal Government of San Narciso, Quezon through its Bids and Award Committee (BAC), invites registered suppliers with DTI, Mayor’s Permit and PhilGEPS, if found eligible, to bid or the hereunder contract: Name of Contract : 	Supp</t>
  </si>
  <si>
    <t xml:space="preserve"> Construction of MPP at Lower Collog, Junction, Pinukpuk</t>
  </si>
  <si>
    <t xml:space="preserve"> Republic of the Philippines Province of Batangas Municipality of San Juan BIDS AND AWARDS COMMITTEE INVITATION TO BID THE LOCAL GOVERNMENT UNIT OF SAN JUAN, BATANGAS, through its Bids and Awards Committee (BAC), invites registered PhilGEPS suppliers/distr</t>
  </si>
  <si>
    <t xml:space="preserve"> INVITATION TO BID IB No. 12 S. 2020 The Municipality of General Nakar, Quezon through the Approved Appropriation Ordinance No. 2018-38 appropriating funds for the Annual Budget CY 2019 intends to apply the sum of Five Hundred Thousand Pesos (PhP500,000.00</t>
  </si>
  <si>
    <t xml:space="preserve"> Republic of the Philippines City of Cagayan de Oro BIDS AND AWARDS COMMITTEE  INVITATION TO BID  FOR  Supply and Delivery of One (1) Unit Dropside Truck; PR No. 20-1367 dated 01 April 2020; SN 127 - 2020 1.	The City Government of Cagayan de Oro, through G</t>
  </si>
  <si>
    <t xml:space="preserve"> Republic of the Philippines Province of Cagayan Municipality of Baggao INVITATION TO BID FOR THE PROCUREMENT OF GOODS The Barangay Asinga-Via, Baggao, Cagayan, through the 20% BDF CY 2020 intends to apply the sum of Two Hundred Forty Nine Thousand Three H</t>
  </si>
  <si>
    <t xml:space="preserve"> INVITATION TO BID  SUPPLY AND DELIVERY OF CONSTRUCTION MATERIALS FOR THE CONSTRUCTION OF CONCRETE BRIDGE LOCATED AT PUROK 2, SITIO SUPON, ALEGRIA, SAN FRANCISCO, AGUSAN DEL SUR 1.	The LGU BARANGAY ALEGRIA OF SAN FRANCISCO, AGUSAN DEL SUR, through the BIDS</t>
  </si>
  <si>
    <t xml:space="preserve"> Invitation to Bid  For the Construction of Three (3) Storey 6 Classroom with Demolition at A. Mirasol Elementary School, mandurriao, Iloilo City 1.	The City of Iloilo, through the 20% Development Fund, CY2019 intends to apply the sum of Twenty One Million</t>
  </si>
  <si>
    <t xml:space="preserve"> Invitation to Bid  For the Installation of Street Lighting System at Brgy. Punong, Lapuz, Iloilo City 1.	The City of Iloilo, through the 20% Development Fund, CY2019 intends to apply the sum of Five Hundred Thousand Pesos (Php 500,000.00) being the Approv</t>
  </si>
  <si>
    <t xml:space="preserve"> Invitation to Bid  For the Installation of Street Lighting System at Brgy. Ingore, Lapaz, Iloilo City 1.	The City of Iloilo, through the 20% Development Fund, CY2019 intends to apply the sum of Eight Hundred Thousand Pesos (Php 800,000.00) being the Appro</t>
  </si>
  <si>
    <t xml:space="preserve"> SUPPLY AND DELIVERY OF VARIOUS OFFICE SUPPLIES FOR OFFICIAL USE OF CENRO SOCORRO Delivery Period: within 30 days See Attached Request for Quotation for the items to be procured. Interested Supplier shall submit the filled-up RFQ Form together with a copy </t>
  </si>
  <si>
    <t xml:space="preserve"> [BLGU-Brgy. Ward I-SAN ANTONIO, N. SAMAR] Invitation to Bid for [ INFRASTRUCTURE PROJECTS –Improvement Multipurpose Building] 1.	The [BLGU-Brgy. Ward I-SAN ANTONIO], through the [GENERAL FUND]  intends to apply the sum of [THREE HUNDRED THOUSAND PESOS ONL</t>
  </si>
  <si>
    <t xml:space="preserve"> Installation of Ceiling</t>
  </si>
  <si>
    <t xml:space="preserve"> INVITATION TO BID The Municipal Government of San Narciso, Quezon through its Bids and Award Committee (BAC), invites registered suppliers with DTI, Mayor’s Permit and PhilGEPS, if found eligible, to bid or the hereunder contract: Name of Contract : 	Inst</t>
  </si>
  <si>
    <t xml:space="preserve"> Invitation to Bid  For the Construction/Rehabilitation of Existing Drainage System at Brgy. Loboc, lapuz, Iloilo City 1.	The City of Iloilo, through the 20% Development Fund, CY2019 intends to apply the sum of Five Hundred Thousand Pesos (Php 500,000.00) </t>
  </si>
  <si>
    <t xml:space="preserve"> Invitation to Bid  For the Construction/Rehabilitation of Existing Drainage System at Brgy. Don Esteban, Lapuz, Iloilo City 1.	The City of Iloilo, through the 20% Development Fund, CY2019 intends to apply the sum of One Million Pesos (Php 1,000,000.00) be</t>
  </si>
  <si>
    <t xml:space="preserve"> Invitation to Bid  For the Rehabilitation/Construction of Public Alley at Brgy. Concepcion, City Proper, Iloilo City 1.	The City of Iloilo, through the 20% Development Fund, CY2019 intends to apply the sum of Seven Hundred Fifty Thousand Pesos (Php 750,00</t>
  </si>
  <si>
    <t xml:space="preserve"> Invitation to Bid  For the Fabrication and Installation of Grills in Classrooms of Four (4) Storey Building at Fort San Pedro National High School, Iloilo City 1.	The City of Iloilo, through the SEF, CY2018 intends to apply the sum of Six Hundred Sixty Th</t>
  </si>
  <si>
    <t xml:space="preserve"> Invitation to Bid  For the Repair of Classrooms at Sambag Elementary School, Jaro, Iloilo City 1.	The City of Iloilo, through the SEF Capital Outlay SB No. 1, CY2018 intends to apply the sum of Three Million Four Hundred Thousand Pesos (Php 3,400,000.00) </t>
  </si>
  <si>
    <t xml:space="preserve"> Invitation to Bid  For the Construction/Rehabilitation of Existing Drainage System at Brgy. Tabuc Suba, Jaro, Iloilo City 1.	The City of Iloilo, through the 20% ADF, CY2019 intends to apply the sum of Two Million Five Hundred Thousand Pesos (Php 2,500,000</t>
  </si>
  <si>
    <t xml:space="preserve"> Invitation to Bid  For the Rehabilitation of All Gabaldon Building at Iloilo Central Elementary School, City Proper, Iloilo City 1.	The City of Iloilo, through the SEF Capital Outlay SB No. 2, CY2019 intends to apply the sum of Seven Million Pesos (Php 7,</t>
  </si>
  <si>
    <t xml:space="preserve"> To Provide Security Services for Silay City Water District (Office) for the period July 1 to December 31, 2020 1. THREE (3) GUARDS AT SICIWA OFFICE. 2. SCHEDULE OF DUTY: - EVERY 8 HOURS SHIFT - 24 HOURS &amp; 7 DAYS A WEEK Other Information: Please Indicate i</t>
  </si>
  <si>
    <t xml:space="preserve"> Invitation to Bid  For the Construction/Rehabilitation of Existing Drainage System at Brgy. San Isidro, Lapaz, Iloilo City 1.	The City of Iloilo, through the 20% Development Fund, CY2019 intends to apply the sum of One Million Pesos (Php 1,000,000.00) bei</t>
  </si>
  <si>
    <t xml:space="preserve"> Invitation to Bid  For the Construction of ICARE Center at Time Square Gaisano, Gaisano Time Square Center Compound, B. Aquino Ave. Mandurriao, Iloilo City 1.	The City of Iloilo, through the General Fund SB No. 3, CY2019 intends to apply the sum of Thirty</t>
  </si>
  <si>
    <t xml:space="preserve"> Invitation to Bid  For the Construction/Rehabilitation/Repair/Widening of Roads at Brgy. Claudio Castilla, EL-98, Jaro, Iloilo City 1.	The City of Iloilo, through the 20% Development Fund, CY2020 intends to apply the sum of Two Million Seven Hundred Sixty</t>
  </si>
  <si>
    <t xml:space="preserve"> Republic of the Philippines Province of Ilocos Norte MUNICIPALITY OF PIDDIG BARANGAY ANAO INVITATION TO BID FOR Supply and Delivery of Construction Supplies and Materials for the various projects of Brgy. Anao 1. The Barangay Council of Anao through the  </t>
  </si>
  <si>
    <t xml:space="preserve"> BIDS AND AWARDS COMMITTEE REQUEST FOR QUOTATION The Local Government Unit of Labason, Z.N., invites all interested registered supplier to submit quotation for the Purchase of One (1) Unit 1.5 HP Air Condition for DILG Office: Approved Budget for the Contr</t>
  </si>
  <si>
    <t xml:space="preserve"> Invitation to Bid  For the Construction of Two (2) Storey Eight (8) Classrooms Building at N.J. Elementary School, Lapaz, Iloilo City 1.	The City of Iloilo, through the SEF Capital Outlay, CY2019 intends to apply the sum of Nineteen Million Pesos (Php 19,</t>
  </si>
  <si>
    <t xml:space="preserve"> BIDS AND AWARDS COMMITTEE REQUEST FOR QUOTATION The Local Government Unit of Labason, Z.N., invites all interested registered supplier to submit quotation for the Purchase of IT Equipments for HRMO: Approved Budget for the Contract (ABC):  33,000.00 Sourc</t>
  </si>
  <si>
    <t xml:space="preserve"> Invitation to Bid  For the Completion of Two (2) Storey Building Six (6) Classrooms at Uswag San Isidro Elementary School, Jaro, Iloilo City 1.	The City of Iloilo, through the SEF Capital Outlay SB No. 1, CY2018 intends to apply the sum of Four Million Fi</t>
  </si>
  <si>
    <t xml:space="preserve"> To Provide Security Services for Silay City Water District (NHA 1/Yolanda Pumping Station) for the period July 1 to December 31, 2020 1. ONE (1) GUARD AT NHA 1/YOLANDA PUMPING STATION 2. SCHEDULE OF DUTY: - 12 HOURS SHIFT - FROM 6PM TO 6AM THE NEXT DAY Ot</t>
  </si>
  <si>
    <t xml:space="preserve"> To Provide Security Services for Silay City Water District (Bon-Bon Pumping Station) for the period July 1 to December 31, 2020 1. ONE (1) GUARD AT BON-BON PUMPING STATION 2. SCHEDULE OF DUTY: - 12 HOURS SHIFT - FROM 6PM TO 6AM THE NEXT DAY Other Informat</t>
  </si>
  <si>
    <t xml:space="preserve"> Invitation to Bid  For the Construction/Rehabilitation/Repair/Widening of Roads at Brgy. Tabuc Suba (Urban Poor Village Petals Ville) Jaro, Iloilo City 1.	The City of Iloilo, through the 20% Development Fund, CY2020 intends to apply the sum of Three Milli</t>
  </si>
  <si>
    <t xml:space="preserve"> PB NO. 2020-033		 			 1.	1	lot	Proposed Additional Floor and its completion of Dormitory Type Hotel at Brgy. San Jose, San Pablo City. 			By: Contract 			 	Deadline for Submission of Bids: July 1, 2020 10:00 am</t>
  </si>
  <si>
    <t xml:space="preserve"> To Provide Security Services for Silay City Water District (St. Francis Villa Rosario Pumping Station) for the period July 1 to December 31, 2020 1. ONE (1) GUARD AT ST. FRANCIS VILLA ROSARIO (SFVR) PUMPING STATION 2. SCHEDULE OF DUTY: - 12 HOURS SHIFT - </t>
  </si>
  <si>
    <t xml:space="preserve"> REQUEST FOR EXPRESSION OF INTEREST (REI) FOR CONDUCT OF RELOCATION SURVEY OF ROAD-RIGHT-OF-WAY (RROW) OF MUNICIPALITIES OF KINOGUITAN, BALINGOAN AND TALISAYAN, ALL BARANGAYS ALONG BUTUAN-CAGAYAN DE ORO-ILIGAN ROAD (BCIR) WITHIN MUNICIPALITIES OF KINOGUITA</t>
  </si>
  <si>
    <t xml:space="preserve"> City Government of Manila INVITATION TO BID NO. 2020-06-65A Procurement of Various Office Supplies 1.	The City Government of Manila, through the General Fund CY 2020 – Office Supplies Expenses intends to apply the sum of Two Million Three Hundred Seven Th</t>
  </si>
  <si>
    <t xml:space="preserve"> PLEASE SEE ATTACHED ITB.</t>
  </si>
  <si>
    <t xml:space="preserve"> City Government of Manila INVITATION TO BID NO. 2020-06-55A Procurement of Various I.T. Equipment 1.	The City Government of Manila, through the General Fund CY 2020 – Information &amp; Communication Technology Equipment (Capital Outlay) intends to apply the s</t>
  </si>
  <si>
    <t xml:space="preserve"> Invitation to Bid  For the Construction/Rehabilitation/Repair/Widening of Roads at ICAG Road, Molo, Iloilo City 1.	The City of Iloilo, through the 20% Development Fund, CY2020 intends to apply the sum of Two Million Pesos (Php 2,000,000.00) being the Appr</t>
  </si>
  <si>
    <t xml:space="preserve"> ITEM NO.                        DESCRIPTION                         UNIT     QUANTITY SPL 1         Mobilization &amp; Demobilization                         lot          1.00 SPL 2         Construction Safety and Health Program         lot          1.00 SPL </t>
  </si>
  <si>
    <t xml:space="preserve"> Republic of the Philippines City of Cagayan de Oro BIDS AND AWARDS COMMITTEE Invitation to Bid  for Completion of City Hospital - Lumbia (Phase II); SN 128 - 2020 ` 1.	The City Government of Cagayan de Oro, through the Current Appropriation, Annual Budget</t>
  </si>
  <si>
    <t xml:space="preserve"> City Government of Manila INVITATION TO BID NO. 2020-06-56A Procurement of Food and Drinks 1.	The City Government of Manila, through the General Fund CY 2020 – Extraordinary &amp; Miscellaneous Expenses intends to apply the sum of Two Million Pesos Only (Php2</t>
  </si>
  <si>
    <t xml:space="preserve"> City Government of Manila INVITATION TO BID NO. 2020-06-51A Procurement of Thirty-One (31) Air Conditioning Units 1.	The City Government of Manila, through the General Fund CY 2020 – Office Equipment intends to apply the sum of Two Million Four Hundred Fi</t>
  </si>
  <si>
    <t xml:space="preserve"> Republic of the Philippines Province of Negros Occidental Bids &amp; Awards Committee Bacolod City INVITATION TO BID  The Provincial Government of Negros Occidental through its Bids and Awards Committee [BAC] invites interested bidders to apply for eligibilit</t>
  </si>
  <si>
    <t xml:space="preserve"> ANNEX A” 		 Price Quotation Form Date:____________________ The BAC Chairperson PMMA Complex, San Narciso, Zambales Sir/Madam: After having carefully read and accepted the terms and conditions in the Request for Quotation, hereunder is our quotation/s for </t>
  </si>
  <si>
    <t xml:space="preserve"> SCOPE OF WORK IN EACH BARANGAY: I. STRUCTURE EXCAVATION 1.15 CU.M. II. CONCRETE WORKS 0.96 CU.M. III. INSTALLATION OF STEEL POST &amp; SOLAR LIGHTS  5 UNITS IV. PAINTING WORKS 1 LOT</t>
  </si>
  <si>
    <t xml:space="preserve"> OPENING OF BIDS IN DSWD FO IX ZAMBOANGA CITY		 DELIVERY IN DSWD-AVRC III MAMPANG, ZAMBOANGA CITY		 PROCUREMENT FOR THE FF.:		 		 1	UNIT	SPHYGMOMANOMETER (POTABLE WITH WHEEELS) 1	UNIT	BP APPARATUS (ANEROID) 1	UNIT	STETHOSCOPE, GOOD QUALITY 2	UNIT	THERMO SC</t>
  </si>
  <si>
    <t xml:space="preserve"> INVITATION TO BID Improvement of Canal Service Roads 1.	 The NIA-MARIIS Division II, through the GAA CY  2019  intends to apply the sum of Two Million Seven Hundred Forty Thousand Five Hundred Fifteen Pesos &amp; Sixty Four  Centavos (₱2,745,515.64) being the</t>
  </si>
  <si>
    <t xml:space="preserve"> Republic of the Philippines PROVINCE OF SOUTHERN LEYTE Municipality of San Juan BIDS AND AWARD COMMITTEE INVITATION TO BID FOR  Supply and Delivery of DOLE KABUHAYAN PROGRAM for Native Children and Egg Production The Municipality of San Juan through the D</t>
  </si>
  <si>
    <t xml:space="preserve"> INVITATION TO BID Improvement of Canal Service Roads 1.	 The NIA-MARIIS Division II, through the GAA CY  2019  intends to apply the sum of Two Million Two Thousand Five Hundred Eighty Three Pesos &amp; Seventy Six  Centavos (₱2,002,583.76) being the Approved </t>
  </si>
  <si>
    <t xml:space="preserve"> 200       pcs        PPE Suit with Hood             179,000.00                                                       Tota:    179,000.00</t>
  </si>
  <si>
    <t xml:space="preserve"> Repair and Maintenance of Breastfeeding Room for Lactating Mothers</t>
  </si>
  <si>
    <t xml:space="preserve"> 1. The  Municipality  of   Laua-an,  Antique   intends  to  apply  the  sum   of One Million Two Hundred Thousand Two Hundred Forty Eight Pesos Only (Php1,200,248.00) being the Approved  Budget  for the  Contract  (ABC) to payments under the contract Purc</t>
  </si>
  <si>
    <t xml:space="preserve"> Compact Disc Recordable Compact Disc Rewritable Continous Forms, 11 x 14 7/8 - 3 Ply Ink, HP 678, Black Ink, HP 678, Colored Ink, Rizograph Ink, Toner for Xerox Machine Master Roll Stencil for Rizograph (100 cuts) Ink, "790 Canon Pixma, BK Ink, "790 Canon</t>
  </si>
  <si>
    <t xml:space="preserve"> Lot 4 Organic Fertilizer (50kg/bag) - 100 bag Urea (50kg/bag) - 40 bag Complete Fertilizer (50kg/bag) - 30 bag 0-0-60 (50 kg/bag) - 10 bag Pesticide (1L) - 10 liter Herbicide (1L) - 10 liter Fungicide (10pcs/pack) - 10 pack Sack (50kg capacity, netted) - </t>
  </si>
  <si>
    <t xml:space="preserve"> INVITATION TO APPLY FOR ELIGIBILITY AND TO BID The Local Government Unit-Barangay Salog, Sorsogon City throught its Bids and Awards Committee (BAC), invites suppliers registered with and classified by the Department of Trade and Industry(DTI), to bid for </t>
  </si>
  <si>
    <t xml:space="preserve"> I. Well Development II. Electrical Works</t>
  </si>
  <si>
    <t xml:space="preserve"> Paper, Pilot Bond Paper Long, Subst. 20  Paper, Hard Copy, Long, Subst. 20 Paper, Hard Copy, Short, Subst. 20 Paper, Pilot Bond Paper Short, Subst. 20</t>
  </si>
  <si>
    <t xml:space="preserve"> Invitation To Bid The Barangay Pinagbobongof Tabaco City through the Bids and Awards Committee (BAC) invites suppliers to bid for the hereunder contract: Name of Contract: Procurement of Materials for the Rehabilitation of Barangay Roads Location: Pinagbo</t>
  </si>
  <si>
    <t xml:space="preserve"> Lot 2 Organic Fertilizer (50kg/bag) - 100 bag Urea (50kg/bag) - 40 bag Complete Fertilizer (50kg/bag) - 30 bag 0-0-60 (50 kg/bag) - 10 bag Pesticide (1L) - 10 liter Herbicide (1L) - 10 liter Fungicide (10pcs/pack) - 10 pack Sack (50kg capacity, netted) - </t>
  </si>
  <si>
    <t xml:space="preserve"> Procurement of Hygiene and Sanitation Supplies</t>
  </si>
  <si>
    <t xml:space="preserve"> Republic of the Philippines Province of Masbate Municipality of Monreal BARANGAY FAMOSA BIDS AND AWARDS COMMITTEE INVITATION TO BID  									June 11, 2020 	The Barangay Local Government Unit of Famosa, Monreal, Masbate through its Bids and Awards Committ</t>
  </si>
  <si>
    <t xml:space="preserve"> Supply and Delivery of IT Equipments</t>
  </si>
  <si>
    <t xml:space="preserve"> Construction of Flood Control Project (Gabion Type) Along Paliwan River at Brgy. Guinbanga-an &amp; Jaguiquican, structure excavation, Gabion, Filter Cloth, Mobilization/Demobilization, Project Billboard, Occupational Safety and Health Program</t>
  </si>
  <si>
    <t xml:space="preserve"> 1 UNIT AMBULANCE  PHILIPPINE BIDDING DOCUMENTS Procurement of GOODS Government of the Republic of the Philippines Third Edition October 2009   Preface These Philippine Bidding Documents (PBDs) for the procurement of Goods through Competitive Bidding have </t>
  </si>
  <si>
    <t xml:space="preserve"> 2ND BIDDING CONCRETE FENCING FOR EVACUATION CENTER  Materials: 100 pcs. 10mm dia. DSB 10 kgs. Tie wire 50 bags Portland Cement 1500 pcs. 4" CHB</t>
  </si>
  <si>
    <t xml:space="preserve"> Approved By: REYNALDO VIVIT BAC CHAIRMAN</t>
  </si>
  <si>
    <t xml:space="preserve"> INVITATION TO BID FOR  THE PROCUREMENT FOR THE SUPPLY, DELIVERY, INSTALLATION, TESTING AND COMMISSIONING OF TWO (2) UNITS OF PUMPING EQUIPMENT FOR THE IGACOS WATER DISTRICT’S WATER SUPPLY SYSTEM AND IMRPOVEMENT PROJECT  1.	The Igacos Water District Water </t>
  </si>
  <si>
    <t xml:space="preserve"> 2nd bidding 2 UNITS MOTORCYCLE 125CC</t>
  </si>
  <si>
    <t xml:space="preserve"> CONTRACT NO.: BNLSL-LCB-05A-2019 LOCATION: Labiranan CIP, Dulag, Leyte SCOPE OF WORK: Construction of Canal System APPROVED BUDGET FOR CONTRACT: Php 1,208,392.19 CONTRACT DURATION: 60 calendar days Bidding will be conducted in accordance with relevant pro</t>
  </si>
  <si>
    <t xml:space="preserve"> Republic of the Philippines PROVINCE OF SAMAR Municipality of Pinabacdao Invitation to Bid Repair of Brgy. Mambog Multi-purpose School Building (District Office) Pinabacdao Samar 1. The LOCAL GOVERMENT UNIT of Pinabacdao Samar, through the FY 2020 Budget </t>
  </si>
  <si>
    <t xml:space="preserve"> 300.0     BAGS      PORTLAND CEMENT 34.O       CU.M      SAND 6.0         CU.M      GRAVEL 20.0       PCS.       10MM DEF. BARS 4.0         KGS.       #16 TIE WIRE</t>
  </si>
  <si>
    <t xml:space="preserve"> SUPPLY AND DELIVERY OF BRAND NEW SERVICE VEHICLES, INCLUDING PREVENTIVE MAINTENANCE SERVICE (2 LOTS) LOT 1: SUPPLY AND DELIVERY OF ONE (1) BRAND NEW SERVICE VEHICLE (21 SEATER VAN) WITH PREVENTIVE MAINTENANCE SERVICE LOT 2: SUPPLY AND DELIVERY OF ONE (1) </t>
  </si>
  <si>
    <t xml:space="preserve"> REQUEST FOR QUOTATION										 SUPPLY AND DELIVERY OF  ICT EQUIPMENT										 SMALL VALUE 										 										 INSTRUCTION:									              	 1	1.	Supplies are required to read the instructions and fill all the blanks properly.								 2	2.	The s</t>
  </si>
  <si>
    <t xml:space="preserve"> 3        tank         Oxygen Regulator          4,500.00         13,500.00 3        tank         Oxygen tank                 18,550.00        56,650.00 2        boxes       Face Mask N95                2,800.00          5,600.00 15      boxes       Face M</t>
  </si>
  <si>
    <t xml:space="preserve"> Job Order of 9 units Sliding Window 1.) 4 units Fabrication and Installation of 1/4 thk. Bronze Glass Sliding Window 1 Anodized FD 100 Analok Aluminum Frame 1.25 m x 2.56 m. 4-Sliding Glass Panel 2.) 2 units Fabrication and Installation of 1/4 thk. Bronze</t>
  </si>
  <si>
    <t xml:space="preserve"> REQUEST FOR QUOTATION										 SUPPLY AND DELIVERY OF  FILLING CABINET AND SOFA SET										 SMALL VALUE PROCUREMENT										 										 INSTRUCTION:										               	1.	Supplies are required to read the instructions and fill all the blanks pro</t>
  </si>
  <si>
    <t xml:space="preserve"> REQUEST FOR QUOTATION										 SUPPLY AND DELIVERY OF LED SMART TV										 SMALL VALUE PROCUREMENT										 										 INSTRUCTION:										               	1.	Supplies are required to read the instructions and fill all the blanks properly.								 	2</t>
  </si>
  <si>
    <t xml:space="preserve"> Procurement of Civil Works-Construction of 2 storey building to accommodate PUIs/PUMs</t>
  </si>
  <si>
    <t xml:space="preserve"> Electrode, Bronze NOTE: SEE ATTACHED PRE-PR &amp; RFQ FOR THE COMPLETE SPECS.</t>
  </si>
  <si>
    <t xml:space="preserve"> PURCHASE OF MICRONUTRIENT POWDER FOR COMPREHENSIVE NUTRITION PROGRAM - Order of payment for Bid Docs will be available at GSD-Head Office @ 10th Floor Makati City Hall Bldg. 2.  Look for Mr. Reden Villanueva. - A complete set of Bidding Documents will be </t>
  </si>
  <si>
    <t xml:space="preserve"> SUPPLY AND DELIVERY OF BRAND NEW MOTORCYCLE WITH SINGLE PASSENGER SIDE CAR - Order of payment for Bid Docs will be available at GSD-Head Office @ 10th Floor Makati City Hall Bldg. 2.  Look for Mr. Reden Villanueva. - A complete set of Bidding Documents wi</t>
  </si>
  <si>
    <t xml:space="preserve"> SUPPLY AND DELIVERY OF JANITORIAL AND CLEANING SUPPLIES FOR VARIOUS DEPARTMENTS/OFFICES IN THE CITY GOVERNMENT OF MAKATI - Order of payment for Bid Docs will be available at GSD-Head Office @ 10th Floor Makati City Hall Bldg. 2.  Look for Mr. Reden Villan</t>
  </si>
  <si>
    <t xml:space="preserve"> SUPPLY AND DELIVERY OF VARIOUS INSTRUMENTS/EQUIPMENT FOR MAKATI HEALTH DEPARTMENT - Order of payment for Bid Docs will be available at GSD-Head Office @ 10th Floor Makati City Hall Bldg. 2.  Look for Mr. Reden Villanueva. - A complete set of Bidding Docum</t>
  </si>
  <si>
    <t xml:space="preserve"> SUPPLY AND DELIVERY OF GROCERY SUPPLIES FOR VARIOUS OFFICES OF THE CITY GOVERNMENT OF MAKATI - Order of payment for Bid Docs will be available at GSD-Head Office @ 10th Floor Makati City Hall Bldg. 2.  Look for Mr. Reden Villanueva. - A complete set of Bi</t>
  </si>
  <si>
    <t xml:space="preserve"> Republic of the Philippines CITY OF BAIS BIDS AND AWARDS COMMITTEE INVITATION TO APPLY FOR ELIGIBILITY AND TO BID 	The City Government of Bais invites interested bidders to apply for eligibility and to bid to provide essential non-communicable disease pre</t>
  </si>
  <si>
    <t xml:space="preserve"> The MUNICIPALITY OF CALINTAAN, through the 20% Local Development Fund intends to apply the sum of One Million One Hundred  Fifty Thousand Pesos Only (Php1,150,000.00) being the Approved Budget for the Contract (ABC) to payment  under the contract for the </t>
  </si>
  <si>
    <t xml:space="preserve"> Republic of the Philippines CITY OF BAIS BIDS AND AWARDS COMMITTEE INVITATION TO APPLY FOR ELIGIBILITY AND TO BID 	The City Government of Bais invites interested bidders to apply for eligibility and to bid for Distribution to patients in various barangays</t>
  </si>
  <si>
    <t xml:space="preserve"> Republic of the Philippines CITY OF BAIS BIDS AND AWARDS COMMITTEE INVITATION TO APPLY FOR ELIGIBILITY AND TO BID 	The City Government of Bais invites interested bidders to apply for eligibility and to bid to be used as Assistive Devices to given to Perso</t>
  </si>
  <si>
    <t xml:space="preserve"> PLEASE SEE ATTACHED DOCUMENTS</t>
  </si>
  <si>
    <t xml:space="preserve"> The Barangay Barancuag, Tuao Cagayan through its Supplemental Fund intends to apply the sum of Php 130,000.00  being the Approved Budget for the Contract (ABC) to payments under the contract for Purchased of Motorcycle. Bids received in excess of the ABC </t>
  </si>
  <si>
    <t xml:space="preserve"> SUPPLY AND DELIVERY OF APPLIANCES AND OTHER EQUIPMENT FOR VARIOUS DEPARTMENTS/OFFICES OF THE CITY GOVERNMENT OF MAKATI  - Order of payment for Bid Docs will be available at GSD-Head Office @ 10th Floor Makati City Hall Bldg. 2.  Look for Mr. Reden Villanu</t>
  </si>
  <si>
    <t xml:space="preserve"> Heavy Duty Storage Tub Black (Large) 2 pcs Heavy Duty Storage Tub Black (Medium) 2 pcs Heavy Duty Storage Tub Black (Small) 2 pcs Total Amount: P 10,000.00</t>
  </si>
  <si>
    <t xml:space="preserve"> Republic of the Philippines BIDS AND AWARDS COMMITTEE 9017 Población, El Salvador City Misamis Oriental  Email: bac.elsalvadorcity@gmail.com INVITATION TO BID for the PROCUREMENT OF MATERIALS FOR CONSTRUCTION/REHAB OF WWS PROGRAMS FOR SAN FRANCISCO DE ASI</t>
  </si>
  <si>
    <t xml:space="preserve"> Diesel fuel		ltrs	1378</t>
  </si>
  <si>
    <t xml:space="preserve"> Submission of RFQ = June 18, 2020, 9:00am at Municipal Hall, Casiguran, Sorsogon</t>
  </si>
  <si>
    <t xml:space="preserve"> units		Panasonic AirConditioner 1.5hp Inverter 						3</t>
  </si>
  <si>
    <t xml:space="preserve"> SUPPLY AND DELIVERY OF OFFICE EQUIPMENT AND SUPPLIES FOR VARIOUS DEPARTMENTS/OFFICES OF THE CITY GOVERNMENT OF MAKATI  - Order of payment for Bid Docs will be available at GSD-Head Office @ 10th Floor Makati City Hall Bldg. 2.  Look for Mr. Reden Villanue</t>
  </si>
  <si>
    <t xml:space="preserve"> Rental (Van for Hire) For the Month of August  * for Cotabato City                   (2 Van x 1 trip x Php 5,000.00) * for north cotabato areas        (2Van x 2 Trips  x Php 5,000.00) * for S.K  areas                           ( 2 Van x 2 Trips x Php 5,00</t>
  </si>
  <si>
    <t xml:space="preserve"> The Barangay Cagumitan, Tuao Cagayan through its 20% Barangay Dev’t fund intends to apply the sum of Php 146,420.00 being the Approved Budget for the Contract (ABC) to payments under the contract for Procurement of Materials for the Improvement of Multi-P</t>
  </si>
  <si>
    <t xml:space="preserve"> 2.	Procurement ID/Contract I.D.: 20CN0151 A.	Repair/Maintenance of Pingit Creek Revetment 2 &amp; 3 Flood Control, Brgy. Pingit, Baler, Aurora B.	Repair/Maintenance of Cabatangan River Revetment 2 Flood Control, Brgy. Dikildit, Maria Aurora, Aurora Brief Desc</t>
  </si>
  <si>
    <t xml:space="preserve"> Courier Services for PSO Bukidnon 12months (1year) PR NO. 2020-06-037.</t>
  </si>
  <si>
    <t xml:space="preserve"> 120 bot. Ink Bottle, C13T00V100, black 60 bot. Ink Bottle,  C13T00V100, Cyan, etc.       x-x-x-x-x</t>
  </si>
  <si>
    <t xml:space="preserve"> OUTSOURCING OF BASIC CLINICAL AND DIAGNOSTIC LABORATORY SUPPLIES AND SERVICES THROUGH AN ORDERING AGREEMENT  - Order of payment for Bid Docs will be available at GSD-Head Office @ 10th Floor Makati City Hall Bldg. 2.  Look for Mr. Reden Villanueva. - A co</t>
  </si>
  <si>
    <t xml:space="preserve"> Diesel fuel		ltrs	5442</t>
  </si>
  <si>
    <t xml:space="preserve"> The Barangay Dagupan, Tuao Cagayan through its Supplemental Fund intends to apply the sum of  Php 300,000.00  being the Approved Budget for the Contract (ABC) to payments under the contract for  PURCHASED OF MULTI-CAB/BARANGAY PATROL CAR. Bids received in</t>
  </si>
  <si>
    <t xml:space="preserve"> Standard Form Number: SF-INFR-05 Revised on:  July 29, 2004 INVITATION TO APPLY FOR ELIGIBILITY AND TO BID The LGU of  Barangay I, Mataasnakahoy, Batangas, through its Bids and Award Committee (BAC), invites contractors/suppliers registered with PHILGEPS </t>
  </si>
  <si>
    <t xml:space="preserve"> OUTSOURCING OF IMAGING SERVICES FOR VULNERABLE GROUPS THROUGH AN ORDERING AGREEMENT - Order of payment for Bid Docs will be available at GSD-Head Office @ 10th Floor Makati City Hall Bldg. 2.  Look for Mr. Reden Villanueva. - A complete set of Bidding Doc</t>
  </si>
  <si>
    <t xml:space="preserve"> QTY	UNIT	ITEM DESCRIPTION 		  7,140.00 	cu.m.	Compacted Solid Waste (Garbage) Hauling &amp; Disposal to Contractor's Disposal Site</t>
  </si>
  <si>
    <t xml:space="preserve"> Installation of Street Light (Solar)</t>
  </si>
  <si>
    <t xml:space="preserve"> Procurement of Deep Well Hand Pumps Materials for Zones 3, 5 &amp; 6 of Barangay Banaoang, Sta. Barbara, Pangasinan. List of Materials: 1.) 3 x Units Jetmatic Hand Pump 2.) 33 x Pcs GI Pipe 1 &amp; 1/2 Schedule 40 3.) 33 x Pcs GI Coupling 1 &amp; 1/2 Schedule 40 4.) </t>
  </si>
  <si>
    <t xml:space="preserve"> Republic of the Philippines CITY OF BAIS BIDS AND AWARDS COMMITTEE INVITATION TO APPLY FOR ELIGIBILITY AND TO BID 	The City Government of Bais invites interested bidders to apply for eligibility and to bid to be used at the Evacuation Center during Calami</t>
  </si>
  <si>
    <t xml:space="preserve"> Procurement ID/Contract I.D.: 20CN0152 Contract Name: Repair/Rehabilitation of Slope Protection along National Roads Contract Location: A. Castañeda – Ma. Aurora San Luis Road, K0226+375, K0202+850, Dimasalang Bridge Brief Description: Earthworks, Bridge </t>
  </si>
  <si>
    <t xml:space="preserve"> Standard Form Number: SF-INFR-05 Revised on:  July 29, 2004 INVITATION TO APPLY FOR ELIGIBILITY AND TO BID The LGU of  Barangay Nangkaan, Mataasnakahoy, Batangas, through its Bids and Award Committee (BAC), invites contractors/suppliers registered with PH</t>
  </si>
  <si>
    <t xml:space="preserve"> Contract ID No. :	20CSPH01 Project:	Geotechnical Investigation for Slope Protection Projects along Various Road Sections in Mountain Province for FY 2020 Location:	Various Road Section in Mountain Province Objectives:	To provide important data necessary i</t>
  </si>
  <si>
    <t xml:space="preserve"> The MUNICIPALITY OF CALINTAAN, through the 20% Local Development Fund intends to apply the sum of One Million Three Hundred Thousand Pesos Only (Php1,300,000.00) being the Approved Budget for the Contract (ABC) to payment  under the contract for the Const</t>
  </si>
  <si>
    <t xml:space="preserve"> Procurement ID/Contract I.D.: 20CN0150 Contract Name: Construction of Multi-Purpose Building Contract Location: Brgy. Dibaraybay, Dinalungan, Aurora Brief Description: Civil, Mechanical, Electrical, and Sanitary/Plumbing Works; Earthworks, Plain and Reinf</t>
  </si>
  <si>
    <t xml:space="preserve"> Diesel fuel		ltrs	1875</t>
  </si>
  <si>
    <t xml:space="preserve"> 3 bot. Chlorhexidine, 5g/bot., etc.           x-x-x-x-x</t>
  </si>
  <si>
    <t xml:space="preserve"> Location : Legazpi City, Albay Scope of Work : Concreting of 396.00 l.m. PCCP with Slope Protection Please be reminded that upon dropping of bids, the contractor’s authorized representative must present any but not limited to the following documents: 1.	A</t>
  </si>
  <si>
    <t xml:space="preserve"> QTY	UNIT	ITEM DESCRIPTION 		  1.00 	lot	Clearing  406.00 	cu.m.	Grouted Riprap</t>
  </si>
  <si>
    <t xml:space="preserve"> UNIT COST                           TOTAL COST EMERGENCY LIGHT LED       60 UNIT                4,900.00                               294,000.00 EXIT LIGHT SIGNAGE LED    40 UNIT                4,700.00                               188,000.00           </t>
  </si>
  <si>
    <t xml:space="preserve"> 4	rolls	Masking Tape 24mmx54.8m 2	boxes	Staple Wire #35 300	pcs.	Ballpen (blue) 200	pcs.	Ballpen (black) 65	reams	Bookpaper sub24 or 80gsm legal size 65	reams	Bookpaper sub24 or 80gsm A4 size 175	pcs.	Ordinary Note Book (spiral 40 leaves) 20	bottles	Refil</t>
  </si>
  <si>
    <t xml:space="preserve"> Republic of the Philippines Office of the Municipal Mayor BIDS AND AWARDS COMMITTEE Burgos, Ilocos Sur INVITATION TO BID The Municipal Government of Burgos, Ilocos Sur, through its Bids and Awards Committee (BAC) invites bids for the hereunder contract: 	</t>
  </si>
  <si>
    <t xml:space="preserve"> 120 pcs. 15mm Dry Type Cast Iron Metal Water Meter</t>
  </si>
  <si>
    <t xml:space="preserve"> INVITATION TO BID  for the SUPPLY AND DELIVERY OF  CONSTRUCTION MATERIALS FOR WATER SYSTEM PROJECT 1. The BARANGAY SAN JOAQUIN of Capoocan, Leyte, through its FINANCIAL ASSISTANCE FROM PROVINCE OF LEYTE intends to apply the sum of SIXTY EIGHT THOUSAND TWO</t>
  </si>
  <si>
    <t xml:space="preserve"> QTY	UNIT	ITEM DESCRIPTION 		  1.00 	lot	Clearing  99.87 	cu.m.	Grouted Riprap</t>
  </si>
  <si>
    <t xml:space="preserve"> SCOPE OF WORKS IN EACH BARANGAY: I. EXCAVATION WORKS   29.40 CU.M. II. CONCRETE WORKS 5.08 CU.M. III. MASONRY WORKS 81.60 SQ.M.</t>
  </si>
  <si>
    <t xml:space="preserve"> REQUEST FOR QUOTATION (OPEN CANVASS) Police Regional Office 2 through its Bids and Awards Committee (BAC) invites supplier/manufacturers/distributors/contractors to quote the lowest government price for the hereunder project: Name of the Project	Supply an</t>
  </si>
  <si>
    <t xml:space="preserve"> Laptop with complete accessories		Unit	1 Specification:						 Core i7 7th gen 7700 HQ Quad Core 3.80 ghz			 Max speed (2.80 ghz base speed) 8 Gb			 Ram DDR4, 512Gb ssd+1Tb HDD			 Nvidia GEFORCE GTX 1050 GDDRS 4Gb			 Dedicated + Intel HD 630, 14” Full HD		</t>
  </si>
  <si>
    <t xml:space="preserve"> CONTRACT NO.: MPBRIS-LCB-08A-2019 LOCATION: Mainit RIS, Alangalang, Leyte SCOPE OF WORK: Construction of Canal System APPROVED BUDGET FOR CONTRACT: Php 1,642,033.01 CONTRACT DURATION: 150 calendar days Bidding will be conducted in accordance with relevant</t>
  </si>
  <si>
    <t xml:space="preserve"> 30 CANS RED GOLD TOMATO@25GRAMS 100 PACK/SACHET SWEET PEPPER 30 CANS SQUASH SUPREMA 25GRAMS 200 KLS. MONGGO SUPER YIELD 30 CANS AMPALAYA MESTIZA 50GRAMS 20 CANS WATER MELON BULILIT SWEET 16 (100GRAMS) 100 CANS BULILIT MEGA C</t>
  </si>
  <si>
    <t xml:space="preserve"> The Municipality of President Roxas (MPR), through the 2020 Special Education Fund (SEF), intends to apply the sum of Three Hundred Eighty Thousand Pesos (Php 380,000.00) being the Approved Budget for the Contract (ABC) to payments under the contract for </t>
  </si>
  <si>
    <t xml:space="preserve"> 11	 piece 	TONER CARTRIDGE, HP laserjet M1212nf MFP "85A" 60	 bottle 	Epson refill, original (Black 003) 40	 bottle 	Epson refill (colour M 003) 40	 bottle 	Epson refill (colour C 003) 35	 bottle 	Epson refill  (colour Y 003) 45	 bottle 	ALCOHOL, 70%, eth</t>
  </si>
  <si>
    <t xml:space="preserve"> Procurement of Diesel for Light and Heavy Equipment</t>
  </si>
  <si>
    <t xml:space="preserve"> QTY	UNIT	ITEM DESCRIPTION 		  2.00 	set/s	Installation of Main Service  Entrance  146.00 	set/s	Purchase and Installation of Street Lights 		 		Note: Street Lights 		Brgy. Aguila - 2 set/s 		Brgy. Banaybanay I - 33 set/s 		Brgy. Banaybanay II - 3 set/s 		</t>
  </si>
  <si>
    <t xml:space="preserve"> Multi-Purpose Hall, Farm to Market Road w/ drainage Canal, Flood Control Canal, Farm to Market Road</t>
  </si>
  <si>
    <t xml:space="preserve"> Republic of the Philippines Province of Batangas Municipality of San Juan BIDS AND AWARDS COMMITTEE INVITATION TO APPLY FOR ELIGIBILITY AND TO BID THE LOCAL GOVERNMENT UNIT OF BRGY. PALINGOWAK,  SAN JUAN, BATANGAS, through its Bids and Awards Committee (B</t>
  </si>
  <si>
    <t xml:space="preserve"> OFFICE SUPPLIES FOR SCHOOL MODULES AND OTHER REPORTS NEEDED.</t>
  </si>
  <si>
    <t xml:space="preserve"> Specs: 54  pcs   Angle bar 1/4 x 1 1/2 54  pcs   Flat bar 1/4 x 1 1/2 10  kgs  Small welding rod 1   pc    Grinding disk #4 2   gals.  Sphero laquer black 2   gals  Acrylic thinner 1   pc    Baby roller cotton 1   pc   Paint tray</t>
  </si>
  <si>
    <t xml:space="preserve"> QTY	UNIT	ITEM DESCRIPTION 		  1.00 	l.s.	Cutting of Trees and Vegetation  1.00 	l.s.	Hauling of Materials  370.00 	sq.m.	Concrete Works</t>
  </si>
  <si>
    <t xml:space="preserve"> (Procurement Of Goods) INVITATION TO BID FOR  ONE (1) UNIT BRGY.RESCUE VEHICLE (BONGGO DOUBL CAB) 1.	The Barangay Local Government of Baganian, Tabina, Zamboanga del Sur through the  20% Development Fund for the year 2012-2018 intends to apply the sum of </t>
  </si>
  <si>
    <t xml:space="preserve"> Supply and Delivery of Second Quarter Various Office Supplies with an ABC of Php307,341.95 arranged in three (3) lots: LOT 1. Common Office Supplies/Consumables LOT 2. Computer Supplies LOT 3. Janitorial/Electrical/Housekeeping Supplies For further detail</t>
  </si>
  <si>
    <t xml:space="preserve"> INVITATION TO APPLY FOR ELIGIBILITY AND TO BID The Municipality of San Pablo Province of Zamboanga del Sur, through its Bids and Awards Committee (BAC), invites all interested suppliers/manufacturers/distributors/contractors to apply for eligibility and t</t>
  </si>
  <si>
    <t xml:space="preserve"> concreting of pathway    L 1300m    W 0.50m      Th  0.075m</t>
  </si>
  <si>
    <t xml:space="preserve"> 800	Piece	Disposable Cover All (XL-XXL), ABC 495.00/pc 1200	Piece	Disposable Cover All Regular(Small,Medium,Large), ABC 495.00/pc RFQ#06-0616</t>
  </si>
  <si>
    <t xml:space="preserve"> Purchase of supplies and materials for the maintenance of barangay vehicles.</t>
  </si>
  <si>
    <t xml:space="preserve"> I. REPAIR OF BASKETBALL BOARD 2 UNITS II. INSTALLATION OF BASKETBALL COURT LIGHTS 14. SETS III. REPAIR OF BASKETBALL STEEL FRAME 2 UNITS IV. PAINTING WORKS 1 LOT V. FORM WORKS/SCAFFOLDING 1 LOT</t>
  </si>
  <si>
    <t xml:space="preserve"> INVITATION TO BID FOR THE PURCHASE OF OFFICE ACCESSORIES AND SUPPLIES UNDER SEF  2ND BID OPENING 1.	The Local Government Unit of Manolo Fortich, through the Special Education Fund  intends to apply the sum of Five Hundred Five Thousand Eight Hundred Thirt</t>
  </si>
  <si>
    <t xml:space="preserve"> Construction of Multi-Purpose Hall is funded thru the 2020 20% AIP DF Please be guided by the following schedule: 1. Submission of Letter of Intent - June 22-23, 2020 2. Eligibility Screening - June 25, 2020 3. Issuance and Availability of Bidding Documen</t>
  </si>
  <si>
    <t xml:space="preserve"> REQUEST FOR QUOTATION (RFQ) The MDRRMO  through the Bids and Awards Committee (BAC) of the Municipality of Banaybanay, Davao Oriental hereby notifies and invites you to submit your quotation/bid for the hereunder proposed project/request, viz: SLEEPING GE</t>
  </si>
  <si>
    <t xml:space="preserve"> PLEASE SEE ATTACHED DOCUMENT/S. THANK YOU.</t>
  </si>
  <si>
    <t xml:space="preserve"> BIDS AND AWARDS COMMITTEE ATTENTION:		ALL INTERESTED BIDDERS 			 SUBJECT:	INVITATION TO BID –   Procurement of IT Equipment DATE:	June 9, 2020 - - - - - - - - - - - - - - - - - - - - - - - - - - - - - - - - - - - - - - - - - - - - - - - - - - - - - - - - </t>
  </si>
  <si>
    <t xml:space="preserve"> Available upon request xxxxxxxxxxxxxxxxxxxxx</t>
  </si>
  <si>
    <t xml:space="preserve"> BIDS AND AWARDS COMMITTEE								 REQUEST FOR QUOTATION								 RFQ2020-06-024								 June 9, 2020								 The Civil Service Commission-National capital Region, through its Bids and Awards Committee (BAC), hereby invites all interested suppliers/distribu</t>
  </si>
  <si>
    <t xml:space="preserve"> Please see attached documents</t>
  </si>
  <si>
    <t xml:space="preserve"> 1 UNIT GRASSCUTTER - . - TD40 - w/ complete accessories and tools</t>
  </si>
  <si>
    <t xml:space="preserve"> Flooring of some portion Fabrication &amp; Installation of Steel Matting Concrete Fence around Covered Court</t>
  </si>
  <si>
    <t xml:space="preserve"> DENR-PENRO Davao de Oro Province INVITATION TO BID FOR THE PURCHASE OF ONE (1) 4X4 PICK-UP VEHICLE; 1.	The DENR-PENRO Davao de Oro, through the Department of Budget &amp; Management (GAA) intends to apply the sum of One Million Five Hundred Thousand Pesos P (</t>
  </si>
  <si>
    <t xml:space="preserve"> Desktop PC 8gb RAM or Higher 1TB HD or Higher 2GB Video Card of Hiogher i7 Processor or Higher  HDMI Ready 25'' Widescreen HDMI supported Led Monitor UPS Speaker</t>
  </si>
  <si>
    <t xml:space="preserve"> Corazon Locsin Montelibano Memorial Regional Hospital, through its Bids and Awards Committee, intends to procure MICROBIAL INOCULANT HW 2101 (FOR THE WASTE WATER INFLUENT PRETREATMENT USE), which will be undertaken in accordance with Section 53.9 of the R</t>
  </si>
  <si>
    <t xml:space="preserve"> Procurement of Various Office and IT Equipment of Different Offices - LGU Laak, Davao De Oro with an ABC of Php. 251,271.00.</t>
  </si>
  <si>
    <t xml:space="preserve"> 2,000 pcs Seedling tray (100 holes) Class A 1,500 pcs PE Bag (11" x 11" x 18") 10 rolls Plastic mulch Note: Please attach legal documents and updated PhilGEPS Certificate, failure to submit your bid documents will not be considered for the opening by the </t>
  </si>
  <si>
    <t xml:space="preserve"> Purchase of supplies and materials for the repair and maintenance of Barangay Security Cameras.</t>
  </si>
  <si>
    <t xml:space="preserve"> Supply and Delivery of Medical, Laboratory and Birthing Facility Supplies for the 1st and 2nd Quarter 2020 with an ABC of Php350,000.00 arranged in five (5) lots: LOT 1. Medicines (MOOE) = Php196,852.00 LOT 2. Laboratory Supplies (MOOE) = Php100,317.50 LO</t>
  </si>
  <si>
    <t xml:space="preserve"> REQUEST FOR QUOTATION (RFQ) The MDRRMO  through the Bids and Awards Committee (BAC) of the Municipality of Banaybanay, Davao Oriental hereby notifies and invites you to submit your quotation/bid for the hereunder proposed project/request, viz: TO BE USED </t>
  </si>
  <si>
    <t xml:space="preserve"> Please quote your lowest price on the item(s) listed below, subject to the Terms and Conditions stated below and submit your quotation duly signed by your representative not later than 2:00 P.M. of ________________ in the return envelope attached herewith</t>
  </si>
  <si>
    <t xml:space="preserve"> June 10, 2020 INVITATION TO BID FOR PURCHASE OF IT EQUIPMENT FOR LDRRM GIS MAPPING The Municipality of Magallanes, Cavite, through the Budget for the Contract approved by the Sangguniang Bayan intends to apply the sum of Two Hundred Seventy Nine Thousand </t>
  </si>
  <si>
    <t xml:space="preserve"> 7 pcs Drum for Brother DR3355 7 pcs Drum for Brother HL-6400DW 3 pcs Toner for Brother TN3350 2 pcs Toner for Brother HL-L6400DW</t>
  </si>
  <si>
    <t xml:space="preserve"> 88 kgs Bactericide/Fungicide Note: Please attach legal documents and updated PhilGEPS Certificate, failure to submit your bid documents will not be considered for the opening by the BAC. Please refer to RA 9184-GPPB Revised IRR Series of 2016 Appendix 8: </t>
  </si>
  <si>
    <t xml:space="preserve"> pls see attached RFQ</t>
  </si>
  <si>
    <t xml:space="preserve"> Electronic Components        Tubular LED Lamps    20 pcs    ST8V-0.6m-9W-865-EM    9W-6500K-800lm    220-240V -50/60Hz</t>
  </si>
  <si>
    <t xml:space="preserve"> Republic of the Philippines COMMISSION ON AUDIT Quezon City	REQUEST FOR QUOTATION Procurement And Property &amp; Supply Management Services, General Services Office	 Date Prepared: June 8, 2020 Supplier     :______________________ Address      :______________</t>
  </si>
  <si>
    <t xml:space="preserve"> 1 unit Hammer Mill Specifications: 300 kilos per hour capacity 3hp Electric motor with three (3) different screen Note: Please attach legal documents and updated PhilGEPS Certificate, failure to submit your bid documents will not be considered for the ope</t>
  </si>
  <si>
    <t xml:space="preserve"> Republic of the Philippines DEPARTMENT OF PUBLIC WORKS AND HIGHWAYS CAMARINES SUR 1st DISTRICT ENGINEERING OFFICE REGIONAL OFFICE V Baras, Canaman, Camarines Sur INVITATION TO BID 		FOR 20GFD0007 – Supply and Delivery of Materials for Repair and Maintenan</t>
  </si>
  <si>
    <t xml:space="preserve"> June 10, 2020 INVITATION TO BID FOR REHABILITATION/IMPROVEMENT OF THE MUNICIPAL BUILDING, MAGALLANES, CAVITE The Municipality of Magallanes, Cavite, through the Budget for the Contract approved by the Sangguniang Bayan intends to apply the sum of Three Hu</t>
  </si>
  <si>
    <t xml:space="preserve"> Republika ng Pilipinas PAMAHALAANG LUNGSOD NG TACLOBAN (City Government of Tacloban) Kanhuraw Hill, Tacloban City 6500 BIDS AND AWARDS COMMITTEE INVITATION TO BID  REF #040-06-2020 (JUNE 11, 2020) PR# 2020-181 DATED 02-10-2020 7038486 The Procuring Entity</t>
  </si>
  <si>
    <t xml:space="preserve"> Available upon request xxxxxxxxxxxxxxxxxx</t>
  </si>
  <si>
    <t xml:space="preserve"> REPAIR &amp; IMPROVEMENT OF SCHOOL PATHWAY FOR SENIOR HS 2ND PHASE</t>
  </si>
  <si>
    <t xml:space="preserve"> Portable 3D Printer</t>
  </si>
  <si>
    <t xml:space="preserve"> INVITATION TO BID FOR THE SUPPLY AND DELIVERY OF PIPELINE MATERIALS FOR THE 3rd Quarter and 4th Quarter Operation and Maintenance Requirement @ PS 9 Compound, Sito Maag, Penaplata, Samal District IGaCoS under Purchase Order No. 2020 -03- 097 1.	The IGaCoS</t>
  </si>
  <si>
    <t xml:space="preserve"> SOIL/ GEOTECHNICAL INVESTIGATION FOR THE PROPOSED CONSTRUCTION OF VARIOUS FLOOD CONTROL PROJECTS AND PROPOSED CONSTRUCTION OF BUILDING PROJECT WITHIN 5TH AND 6TH DISTRICT OF PANGASINAN</t>
  </si>
  <si>
    <t xml:space="preserve"> Republic of the Philippines DEPARTMENT OF PUBLIC WORKS AND HIGHWAYS CAMARINES SUR 1st DISTRICT ENGINEERING OFFICE REGIONAL OFFICE V Baras, Canaman, Camarines Sur INVITATION TO BID 		FOR 20GFD0008 – Supply and Delivery of Materials for the Repair and Maint</t>
  </si>
  <si>
    <t xml:space="preserve"> 1 set DESKTOP COMPUTER CORE i5 PROCESSOR COMPATIBLE MOTHERBOARD 4 GB DDR4 RAM MEMORIES 1 TB HDD/DVDRW ATX CASING W/ PSU 19" LED MONITOR KEYBOARD MOUSE 2 unit CPU CORE i5 PROCESSOR COMPATIBLE MOTHERBOARD 4 GB DDR4 RAM MEMORIES 1TB HDD/DVDRW ATX CASING W/ P</t>
  </si>
  <si>
    <t xml:space="preserve"> ITEMNO. 	ITEM  &amp; DESCRIPTION	QTY.	UOM 			 1	Solar Powered LED Streetlights (100w)	20	units 	Specification:		 	LED Power:   100w		 	Voltage:          DC 6.4v		 	CCT:                6500k/P65		 	With:               Remote Control</t>
  </si>
  <si>
    <t xml:space="preserve"> Extension of Main Roofing Finishing of Walls &amp; Columns Construction of Comfort Room  Painting of Walls, Columns &amp; CR</t>
  </si>
  <si>
    <t xml:space="preserve"> a.CONTRACT  ID : ANTIPOLO-01JULY2020-01 b. NAME OF PROJECT : Construction of Stone Masonry Riverwall Along Creek at Antipolo Hills Subdivision, Brgy. San Luis, Antipolo City c. LOCATION : Brgy. San Luis, Antipolo City  d. BRIEF DESCRIPTION : Construction </t>
  </si>
  <si>
    <t xml:space="preserve"> 73 bags NSIC Rc480 Certified Seeds 40kilograms per bag Note: Please attach legal documents and updated PhilGEPS Certificate, failure to submit your bid documents will not be considered for the opening by the BAC.</t>
  </si>
  <si>
    <t xml:space="preserve"> REQUEST FOR QUOTATION The City Government of Malolos, through its BIDS and AWARDS COMMITTEE (BAC) Invites Suppliers/Manufacturers/Distributors to Bid for hereunder procurement:  PR No. : GSO-2020-05-748 Name of Project : PURCHASE OF EQUIPMENT FOR MEDIA &amp; </t>
  </si>
  <si>
    <t xml:space="preserve"> INVITATION TO BID FOR  Procurement of Drugs and Medicines 1.	The Ospital ng Palawan, through its Trust Fund for CY 2020 intends to apply the sum of Five Million Seven Hundred Thirty-Eight Seven Hundred Thirty-Two Pesos and Fifty Cents (5,738,732.50) being</t>
  </si>
  <si>
    <t xml:space="preserve"> Corazon Locsin Montelibano Memorial Regional Hospital, through its Bids and Awards Committee, intends to procure SUPPLY AND INSTALLATION OF 1-UNIT SPLIT WALL MOUNTED INVERTER TYPE AIRCONDITIONER FOR LABORATORY CLINICAL CHEMISTRY, which will be undertaken </t>
  </si>
  <si>
    <t xml:space="preserve"> Invitation to Bid for the   CONSTRUCTION OF DRAINAGE CANAL along Magbanua Street The MUNICIPALITY OF ISULAN, through the MDRRM Fund 2020  intends to apply the sum of ONE MILLION FIVE HUNDRED NINE THOUSAND ONE HUNDRED FIFTY-FOUR PESOS AND 91/100 ONLY (PHP </t>
  </si>
  <si>
    <t xml:space="preserve"> June 10, 2020 INVITATION TO BID FOR CONCRETING OF FARM-TO-MARKET ROAD AT SITIO KAY-APAS, BRGY. MEDINA, MAGALLANES, CAVITE The Municipality of Magallanes, Cavite, through the Budget for the Contract approved by the Sangguniang Bayan intends to apply the su</t>
  </si>
  <si>
    <t xml:space="preserve"> PLS SEE ATTACHED FILE</t>
  </si>
  <si>
    <t xml:space="preserve"> Specifications 1	Renewal of Fortinet License for FG500D i.	1 Year ii.	SN: FGT5HD3917800371 Expires on 2019/09/21 iii.	SN: FG5H1E5818901721 Expires on 2019/07/15 Includes: i.	FORTICARE 1.	Hardware Return and Replace 2.	Firmware Upgrades 3.	24x7 Enhanced Su</t>
  </si>
  <si>
    <t xml:space="preserve"> (Procurement Of Goods) INVITATION TO BID FOR  ONE (1) UNIT BRGY.GARBAGE VEHICLE (BONGGO SINLGE CAB) 1.	The Barangay Local Government of Baganian, Tabina, Zamboanga del Sur through the  20% Development Fund for the year 2012-2018 intends to apply the sum o</t>
  </si>
  <si>
    <t xml:space="preserve"> The MUNICIPALITY OF CALINTAAN, through the 20% Local Development Fund intends to apply the sum of Five Hundred Twenty Thousand Pesos Only (Php520,000.00) being the Approved Budget for the Contract (ABC) to payment  under the contract for the Improvement o</t>
  </si>
  <si>
    <t xml:space="preserve"> Republic of the Philippines Province of South Cotabato BIDS AND AWARDS COMMITTEE City of Koronadal  INF-ITB 20-028 INVITATION TO BID  1.	The Provincial Government of South Cotabato, through the PEO-8751 CA-2020-78-GF intends to apply the sum of          ₱</t>
  </si>
  <si>
    <t xml:space="preserve"> Republic of the Philippines Province of Ilocos Sur MUNICIPALITY OF MAGSINGAL Office of the Bids and Awards    Committee   INVITATION TO BID The LGU – MAGSINGAL, through the Bids and Awards Committee (BAC), invites PhilGEPS registered suppliers/contractors</t>
  </si>
  <si>
    <t xml:space="preserve"> Title:Supply and Delivery for the City Disaster Risk Reduction and Management Office (CDRRMO) under P.R.No. 0693-2020-Subject to Ordering Agreement Arrangement Total ABC: Php 699,660.00</t>
  </si>
  <si>
    <t xml:space="preserve"> a.CONTRACT  ID : ANTIPOLO-01JULY2020-03 b. NAME OF PROJECT : Construction of Stone Masonry Riverwall (Portion) Along Labahan Creek at Palemon Street, Crestview Subdivision, Brgy. Cupang, Antipolo City c. LOCATION : Brgy. Cupang, Antipolo City d. BRIEF DES</t>
  </si>
  <si>
    <t xml:space="preserve"> A. materials 8 pcs. 24"x 0.50m culvert 12 bags Portland cement 1 cu.m. Mixed sand &amp; gravel 3 kls. asst. cw nails 10 pcs. 2x2x10ft. Coco Lumber B. Labor Cost 1 lot Well Excavation for a depth of 20 mtrs or water table is attain  P 78,240.00</t>
  </si>
  <si>
    <t xml:space="preserve"> a.CONTRACT  ID : ANTIPOLO-01JULY2020-02 b. NAME OF PROJECT : Repair/Rehabilitation Works of Three (3) Storey Six (6) Rooms PLED Building at San Isidro National High School Brgy San Isidro, Antipolo City c. LOCATION : Brgy San Isidro, Antipolo City d. BRIE</t>
  </si>
  <si>
    <t xml:space="preserve"> Procurement of supply and delivery of Training Supplies 360		Notebook 360		I.D. Holder with sling 360		Ballpen 360		Plastic Envelope with holder 		List of Trainings:  		1.	Retirement Planning Seminar Training Supplies- 30 Notebook I.D. Holder with sling B</t>
  </si>
  <si>
    <t xml:space="preserve"> 15 units 26 watt LED Street Light, Installed in a 15ft Steel Pole with arm, hot-dipped galvanized, mounted on a galvanized stud w/ Bolt and stable concrete pedestal. -nothing follows- Other Information</t>
  </si>
  <si>
    <t xml:space="preserve"> PLEASE SEE PURCHASE REQUEST AND REQUEST FOR QUOTATION FOR SPECIFICATIONS</t>
  </si>
  <si>
    <t xml:space="preserve"> Drugs and Medicines</t>
  </si>
  <si>
    <t xml:space="preserve"> DESCRIPTION BARANGAY GOVERNMENT OF KAPATAGAN INVITATION TO BID The Barangay Government of Kapatagan Thru the bids and awards Committee (BAC) invite interested Suppliers/Constructor to Apply for eligibility screening and if subsequently found to bid for th</t>
  </si>
  <si>
    <t xml:space="preserve"> In relation to the proclamation of the President no. 929 and 922 the Municipality of Bindoy thru the Office of the Disaster Risk Reduction and Management will purchase 100 Covid19 Test Kits (Rapid Diagnostic Test).</t>
  </si>
  <si>
    <t xml:space="preserve"> Eco bag with ATI-CAR logo, made of quality cloth, 4"W x 14"Lx17"H		4122	Piece Disposable face mask, 50's		70	Box Alcohol, 500 ml, 68% - 70%		178	Bottle Thermo gun, LCD display digital		5	Piece Epson L3110 Ink, Black		3	Bottle Epson L3110 Ink, Cyan		3	Bott</t>
  </si>
  <si>
    <t xml:space="preserve"> 1.	13     UNITS    	3 IN 1 PRINTER Specification: Function: print, scan, print Print type: inkjet printer With CISS Kit with accessories and ADF(Automatic Document Feeder) 2.	3 SETS DESKTOP COMPUTER WITH PRINTER intel core i3-4170 processor 1150, Processo</t>
  </si>
  <si>
    <t xml:space="preserve"> The Department of Agriculture-RFO 3, invites interested suppliers to submit quotations/proposals for the hereunder requirement, to wit: 249	sack	RICE  R  NSIC  RC 160 	 		25 kg 	 		locally produced	 		free from weevil, stone &amp; impurities	 		well filled	 	</t>
  </si>
  <si>
    <t xml:space="preserve"> ***Please see attached</t>
  </si>
  <si>
    <t xml:space="preserve"> 2 set Tire w/Interior No. 12.5/80-18 2 set Tire w/Interior No. 16.9-28 xxxxxxxxxxxxxxxxxxxxxxxxxxxxxxxxxx</t>
  </si>
  <si>
    <t xml:space="preserve"> a.CONTRACT  ID : ANTIPOLO-01JULY2020-04 b. NAME OF PROJECT : Concreting of Road 1 and Construction of Drainage Canal at Bayugo-Padi Heights Subd., Brgy. San Luis, Antipolo City c. LOCATION : Brgy. San Luis, Antipolo City d. BRIEF DESCRIPTION : Concreting </t>
  </si>
  <si>
    <t xml:space="preserve"> a.CONTRACT  ID : ANTIPOLO-01JULY2020-07 b. NAME OF PROJECT : Repair/ Repainting of Covered Court and Rewiring of School Building at Brgy. Sta. Cruz and Brgy. San Isidro, Antipolo City (2020 – Package 19) a. Repair/ Repainting of 17.0 m x 30.0 m Ynares Mul</t>
  </si>
  <si>
    <t xml:space="preserve"> a.CONTRACT  ID : ANTIPOLO-01JULY2020-05 b. NAME OF PROJECT : Concreting of Ilang-Ilang St. at Bermuda Heights Subd., Brgy. San Luis, Antipolo City c. LOCATION : Brgy. San Luis, Antipolo City d. BRIEF DESCRIPTION : Concreting of Road e. MAJOR ITEM OF WORKS</t>
  </si>
  <si>
    <t xml:space="preserve"> Order/download attached Invitation to Bid and print-out Abstract of Bids from Philgeps.</t>
  </si>
  <si>
    <t xml:space="preserve"> One (1) Unit Computer Desktop w/ complete accessories</t>
  </si>
  <si>
    <t xml:space="preserve"> Description   Republic of the Philippines Province of Oriental Mindoro MUNICIPALITY OF NAUJAN BARANGAY ARANGIN BIDS AND AWARDS COMMITTEE INVITATION TO BID SUPPLY AND DELIVERY OF MATERIALS TO BE USED FOR THE INSTALLATION OF STREET LIGHTS IN DIFFERENT SITIO</t>
  </si>
  <si>
    <t xml:space="preserve"> Supply and Delivery of Instructional Materials and Laboratory Supplies</t>
  </si>
  <si>
    <t xml:space="preserve"> a.CONTRACT  ID : ANTIPOLO-01JULY2020-08 b. NAME OF PROJECT : Repair/Repainting of School Canteen at Bagong Nayon II National Highschool - Annex, Brgy. San Isidro, Antipolo City c. LOCATION : Brgy. San Isidro, Antipolo City d. BRIEF DESCRIPTION : Repair/Re</t>
  </si>
  <si>
    <t xml:space="preserve"> QUANTITY	UNIT	ARTICLES				 8610	bags	Cement				 700	cu.m	Sand				 560	cu.m	Gravel				 81270	pcs	CHB #4				 420	pcs	Plywood, Ordinary, 1/2 x 4 x 8 				 32340	bd.ft	Cocolumber, 2 x 3 x 12				 9590	pcs	RSB Std. 10mm x 6m  				 4760	pcs	RSB Std. 8mm x 6m 				</t>
  </si>
  <si>
    <t xml:space="preserve"> 2	pcs	Stapler (heavy duty) 15	pcs	felt paper (assorted color)  25	packs	colored linen paper (10's) thick  4	pcs	stapler with remover (35mm) 10	pcs	scissors (big) 50	pcs	signing pen (0.7)  2	box	white board marker black (fine) 6	box	ballpen  8	pcs	record b</t>
  </si>
  <si>
    <t xml:space="preserve"> FABRICATION OF SCHOOL WINDOW GRILLS FOR SENIOR HS</t>
  </si>
  <si>
    <t xml:space="preserve"> a.CONTRACT  ID : ANTIPOLO-01JULY2020-06 b. NAME OF PROJECT : Repair/ Improvement of Two(2) Storey, Four(4) Classrooms AUS-AID Building at Old Boso-Boso Elementary School, Sitio Boso-Boso Brgy. San Jose, Antipolo City c. LOCATION : Brgy. San Jose, Antipolo</t>
  </si>
  <si>
    <t xml:space="preserve"> Municipality of Indang, Cavite</t>
  </si>
  <si>
    <t xml:space="preserve"> Republic of the Philippines          City of Dumaguete Bids and Awards Committee INVITATION TO BID FOR PURCHASE REQUEST OF 35 CU.M COARSE AGGREGATES (2” MAX. SIZE) AND OTHER ITEMS 	The City of Dumaguete thru its BIDS AND AWARDS COMMITTEE (BAC), invites al</t>
  </si>
  <si>
    <t xml:space="preserve"> a.CONTRACT  ID : ANTIPOLO-01JULY2020-09 b. NAME OF PROJECT : Improvement/ Replacement/ Repair/ Repainting at Various Schools, Brgy. Cupang, Antipolo City  (2020 – Package 20) a. Improvement of Portion of Perimeter Fence and Replacement of Steel Gate at Cu</t>
  </si>
  <si>
    <t xml:space="preserve"> Republic of the Philippines Province of Romblon Municipality of Odiongan Bids &amp; Awards Committee Odiongan, Romblon INVITATION TO BID  The Municipal Government of Odiongan through its Bids and Awards Committee [BAC] invites interested bidders to apply for </t>
  </si>
  <si>
    <t xml:space="preserve"> 1 50 SACK RICE - well-milled 2 18 KLS. ONION - . 3 37 KILOS COOKING OIL - . 4 13 KILOS GARLIC - . 5 28 KILOS MONGGO - . 6 62 KILOS BROWN SUGAR - . 7 20 KILOS DRIED FISH-DILI PINIKAS - . 8 165 PACKS COFFEE-25GRMS - . 9 279 CAN SARDINES - . 10 225 PCS NOODL</t>
  </si>
  <si>
    <t xml:space="preserve"> QUANTITY	UNIT	ARTICLES				 300	pcs	Texscrew Metal 2"				 60	pcs	Metal Furring				 50	pcs	Wall Angle				 20	pcs	Carrying Channel				 4	boxes	Blind Rivets 5/32 x 1/2 and 1/8 x 1/2				 1	box	Blind Rivets 1/8 x 1				 10	pcs	Drill Bit 5/32 and 1/8				 20	pcs	M</t>
  </si>
  <si>
    <t xml:space="preserve"> INVITATION TO BID FOR THE SUPPLY AND DELIVERY OF PLUMBING FIXTURE &amp; FITTING MATERIALS FOR THE  3rd and 4th Quarter Operation and Maintenance Requirement  @ PS 9 Compound, Sito Maag, Penaplata, Samal District IGaCoS under Purchase Order No. 2020 -03- 094 1</t>
  </si>
  <si>
    <t xml:space="preserve"> 1. Construction of Footbridge (Phase II) at Alegria, Barcelona, Sorsogon     Description: Completion of footbridge 2. Improvement of Health Center at Alegria, Barcelona, Sorsogon     Description: Extension of 3m. x 6m. health center</t>
  </si>
  <si>
    <t xml:space="preserve"> a.CONTRACT  ID : ANTIPOLO-01JULY2020-10 b. NAME OF PROJECT : Improvement of Covered Pathwalk at Bagong Nayon II Elementary School, Brgy. San Isidro, Antipolo City c. LOCATION : Brgy. San Isidro, Antipolo City d. BRIEF DESCRIPTION : Improvement of Covered </t>
  </si>
  <si>
    <t xml:space="preserve"> QUANTITY	UNIT	ARTICLES				 60	pcs	CCL 2 x 4 x 12				 8	pcs	CCL 4 x 4 x 10				 40	pcs	GI Corrugated 12ft				 30	kilos	CWN 1 1/2, 2, 3 and Umbrella Nail				 20	kilos	CWN 4				 500	pcs	CHB 4				 5	cu.m	Sand				 3	cu.m	Gravel				 2	rolls	Insulation Double, 10</t>
  </si>
  <si>
    <t xml:space="preserve"> 1. The Department of Environment and Natural Resources (DENR)–PENRO, Aurora has an Approved Budget from the Integrated Protected Area Fund (IPAF) (PA-RIA) of Aurora Memorial National Park (AMNP) with Fund Code 401 for the Contract (ABC) amounting to Ninet</t>
  </si>
  <si>
    <t xml:space="preserve"> a.CONTRACT  ID : ANTIPOLO-01JULY2020-11 b. NAME OF PROJECT : Construction of Covered Pathwalk  and Repair/ Improvement of Sitio Hall at Brgy. San Jose, Antipolo City (2020 – Package 21) a. Construction of  Covered Pathwalk at Sen. L. Sumulong Circle (Besi</t>
  </si>
  <si>
    <t xml:space="preserve"> labor and materials</t>
  </si>
  <si>
    <t xml:space="preserve"> The MUNICIPALITY OF CALINTAAN, through the 20% Local Development Fund intends to apply the sum of Two Hundred Thousand Pesos Only (Php200,000.00) being the Approved Budget for the Contract (ABC) to payment  under the contract for the Improvement of Public</t>
  </si>
  <si>
    <t xml:space="preserve"> I. Mobilization II. Drilling III. CSHP IV. Plumbing Works Labor</t>
  </si>
  <si>
    <t xml:space="preserve"> Repair of embankment stoned masonry protection and re-construction of reinforced concrete slab.</t>
  </si>
  <si>
    <t xml:space="preserve"> Waterworks Materials to be used for raw materials for Organic Production</t>
  </si>
  <si>
    <t xml:space="preserve"> Procurement of transparent double top tables to be placed at various areas in the Currency Operations Division</t>
  </si>
  <si>
    <t xml:space="preserve"> Corazon Locsin Montelibano Memorial Regional Hospital, through its Bids and Awards Committee, intends to procure HOSPITAL WATER FILTRATION USE, which will be undertaken in accordance with Section 53.9 of the Revised Implementing Rules and Regulations of R</t>
  </si>
  <si>
    <t xml:space="preserve"> Improvement of Multi-Purpose Building - Guiamlong, Caramoran, Catanduanes Improvement of Multi-Purpose Building - Datag West, Caramoran, Catanduanes Extension of Multi-Purpose Building - Camburo, Caramoran, Catanduanes</t>
  </si>
  <si>
    <t xml:space="preserve"> Description   Republic of the Philippines Province of Oriental Mindoro MUNICIPALITY OF NAUJAN BARANGAY ARANGIN BIDS AND AWARDS COMMITTEE INVITATION TO BID SUPPLY AND DELIVERY OF MATERIALS TO BE USED IN CONCRETING OF BARANGAY ROAD, SITIO 2, BARANGAY ARANGI</t>
  </si>
  <si>
    <t xml:space="preserve"> Please download and view the associated component PDF document for the complete details/specs of the item(s).</t>
  </si>
  <si>
    <t xml:space="preserve"> Republic of the Philippines PROVINCE OF ZAMBOANGA DEL NORTE BIDS AND AWARDS COMMITTEE (BAC) BAC Conference Room, Capitol Building, Dipolog City Tel. # (065) 212-6492 Telefax # (065) 212-6492                                                                 </t>
  </si>
  <si>
    <t xml:space="preserve"> QUANTITY	UNIT	ARTICLES				 1	unit	Pressure Tank, 120 gal.				 1	unit	Shallow Water Pump 1.5hp				 1	pc	Pressure Switch				 1	pc	Pressure Gauge				 2	pcs	Teflon Tape				 2	units	Water Pump, 120 gal., 1.5hp, including accessories				 		*****END*****</t>
  </si>
  <si>
    <t xml:space="preserve"> Activity: 5 days BLOODLETTING ACTIVITY Schedule and Venue: June 24, 2020 - Bindoy RHU                                June 25, 2020 - Tinaogan BHS                                July 8, 2020    - Bindoy RHU                                July 9, 2020    - </t>
  </si>
  <si>
    <t xml:space="preserve"> Supply and Delivery of Technical and Scientific Equipment</t>
  </si>
  <si>
    <t xml:space="preserve"> QUANTITY	UNIT	ARTICLES				 4	pcs	Loudspeaker, 2way powered, 15" TC series 2000w peak 1000w RMS				 4	sets	Signal Cable 15m XLR M/F 				 2	sets	Dual Wireless Microphone				 2	pcs	12 Channel Mixer with DSP Effects				 2	pcs	Speaker Stand, Fully Adjustable (</t>
  </si>
  <si>
    <t xml:space="preserve"> Construction of 200 sq. meters solar dryer, 10 meters x 20 meters with a thickness of 0.15 meters class "A" concrete mixture semi smoothed finished dryer.</t>
  </si>
  <si>
    <t xml:space="preserve"> Invitation to Bid for the   CONSTRUCTION OF DRAINAGE CANAL along Panes-Laud Street The MUNICIPALITY OF ISULAN, through the MDRRM Fund 2020  intends to apply the sum of ONE MILLION FOUR HUNDRED TWENTY THOUSAND SIX HUNDRED EIGHTY-SIX PESOS AND 77/100 ONLY (</t>
  </si>
  <si>
    <t xml:space="preserve"> 41 PCS. 1 TB EXTERNAL HARD DRIVE</t>
  </si>
  <si>
    <t xml:space="preserve"> The Roxas City Government, through the GOP-2020 intends to apply the total amount of Nine Hundred Seventy-One Thousand One Hundred Nine Pesos (Php 971,109.00) being the Aggregate Approved Budget for the Contract (ABC) to payments under the contract for Pu</t>
  </si>
  <si>
    <t xml:space="preserve"> Republic of the Philippines          City of Dumaguete Bids and Awards Committee INVITATION TO BID FOR PURCHASE REQUEST OF 45 CU.M CONCRETE PREMIX (3000 PSI @ 28 DAYS) CF: 9 BAGS/CU.M 	The City of Dumaguete thru its BIDS AND AWARDS COMMITTEE (BAC), invite</t>
  </si>
  <si>
    <t xml:space="preserve"> Republic of the Philippines Province of Davao del Norte BARANGAY VISAYAN VILLAGE, TAGUM CITY BIDS AND AWARDS COMMITTEE                                                                                                                                         </t>
  </si>
  <si>
    <t xml:space="preserve"> a.CONTRACT  ID : ANTIPOLO-01JULY2020-12 b. NAME OF PROJECT : Construction of Bleacher, Canopy and Perimeter Fence at Sierra Vista Subdivision, Brgy. Cupang, Antipolo City c. LOCATION : Brgy. Cupang, Antipolo City d. BRIEF DESCRIPTION : Construction of Ble</t>
  </si>
  <si>
    <t xml:space="preserve"> Contract ID No.	: 20K00349     Contract Name	: Const. of By-Pass and Diversion Road Jct. CDO Talakag Road/ Macapagal Drive-Upper Carmen-Patag-Jct. BCIR/ Kauswagan, Cagayan de Oro City     Contract Location	: Cagayan de Oro City     Scope of Work	: Const. </t>
  </si>
  <si>
    <t xml:space="preserve"> Republic of the Philippines          City of Dumaguete Bids and Awards Committee INVITATION TO BID FOR THE PURCHASE OF 2,485 CU.M. LOOSE EARTH SOIL AND OTHER ITEMS 	The City of Dumaguete thru its BIDS AND AWARDS COMMITTEE (BAC), invites all interested man</t>
  </si>
  <si>
    <t xml:space="preserve"> QUANTITY	UNIT	ARTICLES				 10	gallons	Paint, Quick Dry Enamel				 10	gallons	Paint, Gloss Latex White				 10	gallons	Paint, Flat Latex White				 2	pcs	Paint Thinner				 4	pcs	Paint Roller Tray				 4	pcs	Paint Brush #4				 4	pcs	Paint Brush #3				 4	pcs	Pa</t>
  </si>
  <si>
    <t xml:space="preserve"> 1.	The Department of Environment and Natural Resources – Environmental Management Bureau Regional office No. 2 (DENR-EMB-RO2) hereinafter referred to as the “Purchaser” now requests for submission of price quotations for the procurement of the aforesaid i</t>
  </si>
  <si>
    <t xml:space="preserve"> units	Pocket Colorimeter II Chlorine Dioxide			2	 75,000.00 	 150,000.00  	Specifications					 	Case Style: D					 	Detector: Silicin Detector					 	Dimensions (H x W x D): 155 mm x 61 mm x 35mm					 	Weight: 0.51 lbs (0.23 kg)					 	Display: LCD, backlit</t>
  </si>
  <si>
    <t xml:space="preserve"> QUANTITY	UNIT	ARTICLES				 118	pcs	RSB 16mm				 100	pcs	RSB 12mm				 45	pcs	RSB 10mm				 1	roll	GI Wire				 110	bags	Cement				 10	cu.m	Sand				 15	cu.m	Gravel				 12	pcs	Plywood 1/2				 55	pcs	Good Lumber 2 x 3 x 10				 6	kgs	CWN #3				 5	kgs	CWN #2				 </t>
  </si>
  <si>
    <t xml:space="preserve"> Feeds to be used for raw materials for Organic Production</t>
  </si>
  <si>
    <t xml:space="preserve"> Republic of the Philippines BIDS AND AWARDS COMMITTEE 9017 Población, El Salvador City Misamis Oriental  Email: bac.elsalvadorcity@gmail.com INVITATION TO BID for the PROCUREMENT OF SUBMERSIBLE PUMP AND ACCESSORIES FOR CONSTRUCTION/REHAB OF WWS PROGRAMS F</t>
  </si>
  <si>
    <t xml:space="preserve"> a.CONTRACT  ID : ANTIPOLO-01JULY2020-13 b. NAME OF PROJECT : Construction of Foundation of Niches at City Public Cemetery No. 2, Sto. Niño St., Barangay San Jose, Antipolo  City c. LOCATION : Barangay San Jose, Antipolo  City d. BRIEF DESCRIPTION : Constr</t>
  </si>
  <si>
    <t xml:space="preserve"> PROJECT REFERENCE NO. CWD 24-2020 INVITATION TO BID FOR  Outsourcing of Ten (10) Personnel  to Perform the Distribution of Water Bills  within the Service Areas of the District (Rebidding) Item No.	Item Description	Qty.	Unit	Total Amount 1	Outsourcing of </t>
  </si>
  <si>
    <t xml:space="preserve"> Republic of the Philippines Province of Negros Occidental Municipality of Ilog Invitation to bid for sale  Amount 500 Purchase of materials for the construction of Drainage Canal, Purok Kapitan Andres-Mabini, Barangay I, Pob. Ilog, Neg. Occ</t>
  </si>
  <si>
    <t xml:space="preserve"> QUANTITY	UNIT	ARTICLES				 27	tins	Paint, Latex Flat White Gloss				 25	tins	Paint, Latex Red Maroon				 25	tins	Paint, Latex Dark Green Gloss				 25	tins	Paint, QDE White Gloss				 23	tins	Paint, QDE Flat White Gloss				 24	tins	Paint, QDE Red Gloss				 </t>
  </si>
  <si>
    <t xml:space="preserve"> Contract ID No.	: 20K00350     Contract Name	: Const. of By-Pass and Diversion Roads Cagayan de Oro Diversion Road, (Jct. Balubal Sayre Highway-Pueblo de Oro, CDO-Old Airport Road Diversion Road (Pueblo de Oro/ Jct. CDO-Old Airport Road), Phase II, Packag</t>
  </si>
  <si>
    <t xml:space="preserve"> Specifications: Engine: F6A No. of Cylinders: 3 No. of CC: 660CC Tire Size: 12" Battery Size: NS40</t>
  </si>
  <si>
    <t xml:space="preserve"> Request for Quotation for the Procurement of Other Supplies to be used in the ILD Office of the Division Chief and Laboratories 1.	The Department of Agriculture-Regional Field Office 7 (DA-RFO 7), through the General Appropriations Act of CY 2020)  intend</t>
  </si>
  <si>
    <t xml:space="preserve"> QUANTITY	UNIT	ARTICLES				 25	tins	Paint, Latex Flat White Gloss				 23	tins	Paint, Latex Red Maroon				 23	tins	Paint, Latex Dark Green Gloss				 23	tins	Paint, QDE White Gloss				 21	tins	Paint, QDE Flat White Gloss				 22	tins	Paint, QDE Red Gloss				 </t>
  </si>
  <si>
    <t xml:space="preserve"> Freight &amp; Handling of various Documents</t>
  </si>
  <si>
    <t xml:space="preserve"> The Provincial Government of Samar invites all interested registered suppliers to submit in person or authorized representative quotation for-			 1.	4	pack 	Black Ink Pack Standard 2.	2	pack	Cyan Ink Pack Standard 3.	2	pack	Magenta Ink Pack Standard 4.	2	</t>
  </si>
  <si>
    <t xml:space="preserve"> REQUEST FOR QUOTATION For Negotiated Procurement thru Small Value Procurement under Sec. 53.9 of the 2016 Revised IRR of RA 9184 Quotation No.:  2020-05-174 (2ND QUOTE) Date: June 10, 2020 PR No.: 20-05-170 PR Date: May 8, 2020 The Metropolitan Tuguegarao</t>
  </si>
  <si>
    <t xml:space="preserve"> Bid-Opening-June 30, 2020 at 2:00 p.m. at Municipal Conference Room</t>
  </si>
  <si>
    <t xml:space="preserve"> Contract ID No.	: 20K00351     Contract Name	: Const. of By-Pass and Diversion Roads, Claveria-Balingoan By-Pass Road, (Kabangasan-Mapua Section), Misamis Oriental     Contract Location	: Misamis Oriental     Scope of Work	: Const. of Conc. Road     Appro</t>
  </si>
  <si>
    <t xml:space="preserve"> CENRO MOBO HONDA XR150L Motorcycle  - 2 UNIT Technical Specification: Engine Type: Single Cylender, 4-Stroke, Air-cooled OHC Displacement : 150cc Fuel Tank Size 12 Liters No. of Strokes 4- stroke Bore X stroke : 57.3 mm x 57.8 mm Kick and starter Start op</t>
  </si>
  <si>
    <t xml:space="preserve"> Procurement of dehumidifier in order to reduce relative humidity and dew point inside the Cash Vault are.</t>
  </si>
  <si>
    <t xml:space="preserve"> a.CONTRACT  ID : ANTIPOLO-01JULY2020-15 b. NAME OF PROJECT : Construction of Drainage System Phase IV at Maguey Road, Barangay San Luis, Antipolo City c. LOCATION : Barangay San Luis, Antipolo City d. BRIEF DESCRIPTION : Construction of Drainage System e.</t>
  </si>
  <si>
    <t xml:space="preserve"> Republic of the Philippines Province of Negros Occidental  Municipality of Ilog Invitation to bid for sale Amount: Php 5,000 Purchase of Multi-Purpose Vehicle for the use of Ilog Rural Health Unit. Ilog, Negros Occidental MULTI-PURPOSE VEHICLE (Four Wheel</t>
  </si>
  <si>
    <t xml:space="preserve"> a.CONTRACT  ID : ANTIPOLO-01JULY2020-14 b. NAME OF PROJECT : Construction of Drainage System Phase III at Maguey Road, Barangay San Isidro, Antipolo City c. LOCATION : Barangay San Isidro, Antipolo City d. BRIEF DESCRIPTION : Construction of Drainage Syst</t>
  </si>
  <si>
    <t xml:space="preserve"> QUANTITY	UNIT	ARTICLES				 8	units	Printer				 		          L3110 or its Equivalent				 		          All in One Printer (Print, Scan, Copy)				 		          400DPL Print 				 		          Color Ink System : Continuous Ink Support System				 		          Deskto</t>
  </si>
  <si>
    <t xml:space="preserve"> Specifications: Engine: 4D32 No. of Cylinders: 4 Tire Size: 7.00x16 Battery Size: 2 pcs. 2SM Load Capacity: 5 Cubic Meters (more or less)</t>
  </si>
  <si>
    <t xml:space="preserve"> 1.	2     UNIT     OVEN 4 PLATE 2.	4     UNIT     LPG TANK W/ CONTENT 3.	4     UNIT     ELECTRIC MIXER 4.	2     UNIT     STAINLESS STEEL TABLES(Processing Area) 5.	2     UNIT     STAINLESS STEEL TABLES(Packaging Area) 6.	2     UNIT     IMPULSE SEALER(FS 30</t>
  </si>
  <si>
    <t xml:space="preserve"> Concreting of 161.4m x 5m x 0.15m Barangay Road</t>
  </si>
  <si>
    <t xml:space="preserve"> 1,200 heads - Muscovy Duck (2 months old) with the ratio of 10 females and 2 males                       properly cared with good health and no signs of any physical abnormalities.  Requirements:  2020 PhilGeps Registration, Business Permit, Mayors Permit</t>
  </si>
  <si>
    <t xml:space="preserve"> Livestocks for communal garden</t>
  </si>
  <si>
    <t xml:space="preserve"> Rubber Gloves etc.  NOTE: To all suppliers bid documents and BAC Resolution 2020-029 are available at BAC Office and LGU website.</t>
  </si>
  <si>
    <t xml:space="preserve"> Corazon Locsin Montelibano Memorial Regional Hospital, through its Bids and Awards Committee, intends to procure SUPPLY AND INSTALLATION OF 1-UNIT 1.5 HP SPLIT WALL MOUNTED INVERTER TYPE AIRCONDITIONER FOR LABORATORY HISTOPATHOLOGY ROOM, GROUND FLOOR PAYW</t>
  </si>
  <si>
    <t xml:space="preserve"> African Night Crawlers</t>
  </si>
  <si>
    <t xml:space="preserve"> Republic of the Philippines Province of Bulacan -o0o- Municipality of Calumpit Barangay Iba O’este Invitation to bid for the Maintenance and Rehabilitation of CCTV Fiber Optic System  Iba O'este, Calumpit, Bulacan Barangay Iba O’este, through the General </t>
  </si>
  <si>
    <t xml:space="preserve"> Purchase of 165 pails paint and 1,000 sacks cement.</t>
  </si>
  <si>
    <t xml:space="preserve"> P.R. No. X1-20-03-187 - Supply and Delivery for the Replacement of two (2) defective units at Information and Communication Technology Unit-Command Center, Network Room. End-user: Command Center Staffs. (Please see attached RFQ)</t>
  </si>
  <si>
    <t xml:space="preserve"> 1,000 liters Gasoline Premium</t>
  </si>
  <si>
    <t xml:space="preserve"> 1 1 Unit EC500 Chemiclave Chemical Sterilizer 120V 60Hz, 8 amps, 8" Chamber Dimension WxDxH, in (cm) 16.5 (42) x 23 (58.4) x 14 (35.6) Chamber Dimensions Dia. X D, in (cm) 8 (20.3) x 1.25 (33.7) watts 800, Operating Weight lbs(kg) 59 (26.8)</t>
  </si>
  <si>
    <t xml:space="preserve"> QUANTITY	UNIT	ARTICLES				 2500	pcs	Student Handbook				 		          Size : 8.5" x 5.5"				 		          Cover : Colored, Glossy				 		          Inside Pages : Black Print, Plain Paper				 		*****END*****				 		(See attached sample)</t>
  </si>
  <si>
    <t xml:space="preserve"> The Roxas City Government, through the GOP-2020 intends to apply the Aggregate amount of Two Hundred Thirty Four Thousand One Hundred Sixty Pesos (PhP 234,160.00) being the Aggregate Approved Budget for the Contract (ABC) to payments under the contract fo</t>
  </si>
  <si>
    <t xml:space="preserve"> Battery for Isuzu Crosswind, model 2013              1 unit                 6,200</t>
  </si>
  <si>
    <t xml:space="preserve"> Location				: Opol, Misamis Oriental	 Total Approved Budget for the  Contract (ABC)	: Nine Hundred Ninety Nine Thousand Nine Hundred Ninety Eight Pesos and 80/100 Only (Php 999,998.80) Delivery Period				: 30 Calendar Days</t>
  </si>
  <si>
    <t xml:space="preserve"> I. EXCAVATION II. MASONRY WORKS a) MATERIALS b) LABOR c) EQUIPMENT RENTAL III. STEEL COVER a) MATERIALS b) LABOR c) EQUIPMENT RENTAL</t>
  </si>
  <si>
    <t xml:space="preserve"> Invitation to Bid for the Supply and Delivery of various Medicine for the use of Brgy. San Antonio Isla Verde, Batangas City</t>
  </si>
  <si>
    <t xml:space="preserve"> NOTICE OF PROCUREMENT OF GOODS THROUGH ALTERNATIVE METHOD OF PROCUREMENT Notice is given that the Department of Public Works and Highways, Guimaras Engineering District, San Miguel, Jordan, Guimaras, through its Bids and Awards Committee (BAC), will procu</t>
  </si>
  <si>
    <t xml:space="preserve"> QUANTITY	UNIT	ARTICLES				 10	sets	Double Deck Bed with Foam				 		Double Deck Bed Size : 30 x 30 x 75 				 		Foam Size : 2 x 30 x 75				 		(See attached sample)				 1	unit	Massage Bed, Portable (Foldable)				 		(See attached sample)				 1	unit	Sewing Mac</t>
  </si>
  <si>
    <t xml:space="preserve"> a.CONTRACT  ID : ANTIPOLO-01JULY2020-16 b. NAME OF PROJECT : Repair/ Repainting of Various School Buildings at Brgy. Sta. Cruz, Antipolo City (2020 – Package 22) a. Repair/ Repainting of Two (2) Storey, Four (4) Rooms PLED School Building 3 at Antipolo Na</t>
  </si>
  <si>
    <t xml:space="preserve"> Purchase of 20 units seafood stall.</t>
  </si>
  <si>
    <t xml:space="preserve"> To control the dust level and maintain the cleanliness of air in the cash vault. These will be placed at cages 1,2 and 4 of the cash vault.</t>
  </si>
  <si>
    <t xml:space="preserve"> Republic of the Philippines Province of Negros Occidental  Municipality of Ilog Invitation to bid for sale Amount Php 1000 Purchase of materials for the construction of drainage canal, Barangay Dancalan, Ilog, neg. Occ.</t>
  </si>
  <si>
    <t xml:space="preserve"> QUANTITY	UNIT	ARTICLES				 1	unit	Multi - Purpose Vehicle				 		          4 Cylinders, SOHC 16V				 		          1590cc (1.6L) - displacement				 		          91HP @ 5750 rpm - max output				 		          127Nm @ 4500rpm max. torque				 		          5 speed m</t>
  </si>
  <si>
    <t xml:space="preserve"> 30	pcs	Square bar, 10mm 6	pcs	G.I. Pipe (S-40), 2" x 20' 5	kgs	Welding Rod 6	liters	Epoxy Primer 6	liters	Epoxy Reducer 1	pc	Cut-off Blade 2	liters	Metal Primer 2	pcs	Paint Brush, 2" 12	pcs	PVC Wire Moulding, 1" 2	pcs	PVC Pipe Orange, 1/2" 7	pcs	Junction </t>
  </si>
  <si>
    <t xml:space="preserve"> Republic of the Philippines Province of Bulacan -o0o- Municipality of Calumpit Barangay Iba O’este Invitation to bid for the Maintenance and Rehabilitation of Public Address System in Iba O'este, Calumpit, Bulacan Barangay Iba O’este, through the General </t>
  </si>
  <si>
    <t xml:space="preserve"> Republic of the Philippines Province of Negros Occidental Municipality of Ilog Invitation to bid for sale Amount:Php 1000</t>
  </si>
  <si>
    <t xml:space="preserve"> 1. The Department of Environment and Natural Resources (DENR)–PENRO, Aurora has an Approved Budget from the Integrated Protected Area Fund (IPAF) (PA-RIA) of Aurora Memorial National Park (AMNP) with Fund Code 401 for the Contract (ABC) amounting to Sixty</t>
  </si>
  <si>
    <t xml:space="preserve"> a.CONTRACT  ID : ANTIPOLO-01JULY2020-17 b. NAME OF PROJECT : Repair/ Repainting of Two (2) Storey, Six (6) Rooms Pled School Building 4 at Antipolo National High School, Brgy. Sta. Cruz, Antipolo City c. LOCATION : Brgy. Sta. Cruz, Antipolo City d. BRIEF </t>
  </si>
  <si>
    <t xml:space="preserve"> Concreting of 2.00m, 0.20m thk Barangay Road.</t>
  </si>
  <si>
    <t xml:space="preserve"> QUANTITY	UNIT	ARTICLES				 20	pcs	KD 2 x 4 x 12				 30	pcs	KD 2 x 3 x 12				 30	pcs	KD 2 x 2 x 12				 60	pcs	Liston Wood 1/2 x 2 x 12				 100	pcs	PVC Clamp, Orange, 1/2				 1	liter	Vulcaseal				 20	pcs	LED Bulb 15W				 2	pcs	PVC O - Tee 3 x 2				 9	kilos	</t>
  </si>
  <si>
    <t xml:space="preserve"> QUANTITY	UNIT	ARTICLES				 1	pc	Plug-in C/B 100amp				 4	pcs	Plug-in C/B 60amp				 2	pcs	Plug-in C/B 20amp				 30	meters	THHN #10				 50	meters	THHN 3.5 (12)				 30	meters	THHN #14				 4	pcs	Switch, Single WD511				 2	pcs	Plate Cover				 2	pcs	J-Box with </t>
  </si>
  <si>
    <t xml:space="preserve"> Subgrade Preparation, Aggregate Sub-base Course, PCCP Concrete Class ‘A’, Reinforcing Steel Bar, Forms and Scaffoldings Excavation for Structure</t>
  </si>
  <si>
    <t xml:space="preserve"> 3,000 liters Gasoline, Regular</t>
  </si>
  <si>
    <t xml:space="preserve"> a.CONTRACT  ID : ANTIPOLO-01JULY2020-18 b. NAME OF PROJECT : Repair/ Improvement of Two (2) Storey Six(6) Classrooms Sumulong Building at San Juan National High School, Brgy. San Juan, Antipolo City c. LOCATION : Brgy. San Juan, Antipolo City d. BRIEF DES</t>
  </si>
  <si>
    <t xml:space="preserve"> Republic of the Philippines Province of Negros Occidental Municipality of Ilog Invitation to bid for sale Amount:Php500  Purchase of materials for the concrete pavement BRgy. Balicotoc, Ilog, Neg. Occ.</t>
  </si>
  <si>
    <t xml:space="preserve"> The Bids and Awards Committee (BAC) of the BARANGAY BURABOD Castilla, Sorsogon invites qualified contractor’s to bid for the project: The Procurement process of the afore-mentioned projects will be conducted by this Bids and Awards Committee (BAC) in acco</t>
  </si>
  <si>
    <t xml:space="preserve"> Invitation to Bid for the Supply and Delivery of Handheld Radio for the use of Brgy. Mahabang Dahilig, Batangas City</t>
  </si>
  <si>
    <t xml:space="preserve"> Republic of the Philippines          City of Dumaguete Bids and Awards Committee INVITATION TO BID FOR PURCHASE REQUEST OF 10 LGTHS DEFORMED STEEL BAR (16MMØ X 6.0M) AND OTHER ITEMS 	The City of Dumaguete thru its BIDS AND AWARDS COMMITTEE (BAC), invites </t>
  </si>
  <si>
    <t xml:space="preserve"> PLEASE DOWNLOAD THE ATTACHMENT/S FOR REFERENCE. Important Notes and Conditions: You can submit your quotation ON or BEFORE JUNE 17, 2020 at 01:00 PM with the photocopy of the following legal documents: a. Mayor’s / Business Permit  b. PhilGEPS Registratio</t>
  </si>
  <si>
    <t xml:space="preserve"> 2,000 liters Kerosene</t>
  </si>
  <si>
    <t xml:space="preserve"> QUANTITY	UNIT	ARTICLES				 30	boxes	Co-Amoxiclav 625mg tab, 100's				 20	boxes	Cefuroxime 500mg tab, 100's				 15	boxes	Cifrofloxacin 500mg caps, 100's				 5	boxes	Clindamycin 300mg tab, 100's				 5	boxes	Clarithromycin 500mg, 100's				 15	boxes	Cefixime </t>
  </si>
  <si>
    <t xml:space="preserve"> Concreting of 320 meters length; 5 meters in width; 0.20 meters in thickness with one (1) line 910 mm dia. RCPC class "A" concrete mixtures.</t>
  </si>
  <si>
    <t xml:space="preserve"> Republic of the Philippines  Province of Negros Occidental Municipality of Ilog Invitation to bid for sale Amount:Php 1000 Purchase of materials for the road concreting, Purok Santan, BRgy. Vista Alegre, Ilog, Neg. Occ.</t>
  </si>
  <si>
    <t xml:space="preserve"> Sub grade Preparation, Aggregate Sub-base Course</t>
  </si>
  <si>
    <t xml:space="preserve"> INVITATION TO BID 	 The Department of Public Works and Highways-Cebu 4th District Engineering Office, through its Bids and Awards Committee (BAC), invites contractors to submit bids for the Contract: 1.	Contract ID 		:	20HG0174 Contract Name           :  </t>
  </si>
  <si>
    <t xml:space="preserve"> a.CONTRACT  ID : ANTIPOLO-01JULY2020-19 b. NAME OF PROJECT : Construction of Material Recovery Facility (MRF) at Brgy. Calawis, Antipolo City c. LOCATION : Brgy. Calawis, Antipolo City d. BRIEF DESCRIPTION : Construction of Material Recovery Facility (MRF</t>
  </si>
  <si>
    <t xml:space="preserve"> 10,000 liters Automotive Diesel</t>
  </si>
  <si>
    <t xml:space="preserve"> Please quote your lowest price on the items listed below, subject to the General Conditions, stating the shortest time of delivery and submit your quotation duly signed by your representative.			 			 Instructions:			 a)  Official copy of the Request for Q</t>
  </si>
  <si>
    <t xml:space="preserve"> a.CONTRACT  ID : ANTIPOLO-01JULY2020-20 b. NAME OF PROJECT : Dismantling / Transfer / Erection of Elevated Steel Tank from San Juan Water Service Multi - Purpose Cooperative (SJWSMC), Sitio Buntong Palay, Brgy. San Juan to Kaysakat National High School, B</t>
  </si>
  <si>
    <t xml:space="preserve"> Concreting of 200 meters length and 370 meters concrete pathway, 2 meters in width, 0.15 meter in thickness "class A".</t>
  </si>
  <si>
    <t xml:space="preserve"> Republic of the Philippines PROVINCE OF NORTHERN SAMAR BIDS AND AWARDS COMMITTEE Catarman Purchase of 6 units Multicab and 3 Units Prisoner’s Van Province of Northern Samar NS-06-11-20 1.	The Provincial Government of Northern Samar, through the SP Ordinan</t>
  </si>
  <si>
    <t xml:space="preserve"> 20CSHN08 -Appraisal Services for Road-Right-of-Way Acquisition – Road Widening - Secondary Roads - Terminal Bldg. Access Road - Chainage 000 - Chainage 1295, Lapu-Lapu City  Scope of Work		:	Appraisal Services</t>
  </si>
  <si>
    <t xml:space="preserve"> 200	Piece	Data File Ledger 9x16(April-July 2020), ABC 300.00/pc 16  9 inches width inches length 9 holder				 RFQ#06-0614</t>
  </si>
  <si>
    <t xml:space="preserve"> a.CONTRACT  ID : ANTIPOLO-01JULY2020-21 b. NAME OF PROJECT : Improvement of Drainage Canal at Dela Paz St. (Portion), Brgy. Dela Paz, Antipolo City c. LOCATION : Brgy. Dela Paz, Antipolo City d. BRIEF DESCRIPTION : Improvement of Drainage Canal e. MAJOR I</t>
  </si>
  <si>
    <t xml:space="preserve"> REQUEST FOR QUOTATION										 										 RFQ No.		NP 53.6			Date				19-Dec-19	 PR Reference		100-19-12-042.1			Implementing Office				CMO	 Closing Date and Time					27-Dec-19					 Designated Places of Submission (Bid Box Designated Locations)					1. BAC</t>
  </si>
  <si>
    <t xml:space="preserve"> (Section I) Republic of the Philippines Department of Health CENTER FOR HEALTH DEVELOPMENT MIMAROPA Q.M.M.C. Compound, Project 4, Quezon City INVITATION TO BID  RE – BIDDING FOR THE COMPLETION OF ROXAS RURAL HEALTH UNIT (TB DOTS AND BIRTHING FACILITY) &amp; S</t>
  </si>
  <si>
    <t xml:space="preserve"> 1.	     459     bags     40kg. Portland Cement 2.	     13       cu.m.    Washed Sand (338 sacks) 3.	      9        cu.m.     Washed Gravel (234 sacks) 4.	     2,745  pcs.        4”CHB 5.	     123     pcs.        10mmØ x 6m RSB 6.	     36       pcs.       </t>
  </si>
  <si>
    <t xml:space="preserve"> Republic of the Philippines Province of South Cotabato BIDS AND AWARDS COMMITTEE City of Koronadal  INF-ITB 20-029 INVITATION TO BID  1.	The Provincial Government of South Cotabato, through the PEO-8751 20% LDF (8.5.1) intends to apply the sum of         </t>
  </si>
  <si>
    <t xml:space="preserve"> For: HI1-2203, Ford Fiera  1 pc. Tires (6.40 x 13; 8PR Miler Type) w/ Tube For: H2-228, Servicing Machine Battery 12V; 13P (3SM Type) For: H3-6120, Dump Truck Tires (10 x 20; 18PR Lug Type) w/ Tube &amp; Flap For: H3-6482, Dump Truck Tire Rim 20”, Heavy Duty </t>
  </si>
  <si>
    <t xml:space="preserve"> INVITATION TO BID 	 The Department of Public Works and Highways-Cebu 4th District Engineering Office, through its Bids and Awards Committee (BAC), invites contractors to submit bids for the Contract: 1.	Contract ID 		:	20HG0175 Contract Name           :  </t>
  </si>
  <si>
    <t xml:space="preserve"> ITEM #	QUANTITY			ITEM &amp; DESCRIPTION					 									 1	213	bags		Cement					 2	21	cu.m		Gravel					 3	17	cu.m		Sand					 4	468	pcs		CHB #4					 5	90	pcs		RSB 12mm					 6	45	pcs		RSB 10mm					 7	15	kgs		GI Wire #16					 8	90	pcs		CCL 2x3x12					 9	30	kgs		C</t>
  </si>
  <si>
    <t xml:space="preserve"> 1 set coring machine PEO</t>
  </si>
  <si>
    <t xml:space="preserve"> CONSTRUCTION PROJECT</t>
  </si>
  <si>
    <t xml:space="preserve"> REQUEST FOR QUOTATION 	The Caraga State University-Cabadbaran Campus, through its Bids and Awards Committee (BAC), will undertake a Negotiated Procurement (Small Value Procurement) for the project: PROVISION OF THE CONTRACT FOR TARPAULIN PRINTING SERVICES</t>
  </si>
  <si>
    <t xml:space="preserve"> Procurement of additional units to meet the demands during simultaneous pre-loading of withdrawal transactions and verification sessions, and in regular verification activity where cancelled notes are transported to the vault.</t>
  </si>
  <si>
    <t xml:space="preserve"> Electrical System &amp; Lighting Components</t>
  </si>
  <si>
    <t xml:space="preserve"> Republic of the Philippines Province of Iloilo Municipality of Ajuy BIDS AND AWARD COMMITTEE INVITATION TO APPLY FOR ELIGIBILITY AND TO BID 	The Local Government of Ajuy, Iloilo invites Accredited Supplier to apply for eligibility and to bid for the Purch</t>
  </si>
  <si>
    <t xml:space="preserve"> Corazon Locsin Montelibano Memorial Regional Hospital, through its Bids and Awards Committee, intends to procure MATERIALS FOR ENGINEERING FACILITIES MANAGEMENT STOCKS FOR PLUMBING MAINTENANCE USE, which will be undertaken in accordance with Section 53.9 </t>
  </si>
  <si>
    <t xml:space="preserve"> Republic of the Philippines Province of South Cotabato BIDS AND AWARDS COMMITTEE City of Koronadal  INF-ITB 20-030 INVITATION TO BID  1.	The Provincial Government of South Cotabato, through the 1011-PGO Staff-P/P 1-07-04-990-8.D.1-M/BDP-Brgy Facilities, C</t>
  </si>
  <si>
    <t xml:space="preserve"> 1 unit	Vacuum Machine (Stand Type 485 Mml Brwn)	 	        ABC: Php 72,000.00/unit		 			 			 1 unit	Chiller/Freezer 4 Door, 1 Comp (Stand Up)	 	        ABC: Php 120,000.00/unit		 			 			 1 unit	Milling Machine: Capacity: 30-60kg/hr 	        ABC: Php 64,000</t>
  </si>
  <si>
    <t xml:space="preserve"> Invitation to Bid for the Supply and Delivery of CCTV Camera for the use of Brgy. Poblacion 14, Batangas City</t>
  </si>
  <si>
    <t xml:space="preserve"> REQUEST FOR QUOTATION 	The Caraga State University-Cabadbaran Campus, through its Bids and Awards Committee (BAC), will undertake a Negotiated Procurement (Small Value Procurement) for the project: PROVISION OF THE CONTRACT FOR GASOLINE AND DIESEL SUPPLY </t>
  </si>
  <si>
    <t xml:space="preserve"> 1.  145 bags  - Feeds (crack Corn)  2.   68   bags  - Feeds (Layer Pellet)  Requirements:   2020 PhilGeps Registration, Business Permit, Mayors Permit, Tax Clearance, Notarized Omnibus                          Sworn Statement of Business Transactions.</t>
  </si>
  <si>
    <t xml:space="preserve"> 20CSHN09 -Appraisal Services for Road-Right-of-Way Acquisition – Road Widening - Secondary Roads - Consolacion-Tayud-Liloan  Road - Chainage 1920 - Chainage 2823, Consolacion, Cebu Scope of Work		:	Appraisal Services</t>
  </si>
  <si>
    <t xml:space="preserve"> Location : Legazpi City, Albay Scope of Work : Concreting of 0.189 Km PCCP with 175.68 l.m. Lined Canal Please be reminded that upon dropping of bids, the contractor’s authorized representative must present any but not limited to the following documents: </t>
  </si>
  <si>
    <t xml:space="preserve"> Invitation to Bid for the Supply and Delivery of various Equipment for the use of Brgy. Poblacion 14, Batangas City</t>
  </si>
  <si>
    <t xml:space="preserve"> Construction of 22m River Control</t>
  </si>
  <si>
    <t xml:space="preserve"> Brgy. Calbani Maripipi Biliran Vertical Project</t>
  </si>
  <si>
    <t xml:space="preserve"> Title:Procurement of 3 unit Computer Desktop,etc. under P.R.No. 2173-2020-5% City Disaster Risk Reduction and Management Fund(Continuing). Total ABC: Php 2,100,000.00 For representative/s of interested bidders who wish to attend the Pre-Bidding Conference</t>
  </si>
  <si>
    <t xml:space="preserve"> REQUEST FOR QUOTATION 				 							Date:        June 1, 2020 							RFQ No.    DGPD20-003 							PR NO.      PD2003-12-084     To All Eligible Suppliers  Please quote your lowest price inclusive of VAT on the item/s listed below, subject to the Terms and C</t>
  </si>
  <si>
    <t xml:space="preserve"> Philippine Flag for Independence Day Celebration</t>
  </si>
  <si>
    <t xml:space="preserve"> Concreting of 160 meters length; 5 meters in width; 0.20 meters in thickness class "A" concrete mixtures.</t>
  </si>
  <si>
    <t xml:space="preserve"> ITEM #	QUANTITY			ITEM &amp; DESCRIPTION					 									 1	1	pc		RSC Pipe 2"					 2	1	pc		Entrance Cap 2"					 3	6	pcs		C-Clamp, Metal Clamp 2"					 4	2	pcs		PVC Pipe 1 1/2					 5	3	pcs		PVC Short Elbow 1 1/2					 6	1	pc		NEMA 3R Enclosure for 150 AT CB Bolt-o</t>
  </si>
  <si>
    <t xml:space="preserve"> Republic of the Philippines												 Province of South Cotabato												 BIDS AND AWARDS COMMITTEE												 Capitol Compound Alunan Avenue, Koronadal City												 Tel. No. (083)228-9951												 												 REQUEST FOR QUOTATION										</t>
  </si>
  <si>
    <t xml:space="preserve"> Procurement of coin counting machine in order to improve the efficiency of the COD in counting and sorting coins.</t>
  </si>
  <si>
    <t xml:space="preserve"> To provide meals and snacks during the conduct of 10th World Bank Implementation Support Mission</t>
  </si>
  <si>
    <t xml:space="preserve"> rapid testing kit supplies</t>
  </si>
  <si>
    <t xml:space="preserve"> Fabrication and Installation of 70 LM GI Pipe Guardrails</t>
  </si>
  <si>
    <t xml:space="preserve"> ROTARY COMPOSTER MACHINE</t>
  </si>
  <si>
    <t xml:space="preserve"> SECURITY PLANT COMPLEX       Department of General Services       Procurement Division    3rd REQUEST FOR QUOTATION 1.	The Bangko Sentral ng Pilipinas requests quotations for the hereunder requirement: Name of the Requirement/Brief Description	:  	Supply </t>
  </si>
  <si>
    <t xml:space="preserve"> PROFESSIONAL WEBCAM, MICROPHONE AND MICROPHONE STAND FOR LIVE STREAM BROADCAST (Please see the description in the attached RFQ)</t>
  </si>
  <si>
    <t xml:space="preserve"> Concreting of 210 meters length; 5 meters in width; 0.15 meters in thickness class "A" concrete mixtures.</t>
  </si>
  <si>
    <t xml:space="preserve"> Republic of the Philippines CITY OF LAPU-LAPU BIDS AND AWARDS COMMITTEE Invitation to Bid FOR THE PROCUREMENT of 10 UNITS ALL-IN-ONE PERSONAL COMPUTER The City of Lapu-Lapu through the CAPITAL OUTLAY FUND 3324-1-07-05-030-20s1  intends to apply the sum of</t>
  </si>
  <si>
    <t xml:space="preserve"> ITEM #	QUANTITY			ITEM &amp; DESCRIPTION					 									 1	1	unit		Filing Cabinet, Lateral, 2-Drawer, Gray					 2	3	units		Filing Cabinet, Lateral, 3-Drawer, Gray					 3	2	units		Filing Cabinet, Lateral, 4-Drawer, Gray					 4	1	unit		Tall Cabinet, Glass Window</t>
  </si>
  <si>
    <t xml:space="preserve"> Republic of the Philippines Province of Masbate MUNICIPALITY OF CATAINGAN BARANGAY DIVISORIA   			                                                                                              JUNE  11, 2020 INVITATION TO APPLY FOR ELIGIBILITY AND TO BID T</t>
  </si>
  <si>
    <t xml:space="preserve"> Corazon Locsin Montelibano Memorial Regional Hospital, through its Bids and Awards Committee, intends to procure ENGINEERING FACILITIES MANAGEMENT STOCKS FOR ELECTRICAL MAINTENANCE USE, which will be undertaken in accordance with Section 53.9 of the Revis</t>
  </si>
  <si>
    <t xml:space="preserve"> SPCL-I  -  Project Billboard    32.00   sq.ft. I -           Breaking of Existing Pavement   740.00    sq.m. II -          Embankment/Backfilling and Compaction   149.00  cu.m. III -         P.C.C.P. @ 0.127m thick   192 sq.m. Invitation to Bid  EMBANKMEN</t>
  </si>
  <si>
    <t xml:space="preserve"> Concreting of 130 meters length; 2 meters in width; 0.15 meters in thickness class "A" concrete mixtures.</t>
  </si>
  <si>
    <t xml:space="preserve"> Republic of the Philippines City of Cadiz OFFICE OF THE CITY MAYOR DESIGN AND BUILD COMMITTEE CONCEPTUAL DESIGN Project Title	:  	Installation of Automatic Fire Sprinkler System (with Automatic Fire Detection, Automatic Fire Alarm, Water Tank, Pump House </t>
  </si>
  <si>
    <t xml:space="preserve"> Republic of the Philippines Province of Albay Municipality of Rapu-Rapu Barangay Dap-Dap INVITATION TO BID FOR THE CONSTRUCTION OF FOOTBRIDGE – PUROK 1 1.	The Barangay Local Government Unit of Dap-Dap, Rapu-Rapu, Albay, through the Budget for the Contract</t>
  </si>
  <si>
    <t xml:space="preserve"> Concreting of 250 meters length; 3.6 meters in width; 0.15 meters in thickness class "A" concrete mixtures.</t>
  </si>
  <si>
    <t xml:space="preserve"> 500 Heads FREE RANGE CHICKEN LAYER TYPE</t>
  </si>
  <si>
    <t xml:space="preserve"> Retrofitting of Mauhang Bridge</t>
  </si>
  <si>
    <t xml:space="preserve"> Brgy. Trabugan Maripipi, Biliran Vertical project</t>
  </si>
  <si>
    <t xml:space="preserve"> Republic of the Philippines Province of Masbate MUNICIPALITY OF CATAINGAN BARANGAY CHIMENEA   			                                                                                               June 11, 2020 INVITATION TO APPLY FOR ELIGIBILITY AND TO BID Th</t>
  </si>
  <si>
    <t xml:space="preserve"> construction of 5.50m x 7.50m stage</t>
  </si>
  <si>
    <t xml:space="preserve"> 14cs Floorwax, Complete 5L (2pcs/cs)</t>
  </si>
  <si>
    <t xml:space="preserve"> Republic of the Philippines Cordillera Administrative Region Province of Kalinga Municipality of Rizal BIDS AND AWARDS COMMITTEE INVITATION TO BID The Local Government Unit of Rizal, through its Bids and Awards Committee , invites contractors to submit bi</t>
  </si>
  <si>
    <t xml:space="preserve"> ITEM #	QUANTITY			ITEM &amp; DESCRIPTION					 									 1	100	packs		Battery, "AA", 2's					 2	100	packs		Battery, "AAA", 2's					 3	30	boxes		Correction Tape, 10 meters, 12's					 4	50	boxes		Sign Pen, Black, 0.5, 12's, Good Quality					 5	20	boxes		Marker, </t>
  </si>
  <si>
    <t xml:space="preserve"> ITEM #	QUANTITY			ITEM &amp; DESCRIPTION					 									 1	20	bottles		Toilet Bowl Cleaner 500ml					 2	20	packs		Detergent Powder, 1000 grams					 3	50	bottles		Dishwashing Liquid 250ml					 4	30	canisters		Disinfectant Spray, 340 grams					 5	20	packs		Garba</t>
  </si>
  <si>
    <t xml:space="preserve"> Republic of the Philippines DEPARTMENT OF PUBLIC WORKS AND HIGHWAYS PANGASINAN 1ST DISTRICT ENGINEERING OFFICE REGIONAL OFFICE I Alaminos City, Pangasinan Name of Procuring Entity :  DPWH 1ST Pangasinan Engineering District	Request for Quotation No. :	RFQ</t>
  </si>
  <si>
    <t xml:space="preserve"> Procurement of transparent office desk to comply with existing bank rules prescribing transparent office desk for the head of the Currency Operations Division</t>
  </si>
  <si>
    <t xml:space="preserve"> Section I. Invitation to Bid Republic of the Philippines Province of Misamis Oriental  Municipality of Salay INVITATION TO BID FOR Procurement of RICE  1.	The Local Government Unit of Salay, through the Provincial  fund 2020]  intends to apply the sum of </t>
  </si>
  <si>
    <t xml:space="preserve"> The procurement service invites PHILGEPS registered suppliers to quote of the uploaded canvass sheet located at the associated components.</t>
  </si>
  <si>
    <t xml:space="preserve"> Disinfectant, Aerosol, 500ml	10	can Hand Sanitizing Gel (1000ml/bottle)	20	bottle Isopropyl Alcohol (500ml/bottle)	20	bottle Hand Sanitizing Spray (500ml/bottle)	24	bottle Bleaching Liquid Cleaner (1gal/bottle)	5	bottle Door Mat	10	pc Foot Mat Disinfectan</t>
  </si>
  <si>
    <t xml:space="preserve"> LOCAL GOVERNMENT UNIT OF NAGUILIAN , ISABELA INVITATION TO BID FOR the SUPPLY AND DELIVERY OF CONSTRUCTION MATERIALS OF VARIOUS INFRA-PROJECTS:      1. Repainting of Curb at Center Island at Barangay Quezon/Roxas, Naguilian, Isabela      2. Repainting of </t>
  </si>
  <si>
    <t xml:space="preserve"> This project entails purchase of medical supplies for use of frontliners during Covid-19 emergency response implementation of LGU-Magallanes, Sorsogon.</t>
  </si>
  <si>
    <t xml:space="preserve"> l.	The MUNICIPALITY OF GUINAYANGAN, QUEZON, through  the  2020 MOOE    intends to apply the sum of  One Hundred Eighty Nine Thousand Eighty Pesos  (P 189,080.00) being the Approved Budget for the Contract (ABC) to payments under the contract for Supply an</t>
  </si>
  <si>
    <t xml:space="preserve"> June 11, 2020 INVITATION TO BID The Barangay Lam-an of Ozamiz City, through its Bids and Awards Committee (BAC), invites suppliers/contractors to apply for eligibility and to bid for the hereunder projects: Item No.	1 Name of Project/Description &amp; Locatio</t>
  </si>
  <si>
    <t xml:space="preserve"> The works includes: construction of 40.0 In.m. concrete canal and plastering of   230In.m. existing canal. It also includes installation and replacement of 24”dia.   RCPC with grouted riprap headwalls, complete as per approved plans &amp; POW,</t>
  </si>
  <si>
    <t xml:space="preserve"> Publication of CSC Resolution No. 2000359, PRIME-HRM: Revised Guidelines on the 					 Conferment of HR Recognition and Award					 Ad Size: 9 x 37.7 					 Ad Type/Location: Classified					 Frequency: Once					 APPROVED BUDGET FOR THE CONTRACT:   Php52,920.</t>
  </si>
  <si>
    <t xml:space="preserve"> Republic of the Philippines Province of Ilocos Sur Vigan City INVITATION TO BID FOR  Tobacco Farmers/Cooperatives' Farm Mechanization and Post-Harvest Facility Assistance Project 1.	The Provincial Government of Ilocos Sur, through the CY 2020 Appropriatio</t>
  </si>
  <si>
    <t xml:space="preserve"> ITEM I. Structure Excavation ITEM II. Forms and Falseworks ITEM III. Grouted Riprap ITEM IV. Reinforcing Steel ITEM V. Concrete Works</t>
  </si>
  <si>
    <t xml:space="preserve"> Concreting of 0.44 lm. @ Sitio Cagbalod Road San Jose, Pilar</t>
  </si>
  <si>
    <t xml:space="preserve"> ITEM I. Demolition of Damage Gutter ITEM II. Structure Excavation ITEM III. Forms and Falseworks ITEM IV. Grouted Riprap ITEM V. Reinforcing Steel ITEM VI. Concrete Works</t>
  </si>
  <si>
    <t xml:space="preserve"> LOCAL GOVERNMENT UNIT OF NAGUILIAN , ISABELA INVITATION TO BID FOR the SUPPLY AND DELIVERY OF CONSTRUCTION MATERIALS FOR THE CONCRETING OF ROADWAY IN-FRONT OF COMMERCIAL STALLS ALONG PROVINCIAL ROAD AT BARANGAY ROXAS, NAGUILIAN, ISABELA       1.	The Local</t>
  </si>
  <si>
    <t xml:space="preserve"> Office supplies, Other office supplies and semi-expandable supplies</t>
  </si>
  <si>
    <t xml:space="preserve"> Rehabilitation of Multi-Purpose Hall (phase 2), located at Barangay Mallorga, Talalora, Samar The Barangay Victory Of Talalora, Samar through its Bids and Awards Committee (BAC), invites interested bidders to apply for eligibility and to bid for the hereu</t>
  </si>
  <si>
    <t xml:space="preserve"> Reconstruction/Upgrading of 1.191 km./2.382 lane km. of road along Salvador H. Escudero III Diversion Road; and Construction of 0.289 km./0.52 lane kilometer road</t>
  </si>
  <si>
    <t xml:space="preserve"> Republic of the Philippines PROVINCE OF AGUSAN DEL SUR Bids and Awards Committee Gov. Democrito O. Plaza Government Center, Prosperidad Invitation to Bid for Concreting of NRJ (Sibagat) San Vicente-Esperanza Road 1.	The Provincial Government of Agusan del</t>
  </si>
  <si>
    <t xml:space="preserve"> Republic of the Philippines PROVINCE OF AGUSAN DEL SUR Bids and Awards Committee Gov. Democrito O. Plaza Government Center, Prosperidad Invitation to Bid for Concreting of NRJ (Bayugan City) Sta. Teresita-Mt. Carmel-Osmeña Circumferential Road 1.	The Prov</t>
  </si>
  <si>
    <t xml:space="preserve"> Republic of the Philippines Province of Camarines Norte Municipality of Talisay Office of the Bids and Awards Committee (BAC)                                                                                                                        INVITATION</t>
  </si>
  <si>
    <t xml:space="preserve"> Republic of the Philippines PROVINCE OF AGUSAN DEL SUR Bids and Awards Committee Gov. Democrito O. Plaza Government Center, Prosperidad Invitation to Bid for Concreting of NRJ (Rosario) Poblacion-Novele-Sta. Cruz Circumferential Road 1.	The Provincial Gov</t>
  </si>
  <si>
    <t xml:space="preserve"> Construction of Dike with a total length of 79.00 l.m. dimension are 0.60 x 1.00 m. Rubble concrete class "B" thickness was 0.40m. Footing dimension 0.70 x 1.00m.</t>
  </si>
  <si>
    <t xml:space="preserve"> June 10, 2020 	 INVITATION TO BID Reference No. 7039188 / Solicitation No. 2020/06/052 	The City Government of Tagum invites interested Bidders/Suppliers to submit for eligibility and to bid for the following: 9 UNITS LAPTOP COMPUTER  	 								153,000.00</t>
  </si>
  <si>
    <t xml:space="preserve"> INVITATION TO BID (CW-06-2020-018) The Department of Public Works and Highways (DPWH)-Batangas IV District Engineering Office, Marawoy, Lipa City, Batangas, through its Bids and Awards Committee (BAC), invites contractors to bid for the contract listed be</t>
  </si>
  <si>
    <t xml:space="preserve"> Republic of the Philippines PROVINCE OF AGUSAN DEL SUR Bids and Awards Committee Gov. Democrito O. Plaza Government Center, Prosperidad Invitation to Bid for Rehabilitation/Improvement of EMCH Building Phase II for Non-COVID-19 Patients 1.	The Provincial </t>
  </si>
  <si>
    <t xml:space="preserve"> Supply and Delivery of Construction Materials</t>
  </si>
  <si>
    <t xml:space="preserve"> QUANTITY	UNIT	ARTICLES				 33	units	Knapsack Sprayer, Semi Stainless, 16 ltrs capacity				 7	sets	Hand Tractor (Corbilla Type), Heavy Duty,  9HP Motor Diesel Engine				 		          Including :				 		          Cage Wheel and Plow, Belt, Pulley, Gear Oil an</t>
  </si>
  <si>
    <t xml:space="preserve"> To purchase educational supplies &amp; materials for barangay Oranbo, Pasig City</t>
  </si>
  <si>
    <t xml:space="preserve"> Republic of the Philippines Province of Lanao del Norte Municipality of Tubod OFFICE OF THE BIDS AND AWARDS COMMITTEE INVITATION TO BID CONSTRUCTION AND INSTALLATION OF MUNICIPAL SOLAR STREET LIGHTING Poblacion, Tubod, Lanao del Norte  (ITB-2020-JDL-004) </t>
  </si>
  <si>
    <t xml:space="preserve"> Republic of the Philippines BIDS AND AWARDS COMMITTEE Cadiz City      BID DOCUMENTS for the COMPLETION OF SEA WALL @ BRGY. PROPER, BRGY. CADIZ VIEJO, CADIZ CITY (1) BIDS AND AWARDS COMMITTEE  Cadiz City   INVITATION TO BID/REQUEST FOR EXPRESSION OF INTERE</t>
  </si>
  <si>
    <t xml:space="preserve"> Republic of the Philippines Province of Davao De Oro  Municipality of Monkayo Barangay Banlag OFFICE OF THE BAC CHAIRMAN =O0O= INVITATION TO  BID   FOR: PROCUREMENT OF HARDWARE MATERIALS OF THE PROJECT  REHABILITATION                           	OF  WATER </t>
  </si>
  <si>
    <t xml:space="preserve"> Construction of Poblacion Drainage System (Magsaysay Street) Poblacion, Libungan, Cotabato</t>
  </si>
  <si>
    <t xml:space="preserve"> QUANTITY	UNIT	ARTICLES				 		Desktop Computer				 25	units	System Unit :				 		          Proccessor : i5 - 9400F Coffee Lake Refresh				 		          Motherboard : H310M Pro - M2 Plus				 		          RAM : 8GB				 		          HDD : 1 TB				 		          SSD</t>
  </si>
  <si>
    <t xml:space="preserve"> Republic of the Philippines PROVINCE OF AGUSAN DEL SUR Bids and Awards Committee Gov. Democrito O. Plaza Government Center, Prosperidad Invitation to Bid for Improvement of All Nurses Station 1.	The Provincial Government of Agusan del Sur through the Gene</t>
  </si>
  <si>
    <t xml:space="preserve"> Republic of the Philippines PROVINCE OF AGUSAN DEL SUR Bids and Awards Committee Gov. Democrito O. Plaza Government Center, Prosperidad Invitation to Bid for Construction of Outpatient Department Building for Non-COVID-19 Patients 1.	The Provincial Govern</t>
  </si>
  <si>
    <t xml:space="preserve"> A.	OVERVIEW The Philippine Health Insurance Corporation is issuing this Terms of Reference (T.O.R) expressly providing for the technical requirements relative to the conduct of NEGOTIATED BIDDING FOR THE LEASE OF OFFICE SPACE FOR PHILHEALTH REGIONAL OFFIC</t>
  </si>
  <si>
    <t xml:space="preserve"> QUANTITY	UNIT	ARTICLES				 0.324	sq.meter	Wall Partition D60 (Aluminum &amp; Glass, 0.27 x 1.2m)				 1.068	sq.meter	Wall Partition D60 (Aluminum &amp; Glass, 0.89 x 1.2m)				 1.08	sq.meter	Wall Partition D60 (Aluminum &amp; Glass, 0.90 x 1.2m)				 1.224	sq.meter	Wall</t>
  </si>
  <si>
    <t xml:space="preserve"> QUANTITY	UNIT	ARTICLES				 1	unit	Passenger Van				 		          1GD - FTV				 		          2.8 Diesel A/T				 		          4 cylinders, in-line type 16V DOHC with VNT and Intercooler				 		          176ps / 3400rpm - max output				 		          450 Nm / 1600</t>
  </si>
  <si>
    <t xml:space="preserve"> QUANTITY	UNIT	ARTICLES				 100	sacks	Commercial Rice				 25	boxes	Corned Beef, 155 grams, 48's				 200	pcs	Toothbrush				 200	pcs	Toothpaste, Sachet				 25	boxes	Bottled Water, 500ml, 24's				 		*****END*****</t>
  </si>
  <si>
    <t xml:space="preserve"> Civil works that include concrete work</t>
  </si>
  <si>
    <t xml:space="preserve"> QUANTITY	UNIT	ARTICLES				 100	packs	Spoon, Disposable, 20's				 100	packs	Fork, Disposable, 20's				 100	packs	Sando Bag, Plastic, Large, 100's				 100	bundles	Sando Bag, Plastic, Medium, 100's				 100	packs	Cup, Disposable, 50's				 100	packs	Cup, Paper</t>
  </si>
  <si>
    <t xml:space="preserve"> FOR THE USE OF STA. CRUZ HIGH INTEGRATED JUNIOR HS Surgical Mask (Disposable) Washable facemask N95/KN95 Mask Thermal Gun Tissue Paper Face Shield Medical Gloves Cleaning Bleach Disinfectant Spray Alcohol Detergent Powder Detergent Bar PAPER, Multi-Purpos</t>
  </si>
  <si>
    <t xml:space="preserve"> QUANTITY	UNIT	ARTICLES				 25	boxes	Coffee, Sachet 3-in-1				 100	boxes	Ziplock Plastic Bag				 1000	pcs	Pail with Cover, Plastic, 5L				 1000	pcs	Whistle, Plastic				 200	pcs	Laundry Bar Soap				 30	packs	Toilet Paper, 2 Ply				 50	boxes	Alcohol, 75ml, 2</t>
  </si>
  <si>
    <t xml:space="preserve"> QUANTITY	UNIT	ARTICLES				 4	pcs	Coco Post 4 x 4 x 8				 8	pcs	Coco Lumber 2 x 3 x 10				 40	pcs	Bamboo Sena, Whole				 2	kilos	CN# 3				 2	kilos	CN# 2				 50	rolls	Nylon Cord #90				 4	rolls	Net Nylon, Double, 1" x 6"				 2	units	Submersible Pump, 15 wat</t>
  </si>
  <si>
    <t xml:space="preserve"> QUANTITY	UNIT	ARTICLES				 2	units	Dump Truck				 		Engine : N04C-UV, diesel, 4 cycle, vertical 4 cylinder, Euro 4,				 		              electronic control common rail type				 		No. of Wheels : 6				 		GVW : 8,500kg				 		Load Capacity : 7.0 cu.m				 		Tr</t>
  </si>
  <si>
    <t xml:space="preserve"> INSTALLATION OF ELECTRICAL LINES</t>
  </si>
  <si>
    <t xml:space="preserve"> IMPROVEMENT OF WATER SYSTEM 1.   The Barangay Council of Libertad, Nabas, Aklan through its local budget approved by the Sanggunian, intends to apply the sum of One Hundred Ten Thousand Pesos and 00/100 only (P 110,000.00), being the Approved Budget for t</t>
  </si>
  <si>
    <t xml:space="preserve"> Title:Procurement of 1 Pakyaw Remote Sensing Services for Groundwater Availability Exploration(GEO-Resistivity Survey) under 0700-2020-OCA-Support to Quality Corn Development(Trust Fund). Total ABC: Php 100,000.00 (INSTRUCTION AS TO THE REQUIRED FORM: For</t>
  </si>
  <si>
    <t xml:space="preserve"> The Roxas City Government, through the GOP-2020 intends to apply the  amount of Ninety-nine Thousand Nine Hundred Ninety-two Pesos (PhP 99,992.00) being the Approved Budget for the Contract (ABC) to payments under the contract for Public Bidding for the S</t>
  </si>
  <si>
    <t xml:space="preserve"> CONSTRUCTION OF PERIMETER FENCE AT SAN NICOLAS ELEMENTARY SCHOOL</t>
  </si>
  <si>
    <t xml:space="preserve"> Purchase of Medical Supplies and Vitamins for Emergency and Disaster Response Use</t>
  </si>
  <si>
    <t xml:space="preserve"> QUANTITY	UNIT	ARTICLES				 		For CGSO Backhoe Loader (Sinomach 630 A)				 1	set	Planetary Gear Assy.				 		*****END*****</t>
  </si>
  <si>
    <t xml:space="preserve"> The Department of Agriculture invites interested suppliers to submit quotations/proposals for the hereunder requirement: FOLDABLE FAN WITH PRINT "MASAGANANG ANI, MATAAS NA KITAAND PLANT, PLANT, PLANT 	 		 4000	Pcs	-	Specification: Size: 10 inches Material</t>
  </si>
  <si>
    <t xml:space="preserve"> Item I-A - General Requirements (Mob./Demob.)  1.00  lot Item I-B - General Requirements (Proj. Signboard &amp; BM)  2.88  sq.m. Item II-A - Earthworks @ Site (Excavation/Backfilling)  19.44  cu.m. Item II-B - Earthworks @ Site (Filling Materials @ G-Floor)  </t>
  </si>
  <si>
    <t xml:space="preserve"> 30 watts Solar Streetlights, w/ built-in lithium battery 15' fabricated and pre-painted G.I. pipe pole #3 1'x 1' x 1m Base</t>
  </si>
  <si>
    <t xml:space="preserve"> Kindly see and download attachments</t>
  </si>
  <si>
    <t xml:space="preserve"> FOR THE USE OF STA. CRUZ HIGH INTEGRATED SR HS Surgical Mask Washable facemask N95/KN95 Mask Thermal Gun Tissue Paper Face Shield Medical Gloves Cleaning Bleach Disinfectant Spray Alcohol Detergent Powder Detergent Bar PAPER, Multi-Purpose (COPY) Legal, 8</t>
  </si>
  <si>
    <t xml:space="preserve"> Republic of the Philippines Province of Pangasinan Bids and Awards Committee Municipality of Calasiao INVITATION TO BID  PURCHASE AND INSTALLATION OF 2 UNITS WALL MOUNTED AND 1 UNIT FLOOR MOUNTED AIR CONDITIONED AND ACCESSORIES, CALASIAO, PANGASINAN 1.	Th</t>
  </si>
  <si>
    <t xml:space="preserve"> CONSTRUCTION OF DRAINAGE CANAL AT BARANGAY SAN AGUSTIN, SAN SIMON, PAMPANGA</t>
  </si>
  <si>
    <t xml:space="preserve"> 2 units Gang Chair (5 Seaters) 1 unit Executive Table 1 unit Junior Executive Chair 4 units Computer Table</t>
  </si>
  <si>
    <t xml:space="preserve"> QUANTITY	UNIT	ARTICLES				 		ALTERNATIVE LEARNING SYSTEM (ALS)				 1830	pieces	Binder Notebook				 1830	pieces	Back Pack Bag, Customized (See attached design)				 1830	pieces	Pen, Red				 1830	pieces	Pen, Black				 1830	pads	Intermediate Pad Paper				 		*</t>
  </si>
  <si>
    <t xml:space="preserve"> QUANTITY	UNIT	ARTICLES				 300	packs	BREAKFAST :				 		          Egg with Hotdog and Rice				 		          Skinless Longganisa and Rice				 		          Dried Fish with Tomato and Rice				 		          Egg with Tuyo and Rice				 		          Tocino with Rice	</t>
  </si>
  <si>
    <t xml:space="preserve"> QUANTITY	UNIT	ARTICLES				 2	per/meter	Venetian Blinds (39mm x 98.5mm)				 3	per/meter	Venetian Blinds (38.25mm x 98mm)				 1	per/meter	Venetian Blinds (87mm x 52mm)				 2	per/meter	Venetian Blinds (71.5mm x 52mm)				 1	per/meter	Venetian Blinds (87mm x 5</t>
  </si>
  <si>
    <t xml:space="preserve"> *Please see attached Purchase Request All particulars relative to the procurement process and contract implementation shall be governed by the pertinent provision of R.A 9184 and its Revised Implementing Rules and Regulations. Quotation Forms are now avai</t>
  </si>
  <si>
    <t xml:space="preserve"> 1	SPECS:						1	unit 	Elf Double Cab Cargo Type							 	Engine: 4jb1							 	Fuel: Diesel							 	Seating Capacity: 5 persons							 	Tire size: Front: 15" rear: 13"							 	Battery: 6sm							 	Color: White							 	Inclusion:							 	1. With One (1) Spar</t>
  </si>
  <si>
    <t xml:space="preserve"> Republic of the Philippines									 DEPARTMENT OF PUBLIC WORKS &amp; HIGHWAYS									 CAMARINES SUR 3RD   									 DISTRICT ENGINEERING OFFICE									 Regional Office V									 Baras, Canaman									 									 Name of Procuring Entry: DPWH-Cam. Sur III	</t>
  </si>
  <si>
    <t xml:space="preserve"> Republic of the Philippines												 City of San Carlos												 Negros Occidental												 												 			INVITATION TO BID							FOR SALE	 			PURCHASE REQUEST NO: 9-20-05-0601			P 1,800.00	 Sealed bids for quotation of prices will be received </t>
  </si>
  <si>
    <t xml:space="preserve"> 1       10 BOX STERILE STRIPS 2       10 PC INTRA OCCULAR LENS IOL 16.50 3       10 PC IOL POWER 18.50 4       10 PC IOL POWER 17.50 5       10 PC IOL POWER 19.50 6       10 PC IOL POWER 20.50 7       10 PC IOL POWER 21.50 8       5 PC IOL POWER 23 9     </t>
  </si>
  <si>
    <t xml:space="preserve"> Republic of the Philippines PROVINCE OF SIQUIJOR Capitol, Bldg., Pulangyuta, Siquijor, Siquijor INVITATION TO BID FOR Supply and Delivery of 2 units Mechanical Ventilator, Digital 1.	The Province of Siquijor, through the IPHO Medical Equipment Non-Office </t>
  </si>
  <si>
    <t xml:space="preserve"> 5040 pcs Rimo Blend 6840 pcs Rimo Curls</t>
  </si>
  <si>
    <t xml:space="preserve"> Handwash,500 ML - 30 pcs	 detergent powder - 20 dozens	 Deodorant Cake - 60 pcs	 Zonrox 1 Lt - 50 bottles	 Dishwashing Liquid - 60 bottles	 Airfreshner - 30 bottles	 Sponge - 20 pcs	 Scouring Pad - 15 pcs	 Rugs - 10 kilos	 Paper Plate - 500 pcs	 Paper Cup</t>
  </si>
  <si>
    <t xml:space="preserve"> 1     4 sets Branded Desktop Computer Includes: - Printer: L5190 with 1 set extra ink - Core i5 3.2 GHz 8th Gen or latest - Memory: 8GB DDR4 RAM, 1TB Hard Drive - Video Card: GT730 2GB - 22.5" Wide LED Monitor - Keyboard and Mouse - Windows10 Pro 64bit, A</t>
  </si>
  <si>
    <t xml:space="preserve"> Improvement of Barangay Road to include:1.Roadway Preparation :2.Concrete Pavement</t>
  </si>
  <si>
    <t xml:space="preserve"> CONSTRUCTION OF PERIMETER FENCE AT SAN MIGUEL ELEMENTARY SCHOOL</t>
  </si>
  <si>
    <t xml:space="preserve"> FOR SALE	 Lot 	Amount 1	P 150.00 2	P 300.00 3	P 300.00 4	P 150.00 5	P 150.00 6	P 150.00 7	P 150.00 8	P 150.00 9	P 1,500.00 Republic of the Philippines												 City of San Carlos												 Negros Occidental												 												 			INVITATION TO B</t>
  </si>
  <si>
    <t xml:space="preserve"> 303	cases	Powdered Milk 700kg x 12 125	bags.	Biscuit Cracker 24g x 15 3622	kls.	Brown Sugar (1/2 kl)</t>
  </si>
  <si>
    <t xml:space="preserve"> Pls. quote the items listed below: 1. Engine Oil - 20 pails 2. ATF Oil  -  14 pails 3. Brake Fluid  -  60 ltrs. 4. SAE 40  -  4 gals. 5. Hydraulic Oil # 10  -  4 ltrs. 6. Gear Oil # 90  -  2 pails 7. Coolant  -  10 ltrs. 8. ATF Fluid  -  10 ltrs. 9. Oil F</t>
  </si>
  <si>
    <t xml:space="preserve"> REQUEST FOR QUOTATION 						 Procurement of Goods - SUPPLY AND DELIVERY OF MATERIALS FOR FABRICATION OF COFFINS						 						 The Davao Prison and Penal Farm, through its Bids and Awards Committee (BAC) intends to  apply						 the sum of TWO HUNDRED SIXTY-</t>
  </si>
  <si>
    <t xml:space="preserve"> Desilting of River with a total length of 601 l.m. total area of river to be dessilted 9,854.19m &amp; total volume of 4,622.06 cu.m. height of cmt 0.48m.</t>
  </si>
  <si>
    <t xml:space="preserve"> Meals Day 1 100 pax Sinigang na baboy, chopsuey &amp; rice AM Snacks 100 pax Cheese burger &amp; 80z Coke PM Snacks 100 pax Puto Pao &amp; juice Meals Day 2 100 pax Beef Steak, pinakbet &amp; rice AM Snacks 100 pax Macaroni salad &amp; 80z coke PM Snacks 100 pax Malagkit &amp; M</t>
  </si>
  <si>
    <t xml:space="preserve"> INVITATION TO BID FOR THE FURNISHING OF LABOR AND MATERIALS FOR THE CONSTRUCTION OF WATER SYSTEMOF BARANGAY 8 POBLACION, TIGBAUAN, ILOILO</t>
  </si>
  <si>
    <t xml:space="preserve"> Invitation to Bid for  INFRA 2K20-39 CONSTRUCTION OF DAGUM-MATALANG ROAD Lakewood, Zamboanga del Sur June 10, 2020 1.	The Provincial Government of Zamboanga del Sur, through the Capital Outlay CY 2020 intends to apply the sum of Nineteen Million Five Hund</t>
  </si>
  <si>
    <t xml:space="preserve"> The Department of Agriculture invites interested suppliers to submit quotations/proposals for the hereunder requirement: DATA CENTER SERVICES: Network Facility Maintenance (PACU and UPS) 	 1	lot	One (1)-Year Network Facility Maintenance (PACU and UPS)	685</t>
  </si>
  <si>
    <t xml:space="preserve"> Equipment.</t>
  </si>
  <si>
    <t xml:space="preserve"> Republic of the Philippines   Province of Sarangani  Municipality of Alabel    Invitation to Bid for the Completion of Meat Processing Project 1.The Municipality of Alabel, through the Annual Budget for CY 2019[ In the case of National Government Agencies</t>
  </si>
  <si>
    <t xml:space="preserve"> Reconstruction of box culvert from double barrel to singke barrel box culvert. Construction of slope protection with total length of 40 l.m.</t>
  </si>
  <si>
    <t xml:space="preserve"> WIFI Internet Connection installed @ the Training &amp; Production Center</t>
  </si>
  <si>
    <t xml:space="preserve"> Wooden Office Table and product display shelves</t>
  </si>
  <si>
    <t xml:space="preserve"> Education-PAULINO R. REOMERO		 1	20	pcs	1/4" Marine Plywood 4' x 8', class AAA	 2	1	pcs	3/4"thk Marine plywood 4' x 8'	 3	1	pcs	 Clear glass 5mm thk x 1m x 1.5m	 4	3	pairs	Loose pin hinges, 3 x 4, stanley	 5	6	gal	Premium Wood Primer	 6	7	gal	Premium wate</t>
  </si>
  <si>
    <t xml:space="preserve"> The Municipality of Limay, through its Bids and Awards Committee (BAC) invites registered contractors to apply for eligibility and if found eligible, to bid for the hereunder project/contract: Project/Contract:     CONSTRUCTION OF GUARD HOUSE AND REPLACEM</t>
  </si>
  <si>
    <t xml:space="preserve"> 1 3 BOX/S CLIP - PAPER-VINYL COATED ( BIG ) 2 15 PC/S CORRECTION TAPE - W/ CASE 3 36 PC/S BALLPEN - ORDINARY, BLACK 4 2 BTL/S GLUE - 130G 5 2 ROLL/S TAPE - TRANSPARENT 24MM (1") WIDTH USABLE LENGHT OF 50M 6 1 BOX/S FASTENER - PAPER, PLASTIC, 50 SETS/BOX 7</t>
  </si>
  <si>
    <t xml:space="preserve"> QUANTITY	UNIT	ARTICLES				 		GRADE 4				 5640	pieces	Back Pack Bag, Customized (See attached design)				 5640	pads	Pad Paper (Grade 4)				 22560	pieces	Composition Notebook 				 5640	pieces	Pen, Red				 5640	pieces	Pen, Black				 		***END***</t>
  </si>
  <si>
    <t xml:space="preserve"> IMPROVEMENT OF ROAD AT THE BOUNDARY OF PUROK 21 AND PUROK 22, BAGUIO CITY</t>
  </si>
  <si>
    <t xml:space="preserve"> REQUEST FOR QUOTATION 					 Procurement of Goods - SUPPLY AND DELIVERY OF 4 UNITS HEAVY DUTY GRASS CUTTER					 					 The Davao Prison and Penal Farm, through its Bids and Awards Committee (BAC) intends to  apply					 the sum of SIXTY THOUSAND  PESOS ONLY </t>
  </si>
  <si>
    <t xml:space="preserve"> QUANTITY	UNIT	ARTICLES				 		GRADE 3				 5220	pieces	Back Pack Bag, Customized (See attached design)				 5220	pads	Pad Paper (Grade 3)				 20880	pieces	Writing Notebook 				 5220	pieces	Pen, Red				 5220	pieces	Pen, Black				 		***END***</t>
  </si>
  <si>
    <t xml:space="preserve"> QUANTITY	UNIT	ARTICLES				 		GRADE 5				 6130	pieces	Back Pack Bag, Customized (See attached design)				 6130	pads	Intermediate Pad Paper				 24520	pieces	Composition Notebook 				 6130	pieces	Pen, Red				 6130	pieces	Pen, Black				 		***END***</t>
  </si>
  <si>
    <t xml:space="preserve"> 1 4 pcs. 2" x 3" x 12' Lawaan Lumber or Approved Equivalent 2 4 pcs. 2" x 2" x 8' Lawaan Lumber or Approved Equivalent 3 4 pcs. 1" x 2" x 8' Lawaan Lumber or Approved Equivalent 4 250 pcs. 2" x 2" x 10' Coco Lumber 5 170 pcs. 2" x 3" x 10' Coco Lumber 6 9</t>
  </si>
  <si>
    <t xml:space="preserve"> For more information pls contact: ENGR. RAQUEL R. ESTRADA Municipal Engineer LGU Mabini, Pangasinan 09569900851</t>
  </si>
  <si>
    <t xml:space="preserve"> REPUBLIC OF THE PHILIPPINES  DEPARTMENT OF SOCIAL WELFARE AND DEVELOPMENT MIMAROPA REGION 1680 F. T Benitez cor Malvar Sts. Malate, Manila INVITATION TO BID FOR SUPPLY AND DELIVERY OF FOOD ITEMS (NUTRIPACKS) FOR THE IMPLEMENTATION OF SUPPLEMENTARY FEEDING</t>
  </si>
  <si>
    <t xml:space="preserve"> Construction of concrete revetment with a total length of 80 l.m. footing of 1.00 x 2.63, rubble thickness of 0.30m &amp; headwall of 0.50 x 0.60 m.</t>
  </si>
  <si>
    <t xml:space="preserve"> please download the ITB and its other supporting documents in the associated component</t>
  </si>
  <si>
    <t xml:space="preserve"> QUANTITY	UNIT	ARTICLES				 		JUNIOR / SENIOR HIGH SCHOOL				 14200	pcs	Binder Notebook				 		*****END*****</t>
  </si>
  <si>
    <t xml:space="preserve"> Improvement of Hanging Bridge to include :1. Installation of Steel Plate &amp; Painting</t>
  </si>
  <si>
    <t xml:space="preserve"> Corazon Locsin Montelibano Memorial Regional Hospital, through its Bids and Awards Committee, intends to procure DRUGS &amp; MEDICINES (PR#20-06-70448), which will be undertaken in accordance with Section 53.9 of the Revised Implementing Rules and Regulations</t>
  </si>
  <si>
    <t xml:space="preserve"> 1000 pcs Medals -with layout -fiber glass (back to back) 400 pcs Certificate Holder -4A</t>
  </si>
  <si>
    <t xml:space="preserve"> CONSTRUCTION OF 4 UNITS COLUMNS WITH FOOTING COMPLETE ROOF FRAMING AND ROOFING SYSTEM INIDICATED IN THE PLAN WITH FASCIA BOARD.</t>
  </si>
  <si>
    <t xml:space="preserve"> The Roxas City Government, through the GOP-2020 intends to apply the total amount of One Hundred Seventy-Two Thousand Pesos (PhP 172,000.00) being the Approved Budget for the Contract (ABC) to payments under the contract for Public Bidding for the Supply </t>
  </si>
  <si>
    <t xml:space="preserve"> QUANTITY	UNIT	ARTICLES				 		GRADE 6				 6150	pieces	Back Pack Bag, Customized (See attached design)				 6150	pads	Intermediate Pad Paper				 24600	pieces	Composition Notebook 				 6150	pieces	Pen, Red				 6150	pieces	Pen, Black				 		***END***</t>
  </si>
  <si>
    <t xml:space="preserve"> ITEM: 150 bags Cement Portland ( for staggered delivery) PURPOSE: "FOR LEAKAGE CONTROL DIVISION. CHARGE TO CAPEX 203-09 TRANSMISSION &amp; DISTRIBUTION MAINS,  B.) MAINLINE LEAKAGE REPAIR"		 ABC: PHP 50,457.00 DELIVERY SCHEDULE: 10  CALENDAR DAYS</t>
  </si>
  <si>
    <t xml:space="preserve"> RFQ-2020-165		 			 1.	10	reams	Bond Paper Long (Hard Copy) 2.	10	reams	Bond Paper Short (Hard Copy) 3.	100	pcs.	Brown Envelope Long 4.	100	pcs.	Brown Envelope Short 5.	100	pcs.	File Folder Long 6.	100	pcs.	File Folder Short 7.	30	pcs.	Expanded Envelope w/</t>
  </si>
  <si>
    <t xml:space="preserve"> 1    lot    Improvement of Multi-purpose Pavement (Goal and Chairs</t>
  </si>
  <si>
    <t xml:space="preserve"> 1	40	kg	1" CW Nails				 2	140	kg	2" CW Nails				 3	175	kg	3" CW Nails				 4	200	kg	4" CW Nails				 5	80	kg	2.5" Umbrella Nails				 6	215	shts	4mm x 1.2m x 2.4m Ordinary Plywood				 7	68	pcs	50mm Heavy Duty Padlock				 8	68	pcs	Heavy Duty Hasplock Big				 </t>
  </si>
  <si>
    <t xml:space="preserve"> Hiring of Consultancy Services (1 Chauffer ) - 6 months</t>
  </si>
  <si>
    <t xml:space="preserve"> QUANTITY	UNIT	ARTICLES				 		KINDER				 5600	pieces	Back Pack Bag, Customized (See attached design)				 5600	pieces	Pencil, Jumbo, Black				 5600	packs	Crayons, So Big				 5600	pads	Pad Paper (Grade 1)				 		***END***</t>
  </si>
  <si>
    <t xml:space="preserve"> Project consist of clearing &amp; grubbing with an area of 2,468.13 m2. Creek excavation volume of 1,914 m3. It includes the hauling and proper disposal of excavated materials. Construction safety and health during the work.</t>
  </si>
  <si>
    <t xml:space="preserve"> REQUEST FOR QUOTATION											 											 RFQ No.		SVP 20-0693				Date				10/06/2020	 PR Reference		100-20-05-028				Implementing Office				CENRO	 Closing Date and Time						June 18, 2020 @ 5:00 P.M					 Designated Places of Submission (Bid Box Designa</t>
  </si>
  <si>
    <t xml:space="preserve"> ONE (1) UNIT 3 TONER FLOOR MOUNTED INVERTER AIR CONDITION WITH ACCESSORIES INCLUDING POWER SUPPLY AND INSTALLATION.</t>
  </si>
  <si>
    <t xml:space="preserve"> 1	LOT	Supply, delivery and installation of equipment, instruments and software for the research project entitled “Improving Productivity of Philippine Carabao Mango through Introduction of Smart Farming Technologies in Plant Water Relation Manipulation”		</t>
  </si>
  <si>
    <t xml:space="preserve"> Interested bidders are requested to be pre-qualified to bid fr the supply of materials to be delivered onsite.</t>
  </si>
  <si>
    <t xml:space="preserve"> Computational Fluid Mechanics and Dynamics for Scientists, 2019, 1 copy							 Power System Energy Storage Technologies, 2019, 1 copy							 Combined Heat and Power, 2019, 1 copy							 Bird Strike in Aviation: Statistics, Analysis, and Management, 2019, </t>
  </si>
  <si>
    <t xml:space="preserve"> Accommodation (2 days) 2 Guest Meals Day 1 165 pax Rice, fish, meat, vegetable, soft drinks Snack AM 165 pax Pancake, juice in can Snacks PM 165 pax Bakery bread, juice in can Meals Day 2 165 pax Rice, Meat, vegetable, juice Snacks AM 165 pax Salad, fruit</t>
  </si>
  <si>
    <t xml:space="preserve"> The Roxas City Government, through the GOP-2020 intends to apply the total amount of Six Million Eight Hundred Seventy Five Thousand Pesos (PhP 6,875,000.00) being the Approved Budget for the Contract (ABC) to payments under the contract for Public Biddin</t>
  </si>
  <si>
    <t xml:space="preserve"> REQUEST FOR QUOTATION 						 Procurement of Goods - SUPPLY AND DELIVERY OF DPPF AGRO-INDUSTRY VARIOUS FARM INPUTS FOR THE 3RD AND 4TH QUARTER OF 2020						 						 The Davao Prison and Penal Farm, through its Bids and Awards Committee (BAC) intends to  app</t>
  </si>
  <si>
    <t xml:space="preserve"> QUANTITY	UNIT	ARTICLES				 		GRADE 1				 6500	pieces	Back Pack Bag, Customized (See attached design)				 6500	pads	Pad Paper (Grade 1)				 6500	pieces	Pencil #2				 6500	packs	Crayons, Single				 26000	pieces	Writing Notebook				 		***END***</t>
  </si>
  <si>
    <t xml:space="preserve"> A.	OVERVIEW The Philippine Health Insurance Corporation is providing  this Terms of Reference (T.O.R) explicitly stipulating the space and technical requirements relative to the conduct of NEGOTIATED BIDDING FOR THE LEASE OF OFFICE SPACE FOR PHILHEALTH RE</t>
  </si>
  <si>
    <t xml:space="preserve"> RFQ-2020-166		 			 1.	1750	cycle	Trust Pills 2.	1,000	vials	DMPA Injectables (Lyndavel) 			 	Deadline for Submission of Bids: June 17, 2020, 11:00 AM		 			PAYMENT TERM: 90 DAYS</t>
  </si>
  <si>
    <t xml:space="preserve"> Contract ID No. :	20CSPH02 Project:	Geotechnical Investigation for Slope Protection Projects along Various Road Sections and Construction of Bridge in Mountain Province for FY 2021 Location:	Various Road Section in Mountain Province Objectives:	Geotechnic</t>
  </si>
  <si>
    <t xml:space="preserve"> QUANTITY	UNIT	ARTICLES				 		GRADE 2				 6350	pieces	Back Pack Bag, Customized (See attached design)				 6350	pads	Pad Paper (Grade 2)				 6350	pieces	Pencil #2				 6350	packs	Crayons, Single				 25400	pieces	Writing Notebook				 		***END***</t>
  </si>
  <si>
    <t xml:space="preserve"> The Municipality of San Quintin Abra now invites bids for the CONSTRUCTION OF FARM TO MARKET ROAD AT ZONE II; ITEM DESCRIPTION UNIT QUANTITY 100(1) CLEARING &amp; GRUBBING with STRIPPING sq.m. 650.00 102(2)a. ROADWAY EXCAVATION (SURPLUS COMMON) cu.m. 320.00 1</t>
  </si>
  <si>
    <t xml:space="preserve"> P.R. No. X1-20-04-192 - Supply and Delivery for the use of DPWH X ARD Conference Room. (Please see attached RFQ)</t>
  </si>
  <si>
    <t xml:space="preserve"> Procurement of Office Supplies</t>
  </si>
  <si>
    <t xml:space="preserve"> Procurement of Other Supplies</t>
  </si>
  <si>
    <t xml:space="preserve"> 1.	The OFFICE OF CIVIL DEFENSE, through the OCD Quick Response Fund 2019 – Capital Outlay (Continuing Appropriation), intends to apply the sum of Twenty Three Million, One Hundred Seventy Four Thousand, Thirty Three and 92/100 Pesos (PHP23,174,033.92), be</t>
  </si>
  <si>
    <t xml:space="preserve"> 1.	The Carmona Water District hereinafter referred to as the “Purchaser” now requests for submission of price proposal for the procurement of the aforesaid item described in the Technical Specifications. 2.	A set of technical specifications are provided i</t>
  </si>
  <si>
    <t xml:space="preserve"> •	Handheld Radio    -    23 Units         Frequency Range – VHF:136-173.995MHz         Memory Channel – 128 Channels         Working Voltage – DC7.4V (Li-ion Battery)         Antenna Impedance - 50Ω    •	Megaphone     -      1 Pc.         50w, 3.5mm AUX  </t>
  </si>
  <si>
    <t xml:space="preserve"> QUANTITY	UNIT	ARTICLES				 		JUNIOR / SENIOR HIGH SCHOOL				 15000	pieces	Back Pack Bag, Customized (See attached design)				 14200	pieces	Pen, Red				 14200	pieces	Pen, Black				 		***END***</t>
  </si>
  <si>
    <t xml:space="preserve"> Corazon Locsin Montelibano Memorial Regional Hospital, through its Bids and Awards Committee, intends to procure NUTRITION &amp; DIETETICS SUPPLIES (PR#20-06-70560), which will be undertaken in accordance with Section 53.9 of the Revised Implementing Rules an</t>
  </si>
  <si>
    <t xml:space="preserve"> FUEL STORAGE TANK CALIBRATION 35KL Scope of works: 1. Carry out calibration work in accordance with API Manual of Petroleum Management 2. Measurement of cylindrical tanks by means of dry strapping method or any latest      acceptable method or technology </t>
  </si>
  <si>
    <t xml:space="preserve"> unit	1	Steel Portable/ Movable Smoke House, Vertical Offset Charcoal Smoker, 50.2'' H x 43.3'' W x 21'' D Cooking Area :1890 square inches Cooking Area Width 22.5'' Cooking Area Depth 14''	 unit	1	"Electric Food Meat Slicer 10""inch MEAT SLICER Semi-Autom</t>
  </si>
  <si>
    <t xml:space="preserve"> - VARIOUS ROADS OF PINGKIAN 3 - APO STREET (MARCOS COMPOUND) - CELEBRITY VILLE STREETS - LEMAVILLE STREET - VIRGINIA STREET</t>
  </si>
  <si>
    <t xml:space="preserve"> 85	sets	-	HLS-250-L-100 100W W/ Cree Chips					 		        Led Streetlight Fixture 5000K CCT with Photocell,					 		        Socket, Link Part and L-Type Aluminum Bracket					 			****Nothing Follows****</t>
  </si>
  <si>
    <t xml:space="preserve"> The Roxas City Government, through the GOP-2020 intends to apply the total amount of One Hundred Seventy Thousand One Hundred Fifty Pesos (Php 170,150.00) being the Aggregate Approved Budget for the Contract (ABC) to payments under the contract for Public</t>
  </si>
  <si>
    <t xml:space="preserve"> 1 10 PC/S CLEAR BOOK - LONG-40 SHEETS 2 2 ROLL/S DOUBLE SIDED TAPE - #2 3 15 PC/S FOLDER - LONG-PLASTIC THICK PINK 4 10 PC/S PEN - SIGN PEN BLACK-NO.0.3 5 10 PC/S PEN - SIGN PEN BLACK-0.4 6 4 PC/S MAGAZINE RACK - FOLDABLE BLUE-115mmx270mmx325mm</t>
  </si>
  <si>
    <t xml:space="preserve"> Procurement of Food Supplies</t>
  </si>
  <si>
    <t xml:space="preserve"> Republic of the Philippines PROVINCE OF BATANGAS Municipality of Lian OFFICE OF BIDS AND AWARDS COMMITTEE INVITATION TO BID 	The Municipal Government of Lian, Batangas through its Bids and Awards Committee (BAC) now calls for the submission of Letters of </t>
  </si>
  <si>
    <t xml:space="preserve"> 1 set 50" TV w/ cable</t>
  </si>
  <si>
    <t xml:space="preserve"> 2	Set	Computer Set, ABC 45,000.00/set 		Specifications:				 		Processor Core: I5 7TH GEN				 		Graphics Card:  N/A				 		Memory: 4GB				 		Hard Drive Capacity: 1TB HDD				 		Operating System: Windows 10 PRO GENUINE				 		Monitor: 19"				 		w/ minumum 1 ye</t>
  </si>
  <si>
    <t xml:space="preserve"> CID No. 20IC0076:  Const. of Rain Water Collection System (RWCS) at Twenty Two (22) Various School Locations in Alangalang, Babatngon, San Miguel, Sta. Fe, Tanauan, Tolosa and Palo, Leyte;  ABC: P4,378,687.50; 90 CD ACTIVITY	TIME	PLACE 1.  Issuance/Downlo</t>
  </si>
  <si>
    <t xml:space="preserve"> Republic of the Philippines Province of Abra MUNICIPALITY OF LUBA Invitation to Bid for  PROCUREMENT OF COMMON-USED OFFICE SUPPLIES Contract Number: 2020-21 1.	The MUNICIPALITY OF LUBA, through the GENERAL FUND intends to apply the sum of Php. 750,000.00 </t>
  </si>
  <si>
    <t xml:space="preserve"> 1 Function Hall 1 room Accommodation (1 guest) Meals 200 pax Rice, Meat, Vegetable, Fruits Snack AM 200 pax Banana Q, Pineapple juice in can Snack PM 200 pax Pancit, Minute Maid</t>
  </si>
  <si>
    <t xml:space="preserve"> 1. The Municipality of San Quintin, Abra now invites bids for the Purchase and installation of Solar Power System with a technical SPEC: • Model Type :SOLAR 5000TLM • Rating :5Kw • Topology : Transformerless  • Number of Independent MPPT : 2 • Maximum Inp</t>
  </si>
  <si>
    <t xml:space="preserve"> I.	INTRODUCTION: The Philippine Health Insurance Corporation (PHIC), a Government Owned and Controlled Corporation, formed by virtue of Republic No. 7875, also known as the National Health Insurance Act of 1995, an act instituting a National Health Insura</t>
  </si>
  <si>
    <t xml:space="preserve"> Invitation to Bid for INFRA 2K20-41 REHAB. &amp; IMPROVEMENT OF ZAMBO. DEL SUR PROVINCIAL COLLEGE June 10, 2020 1.	The Provincial Government of Zamboanga del Sur, through the Supplemental Budget No. 1 CY 2020 and Capital Outlay CY 2020 intends to apply the su</t>
  </si>
  <si>
    <t xml:space="preserve"> 2,970bags -	Cement					 255 	m³	-	Riversand					 340 	m³	-	Gravel					 			****Nothing Follows****</t>
  </si>
  <si>
    <t xml:space="preserve"> Please submit your quotation based on attached RFQ, terms and Conditions.</t>
  </si>
  <si>
    <t xml:space="preserve"> The Municipality of Limay, through its Bids and Awards Committee (BAC) invites registered contractors to apply for eligibility and if found eligible, to bid for the hereunder project/contract: Project/Contract:    CONSTRUCTION OF SECOND FLOOR OF EXISTING </t>
  </si>
  <si>
    <t xml:space="preserve"> 1	1	Lot	Supply and Delivery of Office Supplies ₱15,782.29 			Item Description: 	100	Pcs	Sign Pen, Black liquid/gel ink, 0.5mm needle tip 	100	Pcs	SIGN PEN, BLUE, liquid/gel ink, 0.5mm needle tip 	3	Bottles	STAMP PAD INK, purple or violet 	10	Ream	PAPER, M</t>
  </si>
  <si>
    <t xml:space="preserve"> Female 250-300 kls.</t>
  </si>
  <si>
    <t xml:space="preserve"> INVITATION TO BID FOR THE FURNISHING OF LABOR AND MATERIALS FOR THE CONSTRUCTION/REHABILITATION OF LOCAL ROAD OF BARANGAY BAGUINGIN, TIGBAUAN, ILOILO</t>
  </si>
  <si>
    <t xml:space="preserve"> LOT 1 SCHOOL AND OFFICE SUPPLIES AND OTHER ITEMS- Php 71, 274.61</t>
  </si>
  <si>
    <t xml:space="preserve"> QTY UNIT DESCRIPTION 1	Unit	Laptop				 		Specification				 		- OS :  Windows 10				 		- Processor : i76700HQ Turbo				 		- 4GB GDDR5				 		- Memory RAM : 8-16 GB				 		- Storage : 1 TB 2.5 inch 5400 RPN				 		- Display : 14 - 15.6 inch HD				 		- Optical </t>
  </si>
  <si>
    <t xml:space="preserve"> Republic of the Philippines BATANGAS STATE UNIVERSITY ARASOF-Nasugbu Nasugbu, Batangas Tel. Nos. (043) 416-0350loc 105 REQUEST FOR QUOTATION Purchase of CONAHS Books for BatStateU-ARASOF Nasugbu The Batangas State University (BatState U) through the Bids </t>
  </si>
  <si>
    <t xml:space="preserve"> PLEASE REFER TO THE ATTACHEMENT</t>
  </si>
  <si>
    <t xml:space="preserve"> Corazon Locsin Montelibano Memorial Regional Hospital, through its Bids and Awards Committee, intends to procure NUTRITION &amp; DIETETICS SUPPLIES (PR#20-06-70561), which will be undertaken in accordance with Section 53.9 of the Revised Implementing Rules an</t>
  </si>
  <si>
    <t xml:space="preserve"> The Roxas City Government, through the GOP-2020 intends to apply the total amount of Seventy Thousand Pesos (PhP 70,000.00) being the Approved Budget for the Contract (ABC) to payments under the contract for Public Bidding for the Supply and Delivery of D</t>
  </si>
  <si>
    <t xml:space="preserve"> Repair/Maintenance of Bridge Revetment</t>
  </si>
  <si>
    <t xml:space="preserve"> Lot 1	1	unit	ABC=708,400.00 			"Stereomicroscopic with camera system:                  A. Stereoscope 			     - Zoom Ratio: 7.5:1 			     - Zoom Range: 0.67x - 5x 			     - Magnification: 13.4x - 100x 			     - Eyepiece: 20x, Field no. 12.5 			     - Eyep</t>
  </si>
  <si>
    <t xml:space="preserve"> 10	Unit	Bio metric, ABC 15,000.00/unit 		Fingerprint capacity = 3,200 (1:N) or better				 		Record Capacity = 80,000 or better				 		Communication = TCP/IP,RS232/485, USB(host &amp; client)				 		Software = ZKTeco attendance management				 RFQ#06-0604</t>
  </si>
  <si>
    <t xml:space="preserve"> Republika ng Pilipinas		 	National Irrigation Administration		 	(Pambansang Pangasiwaan ng Patubig)		 	Region XI, Davao City		 			 			 			 			 			 Please quote your lowest price on the items listed below, subject to the General Conditions, stating the sho</t>
  </si>
  <si>
    <t xml:space="preserve"> DESIGN AND PRINTING OF MARKETING TOOLS (BROCHURE/ TABLE AND WALL CALENDAR/ PAPER BAGS/BUSINESS CARDS)</t>
  </si>
  <si>
    <t xml:space="preserve"> 1 set Injection pump, CAM plate assy. 5 pcs Rubber cup, brake, wheel cylinder 2 pcs Rubber cup, secondary cylinder clutch 1 pc Timing belt, 4D56, set 1 pc IC, 12V, alternator</t>
  </si>
  <si>
    <t xml:space="preserve"> 1.          1 A/C         Complete Annual Inspection of RP- 2200 2.           1  pc.        Air Filter Element (P/N BA-6108 3.           1  pc.        Oil Filter ( P/N CH48110-1 ) 4.           1  pc.        ELT P/N AK-451 ( Re- Certification ) 5.         </t>
  </si>
  <si>
    <t xml:space="preserve"> Republic of the Philippines Municipality of Kalayaan Province of Palawan BIDS and AWARDS COMMITTEE PUBLIC BIDDING SUPPLY AND DELIVERY OF FOOD SUPPLIES AND MATERIALS FOR 2ND QUARTER FOOD SUBSIDY 1.	The Municipality of Kalayaan, through the SPSM Fund  inten</t>
  </si>
  <si>
    <t xml:space="preserve"> 1.  900 heads  - Chicks Hubbard 2 to 3 months old fully vaccinated with NCD and without any abnormalities. Requirements:  2020 PhilGeps Registration, Business Permit, Mayors Permit, Tax clearance, BAI Certification and                          Notarized O</t>
  </si>
  <si>
    <t xml:space="preserve"> Republic of the Philippines Province of Abra MUNICIPALITY OF LUBA Invitation to Bid for  PROCUREMENT OF OFFICE EQUIPMENT Contract Number: 2020-22 1.	The MUNICIPALITY OF LUBA, through the GENERAL FUND intends to apply the sum of Php. 240,000.00 being the A</t>
  </si>
  <si>
    <t xml:space="preserve"> The Local Government Unit-Municipality of Malinao, Aklan through the Bids and Awards Committee, intends to apply the sum of Ninety Eight Thousand  Pesos and 00/100 (Php98,000.00) as the Approved Budget for the Contract (ABC) to payments under the contract</t>
  </si>
  <si>
    <t xml:space="preserve"> Submit price quotation not later than June 15, 2020 at BAC Secretariate Office Imbatug, Baungon, Bukidnon</t>
  </si>
  <si>
    <t xml:space="preserve"> 1	1	Lot	Supply and Delivery of Office Supplies ₱207,359.38 			Item Description: 	10	Pcs	CLEARBOOK, 20 transparent pockets, for A4 size 	10	Pcs	CLEARBOOK, 20 transparent pockets, for LEGAL size 	100	Pcs	SIGN PEN, BLACK, liquid/gel ink, 0.5mm needle tip 	10</t>
  </si>
  <si>
    <t xml:space="preserve"> Republic of the Philippines Municipality of Kalayaan Province of Palawan BIDS and AWARDS COMMITTEE PUBLIC BIDDING HIRING OF MOTOR LAUNCH INTENDED FOR MOBILIZATION OF CONSTRUCTION MATERIALS FOR CONSTRUCTION OF WOMEN’S CRISIS UNIT (TRANSIENT HOUSE) PHASE II</t>
  </si>
  <si>
    <t xml:space="preserve"> ITEM: 45   Pcs   Drum Size Styrofoam 2       Rolls    V-Net 750   Rolls   Ukay-Ukay Rope 22mm 90     Sacs    Cement 15    Kgs    Mono Nylon 450   Pcs    Habong (palwa with lukay, buli)</t>
  </si>
  <si>
    <t xml:space="preserve"> Republic of the Philippines DEPARTMENTOF SOCIAL WELFARE AND DEVELOPMENT Regional  Office No. 10, Masterson Avenue, Upper Carmen, Cagayan de Oro City INVITATION TO BID FOR REBIDDING OF SECURITY SERVICES FOR DSWD REGION 10 OFFICE, CENTERS AND SUB OFFICES 20</t>
  </si>
  <si>
    <t xml:space="preserve"> MAINTENANCE OF BRAKE RUNNER PLATE OF GENERATING UNIT</t>
  </si>
  <si>
    <t xml:space="preserve"> TEN (10) DAYS MAINTENANCE TO CONTINUOUS PREVENTIVE MAINTENANCE FOR GENERATING UNIT NO. 2 AND ITS RELATED AUXILIARIES (48 MAINTENANCE HELPERS)</t>
  </si>
  <si>
    <t xml:space="preserve"> Supply and Delivery of 10 units of Stanchion with Retractable Belt Barrier for SSS Lipa Branch Please refer to the attached canvass and technical specifications. Please submit your quotation together with Mayor's Permit, PhilGEPS Registration Number, BIR </t>
  </si>
  <si>
    <t xml:space="preserve"> June 10, 2020 REQUEST FOR QUOTATION (RFQ) MEALS OF PERSONNEL AT THE COVID WARD AND QUARANTINE AREA FOR THE PERIOD OF JUNE 23 – JULY 7, 2020 1.	The Batangas Medical Center hereinafter referred to as the “Purchaser” now request for submission of price propo</t>
  </si>
  <si>
    <t xml:space="preserve"> Republic of the Philippines Municipality of Kalayaan Province of Palawan BIDS and AWARDS COMMITTEE PUBLIC BIDDING SUPPLY AND DELIVERY OF GASOLINE,OIL AND LUBRICANTS FOR THE PRE-POSITIONING AND OPERATIONS OF TRANSPORT ASSETS OF MDRRM  1.	The Municipality o</t>
  </si>
  <si>
    <t xml:space="preserve"> Fabrication &amp; Installation of 2 units Sidecars</t>
  </si>
  <si>
    <t xml:space="preserve"> Republic of the Philippines Municipality of Kalayaan Province of Palawan BIDS and AWARDS COMMITTEE PUBLIC BIDDING SUPPLY AND DELIVERY OF ASSORTED SUPPLIES AND MATERIALS INTENDED FOR DRYDOCKING OF M/L QUEEN SEAGULL 1.	The Municipality of Kalayaan, through </t>
  </si>
  <si>
    <t xml:space="preserve"> 20 pcs Ballpen - black 50 pcs Ballpen - blue 30 pcs Brown envelop long 5 btls Ink T6641 - Black 1 btl Ink T6642 - cyan 1 btl Ink T6643 - magenta 1 btl Ink T6644 - yellow 2 pcs Flash drive (8gb) 10 pcs Folder long 1 pc Modem 8 box Paper fastener (plastic c</t>
  </si>
  <si>
    <t xml:space="preserve"> Republic of the Philippines PROVINCE OF ALBAY 				   Municipality of Rapu-Rapu                                                          Barangay Poblacion Invitation to Bid for  Purchase of Drugs and Medicines 1.	The Barangay Local Government Units of Pob</t>
  </si>
  <si>
    <t xml:space="preserve"> National Power Corporation INVITATION TO BID PUBLIC BIDDING 2020-0113 1.	The NATIONAL POWER CORPORATION (NPC), through       its        approved       Corporate Budget of CY 2020 intends to apply   the   sum   of (Please see schedule below) being the Appr</t>
  </si>
  <si>
    <t xml:space="preserve"> FIFTEEN (15) DAYS IN MAINTENANCE ACTIVITIES FOR GENERATING UNIT NO. 3 AND ITS RELATED AUXILIARIES (19 MECHANICAL &amp; ELECTRICAL HELPERS)</t>
  </si>
  <si>
    <t xml:space="preserve"> Republic of the Philippines					 Department of Public Works and Highways					 OFFICE OF THE DISTRICT ENGINEER					 Cagayan de Oro City 1st District Engineering Office					 10th RES Compound, Bulua, Cagayan de Oro City					 					 PURCHASE REQUEST					 				</t>
  </si>
  <si>
    <t xml:space="preserve"> Brgy. Ermita Maripipi Biliran VERTICAL PROJECT</t>
  </si>
  <si>
    <t xml:space="preserve"> 3in1 Printer with Black Ink Computer Set Extension Wire</t>
  </si>
  <si>
    <t xml:space="preserve"> 1 unit Printer L565</t>
  </si>
  <si>
    <t xml:space="preserve"> INVITATION TO BID  1.The Local Government Unit of Barbaza, Antique now invites bids for the Supply and Delivery of Ten (10) units Executive Swivel Chairs to be used in the Office of the Sangguniang Bayan. Description			:	PURCHASE OF SWIVEL CHAIRS Approved</t>
  </si>
  <si>
    <t xml:space="preserve"> 450 pax AM Snack: Bottled water and fudgee bar 450 pax Lunch: Rice with chicken curry and fried fish, bottled water &amp; fudgee bar 450 pax AM Snack: Bottled water &amp; fudgee bar</t>
  </si>
  <si>
    <t xml:space="preserve"> 2,000	Piece	N95- Regular Size, ABC 130.00/pc RFQ#06-0610</t>
  </si>
  <si>
    <t xml:space="preserve"> Qty	Unit	Unit of Issue 		Youth Summit 108	cover	Snacks (a.m.) (Siopao&amp; Zest-O) 108	Cover	Lunch (Ampalaya/Fried Chicken/Pork Steak/Rice/Water 108	Cover	Snacks (p.m.) (Torta&amp; C2) 		Children’s Month Celebration (Nov. 2020) 290	Cover	Snacks (a.m.) (Moron &amp; C2</t>
  </si>
  <si>
    <t xml:space="preserve"> The Local  Government   Unit  of General  Santos  City, through  the  GENERAL FUND CY 2020  intends  to apply  the sum of three hundred twenty five thousand nine hundred and xx / 100 Pesos Only (325,900.00)   being  the Approved  Budget  for the Contract </t>
  </si>
  <si>
    <t xml:space="preserve"> INVITATION TO BID  1.The Local Government Unit of Barbaza, Antique now invites bids for the Supply and Delivery of Spare Parts for LGU Vehicles &amp; Heavy Equipment.  Description			:	PURCHASE OF SPARE PARTS 					(LGU Vehicles &amp; Heavy Equipments) Approved Bud</t>
  </si>
  <si>
    <t xml:space="preserve"> 1     250 BAG COMPLETE FERTILIZER (14-14-14) 2     250 BAG MURIATE OF POTASH (0-0-60)</t>
  </si>
  <si>
    <t xml:space="preserve"> 1 unit Water dispenser</t>
  </si>
  <si>
    <t xml:space="preserve"> 7 pcs Signage (3x5 with post and concrete base) 8 pcs Signage (3x4 with post and concrete base) 7 pcs Signage (2x4 with post and concrete base) 8 pcs Signage (3x3 with post and concrete base)</t>
  </si>
  <si>
    <t xml:space="preserve"> 20 pcs BR APP with Stethoscope</t>
  </si>
  <si>
    <t xml:space="preserve"> The BIWAD BAC invites suppliers to quote for the   Supply and Installation of one (1) unit 50KVA Generator Set of Poblacion, Pumping Station I. Generator set    - 1 unit 50 KVA Diesel Generator Set, 3 phase (silent type)    - 1 roll wire    -  1 LS Testin</t>
  </si>
  <si>
    <t xml:space="preserve"> Request for Quotation for the Procurement of Office Supplies to be used in the DA SAAD Implementation in Region 7 1.	The Department of Agriculture-Regional Field Office 7 (DA-RFO 7), through the General Appropriations Act of CY 2019 (continuing)  intends </t>
  </si>
  <si>
    <t xml:space="preserve"> Specifications can be viewed online by clicking the "Associated Components" section on this ITB. The Local Government Unit-Municipality of Malinao, Aklan through the Bids and Awards Committee, intends to apply the sum of Six Hundred Ninety Four Thousand F</t>
  </si>
  <si>
    <t xml:space="preserve"> Mattress     90 pcs</t>
  </si>
  <si>
    <t xml:space="preserve"> Variety of : vermicast 14x14x14 urea 16-20 EMAS &amp; Fortified Organic fertilizers</t>
  </si>
  <si>
    <t xml:space="preserve"> 60 persons 1 meal &amp; 2 snacks        Menu:                            Lunch: Rice, beef menudo, pancit canton guisado, special chopsuey, sotanghon soap, softdrinks, desert             Snacks: Meat bread, juice</t>
  </si>
  <si>
    <t xml:space="preserve"> PR No. 20030903 – Supply and Delivery of Two (2) unitsTruck Dropside 6 Wheeler 1.	The Provincial Government of Camarines Norte, through the GF-Capital Outlay CY 2020intends to apply the sum of Three Million Six Hundred Thousand Pesos (P3,600,000.00) being</t>
  </si>
  <si>
    <t xml:space="preserve"> The Local  Government   Unit  of General  Santos  City, through  the  GENERAL FUND CY 2020  intends  to apply  the sum of seven hundred sixty four thousand eighty and xx / 100 Pesos Only (764,080.00)   being  the Approved  Budget  for the Contract   (ABC)</t>
  </si>
  <si>
    <t xml:space="preserve"> One (1) set Video recording equipment minimum specification  1)	Digital video camera for video recording  •	Image Sensor: CMOS 8 Mega Pixel Sensor •	Video Resolution: 2880*2160/24fps, 2560*1440/30fps, 1920*1080/60fps, 1920*1080/30fps, 1280*720/60fps, 1280</t>
  </si>
  <si>
    <t xml:space="preserve"> Republic of the Philippines				 Province of Quezon 				 Municipality of Lucban				 				 Bill of Quantities				 Quantity	Unit	Articles/Description	Unit Price	Amount 				 32	PCS	THERMOMETER	 	  32	PCS	SPHYGMAMOMETER	 	  32	PCS	WEIGHING SCALE	 	  32	PCS	GLUC</t>
  </si>
  <si>
    <t xml:space="preserve"> The Local  Government   Unit  of General  Santos  City, through  the  GENERAL FUND CY 2020  intends  to apply  the sum of seven hundred thirty thousand four hundred forty one and xx / 100 Pesos Only (730,441.00)   being  the Approved  Budget  for the Cont</t>
  </si>
  <si>
    <t xml:space="preserve"> 1     1,000 GAL PAINT WHITE GLOSS LATEX</t>
  </si>
  <si>
    <t xml:space="preserve"> Republic of the Philippines						EDP-G		 		Government of Ormoc City						P.R. No.:  	201496	 		BIDS AND AWARDS COMMITTEE						Quotation No.: 	204403-6122	 		Ormoc City						PhilGEPs No.: 		 										 Standard Form Title:			REQUEST FOR QUOTATION							 		</t>
  </si>
  <si>
    <t xml:space="preserve"> Relief assistance for the children of Indigenous People (IP) of Puerto Princesa City, Palawan affected during the ECQ due to COVID-19 on 19 June 2020  85 pieces/bags RELIEF GOODS PACKAGE (rice, canned goods, milk, noodles, vitamins, etc.)</t>
  </si>
  <si>
    <t xml:space="preserve"> 10   Box   Carbamazepine 200 mg. /Tab. (100/box) 10   Box   Chlorpromazine 100 mg tab (100/box) 10   Box   Clozapine 100 mg/tab (100 tabs/box) 10   Box   Diphenhydramine 50 mg/ Cap. (100/box) 4     Box   Haloperidol , 5 mg tab (100/box) 2     Amp   Halope</t>
  </si>
  <si>
    <t xml:space="preserve"> Procurement of various parts and accessories for the maintenance of PV-30 bill counting machines of the Currency Operations</t>
  </si>
  <si>
    <t xml:space="preserve"> REPAIR/MAINTENANCE OF DPWH BUILDINGS Contract Location:                   a.) Multi-Purpose Building, Zone 7, Bangued, Abra                                               b.) Canteen, Zone 7, Bangued, Abra  Brief Description:                    Repair/Main</t>
  </si>
  <si>
    <t xml:space="preserve"> 125	Piece	Autoclavable Biohazard Bag, ABC 100.00/pc 25	Piece	Cautery Tip Extended Needle Electrode 6", ABC 550.00/pc 50	Piece	Central Venus Pressure Catheter, ABC 200.00/pc 25	Piece	Cervix Brush, Cervical Cell Sample, ABC 15.50/pc 200	Piece	Chart Holder, </t>
  </si>
  <si>
    <t xml:space="preserve"> Republic of the Philippines DEPARTMENT OF PUBLIC WORKS AND HIGHWAYS LANAO DEL NORTE 1st  DISTRICT ENGINEERING OFFICE REGION X 0054 Seminary Drive, Del Carmen, Iligan City INVITATION TO BID FOR THE PROCUREMENT OF GOODS/SUPPLIES FOR THE   FOLLOWING PROJECT </t>
  </si>
  <si>
    <t xml:space="preserve"> Subgrade Preparation, Aggregate Sub-base Course Portland Cement Concrete Pavement (PCCP) Embankment</t>
  </si>
  <si>
    <t xml:space="preserve"> Completion of Barangay Site, Talaguton Road</t>
  </si>
  <si>
    <t xml:space="preserve"> REQUEST FOR QUOTATION (RFQ) Date: June 11, 2020  The Owner/Proprietor _________________ Borongan City Sir: Please quote your price for the items specified below, taking into consideration the following: Name of Project: Repair of T.H.E Building at ESSU Ma</t>
  </si>
  <si>
    <t xml:space="preserve"> INVITATION TO BID  1.The Local Government Unit of Barbaza, Antique now invites bids for the Supply and Delivery of IT Equipments to be used in the Office of the Municipal Assessor. Description			:	PURCHASE OF IT EQUIPMENTS Approved Budget for the Contract</t>
  </si>
  <si>
    <t xml:space="preserve"> Portable Booth for Rapid Testing  4 units</t>
  </si>
  <si>
    <t xml:space="preserve"> Republic of the Philippines PROVINCE OF ALBAY 				   Municipality of Rapu-Rapu                                                          Barangay Poblacion Invitation to Bid for  Maintenance &amp; Improvement of Day Care Center 1.	The Barangay Local Government</t>
  </si>
  <si>
    <t xml:space="preserve"> 1.   30  bags   - Chick Grower Crumble  2.   30  bags   - Layer - Pellets  3.   80  bags   - Crack Corn Medium Requirements:  2020 PhilGeps Registration, Business Permit, Mayors Permit, Tax Clearance, Notarized Omnibus                         Sworn Statem</t>
  </si>
  <si>
    <t xml:space="preserve"> Republic of the Philippines          City of Dumaguete Bids and Awards Committee INVITATION TO BID FOR PURCHASE REQUEST OF 52 BAGS PORTLAND CEMENT 40 KGS AND OTHER ITEMS 	The City of Dumaguete thru its BIDS AND AWARDS COMMITTEE (BAC), invites all interest</t>
  </si>
  <si>
    <t xml:space="preserve"> 1 set Brakeshoe, LH-RH 4 pcs Bushing, shock absorber 4 pcs Bushing, front suspension 2 pcs Cross bearing 2 pcs Front suspension parts, ball joint 4 pcs Glow plug, 12V</t>
  </si>
  <si>
    <t xml:space="preserve"> 1.         140     pcs   Metal stod 2 x10 2.         50        pcs   Hardi flex 4 x8 3.          3         pcs   1/8 x 1/2 blind Rivets 4.          10       pcs   1/8 Drill bit 5            10      pcs    C Parlins 3 x 20 6.           8        pcs     Roo</t>
  </si>
  <si>
    <t xml:space="preserve"> Republic of the Philippines						CAO		 		Government of Ormoc City						P.R. No.:  	201464	 		BIDS AND AWARDS COMMITTEE						Quotation No.: 	204399-6120	 		Ormoc City						PhilGEPs No.: 		 										 Standard Form Title:			REQUEST FOR QUOTATION							 				</t>
  </si>
  <si>
    <t xml:space="preserve"> 1     1 pcs RCPC Molder (Inner) 18" Diameter 2     2 pcs RCPC Molder (Inner) 24" Diameter 3     2 pcs RCPC Molder (Inner) 48" Diameter 4     2 pcs RCPC Bottom Ring 60" Diameter 5     2 set RCPC Molder 36" Diameter 6     1 set RCPC Molder 72" Diameter 7   </t>
  </si>
  <si>
    <t xml:space="preserve"> The Local  Government   Unit  of General  Santos  City, through  the  GENERAL FUND CY 2020  intends  to apply  the sum of three hundred twenty two thousand four hundred and xx / 100 Pesos Only (322,400.00)   being  the Approved  Budget  for the Contract  </t>
  </si>
  <si>
    <t xml:space="preserve"> P.R. No. X2-20-03-181 - Supply and Delivery for the use in the Supply and Property Management Section. (Please see attached RFQ)</t>
  </si>
  <si>
    <t xml:space="preserve"> Lot 1 Repair and Maintenance School Buildings and other items- Php 11,200.00</t>
  </si>
  <si>
    <t xml:space="preserve"> Water Source (spring); Installation of Water Pumping System 1- (Pumping Station 1.6m x 1.6m); Installation of Transformer with complete accessories; Construction of One (1) Intake box; Installation of Pipes and Fittings; Installation of Overhead Tank (con</t>
  </si>
  <si>
    <t xml:space="preserve"> Specifications can be viewed online by clicking the "Associated Components" section on this ITB. The Local Government Unit-Municipality of Malinao, Aklan through the Bids and Awards Committee, intends to apply the sum of Two Hundred Ninety Eight Thousand </t>
  </si>
  <si>
    <t xml:space="preserve"> INVITATION TO BID The City of Bayawan, through its Bids and Awards Committee (BAC), invites suppliers/manufacturers/distributors/contractors to bid for the hereunder projects: Lot No. I		Integrated Water Supply (Pipes)		 			 1	2000		160mmØ x 6m UPVC Pipe,</t>
  </si>
  <si>
    <t xml:space="preserve"> •	Split Type Airconditioner (Inverter)    -    2 Units         KSW-18R5CA         2.0HP     •	Window Type Airconditioner (Non Inverter)   -    2 Units         CW-SC184EPH         2.0HP</t>
  </si>
  <si>
    <t xml:space="preserve"> Construction of Retaining Wall</t>
  </si>
  <si>
    <t xml:space="preserve"> I. Mobilization II. Demolition III. CSHP IV. Line Canal (L=82.4) V. Steel Grating VI. Equipment Labor</t>
  </si>
  <si>
    <t xml:space="preserve"> REQUEST FOR QUOTATION (RFQ) Date: June 11, 2020  The Owner/Proprietor _________________ Borongan City Sir: Please quote your price for the items specified below, taking into consideration the following: Name of Project: Repair of Comfort Room in College o</t>
  </si>
  <si>
    <t xml:space="preserve"> Water Source (drilling); Installation of Water Pumping System 1- (Pumping Station 1.6m x 1.6m), (Well Drilling 8dia. Borehole x 90m depth); Installation of Overhead Tank (concrete) (3.0x3.0x3.0)M – 3MHT.; Installation of 1 Transformer with complete access</t>
  </si>
  <si>
    <t xml:space="preserve"> Poblacion Maripipi, Biliran Horizontal Project</t>
  </si>
  <si>
    <t xml:space="preserve"> Large Tent  10 units</t>
  </si>
  <si>
    <t xml:space="preserve"> 1	UNIT	Car Vehicle 	 	Grade:1.3 J,Transmission:5-Speed M/T 	 	DIMENSION AND WEIGHT 	 	  Overall LengthxWidthx height-4,190mmx1,660mmx1,695mm 	 	Wheelbase-2,655mm, Tread *Front/Rear-1,425mm*1,435mm 	 	Min.Ground Clearance * Without Axle-200mm 	 	Min. Groun</t>
  </si>
  <si>
    <t xml:space="preserve"> 10 galoon Herbicide - round up (4Gal) 5 jar Insecticide - Agita 100 liters Deodorizer - Anti-pollutant</t>
  </si>
  <si>
    <t xml:space="preserve"> Republic of the Philippines						CAO		 		Government of Ormoc City						P.R. No.:  	201553	 		BIDS AND AWARDS COMMITTEE						Quotation No.: 	204397-6119	 		Ormoc City						PhilGEPs No.: 		 										 Standard Form Title:			REQUEST FOR QUOTATION							 				</t>
  </si>
  <si>
    <t xml:space="preserve"> QTY UNITS PARTICULARS 60	gals.	Flat wall enamel (white ) 60	gals.	Quick dry enamel (white) 2	gals.	Quick dry enamel (Royal blue) 60	gals.	Semi Gloss Latex (White) 60	gals.	Flat latex (white) 100	gals.	Roofshield casa blue 30	gals.	Paint Thinner  6	pcs.	Pa</t>
  </si>
  <si>
    <t xml:space="preserve"> I.	WORKSCOPE Based on the requirements of SEC Public Reference Unit (PRU), below are the scopes of work which Service Provider will provide: 1.	Five (5) units of printer with speed of at least 75 ppm, A4 images, to be deployed as primary printer 2.	Seven </t>
  </si>
  <si>
    <t xml:space="preserve"> Republic of the Philippines						CPDO		 		Government of Ormoc City						P.R. No.:  	200774	 		BIDS AND AWARDS COMMITTEE						Quotation No.: 	204395-6118	 		Ormoc City						PhilGEPs No.: 		 										 Standard Form Title:			REQUEST FOR QUOTATION							 			</t>
  </si>
  <si>
    <t xml:space="preserve"> Various Office Supplies</t>
  </si>
  <si>
    <t xml:space="preserve"> A) REQUEST FOR QUOTATION Camera Lenses 1. 2 units  A. Telephoto Zoom Lens a.1) Specifications: Focal Length [mm]: 70-200 Maximum Aperture: F/2.8 Minimum Aperture: F/22 Minimum Object Distance [m]: 0.95 Maximum Magnification Ratio: 1:6.1 Filter Size [mm]: </t>
  </si>
  <si>
    <t xml:space="preserve"> Water Source (spring); Installation of Overhead Tank (concrete) (2.5x2.5x2.5)M – 3MHT; Installation of Pipes and Fittings</t>
  </si>
  <si>
    <t xml:space="preserve"> 300 pax AM Snack: Bottled water and Pancit 300 pax Lunch: Rice with pork adobo, pinakbet, bottled water and cloud nine 300 pax PM Snack: Bottled water and croissant</t>
  </si>
  <si>
    <t xml:space="preserve"> Republic of the Philippines										 OFFICE OF THE DISTRICT ENGINEER										 Cagayan Third District Engineering Office										 Tuguegarao City										 Name of Procuring Entity: 			DPWH-Cagayan Third Engineering Office				Request For Quotation(PR NO</t>
  </si>
  <si>
    <t xml:space="preserve"> Republic of the Philippines City of Cadiz BIDS AND AWARDS COMMITTEE INVITATION TO BID FOR  “Construction/Repair/Improvement of Multi-Purpose Center/BDRRCC @ Brgy. Zone 6, Cadiz City” 	 1.	The Bids &amp; Awards Committee  through the CY 2017 &amp; 2019 IRA ADP-CDA</t>
  </si>
  <si>
    <t xml:space="preserve"> To be used in undertaking maintenance activities above elevated areas of the branch. This provides security and safety to the concerned personnel while executing the said activities.</t>
  </si>
  <si>
    <t xml:space="preserve"> Water Source (drilling); Installation of Water Pumping System 1- (Pumping Station 1.6m x 1.6m), Installation of Overhead Tank (concrete) (2.5x2.5x2.5)M – 3MHT.; Installation of 1 Transformer with complete accessories; Installation of Pipes and Fittings</t>
  </si>
  <si>
    <t xml:space="preserve"> National Power Corporation INVITATION TO BID PUBLIC BIDDING 2020-0106 1.	The NATIONAL POWER CORPORATION (NPC), through       its        approved       Corporate Budget of CY 2020 intends to apply   the   sum   of (Please see schedule below) being the Appr</t>
  </si>
  <si>
    <t xml:space="preserve"> REQUEST FOR EXPRESSION OF INTEREST (REI) CONSULTING SERVICES FOR THE CONDUCT OF GEOTECHNICAL AND GEOLOGICAL SURVEY/INVESTIGATION FOR THE PROPOSED FLOOD CONTROL PROJECTS WITH 3RD CONGRESSIONAL DISTRICT OF PANGASINAN 1.	The Department of Public Works and Hi</t>
  </si>
  <si>
    <t xml:space="preserve"> INVITATION TO BID  The Local Government Unit of Barbaza, Antique, now invites interested contractors with a minimum experience of 5 years in implementing similar/related sub-projects to bid for the hereunder subproject: Name of Project	:	CONSTRUCTION OF S</t>
  </si>
  <si>
    <t xml:space="preserve"> 1 2 PC/S INK - EPSON - BLACK T6641 2 2 BTL/S INK - EPSON (CYAN) T6642 3 2 BTL/S INK - EPSON (MAGENTA) T6643 4 2 PC/S INK - EPSON - YELLOW T6644 5 1 BTL/S INK - EPSON 003 (BLACK) 6 1 BTL/S INK - EPSON 003 (CYAN) 7 1 BTL/S INK - EPSON 003 (MAGENTA) 8 1 BTL/</t>
  </si>
  <si>
    <t xml:space="preserve"> P.R. No. X7-20-02-047 - Supply and Delivery for field use in the conduct of various Planning Applications Surveys for Road and Bridge Information Application (RBIA), Planning and Design Division, 1st qtr. (Please see attached RFQ)</t>
  </si>
  <si>
    <t xml:space="preserve"> INVITATION TO BID FOR Construction of Reinforced Concrete Slope Protection for CY 2020 1. The Department of Education, Butuan City Division, through the GAA FY 2020 intends to apply the sum of Php 3,820,757.90 RCS-2020-001 (Lot 1), and Php 3,408,125.05 RC</t>
  </si>
  <si>
    <t xml:space="preserve"> The BIWAD BAC invites suppliers for the Supply and installation of Read and Bill Software including five(5) sets of Handheld Read and Bill Gadgets with portable Bluetooth Printer for Binalonan Water District. I. SOFTWARE  1 lot Read and Bill Software  1 l</t>
  </si>
  <si>
    <t xml:space="preserve"> 1. TV 50" LED Flat display with remote control, units, 10</t>
  </si>
  <si>
    <t xml:space="preserve"> Purchase of Medicine</t>
  </si>
  <si>
    <t xml:space="preserve"> Purchase and Delivery  of 3-Unit Aircondition Units (with Installation)</t>
  </si>
  <si>
    <t xml:space="preserve"> INVITATION TO BID No. IB-2020-VI-30-01 The Municipality of Sibalom through its Bids &amp; Awards Committee (BAC), invites bidders/contractors to apply for eligibility and to bid for the hereunder project: Project           	 		:	RE-EGENTS (DIAGNOSTIC LABORATO</t>
  </si>
  <si>
    <t xml:space="preserve"> Title:Procurement of 650 Pad Traffic Citation Ticket under P.R.No. 2041-2020-Enforcement of Traffic Laws Total ABC: Php 113,750.00 (INSTRUCTION AS TO THE REQUIRED FORM: For your price quotation, please use the attached Request for Quotation (RFQ) Form and</t>
  </si>
  <si>
    <t xml:space="preserve"> Republic of the Philippines						SP		 		Government of Ormoc City						P.R. No.:  	201558	 		BIDS AND AWARDS COMMITTEE						Quotation No.: 	204393-6117	 		Ormoc City						PhilGEPs No.: 		 										 Standard Form Title:			REQUEST FOR QUOTATION							 					</t>
  </si>
  <si>
    <t xml:space="preserve"> 1 Unit Rescue Van Diesel Engine Type: 4 cylinder Engine Euro 4: 2494cc 5 speed manual transmission Republic of the Philippines Province of Batangas MUNICIPALITY OF MALVAR Office of the Municipal Mayor SECTION I INVITATION TO BID  FOR ACQUISITION OF MOTOR </t>
  </si>
  <si>
    <t xml:space="preserve"> Purchase of 1 unit Solvent recovery unit, 10 l/h. 230 V, 50-60 Hz, 2 units Heavy duty universal core drilling machine, three speeds motor 230 zv, 50-60 Hz, 6 pcs Coring 100mmx200mm Bit, 6 pcs Coring Bit 100mmx400mm, 1 unit Vibration hammer for soil and as</t>
  </si>
  <si>
    <t xml:space="preserve"> REQUEST FOR QUOTATION (RFQ) Date: June 11, 2020  The Owner/Proprietor _________________ Borongan City Sir: Please quote your price for the items specified below, taking into consideration the following: Name of Project: Repair of Nursing Building at ESSU </t>
  </si>
  <si>
    <t xml:space="preserve"> Installation of CFS, 1 Layer on Span 1,2,4 of Main Member 1 - 4; Span of Main Member 1 - 3; Installation of CFP on Span 1 – 4 of Main Member 1 - 4</t>
  </si>
  <si>
    <t xml:space="preserve"> 4 units Trash Bins, Transparent, as per BSP's specifications.</t>
  </si>
  <si>
    <t xml:space="preserve"> REQUEST FOR QUOTATION Supply and Delivery of Agricultural Equipment for OVRPE-CHED-IDIG Project 1. The Cavite State University (CvSU) invites interested firms/suppliers to submit quotation for the project “Supply and Delivery of Agricultural Equipment for</t>
  </si>
  <si>
    <t xml:space="preserve"> P.R. No. X7-20-02-124 - Supply and Delivery for the field use of Road Right of Way, Planning and Design Division. (Please see attached RFQ)</t>
  </si>
  <si>
    <t xml:space="preserve"> Republic of the Philippines DEPARTMENT OF PUBLIC WORKS AND HIGHWAYS SARANGANI DISTRICT ENGINEERING OFFICE REGIONAL OFFICE XII Sarangani District Engineering Office Alabel Sarangani Province 	 DIRECT CONTRACTING The Department of Public Works and Highways-</t>
  </si>
  <si>
    <t xml:space="preserve"> REQUEST FOR QUOTATION (RFQ) Date: June 11, 2020  The Owner/Proprietor _________________ Borongan City Sir: Please quote your price for the items specified below, taking into consideration the following: Name of Project: Repair of Library Building at ESSU </t>
  </si>
  <si>
    <t xml:space="preserve"> Republic of the Philippines						SP		 		Government of Ormoc City						P.R. No.:  	201565	 		BIDS AND AWARDS COMMITTEE						Quotation No.: 	204391-6116	 		Ormoc City						PhilGEPs No.: 		 										 Standard Form Title:			REQUEST FOR QUOTATION							 					</t>
  </si>
  <si>
    <t xml:space="preserve"> The Local Government Unit of Bula is inviting interested PhilGEPS accredited contractors/ suppliers to apply for eligibility and to submit complete bid for the PPLY AND DELIVERY OF MOTOR POOL AND CONSTRUCTION TOOLS under the MMO-GENERAL SERVICES ADMINSTRA</t>
  </si>
  <si>
    <t xml:space="preserve"> Please see attached in the associated components for the Official Bid Form</t>
  </si>
  <si>
    <t xml:space="preserve"> REQUEST FOR QUOTATION (RFQ) Date: June 11, 2020  The Owner/Proprietor _________________ Borongan City Sir: Please quote your price for the items specified below, taking into consideration the following: Name of Project: Repair of Engineering Building at E</t>
  </si>
  <si>
    <t xml:space="preserve"> Printing of the Updated Central Visayas Regional Development Plan 2017-2022 Paper size: 8.5 x 11 inches Process: color offset, full color Binding: Smythe sewn, perfect bind Stock Cover: C2S 140 lbs with matte lamination and spot UV. Inside: Matte 70lbs Nu</t>
  </si>
  <si>
    <t xml:space="preserve"> The Local  Government   Unit  of General  Santos  City, through  the  GENERAL FUND CY 2020  intends  to apply  the sum of one hundred nineteen thousand seven hundred sixty five and xx / 100 Pesos Only (119,765.00)   being  the Approved  Budget  for the Co</t>
  </si>
  <si>
    <t xml:space="preserve"> ITEM DESCRIPTION / SPECIFICATION 2 Units   Mobilization of drilling unit &amp; all accessories 	 2 Units   Preparation of site and setting-up all	 2 Units   Drilling &amp; Installation of 40ft. 10”ø steel pipe as well protective casing. 2 Units   Drilling &amp; Insta</t>
  </si>
  <si>
    <t xml:space="preserve"> 150    Pcs   Acetylcysteine 600 mg sachet 150    Pcs   Acetylcysteine 200 mg sachet 3    Box   Al-MgOH tab. (200/100) 100/box 72   Bot   Amoxycillin 250 mg/5 susp.60ml./bot.flav. w/ box 18   Box   Amoxycillin 500 mg cap. Blister 100/box 10   Box   Amlodep</t>
  </si>
  <si>
    <t xml:space="preserve"> Fittings</t>
  </si>
  <si>
    <t xml:space="preserve"> The University of the Philippines Baguio, through the Corporate Budget for the contract approved by the governing Board intends to apply the sum of One Million One Hundred Thousand Pesos (PhP 1,100,000.00) being the Approved Budget for the Contract (ABC) </t>
  </si>
  <si>
    <t xml:space="preserve"> INVITATION TO BID 1.	Provincial Government of Misamis Oriental, intends to apply the sum stated below being the Approved Budget for the Contract (ABC) to payments under the contract: for the supply and Delivery of Goods. Bids received in excess of the ABC</t>
  </si>
  <si>
    <t xml:space="preserve"> Republic of the Philippines          City of Dumaguete Bids and Awards Committee INVITATION TO BID FOR PURCHASE REQUEST OF 298 PCS CERAMIC FLOOR TILES 400MM X 400MM AND OTHER ITEMS 	The City of Dumaguete thru its BIDS AND AWARDS COMMITTEE (BAC), invites a</t>
  </si>
  <si>
    <t xml:space="preserve"> Republic of the Philippines Department of Public Works and Highways AGUSAN DEL NORTE DISTRICT ENGINEERING OFFICE REGIONAL OFFICE XIII J. P. Rosales Avenue, Butuan City INVITATION TO BID  The Department of Public Works and Highways Agusan del Norte Distric</t>
  </si>
  <si>
    <t xml:space="preserve"> Purchase of Medical Equipment Maripipi, Biliran</t>
  </si>
  <si>
    <t xml:space="preserve"> 495 BAG/S PORTLAND CEMENT - with delivery at Municipal Warehouse - Type 1</t>
  </si>
  <si>
    <t xml:space="preserve"> Republic of the Philippines						CHO		 		Government of Ormoc City						P.R. No.:  	201396	 		BIDS AND AWARDS COMMITTEE						Quotation No.: 	204387-6114	 		Ormoc City						PhilGEPs No.: 		 										 Standard Form Title:			REQUEST FOR QUOTATION							 				</t>
  </si>
  <si>
    <t xml:space="preserve"> Republic of the Philippines BIDS AND AWARDS COMMITTEE Cadiz City      BID DOCUMENTS for the CONCRETING OF ROAD ALLEY @ SO. CAPAYAS, BRGY. SICABA, CADIZ CITY (1) BIDS AND AWARDS COMMITTEE  Cadiz City   INVITATION TO BID/REQUEST FOR EXPRESSION OF INTEREST T</t>
  </si>
  <si>
    <t xml:space="preserve"> The Roxas City Government, through the GOP-2020 intends to apply the amount of One Million Three Hundred Twenty Thousand Pesos (PhP 1,320,000.00) being the Approved Budget for the Contract (ABC) to payments under the contract for Public Bidding for the Su</t>
  </si>
  <si>
    <t xml:space="preserve"> Purchase and Delivery of Various Combi-Roller Blinds with installations</t>
  </si>
  <si>
    <t xml:space="preserve"> RISO CV3230 MASTER COPY 4 BOTTLES RISO CV3230 INK 4 BOTTLES XEROX MACHINE INEO 3350 INK BLACK 6 BOTTLES XEROX MACHINE INEO 3350 INK MAGENTA   2 BOTTLES XEROX MACHINE INEO 3350 INK CYAN  2 BOTTLES XEROX MACHINE INEO 3350 INK YELLOW 2 BOTTLES 1 UNIT TRANSFE</t>
  </si>
  <si>
    <t xml:space="preserve"> Republic of the Philippines						CHO		 		Government of Ormoc City						P.R. No.:  	201345	 		BIDS AND AWARDS COMMITTEE						Quotation No.: 	204389-6115	 		Ormoc City						PhilGEPs No.: 		 										 Standard Form Title:			REQUEST FOR QUOTATION							 				</t>
  </si>
  <si>
    <t xml:space="preserve"> Brief Description of the Project		 Quantity	Unit	Item Description 1.00	unit	Rescue Equipment (Manlift)</t>
  </si>
  <si>
    <t xml:space="preserve"> INVITATION TO BID Bid No. B-82-2020 (*REBIDDING) 1.	The Provincial Government of Negros Oriental now invites bids for the rebidding of the following requirements, viz: 	Project Name:	Source of Fund:	ABC: Project Name 1	Four (4) Lots Construction Materials</t>
  </si>
  <si>
    <t xml:space="preserve"> Republic of the Philippines BIDS AND AWARDS COMMITTEE Cadiz City      BID DOCUMENTS for the CONSTRUCTION OF CONCRETE WATER TANK @ BURGOS ELEMENTARY SCHOOL, BRGY. BURGOS, CADIZ CITY (1) BIDS AND AWARDS COMMITTEE  Cadiz City   INVITATION TO BID/REQUEST FOR </t>
  </si>
  <si>
    <t xml:space="preserve"> 467	bags	Portland Cement	 50	cu.m.	Screened Gravel	 25	cu.m.	Washed Sand	 150	pcs	Deformed Bars, 10mm x 6m	 5	pcs	Deformed Bars, 16mm x 6m	 20	pcs	C-Purlins, 1.2mm x 2" x 4" x 20'	 6	pcs	C-Purlins, 1.2mm x 2" x 3" x 20'	 2	pcs	Flat Bar, 1/4" x 1" x 1" x 2</t>
  </si>
  <si>
    <t xml:space="preserve"> Republic of the Philippines BIDS AND AWARDS COMMITTEE Cadiz City      BID DOCUMENTS for the INSTALLATION OF MOTOR PUMP &amp; WATER SUPPLY PIPELINES @ YEE-ON ELEMENTARY SCHOOL, BRGY. CABAHUG, CADIZ CITY (1) BIDS AND AWARDS COMMITTEE  Cadiz City   INVITATION TO</t>
  </si>
  <si>
    <t xml:space="preserve"> Please see attached file (RFQ-20-06-0449) for reference.</t>
  </si>
  <si>
    <t xml:space="preserve"> Brief Description of the Project			 Quantity	Unit	Item Description	 		COMMON OFFICE SUPPLIES:	 95	bottle	Alcohol 70% 500ml	 17	bxs.	Ballpen,Pilot- Black	 1	bxs.	Ballpen,Pilot- red	 5	bxs.	Ballpen, Pilot-Blue	 1	bxs.	Ballpen, Pilot-Red	 2	box	Ballpen, Pand</t>
  </si>
  <si>
    <t xml:space="preserve"> The Local  Government   Unit  of General  Santos  City, through  the  GENERAL FUND CY 2020  intends  to apply  the sum of five hundred thirteen thousand five hundred forty five and xx / 100 Pesos Only (513,545.00)   being  the Approved  Budget  for the Co</t>
  </si>
  <si>
    <t xml:space="preserve"> P.R. No. X7-20-02-091 -  Supply and Delivery for the use in the Conduct of Bridge Condition Inspection on July 6-10, 2020. (Pantar Br. &amp; Balo-I Steel Br., LDN 1st) Planning and Design Division. (Please see attached RFQ)</t>
  </si>
  <si>
    <t xml:space="preserve"> INVITATION TO BID  1.The Local Government Unit of Barbaza, Antique now invites bids for the Supply and Delivery of Office Equipment (one Unit Split Type Air Conditioning Unit) to be used in the Office of the Municipal Planning &amp; Development Coordinator. D</t>
  </si>
  <si>
    <t xml:space="preserve"> Republic of the Philippines						GSD		 		Government of Ormoc City						P.R. No.:  	201576	 		BIDS AND AWARDS COMMITTEE						Quotation No.: 	204381-6111	 		Ormoc City						PhilGEPs No.: 		 										 Standard Form Title:			REQUEST FOR QUOTATION							 				</t>
  </si>
  <si>
    <t xml:space="preserve"> Republic of the Philippines CITY OF IRIGA BIDS AND AWARDS COMMITTEE May 29, 2020 REQUEST FOR QUOTATION 1. The City of Iriga through the Bids and Awards Committee (BAC) now invites contractors, registered with and classified by the Philippine Contractors A</t>
  </si>
  <si>
    <t xml:space="preserve"> INVITATION TO BID PROVISION OF MEALS AND DRINKING WATER FOR PROJECT SAGIP BATANG SOLVENT (PSBS)  Bid Ref. No. 2020-18 1.	The Philippine Drug Enforcement Agency (PDEA), thru its Bids and Awards Committee (BAC), intends to apply the following sum being the </t>
  </si>
  <si>
    <t xml:space="preserve"> supplies &amp; materials for fabrication of fiberglass reinforced plastic fish tanks &amp; boats</t>
  </si>
  <si>
    <t xml:space="preserve"> Purchase and Delivery of Various Electrical Materials</t>
  </si>
  <si>
    <t xml:space="preserve"> 1.	The Municipal Government of Burgos, Ilocos Norte, through the General Fund intends to apply the sum of PhP2,000,000.00 being the Approved Budget for the Contract (ABC) to payments under the contract for Rehabilitation of Municipal Streets (L. Garcia St</t>
  </si>
  <si>
    <t xml:space="preserve"> Republic of the Philippines          City of Dumaguete Bids and Awards Committee INVITATION TO BID FOR PURCHASE REQUEST OF 5 CU.M SAND STD. AND SPECS AND OTHER ITEMS 	The City of Dumaguete thru its BIDS AND AWARDS COMMITTEE (BAC), invites all interested m</t>
  </si>
  <si>
    <t xml:space="preserve"> 2149	bags	Urea Fertilizer 2329	bags	Complete Fertilizer 6840	bags	Chicken Manure (50kg/bag) 96	pcs	Insecticide 80	pcs	Fungicide ----------------------------------------------------------------------------------------------------------------------------- B</t>
  </si>
  <si>
    <t xml:space="preserve"> ITEM	QTY.	UNIT		ARTICLE AND DESCRIPTION				CEILING 			UNIT PRICE		TOTAL  								PRICE					 													 				Office: Manila Traffic and Parking Bureau				PR No. 282					 				Charge to: Other Supplies and Materials Expenses				OBR No. 100-2001-00504					 </t>
  </si>
  <si>
    <t xml:space="preserve"> P.R. No. X7-20-04-190 - Supply and Delivery for the use in the Repair and Maintenance of 2008/Hillux 3.0L 4x4 DSL M/T-BM-008/EMD 100/TEMP 100810, Planning and Design Division. (Please see attached RFQ)</t>
  </si>
  <si>
    <t xml:space="preserve"> Republic of the Philippines ISABELA STATE UNIVERSITY Cabagan, Isabela INVITATION TO APPLY FOR ELIGIBILITY AND TO BID The Isabela State University, through its Bids and Awards Committee is inviting all qualified bidders to apply for eligibility and to bid </t>
  </si>
  <si>
    <t xml:space="preserve"> 1 lot 2020-055, CONSTRUCTION OF DAY CARE CENTER HALL AT LOMOPOG, MIDSAYAP, COTABATO</t>
  </si>
  <si>
    <t xml:space="preserve"> COATING, STAINLESS STEEL 316L Features: * 100% Stainless Steel Filter - designed for the most demanding service to protect against rust and corrosion * Coats in a single pass on most surfaces * Dries quickly to an attractive top - coat finish that resist </t>
  </si>
  <si>
    <t xml:space="preserve"> Purchase of Food Assistance !5 Barangay's Maripipi, Biliran</t>
  </si>
  <si>
    <t xml:space="preserve"> Brief Description of the Project		 Quantity	Unit	Item Description 1.00	lot	Construction &amp; Occupational Health 1.00	lot	Mobilization 280.00	cu.m.	Excavation Works 84.00	cu.m.	Stone Masonry</t>
  </si>
  <si>
    <t xml:space="preserve"> assorted construction supplies &amp; materials</t>
  </si>
  <si>
    <t xml:space="preserve"> RFQ-2020-167		 			 1.	58	gallons	Alcohol (Isoprophyl 70%) 2.	8	boxes	Blood Lancet 200"s 3.	1,024	pcs.	Face Mask (cloth, washable) 4.	100	pcs.	N95 mask 5.	360	pcs.	Goggles 6.	56	boxes	Latex Examination Gloves (L,M) 7.	6	boxes	Sterile Gloves 8.	16	rolls	Pla</t>
  </si>
  <si>
    <t xml:space="preserve"> Manpower Requirement			 I	I.1 SEC-Head Office	Janitor	13	Immediately upon  contract implementation 		Hauler	15	 		Electrician	1	 		Telephone Technician	1	 		Carpenter/Plumber	1	 		Driver	2	 		Supervisor	1	 	I.2  SEC-Legazpi Ext. Office	Janitors  	2	 	I.3 </t>
  </si>
  <si>
    <t xml:space="preserve"> 60,000	pcs	Cacao seedlings, grafted 1,440	pcs	Calamansi, budded 2,200	pcs	Black pepper seedlings 560	        pcs	Pomelo, budded 400	        kg	Corn Seeds, 1kg foil bag 20	        bag	Pechay 80	        can	Ampalaya 120	        bag	Pole Sitao 160	        ca</t>
  </si>
  <si>
    <t xml:space="preserve"> 1.	The Municipal Government of Burgos, Ilocos Norte, through the 20% Development Fund 2020 intends to apply the sum of PhP1,032,269.20 being the Approved Budget for the Contract (ABC) to payments under the contract for Rehabilitation of Municipal Streets </t>
  </si>
  <si>
    <t xml:space="preserve"> Republic of the Philippines													 BUTUAN CITY WATER DISTRICT													 Gov. Jose A. Rosales Avenue, Butuan City													 Tel. Nos. 143 (Hotline) 342-3145/46 (Bayantel)													 Fax No. 341-4298													 				REQUEST FOR PRICE QUOTATIO</t>
  </si>
  <si>
    <t xml:space="preserve"> 1.	The Municipal Government of Burgos, Ilocos Norte, through the 20% Development Fund  intends to apply the sum of PhP2,000,000.00 being the Approved Budget for the Contract (ABC) to payments under the contract for Construction of Flood Control Dike (Biny</t>
  </si>
  <si>
    <t xml:space="preserve"> ARTICLE AND DESCRIPTION										 ITEM	QTY.	UNIT						CEILING 			UNIT PRICE			TOTAL  								PRICE						 				Office: Office of the City Accountant				P.R. No. 364						 				Charge to: Office Supplies Expenses				OBR. No. 100-2002-01002						 				 ABC:  Ph</t>
  </si>
  <si>
    <t xml:space="preserve"> IV. GENERAL CONDITIONS							 								 	1. All quotations must be duly signed by the duly authorized representative.							 	2. All quotations shall be considered as fixed prices and not subject to price escalation during the contract implementation.					</t>
  </si>
  <si>
    <t xml:space="preserve"> Structural Concrete (ramp &amp; concrete bleacher), Structural Concrete (Columns @ Roof Deck Stair) 20.68Mpa, 28 days, Structural Concrete (Suspended Slab) 20.68Mpa, 28 days (roof deck), Structural Concrete (Beams/Girders) 20.68Mpa, 28 days (roof deck), Reinf</t>
  </si>
  <si>
    <t xml:space="preserve"> Brief Description of the Project			 Quantity	Unit	Item Description	 1.00	lot	Construction &amp; Occupational Health	 1.00	lot	Mobilization	 16.00	cu.m.	Excavation Works	 58.44	cu.m.	Concrete Works	 1.00	lot	Formworks &amp; scaffolds (rental)	 113.76	lm.	Roofing/T</t>
  </si>
  <si>
    <t xml:space="preserve"> 1	unit	Refrigerator (inverter type), side by side ( 912x1780x738, whd) 4	unit	Freezer (Chest type/vertical) 6	unit	Split type aircon inverter 1Hp, AH-XS10UF 2	unit	Dehumidifier</t>
  </si>
  <si>
    <t xml:space="preserve"> Republic of the Philippines Province of Eastern Samar Municipality of Guiuan Invitation to Bid  for  SUPPLY AND DELIVERY OF MATERIALS FOR PROPOSED BRGY. ROAD CONCRETING AT SITIO CABCAO, BRGY. BUCAO, GUIUAN, EASTERN SAMAR Barangay Bucao of Guiuan,  through</t>
  </si>
  <si>
    <t xml:space="preserve"> Purchase and Delivery of Fruit Tree Seedlings</t>
  </si>
  <si>
    <t xml:space="preserve"> REQUEST FOR QUOTATION (RFQ) Supply and Delivery of Personalized of CFO Anniversary Polo Shirt The Commission on Filipinos Overseas invites PhilGEPS registered supplier to apply for the eligibility and to quote the lowest price for the Supply and Delivery </t>
  </si>
  <si>
    <t xml:space="preserve"> Please read attached Terms of Reference</t>
  </si>
  <si>
    <t xml:space="preserve"> The Local  Government   Unit  of General  Santos  City, through  the  GENERAL FUND CY 2020  intends  to apply  the sum of seventy thousand four hundred thirty and 30 / 100 Pesos Only (70,430.30)   being  the Approved  Budget  for the Contract   (ABC) to p</t>
  </si>
  <si>
    <t xml:space="preserve"> 1.	The Municipal Government of Burgos, Ilocos Norte, through the 20% Development Fund 2020 intends to apply the sum of PhP1,000,000.00 being the Approved Budget for the Contract (ABC) to payments under the contract for Rehabilitation of Drainage Canals (E</t>
  </si>
  <si>
    <t xml:space="preserve"> Invitation to Bid for  INFRA 2K20-46 REHABILITATION OF POB. LAKEWOOD – BAKING – DAGUM ROAD Lakewood, Zamboanga del Sur June 10, 2020 1.	The Provincial Government of Zamboanga del Sur, through the CONTINUING CAPITAL OUTLAY CY 2019 (SUPPLEMENTAL BUDGET #4 C</t>
  </si>
  <si>
    <t xml:space="preserve"> REQUEST FOR QUOTATION										 SUPPLY AND DELIVERY OF OFFICE SUPPLIES										 SHOPPING										 										 INSTRUCTION:										               	1.	Supplies are required to read the instructions and fill all the blanks properly.								 	2.	The suppli</t>
  </si>
  <si>
    <t xml:space="preserve"> PLEASE SEE ATTACHED QUOTATION.</t>
  </si>
  <si>
    <t xml:space="preserve"> One hundred twenty (120) number of days Equipment Rental/Lease of Surveying instrument for relocation, subdivision and segregation survey of One hundred eighty two (182) hectares located in Pasil, Balbalan, Pinukpuk, Rizal and Tabuk City, Province of Kali</t>
  </si>
  <si>
    <t xml:space="preserve"> 15 units desktop computer PEO</t>
  </si>
  <si>
    <t xml:space="preserve"> Republic of the Philippines Province of Albay Municipality of Rapu-Rapu Barangay Sta. Barbara INVITATION TO BID FOR THE IMPROVEMENT/REHABILITATION OF WATER SYSTEM 1.	The Barangay Local Government Unit of Sta. Barbara, Rapu-Rapu, Albay, through the Budget </t>
  </si>
  <si>
    <t xml:space="preserve"> 1 lot 2020-056, CONSTRUCTION OF COVERED COURT AT SITIO BULOD, BARANGAY TUGAL, MIDSAYAP, COTABATO</t>
  </si>
  <si>
    <t xml:space="preserve"> ITEM NO.	UNIT	ITEMS &amp; DESCRIPTION/S		QTY	UNIT	UNIT PRICE 1	unit	Solar inverter, 6 KVA, 48V output with		1	 unit 	 		maximum 10A limited current				 		(ABC Php 80,000.00)				 2	unit	Digital temperature and humidity recorder,		1	unit	 		TDK0302 Model 40 0 C</t>
  </si>
  <si>
    <t xml:space="preserve"> Republic of the Philippines BOHOL ISLAND STATE UNIVERSITY Main Campus, Tagbilaran City INVITATION TO BID FOR PR NO. 2020-02-0384-MAIN-SUPPLY AND DELIVERY OF CHEQUE PAPER FOR REGISTRAR’S OFFICE 1.	The Bohol Island State University – Main Campus, Tagbilaran</t>
  </si>
  <si>
    <t xml:space="preserve"> Date: June 10, 2020 The MANAGER		Quotation/Bid No. COB-CS-151-20 NEW PRIMART AUTO SUPPLY Dinaga, Naga City	Purpose: Supply/Delivery of Spare Parts and Tools for use at NIA-THIRIS, Sta. Lucia, Magarao, Camarines Sur  	 REQUEST FOR QUOTATION Please quote yo</t>
  </si>
  <si>
    <t xml:space="preserve"> PL - NB BALDO 1 unit Generator (Dynamo 10 KVA) _ Kubato Diesel Engine, RT 140 14Hp, water cooled, direct injection, with tools, manual, stub shaft coupled with dynamo 2 units Heavy duty distribution transformer (20 KVA) rewiring and installation</t>
  </si>
  <si>
    <t xml:space="preserve"> Construction of 21 – Unit Multi-Purpose Shed (W=2.0m, L=4.1m, H=2.4m)</t>
  </si>
  <si>
    <t xml:space="preserve"> Date: June 10, 2020 The MANAGER		Quotation/Bid No. COB-CS-149-20 BONINGS’ TRADING  General Luna St., Naga City	Purpose: Supply/Delivery of Office Supplies and Materials for use of NIA-CAMSUR IMO Office, Naga City (REBID). 	 REQUEST FOR QUOTATION Please qu</t>
  </si>
  <si>
    <t xml:space="preserve"> CONSTRUCTION OF 125.00 L.M. DRAINAGE CANAL AND 120. L.M. PERIMETER FENCE</t>
  </si>
  <si>
    <t xml:space="preserve"> 200,000   pcs  Washable Face Mask --------------------------------------------------------------------------------------------------------------------------- Bids received in excess of the ABC shall be automatically rejected during the bid opening. The bi</t>
  </si>
  <si>
    <t xml:space="preserve"> Republic of the Philippines  Province of Eastern Samar  Municipality of Guiuan    Invitation to Bid for   SUPPLY AND DELIVERY OF 3 UNITS AIR CONDITION 3TR (FLOOR MOUNTED), GUIUAN E. SAMAR 1.	The Local Government Unit of Guiuan through the Capital Outlay  </t>
  </si>
  <si>
    <t xml:space="preserve"> P.R. No. X7-20-04-191 - Supply and Delivery for tge in Maintenance Montero with plate no. B5G-549, Planning and Design Division. (Please see attached RFQ)</t>
  </si>
  <si>
    <t xml:space="preserve"> The Philippine Crop Insurance Corporation is inviting interested suppliers to send quotation for the "Supply and Delivery of Anti-Virus Software" described in Annex A of the Request for Quotation. Please order/download Associated Components for the comple</t>
  </si>
  <si>
    <t xml:space="preserve"> Location:  Pullaan ABC: Php 2,300,000.00 Cost of Bid Docs: 5,000.00 The Procurement Schedules are as following: 1. Deadline of buying of Bid Docs: June 24, 2020 @ 5:00 PM 2. Deadline for submission of Bid Docs: June 25, 2020 @ 9:00 AM 3. Opening of Bids: </t>
  </si>
  <si>
    <t xml:space="preserve"> 1 unit Satellite Market @ Sitio Sunrise 1.5m flr. area</t>
  </si>
  <si>
    <t xml:space="preserve"> Date: June 10, 2020 The MANAGER		Quotation/Bid No. F501-CS-152-20 JENJAINA CONSTRUCTION &amp; SUPPLY Zone 1, Baras, Canaman, Camarines Sur	Purpose: Supply/Delivery of Construction Materials for use of NIA-THIRIS for SAN FRANCISCO PIS (FAW), Canaman, Camarines</t>
  </si>
  <si>
    <t xml:space="preserve"> Republic of the Philippines PROVINCE OF ZAMBOANGA SIBUGAY Municipality of Mabuhay Barangay Kauswagan OFFICE OF THE BAC CHAIRMAN INVITATION TO BID                                                                                                              </t>
  </si>
  <si>
    <t xml:space="preserve"> Republic of the Philippines Province of Albay Municipality of Rapu-Rapu Barangay Sta. Barbara INVITATION TO BID FOR THE CONSTRUCTION OF SEAWALL (PHASE II) 1.	The Barangay Local Government Unit of Sta. Barbara, Rapu-Rapu, Albay, through the Budget for the </t>
  </si>
  <si>
    <t xml:space="preserve"> Construction of 210 – Unit  Apartment Type Niches</t>
  </si>
  <si>
    <t xml:space="preserve"> ITEM DESCRIPTION			QTY.	UNIT	APPROVED BUDGET FOR THE CONTRACT (in Peso)			Compliance with the Technical Specification (please check)		OFFER	 										REMARKS      (Price/Others)	 								YES	NO		 Portland Cement			65	bag				[  ]	[  ]		 Washed Sand			6	cu</t>
  </si>
  <si>
    <t xml:space="preserve"> 5 pcs 7.50 x 154x14 PR tires with flap &amp; tube, rough PEO</t>
  </si>
  <si>
    <t xml:space="preserve"> Republic of the Philippines BOHOL ISLAND STATE UNIVERSITY Main Campus, Tagbilaran City INVITATION TO BID FOR PR NO. 2020-02-0293-MAIN-SUPPLY, DELIVERY AND INSTALLATION OF LABORATORY EQUIPMENT FOR GARMENTS TECHNOLOGY INSTRUCTION FOR THE COLLEGE OF TEACHER </t>
  </si>
  <si>
    <t xml:space="preserve"> INVITATION TO BID No. IB-2020-VI-30-02 The Municipality of Sibalom through its Bids &amp; Awards Committee (BAC), invites bidders/contractors to apply for eligibility and to bid for the hereunder project: Project           	 		:	Construction Materials (Tordes</t>
  </si>
  <si>
    <t xml:space="preserve"> Republic of the Philippines                   Department of Health	       CENTRAL OFFICE BIDS AND AWARDS COMMITTEE  INVITATION TO BID FOR THE  PROCUREMENT FOR THE RENEWAL OF DOH BLADE CHASSIS AND BLADE SERVERS MAINTENANCE AGREEMENT – REBID  IB NO. 2020-04</t>
  </si>
  <si>
    <t xml:space="preserve"> 1.  63  heads Piglets - 2 months old (Duroc/Landrace)  fully vaccinated , healthy piglets &amp; without any abnormalities Requirements:   2020 PhilGeps Registration, Business Permit, Mayors Permit, BAI Certification, Tax Clearance and                         </t>
  </si>
  <si>
    <t xml:space="preserve"> Pakyaw Labor etc.  NOTE:To all suppliers bid documents  and  BAC Resolution 2020-029 are available at BAC Office and LGU website.</t>
  </si>
  <si>
    <t xml:space="preserve"> 1.	The Carmona Water District hereinafter referred to as the “Purchaser” now requests for submission of price quotation for the procurement of the aforesaid item described in the Technical Specifications. 2.	A set of technical specifications are provided </t>
  </si>
  <si>
    <t xml:space="preserve"> INVITATION TO BID No. IB-2020-VI-30-04 The Municipality of Sibalom through its Bids &amp; Awards Committee (BAC), invites bidders/contractors to apply for eligibility and to bid for the hereunder project: Project           	 	:	 Traffic Sign with Stand (SITMO</t>
  </si>
  <si>
    <t xml:space="preserve"> For installation of structured cabling system at the new office of Mindanao Station at City Tourism Office, City Hall Complex, Cagayan de oro City Requirements: 1.  Philgeps Registration 2.  BIR Registration (Form 2303) 3.  2020 Mayors permit See attached</t>
  </si>
  <si>
    <t xml:space="preserve"> P.R. No. X7-20-03-184 - Supply and Delivery for the use of Axle Load Survey and Traffic Survey of the Planning and Design Division. (Please see attached RFQ)</t>
  </si>
  <si>
    <t xml:space="preserve"> This project  entails on bus hiring (sweeper team) for use during Covid-19 pandemic emergency response of LGU-Magallanes.</t>
  </si>
  <si>
    <t xml:space="preserve"> The Local  Government   Unit  of General  Santos  City, through  the  GENERAL FUND CY 2020  intends  to apply  the sum of one hundred sixty one thousand and xx / 100 Pesos Only (161,000.00)   being  the Approved  Budget  for the Contract   (ABC) to paymen</t>
  </si>
  <si>
    <t xml:space="preserve"> Invitation to Bid for  INFRA 2K20-49 CONCRETING OF BINUAY TO BALUNO ROAD SECTION Dimataling, Zamboanga del Sur June 10, 2020 1.	The Provincial Government of Zamboanga del Sur, through the 20% EDF CY 2020 intends to apply the sum of Nineteen Million Five H</t>
  </si>
  <si>
    <t xml:space="preserve"> 250m Sidewalk &amp; Gutter</t>
  </si>
  <si>
    <t xml:space="preserve"> Republic of the Philippines Province of Southern Leyte Municipality of Tomas Oppus Invitation to Bid  PROCUREMENT OF MATERIALS FOR THE CONSTRUCTION OF MULTI-PURPOSE BLDG./EVACUATION CENTER 1.	The Barangay Government of San Isidro, Tomas Oppus, Southern Le</t>
  </si>
  <si>
    <t xml:space="preserve"> INVITATION TO BID No. IB-2020-VI-30-03 The Municipality of Sibalom through its Bids &amp; Awards Committee (BAC), invites bidders/contractors to apply for eligibility and to bid for the hereunder project: Project           	 	:	 Farm to Market Road (Various B</t>
  </si>
  <si>
    <t xml:space="preserve"> I. SUB-GRADE PREPARATION II. PCCP (L = 130m; W = 0.60m; t = 0.10m) A) MATERIALS B) LABOR C) EQUIPMENT RENTAL</t>
  </si>
  <si>
    <t xml:space="preserve"> Date: June 10, 2020 The MANAGER		Quotation/Bid No. F501-CS-153-20 JENJAINA CONSTRUCTION &amp; SUPPLY Zone 1, Baras, Canaman, Camarines Sur	Purpose: Supply/Delivery of Construction Materials for use of NIA-THIRIS for SAN NICOLAS PIS (FAW), Canaman, Camarines S</t>
  </si>
  <si>
    <t xml:space="preserve"> REPAIR/REPAINTING OF OFFICE Supply of labor, materials and technical expertise for the repair/repainting of Office and Operator’s Quarter Scope of Works: 1. Mobilization of materials and equipment 2. Dismantling of dilapidated roofs, trusses and ceiling b</t>
  </si>
  <si>
    <t xml:space="preserve"> Location:  Montabion/Abinuan/ Caba/Pob. South/Tungngod ABC: Php 1,140,000.00 Cost of Bid Docs: 5,000.00 The Procurement Schedules are as following: 1. Deadline of buying of Bid Docs: June 24, 2020 @ 5:00 PM 2. Deadline for submission of Bid Docs: June 25,</t>
  </si>
  <si>
    <t xml:space="preserve"> Republic of the Philippines BOHOL ISLAND STATE UNIVERSITY Main Campus, Tagbilaran City INVITATION TO BID FOR PR NO. 2020-02-0192-MAIN-SUPPLY AND DELIVERY OF AUDIO AND VISUAL EQUIPMENT (TV SETS) FOR INSTRUCTIONAL PURPOSES OF CTAS 1.	The Bohol Island State </t>
  </si>
  <si>
    <t xml:space="preserve"> PLEASE SEE ATTACHED ASSOCIATED COMPONENT</t>
  </si>
  <si>
    <t xml:space="preserve"> Location:  Cudog/Pob. West/Banga/Pob. North ABC: Php 1,200,000.00 Cost of Bid Docs: 5,000.00 The Procurement Schedules are as following: 1. Deadline of buying of Bid Docs: June 24, 2020 @ 5:00 PM 2. Deadline for submission of Bid Docs: June 25, 2020 @ 9:0</t>
  </si>
  <si>
    <t xml:space="preserve"> Date: June 10, 2020 The MANAGER		Quotation/Bid No. F501-CS-154-20 WILLPRINT GRAPHICS CENTRE INC. Concepcion, Naga City	Purpose: Supply/Delivery of Advertising Materials for use of Institutional Unit NIA-CSIMO, Naga City 	 REQUEST FOR QUOTATION Please quot</t>
  </si>
  <si>
    <t xml:space="preserve"> 120m concrete pavement</t>
  </si>
  <si>
    <t xml:space="preserve"> The Local  Government   Unit  of General  Santos  City, through  the  GENERAL FUND CY 2020  intends  to apply  the sum of three hundred forty two thousand three hundred seventy two and xx / 100 Pesos Only (342,372.00)   being  the Approved  Budget  for th</t>
  </si>
  <si>
    <t xml:space="preserve"> Republic of the Philippines BOHOL ISLAND STATE UNIVERSITY Main Campus, Tagbilaran City INVITATION TO BID FOR PR NO. 2020-02-0190-MAIN-SUPPLY AND DELIVERY OF HOTEL HOUSEKEEPING INSTRUCTIONAL AND LABORATORY MATERIALS FOR THE COLLEGE OF BUSINESS ARTS AND SCI</t>
  </si>
  <si>
    <t xml:space="preserve"> Republic of the Philippines CITY GOVERNMENT OF LA CARLOTA BIDS AND AWARDS COMMITTEE OFFICE TEL. NO.  735-1370                                                                                                      	               	         INVITATION TO BID </t>
  </si>
  <si>
    <t xml:space="preserve"> We are looking for a supplier of vehicle battery (9 plates) for more details please see attached request for quotation. Please submit your original quotations on or before closing date in a sealed envelope and or/ e-mailed together with your Business Perm</t>
  </si>
  <si>
    <t xml:space="preserve"> INVITATION TO BID No. IB-2020-VI-30-05 The Municipality of Sibalom through its Bids &amp; Awards Committee (BAC), invites bidders/contractors to apply for eligibility and to bid for the hereunder project: Project           	 	:	 Construction of Barangay Healt</t>
  </si>
  <si>
    <t xml:space="preserve"> Republic of the Philippines					 PROVINCE OF SIQUIJOR					 BIDS &amp; AWARDS COMMITTEE					 Capitol Building, Siquijor, Siquijor					 					 Business Name:_____________________________				AD. No.: 419-06-2020	 Address:___________________________________				DAT</t>
  </si>
  <si>
    <t xml:space="preserve"> 4 units diamond core, drill bit PEO</t>
  </si>
  <si>
    <t xml:space="preserve"> 1	Unit	LAPTOP 		Display :      Retina display  16inch LED-backlit display with IPS technology; 2560‑by‑1600 native resolution at 227 pixels per inch with support for millions of colors  Supported scaled resolutions:    1680 by 1050    1440 by 900    1024 </t>
  </si>
  <si>
    <t xml:space="preserve"> Location:  Burnay/Cudog/Montabiong/Pob. North/Buyabuyan ABC: Php 1,100,000.00 Cost of Bid Docs: 5,000.00 The Procurement Schedules are as following: 1. Deadline of buying of Bid Docs: June 24, 2020 @ 5:00 PM 2. Deadline for submission of Bid Docs: June 25</t>
  </si>
  <si>
    <t xml:space="preserve"> INVITATION TO BID The City of Bayawan, through its Bids and Awards Committee (BAC), invites suppliers/manufacturers/distributors/contractors to bid for the hereunder projects: 	Lot No. I		Tarpaulin Printing					 1	1	lot	"Labor and Materials ( Tarpaulin Pr</t>
  </si>
  <si>
    <t xml:space="preserve"> as per BSP Technical Specifications</t>
  </si>
  <si>
    <t xml:space="preserve"> Facilities for Engineer, Other General Requirements, Earthworks, Subbase and Base Course, Surface Courses, Drainage and slope Protection Structures, Miscellaneous Structures</t>
  </si>
  <si>
    <t xml:space="preserve"> REQUEST FOR QUOTATION The Municipal Government of Magsaysay, Palawan, through its Bids and Awards Committee (BAC), will undertake a Small Value Procurement for the “Office Equipment for Isolation Unit” in accordance with Section 53.9 of the Implementing R</t>
  </si>
  <si>
    <t xml:space="preserve"> ITEM	ITEM  DESCRIPTION	QTY	UNIT NO.			 1	Piglets (45 - 65 days)	24	heads</t>
  </si>
  <si>
    <t xml:space="preserve"> Republika ng Pilipinas PAMAHALAANG LUNGSOD NG TACLOBAN (City Government of Tacloban) Kanhuraw Hill, Tacloban City 6500 BIDS AND AWARDS COMMITTEE INVITATION TO BID  REF #041-06-2020 (JUNE 11, 2020) PR# 2020-647 DATED 05-28-2020 7040183 The Procuring Entity</t>
  </si>
  <si>
    <t xml:space="preserve"> P.R. No. X11-19-11-609 - Supply and Delivery for the repair and maintenance of Mitsubishi Montero, H1-N/A (B5G 491) assigned at EMD. (Please see attached RFQ)</t>
  </si>
  <si>
    <t xml:space="preserve"> INVITATION TO BID INSTALLATION OF TWO (2) UNITS ARTESIAN WELL FOR IRRIGATION SYSTEM (LABOR SERVICES) – 2ND BIDDING 1.	The Local Government Unit of Cabadbaran City through the GENERAL FUND intends to apply the sum of TWO HUNDRED THOUSAND PESOS ONLY (P 200,</t>
  </si>
  <si>
    <t xml:space="preserve"> 1	Piston Repair Kit S4881152	1	pcs 2	Neck Repair Kit S4881152	1	pcs 3	Repair Kit S4880730	4	pcs 4	Repair Kit S4881007	1	pcs 5	Neck Repair Kit S4891005	1	pcs 6	Neck Repair Kit S4890960	1	pcs 7	Neck Repair Kit S4890900	2	pcs 8	Repair Kit S4880830	2	pcs 9	Re</t>
  </si>
  <si>
    <t xml:space="preserve"> Area = 648 sq. m., 324m L</t>
  </si>
  <si>
    <t xml:space="preserve"> The Local  Government   Unit  of General  Santos  City, through  the  GENERAL FUND CY 2020  intends  to apply  the sum of three hundred seventy four thousand eight hundred twenty and xx / 100 Pesos Only (374,820.00)   being  the Approved  Budget  for the </t>
  </si>
  <si>
    <t xml:space="preserve"> 375 BAG/S PORTLAND CEMENT - with delivery at Municipal Warehouse - Type 1</t>
  </si>
  <si>
    <t xml:space="preserve"> Project Description: Construction of 1m x 1.0m x 980m Long Drainage Canal with units of 1x1x7m Box Culvert Item No. - Description				Percent of Total	Unit	Quantity 						 						 I		STANDARD BILLBOARD		0.07%	Each	1.00 II		REMOVAL OF EXISTING STRUCTURE		7.7</t>
  </si>
  <si>
    <t xml:space="preserve"> The Local  Government   Unit  of General  Santos  City, through  the  GENERAL FUND CY 2020  intends  to apply  the sum of nine hundred seventy thousand and xx / 100 Pesos Only (970,000.00)   being  the Approved  Budget  for the Contract   (ABC) to payment</t>
  </si>
  <si>
    <t xml:space="preserve"> Cylinders: 4-cylinders, L type Valve Mechanism: 16-valve DOHC Displacement: 2,982cc Maximum output: 136/3,400 Ps/Rpm Maximum torque: 300/1,200-2,400 Nm/Rpm Bore &amp; stroke: 92.0 x 103.0 mm Fuel system: Common-rail type Emission standard: Euro 4 Overall leng</t>
  </si>
  <si>
    <t xml:space="preserve"> Procurement of Multifunction Inkjet Printer 7 pc Multifunction Inkjet Printer Print Resolution of 5,760 x 1,440 dpi Print speed of 133 ppm mono, 15 ppm Print speed of up to 9.2 ipm mono, 4.5 Copy speed of 5 secs/copy (B&amp;W), 10 Scan resolution of up to 600</t>
  </si>
  <si>
    <t xml:space="preserve"> Portable label printer   1 Unit Standalone handheld model that can print font Sizes 6 Dimensions (W x D x H) 110 x 170 x 66 mm Weight 0.41kg Tape Type: LK Tape Cartridges Width 6, 9, 12, 18 mm Vertical Printing Yes Mirror Printing Vee Barcode Printing Yes</t>
  </si>
  <si>
    <t xml:space="preserve"> Procurement of Three Hundred Fifty (350) ea Brass Sheet 0.5 mm 4x8 &amp; Six (6) Line Items</t>
  </si>
  <si>
    <t xml:space="preserve"> INVITATION TO BID No. IB-2020-VI-30-06 The Municipality of Sibalom through its Bids &amp; Awards Committee (BAC), invites bidders/contractors to apply for eligibility and to bid for the hereunder project: Project           	 	:	 Construction of Barangay Healt</t>
  </si>
  <si>
    <t xml:space="preserve"> Complete line of pasteurization, Homogenization equipment with rated capacity of 3,500 liters per day 	Provision of Warehouse/area where milk pouches can be stored 	Provision of area where additional equipment may be installed 	Plant must have license-to-</t>
  </si>
  <si>
    <t xml:space="preserve"> Purchase of office and school supplies</t>
  </si>
  <si>
    <t xml:space="preserve"> INVITATION TO BID INSTALLATION OF STREET LIGHTS ALONG SANGHAN - ANTONIO LUNA PROVINCIAL ROAD IN BARANGAY SANGHAN, CABADBARAN CITY - 2ND BIDDING 1.	The Local Government Unit of Cabadbaran City through the PEACE &amp; ORDER FUND under EO 70 ELCAC IMPLEMENTATION</t>
  </si>
  <si>
    <t xml:space="preserve"> BROADCAST TRANSMITTERS (150W) with CONSOLE AND PERIPHERALS.  Broadcast must be audible to nearby towns of Laoag City and whole of Laoag City as well.</t>
  </si>
  <si>
    <t xml:space="preserve"> CONSTRUCTION OF SLOPE PROTECTION</t>
  </si>
  <si>
    <t xml:space="preserve"> Supply and Delivery of the following materials: 1.) ANGLE BAR, 2``X2``X1/4`` - 45 pcs. 2.) FLAT BAR, 3``X1/4``,STD - 15 pcs. 3.) ROUND BAR, 1/2`` DIAMETER, PLAIN - 25 pcs. 4.) BOLTS &amp; NUTS W/ PLAIN &amp; LOCK WASHER, 1/2``X 2``,US - 170 sets 5.) BOLTS &amp; NUTS </t>
  </si>
  <si>
    <t xml:space="preserve"> Republic of the Philippines WESTERN PHILIPPINES UNIVERSITY          A STRONG PARTNER FOR SUSTAINABLE DEVELOPMENT BIDS AND AWARDS COMMITTEE Invitation to Bid for Supply, Delivery and Installation of Digital Speech Laboratory The Western Philippines Univers</t>
  </si>
  <si>
    <t xml:space="preserve"> 70% Isopropyl Alcohol  - 1 liter 		70	bottle Chlorine		   	                        20	kilo Disinfectant Spray - 340 ml			20	bottle Disposable Gloves - 50pcs			10	box Liquid Disinfectant - 1 liter			26	piece Liquid Handwashing Soap-200ml		70	bottle 3 ply S</t>
  </si>
  <si>
    <t xml:space="preserve"> 1	30	pcs	2"x2"x12' lumber		 2	30	pcs	2"x4"x12' lumber		 3	20	pcs	2"x3"x12' lumber		 4	10	pcs	1/2"x10"x8' Cenepa hardiflex		 5	6	pcs	#50 pre coated spanish flashing		 6	12	pcs	#50 pre coated spanish type gutter		 7	16	pcs	1/4" thick marine plywood		 8	2	kg</t>
  </si>
  <si>
    <t xml:space="preserve"> Procurement of One (1) Lot Meals Only</t>
  </si>
  <si>
    <t xml:space="preserve"> Construction of Flood Control Structures along Zapote River and its Tributaries</t>
  </si>
  <si>
    <t xml:space="preserve"> Republic of the Philippines Department of Health Central Luzon Center for Health Development Talavera General Hospital Talavera, Nueva Ecija    ISO QMS Certified INVITATION TO BID  Re-Bidding of Supply and Delivery of One (1) Lot Various Engineering and M</t>
  </si>
  <si>
    <t xml:space="preserve"> Facilities for Engineer, Other General Requirements, Earthworks, Subbase and Base Course, Surface Courses, Drainage and Slope Protection Structures, Miscellaneous Structures</t>
  </si>
  <si>
    <t xml:space="preserve"> 1. The total approved budget for the contract for the SUPPLY AND DELIVERY OF ASSORTED uPVC PIPES is PhP 207,000.00 2. Price quotations must include all taxes, duties, and/or levies payable and must be valid for 30 days. 3. Suppliers must specify the BRAND</t>
  </si>
  <si>
    <t xml:space="preserve"> INVITATION TO BID No. IB-2020-VI-30-07 The Municipality of Sibalom through its Bids &amp; Awards Committee (BAC), invites bidders/contractors to apply for eligibility and to bid for the hereunder project: Project           	 	:	 Construction of Barangay Healt</t>
  </si>
  <si>
    <t xml:space="preserve"> BAC RESOLUTION NO. 312-2020 “A RESOLUTION DECLARING FAILURE OF BIDDING AND RECOMMEND FOR ALTERNATIVE MODE OF PROCUREMENT” WHEREAS, the Bids and Awards Committee (BAC) thru the Secretariat published in PhilGEPS and in any conspicuous places the purchase of</t>
  </si>
  <si>
    <t xml:space="preserve"> Kindly see attached documents</t>
  </si>
  <si>
    <t xml:space="preserve"> 30 units Fabrication of Light trap Note: Please attach legal documents and updated PhilGEPS Certificate, failure to submit your bid documents will not be considered for the opening by the BAC. Please refer to RA 9184-GPPB Revised IRR Series of 2016 Append</t>
  </si>
  <si>
    <t xml:space="preserve"> 1 set CCTV PEO</t>
  </si>
  <si>
    <t xml:space="preserve"> Location: LGU-Lagawe ABC: Php 310,632.00 Cost of Bid Docs: 500.00 The Procurement Schedules are as following: 1. Deadline of buying of Bid Docs: June 24, 2020 @ 5:00 PM 2. Deadline for submission of Bid Docs: June 25, 2020 @ 9:00 AM 3. Opening of Bids: Ju</t>
  </si>
  <si>
    <t xml:space="preserve"> Republic of the Philippines MUNICIPALITY OF BUENAVISTA INVITATION TO BID FOR SUPPLY AND DELIVERY OF MATERIALS FOR IMPROVEMENT OF YOOK HEALTH CENTER   1.	The Local Government Unit of Buenavista, Marinduque through the fund from 20 Development Fund CY 2020 </t>
  </si>
  <si>
    <t xml:space="preserve"> Invitation to Bid for  INFRA 2K20-50 CONCRETING OF ROAD FROM JOSEFINA TO BALINTAWAK, MARGOSATUBIG (PHASE I) Margosatubig, Zamboanga del Sur June 10, 2020 1.	The Provincial Government of Zamboanga del Sur, through the 20% EDF CY 2020 intends to apply the s</t>
  </si>
  <si>
    <t xml:space="preserve"> Republic of the Philippines Province of Pangasinan BIDS AND AWARDS COMMITTEE Municipality of Calasiao INVITATION TO BID FOR  CONSTRUCTION OF LAUNDRY AREA WITH PLACENTA PIT, VAULT SLAB AND DRAINAGE OF BIRTHING AND NEW CALASIAO MUNICIPAL HEALTH CLINIC, AT C</t>
  </si>
  <si>
    <t xml:space="preserve"> The Local  Government   Unit  of General  Santos  City, through  the  GENERAL FUND CY 2020  intends  to apply  the sum of eight hundred four thousand twenty three and 44 / 100 Pesos Only (804,023.44)   being  the Approved  Budget  for the Contract   (ABC)</t>
  </si>
  <si>
    <t xml:space="preserve"> 60ft TOWER from the Roof Deck, Monopole Sectional, G.I. sched. 40, 3 Guying Points. Can withstand 120kph to 150kph max. wind speed.</t>
  </si>
  <si>
    <t xml:space="preserve"> Republic of the Philippines Province of Lanao del Norte Municipality of Tubod OFFICE OF THE BIDS AND AWARDS COMMITTEE INVITATION TO BID CONSTRUCTION/CONCRETING OF 270 LN. M. LOCAL ACCESS ROAD   Purok 5, TCES, Poblacion, Tubod, Lanao del Norte  (ITB-2020-J</t>
  </si>
  <si>
    <t xml:space="preserve"> Procurement of furnitures for use in various offices, DPWH, Negros Occidental 3rd District Engineering Office, Kabankalan City. 1.	The DPWH Negros Occidental 3rd District Engineering Office, Kabankalan City through the FY 2020 EAO intends to apply the sum</t>
  </si>
  <si>
    <t xml:space="preserve"> Please download ITB in the Associated Components</t>
  </si>
  <si>
    <t xml:space="preserve"> 1	Unit 	PROJECTOR 		Projection System :    3LCD Technology, RGB liquid crystal shutter 		LCD Panel :    0.55 inch with MLA (D10) 		Image :     		Colour Light Output :    3,600 Lumen- 2,235 Lumen (economy) In accordance with IDMS15.4 		White Light Output :</t>
  </si>
  <si>
    <t xml:space="preserve"> Establishment of Water System and Repair &amp; Improvement of Entrance Gate &amp; Guard House for JRMSU-Tampilisan Campus</t>
  </si>
  <si>
    <t xml:space="preserve"> The Department of Agriculture-RFO 3, invites interested suppliers to submit quotations/proposals for the hereunder requirement, to wit: 6	unit	GEOTAGGING DEVICE	 		Android	 		Nano SIM, Singe SIM, Dual SIM, Dual Standby	 		Octa-core	 		2x2.27 GHz Cortez - </t>
  </si>
  <si>
    <t xml:space="preserve"> Demolition of existing wall and window, structure excavation, concrete works with reinforcement  for footing, wall footing, column and concrete pouring for slab, masonry works for right side-window, rear side, installation of structural steel for roof fra</t>
  </si>
  <si>
    <t xml:space="preserve"> Republic of the Philippines Province of Misamis Oriental Municipality of Lugait -oOo- INVITATION TO BID FOR THE PROCUREMENT OF 1-UNIT BRAND NEW GOVERNMENT VEHICLE (AMBULANCE TYPE) FOR THE USE OF LOCAL GOVERNMMENT UNIT OF LUGAIT, MISAMIS ORIENTAL. The Muni</t>
  </si>
  <si>
    <t xml:space="preserve"> The Local  Government   Unit  of General  Santos  City, through  the  GENERAL FUND CY 2020  intends  to apply  the sum of two hundred forty one thousand four hundred forty and xx / 100 Pesos Only (241,440.00)   being  the Approved  Budget  for the Contrac</t>
  </si>
  <si>
    <t xml:space="preserve"> We are looking for a supplier for repair and maintenance materials of BWD Vehicle , for more details please see attached request for quotation. Please submit your original quotations on or before closing date in a sealed envelope, and or e-mailed together</t>
  </si>
  <si>
    <t xml:space="preserve"> To All Eligible Suppliers; Please quote your lowest price on the item listed below subject to the General Conditions stated herein and submit the same to the Office of the BAC-Secretariat on or before June 23, 2020 at 10:00 o'clock in the morning. (SGD) W</t>
  </si>
  <si>
    <t xml:space="preserve"> Surplus Common Excavation, Structure Excavation (Common Soil), Embankment from Roadway Excavation, Subgrade Preparation (Common Material), Aggregate Sub-base Course, (20 cm. thk.), Portland Cement Concrete Pavement (unreinforced, 0.15m thick, 14 days), Co</t>
  </si>
  <si>
    <t xml:space="preserve"> Republic of the Philippines						GSD		 		Government of Ormoc City						P.R. No.:  	201518	 		BIDS AND AWARDS COMMITTEE						Quotation No.: 	204385-6113	 		Ormoc City						PhilGEPs No.: 		 										 Standard Form Title:			REQUEST FOR QUOTATION							 				</t>
  </si>
  <si>
    <t xml:space="preserve"> INVITATION TO BID No. IB-2020-VI-30-08 The Municipality of Sibalom through its Bids &amp; Awards Committee (BAC), invites bidders/contractors to apply for eligibility and to bid for the hereunder project: Project           	 	:	 Construction of Barangay Healt</t>
  </si>
  <si>
    <t xml:space="preserve"> Description   Section I Republic of the Philippines Province of Sarangani Municipality of Maitum OFFICE OF BIDS AND AWARDS COMMITTEE Invitation to Bid for Vehicle Parts for Repair and Maintenance of Light Vehicle 1. The Local Government of Maitum, through</t>
  </si>
  <si>
    <t xml:space="preserve"> Project Description: Construction of 380m x 6m Item No. - Description				Percent of Total	Unit	Quantity 						 						 I	BILLBOARDS/SIGNAGES			0.07%	lot	1.00 II	 CLEARING AND GRUBBING 			2.99%	sq.m	2,660.00 III	 EMBANKMENT 			22.85%	cu.m	2,432.00 IV	 AGGRE</t>
  </si>
  <si>
    <t xml:space="preserve"> Name of Contract: Concreting of Pal-ew-Sto. Niño Road, Barangay Pal-ew (Additional Allocation) and Concreting of Sto. Niño-Pal-ew Road, Barangay Sto. Niño (Additional Allocation) IAC Classification: Small "B" for Roads PCAB Category "D" Duration: 90 Calen</t>
  </si>
  <si>
    <t xml:space="preserve"> PROCUREMENT OF TWO (2) UNITS MOTORCYCLE FOR ENFORCEMENT. OFF ROAD SPORTS MOTORCYCLE ENGINE TYPE: AIR COOLED, 4-STROKE, SOHC, 2-VALVE ENGINE DISPLACEMENT NOT EXCEEDING 200 CC TIRE SIZE: 80/90-21, 110/80-18 WITH COMPLETE ACCESSORIES WITH LTO REGISTRATION WI</t>
  </si>
  <si>
    <t xml:space="preserve"> TO PURCHASE SOLAR PANEL TO BE USE AS  ELECTRICITY SOURCE OF BRGY. MULTIPURPOSE HALL..</t>
  </si>
  <si>
    <t xml:space="preserve"> Three Wheels (Swivel) Trailer type Platform Trolley: Dimension; Depth:75cm; Length:90cm; Height: 30 cm Weighing Scale: Digital; High Precision balance; Food Grade; Capacity &amp; Graduation: 150g x 0.001g Stock Pot: Stainless Steel; 41 quarts</t>
  </si>
  <si>
    <t xml:space="preserve"> Supply of Labor and Materials for Rehabilitation / Restoration of Kalayaan Hall Exterior</t>
  </si>
  <si>
    <t xml:space="preserve"> The Government of the Philippines (GOP) has received a loan from World Bank towards the cost of Philippine Rural Development Project, and it intends to apply part of the proceeds of this Loan to payments for the procurement of Consumables/Ink/Toner Intend</t>
  </si>
  <si>
    <t xml:space="preserve"> Republic of the Philippines Province of Cagayan Municipality of Sta. Praxedes BIDS AND AWARDS COMMITTEE	 Invitation to Bid Supply and Delivery of Construction Materials for the Slope Protection @ Star Village Barangay Cadongdongan ITB – Goods – 2020 -06-0</t>
  </si>
  <si>
    <t xml:space="preserve"> 1.	The Local Government Unit of Aroroy, through its Annual Budget (20% DF)  intends to apply the sum of Php 500,000.00 being the Approved Budget for the Contract (ABC) to payments under the contract for Expansion of Pier at Brgy. Amotag.  Bids received in</t>
  </si>
  <si>
    <t xml:space="preserve"> Item No.	Qty	Unit	Article / Description 1	1	lot	"Internet Installation  - ladderized pole ranging 100ft.or more depending on the requirement of the location for 28 public schools - WIFI ready (Labor and Materials and Maintenance after sales included)"</t>
  </si>
  <si>
    <t xml:space="preserve"> Procurement of Services and Provision of One Hundred Twenty-Five (125) Units Brand New Multi-Function Printers (MFP) for the Printing and Photocopying Requirements of Various OP Offices for FY 2020</t>
  </si>
  <si>
    <t xml:space="preserve"> REQUEST FOR QUOTATIONS Supply and Delivery of Office Supplies and Computer Supplies for BUGS Registrar’s Office The Bicol University, through the Corporate Budget for the contract approved by the Board of Regents intends to apply the sum of One Hundred Fi</t>
  </si>
  <si>
    <t xml:space="preserve"> Smartphone, Realme 6, storage: 128gb, RAM: 8gb, Display Android Smartphone</t>
  </si>
  <si>
    <t xml:space="preserve"> Project Description: Re-Blocking of 6 x 538m Las Navas Municipal Road Item No. - Description				Percent of Total	Unit	Quantity 						 						 I	BILLBOARDS/SIGNAGES			0.07%	lot	1.00 II	 Removal of Existing Structure 			11.52%	sq.m	3,228.00 III	 BASE PREPARA</t>
  </si>
  <si>
    <t xml:space="preserve"> 1.	The Local Government Unit (LGU) of Aroroy, through its Supplemental Budget No. 05 - 2020 to apply the sum of Php 2,000,000.00 being the Approved Budget for the Contract (ABC) to payments under the contract for Supply and Delivery of Supplies/Materials </t>
  </si>
  <si>
    <t xml:space="preserve"> Republic of the Philippines Province of Misamis Oriental Municipality of Lugait -oOo- PROCUREMENT OF OFFICE FURNITURE ADDITIONAL (OFFICE TABLES, CABINET &amp; CHAIRS), DELIVERY AND INSTALLATION FOR THE USE OF LOCAL GOVERNMMENT UNIT OF LUGAIT, MISAMIS ORIENTAL</t>
  </si>
  <si>
    <t xml:space="preserve"> 40	pcs	SOLID STATE DRIVE (SSD)  		Desired Technical Specification  		Interface : SATA 6 Gb/ s Interface  		Capacity: 250Gb 		Sequencial Read: 550 MB/ s 		Sequencial Write: 520 MB/ s 		Random Read read up to IOPS: 95K 		Random Write read up to IOPS: 81K 		</t>
  </si>
  <si>
    <t xml:space="preserve"> Construction of Multipurpose Building with a floor area of 7.00m x8.00m consist of the following scope of works;Plastering Works; Painting works for all elevation including parapet walls and ceiling; Fabrication and installation of Doors and Windows; as p</t>
  </si>
  <si>
    <t xml:space="preserve"> INVITATION TO BID No. IB-2020-VI-30-10 The Municipality of Sibalom through its Bids &amp; Awards Committee (BAC), invites bidders/contractors to apply for eligibility and to bid for the hereunder project: Project           	 		:	Construction Materials (Egana </t>
  </si>
  <si>
    <t xml:space="preserve"> Invitation to Bid for QRF2020-RVI-022-ILOILO-B1-L1 ITB No. 007 The Department of Education (DepED) Schools Division of Iloilo, through the CY 2020 Quick Response Fund (QRF), intends to apply the sum Five Million Eighty Eight Thousand Eight Hundred Twenty </t>
  </si>
  <si>
    <t xml:space="preserve"> Name of Contract: Concreting of Road Leading to Jacinto Aguilar M/S Barangay Tugas, Concreting of Road Leading to Buyao-Tugas and Concreting of Road Sito Canlibot, Barangay Tugas IAC Classification: Small "B" for Roads PCAB Category "D" Duration: 90 Calen</t>
  </si>
  <si>
    <t xml:space="preserve"> Gift Set in Plastic Pouch of  1 Alcohol, 1 Hand Sanitizer and 1 Liquid Hand Soap; 100 ml each in plastic bottles; with customized labels on pouch and bottles.</t>
  </si>
  <si>
    <t xml:space="preserve"> Republic of the Philippines Province of Samar  Municipality of Jiabong INVITATION TO BID FOR  CONSTRUCTION  OF PERIMETER FENCE OF NATIONAL CHILD DEVELOPMENT CENTER Jiab-2020-20A 1.	The Municipal Government of Jiabong, Samar, intends to apply the sum of ON</t>
  </si>
  <si>
    <t xml:space="preserve"> supply and delivery of one unit Dosing Pump with accessories, EMEC, K CL PLUS (Constant Dosing System with level control)</t>
  </si>
  <si>
    <t xml:space="preserve"> I. STRUCTURE EXCAVATION, MANUAL				 II. STRUCTURE BACKFILL, MANUAL				 III. CLASS A CONCRETE				 IV. RUBBLE MASONRY				 V. 2" DIAMETER PERFORATED PIPE W/ END CUP				 VI. FILTER DRAIN				 VII. REINFORCING STEEL BARS				 FURNISHING &amp; STOCKPILING				 CUT, BE</t>
  </si>
  <si>
    <t xml:space="preserve"> QUOTATION FORM For Negotiated Procurement due to Two-Failed Bidding Registered Name  of Establishment:		Date: Mode of Procurement:	June 10, 2020 Negotiated Procurement (Two-Failed Bidding) Address: 		Quotation No.	TFB-2020-004Recanvass Contact No.		PR No.</t>
  </si>
  <si>
    <t xml:space="preserve"> Supply &amp; Delivery: 10,000 pcs. Plastic, transparent, 40 Height × 40 Length</t>
  </si>
  <si>
    <t xml:space="preserve"> QUOTATION FORM For Negotiated Procurement due to Two-Failed Bidding Registered Name  of Establishment:		Date: Mode of Procurement:	June 10, 2020 Negotiated Procurement (Two-Failed Bidding) Address: 		Quotation No.	TFB-2020-003Recanvass Contact No.		PR No.</t>
  </si>
  <si>
    <t xml:space="preserve"> 1. CABINET FILING STEEL, 3-DRAWERS IN POWDER COATED METAL BODY &amp; 5 OTHERS DELIVERY SITE:     OM-BOD OFFICE                             PEÑAFRANCIA, DARAGA, ALBAY PLEASE SUBMIT REQUIREMENTS: 1	MAYOR’S/BUSINESS PERMIT 2	PhilGEPS REG. NUMBER/CERTIFICATE</t>
  </si>
  <si>
    <t xml:space="preserve"> QUOTATION FORM For Negotiated Procurement due to Two-Failed Bidding Registered Name  of Establishment:		Date: Mode of Procurement:	June 10, 2020 Negotiated Procurement (Two-Failed Bidding) Address: 		Quotation No.	TFB-2020-005 Contact No.		PR No. 	EP-19-1</t>
  </si>
  <si>
    <t xml:space="preserve"> Item No.	Qty	Unit	Article / Description 1	30	units	"LAPTOP  - CPU: Ryzen 5 - RAM: 4GB - 8GB - SSD: 240 - 256GB - HDD: 500GB - 1TB - WINDOWS 10 - MS Office - Wifi Ready - MONITOR RES: 1920 x 1080P (FHD)"</t>
  </si>
  <si>
    <t xml:space="preserve"> Republic of the Philippines Province of Davao Oriental City of Mati BIDS &amp; AWARDS COMMITTEE INVITATION TO BID LOT Procurement of AIR CONDITIONERS for the Use of DOPH Gov. Generoso SOURCE OF FUND: GF-CAPITAL OUTLAY [4421-4-300-5-02-13-050] 1.	The Provincia</t>
  </si>
  <si>
    <t xml:space="preserve"> 1 unit HP Laserjet Printer Pro 200 color 3 units canon pixma MX 532 wireless all in one printer</t>
  </si>
  <si>
    <t xml:space="preserve"> TO PURCHASE MINI DUMP TRUCK AS TO BE USE FOR THE COLLECTION OF GARBAGE AT BRGY. MUZON I.</t>
  </si>
  <si>
    <t xml:space="preserve"> The Department of Education, Schools Division of Puerto Princesa Bids and Awards Committee through the FY 2020  General Appropriation Act intends to apply the sum of One Million Seven Hundred Seventy Seven Thousand Six Hundred Thirteen Pesos and 88/100 On</t>
  </si>
  <si>
    <t xml:space="preserve"> CCTV with 5 HD infrared/waterproof camera heavy duty wire and 42'' Led TV Monitor</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</si>
  <si>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</si>
  <si>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Republic of the Philippines Province of South Cotabato City of Koronadal BIDS AND AWARDS COMMITTEE INVITATION TO BID FOR THE  Procurement for the Supply and Delivery of 11,653 Sets Educational School Supplies for Public School Grades 4-6 Students of the C</t>
  </si>
  <si>
    <t xml:space="preserve"> Fabrication of Classroom (Container Van)</t>
  </si>
  <si>
    <t xml:space="preserve"> Republic of the Philippines PROVINCE OF ALBAY 				   Municipality of Rapu-Rapu Invitation to Bid for  Local Access Road in Poblacion to Guadalupe  1.	The Local Government Units of Rapu-Rapu, Albay through the Approved 2019 LGSF-Assistance to the Municipal</t>
  </si>
  <si>
    <t xml:space="preserve"> Supply and Delivery of 70 bags Okra Seeds- 1 kilo, 70 bags Sitao Seeds- 1 kilo, 45 bags Pechay seeds- 1 kilo, 45 bags Radish Seeds- 1 kilo, 70 cans Eggplant Seeds- 50 grams, 115 bag Complete Fertilizer, etc.....</t>
  </si>
  <si>
    <t xml:space="preserve"> 1. The total approved budget for the contract for the SUPPLY AND DELIVERY OF SUBMERSIBLE PUMP, MOTOR, THERMAL OVERLOAD RELAY AND #10 Submersible Cable, 3C is PhP 112,100.00 2. Price quotations must include all taxes, duties, and/or levies payable and must</t>
  </si>
  <si>
    <t xml:space="preserve"> 122 pcs - 110 mm diameter  uPVC, Class 150, S80 10 pcs - 90 mm diameter  uPVC, Class 150, S80 11 rolls - 75 mm diameter ( 2 1/2" ) HDPE Pipe SDR 11 with free 5 kg of Pipe disinfectant as per specification below: Chlorine granule Chemical name: Sodium Dich</t>
  </si>
  <si>
    <t xml:space="preserve"> Invitation to Bid for QRF2020-RVI-022-ILOILO-B1-L2 ITB No. 008 The Department of Education (DepED) Schools Division of Iloilo, through the CY 2020 Quick Response Fund (QRF), intends to apply the sum Five Million One Hundred Sixty Two Thousand Four Hundred</t>
  </si>
  <si>
    <t xml:space="preserve"> Republic of the Philippines Department of Health Cagayan Valley Center for Health Development BATANES GENERAL HOSPITAL Basco, Batanes E-mail Address: bataneshospital@gmail.com INVITATION TO BID ITB NO. 2020-06 Supply &amp; Delivery of Various Medicines 1. The</t>
  </si>
  <si>
    <t xml:space="preserve"> CONCRETING OF BARANGAY GUINGUINABANG FMR Contract Location:                     Barangay Guinguinabang, Lacub, Abra Brief Description:                     Concreting of Road using PCCP (Unreinforced, 0.20m thk.) The DPWH-Abra District Engineering Office r</t>
  </si>
  <si>
    <t xml:space="preserve"> Republika ng Pilipinas								 NATIONAL IRRIGATION ADMINISTRATION								 Pambansang Pangasiwaan ng Patubig								 Negros Occidental Irrigation Management Office								 Celis St. Bago City, Negros Occidental								 (034) 461-0494, (034) 454-2033							</t>
  </si>
  <si>
    <t xml:space="preserve"> Item No.	Qty	Unit	Article / Description 1	600	pax	Meals (Lunch)</t>
  </si>
  <si>
    <t xml:space="preserve"> Republic of the Philippines Province of South Cotabato City of Koronadal BIDS AND AWARDS COMMITTEE INVITATION TO BID FOR THE  Procurement for the Supply and Delivery of 11,100 Sets Educational School Supplies for Public School Grades 1-3 Students of the C</t>
  </si>
  <si>
    <t xml:space="preserve"> Republic of the Philippines Province of Davao Oriental City of Mati BIDS &amp; AWARDS COMMITTEE INVITATION TO BID LOT Procurement of MATERIALS for Use of Brgy. Lucatan, Tarragona, Davao Oriental SOURCE OF FUND: PGO [1999Z4-B-5-02-14-030] 1.	The Provincial Gov</t>
  </si>
  <si>
    <t xml:space="preserve"> CONCRETING OF BARANGAY NAGCANASAN FMR Contract Location:                    Barangay Nagcanasan, Pilar, Abra Brief Description:                     Concreting of Road using PCCP (Unreinforced, 0.20m thk. 14 days) The DPWH-Abra District Engineering Office </t>
  </si>
  <si>
    <t xml:space="preserve"> Construction of Multipurpose Building with a floor area of 7.00m x8.00m consist of the following scope of works: Masonry works for Septic Vault; Concrete Works for Slab, Sidewalk and Septic Vault(Slab); Plastering Works for all elevation  including Parape</t>
  </si>
  <si>
    <t xml:space="preserve"> PCCP (new)</t>
  </si>
  <si>
    <t xml:space="preserve"> INVITATION TO BID (GOODS) The Municipality of Sibonga, through the Trust Fund intends to apply the sum of Four hundred ninety-nine thousand nine hundred pesos only (499,900.00) being the Approved Budget for the Contract (ABC) to payment under the contract</t>
  </si>
  <si>
    <t xml:space="preserve"> INVITATION TO BID (GOODS) The Municipality of Sibonga, through the General Fund intends to apply the sum of Six hundred seventy-seven thousand eight hundred seventy-five pesos only (677,875.00) being the Approved Budget for the Contract (ABC) to payment u</t>
  </si>
  <si>
    <t xml:space="preserve"> Invitation to Bid for QRF2020-RVI-022-ILOILO-B1-L6 ITB No. 012 The Department of Education (DepED) Schools Division of Iloilo, through the CY 2020 Quick Response Fund (QRF), intends to apply the sum Four Million Two Hundred Forty Three Thousand Eight Hund</t>
  </si>
  <si>
    <t xml:space="preserve"> Republic of the Philippines Province of Davao Oriental City of Mati BIDS &amp; AWARDS COMMITTEE INVITATION TO BID LOT Procurement of MATERIALS for Use of Brgy. Sto. Rosario, San Isidro, Davao Oriental SOURCE OF FUND: PGO [1999Z4-B-5-02-14-030] 1.	The Provinci</t>
  </si>
  <si>
    <t xml:space="preserve"> DESCRIPTION: 101 REMOVAL OF STRUCTURES AND OBSTRUCTION 105 SUBGRADE PREPARATION 201 AGGRAGATE BASE COURSE 311 PCC PAVEMENT, PLAIN  SPL -1 WARNING &amp; HAZARD SIGNS INCLUDING BOLLARDS SPL- 2 HEALTH AND SAFETY SPL-3 BILLBOARD (4 X8 TARPAULIN ON 2 X3 WOODEN FRA</t>
  </si>
  <si>
    <t xml:space="preserve"> Republic of the Philippines				 Province of Lanao del Norte				 Municipality of Lala				 Office of the Municipal General Services				 				                                                                                        ____________ 				            </t>
  </si>
  <si>
    <t xml:space="preserve"> Republic of the Philippines Province of Samar  Municipality of Jiabong INVITATION TO BID FOR  REPAIR OF BARANGAY HALL (BRGY LULUGAYAN) Jiab-2020-21A 1.	The Municipal Government of Jiabong, Samar, intends to apply the sum of ONE HUNDRED FIFTY THOUSAND  PES</t>
  </si>
  <si>
    <t xml:space="preserve"> Republic of the Philippines Province of Davao Oriental City of Mati BIDS &amp; AWARDS COMMITTEE INVITATION TO BID LOT Procurement of MATERIALS for Use in the Construction of Staff House at Tourism Complex, Brgy. Don Martin Marundan, City of Mati, Davao Orient</t>
  </si>
  <si>
    <t xml:space="preserve"> Construction of single storey 8.00 x 18.00 m. (144.00 sq.m.) Barangay Multi purpose building with amenities</t>
  </si>
  <si>
    <t xml:space="preserve"> 18000  Liters	Diesel	47.15	848,700.00 2500    Liters	Unleaded Regular	56.35	140,875.00 Conditions:  1. Total Cost is  based on current average pump price for Diesel and Unleaded Gasolinein Gasoline Station along JASA, Layac, Sta Isabel, and San Ramon   2.</t>
  </si>
  <si>
    <t xml:space="preserve"> 1.  25  bags  - Pre-starter Pellets 2.  81  bags  - Starter Pellets 3.  138 bags - Grower Pellets Requirements:   2020 PhilGeps Registration, Business Permit, Mayors Permit, Tax Clearance, Notarized Omnibus                          Sworn Statement of Busi</t>
  </si>
  <si>
    <t xml:space="preserve"> Invitation to Bid for QRF2020-RVI-022-ILOILO-B1-L4 ITB No. 010 The Department of Education (DepED) Schools Division of Iloilo, through the CY 2020 Quick Response Fund (QRF), intends to apply the sum Three Million Six Hundred Ninety Thousand Nine Hundred T</t>
  </si>
  <si>
    <t xml:space="preserve"> Republic of the Philippines Department of Public Works and Highways REGIONAL OFFICE VIII Baras, Palo, Leyte INVITATION TO BID June 10, 2020 1.	The DPWH Regional Office VIII, Baras, Palo, Leyte through its Bids and Awards Committee (BAC), invites contracto</t>
  </si>
  <si>
    <t xml:space="preserve"> 50 pcs - 160 mm diameter uPVC, Class 150, S80 50 pcs - 110 mm diameter uPVC, Class 150, S80 with free 5 kg of Pipe disinfectant as per specification below: Chlorine granule Chemical name: Sodium DichloroisocyanurateGanules Concentration: 60% - 65% Granule</t>
  </si>
  <si>
    <t xml:space="preserve"> Republic of the Philippines Cordillera Administrative Region Provincial Local Government Unit of Ifugao BIDS AND AWARDS COMMITTEE 2nd Floor COA Bldg., Capitol Compound Lagawe, Ifugao Email Ad.: bacgoodsifugao13@gmail.com INVITATION TO BID OFFICE EQUIPMENT</t>
  </si>
  <si>
    <t xml:space="preserve"> Republic of the Philippines Province of Davao Oriental City of Mati BIDS &amp; AWARDS COMMITTEE INVITATION TO BID LOT Procurement of MATERIALS for Use of Brgy. Taguibo, City of Mati, Davao Oriental SOURCE OF FUND: PGO [1999Z4-B-5-02-14-030] 1.	The Provincial </t>
  </si>
  <si>
    <t xml:space="preserve"> Republic of the Philippines DEPARTMENT OF PUBLIC WORKS AND HIGHWAYS ILOILO CITY DISTRICT ENGINEERING OFFICE REGION VI Fort San Pedro Road, Iloilo City Name of Procuring Entity:   DPWH-ILOILO CITY DISTRICT ENGINEERING OFFICE Request for Quotation (PR No): </t>
  </si>
  <si>
    <t xml:space="preserve"> Republic of the Philippines Province of South Cotabato City of Koronadal BIDS AND AWARDS COMMITTEE INVITATION TO BID FOR THE  Procurement for the Supply and Delivery of 3,700 Pieces School Bags for Public School Grade – 1 Pupils of the City 1.	The City Go</t>
  </si>
  <si>
    <t xml:space="preserve"> Republic of the Philippines 	CITY OF SAN PEDRO Province of Laguna BIDS AND AWARDS COMMITTEE INVITATION TO APPLY FOR ELIGIBILITY AND TO BID PR NO. 0224 1.	The City Government of San Pedro, Laguna through the 2020 Budget Approved by the Sangguniang Panglung</t>
  </si>
  <si>
    <t xml:space="preserve"> Republic of the Philippines Province of Davao Oriental City of Mati BIDS &amp; AWARDS COMMITTEE INVITATION TO BID Procurement of 2,500 Kilos RED PEANUT WITH SHELL in Support to Rice Farmers of the Province (Planting of Peanut after Rice Cropping Season) SOURC</t>
  </si>
  <si>
    <t xml:space="preserve"> Republic of the Philippines Cordillera Administrative Region Provincial Local Government Unit of Ifugao BIDS AND AWARDS COMMITTEE 2nd Floor COA Bldg., Capitol Compound Lagawe, Ifugao Email Ad.: bacgoodsifugao13@gmail.com INVITATION TO BID HEAVY EQUIPMENTS</t>
  </si>
  <si>
    <t xml:space="preserve"> Invitation to Bid for QRF2020-RVI-022-ILOILO-B1-L5 ITB No. 011 The Department of Education (DepED) Schools Division of Iloilo, through the CY 2020 Quick Response Fund (QRF), intends to apply the sum Four Million Three Hundred Thirty Seven Thousand Seven H</t>
  </si>
  <si>
    <t xml:space="preserve"> Supply and Delivery of 4,550 pcs. Small Bag- Back Pack Color:  Orange bag with side pocket net and logo, 9,050 pcs.  Medium Bag- Back Pack, Color:  Blue bag with side pocket net and logo, 8,650 pcs. Large bag-  Back Pack Color:  Mint Green with front pock</t>
  </si>
  <si>
    <t xml:space="preserve"> Invitation to Bid for QRF2020-RVI-022-ILOILO-B1-L8 ITB No. 014 The Department of Education (DepED) Schools Division of Iloilo, throtyugh the CY 2020 Quick Response Fund (QRF), intends to apply the sum Five Million Nine Hundred Fifty Eight Thousand Eight H</t>
  </si>
  <si>
    <t xml:space="preserve"> Hiring of Assisting Professional for establishment of 2 hectares PBMA and conduct of Baseline Data Assessment  see attached files for the details.</t>
  </si>
  <si>
    <t xml:space="preserve"> Supply and Delivery of 5,600 pcs. Jumbo Yellow Pencil with Eraser, 97,250 pcs. Yellow Pencil with Eraser, 93,000 pcs. Ballpen 1.0mm, 27,400 pcs. Pentel pen Black, and 13,600 pcs. Colored Paper 20's assorted</t>
  </si>
  <si>
    <t xml:space="preserve"> Please see attached Invitation to Bid for details.</t>
  </si>
  <si>
    <t xml:space="preserve"> Republic of the Philippines Cordillera Administrative Region Provincial Local Government Unit of Ifugao BIDS AND AWARDS COMMITTEE 2nd Floor COA Bldg., Capitol Compound Lagawe, Ifugao Email Ad.: bacgoodsifugao13@gmail.com INVITATION TO BID Two (2) units Br</t>
  </si>
  <si>
    <t xml:space="preserve"> OPENING OF BIDS IN ZAMBOANGA CITY DELIVERY IN ZAMBOANGA CITY PROCUREMENT OF THE FOLLOWING: 50 GALLOON ALCOHOL 70%  4 LIT. 320 BOX SURGICAL FACE MASK (50 PCS) 30 BOX SURGICAL GLOVES (ASSORTED) ****************************************** PURPOSE: FOR THE USE</t>
  </si>
  <si>
    <t xml:space="preserve"> 1. The Department of Agriculture – Regional Field Office – Cordillera Administrative Region (DA-RFO-CAR) intends to apply part of its CY 2020 General Appropriation Act (GAA) the total sum of One Million Fifty Nine Thousand Six Hundred Pesos (P1,059,600.00</t>
  </si>
  <si>
    <t xml:space="preserve"> Republic of the Philippines     Province of South Cotabato     City of Koronadal     BIDS AND AWARDS COMMITTEE INVITATION TO BID FOR THE  Procurement for the Supply and Delivery of One Unit Mobile Patrol Vehicle with Complete Accessories, City of Koronada</t>
  </si>
  <si>
    <t xml:space="preserve"> The items attached is one portable data filer. Please attached your price quotation on items you are interested.</t>
  </si>
  <si>
    <t xml:space="preserve"> Republic of the Philippines Cordillera Administrative Region Provincial Local Government Unit of Ifugao BIDS AND AWARDS COMMITTEE 2nd Floor COA Bldg., Capitol Compound Lagawe, Ifugao Email Ad.: bacgoodsifugao13@gmail.com INVITATION TO BID IT EQUIPMENT Pub</t>
  </si>
  <si>
    <t xml:space="preserve"> 1. The Department of Agriculture – Regional Field Office – Cordillera Administrative Region (DA-RFO-CAR) intends to apply part of its CY 2020 General Appropriation Act (GAA) the total sum of Seven Million Five Hundred Sixty Nine Thousand Pesos (P7,569,000</t>
  </si>
  <si>
    <t xml:space="preserve"> 1. The Department of Agriculture – Regional Field Office – Cordillera Administrative Region (DA-RFO-CAR) intends to apply part of its CY 2020 General Appropriation Act (GAA) the total sum of Three Million Three Hundred Ninety Five Thousand Four Hundred Pe</t>
  </si>
  <si>
    <t xml:space="preserve"> P.R. No. X11-20-02-084 - Supply and Delivery for the use in Equipment Management Division Office. (Please see attached RFQ)</t>
  </si>
  <si>
    <t xml:space="preserve"> Invitation to Bid for QRF2020-RVI-022-ILOILO-B1-L7 ITB No. 013 The Department of Education (DepED) Schools Division of Iloilo, through the CY 2020 Quick Response Fund (QRF), intends to apply the sum Six Million Five Hundred Ninety Thousand Four Hundred Tw</t>
  </si>
  <si>
    <t xml:space="preserve"> 1.	The Tondo Medical Center (TMC), through the General Appropriations Act/HFEP intends to apply the sum of Eleven Million Eight Hundred Forty Five Thousand Two Hundred Sixty Philippine Pesos (PhP 11,845,260.00) being the Approved Budget for the Contract (</t>
  </si>
  <si>
    <t xml:space="preserve"> Republic of the Philippines     Province of South Cotabato     City of Koronadal     BIDS AND AWARDS COMMITTEE INVITATION TO BID FOR THE  Procurement for the Supply and Delivery of One (1) Unit Four Wheeled Vehicle (Pick-Up) for CSU Operations, City of Ko</t>
  </si>
  <si>
    <t xml:space="preserve"> INVITATION TO APPLY FOR ELIGIBILITY AND TO BID The Municipality of Silang, Cavite, through its Bids and Awards Committee (BAC), invites suppliers/ manufacturers/ distributors/ contractors to apply for eligibility and to bid for the projects: Supply and De</t>
  </si>
  <si>
    <t xml:space="preserve"> Republic of the Philippines Province of Davao Oriental City of Mati BIDS &amp; AWARDS COMMITTEE INVITATION TO BID Procurement of 200 Pieces Toilet Bowl for Use of Various Household in Different Municipalities of Davao Oriental SOURCE OF FUND: GAD FUND [7999-P</t>
  </si>
  <si>
    <t xml:space="preserve"> Download attachment in the Associated Components. For further information, please refer to: Atty. VIRGILIO B. GALEON Head, BAC Secretariat BAC Office Government Center Bldg. A J. P. Rizal Blvd., Market Area  City of Santa Rosa, Laguna 4026 Telephone Numbe</t>
  </si>
  <si>
    <t xml:space="preserve"> NOTICE OF PROCUREMENT June 11, 2020 Notice is hereby given that the Department of Public Works and Highways (DPWH)-Metro Manila 3rd District Engineering Office is undertaking the following project, to wit; CID No. 19CSOD26- Procurement for the Conduct of </t>
  </si>
  <si>
    <t xml:space="preserve"> Invitation to Bid for QRF2020-RVI-022-ILOILO-B1-L12 ITB No. 018 The Department of Education (DepED) Schools Division of Iloilo, through the CY 2020 Quick Response Fund (QRF), intends to apply the sum Three Million Three Hundred Eighteen Thousand Three Hun</t>
  </si>
  <si>
    <t xml:space="preserve"> Republic of the Philippines     Province of South Cotabato     City of Koronadal     BIDS AND AWARDS COMMITTEE INVITATION TO BID FOR THE  Procurement for the Supply and Delivery of One (1) Unit Six (6) Wheeler Reconditioned Water Truck for CENRO, City of </t>
  </si>
  <si>
    <t xml:space="preserve"> 50 pcs. HP 680 Black 50 pcs. HP 680 Tri-color 20 pcs. HP 85A 50 pcs. LX310</t>
  </si>
  <si>
    <t xml:space="preserve"> 1. The Department of Agriculture – Regional Field Office – Cordillera Administrative Region (DA-RFO-CAR) intends to apply part of its CY 2020 General Appropriation Act (GAA) the total sum of Seven Million Four Hundred Fifty Eight Thousand Eight Hundred Fo</t>
  </si>
  <si>
    <t xml:space="preserve"> Republic of the Philippines Cordillera Administrative Region Provincial Local Government Unit of Ifugao BIDS AND AWARDS COMMITTEE 2nd Floor COA Bldg., Capitol Compound Lagawe, Ifugao Email Ad.: bacgoodsifugao13@gmail.com INVITATION TO BID COMPUTER SERVER </t>
  </si>
  <si>
    <t xml:space="preserve"> 1.	The Tondo Medical Center (TMC), through the General Appropriations Act/HFEP intends to apply the sum of Sixteen Million Philippine Pesos (PhP 16,000,000.00) being the Approved Budget for the Contract (ABC) to payments under the contract for the Procure</t>
  </si>
  <si>
    <t xml:space="preserve"> Invitation to Bid for QRF2020-RVI-022-ILOILO-B1-L9 ITB No. 015 The Department of Education (DepED) Schools Division of Iloilo, through the CY 2020 Quick Response Fund (QRF), intends to apply the sum Five Million One Hundred Thirty One Thousand Seven Hundr</t>
  </si>
  <si>
    <t xml:space="preserve"> Invitation to Bid for QRF2020-RVI-022-ILOILO-B1-L3 ITB No. 009 The Department of Education (DepED) Schools Division of Iloilo, through the CY 2020 Quick Response Fund (QRF), intends to apply the sum Four Million Seven Hundred Thirty Two Thousand Six Hundr</t>
  </si>
  <si>
    <t xml:space="preserve"> 1. The Department of Agriculture – Regional Field Office – Cordillera Administrative Region (DA-RFO-CAR) intends to apply part of its CY 2020 General Appropriation Act (GAA) the total sum of Two Million Seven Hundred Eighty Four Thousand Seventeen Pesos a</t>
  </si>
  <si>
    <t xml:space="preserve"> Supply and Delivery of 47,900 pcs. Composition Notebook (80 leaves) 46 gsm, 155,000 pcs.  Spiral Notebook (80 leaves 46 GSM), 42,750 pcs.  Writing Pad 80 leaves, 68,500 Inter.  Writing Pad 80 leaves,  13,600 pcs. Bond Paper (Short) 80 GMS 50pcs/ sheets, 8</t>
  </si>
  <si>
    <t xml:space="preserve"> Invitation to Bid for QRF2020-RVI-022-ILOILO-B1-L10 ITB No. 016 The Department of Education (DepED) Schools Division of Iloilo, through the CY 2020 Quick Response Fund (QRF), intends to apply the sum Six Million One Hundred Sixty Five Thousand Two Hundred</t>
  </si>
  <si>
    <t xml:space="preserve"> REQUEST FOR QUOTATION (RFQ) The Philippine Ports Authority, PMO- Zamboanga del Norte, through its Bids and Awards Committee will undertake Negotiated Procurement – Sec.53.9 Small Value Procurement for the SUPPLY AND DELIVERY OF WIRINGS AND CABLES FOR GENE</t>
  </si>
  <si>
    <t xml:space="preserve"> Invitation to Bid for QRF2020-RVI-022-ILOILO-B1-L13 ITB No. 019 The Department of Education (DepED) Schools Division of Iloilo, through the CY 2020 Quick Response Fund (QRF), intends to apply the sum Four Million One Hundred Fifty One Thousand Six Hundred</t>
  </si>
  <si>
    <t xml:space="preserve"> Invitation to Bid for QRF2020-RVI-022-ILOILO-B1-L16 ITB No. 022 The Department of Education (DepED) Schools Division of Iloilo, through the CY 2020 Quick Response Fund (QRF), intends to apply the sum Five Million Nine Hundred Forty Six Thousand Fifty Two </t>
  </si>
  <si>
    <t xml:space="preserve"> Invitation to Bid for QRF2020-RVI-022-ILOILO-B1-L11 ITB No. 017 The Department of Education (DepED) Schools Division of Iloilo, through the CY 2020 Quick Response Fund (QRF), intends to apply the sum Five Million Twenty Thousand Six Hundred Eighty Six Pes</t>
  </si>
  <si>
    <t xml:space="preserve"> Invitation to Bid for QRF2020-RVI-022-ILOILO-B1-L14 ITB No. 020 The Department of Education (DepED) Schools Division of Iloilo, through the CY 2020 Quick Response Fund (QRF), intends to apply the sum Six Million Two Hundred Sixty Thousand Three Hundred Th</t>
  </si>
  <si>
    <t xml:space="preserve"> 133 pcs Cellular phones Cards TNT 35  pcs Cellular phones Cards Smart 35  pcs Cellular phones Cards Globe 7    pcs Cellular phones Cards TM</t>
  </si>
  <si>
    <t xml:space="preserve"> 1. The Department of Agriculture – Regional Field Office – Cordillera Administrative Region (DA-RFO-CAR) intends to apply part of its CY 2020 General Appropriation Act (GAA) the total sum of Six Million Nine Hundred Sixteen Thousand Three Hundred Fifty Pe</t>
  </si>
  <si>
    <t xml:space="preserve"> NOTICE OF PROCUREMENT June 11, 2020 Notice is hereby given that the Department of Public Works and Highways (DPWH)-Metro Manila 3rd District Engineering Office is undertaking the following project, to wit; CID No. 19CSOD27- Procurement for the Conduct of </t>
  </si>
  <si>
    <t xml:space="preserve"> NOTICE OF PROCUREMENT June 11, 2020 Notice is hereby given that the Department of Public Works and Highways (DPWH)-Metro Manila 3rd District Engineering Office is undertaking the following project, to wit; CID No. 19CSOD28- Procurement for the Conduct of </t>
  </si>
  <si>
    <t xml:space="preserve"> 1. The Department of Agriculture – Regional Field Office – Cordillera Administrative Region (DA-RFO-CAR) intends to apply part of its CY 2020 General Appropriation Act (GAA) the total sum of Twenty Four Million One Hundred Ninety Seven Thousand Three Hund</t>
  </si>
  <si>
    <t xml:space="preserve"> PROPOSED REPAIR, MAINTENANCE , REHABILITATION OF LINE CANAL AT BRGY. III-C, SAN PABLO CITY</t>
  </si>
  <si>
    <t xml:space="preserve"> Invitation to Bid for QRF2020-RVI-022-ILOILO-B1-L18 ITB No. 024 The Department of Education (DepED) Schools Division of Iloilo, through the CY 2020 Quick Response Fund (QRF), intends to apply the sum Five Million One Hundred Twenty Eight Thousand Six HUnd</t>
  </si>
  <si>
    <t xml:space="preserve"> Invitation to Bid for QRF2020-RVI-022-ILOILO-B1-L15 ITB No. 021 The Department of Education (DepED) Schools Division of Iloilo, through the CY 2020 Quick Response Fund (QRF), intends to apply the sum Six Million Two Hundred Fifty Six Thousand One Hundred </t>
  </si>
  <si>
    <t xml:space="preserve"> 1. The Department of Agriculture – Regional Field Office – Cordillera Administrative Region (DA-RFO-CAR) intends to apply part of its CY 2020 General Appropriation Act (GAA) the total sum of Two Million Two Hundred Sixty Eight Thousand Five Hundred Pesos </t>
  </si>
  <si>
    <t xml:space="preserve"> Supply and Delivery of 8,650 pcs. Plastic Protractor 10cm 180, 21,200 pcs. ID Lace and Holder (Personalized), 54,800 pcs. Plastic Envelope Long, 27,400 pcs. Colored Plastic Expanded Envelope, 2,400 pcs. Calculator, 22,250 pcs. Plastic Pencil Sharpener 2 -</t>
  </si>
  <si>
    <t xml:space="preserve"> Invitation to Bid for QRF2020-RVI-022-ILOILO-B1-L17 ITB No. 023 The Department of Education (DepED) Schools Division of Iloilo, through the CY 2020 Quick Response Fund (QRF), intends to apply the sum Five Million Five Hundred Eighty Six Thousand Two Hundr</t>
  </si>
  <si>
    <t xml:space="preserve"> The Philippine National Police (PNP) Health Service (HS) invites all PhilGEPS-accredited suppliers to apply for eligibility and to bid for the Procurement of Other Supplies &amp; Materials. Approved Budget for Contract: Php6,883,593.75 Bid Documents shall be </t>
  </si>
  <si>
    <t xml:space="preserve"> Invitation to Bid for QRF2020-RVI-022-ILOILO-B1-L19 ITB No. 025 The Department of Education (DepED) Schools Division of Iloilo, through the CY 2020 Quick Response Fund (QRF), intends to apply the sum Five Million Six Thousand Four Hundred Ninety Eight Pes</t>
  </si>
  <si>
    <t xml:space="preserve"> The Philippine National Police (PNP) Health Service (HS) invites all PhilGEPS-accredited suppliers to apply for eligibility and to bid for the Other General Services. Approved Budget for Contract: Php201,166.66 Bid Documents shall be available at the HS B</t>
  </si>
  <si>
    <t xml:space="preserve"> Item Description	Quantity Scanning speed:    25 pages per min. (50 images per                                minimum) Max. paper size:   Legal (8.5”X14”) Also scans:           Credit cards, driving licences Colour mode:       Colour, greyscale, black and </t>
  </si>
  <si>
    <t xml:space="preserve"> Republic of the Philippines                   Department of Health	       CENTRAL OFFICE BIDS AND AWARDS COMMITTEE  INVITATION TO BID FOR THE  PROCUREMENT OF EXTERNAL HARD DISK IB NO. 2020-206 1.	The Department of Health (DOH), through the General Appropr</t>
  </si>
  <si>
    <t xml:space="preserve"> 1. The Department of Agriculture – Regional Field Office – Cordillera Administrative Region (DA-RFO-CAR) intends to apply part of its CY 2020 General Appropriation Act (GAA) the total sum of One Million Nine Hundred Ninety Six Thousand Four Hundred Pesos </t>
  </si>
  <si>
    <t xml:space="preserve"> Refer to RFQ</t>
  </si>
  <si>
    <t xml:space="preserve"> The Philippine National Police (PNP) Health Service (HS) invites all PhilGEPS-accredited suppliers to apply for eligibility and to bid for the Procurement of Medical, Dental &amp; Laboratory Supplies. Approved Budget for Contract: Php4,550,000.00 Bid Document</t>
  </si>
  <si>
    <t xml:space="preserve"> Invitation to Bid for QRF2020-RVI-022-ILOILO-B1-L23 ITB No. 029 The Department of Education (DepED) Schools Division of Iloilo, through the CY 2020 Quick Response Fund (QRF), intends to apply the sum Three Million Four Hundred Ninety Five Thousand Four Hu</t>
  </si>
  <si>
    <t xml:space="preserve"> NOTICE OF PROCUREMENT June 11, 2020 Notice is hereby given that the Department of Public Works and Highways (DPWH)-Metro Manila 3rd District Engineering Office is undertaking the following project, to wit; 5.	CID No. 19CSOD30- Procurement for the Conduct </t>
  </si>
  <si>
    <t xml:space="preserve"> Item Description	Quantity Mobile Smartphone with freebies each Size Dimensions 149.9 x 70.4 x 7.8 mm Weight 157 g Type Type Smartphone, Camera Phone , Selfie Phone , Waterproof Phone , Bezel-less Phone Shape Bar	 Basic OS Android OS ver One UI (Android 9.</t>
  </si>
  <si>
    <t xml:space="preserve"> Invitation to Bid for QRF2020-RVI-022-ILOILO-B1-L22 ITB No. 028 The Department of Education (DepED) Schools Division of Iloilo, through the CY 2020 Quick Response Fund (QRF), intends to apply the sum Three Million Eight Hundred Eighty Thousand Four Hundre</t>
  </si>
  <si>
    <t xml:space="preserve"> Item Description	Quantity Anti Virus     Multi Device (10 Computers) (or                          equivalent/better)	3 pcs Anti Virus     Single Device (or equivalent/better)	46 pcs MS Office (Latest)	35 pcs</t>
  </si>
  <si>
    <t xml:space="preserve"> The Philippine National Police (PNP) Health Service (HS) invites all PhilGEPS-accredited suppliers to apply for eligibility and to bid for the Other General Services. Approved Budget for Contract: Php100,583.34 Bid Documents shall be available at the HS B</t>
  </si>
  <si>
    <t xml:space="preserve"> NOTICE OF PROCUREMENT June 11, 2020 Notice is hereby given that the Department of Public Works and Highways (DPWH)-Metro Manila 3rd District Engineering Office is undertaking the following project, to wit; CID No. 19CSOD32- Procurement for the Conduct of </t>
  </si>
  <si>
    <t xml:space="preserve"> NOTICE OF PROCUREMENT June 11, 2020 Notice is hereby given that the Department of Public Works and Highways (DPWH)-Metro Manila 3rd District Engineering Office is undertaking the following project, to wit; CID No. 19CSOD29- Procurement for the Conduct of </t>
  </si>
  <si>
    <t xml:space="preserve"> Invitation to Bid for QRF2020-RVI-022-ILOILO-B1-L21 ITB No. 027 The Department of Education (DepED) Schools Division of Iloilo, through the CY 2020 Quick Response Fund (QRF), intends to apply the sum Three Million Two Hundred Forty Thousand Twenty Seven P</t>
  </si>
  <si>
    <t xml:space="preserve"> The Philippine National Police (PNP) Health Service (HS) invites all PhilGEPS-accredited suppliers to apply for eligibility and to bid for the Other General Services. Approved Budget for Contract: Php301,750.00 Bid Documents shall be available at the HS B</t>
  </si>
  <si>
    <t xml:space="preserve"> Invitation to Bid for QRF2020-RVI-022-ILOILO-B1-L20 ITB No. 026 The Department of Education (DepED) Schools Division of Iloilo, through the CY 2020 Quick Response Fund (QRF), intends to apply the sum Three Million Ninety Six Thousand Eight Hundred Fifty P</t>
  </si>
  <si>
    <t xml:space="preserve"> INVITATION TO BID PB 2020-06-08 1.  The Local Government Unit of Abulug, Cagayan through Special Education Fund 2020 intends to apply the sum of THREE HUNDRED TWENTY FIVE THOUSAND PESOS (P 325,000.00) being the Approved Budget for the Contract (ABC) to pa</t>
  </si>
  <si>
    <t xml:space="preserve"> PURCHASE REQUEST					 Barangay : ZONE - 1			P. R. No.: 2020 -017-06		 City/ Municipality : Pinamalayan			Date: 		 Provicne : Oriental Mindoro					 REQUISITION					 Item Number	Qty	Unit of Measurement	Item Description 	Estimated Unit Cost	Estimated Amount </t>
  </si>
  <si>
    <t xml:space="preserve"> NOTICE OF PROCUREMENT June 11, 2020 Notice is hereby given that the Department of Public Works and Highways (DPWH)-Metro Manila 3rd District Engineering Office is undertaking the following project, to wit; CID No. 19CSOD31- Procurement for the Conduct of </t>
  </si>
  <si>
    <t xml:space="preserve"> Item Description	Quantity 8 Channel indoor IR wired CCTV 2 Megapixel System (day/night mode) Colored Two (2)4TB 	1 Lot 8 Channel outdoor IR wireless CCTV 5 Megapixel System (day/night mode) Colored Two (2)4TB	 Other Materials (Wires and Connectors) and La</t>
  </si>
  <si>
    <t xml:space="preserve"> unit	Plastic Shredder Machine	1 		 	Specs:	 	Heavy duty plastic recycling shredder Machine	 	Height-1500mm, width-600mm, length-1000mm	 	Frame-6mmx50mmx500mm, angle bar w/ 3mm mild steel (MS) plate sliding cover	 	Shredding component-12mm MS Plate blade, </t>
  </si>
  <si>
    <t xml:space="preserve"> To payment for the Purchase of Aircon w/Installation delivered to Brgy. Sto. Niño Sur Arevalo, Iloilo City.       Sources of Funds : AB 2020       Date of Public Bidding: June 18, 2020 @ 10:00 A.m. at Brgy. Hall</t>
  </si>
  <si>
    <t xml:space="preserve"> Sir/Ma'am: Please quote your lowest possible prices for the articles described in the attached document.</t>
  </si>
  <si>
    <t xml:space="preserve"> To payment for the Purchase of Desktop Computer &amp; Other Supplies delivered at Brgy. Bolilao Mand, Iloilo City.        Sources of Funds: ABYIP 2020        Date of Public Bidding: June 19, 2020 @ 10:00 A.M. at Brgy. Hall</t>
  </si>
  <si>
    <t xml:space="preserve"> Sir/Ma'am: Please quote your lowest possible price for the article described in the attached document.</t>
  </si>
  <si>
    <t xml:space="preserve"> Item Description	Quantity Laptop Intel Core i7-8565U processor 14.0” LED display or better 8GB DDR4 1TB HDD 512GB PCIE NVIDIA GeForce MX110 2GD5 Windows 10 Home at least 1 year Warranty	1 unit Laptop Intel Core i5-8265U processor 15.6” LED display or bett</t>
  </si>
  <si>
    <t xml:space="preserve"> NOTICE OF PROCUREMENT June 11, 2020 Notice is hereby given that the Department of Public Works and Highways (DPWH)-Metro Manila 3rd District Engineering Office is undertaking the following project, to wit; CID No. 19CSOD33- Procurement for the Conduct of </t>
  </si>
  <si>
    <t xml:space="preserve"> To payment for the Purchase of Tanod Uniform &amp; Supplies delivered to Brgy. Sto. Niño Sur,     Arevalo, Iloilo City     Sources of Funds: AB 2020       Date of Public Bidding: June 18, 2020 @ 2:00 P.M. at Brgy. Hall</t>
  </si>
  <si>
    <t xml:space="preserve"> Republic of the Philippines PROVINCE OF ZAMBALES IBA BIDS AND AWARDS COMMITTEE Invitation to Bid for the Supply and Delivery of Office Equipment (Lot 1), ICT Equipment (Lot 2), Furnitures and Fixtures (Lot 3) and MOOE (Lot 4) 1.	The Provincial Government </t>
  </si>
  <si>
    <t xml:space="preserve"> Republic of the Philippines PROVINCE OF LEYTE Burauen, Leyte INVITATION TO BID   REHABILITATION OF LEVEL II WATER SYSTEM OF BARANGAY ANONANG WITH PROVISION FOR LEVEL III BURAUEN, LEYTE (RE-BIDDING) The Municipality of Burauen, through the Bids and Awards </t>
  </si>
  <si>
    <t xml:space="preserve"> Sir/Ma'am: Please quote your possible lowest prices for the articles described in the attached document.</t>
  </si>
  <si>
    <t xml:space="preserve"> Republic of the Philippines PROVINCE OF LEYTE Burauen, Leyte INVITATION TO BID   PROCUREMENT OF ONE (1) UNIT MULTI-CAB FOR ENGINEERING OFFICE LGU- BURAUEN, LEYTE The Municipality of Burauen, through the Bids and Awards Committee (BAC) invites contractors </t>
  </si>
  <si>
    <t xml:space="preserve"> 1.	The Development Bank of the Philippines (DBP), through the Corporate Budget for CY 2020 intends to apply the sum of Two Million Five Hundred Thousand Pesos (Php2,500,000.00) inclusive of taxes/VAT being the Approved Budget for the Contract (ABC) to pay</t>
  </si>
  <si>
    <t xml:space="preserve"> To purchase supplies &amp; materials printing &amp; binding for Barangay Kalawaan, Pasig City</t>
  </si>
  <si>
    <t xml:space="preserve"> Republic of the Philippines PROVINCE OF LEYTE Burauen, Leyte INVITATION TO BID   PROCUREMENT OF MEDICINES AND SUPPLY FOR RURAL HEALTH UNIT BURAUEN, LEYTE The Municipality of Burauen, through the Bids and Awards Committee (BAC) invites contractors / suppli</t>
  </si>
  <si>
    <t xml:space="preserve"> Item			Quantity			Unit of			Item Description														 No.						Issue																	 1			5			Gal			Viroguard disinfectant														 2			2			Set			knapsack sprayer														 3			2			Boxes			Disposable gloves</t>
  </si>
  <si>
    <t xml:space="preserve"> Republic of the Philippines Department of Education Region VI- Western Visayas  DIVISION OF AKLAN District of Ibajay West IBAJAY CENTRAL SCHOOL Ibajay, Aklan REQUEST FOR QUOTATION (RFQ) Project No: DepED-RO6 – OTHER SUPPLIES – 001-2020 The Department of E</t>
  </si>
  <si>
    <t xml:space="preserve"> Invitation to Bid  SUPPLY AND DELIVERY OF MATERIALS AND LABOR FOR THE IMPROVEMENT/REHABILITATION OF PUBLIC MARKET 1.	The Local Government Unit of Padre Burgos, through the Municipal Development Fund, intends to apply the sum of Nine Hundred Ninety Nine Th</t>
  </si>
  <si>
    <t xml:space="preserve"> National Power Corporation INVITATION TO BID PUBLIC BIDDING 2020-0114 1.	The NATIONAL POWER CORPORATION (NPC), through       its        approved       Corporate Budget of CY 2020 intends to apply   the   sum   of (Please see schedule below) being the Appr</t>
  </si>
  <si>
    <t xml:space="preserve"> Electrode, Cast Iron Special Features: * Suitable for welding of cast iron to steel * Can be use for grey cast iron and malleable cast iron * Low ampere. Eliminate excessive heat build-up * Easily machinable weld deposit * Excellent penetration * Tensile </t>
  </si>
  <si>
    <t xml:space="preserve"> Invitation to Bid  SUPPLY AND DELIVERY OF MATERIALS AND LABOR FOR THE CONSTRUCTION/IMPROVEMENT/REHABILITATION OF LOCAL ACCESS ROAD IN BRGY. DUHAT 1.	The Local Government Unit of Padre Burgos, through the Municipal Development Fund, intends to apply the su</t>
  </si>
  <si>
    <t xml:space="preserve"> To purchase various supplies &amp; materials for uniform of Barangay Kalawaan, Pasig City</t>
  </si>
  <si>
    <t xml:space="preserve"> Civil Works</t>
  </si>
  <si>
    <t xml:space="preserve"> NOTE: ALL ITEMS SHOULD BE DELIVERED IN ONE PACKAGE           ITEMS AND ESTIMATED AMOUNT ARE INCLUDED 25		REAMS	Bond Paper 70 GSM (LONG)			 195.00 	 4,875.00  25		REAMS	Bond Paper 70 GSM (short)				 165.00 	 4,125.00  5		BOTTLES	EPSON INK L365 (black)				 </t>
  </si>
  <si>
    <t xml:space="preserve"> To purchase motor vehicle spare parts for the vehicles of Barangay Kalawaan, Pasig City</t>
  </si>
  <si>
    <t xml:space="preserve"> Republic of the Philippines DEPARTMENT OF PUBLIC WORKS AND HIGHWAYS CAMARINES SUR 2ND DISTRICT ENGINEERING OFFICE Regional Office V Baras, Canaman, Camarines Sur INVITATION TO BID  FOR   20GFE0011 – SUPPLY OF MATERIALS FOR EROSION CONTROL, TRAFFIC SERVICE</t>
  </si>
  <si>
    <t xml:space="preserve"> Repair and rehabilitation of HR Room</t>
  </si>
  <si>
    <t xml:space="preserve"> PROVISION OF NEW ELECTRICAL INSTALLATION AT BISLIG AIRPORT PTB A. Materials B. Labor</t>
  </si>
  <si>
    <t xml:space="preserve"> to purchase various supplies &amp; materials for installation of street lights in Barangay Kalawaan, Pasig City</t>
  </si>
  <si>
    <t xml:space="preserve"> 1. The Department of Agriculture – Regional Field Office – Cordillera Administrative Region (DA-RFO-CAR) intends to apply part of its CY 2020 General Appropriation Act (GAA) the total sum of One Million Five Hundred Twenty Nine Thousand Nine Hundred Eight</t>
  </si>
  <si>
    <t xml:space="preserve"> To purchase various supplies &amp; materials for rehabilitation of Multi Purpose Hall of Barangay Kalawaan, Pasig City</t>
  </si>
  <si>
    <t xml:space="preserve"> Supply and Delivery of Kyocera Toner TK-8349</t>
  </si>
  <si>
    <t xml:space="preserve"> Bids and Awards Committee                                                                    INVITATION TO BID           REPAIR AND REHABILITATION OF CLASSROOMS IN VARIOUS SCHOOL SITES IN THE DIVISION OF                        QUEZON, CLUSTER NOS. 1-10 UN</t>
  </si>
  <si>
    <t xml:space="preserve"> Printer Scanner and Developer, Color, High Speed of Paper NOTE: PLEASE SEE ATTACHED PRE-PR FOR THE COMPLETE DETAILED OF SPECIFICATIONS.</t>
  </si>
  <si>
    <t xml:space="preserve"> To purchase various supplies &amp; materials for Urban Greening of Barangay Kalawaan, Pasig City</t>
  </si>
  <si>
    <t xml:space="preserve"> Republic of the Philippines PROVINCE OF LEYTE Burauen, Leyte INVITATION TO BID   PURCHASE OF IN-ORGANIC FERTILIZER FOR RICE ENHANCEMENT PROGRAM (NEGOTIATED PROCUREMENT) The Municipality of Burauen, through the Bids and Awards Committee (BAC) invites contr</t>
  </si>
  <si>
    <t xml:space="preserve"> Republic of the Philippines PROVINCE OF CAGAYAN Municipality of Peñablanca PROVINCIAL BIDS AND AWARDS COMMITTEE INVITATION FOR NEGOTIATED PROCUREMENT DUE TO TWO FAILED BIDDINGS Design, Layout and Setup of Audio/Video production Floor Inclusive of Customiz</t>
  </si>
  <si>
    <t xml:space="preserve"> DIESEL, FUEL   5,000 LITER</t>
  </si>
  <si>
    <t xml:space="preserve"> SEE ATTACHED DOCUMENT</t>
  </si>
  <si>
    <t xml:space="preserve"> Construction of Material Recovery Facility &amp; Vermi Compost Box with the following proposed works:  Item No.               Description	                Unit 		Quantity     1		  Footing				      CU.M.		  0.64     2		  Columns				       CU.M.	  1.05     3		  </t>
  </si>
  <si>
    <t xml:space="preserve"> Rehabilitation of Public Market (36.m x 10.8m)</t>
  </si>
  <si>
    <t xml:space="preserve"> Republic of the Philippines City of Manila OFFICE OF THE CITY MAYOR BIDS AND AWARDS COMMITTEE INVITATION TO BID  The City Government of Manila, through the Capital Outlay FY 2020, intends to apply the following amount for the following proposed project: 1</t>
  </si>
  <si>
    <t xml:space="preserve"> NOTE: ALL ITEMS MUST BE DELIVERED IN ONE PACKAGE           LIST OF ITEMS AND ESTIMATED AMOUNT ARE INCLUDED 64		lnts	12mm x 6.0m Square Bar			 260.93 	 16,699.52  5		kgs	Welding Rod (6013)				 105.00 	 525.00  1		gal	Primer, Red Oxide				 550.00 	 550.00  </t>
  </si>
  <si>
    <t xml:space="preserve"> INVITATION TO BID FOR THE SUPPLY AND DELIVERY OF FURNITURE &amp; FIXTURE 1.	The Barangay Poblacion, City Muntinlupa, through its approved Budget for 2020, intends to apply the sum of Seven Hundred Forty Thousand Pesos (P740.000.00) being the Approved Budget f</t>
  </si>
  <si>
    <t xml:space="preserve"> Part B		Other General Requirements	 B.5	Each	Project Billboard/Signboard	2 B.9	L.S	Mobilization/Demobilization	1 Part C		Earthworks	 102 (1)	cu.m	Roadway Excavation (Unsuitable)	3,070.40 Project Description: Excavation of Roadway w/ 3,070.40 cu.m 1.	The L</t>
  </si>
  <si>
    <t xml:space="preserve"> NOTE: ITEM AND ITS PARTS SHOULD BE DELIVERED IN ONE PACKAGE           ESTIMATED COST OF ITEM ALSO INCLUDED 1	Unit		STEEL CABINET (4 DRAWERS)				 8,000.00 	 8,000.00</t>
  </si>
  <si>
    <t xml:space="preserve"> NOTE: ALL ITEMS MUST BE DELIVERED IN ONE PACKAGE                 LIST OF ITEMS AND ESTIMATED COST ARE INCLUDED 7		pcs.	GI pipe (sched 20×2in×6m)				 1,030.00 	 7,210.00  14		pcs.	Deformed bar( 9mmØ×6m)				 105.00 	 1,470.00  35		 lengths	C-purlin (2in×3in</t>
  </si>
  <si>
    <t xml:space="preserve"> Supply &amp; Delivery of Drugs, Medicines and Laboratory Supplies</t>
  </si>
  <si>
    <t xml:space="preserve"> NOTE: ALL ITEMS MUST BE DELIVERED IN ONE PACKAGE           LIST OF ITEMS AND ESTIMATED COST ARE INCLUDED 10		PCS.	RUGS				                       100.00 	 1,000.00  20		BOTTLES	ZONROX 500 ml.				 22.00 	 440.00  8		gallons	ALCOHOL  ( 70% Ethyl)			550.00 	 </t>
  </si>
  <si>
    <t xml:space="preserve"> Republic of the Philippines PROVINCE OF LEYTE Burauen, Leyte INVITATION TO BID   SUPPLY &amp; INSTALLATION OF CCTV CAMERA FOR PUBLIC MARKET, DIST 9, BURAUEN BUS TERMINAL, DISTRICT II, STO NIÑO ST, COR. STA ANA, BURAUEN SPORT COMPLEX BURAUEN, LEYTE The Municip</t>
  </si>
  <si>
    <t xml:space="preserve"> Part B		Other General Requirements	 B.5	Lot	Project Billboard/Signboard	2 Part III		Civil/Electrical Works	 Part A		Earthworks	 803 (1) a	Cu.m	Structure Excavation – Common Soil (Stage)	29.32 804 (1) a	Cu.m	Embankment from Structure Excavation (Stage)	20.</t>
  </si>
  <si>
    <t xml:space="preserve"> Supply and Delivery of Inventory Common Supplies</t>
  </si>
  <si>
    <t xml:space="preserve"> SCOPE OF WORKS:        I. Hauling of Surface Materials       II. Spreading of Surface Materials 1. Materials (Free) 2. Requirement Equipment          *2 units- Dump truck - Municipal Equipment          *1 unit-  Back hoe - Municipal Equipment          *1 </t>
  </si>
  <si>
    <t xml:space="preserve"> Sir/Ma'am: Please quote your lowesy possible price for the article described in the attached document.</t>
  </si>
  <si>
    <t xml:space="preserve"> NOTE: ALL ITEMS MUST BE DELIVERED IN ONE PACKAGE           LIST OF ITEMS AND ESTIMATED COST ARE INCLUDED 15		REAMS	Bond Paper 70 GSM (LONG)				 195.00 	 2,925.00  15		REAMS	Bond Paper 70 GSM (SHORT)				 165.00 	 2,475.00  12		PCS.	ballpen (blue)				      </t>
  </si>
  <si>
    <t xml:space="preserve"> DESCRIPTION PROCUREMENT AND DELIVERY OF 901 BAGS OF GM HYBRID YELLOW CORN SEEDS @ 9KG/ BAG Minimum Specifications: - Herbicide-resistant - Must be an NSIC approved GMCn variety. (Reference: Seed     Catalogue) - Variety adoptable to both low and high elev</t>
  </si>
  <si>
    <t xml:space="preserve"> The Metro Kalibo Water District, through the Bids and Awards Committee (BAC), will undertake Negotiated Procurement (Small Value Procurement) for the SUPPLY AND DELIVERY OF VARIOUS WATER SERVICE CONNECTION MATERIALS FOR REPAIR/MAINTENANCE OF DISTRIBUTION </t>
  </si>
  <si>
    <t xml:space="preserve"> Provision of Field Office for the Engineer (Rental Basis); Permits and Clearances; Project Billboard/Signboard; Occupational Safety and Health Program; Mobilization/Demobilization; Clearing and Grubbing; Structure Excavation (Common Soil); Embankment from</t>
  </si>
  <si>
    <t xml:space="preserve"> Provision of Field Office for the Engineer (Rental Basis); Permits and Clearances; Project Billboard/Signboard; Occupational Safety and Health Program; Mobilization/Demobilization; Removal of Structures and Obstruction; Structure Excavation (Common Soil);</t>
  </si>
  <si>
    <t xml:space="preserve"> Improvement / Construction</t>
  </si>
  <si>
    <t xml:space="preserve"> DESCRIPTION PROCUREMENT AND DELIVERY OF 834 BAGS OF GM HYBRID YELLOW CORN SEEDS FOR HIGH ELEVATION CORN AREAS @ 9KG/ BAG GM Hybrid Yellow Corn Seeds for High Elevation Corn Areas of Davao City @ 9 kilograms/ bag Farmer's preferred varieties:  NSIC 2019 GM</t>
  </si>
  <si>
    <t xml:space="preserve"> Various Supplies</t>
  </si>
  <si>
    <t xml:space="preserve"> NOTE: ALL ITEMS MUST BE DELIVERED IN ONE PACKAGE           LIST OF ITEMS AND ESTIMATED COST ARE INCLUDED 5		REAMS	Bond Paper 70 GSM (LONG)				 195.00 	 975.00  3		REAMS	Bond Paper 70 GSM (SHORT)				 175.00 	 525.00  66		PCS.	FOLDER (LONG-ORDINARY WHITE)		</t>
  </si>
  <si>
    <t xml:space="preserve"> 1. The total approved budget for the contract for the SUPPLY AND DELIVERY OF VARIOUS CI FITTINGS AND uPVC BEND is PhP 128,150.00 2. Price quotations must include all taxes, duties, and/or levies payable and must be valid for 30 days. 3. Suppliers must spe</t>
  </si>
  <si>
    <t xml:space="preserve"> 1. The total approved budget for the contract for the SUPPLY AND DELIVERY OF SUBMERSIBLE MOTOR 7.5HP is PhP 65,000.00 2. Price quotations must include all taxes, duties, and/or levies payable and must be valid for 30 days. 3. Suppliers must specify the BR</t>
  </si>
  <si>
    <t xml:space="preserve"> INVITATION TO BID A.	The Department of Public Works and Highways-Metro Manila 1 District Engineering Office, Westbank Road, Manggahan Floodway, Rosario, Pasig City through its Bids and Awards Committee (BAC), invites contractors to submit bids for the fol</t>
  </si>
  <si>
    <t xml:space="preserve"> INVITATION TO BID  1.	The National Printing Office, through the Revolving Fund 2020 intends to apply the sum of ₱2,000,000.00 being the Approved Budget for the Contract (ABC) to payment under the contract for the Procurement of Supply &amp; Delivery of White </t>
  </si>
  <si>
    <t xml:space="preserve"> Provision of Field Office for the Engineer (Rental Basis); Permits and Clearances; Project Billboard/Signboard; Occupational Safety and Health Program; Mobilization/Demobilization; Structure Excavation (Common Soil) – Catch Basin); Structural Concrete, Co</t>
  </si>
  <si>
    <t xml:space="preserve"> 1.	The Municipality of Esperanza, Masbate through the Appropriation Ordinance No. 6, series of 2019 under the Office of the Municipal Agriculturist (MAGO) intends to apply the sum of  Two Hundred Fifty Nine Thousand Pesos (₱259,000.00) being the Approved </t>
  </si>
  <si>
    <t xml:space="preserve"> PROCUREMENT OF WATER MATERIALS PIPES &amp; FITTINGS FOR CONSTRUCTION OF WATER SYSTEM ONLY</t>
  </si>
  <si>
    <t xml:space="preserve"> Contract ID: 20-DO-0083 Contract Name: Repair/Maintenance of Flood Control &amp; Drainage Structures along Manila East Road, Halayhayin Bridge, Pililla, Rizal Contract Location	: Pililla, Rizal Brief Description	: Repair/Maintenance of Flood Control &amp; Drainag</t>
  </si>
  <si>
    <t xml:space="preserve"> PROCUREMENT OF WATER MATERIALS PIPES AND FITTINGS FOR CONSTRUCTION OF WATER SYSTEM ONLY</t>
  </si>
  <si>
    <t xml:space="preserve"> Improvement and Istallation of 2 pcs Culvert Purok 3</t>
  </si>
  <si>
    <t xml:space="preserve"> Section I.  REQUEST FOR EXPRESSION OF INTEREST CONSULTING SERVICES  FOR THE PREPARATION OF DETAILED  ARCHITECTURAL AND ENGINEERING DESIGN FOR THE PROPOSED CONSTRUCTION OF A MULTI-PURPOSE BUILDING  (BARANGAY HALL AND FIRE AND RESCUE BRIGADE HEADQUARTERS)  </t>
  </si>
  <si>
    <t xml:space="preserve"> NOTE: ALL ITEMS MUST BE DELIVERED IN ONE PACKAGE           LIST OF ITEMS AND ESTIMATED COST ARE INCLUDED 59		pcs.	Silver Rod				                                     24.00 	 1,416.00  20		pcs.	Bronze Rod				                             50.00 	 1,000.00  2	</t>
  </si>
  <si>
    <t xml:space="preserve"> 1. The total approved budget for the contract for the SUPPLY AND DELIVERY OF VARIOUS WATER CONNECTION MATERIALS is PhP 360,440.00 2. Price quotations must include all taxes, duties, and/or levies payable and must be valid for 30 days. 3. Suppliers must sp</t>
  </si>
  <si>
    <t xml:space="preserve"> Various Consumables for Drinking Fountain  80 UNI Water Filter Cartridge, 4 stages, 220V  9 SET *UV Lamp Sterilizer with Control Module, for drinking fountain  -In accordance with the Technical Specifications  ABC: Php 195,962.80  NOTE: Please sign all pa</t>
  </si>
  <si>
    <t xml:space="preserve"> Contract Name:	Completion of Motorpool- Bulanao Campus Contract ID Number:	IB_CivilWorks_2020-06-034 Location of the Contract:	KSU Main Campus, National Highway, Purok 6, Bulanao, Tabuk City, Kalinga Lot and Reference:	Two Lots - Completion of Motorpool- </t>
  </si>
  <si>
    <t xml:space="preserve"> Construction of CVO Outpost Phase II, Barangay Nupolan, Josefina, ZDS</t>
  </si>
  <si>
    <t xml:space="preserve"> REQUEST FOR QUOTATION The Department of Budget and Management Regional Office VI, through its Bids and Awards Committee, intends to undertake Shopping for the procurement of 2nd quarter common-use supplies, in accordance with Section 52 of the Revised Imp</t>
  </si>
  <si>
    <t xml:space="preserve"> 1. The total approved budget for the contract for the SSUPPLY AND DELIVERY OF VARIOUS G.I. FITTINGS is PhP 91,000.00 2. Price quotations must include all taxes, duties, and/or levies payable and must be valid for 30 days. 3. Suppliers must specify the BRA</t>
  </si>
  <si>
    <t xml:space="preserve"> ITEM NO.	DESCRIPTION	UNIT	QTY LOT 1	BOND PAPER A4	 REAMS 	9,856 	Specifications: Multi-Purpose Copy Paper  	8 ¼” * 11 ¾” 	SUBS 20/70 GSM</t>
  </si>
  <si>
    <t xml:space="preserve"> 12 units integrated solar streetlights</t>
  </si>
  <si>
    <t xml:space="preserve"> Republic of the Philippines Province of Isabela LOCAL GOVERNMENT UNIT OF BENITO SOLIVEN INVITATION TO BID FOR THE PROCUREMENT OF MEDICINES AND MEDICAL SUPPLIES – 2ND QUARTER (GAD FUND) 1.	The Municipal Government of Benito Soliven, intends to apply the su</t>
  </si>
  <si>
    <t xml:space="preserve"> The Department of Agriculture-RFO 3, invites interested suppliers/ bidders to submit bid proposal(s) for the hereunder requirement, to wit: QUANTITY UNIT Item No. Description 1 lot I Permits &amp; Clearance 177 cu.m II Earth Works &amp; Dismantling 1 ls III Tools</t>
  </si>
  <si>
    <t xml:space="preserve"> Repair, improvement, of Students' comfort room &amp; hand washing.</t>
  </si>
  <si>
    <t xml:space="preserve"> 14 boxes Chlorpromazine 200mg tablet (100'S) 3 boxes Olanzapine 10mg tablet (100'S) 5 box Biperidin Hcl 20mg tablet  (100'S) 50 amp Fluphenazine ampule 5 box Risperidone 2mg ABC:  Php 75,310.00 Source of Fund:  GoP/GF</t>
  </si>
  <si>
    <t xml:space="preserve"> Various Lights and Lighting Fixtures  50  SET Emergency Fluorescent Fixtures 36W 230V  450  SET Electronic T5 fixture, slim, 21w,220V,WW  -In accordance with the Technical Specifications  ABC: Php 192,000.00  NOTE: Please sign all pages of the Technical S</t>
  </si>
  <si>
    <t xml:space="preserve"> 1.	The Davao del Norte State College through the Internally Generated Income, Tuition Fee  intends to apply the sum of Five Million Pesos Only (Php 5,000,000.00) being the Approved Budget for the Contract (ABC) to payment under the contract for the Purcha</t>
  </si>
  <si>
    <t xml:space="preserve"> Necessary supplies for Risograph machine and its maintenance ***kindly see attached file for reference</t>
  </si>
  <si>
    <t xml:space="preserve"> NAME OF THE PROJECT: Improvement of Visitor’s Center- (Ogod)  LOCATION OF THE PROJECT:  Ogod, Donsol, Sorsogon  PROJECT REFERENCE NO.:  INFRA-PB-2020-010  Approved Budget for the Contract: ₱1,000,000.00  Source of Fund: A.O. No. 6, s-2020 BRIEF DESCRIPTIO</t>
  </si>
  <si>
    <t xml:space="preserve"> REQUEST FOR QUOTATION TO: ALL BIDDERS/SUPPLIERS The Games and Amusements Board (GAB) through its Bids and Awards Committee (BAC) will undertake a Small Value Procurement in accordance with Section 53.9 of the 2016 Revised Implementing Rules and Regulation</t>
  </si>
  <si>
    <t xml:space="preserve"> Necessary supplies for out Disaster Risk Reduction Management Team ***kindly see attached file for Reference</t>
  </si>
  <si>
    <t xml:space="preserve"> DESCRIPTION	UNIT	QTY LOT 1: PROCUREMENT OF PRINTER FOR DIFFERENT SCHOOLS Printer (L5190)	UNIT 	22 Specifications: Compact integrated tank design High yield ink bottles Spill-free, error-free refilling Print, scan, copy, fax with ADF Wi-Fi, Wi-Fi Direct Bo</t>
  </si>
  <si>
    <t xml:space="preserve"> Republic of the Philippines Province of Isabela LOCAL GOVERNMENT UNIT OF BENITO SOLIVEN INVITATION TO BID FOR THE PROCUREMENT OF MEDICINES AND MEDICAL SUPPLIES – 2ND QUARTER (GENERAL FUND) 1.	The Municipal Government of Benito Soliven, intends to apply th</t>
  </si>
  <si>
    <t xml:space="preserve"> General Support Services- Rental of Equipment Amount - 84,750.00</t>
  </si>
  <si>
    <t xml:space="preserve"> Pls see attached REI.</t>
  </si>
  <si>
    <t xml:space="preserve"> One (1) Lot Preventive Maintenance of Integrated Electronic Security System for BSP Head Office 2020, as per BSP Terms of Reference and Service Level Agreement Contract Duration: Duration shall start from the date stipulated in the Notice to Proceed to be</t>
  </si>
  <si>
    <t xml:space="preserve"> Procurement of Amikacn</t>
  </si>
  <si>
    <t xml:space="preserve"> Papsmear</t>
  </si>
  <si>
    <t xml:space="preserve"> Necessary supplies for Office, Computer and Maintenance divided into 3 lots.  ***Kindly see attached file for reference</t>
  </si>
  <si>
    <t xml:space="preserve"> Republic of the Philippines                   Department of Health	       CENTRAL OFFICE BIDS AND AWARDS COMMITTEE  INVITATION TO BID FOR  PROCUREMENT FOR THE EXPANSION OF EXISTING SOLID STATE DRIVE (SSD) IB NO. 2020-222 1.	The Department of Health (DOH),</t>
  </si>
  <si>
    <t xml:space="preserve"> Rice Sardines, tuna, meat loaf Noodles Alcohol Soap Medicine</t>
  </si>
  <si>
    <t xml:space="preserve"> REPUBLIC OF THE PHILIPPINES  CITY OF MANILA BARANGAY 227 ZONE 21 DISTRICT 2 MANILA OFFICE OF THE BID AWARDS COMMITTEE BIDS &amp; AWARDS COMMITTEE INVITATION TO BID THE BARANGAY 227 ZONE 21 DISTRICT 2 TONDO,MANILA THROUGH ITS BID &amp; AWARDS COMMITTEE (BAC) INVIT</t>
  </si>
  <si>
    <t xml:space="preserve"> NAME OF THE PROJECT: Construction of Perimeter Fence  LOCATION OF THE PROJECT: Donsol Community College- Tres Marias, Donsol, Sorsogon  PROJECT REFERENCE NO.:  INFRA-PB-2020-012  Approved Budget for the Contract: ₱1,500,000.00  Source of Fund: 20%  MCDF 2</t>
  </si>
  <si>
    <t xml:space="preserve"> Bale Angeleno</t>
  </si>
  <si>
    <t xml:space="preserve"> NAME OF THE PROJECT: Improvement of Tourism Building (Governor’s Guest House)  LOCATION OF THE PROJECT:  Tourism Compound, Dancalan, Donsol, Sorsogon  PROJECT REFERENCE NO.:  INFRA-PB-2020-011  Approved Budget for the Contract: ₱1,000,000.00  Source of Fu</t>
  </si>
  <si>
    <t xml:space="preserve"> Request for Expression of Interest (REOI)  for the  CONSULTANCY SERVICES FOR THE CONDUCT OF FEASIBILITY STUDY OF PROPOSED CONSTRUCTION OF MISSING LINKS AND NEW ROADS NAGUILIAN-BAGULIN (LA UNION) - KAPANGAN (BENGUET) ROAD (REGION I) 1.	The DPWH-Regional Of</t>
  </si>
  <si>
    <t xml:space="preserve"> Essential ink supply for a printer ***kindly see attached file for Reference</t>
  </si>
  <si>
    <t xml:space="preserve"> THE PROCURING ENTITY THROUGH ITS BIDS AND AWARDS COMMITTEE INVITES SUPPLIER TO QUOTE FOR THE HEREUNDER PROJECT PROGRAM: ELECTRIFICATION PROJECTS -20% EDF 2019 ITEMS	DESCRIPTION	ABC/UNIT	QTY	UNIT 1	Various Electrical Materials (Electrical): 1 Lot. 	3     R</t>
  </si>
  <si>
    <t xml:space="preserve"> Under the Supreme Court decision with GR Nos 171947-48, dated December 19, 2008, was tasked the DENR to lead in the rehabilitation, clean up and preservation of Manila Bay, top restore and maintain its water SB level. The DENR-PENRO Laguna identified rive</t>
  </si>
  <si>
    <t xml:space="preserve"> NAME OF THE PROJECT: Installation of Street Lights  LOCATION OF THE PROJECT: Donsol Community College to Tres Marias, Donsol, Sorsogon  PROJECT REFERENCE NO.:  INFRA-PB-2020-014  Approved Budget for the Contract: ₱2,800,000.00  Source of Fund: MCDF 2019 B</t>
  </si>
  <si>
    <t xml:space="preserve"> The Municipal Government of Aloguinsan invites prospective bidders to bid for the project Supply and Delivery of Pipes and Fittings for LGU Run Water System Source of Fund: 20% Development Fund ABC: Php 779,850.00 The complete schedule of activities will </t>
  </si>
  <si>
    <t xml:space="preserve"> Please quote your lowest price on the items listed below, subject to the General Conditions, stating the shortest time of delivery and submit your quotation duly signed by your representative.		 		 Instructions:		 a)  Download the OFFICIAL BID FORM (Reque</t>
  </si>
  <si>
    <t xml:space="preserve"> I. To be Installed to the following branches (Please see attached files @ Associated Components) LAGUNA BINAN BRANCH- Old National Highway, Brgy. Canlalay Binan, Laguna CABUYAO BRACH- Don Onofre Bldg., F. Bailon St. Brgy. Sala Cabuyao, Laguna CALAMBA BRAN</t>
  </si>
  <si>
    <t xml:space="preserve"> Section I. Notice of Eligibility and Short Listing 09 June 2020 Mr. Jose Victor Gaite Chief Finance Officer EON (Events Organizer Network), Inc. 8F OPL Building, 100 C. Palanca St., Legaspi Village, Makati City Dear Mr. Gaite: 1.	The Department of Health </t>
  </si>
  <si>
    <t xml:space="preserve"> The DENR-PENRO Davao del Sur, through its Bids and Awards Committee (BAC), invites contractors to submit bids for the following Contract: Contract Name      :    Establishment of 1,000 cu.m Gabions                                    Contract Location :   </t>
  </si>
  <si>
    <t xml:space="preserve"> Procurement of Blood Typing Sera</t>
  </si>
  <si>
    <t xml:space="preserve"> NAME OF THE PROJECT: Improvement of New Public Building  LOCATION OF THE PROJECT: Market Site, Donsol, Sorsogon  PROJECT REFERENCE NO.:  INFRA-PB-2020-013  Approved Budget for the Contract: ₱2,000,000.00  Source of Fund: A.O. No. 07, s-2020 BRIEF DESCRIPT</t>
  </si>
  <si>
    <t xml:space="preserve"> Procurement of Acetylcisteine</t>
  </si>
  <si>
    <t xml:space="preserve"> Spl-1 Excavation  Spl-2 Concrete Works Spl-3 Iron Works Spl-4 Electrical Works</t>
  </si>
  <si>
    <t xml:space="preserve"> Republic of the Philippines Province of Iloilo BIDS AND AWARDS COMMITTEE INVITATION TO BID Purchase of Janitorial Supplies Bid No. AGR-20-0610-B 1. The Iloilo Provincial Government, through the    General Fund 2020 intends to apply the sum of SEVENTY THOU</t>
  </si>
  <si>
    <t xml:space="preserve"> Republic of the Philippines Province of Iloilo BIDS AND AWARDS COMMITTEE INVITATION TO BID Purchase of Agricultural Seeds and Supplies Bid No. AGR-20-0581-B 1. The Iloilo Provincial Government, through the    General Fund 2020 intends to apply the sum of </t>
  </si>
  <si>
    <t xml:space="preserve"> 1. The Barangay Government of Bagontaas, Valencia City, Bukidnon through its 2020 20% LDF, intends to apply the following sum of One hundred forty three thousand nine hundred eighty &amp; 32/100 (P143,980.32) @ P-11a, Bagontaas, Valencia City, Bukidnon.  Bids</t>
  </si>
  <si>
    <t xml:space="preserve"> 1.	The Provincial Government of Ilocos Norte, through the General Fund  intends to apply the sum of Eighteen Million Pesos            (Php  18,000,000.00                        ) being the Approved Budget for the Contract (ABC) to payments under the contr</t>
  </si>
  <si>
    <t xml:space="preserve"> Republic of the Philippines Province of Iloilo BIDS AND AWARDS COMMITTEE INVITATION TO BID Purchase of Agricultural Seeds and Materials Bid No. AGR-20-0349-B 1. The Iloilo Provincial Government, through the    General Fund 2020 intends to apply the sum of</t>
  </si>
  <si>
    <t xml:space="preserve"> INVITATION TO BID The Local Government unit of Barangay Alapang through the Bids and Awards Committee(BAC) invites contractors to bid for the hereunder projects: A. Contract reference No.:	                        POW-1041-2020-ALA-01B Name of Project:	   </t>
  </si>
  <si>
    <t xml:space="preserve"> Republic of the Philippines Province of Iloilo  BIDS AND AWARDS COMMITTEE REQUEST FOR QUOTATION Quotation No. PEN-20-0488-NP (SV) Reference PR No. PEN-20-0488 June 2, 2020 __________________________ __________________________ __________________________  (</t>
  </si>
  <si>
    <t xml:space="preserve"> BID TENDER								 The Bids and Awards Committee								 Province of Iloilo								 								      In connection with your Invitation to Bid No. PEN-20-0312-B scheduled on June 17,2020, I/We proposed to furnish and deliver in conformity with the Terms and </t>
  </si>
  <si>
    <t xml:space="preserve"> 1.	The Provincial Government of Ilocos Norte, through the General Fund  intends to apply the sum of Two Million Five Hundred Thousand Pesos                                  (Php 2,500,000.00               ) being the Approved Budget for the Contract (ABC)</t>
  </si>
  <si>
    <t xml:space="preserve"> BID TENDER								 The Bids and Awards Committee								 Province of Iloilo								 								      In connection with your Invitation to Bid No. PEN-20-0130-B scheduled on June 17,2020, I/We proposed to furnish and deliver in conformity with the Terms and </t>
  </si>
  <si>
    <t xml:space="preserve"> Republic of the Philippines MUNICIPALITY OF BOLINAO Province of Pangasinan PROPOSED ROAD OPENING AT PUROK 5 TO SITIO SICUPET, CATUNGI, BOLINAO, PANGASINAN 1.	The LOCAL GOVERNMENT UNIT OF BOLINAO, PANGASINAN through the 20% Development Fundintends to apply</t>
  </si>
  <si>
    <t xml:space="preserve"> Republic of the Philippines Province of Iloilo BIDS AND AWARDS COMMITTEE INVITATION TO BID Purchase of Office Furniture and Fixtures Bid No. AGR-20-0339-B 1. The Iloilo Provincial Government, through the   General Fund CY 2020 intends to apply the sum of </t>
  </si>
  <si>
    <t xml:space="preserve"> PROCUREMENT OF HEAVY EQUIPMENT &amp; TRUCK</t>
  </si>
  <si>
    <t xml:space="preserve"> Invitation to Bid No. 2020-01 Republic of the Philippines Batangas City Invitation to Bid for the Purchase of Medical Equipment for the use of Barangay Mahabang Dahilig, Batangas City. The Barangay Government through the Office of the Brgy. Chairman inten</t>
  </si>
  <si>
    <t xml:space="preserve"> TERMS OF REFERENCE PREVENTIVE MAINTENANCE OF AIRCONDITIONING UNITS I. THE PROJECT One (1) lot Supply of Labor, Tools, Materials, Chemicals and Equipment for the Two (2) years Preventive Maintenance of Air Conditioning Units (ACUs) and components at LANDBA</t>
  </si>
  <si>
    <t xml:space="preserve"> Republic of the Philippines Province of Bukidnon MUNICIPALITY OF PANGANTUCAN TIN 099-000-631-170 OFFICE OF THE MUNICIPAL MAYOR Bids and Awards Committee (BAC) Cell # 09261024636  Email us: munpangantucanbukidnon@yahoo.com  or visit www.philgeps.net REQUES</t>
  </si>
  <si>
    <t xml:space="preserve"> Procurement of Three (3) years Security Services of PFDA-Iloilo Fish Port Complex and its premises.</t>
  </si>
  <si>
    <t xml:space="preserve"> Republic of the Philippines Province of Iloilo BIDS AND AWARDS COMMITTEE INVITATION TO BID Purchase of Office Equipment Bid No.GOV-20-0477-B 1. The Iloilo Provincial Government, through the 2020 GENERAL FUND intends to apply the sum of ONE HUNDRED SIXTY F</t>
  </si>
  <si>
    <t xml:space="preserve"> Republic of the Philippines DEPARTMENT OF PUBLIC WORKS AND HIGHWAYS OFFICE OF THE DISTRICT ENGINEER Cavite II District Engineering Office Brgy. Mangas II, Alfonso, Cavite INVITATION TO BID The Department of Public Works and Highways (DPWH) Cavite II Distr</t>
  </si>
  <si>
    <t xml:space="preserve"> INVITATION TO BID IB No. GS-2020 – 070 Office Supplies and Devices/Other Supplies for use of PGOM Office Supplies 3rd Quarter Based on the  Consolidated Annual Procurement Plan for the year 2020 1. The  Provincial  Government  of  Oriental  Mindoro  (PGOM</t>
  </si>
  <si>
    <t xml:space="preserve"> 1.	The Provincial Government of Batanes, through the Provincial Appropriations Ordinance No. 03 series of 2019 (20% Development Fund) intends to apply the sum of One Hundred Forty-Five Thousand Pesos Only (₱ 145,000.00), being the Approved Budget for the </t>
  </si>
  <si>
    <t xml:space="preserve"> INVITATION TO BID FOR  CONSTRUCTION OF FLOOD CONTROL - DARDARAT The Municipality of San Juan, through its Bids and Awards Committee (BAC), invites contractors to submit bids for the following Contract: Contract ID		:          	20-00042						 Contract Name</t>
  </si>
  <si>
    <t xml:space="preserve"> 1.	The Provincial Government of Batanes, through the Provincial Appropriations Ordinance No. 03 series of 2019 (20% Development Fund) intends to apply the sum of One Million Two Hundred Ninety Thousand Six Hundred Fifty-Five Pesos and 08/100 Only (₱ 1,290</t>
  </si>
  <si>
    <t xml:space="preserve"> Republic of the Philippines Province of Iloilo BIDS AND AWARDS COMMITTEE INVITATION TO BID Purchase of Construction Supplies and Materials Bid No. AGR-20-0594-B 1. The Iloilo Provincial Government, through the    General Fund 2020 intends to apply the sum</t>
  </si>
  <si>
    <t xml:space="preserve"> Republic of the Philippines Province of Guimaras OFFICE OF THE BIDS AND AWARDS COMMITTEE INVITATION TO BID FOR    SUPPLY AND DELIVERY OF DRUGS AND MEDICINES Bid Ref. No. 2020-01-051 Re-bid 1.	The Province of Guimaras , through the Revolving Fund  intends </t>
  </si>
  <si>
    <t xml:space="preserve"> 1.	The Provincial Government of Batanes, through the Provincial Appropriations Ordinance No. 03 series of 2019 (20% Development Fund) intends to apply the sum of Two Hundred Ninety-Three Thousand Seven Hundred Thirty Pesos Only (₱ 293,730.00), being the A</t>
  </si>
  <si>
    <t xml:space="preserve"> 1.	The Provincial Government of Batanes, through the Provincial Appropriations Ordinance No. 03 series of 2019 (20% Development Fund) intends to apply the sum of Seven Hundred Seventy-Five Thousand Eighty Pesos Only (₱ 775,080.00), being the Approved Budg</t>
  </si>
  <si>
    <t xml:space="preserve"> 1.	The Provincial Government of Batanes, through the Provincial Appropriations Ordinance No. 03 series of 2019 (20% Development Fund) intends to apply the sum of Three Hundred Forty-Two Thousand Three Hundred Thirty Pesos Only (₱ 342,330.00), being the Ap</t>
  </si>
  <si>
    <t xml:space="preserve"> 1.	The Provincial Government of Batanes, through the Provincial Appropriations Ordinance No. 03 series of 2019 (20% Development Fund) intends to apply the sum of One Hundred Ninety-Four Thousand Eight Hundred Sixty-Three Pesos Only (₱ 194,863.00), being t</t>
  </si>
  <si>
    <t xml:space="preserve"> 1.	The Provincial Government of Batanes, through the Provincial Appropriations Ordinance No. 03 series of 2019 (20% Development Fund) intends to apply the sum of Eight-Three Thousand Two Hundred Thirty Pesos Only (₱ 83,230.00), being the Approved Budget f</t>
  </si>
  <si>
    <t xml:space="preserve"> 1.	The Provincial Government of Batanes, through the Provincial Appropriations Ordinance No. 03 series of 2019 (20% Development Fund) intends to apply the sum of Seven Hundred Eighteen Thousand Ninety Pesos Only (₱ 718,090.00), being the Approved Budget f</t>
  </si>
  <si>
    <t xml:space="preserve"> 1.	The Provincial Government of Batanes, through the Provincial Appropriations Ordinance No. 03 series of 2019 (20% Development Fund) intends to apply the sum of Three Hundred Fifty-Six Thousand Seven Hundred Fifteen Pesos Only (₱ 356,715.00), being the A</t>
  </si>
  <si>
    <t xml:space="preserve"> 1.	The Provincial Government of Batanes, through the Provincial Appropriations Ordinance No. 03 series of 2019 (20% Development Fund) intends to apply the sum of Two Hundred Sixteen Thousand (₱ 216,000.00), being the Approved Budget for the Contract (ABC)</t>
  </si>
  <si>
    <t xml:space="preserve"> Republic of the Philippines Province of Laguna Municipality of Paete Tel. Nos. (049) 501-6490-101, (049) 557-0001  Invitation to Bid for  Invitation to Bid for Local Access Road, Concreting of C.M. Recto, C. Cajumban St., C. Mila., and A. Caguin Sr. St. B</t>
  </si>
  <si>
    <t xml:space="preserve"> Republic of the Philippines Province of Laguna Municipality of Paete Tel. Nos. (049) 501-6490-101, (049) 557-0001  Invitation to Bid for  Invitation to Bid for Improvement of Drainage Canal at San Rafael St., Kapt Aguinaldo St., &amp; E. Cagayan St., Barangay</t>
  </si>
  <si>
    <t xml:space="preserve"> Republic of the Philippines Province of Southern Leyte Municipality of San Juan BIDS AND AWARDS COMMITTEE INVITATION TO BID 								Date:	January 10, 2020						                Contract no:    MSJ-2020-17 The LGU of the Municipality of San Juan, Southern L</t>
  </si>
  <si>
    <t xml:space="preserve"> Republic of the Philippines Province of Guimaras OFFICE OF THE BIDS AND AWARDS COMMITTEE INVITATION TO BID FOR    SUPPLY AND DELIVERY OF MATERIALS FOR WATER SAMPLING AND ANALYSIS Bid Ref. No. 2020-06-325 1.	The Province of Guimaras , through the 2020 SPP </t>
  </si>
  <si>
    <t xml:space="preserve"> Republic of the Philippines Province of Guimaras OFFICE OF THE BIDS AND AWARDS COMMITTEE INVITATION TO BID FOR    SUPPLY AND DELIVERY OF FARM TOOLS EQUIPMENT Bid Ref. No. 2020-06-324 1.	The Province of Guimaras , through the 2020 20% DF- Support to Agrofo</t>
  </si>
  <si>
    <t xml:space="preserve"> 1.	The Provincial Government of Batanes, through the DOST R02 Funded Project under 20% Development Fund intends to apply the sum of Eight Hundred Thousand Pesos Only (₱ 800,000.00), being the Approved Budget for the Contract (ABC) to payments under the co</t>
  </si>
  <si>
    <t xml:space="preserve"> a. CONTRACT ID: RIZAL-30JUNE2020-2 b. NAME OF PROJECT: Improvement (Provision of Tiles) of School Buildings at San Vicente Elem. School, Brgy. San Vicente, Angono, Rizal c. LOCATION: Brgy. San Vicente, Angono, Rizal  d. BRIEF DESCRIPTION: Improvement of S</t>
  </si>
  <si>
    <t xml:space="preserve"> a. CONTRACT ID: RIZAL-30JUNE2020-12 b. NAME OF PROJECT: Replacement of CHB Wall &amp; Steel Matting Fence at Rotary Day Care Center Southville 9 Phase 1, Brgy. Pinugay, Baras, Rizal c. LOCATION: Brgy. Pinugay, Baras, Rizal d. BRIEF DESCRIPTION: Replacement of</t>
  </si>
  <si>
    <t xml:space="preserve"> 1.	The Provincial Government of Batanes, through the Provincial Appropriations Ordinance No. 03 series of 2019 (20% Development Fund) intends to apply the sum of One Hundred Thirty-Four Thousand Seven Hundred Eighty-Five Pesos Only (₱ 134,785.00), being t</t>
  </si>
  <si>
    <t xml:space="preserve"> a. CONTRACT ID: RIZAL-30JUNE2020-1 b. NAME OF PROJECT: Repair/Improvement of Ynares Multi-Purpose Covered Court &amp; Repair of Comfort Room at Brgy. San Jose, Brgy. Dalig &amp; Brgy. Mayamot, Antipolo City a)  Repair/Improvement of Ynares Multi-Purpose Covered C</t>
  </si>
  <si>
    <t xml:space="preserve"> a. CONTRACT ID: RIZAL-30JUNE2020-11 b. NAME OF PROJECT: Construction of 4-storey, 8-rooms Ynares School Building at Rosario Ocampo Elem. School, Brgy. San Juan, Taytay, Rizal c. LOCATION: Brgy. San Juan, Taytay, Rizal  d. BRIEF DESCRIPTION: Construction o</t>
  </si>
  <si>
    <t xml:space="preserve"> Republic of the Philippines Province of Guimaras OFFICE OF THE BIDS AND AWARDS COMMITTEE Invitation to Bid for  One Job Supply of Materials and  Labor for the Improvement of Covered GYM at Rev-San Lorenzo NHS (Construction of Stage Phase I), San Lorenzo w</t>
  </si>
  <si>
    <t xml:space="preserve"> a. CONTRACT ID: RIZAL-30JUNE2020-19 b. NAME OF PROJECT: Construction of 2-Units Artesian Well, Brgy. Bagumbong, Jalajala, Rizal c. LOCATION: Brgy. Bagumbong, Jalajala, Rizal d. BRIEF DESCRIPTION: Construction Artesian Well. e. MAJOR ITEM OF WORK: Drilling</t>
  </si>
  <si>
    <t xml:space="preserve"> 1.	The Provincial Government of Batanes, through the Provincial Appropriations Ordinance No. 03 series of 2019 (20% Development Fund) intends to apply the sum of Six Hundred Ten Thousand Nine Hundred Sixty-Five Pesos Only (₱ 610,965.00), being the Approve</t>
  </si>
  <si>
    <t xml:space="preserve"> a. CONTRACT ID: RIZAL-30JUNE2020-18 b. NAME OF PROJECT: Asphalt Overlaying/Concrete Reblocking (portion) of Serafin Reyes St., Brgy. Punta, Jalajala, Rizal c. LOCATION: Brgy. Punta, Jalajala, Rizal d. BRIEF DESCRIPTION: Road improvement. e. MAJOR ITEM OF </t>
  </si>
  <si>
    <t xml:space="preserve"> a. CONTRACT ID: RIZAL-30JUNE2020-16 b. NAME OF PROJECT: Rehabilitation / Concreting of Bayanihan Street, Brgy. 3rd District, Jalajala, Rizal c. LOCATION: Brgy. 3rd District, Jalajala, Rizal d. BRIEF DESCRIPTION: Road improvement. e. MAJOR ITEM OF WORK: PC</t>
  </si>
  <si>
    <t xml:space="preserve"> a. CONTRACT ID: RIZAL-30JUNE2020-20 b. NAME OF PROJECT: Concreting (portion) of Road at Pililla GK Village, Pililla, Rizal c. LOCATION: Pililla, Rizal d. BRIEF DESCRIPTION: Road improvement.  e. MAJOR ITEM OF WORK: PCC Pavement (Plain) – Conventional Meth</t>
  </si>
  <si>
    <t xml:space="preserve"> a. CONTRACT ID: RIZAL-30JUNE2020-17 b. NAME OF PROJECT: Asphalt Overlaying of A. Kalaw St., Sitio Sambungan, Brgy. Bagumbong, Jalajala, Rizal c. LOCATION: Brgy. Bagumbong, Jalajala, Rizal d. BRIEF DESCRIPTION: Road improvement. e. MAJOR ITEM OF WORK: Bitu</t>
  </si>
  <si>
    <t xml:space="preserve"> a. CONTRACT ID: RIZAL-30JUNE2020-14 b. NAME OF PROJECT: Construction of 2-storey, 8-rooms Ynares School Building at Looc Elem. School, Brgy. Looc, Cardona, Rizal c. LOCATION: Brgy. Looc, Cardona, Rizal d. BRIEF DESCRIPTION: Construction of Ynares School B</t>
  </si>
  <si>
    <t xml:space="preserve"> a. CONTRACT ID: RIZAL-30JUNE2020-10 b. NAME OF PROJECT: Improvement / Concreting of Burbank Street (Area 10 &amp; 11) at Brookside Hills Subd., Brgy. San Isidro, Cainta, Rizal c. LOCATION: Brgy. San Isidro, Cainta, Rizal d. BRIEF DESCRIPTION: Road improvement</t>
  </si>
  <si>
    <t xml:space="preserve"> a. CONTRACT ID: RIZAL-30JUNE2020-13 b. NAME OF PROJECT: Construction of Perimeter Fence of Rural Health Unit at Southville 9 Phase 2, Brgy. Pinugay, Baras, Rizal c. LOCATION: Brgy. Pinugay, Baras, Rizal d. BRIEF DESCRIPTION: Construction of Perimeter Fenc</t>
  </si>
  <si>
    <t xml:space="preserve"> a. CONTRACT ID: RIZAL-30JUNE2020-15 b. NAME OF PROJECT: Rehabilitation / Improvement of Road at Sitio Pinagkitran, Brgy. Boor, Cardona, Rizal c. LOCATION: Brgy. Boor, Cardona, Rizal d. BRIEF DESCRIPTION: Road improvement. e. MAJOR ITEM OF WORK: Stone Maso</t>
  </si>
  <si>
    <t xml:space="preserve"> a. CONTRACT ID: RIZAL-30JUNE2020-6 b. NAME OF PROJECT: Improvement/Repair of Ynares Multi-Purpose Covered Court, Brgy. Pilapila, Binangonan, Rizal c. LOCATION: Brgy. Pilapila, Binangonan, Rizal d. BRIEF DESCRIPTION: Improvement of Ynares Multi-Purpose Cov</t>
  </si>
  <si>
    <t xml:space="preserve"> a. CONTRACT ID: RIZAL-30JUNE2020-7 b. NAME OF PROJECT: Construction/Provision of Wash Facilities (Water, Sanitation &amp; Hygiene) at Casimiro A. Ynares Sr. Elem. School, Brgy. Mambog, Binangonan, Rizal c. LOCATION: Brgy. Mambog, Binangonan, Rizal d. BRIEF DE</t>
  </si>
  <si>
    <t xml:space="preserve"> a. CONTRACT ID: RIZAL-30JUNE2020-3 b. NAME OF PROJECT: Repainting/Improvement of Ynares Multi-Purpose Covered Court &amp; Const. of Comfort Room at Rainbow Village 1, Brgy. Kalayaan, Angono, Rizal c. LOCATION: Brgy. Kalayaan, Angono, Rizal d. BRIEF DESCRIPTIO</t>
  </si>
  <si>
    <t xml:space="preserve"> a. CONTRACT ID: RIZAL-30JUNE2020-5 b. NAME OF PROJECT: Improvement of School building, Concreting of Ground &amp; Construction of Gate at Darangan Elem. School, Brgy. Darangan, Binangonan, Rizal c. LOCATION: Brgy. Darangan, Binangonan, Rizal d. BRIEF DESCRIPT</t>
  </si>
  <si>
    <t xml:space="preserve"> a. CONTRACT ID: RIZAL-30JUNE2020-9 b. NAME OF PROJECT: Construction of 2-storey, 10-rooms Ynares School Building Don Jose Ynares Sr. Mem. School, Brgy. San Carlos, Binangonan, Rizal c. LOCATION: Brgy. San Carlos, Binangonan, Rizal d. BRIEF DESCRIPTION: Co</t>
  </si>
  <si>
    <t xml:space="preserve"> a. CONTRACT ID: RIZAL-30JUNE2020-22 b. NAME OF PROJECT: Concreting / Construction of Drainage Canal of Road at Daang Tubo East, Brgy. Guitnang Bayan I, San Mateo, Rizal c. LOCATION: Brgy. Guitnang Bayan I, San Mateo, Rizal d. BRIEF DESCRIPTION: Constructi</t>
  </si>
  <si>
    <t xml:space="preserve"> a. CONTRACT ID: RIZAL-30JUNE2020-4 b. NAME OF PROJECT: Improvement / Construction of Stone Masonry for Slope Protection and Concreting of Creek bed, Brgy. Malakaban, Binangonan, Rizal c. LOCATION: Brgy. Malakaban, Binangonan, Rizal d. BRIEF DESCRIPTION: S</t>
  </si>
  <si>
    <t xml:space="preserve"> a. CONTRACT ID: RIZAL-30JUNE2020-8 b. NAME OF PROJECT: Construction/Provision of Wash Facilities (Water, Sanitation &amp; Hygiene) at Bangad Elem. School, Brgy. Bangad, Binangonan, Rizal c. LOCATION: Brgy. Bangad, Binangonan, Rizal  d. BRIEF DESCRIPTION: Wash</t>
  </si>
  <si>
    <t xml:space="preserve"> a. CONTRACT ID: RIZAL-30JUNE2020-25 b. NAME OF PROJECT: Installation of Electrical Lighting System of Ynares Multi-Purpose Covered Courts at Brgy. Dalig, Teresa, Rizal a)  Installation of Electrical Lighting System of Ynares Multi-Purpose Covered Court at</t>
  </si>
  <si>
    <t xml:space="preserve"> a. CONTRACT ID: RIZAL-30JUNE2020-24 b. NAME OF PROJECT: Construction of 2-storey, 6-rooms Ynares School Building at Abuyod Elem. School, Brgy. Dalig, Teresa, Rizal c. LOCATION: Brgy. Dalig, Teresa, Rizal  d. BRIEF DESCRIPTION: Construction of Ynares Schoo</t>
  </si>
  <si>
    <t xml:space="preserve"> The purpose of procuring one (1) lot firewall software subscription support is to enable IPOPHL to protect its employees, network and information assets against known and advanced persistent cyber-attacks proliferating the Internet.</t>
  </si>
  <si>
    <t xml:space="preserve"> a. CONTRACT ID: RIZAL-30JUNE2020-23 b. NAME OF PROJECT: Repair of Various Ynares School Building at Tanay National High School, Brgy. Plaza Aldea, Tanay, Rizal c. LOCATION: Brgy. Plaza Aldea, Tanay, Rizal d. BRIEF DESCRIPTION: Repair of Various Ynares Sch</t>
  </si>
  <si>
    <t xml:space="preserve"> a. CONTRACT ID: RIZAL-30JUNE2020-21 b. NAME OF PROJECT: Const. of Ynares Stage at Phase 2 Eastwood Greenview Subd. , Brgy. San Isidro, Rodriguez, Rizal c. LOCATION: Brgy. San Isidro, Rodriguez, Rizal d. BRIEF DESCRIPTION: Const. of Ynares Stage e. MAJOR I</t>
  </si>
  <si>
    <t xml:space="preserve"> Back-up of databases, applications and electronic file wrappers</t>
  </si>
  <si>
    <t xml:space="preserve"> Republic of the Philippines Province of Zamboanga del Norte City of Dipolog BARANGAY PUNTA INVITATION TO APPLY FOR ELIGIBILITY TO BID The Barangay Govvernment Unit of Punta, Dipolog City, Zamboanga del Norte through its Bids and Award Committee (BAC) invi</t>
  </si>
  <si>
    <t xml:space="preserve"> Use in Cebu City Medical Center-College of Nursing.</t>
  </si>
  <si>
    <t xml:space="preserve"> INVITATION TO BID (512-2020) Procurement of Construction Materials for the Construction of Perimeter Niches, Brgy. Dajay, Surallah The LGU Surallah through the Bids and Awards Committee (BAC) is inviting suppliers to bid for the supply and delivery of GOO</t>
  </si>
  <si>
    <t xml:space="preserve"> Republic of the Philippines Province of Leyte Municipality of Palo INVITATION TO BID FOR  Supply/Delivery of Materials for the Repair/Replacement Installation of LED Street Lights along the National Highway at  Brgy. Salvacion, San Miguel, Cavite East, Ca</t>
  </si>
  <si>
    <t xml:space="preserve"> Office use.</t>
  </si>
  <si>
    <t xml:space="preserve"> Republic of the Philippines BIDS AND AWARDS COMMITTEE Province of Iloilo Invitation to Bid Purchase of Printing and Publication Materials Bid No. COO-20-0650-B 1. The Iloilo Provincial Government, through the GENERAL FUND 2020 intends to apply the sum of </t>
  </si>
  <si>
    <t xml:space="preserve"> PLEASE SEE ATTACHED DOCUMENTS.</t>
  </si>
  <si>
    <t xml:space="preserve"> INVITATION TO BID (517-2020) Procurement of Construction Materials for the Concreting of Perimeter Fence at new PNP building The LGU Surallah through the Bids and Awards Committee (BAC) is inviting suppliers to bid for the supply and delivery of GOODS/INF</t>
  </si>
  <si>
    <t xml:space="preserve"> Invitation to Bid SUPPLY AND DELIVERY OF TWO (2) UNITS BRAND NEW OFFICE VEHICLES UNDER PR NO. 13799 (Rebid) 1. The Metro Iloilo Water District through the Corporate Fund of 2020 intends to apply the sum of Two Million Five Hundred Thousand Pesos (P 2,500,</t>
  </si>
  <si>
    <t xml:space="preserve"> For Administrative Support Program.</t>
  </si>
  <si>
    <t xml:space="preserve"> Scope of Work		:	Geotechnical/Sub-Surface Soil Investigation</t>
  </si>
  <si>
    <t xml:space="preserve"> See attached document, print Bid Notice Abstract and download ITB No. GOODS-20-103.</t>
  </si>
  <si>
    <t xml:space="preserve"> Republic of the Philippines Region XII Province of Cotabato City of Kidapawan Brgy. Ginatilan OFFICE OF THE BIDS AND AWARD COMMITTEE June 10, 2020 INVITATION TO BID FOR  Supply and delivery of Plumbing Materials for the Proposed Replacement of Old and Bro</t>
  </si>
  <si>
    <t xml:space="preserve"> Invitation to Bid No. 2020-001 Republic of the Philippines Batangas City Invitation to Bid for the Purchase of Various Medicines for the use of Barangay Dalig, Batangas City. The Barangay Government through the Office of the Brgy. Chairman intends to appl</t>
  </si>
  <si>
    <t xml:space="preserve"> CONSTRUCTION OF SIDE WALK WITH BENCHES AND STREETLIGHTS IN ENVERGA BLVD., Barangay Sadsaran (GAT-UBAN TO REGIDOR ST.) MAUBAN, QUEZON. 1.	The Local Government Unit of Mauban  through the 20% DEVELOPMENT FUND (DF)-8751/1-07-03-010, 2020 intends to apply the</t>
  </si>
  <si>
    <t xml:space="preserve"> Procurement of various construction materials for use in the Repair and Maintenance of National Roads and Bridges within the district, DPWH, Negros Occidental 3rd District Engineering Office, Kabankalan City. 1.	The DPWH Negros Occidental 3rd District Eng</t>
  </si>
  <si>
    <t xml:space="preserve"> 20CSHN06 -Geotechnical/Sub-Surface Soil Investigation at  (1) Cansaga River, Brgy. Cansaga, (2) Cansaga River along Garing-Danglag-Polog Road &amp; (3) Cansaga River along Polog-Pulpogan-Cansaga Road, all in Consolacion, Cebu Scope of Work		:	Geotechnical/Sub</t>
  </si>
  <si>
    <t xml:space="preserve"> SUPPLY AND DELIVERY OF LABORATORY SUPPLIES FOR RHU LABORATORY The Local Government Unit of Mauban through the GENERAL FUND-4411/5-02-03-080 (03), 2020 intends to		 apply the sum of Six Hundred Forty Nine Thousand Four Hundred Thirty Pesos (Php 649,430.00)</t>
  </si>
  <si>
    <t xml:space="preserve"> CONSTRUCTION OF MASONRY WALL IN ENVERGA BLVD., BARANGAY SADSARAN (NEAR GAT-UBAN PARK), MAUBAN, QUEZON. 1.	The Local Government Unit of Mauban  through the 20% DEVELOPMENT FUND(DF)-8751/1-07-03-990, 2020 intends to apply the sum of Five Hundred Ninety Seve</t>
  </si>
  <si>
    <t xml:space="preserve"> BID TENDER								 The Bids and Awards Committee								 Province of Iloilo								 								      In connection with your Invitation to Bid No. CLI-20-0355-B scheduled on June 17, 2020, I/We proposed to furnish and deliver in conformity with the Terms and</t>
  </si>
  <si>
    <t xml:space="preserve"> 20CSHN05 -Geotechnical/Sub-Surface Soil Investigation at  (1) Jagobiao Creek, Brgy. Nangka, Consolacion, Cebu,  (2) Jagobiao Creek, Brgy. Poblacion Oriental, Consolacion, Cebu &amp; (3) Cordova-RoRo Port, Brgy. Poblacion,  Cordova, Cebu Scope of Work		:	Geote</t>
  </si>
  <si>
    <t xml:space="preserve"> 20CSHN07 -Parcellary Survey for the Widening of Canduman-Cebu North Road, K0012+193 - K0013+195, Mandaue City, Cebu Scope of Work		:	Parcellary Survey for the Widening</t>
  </si>
  <si>
    <t xml:space="preserve"> See attached document, print Bid Notice Abstract and download ITB No. GOODS-20-104.</t>
  </si>
  <si>
    <t xml:space="preserve"> Republic of the Philippines Province of Iloilo BIDS AND AWARDS COMMITTEE INVITATION TO BID Purchase of Animal Feeds Bid No. AGR-20-0348-B 1. The Iloilo Provincial Government, through the   General Fund CY 2020 intends to apply the sum of THREE HUNDRED FOU</t>
  </si>
  <si>
    <t xml:space="preserve"> Brgy. Government of Ginatilan BIDS AND AWARD COMMITTEE Brgy. Ginatilan, Kidapawan City INVITATIONS TO PAKYAW CONTRACT GROUPS Date: June 10, 2020 PL#:PL 2020-06-001 	The City of Kidapawan is inviting Pakyaw Contract Groups to apply for the various items in</t>
  </si>
  <si>
    <t xml:space="preserve"> Supply/ Delivery of Drugs, Medicines, Medical, Dental &amp; Laboratory Supplies &amp; Micro Nutrient Supplementation particulary, Lot 2 &amp; 3 Please see attached Document for Lot 2 &amp; Lot 3 only</t>
  </si>
  <si>
    <t xml:space="preserve"> Republic of the Philippines Province of Iloilo BIDS AND AWARDS COMMITTEE INVITATION TO BID Purchase of Agricultural Supplies and Materials Bid No. AGR-20-0346-B 1. The Iloilo Provincial Government, through the    General Fund 2020 intends to apply the sum</t>
  </si>
  <si>
    <t xml:space="preserve"> Republic of the Philippines DEPARTMENT OF PUBLIC WORKS &amp; HIGHWAYS Region X Office of the Regional Director Bulua, Cagayan de Oro City REQUEST FOR PROPOSAL June 03, 2020 The President Development Bank of the Philippines (DBP) Puyat Avenue corner Makati Ave</t>
  </si>
  <si>
    <t xml:space="preserve"> Republic of the Philippines DEPARTMENT OF PUBLIC WORKS AND HIGHWAYS DAVAO ORIENTAL FIRST DISTRICT ENGINEERING OFFICE REGION XI Lucod, Baganga, Davao Oriental RE-INVITATION TO BID No. 2020-0008  1.	The Department of Public Works and Highways, Davao Orienta</t>
  </si>
  <si>
    <t xml:space="preserve"> Republic of the Philippines DEPARTMENT OF HEALTH WESTERN VISAYAS Center for Health Development INVITATION TO BID FOR THE  Rebidding of Supplies for Water Purification and Testing,  IB No. SB-2020-006 1.	The Department of Health – WV CHD, through the GOP –</t>
  </si>
  <si>
    <t xml:space="preserve"> REQUEST FOR QUOTATION Procurement of Goods [Colored Copier/Printer/Scanner/Banner] The   City Government of Tagbilaran, through its Bids and Awards Committee (BAC) intends to apply the sum of Two Hundred Fifty Thousand (P250,000.00) pesos onlybeing the Ap</t>
  </si>
  <si>
    <t xml:space="preserve"> REQUEST FOR QUOTATION Procurement of Goods [Submersible Pumpset] The   City Government of Tagbilaran, through its Bids and Awards Committee (BAC) intends to apply the sum of One Hundred Twenty-Five Thousand (P125,000.00) pesos onlybeing the Approved Budge</t>
  </si>
  <si>
    <t xml:space="preserve"> See attached document, print Bid Notice Abstract and download ITB No. GOODS-20-106.</t>
  </si>
  <si>
    <t xml:space="preserve"> LGU-BINUANGAN would like to invite all interested bidders/suppliers to supply and the delivery for the Purchase of Drugs and Medicines for the Health Office with an ABC of Sixty Two Thousand Forty Five Pesos Only (62,045.00).</t>
  </si>
  <si>
    <t xml:space="preserve"> UPS Battery 7.8Ah  4 unit Normal Voltage 12v,; Dimensions 15.1 x 6.5 x 10mm.; Terminal Type Faston F1; Construction AGM; Weight 2.6kg; Flame Resistant: Yes; Eurobat Classification 6 to 9 years; Operating Temperature Range 15 - +50°C UPS Battery 4.5Ah  8 u</t>
  </si>
  <si>
    <t xml:space="preserve"> Republic of the Philippies DEPARTMENT OF PUBLIC WORKS AND HIGHWAYS DAVAO ORIENTAL FIRST DISTRICT ENGINEERING OFFICE REGION XI Lucod, Baganga, Davao Oriental RE-INVITATION TO BID No. 2020-0008  1.The Department of Public Works and Highways, Davao Oriental </t>
  </si>
  <si>
    <t xml:space="preserve"> Calcium Hypocholoride, 40kg/drum  5 Drum Algae Control, Mero 185 Anti Algae  12 Bot Pls. submit your quotation thru email:  mi_lynsn@yahoo.com x-x-x-x-x-x-x-x-x-x-x-x-x-x-x-x-x Total ABC  (in PhP) 38,000.00</t>
  </si>
  <si>
    <t xml:space="preserve"> See attached document, print Bid Notice Abstract and download ITB No. GOODS-20-105.</t>
  </si>
  <si>
    <t xml:space="preserve"> Purchase and Delivery of Drugs and Medical Supplies for 2nd Quarter 2020</t>
  </si>
  <si>
    <t xml:space="preserve"> REQUEST FOR QUOTATION Procurement of Goods [All Interior Upholstery] The   City Government of Tagbilaran, through its Bids and Awards Committee (BAC) intends to apply the sum of Sixty Thousand (P60,000.00) pesos onlybeing the Approved Budget for the Contr</t>
  </si>
  <si>
    <t xml:space="preserve"> I. 	EARTHWORKS 		 a. 	Site Preparation 	                      1	lot  b. 	Excavation/ Demolation 	              1	lot  c. 	Hauling 	                                      1    	lot  			 II. 	CONCRETE WORKS (Conc. Drainage) 		 1	CHB 5" 	                     </t>
  </si>
  <si>
    <t xml:space="preserve"> REQUEST FOR QUOTATION Procurement of Goods [Tools for Transportation and Motorpool Use] The   City Government of Tagbilaran, through its Bids and Awards Committee (BAC) intends to apply the sum of One Hundred Thirty-Two Thousand Two Hundred Fifty-Four (P1</t>
  </si>
  <si>
    <t xml:space="preserve"> The Local  Government   Unit  of General  Santos  City, through  the  GENERAL FUND CY 2020  intends  to apply  the sum of seventy four thousand five hundred ninety six and xx / 100 Pesos Only (74,596.00)   being  the Approved  Budget  for the Contract   (</t>
  </si>
  <si>
    <t xml:space="preserve"> Republic of the Philippines MUNICIPALITY OF ORION Province of Bataan Bids and Awards Committee Secretariat Office, 2nd Floor Municipal Building, San Vicente, Orion, Bataan Telephone No. 244-9611 local 101 20ITB-G-02-00033 Invitation to Bid Supply, Install</t>
  </si>
  <si>
    <t xml:space="preserve"> The Local  Government   Unit  of General  Santos  City, through  the  GENERAL FUND CY 2020  intends  to apply  the sum of two hundred thousand and xx / 100 Pesos Only (200,000.00)   being  the Approved  Budget  for the Contract   (ABC) to payments  under </t>
  </si>
  <si>
    <t xml:space="preserve"> PROCUREMENT OF FURNITURE AND FIXTURES</t>
  </si>
  <si>
    <t xml:space="preserve"> See attached document, print Bid Notice Abstract and download ITB No. GOODS-20-107.</t>
  </si>
  <si>
    <t xml:space="preserve"> Republic of the Philippines CITY GOVERNMENT OF SAN FERNANDO Barangay Parian Email: brgy_parian_csflu@yahoo.com. INVITATION TO BID FOR  Construction of Drainage Canal Purok 1, Barangay Parian, City of San Fernando 1.	The Barangay Parian, through the Barang</t>
  </si>
  <si>
    <t xml:space="preserve"> PROCUREMENT OF OTHER SUPPLIES</t>
  </si>
  <si>
    <t xml:space="preserve"> PROCUREMENT OF OFFICE SUPPLIES</t>
  </si>
  <si>
    <t xml:space="preserve"> Republic of the Philippines Province of Davao De Oro MUNICIPALITY OF COMPOSTELA BIDS AND AWARDS COMMITTEE CP#: 0998-571-7569 INVITATION TO BID FOR  Procurement of Hardware Materials for Improvement of Bridges along Purok 9 to Purok 6 Mangayon ITB NO. 2020</t>
  </si>
  <si>
    <t xml:space="preserve"> PROCUREMENT OF FOOD SUPPLIES</t>
  </si>
  <si>
    <t xml:space="preserve"> PROCUREMENT OF OFFICE EQUIPMENT</t>
  </si>
  <si>
    <t xml:space="preserve"> Republic of the Philippines CITY GOVERNMENT OF ORMOC  2nd /F New Ormoc City Hall Bldg.,Ormoc City Tel # (053) 255-2054 &amp; 560-8050 Local # 1126, 1127 &amp; 1123   33-________________________ INVITATION TO BID         The City Government of Ormoc, through the B</t>
  </si>
  <si>
    <t xml:space="preserve"> FINANCIAL PROPOSAL																								 NEGOTIATED PROCUREMENT																								 DUE TO TWO-FAILED BIDDINGS																								 																								 	Company Name 			:																				 	Address                			:																				 	</t>
  </si>
  <si>
    <t xml:space="preserve"> CONSTRUCTION OF SOU LAST PHASE</t>
  </si>
  <si>
    <t xml:space="preserve"> Republic of the Philippines DEPARTMENT OF HEALTH WESTERN VISAYAS Center for Health Development INVITATION TO BID FOR THE  Rebidding of Laboratory Supplies for STI, HIV and AIDS Program,  IB No. SB-2020-012 1.	The Department of Health – WV CHD, through the</t>
  </si>
  <si>
    <t xml:space="preserve"> Republic of the Philippines CITY GOVERNMENT OF ORMOC  2nd /F New Ormoc City Hall Bldg.,Ormoc City Tel # (053) 255-2054 &amp; 560-8050 Local # 1126, 1127 &amp; 1123	      35-________________________ INVITATION TO BID         The City Government of Ormoc, through t</t>
  </si>
  <si>
    <t xml:space="preserve"> Republic of the Philippines DEPARTMENT OF HEALTH WESTERN VISAYAS Center for Health Development INVITATION TO BID FOR THE  Rebidding of TB Drugs,  IB No. SB-2020-009 1.	The Department of Health – WV CHD, through the NTP CONAP 2019 fund  intends to apply th</t>
  </si>
  <si>
    <t xml:space="preserve"> 34-________________________ INVITATION TO BID         The City Government of Ormoc, through the Bids and Awards Committee (BAC), invites contractors registered with and classified by the Philippine Contractors Accreditation Board (PCAB) to bid for the her</t>
  </si>
  <si>
    <t xml:space="preserve"> 1.	The West Visayas State University Medical Center, through its Use of Income Fund 2020 intends to apply  the sum of  TWO MILLION FORTY ONE THOUSAND NINE HUNDRED SIXTY PESOS (PhP 2,041,960.00) ONLY being the Approved Budget for the Contract (ABC) to paym</t>
  </si>
  <si>
    <t xml:space="preserve"> Republic of the Philippines Province of Masbate Municipality of Monreal BARANGAY MOROCBOROCAN BIDS AND AWARDS COMMITTEE INVITATION TO BID  									June 9, 2020 	The Barangay Local Government Unit of Morocborocan, Monreal, Masbate through its Bids and Awa</t>
  </si>
  <si>
    <t xml:space="preserve"> RENTAL OF MOTOR VEHICLE</t>
  </si>
  <si>
    <t xml:space="preserve"> PROJECT:PURCHASE OF MEDICINES, 2ND &amp; 3RD QUARTER 2020 LOCATION: RHU-RIZAL, NUEVA ECIJA SOURCE OF FUND: GENERAL FUND ABC: PHP 600,000.00</t>
  </si>
  <si>
    <t xml:space="preserve"> Republic of the Philippines Province of Batangas MUNICIPALITY OF MALVAR Office of the Municipal Mayor SECTION I INVITATION TO BID FOR IMPROVEMENT OF MULTI-PURPOSE GYMNASIUM AT BARANGAY SAN GREGORIO, MALVAR BATANGAS 1. The Municipality of Malvar, through t</t>
  </si>
  <si>
    <t xml:space="preserve"> Republic of the Philippines Province of Batangas MUNICIPALITY OF MALVAR Office of the Municipal Mayor SECTION I INVITATION TO BID FOR IMPROVEMENT OF SENIOR CITIZENS BUILDING AT BARANGAY SANTIAGO, MALVAR BATANGAS 1. The Municipality of Malvar, through the </t>
  </si>
  <si>
    <t xml:space="preserve"> Republic of the Philippines Province of Batangas MUNICIPALITY OF MALVAR Office of the Municipal Mayor SECTION I INVITATION TO BID FOR CONSTRUCTION OF DRAINAGE SYSTEM AT BARANGAY SAN PIOQUINTO, MALVAR BATANGAS 1. The Municipality of Malvar, through the Sup</t>
  </si>
  <si>
    <t xml:space="preserve"> INVITATION TO BID The Northern Negros State College of Science and Technology at Old Sagay, Sagay City, Negros Occidental through its Bids and Awards Committee (BAC), invites bidders to apply for eligibility and if found eligible, to bid for the hereunder</t>
  </si>
  <si>
    <t xml:space="preserve"> Republic of the Philippines Province of Batangas MUNICIPALITY OF MALVAR Office of the Municipal Mayor SECTION I INVITATION TO BID FOR IMPROVEMENT OF MULTI-PURPOSE GYMNASIUM AT BARANGAY SAN JUAN, MALVAR BATANGAS 1. The Municipality of Malvar, through the S</t>
  </si>
  <si>
    <t xml:space="preserve"> Lagundi Capsule 600mg, 100/box	                                      160	box Lagundi Syrup 300mg/5, 60ml 	                                              800	bot Salbutamol Syrup, 2mg/5ml , 60ml 	                                      300	bot Salbutamol 2mg/</t>
  </si>
  <si>
    <t xml:space="preserve"> Republic of the Philippines Province of Batangas MUNICIPALITY OF MALVAR Office of the Municipal Mayor SECTION I INVITATION TO BID FOR CONSTRUCTION/IMPROVEMENT OF MULTI-PURPOSE BUILDING AT BARANGAY BAGONG POOK, MALVAR BATANGAS 1. The Municipality of Malvar</t>
  </si>
  <si>
    <t xml:space="preserve"> ITEM           DESCRIPTION         QUANTITY           UNIT 1	FURNISHING OF LABOR AND MATERIALS FOR THE INSTALLATION OF DISTRIBUTION LINE AT ZONE 1, BARANGAY BARAS, CANAMAN, CAMARINES SUR           1 LOT																					 																						 								</t>
  </si>
  <si>
    <t xml:space="preserve"> Republic of the Philippines PROVINCE OF SAMAR Municipality of Pinabacdao Invitation to Bid Concreting of Pathwalk at Core Shelter Project(Pabahay) Pinabacdao Samar 1. The LOCAL GOVERMENT UNIT of Pinabacdao Samar, through the FY 2020 Budget intends to appl</t>
  </si>
  <si>
    <t xml:space="preserve"> PROCUREMENT OF TRAINING SUPPLIES</t>
  </si>
  <si>
    <t xml:space="preserve"> Republic of the Philippines Province of Batangas MUNICIPALITY OF MALVAR Office of the Municipal Mayor SECTION I INVITATION TO BID  FOR IMPROVEMENT OF MULTI-PURPOSE BUILDING AT BARANGAY SAN JUAN, MALVAR, BATANGAS 1.	The Municipality of Malvar, through the </t>
  </si>
  <si>
    <t xml:space="preserve"> ARMED FORCES OF THE PHILIPPINES PHILIPPINE AIR FORCE OFFICE OF THE PAF BIDS AND AWARDS COMMITTEE Colonel Jesus Villamor Air Base, Pasay City Invitation to Bid The Armed Forces of the Philippines, through the PAF Bids and Awards Committee (PAFBAC), invites</t>
  </si>
  <si>
    <t xml:space="preserve"> Republic of the Philippines Province of Batangas MUNICIPALITY OF MALVAR Office of the Municipal Mayor SECTION I INVITATION TO BID  FOR CONSTRUCTION OF CANAL AT BARANGAY SANTIAGO, MALVAR, BATANGAS 1. The Municipality of Malvar, through the Supplemental Bud</t>
  </si>
  <si>
    <t xml:space="preserve"> Republic of the Philippines Province of Batangas MUNICIPALITY OF MALVAR Office of the Municipal Mayor SECTION I INVITATION TO BID  FOR IMPROVEMENT OF MULTI-PURPOSE BUILDING AT BARANGAY SAN ISIDRO, MALVAR, BATANGAS 1.	The Municipality of Malvar, through th</t>
  </si>
  <si>
    <t xml:space="preserve"> Municipality of Looc INVITATION TO BID FOR Supply/Installation of Isolation Facility Accessories 1.	The Municipality of Looc, through the Bayanihan Grant intends to apply the sum of Php 1,020,000.00 being the Approved Budget for the Contract (ABC) to paym</t>
  </si>
  <si>
    <t xml:space="preserve"> - CONCRETE PIPES - SAND GRAVEL - CEMENT -  PLYWOOD</t>
  </si>
  <si>
    <t xml:space="preserve"> CONSTRUCTIONS OF SOU PHASE 1</t>
  </si>
  <si>
    <t xml:space="preserve"> 1. The CITY GOVERNMENT OF CALAMBA through the General Fund intends to apply the sum of PHP 1,416,798.00 being the Approved Budget for the Contract (ABC) to payments under the contract for: G-2020-200 Supply and Installation of Dry Container Van with Pedes</t>
  </si>
  <si>
    <t xml:space="preserve"> 1. The CITY GOVERNMENT OF CALAMBA through the General Fund intends to apply the sum of PHP 1,500,000.00 being the Approved Budget for the Contract (ABC) to payments under the contract for: G-2020-277 Supply and Delivery of Nebulizer Office of the City May</t>
  </si>
  <si>
    <t xml:space="preserve"> 1. The CITY GOVERNMENT OF CALAMBA through the Special Education Fund intends to apply the sum of PHP 17,979,300.00 being the Approved Budget for the Contract (ABC) to payments under the contract for: G-2020-209 Supply and Installation of CCTV Various Scho</t>
  </si>
  <si>
    <t xml:space="preserve"> 1. The CITY GOVERNMENT OF CALAMBA through the GAD Fund intends to apply the sum of PHP 1,756,560.00 being the Approved Budget for the Contract (ABC) to payments under the contract for: G-2020-284 Supply and Delivery of Agricultural Inputs: Broiler Product</t>
  </si>
  <si>
    <t xml:space="preserve"> 182 Concrete Blocks to cover 140 meters (distance)</t>
  </si>
  <si>
    <t xml:space="preserve"> 1. The CITY GOVERNMENT OF CALAMBA through the General Fund intends to apply the sum of PHP 2,042,872.49 being the Approved Budget for the Contract (ABC) to payments under the contract for: I-2020-008 Construction of Two Storey Canteen Bldg. with Roof Deck</t>
  </si>
  <si>
    <t xml:space="preserve"> 1. The CITY GOVERNMENT OF CALAMBA through the General Fund intends to apply the sum of PHP 4,998,830.71 being the Approved Budget for the Contract (ABC) to payments under the contract for: I-2020-010 Construction of Retaining Wall Barangay Barandal (Calam</t>
  </si>
  <si>
    <t xml:space="preserve"> 1. The CITY GOVERNMENT OF CALAMBA through the General Fund intends to apply the sum of PHP 1,416,000.00 being the Approved Budget for the Contract (ABC) to payments under the contract for: G-2020-278 Supply and Delivery of Hearing Aid Office of the City M</t>
  </si>
  <si>
    <t xml:space="preserve"> 1. The CITY GOVERNMENT OF CALAMBA through the General Fund intends to apply the sum of PHP 1,162,660.80 being the Approved Budget for the Contract (ABC) to payments under the contract for: G-2020-324 Supply and Delivery of Rabies Vaccine City Health Servi</t>
  </si>
  <si>
    <t xml:space="preserve"> 1. The CITY GOVERNMENT OF CALAMBA through the General Fund intends to apply the sum of PHP 1,344,000.00 being the Approved Budget for the Contract (ABC) to payments under the contract for: G-2020-279 Supply and Delivery of Monoblock Chairs Office of the C</t>
  </si>
  <si>
    <t xml:space="preserve"> Procurement involves efforts to quantify medicines requirements, selecting appropriate procurement methods, prequalifying suppliers and products.</t>
  </si>
  <si>
    <t xml:space="preserve"> LGU-Camachile, Gabaldon, Nueva Ecija				     	Contract reference number:							    				                   Name of the Contract: Installation of Solar Lights Standard Form Number: SF-GOOD-05				     	Location of the Contract: Brgy.Camachile, Gabaldon, Nuev</t>
  </si>
  <si>
    <t xml:space="preserve"> 1. The CITY GOVERNMENT OF CALAMBA through the Special Education Fund intends to apply the sum of PHP 1,996,597.32 being the Approved Budget for the Contract (ABC) to payments under the contract for: Construction of Drainage Facility, E. Barretto Sr. ES Ba</t>
  </si>
  <si>
    <t xml:space="preserve"> INVITATION TO BID Sealed proposal in ink typewritten one (1) copy will be received fro bonafide contractors on June 22, 2020 at 10:00 AM at Barangay Hall, Barangay A. PASCUAL, this city on which date, time and place the bid will publicly opened in the pre</t>
  </si>
  <si>
    <t xml:space="preserve"> Provision of Combined Field Office, Laboratory and Living Quarters Building for the Engineer (Rental Basis); Miscellaneous Survey and Staking; Project Billboard / Signboard; Occupational Safety and Health Program; Traffic Management; Mobilization/Demobili</t>
  </si>
  <si>
    <t xml:space="preserve"> INVITATION TO APPLY FOR ELIGIBILITY AND TO BID THE BIDS AND AWARD COMMITTEE OF BRGY. PALANAY, MUNICIPALITY OF CAIBIRAN, BILIRAN IS INVITING ALL INTERESTED BIDDERS ON ITS FORTH COMING PUBLIC BIDDING FOR: Project Title	: Improvement of Barangay Hall Period </t>
  </si>
  <si>
    <t xml:space="preserve"> 34 pcs .40mm x 12' Corr. G.I. Sheets 34 pcs .40mm x 10' Corr. G.I. Sheets 10 kgs Umbrella Nails 2 kgs. Concrete Nails 3 kgs. Hardi Nails 10 pcs. Standard Gutter 8 pcs. Standard Ridge Roll 10 pcs. 1/2" x 12" Hardi Sanepa 1 lit. Roof Sealant 10 bags 4" dia.</t>
  </si>
  <si>
    <t xml:space="preserve"> Republic of the Philippines  Province of La Union  Municipality of Bacnotan  Bids and Awards Committee  INVITATION TO BID FOR  Supply and Delivery of Furniture and Fixture for Bacnotan Farmer’s Agri-Tourism Center  1.	The Municipality of Bacnotan, through</t>
  </si>
  <si>
    <t xml:space="preserve"> Project Billboard/Signboard; Occupational Safety and Health Program; Mobilization/Demobilization; Structure Excavation (Common Soil); Gravel Fill; Structural Concrete (Footings and Slab on Fill) Class A, 28 days; Structural Concrete (Columns) Class A, 28 </t>
  </si>
  <si>
    <t xml:space="preserve"> Item No.	Unit	Qty.	Description of Articles 1	bags	180	Portland Cement 2	cu.m	10	Sand (Washed) 3	cu.m	20	Gravel (Fine) 4	lgth	175	12mm dia x 6.0m DSB  5	lgth	105	10mm dia x 6.0m DSB  6	lgth	10	3" dia x 3.0 m uPVC Pipe, Orange S-500 7	kgs	25	#16 G.I. Tie Wi</t>
  </si>
  <si>
    <t xml:space="preserve"> I. Price Quotation Form (Please see attached file @ Associated Components). II. Payment upon 100% completion of project. III. A penalty of one-tenth of one percent (0.001) of the total value of the product(s)/goods purchased shall be deducted for each day</t>
  </si>
  <si>
    <t xml:space="preserve"> Item No.	Unit	Qty.	Description of Articles 1	unit	1	Aircon 			2.5 HP 			Window Type 			Good Quality</t>
  </si>
  <si>
    <t xml:space="preserve"> TO THE BIDDERS: Interested bidders may obtain further information from the LBGU Barangay Cabalanggan at the address given below. The Local Barangay Government Unit of Barangay Cabalanggan serves the right to accept or reject any bid, declares failure of b</t>
  </si>
  <si>
    <t xml:space="preserve"> INVITATION TO BID CONSTRUCTION OF ROAD SHOULDERING Name of Procuring Entity: BLGU- WILSON Source of fund:	20% PDF 2020 Approved Budget for the Contract:	NINETY NINE THOUSAND EIGHT HUNDRED FIFTEEN PESOS AND 60/100   (Php 99,815.60) only. Contract Name:	CON</t>
  </si>
  <si>
    <t xml:space="preserve"> Republic of the Philippines Province of Iloilo  BIDS AND AWARDS COMMITTEE REQUEST FOR QUOTATION Quotation No. GSO-20-0576-NP(SV) Reference PR No. GSO-20-0576 June 8, 2020 __________________________________ __________________________________ ______________</t>
  </si>
  <si>
    <t xml:space="preserve"> Republic of the Philippines  Province of La Union  Municipality of Bacnotan  Bids and Awards Committee  INVITATION TO BID FOR  Supply and Delivery of Drugs and Medicines  1.	The Municipality of Bacnotan, through the General Fund intends to apply the sum o</t>
  </si>
  <si>
    <t xml:space="preserve"> 1	Articaine 4% Dental anesthetic carpule 	50	box 2	Dental needles g30 short - 100's 	55	box 3	Netrile examination gloves - powder free - 100's small	72	box 4	Netrile examination gloves - powdered - 100's medium	36	box 5	Disposable earloop facemask - 2ply </t>
  </si>
  <si>
    <t xml:space="preserve"> BID TENDER	 								 The Bids and Awards Committee							 Province of Iloilo							 								      In connection with your Invitation to Bid No. ISC-20-0468-B scheduled on June 17, 2020, I/we proposed to furnish and deliver in conformity with the terms and</t>
  </si>
  <si>
    <t xml:space="preserve"> TO ALL BIDDERS: Interested bidders may obtain further information from the LBGU Barangay Cabalanggan at the address given below. The Local Barangay Government Unit of Barangay Cabalanggan serves the right to accept or reject any bid, declares failure of b</t>
  </si>
  <si>
    <t xml:space="preserve"> Republic of the Philippines BIDS AND AWARDS COMMITTEE Province of Iloilo Invitation to Bid Purchase of  MEDICAL SUPPLIES Bid No. JCH-20-0226-B 1. The Iloilo Provincial Government, through the GENERAL FUND 2020 intends to apply the sum of TWO HUNDRED EIGHT</t>
  </si>
  <si>
    <t xml:space="preserve"> This project entails labor and materials for the Construction of 1m x120m x 0.10m concrete pathway at Purok 1 &amp; 3, Salvacion, Magallanes, Sorsogon.</t>
  </si>
  <si>
    <t xml:space="preserve"> 1	Window Type Aircon	                                                5	unit  	1.5 hp		 	w/ remote control		 	energy saving plug		 	4 way air flow cooling		 	easy access filter		 	24hr electronic off timer		 	one year warranty		 2	Split type aircon        </t>
  </si>
  <si>
    <t xml:space="preserve"> Office Equipment-Aircon w/complete Accessories</t>
  </si>
  <si>
    <t xml:space="preserve"> Spareparts-Various Spareparts</t>
  </si>
  <si>
    <t xml:space="preserve"> Fuel-Diesel Fuel</t>
  </si>
  <si>
    <t xml:space="preserve"> Republic of the Philippines Province of Iloilo  BIDS AND AWARDS COMMITTEE REQUEST FOR QUOTATION Quotation No. GSO-20-0498-NP(SV) Reference PR No. GSO-20-0498 June 8, 2020 ____________________________________ ____________________________________ __________</t>
  </si>
  <si>
    <t xml:space="preserve"> Republic of the Philippines BIDS AND AWARDS COMMITTEE Province of Iloilo Invitation to Bid Purchase of  COMPUTER PARTS &amp; ACCESSORIES For Bid No. JCH-20-0171-B 1. The Iloilo Provincial Government, through the  GENERAL FUND 2020 intends to apply the sum of </t>
  </si>
  <si>
    <t xml:space="preserve"> PAPALLASEN 01-2020 - Repair &amp; impvt. of perimeter fence &amp; installation of gate</t>
  </si>
  <si>
    <t xml:space="preserve"> Specifications YMCK Full Color with Resin Black, 500 Prints	3 sets Retransfer Film, 1500 Prints	1 set Interested Suppliers should submit the following together with the quotation: 1. Valid Mayor's/Business Permit 2. PhilGEPS Registration Number</t>
  </si>
  <si>
    <t xml:space="preserve"> Republic of the Philippines  Province of La Union  Municipality of Bacnotan  Bids and Awards Committee  INVITATION TO BID FOR  Supply and Delivery of Various Information and Communication Technology Equipment  1.	The Municipality of Bacnotan, through the </t>
  </si>
  <si>
    <t xml:space="preserve"> Republic of the Philippines                   PROVINCE OF BUKIDNON                   Municipality of Don Carlos                                        BIDS AND AWARDS COMMITTEE       REQUEST FOR QUOTATION   									 						                                </t>
  </si>
  <si>
    <t xml:space="preserve"> Republic of the Philippines BIDS AND AWARDS COMMITTEE Province of Iloilo Invitation to Bid Purchase of Defibrillator  Bid No. FRT-19-1689-B(REBID) 1. The Iloilo Provincial Government, through the SUPPLEMENTAL BUDGET #2, 2017 intends to apply the sum of ON</t>
  </si>
  <si>
    <t xml:space="preserve"> SUPPLY OF LABOR, TOOLS AND MATERIALSNOTE: (FOR JOB ORDER) NOTE: REQUEST FOR QUOTATION SHALL BE THRU EMAIL DUE TO COVID 19.   YOU CAN DROP YOUR QUOTATIONS AT OUR BID BOX SITUATED IN FRONT OF OUR MAINGATE GUARDHOUSE – AGUS 6/7 HPPC.</t>
  </si>
  <si>
    <t xml:space="preserve"> Equipment for Banana Tissue Culture Laboratory Kindly see attached file. Thank you!</t>
  </si>
  <si>
    <t xml:space="preserve"> Republic of the Philippines BIDS AND AWARDS COMMITTEE Province of Iloilo Invitation to Bid Purchase of DENTAL SUPPLIES Bid No. RTH-20-0183-B(RE-BID) 1. The Iloilo Provincial Government, through the  GENERAL FUND  2020 intends to apply the sum of  EIGHTY T</t>
  </si>
  <si>
    <t xml:space="preserve"> ENVIRONMENTAL SIGNAGES, MATERIALS AND LABOR NOTE: (FOR JOB ORDER) REQUEST FOR QUOTATION SHALL BE THRU EMAIL DUE TO COVID 19.   YOU CAN DROP YOUR QUOTATIONS AT OUR BID BOX SITUATED IN FRONT OF OUR MAINGATE GUARDHOUSE – AGUS 6/7 HPPC.</t>
  </si>
  <si>
    <t xml:space="preserve"> Construction and Rehabilitation of Drainage System</t>
  </si>
  <si>
    <t xml:space="preserve"> Rental of Motor Vehicles</t>
  </si>
  <si>
    <t xml:space="preserve"> SUPPLY AND DELIVERY OF THE FOLLOWING: ITEM NO.       DESCRIPTION                                                           UNIT            QUANTITY      I              REINFORCED CONCRETE BOX CULVERT (RCBC)            cum                5.94      II      </t>
  </si>
  <si>
    <t xml:space="preserve"> Construction of Drainage Canal (0.60m x 0.60m x170.0m), Open Drainage Canal with Cantilliver beam (0.15m x 0.10m) &amp; Column (0.10m x 0.20m) every 3.0meters</t>
  </si>
  <si>
    <t xml:space="preserve"> Republic of the Philippines BIDS AND AWARDS COMMITTEE Province of Iloilo Invitation to Bid Purchase of  DUPLICATOR MACHINE Bid No. JCH-20-0225-B 1. The Iloilo Provincial Government, through the Supplemental Budget No. 2 2019 intends to apply the sum of ON</t>
  </si>
  <si>
    <t xml:space="preserve"> Republic of the Philippines BIDS AND AWARDS COMMITTEE Province of Iloilo Invitation to Bid Purchase of Medical Equipment Bid No. DDH-19-2097-B 1. The Iloilo Provincial Government, through the 20% IRA OF 2018 intends to apply the sum of ONE HUNDRED EIGHTY </t>
  </si>
  <si>
    <t xml:space="preserve"> SUPPLY OF MATERIALS FOR THE REPAIR &amp; MAINTENANCE OF MOTOR VEHICLES REPAIR &amp; INSTALLATION &amp; MAINTENANCE AND SUPPLY OF MATERIALS FOR SJA 587</t>
  </si>
  <si>
    <t xml:space="preserve"> Improvement of Barangay Multi-Purpose Hall (Extension of Health Center)</t>
  </si>
  <si>
    <t xml:space="preserve"> ABATEMENT FOR AGUS 6 &amp; 7 HEPC NOTE: (FOR JOB ORDER) REQUEST FOR QUOTATION SHALL BE THRU EMAIL DUE TO COVID 19.   YOU CAN DROP YOUR QUOTATIONS AT OUR BID BOX SITUATED IN FRONT OF OUR MAINGATE GUARDHOUSE – AGUS 6/7 HPPC.</t>
  </si>
  <si>
    <t xml:space="preserve"> Procurement of Training Supplies</t>
  </si>
  <si>
    <t xml:space="preserve"> Construction of Seventy (70) Spans-Concrete Fence Please call Engr. Richard Pablo at 0926-395-9865  for more information regarding the ITB posted.  Kindly see attached file. Thank you!</t>
  </si>
  <si>
    <t xml:space="preserve"> PAPALLASEN 02-2020 - Repair &amp; impvt. of multi-purpose hall</t>
  </si>
  <si>
    <t xml:space="preserve"> 4 	Procurement ID/Contract ID		20LC0155 	Contract Name		Tanglaw Bridge 2 (B00187MN) along Tagum －Panabo Circumferential Road 	Contract Location		Braulio E. Dujali, Davao del Norte 	Brief Description		Widening of Bridge 	Approved Budget for the Contract ( </t>
  </si>
  <si>
    <t xml:space="preserve"> Contract ID: 20PL0113 Contract Name: Concreting of Brgy. Sandara FMR, Brgy. Sandara, Rizal, Kalinga Contract Location: Rizal, Kalinga Brief Description: Construction of 600m x 5.0m x 0.20m thk PCCP Approved Budget for the Contract (ABC): PhP 11,937,445.31</t>
  </si>
  <si>
    <t xml:space="preserve"> 3	Procurement ID/Contract ID		20LC0154 	Contract Name		Tanglaw Bridge 2 (B00187MN) along Tagum －Panabo Circumferential Road 	Contract Location		Braulio E. Dujali, Davao del Norte 	Brief Description		Widening of Bridge 	Approved Budget for the Contract ( A</t>
  </si>
  <si>
    <t xml:space="preserve"> 2.00 units Project Billboard 506.87 cu.m Surplus Common Excavation 3,960.00 sq.m  Subgrade Preparation 740.03 cu.m Aggregate Sub Base Course  2,475.00 Portland Cement Concrete Pavement 87.00  cu.m Stone Masonry (Grouted Riprap) Equipment Needed: Backhoe,R</t>
  </si>
  <si>
    <t xml:space="preserve"> INVITATION TO BID The Iligan City Government Bids and Awards Committee (BAC), through General Fund 2020, intends to apply the sum of P 1,493,425.00 being the Approved Budget for the Contract (ABC) to payments under the Contract for Procurement of Medical </t>
  </si>
  <si>
    <t xml:space="preserve"> NEGOTIATED PROCUREMENT 											 June 8, 2020 1.	The Provincial Government of Davao Occidental, through its Bids and Awards Committee (BAC), invites all potential bidders/suppliers to apply to bid for the following goods: Bids received in excess of the </t>
  </si>
  <si>
    <t xml:space="preserve"> The City Government of Ligao through its Bids and Awards Committee (BAC), now invites bids for the herein project: Name of Contract        :  Upgrading of Paulba-Maburi Road (Phase III) Location                       : Paulba,  Ligao City Brief Descriptio</t>
  </si>
  <si>
    <t xml:space="preserve"> Republic of the Phillippines BIDS AND AWARDS COMMITTEE FOR THE PROCUREMENT OF GOODS City of Puerto Princesa  Barangay Inagawan Invitation To Bid ( Procurement of Goods ) The scheduled of Bidding Activities should be as follows : 1. Publication Posting of </t>
  </si>
  <si>
    <t xml:space="preserve"> Republic of the Philippines Province of Bohol MUNICIPALITY OF TUBIGON INVITATION TO BID FOR Supply and Delivery of Construction Materials for Grouted Riprap @ Masungil, Pinayagan Sur, Tubigon, Bohol (Re-Bid) 1. The Local Government Unit of Tubigon, Bohol,</t>
  </si>
  <si>
    <t xml:space="preserve"> Concreting Project at Rafael Lacson Street (Slaughter House Road) Liloy, Zamboanga del Norte amounting                     P 2,300,000.00  190 meters Length 0.20 m thickness 6.10 m width 150 calendar days to complete the project</t>
  </si>
  <si>
    <t xml:space="preserve"> ITEM NO.                DESCRIPTION                            QUANTITY           UNIT 100                        CLEARING  AND GRUBBING            180                  SQ.M 105                        SUB-GRADE PREPARATION             900                 </t>
  </si>
  <si>
    <t xml:space="preserve"> Concreting of Pathway (0.10m x 1.00m x 3650.0m) Zone 5A and Zone 5B</t>
  </si>
  <si>
    <t xml:space="preserve"> 1 unit                                Submersible Deep Well Pump rated to deliver                                          18lps at 80m TDH. All stainless stell construction.                                          Complete with cable guard. Coupled to  </t>
  </si>
  <si>
    <t xml:space="preserve"> Republic of the Philippines								 Province of Cebu								 Municipality of Alcantara								 								 								 								 Standard Form Number:			SF-INFR-05					 Revised on:								 								 INVITATION TO APPLY FOR ELIGIBILITY AND TO BID								 								 </t>
  </si>
  <si>
    <t xml:space="preserve"> Repair of Motor Vehicles</t>
  </si>
  <si>
    <t xml:space="preserve"> 1.	Bids received in excess of the ABC shall be automatically rejected during the Bid Opening. Interested Bidders may obtain further information from PN BAC in the given address below from 8:00 AM to 5:00 PM, Monday to Friday. 2.	Issuance of Bidding Docume</t>
  </si>
  <si>
    <t xml:space="preserve"> Contract ID: 20PL0112 Contract Name: Package 2: A.) Repair/Maintenance of Kintoy Kasabaan Flood Control, Bulanao, Tabuk City, Kalinga, B.) Repair/Maintenance of Wakki Creek Flood Control, Sagpat, Bulanao, Tabuk City, Kalinga, C.) Repair Maintenance of Ta-</t>
  </si>
  <si>
    <t xml:space="preserve"> Proficiency Testing Samples 1 bottle - Minerals PT 1 bottle - Solids PT 1 bottle - Wastewater Coliforms PT</t>
  </si>
  <si>
    <t xml:space="preserve"> Repair and Maintenance of Motor Vehicle</t>
  </si>
  <si>
    <t xml:space="preserve"> This project entails labor and materials for the construction of concrete pathway (0.10mx 1.0m x 244m) at Purok 1,2,3,4, Sitio Sta. Lourdes, Behia, Magallanes, Sorosogon.</t>
  </si>
  <si>
    <t xml:space="preserve"> UTILITY VEHICLES 82 hp, Double Cab SPECIFICATIONS: Body Type: Double Cab Overall Length mm: 4850 Overall Width mm: 1700 Overall Height mm: 1950 Cargo Dimensions Length m: 2.0 Width m: 1.5 Height m: .360 Wheel Base mm: 2990 Tracks (Front/Rear) mm : 1460/13</t>
  </si>
  <si>
    <t xml:space="preserve"> Office of the Municipal Mayor	1	unit ID Card Printer Machine, Dye Sublimation, 300dpi, full		 color printing		 		 Refrigerator, 2 doors, 8 cubic feet, digital, inverter	1	unit 		 CCTV, 8 cameras, 16 DVR channels, 32" LED TV, 6 TB HDD	1	unit 		 Office of t</t>
  </si>
  <si>
    <t xml:space="preserve"> SUPPLY AND DELIVERY OF THE FOLLOWING: ITEM NO.      DESCRIPTION                                            UNIT         QUANTITY     I              DEMOLITION AND CHEEPING WORKS            lot               108.00     II             CONCRETE WORKS        </t>
  </si>
  <si>
    <t xml:space="preserve"> REQUEST FOR QUOTATION (In accordance with Section 53.9 of Revised-IRR of RA 9184) 	The Municipal Government of Paracale, Camarines Norte invited all legitimate contractors/suppliers to submit quotation for the hereunder list Goods and/or Services on or be</t>
  </si>
  <si>
    <t xml:space="preserve"> INVITATION TO BID NO. INFRA-2020-04 									 1.	The Municipal Government of Hungduan, Ifugao, through the 20% Municipal Development Fund intends to apply the sum of One Million Six Hundred Thirty Six Thousand Six Hundred Fourteen Pesos &amp; Seventy Four Cen</t>
  </si>
  <si>
    <t xml:space="preserve"> Contract ID: 20PL0114 Contract Name: Concreting of Brgy. Ballayangon FMR, Brgy. Ballayangon, Pinukpuk, Kalinga Contract Location: Pinukpuk, Kalinga Brief Description: Construction of 810m x 5.0m x 0.20m thk PCCP Approved Budget for the Contract (ABC): PhP</t>
  </si>
  <si>
    <t xml:space="preserve"> Republic of the Philippines BIDS AND AWARDS COMMITTEE Province of Iloilo Invitation to Bid Purchase of  LABORATORY REAGENTS For Bid No. JCH-20-0175-B 1. The Iloilo Provincial Government, through the  GENERAL FUND 2020 intends to apply the sum of ONE HUNDR</t>
  </si>
  <si>
    <t xml:space="preserve"> Republic of the Philippines BIDS AND AWARDS COMMITTEE Province of Iloilo Invitation to Bid Purchase of LABORATORY SUPPLIES Bid No. JCH-20-0172-B 1. The Iloilo Provincial Government, through the GENERAL FUND 2020 intends to apply the sum of FIFTY  THOUSAND</t>
  </si>
  <si>
    <t xml:space="preserve"> Repair of Office Equipment</t>
  </si>
  <si>
    <t xml:space="preserve"> SUPPLY AND DELIVERY OF THE FOLLOWING: ITEM NO.       DESCRIPTION                                                              UNIT          QUANTITY     I                PORTLAND CEMENT, TYPE 1 @ 40 KLS. PER BAG              BAGS            1,110     II  </t>
  </si>
  <si>
    <t xml:space="preserve"> Construction/ Rehabilitation of Kitchen and Improvement of Main Day Care Center</t>
  </si>
  <si>
    <t xml:space="preserve"> PAINT, ANAMEL, STEEL; Assorted Color: + 2 ITEMS</t>
  </si>
  <si>
    <t xml:space="preserve"> Office of the Municipal Mayor		 Laptop Computer, Intel Core i7 or higher, GTX 1050 or higher, 8GB RAM	1	unit or higher, 120GB SSD+ 1TB HDD (7200 RPM), Win10 64bit		 		 Desktop Computer, Intel Core i7 or higher, GTX 1070 or higher, 16GB	1	unit RAM, 500GB S</t>
  </si>
  <si>
    <t xml:space="preserve"> see details attached with pow</t>
  </si>
  <si>
    <t xml:space="preserve"> EQUIPMENT</t>
  </si>
  <si>
    <t xml:space="preserve"> SUPPLY AND DELIVERY OF THE FOLLOWING ITEM NO.       DESCRIPTION                                          UNIT       QUANTITY      I              STEEL GATE                                             sqm            11.02      II             STEEL FENCE   </t>
  </si>
  <si>
    <t xml:space="preserve"> Office Supplies for Treasury Department LGU Cabagan Cabagan, Isabela</t>
  </si>
  <si>
    <t xml:space="preserve"> Department of Public Works and Highways (DPWH) Contract ID: 20IB0142 Contract Name: Construction of Shelves Commission on Audit Office ESDEO-DPWH Location of the Contract: Brgy. Alang-Alang, Borongan City, Eastern Samar Republic of the Philippines DEPARTM</t>
  </si>
  <si>
    <t xml:space="preserve"> 1. DEODORIZER.........................................................280 CARBOY Specifications: 100% Biodegradable from Plant Extract 1:200 Dilution Ratio Odor Eliminator Natural Disinfectant Organic Product NOTE: Please be informed that the City Governm</t>
  </si>
  <si>
    <t xml:space="preserve"> SEE ATTACHED FORM TO BID</t>
  </si>
  <si>
    <t xml:space="preserve"> The Bids and Awards Committee								 Province of Iloilo								 								      In connection with your Invitation to Bid No. PEO-20-0665-B  scheduled on June 19, 2020, I/we proposed to furnish and deliver in conformity with the terms and conditions, and s</t>
  </si>
  <si>
    <t xml:space="preserve"> 70% Solution Isopropyl/Ethyl Rubbing Alcohol (Antiseptic Disinfectant) 70% Solution Isopropyl/Ethyl Rubbing Alcohol (Antiseptic Disinfectant) 500ml Facial Tissue, 2ply Toilet Tissue, 2ply Disinfectant Spray, (340g) Powder Detergent Soap, (880g/pack) Toile</t>
  </si>
  <si>
    <t xml:space="preserve"> 1	12	Sheets	1/4" thick Marine Plywood 2	150	Bd.Ft.	 2" x 2" x 12' Good lumber 3	160	Bd.Ft.	 2" x 2" x 10' Good lumber 4	55	Bd.Ft.	 2" x 2" x 8' Good lumber 5	10	kgs	  #2 1/2" CWN 6	3	kgs	  #1" CWN 7	12	bd.ft.	1'' x 3'' x 6' good lumber 8	12	bd.ft.	1'' x 3</t>
  </si>
  <si>
    <t xml:space="preserve"> INVITATION TO BID June 9, 2020 1.	The Provincial Government of Davao Occidental, through its Bids and Awards Committee (BAC), invites all suppliers to apply to bid for the following goods: Bids received in excess of the ABC shall be automatically rejected</t>
  </si>
  <si>
    <t xml:space="preserve"> PHILIPPINE BIDDING DOCUMENTS (As Harmonized with Development Partners) Procurement for  Re Bidding - Rehabilitation of Apolinario dela Cruz Waterworks System Improvement of Main Water Source and Intake Box, Installation of additional pipelines and fitting</t>
  </si>
  <si>
    <t xml:space="preserve"> 750 pcs. CHB 4"x8"x16' 63 bags Portland Cement 7 cu.m. Fine Aggregates 3 cu.m. Coarse Aggregates 80 length 10mm x 6.0 mtrs 8 kls. #16 tie wire</t>
  </si>
  <si>
    <t xml:space="preserve"> Republic of the Philippines Province of Misamis Oriental Local Government Unit of Claveria INVITATION TO BID FOR  Supply and  Delivery  of Materials  for the Construction  of 3 Phase Line at Hinaplanan Cassava Dryer &amp;  Installation  of Secondary Metering </t>
  </si>
  <si>
    <t xml:space="preserve"> ITEM NO.                DESCRIPTION                              QUANTITY           UNIT 100                         CLEARING AND GRUBBING             180                 SQ.M 105                         SUB-GRADE PREPARATION             900              </t>
  </si>
  <si>
    <t xml:space="preserve"> Republic of the Philippines SILAY CITY GOVERNMENT Zamora Street Silay City, Negros Occidental Telefax No. (034) 495-3746 	Control  Reference Number : GOODS#0113, ITB#0115  PR#0257: SCG-2020 Name of the Project: Purchase of Construction Materials and Elect</t>
  </si>
  <si>
    <t xml:space="preserve"> 1 LOT, Periodic Service Maintenance of Airconditioning Units ABC: 97,000.00 (January to December budget) Location: Local Health Insurance Office - Tandag City Minimum specification: &gt; With special provision for minor repairs and periodic check-ups &gt; Must </t>
  </si>
  <si>
    <t xml:space="preserve"> Specifications Item No.	Description	Quantity	Unit 	ROAD COMPONENTS		 	PART A – OTHER GENERAL REQUIREMENTS		 A.1.4(1)	Provision of Progress Photograps	610.00	each B.5	Project Billboard/Signboard	2.00	each B.7	Occupational Safety &amp; Health Program	all	l.s. B</t>
  </si>
  <si>
    <t xml:space="preserve"> Republic of the Philippines SILAY CITY GOVERNMENT Zamora Street Silay City, Negros Occidental Telefax No. (034) 495-3746 	Control  Reference Number : GOODS#0111, ITB#0113,  PR#0222: SCG-2020 Name of the Project: Purchase of Electrical Materials and Suppli</t>
  </si>
  <si>
    <t xml:space="preserve"> Repair of IT Equipment and Software</t>
  </si>
  <si>
    <t xml:space="preserve"> Republic of the Philippines Province of Zamboanga del Sur MUNICIPALITY OF LAKE WOOD BIDS AND AWARDS COMMITTEE Invitation to Bid for Procurement of Construction/Improvement of Lake Wood Ecological Park and Materials Recovery Facility in this Municipality 1</t>
  </si>
  <si>
    <t xml:space="preserve"> Item No.	Description	Unit	Quantity 1	MOTORCYCLE	UNIT	1 			 	SPECIFICATIONS:		 			 	DISPLACEMENT: 124.10 cm (7.57cubic inches)		 	ENGINE TYPE: single cylinder, four stroke		 	POWER: 9.67 HP (7.1 kw)@ 800 RPM		 	TORQUE: 9.36 Nm (1.0 kgf.m or 6.9 ft.lbs)@ 65</t>
  </si>
  <si>
    <t xml:space="preserve"> Billboard; Structure Excavation; Reinforcing Steel Bar; Structural Concrete; Backfilling;  Safety and Health;  Equipment Requirement: One bagger mixer; Dump Truck; bar bender, backhoe;  Safety shoes; safety helmet; safety gloves; reflectorized vest  20w.d</t>
  </si>
  <si>
    <t xml:space="preserve"> REPUBLIC OF THE PHILIPPINES  CITY OF ILOILO BIDS AND AWARDS COMMITTEE Office of the BAC Secretariat, 7th Floor, Iloilo City Hall, Plaza Libertad, Iloilo City 5000 Philippines Tel No.:  033-333-111 loc. 730		E-mail: bac.iloilocity@gmail.com REQUEST FOR QUO</t>
  </si>
  <si>
    <t xml:space="preserve"> Republic of the Philippines Province of Misamis Oriental Local Government Unit of Claveria INVITATION TO BID FOR  Supply and  Delivery  of Materials  for Transformer  Installation  (Water System)  at  Sitio Janopolan, Poblacion ,  Barangay Rizal &amp; Luna Th</t>
  </si>
  <si>
    <t xml:space="preserve"> 38     pcs     1/4 x 4 x 8 Marine Plywood  80     pcs     2 x 2 x 8 Good Lumber 15     kls     Assorted Common Nails 6      gals     Flatwall Enamel Paint 3      gals     paint Thinner 1      pc       7" Roller Brush w/ Tray 27    mtrs    12/2 PDX Copper </t>
  </si>
  <si>
    <t xml:space="preserve"> 1) 25 bags 40kg Portland Cement 2) 87 bags Crushed Sand 3) 130 pcs 16x16 Floor Tiles 4) 145 bags Gravel 5) 10 bags Tile Grout 6) 190 lm Spandrell 6" 7) 50 lgth Double Furring 8) 20 lgth 2" Wall Anglel 9) 10 shts  MPW 1/4" thk 10) 20 lgth Carrying Channel </t>
  </si>
  <si>
    <t xml:space="preserve"> 1 UNIT PHOTOCOPYING MACHINE Document feeder 4GB or higher Memory Capacity 300GB or higher Hard Disk capacity Paper size: Maximum: A3, Minimum: A5 2 cassette trays paper tray capacity with Document handling application</t>
  </si>
  <si>
    <t xml:space="preserve"> Procurement of Chicken Breeder, Chicken Booster Crumble and Chicken Starter Crumble for the use at the Office of the Provincial Veterinarian, New Capitol Building, Tagbilaran City ABC: P636,625.00 Cost of Bid Documents: P5,000.00 Advertisement Period: Jun</t>
  </si>
  <si>
    <t xml:space="preserve"> 150 pcs. CHB 4"x8"x16' 27 bags Portland Cement 2.5 cu.m. Fine Aggregates 3 cu.m. Coarse Aggregates 71 length 10mm x 6.0 mtrs 5 kls. #16 tie wire 53.33 bd.ft. 20 pcs. 2"x2"x8' coco lumber 5 kls. #4 CWNails</t>
  </si>
  <si>
    <t xml:space="preserve"> May we invite you to submit quotation for the above-mentioned requirements of Philippine Reclamation Authority (PRA). Please fill up the attached quotation form and submit the same with the complete requirements indicated in the said form. You can send it</t>
  </si>
  <si>
    <t xml:space="preserve"> Please see attached</t>
  </si>
  <si>
    <t xml:space="preserve"> Improvement of Barangay Road to include:1. Roadway Preparation</t>
  </si>
  <si>
    <t xml:space="preserve"> INDUSTRIAL TECHNOLOGY DEVELOPMENT INSTITUTE DOST Cmpd., Bicutan, Taguig City Telephone Nos. (02) 837-20-71 to 82 local 2221 E-mail Add.: itdi.admbac@gmail.com INVITATION TO BID June 9, 2020 Sir/Madam: Please quote your price for the item/items listed belo</t>
  </si>
  <si>
    <t xml:space="preserve"> Republic of the Philippines          City of Dumaguete Bids and Awards Committee INVITATION TO BID FOR JOB ORDER OF 1 UNIT FLOOR MOUNTED AIRCON 	The City of Dumaguete thru its BIDS AND AWARDS COMMITTEE (BAC), invites all interested manufacturers, supplier</t>
  </si>
  <si>
    <t xml:space="preserve"> Republic of the Philippines  Province of La Union  Municipality of Bacnotan  Bids and Awards Committee  INVITATION TO BID FOR  COMPUTERIZATION OF INTEGRATED FINANCIAL MANAGEMENT INFORMATION AND OPERATIONS LINKED WITH REVENUE SYSTEM  1.	The Municipality of</t>
  </si>
  <si>
    <t xml:space="preserve"> INVITATION TO BID ITB 2020 - _29_ 1.	The Dr. Jose Fabella Memorial Hospital, through General Appropriations Act 2020 (GAA 2020) intends to apply the amount of Seven Million Three Hundred Twenty One Thousand One Hundred Fifty Pesos (Php 7,321,150.00) being</t>
  </si>
  <si>
    <t xml:space="preserve"> LOT - I Aggregates 70	cu.m.	Item 201 		Total of Lot - I  P45,500.00 		 		LOT - II  Hardware 630	bags	Portland Cement  20	lgths	GA # 16 2" x 4" C-Purlins 10	lgths	12mm dia DSB 		Total of Lot - II  P185,400.00 		GRAND TOTAL AMOUNT  P230,900.00</t>
  </si>
  <si>
    <t xml:space="preserve"> INVITATION TO BID NO. INFR-2020-10 									Date: June 10, 2020 1.	The Government of the Philippines (GOP) has received a Loan and administered by the International Fund for Agricultural Development (IFAD) through Loan No. 2000001773 toward the cost of th</t>
  </si>
  <si>
    <t xml:space="preserve"> 4	units	Fabricated Fiberglass Bouys 		Specs: 		4ft diameter, red color, circular with traigulate base 		with MPA BAGO CITY 		3/8 Galvanized Chain, 500 kgs. Concrete Anchor 8	units	Marker Bouys 		Specs: 		8 length Bamboo Pole, 8 mtrs, Rope 		8 pcs. 1 Ft. C</t>
  </si>
  <si>
    <t xml:space="preserve"> Purchase and Rehabilitation of CCTV camera of Barangay Sumilang</t>
  </si>
  <si>
    <t xml:space="preserve"> see attached Purchase Request</t>
  </si>
  <si>
    <t xml:space="preserve"> Republic of the Philippines Province of  Romblon Municipality of  Magdiwang Barangay Silum -oOo- INVITATION TO BID COMPLETION OF BARANGAY CLINIC (PABAHAY)-PHASE 1 Project ID No.001-2020                                                                      </t>
  </si>
  <si>
    <t xml:space="preserve"> Rescue Supplies and Materials</t>
  </si>
  <si>
    <t xml:space="preserve"> 3884	pax	Unifast Labor Charges 175	pax	Non-Unofast Labor Charges 		GRAND TOTAL AMOUNT  P791,505.00</t>
  </si>
  <si>
    <t xml:space="preserve"> Billboard; Clearing and Site preparation; Excavation; Reinforcing Steel Bars; Concrete Works; Safety and Health; Equipment Requirement:  Safety shoes; safety helmet; safety gloves; reflectorized vest; speed cutter; bar bender; dumptruck; 24 w.d.</t>
  </si>
  <si>
    <t xml:space="preserve"> 13 pcs. Tables (good quality) 51 pcs. Chairs (good quality)</t>
  </si>
  <si>
    <t xml:space="preserve"> Vitamin C</t>
  </si>
  <si>
    <t xml:space="preserve"> Republic of the Philippines Office of the Municipal Mayor BIDS AND AWARDS COMMITTEE Sual, Pangasinan Invitation to Bid for PROCUREMENT OF FISHING BOATS  (BANGKA PARA SA MANGINGISDA) Sual, Pangasinan 1.	The Municipal Government of Sual, Pangasinan, through</t>
  </si>
  <si>
    <t xml:space="preserve"> LOT - I Auto Diesel 40,000	liters	Auto Diesel 		Total of Lot - I  P1,760,000.00 		 		LOT - II Premium Gasoline 10,000	liters	Premium Gasoline 		Total of Lot - II  P540,000.00 		GRAND TOTAL AMOUNT  P2,300,000.00</t>
  </si>
  <si>
    <t xml:space="preserve"> Section I. Invitation to Bid Republic of the Philippines Province of Misamis Oriental  Municipality of Salay INVITATION TO BID FOR Procurement of materials for Construction of MPB (Temporary shelter for CICL &amp; VAWC Cases and Rehabilitation Center) Phase I</t>
  </si>
  <si>
    <t xml:space="preserve"> Office of the Municipal Mayor	 1	Office Chairs, Ergodynamic Design	10 2	Filing Steel Cabinet with vault, 3 layers	1 3	Sofa with coffee table and side table, Hard wood with cushion	1 4	Oconference Table, Customized, arrangeable U-Shape, hard wood	7 		 	Off</t>
  </si>
  <si>
    <t xml:space="preserve"> 200	reams	Bond paper long 200	reams	Bond paper short 200	pcs	Sign pen black (pilot) 200	pcs	Ballpen black TI MS TM, Doodle fine (0.5) 10	bxs	Pencil #3 12's/bx 10	bxs	Pentel pen black 12's/bx 10	bxs	Pentel Pen blue 12's/bx 1	bx 	White board marker balck 25</t>
  </si>
  <si>
    <t xml:space="preserve"> INVITATION TO BID LGU-El Salvador City, Misamis Oriental through its BAC, invites interested bidders to apply for eligibility and if found eligible to bid for the contract: 1.	Contract ID No.	:	ITB No. 2020-06-049 Name of Project	:	Confrimatory Drilling (</t>
  </si>
  <si>
    <t xml:space="preserve"> 220	Box	3 Ply Surgical Disposable Face mask w/ nose bar, ABC 800.00/box 		Specification:elastic 3 pleats,spun bonded polypropylene				 		material,&gt;97% bacteria filtration efficiency(BFF)				 		17.5cmX9.5cm(For adult use),Latex free				 RFQ#06-0596R</t>
  </si>
  <si>
    <t xml:space="preserve"> Construction Project</t>
  </si>
  <si>
    <t xml:space="preserve"> 200 Unit Cost       500"bottle/tablet"Vitamin C, Ascorbic Acid, atleast 500mg/Tablet, atleast 100 Tablets per                                    Box/Bottle (Generic or Branded)				 150 Unit Cost       500 PieceHand Soap - 500 ML with Pump Dispenser, Anti-</t>
  </si>
  <si>
    <t xml:space="preserve"> PR#20-06-0290 ABC 411,675.00 129 pcs.  GI Nipple 1”Ø x 6”, Sch. 40. ASTM, w/ 9 thread 83 pcs.    GI Nipple ½”Ø x 30”, Sch. 40, ASTM w/ 9 thread 315 pcs.  GI Nipple ½”Ø x 12”, Sch. 40, ASTM w/ 9 thread 30 pcs.    GI Nipple ½”Ø x 8”, Sch. 40, ASTM, w/ 9 thr</t>
  </si>
  <si>
    <t xml:space="preserve"> PROPOSED CONSTRUCTION OF FABRICATED MOVABLE BENCHES, BASKETBALL POST, BOARD AND RING AT BRGY. III-C, SAN PABLO CITY</t>
  </si>
  <si>
    <t xml:space="preserve"> Billboard; Demolition of existing dilapidated canal; Construction of Canal; Construction of Protection Wall; Safety and Health; Equipment Requirement: safety shoes; safety helmet; safety gloves; reflectorized vest; Dumptruck/cargo Truck; bagger concrete m</t>
  </si>
  <si>
    <t xml:space="preserve"> 1.	The Municipality of Impasugong, through the 8-90-00 (2016 &amp; below) 20% - Purchase of Post Harvest Facilities intends to apply the sum Four Hundred Thirty Thousand Pesos (PhP 430,000.00) being the Approved Budget for the Contract (ABC) to payments under</t>
  </si>
  <si>
    <t xml:space="preserve"> FURNISHING AND DELIVERY OF MOBILE/DESKTOP APPLICATION AND IT EQUIPMENT FOR THE JUBAN WATER SYSTEM READ AND BILL SYSTEM</t>
  </si>
  <si>
    <t xml:space="preserve"> FURNISHING AND DELIVERY OF COMPUTER SUPPLIES AND IT EQUIPMENT 1ST &amp; 2ND QUARTER</t>
  </si>
  <si>
    <t xml:space="preserve"> INVITATION TO BID									 									 The Barangay Langon, Municipality of Tungawan, Province of Zamboanga Sibugay,  through its Bids and Awards Committee 									 Committee (BAC), invites suppliers/ manufacturers/ distributors / contractors to apply for </t>
  </si>
  <si>
    <t xml:space="preserve"> OFFICE: MAYOR'S OFFICE PURPOSE: FOR MOBILIZATION AND MAINTENANCE OF THE GOVERNMENT VEHICLES ABC: 339,300.00 5700 LITER CRUDE/DIESEL OIL 400 LITER GASOLINE SPECIAL 125 LITER GASOLINE REGULAR 25 LITER 2T 30 LITER COOLANT 35 LITER BRAKEFLUID 40 LITER OIL 10</t>
  </si>
  <si>
    <t xml:space="preserve"> INVITATION TO BID The Police Community Affairs and Development Group (PCADG), through its Bids and Awards Committee (BAC), invites all PhilGeps registered suppliers to bid pursuant to the Revised Implementing Rules and Regulations (IRR) of Republic Act (R</t>
  </si>
  <si>
    <t xml:space="preserve"> GEOTECHNICAL SUB SURFACE EXPLORATION: PACKAGE No. 2020-01, MLANG AND TULUNAN, NORTH COTABATO</t>
  </si>
  <si>
    <t xml:space="preserve"> Procurement of Various Office and Janitorial Supplies for the use at the Provincial Accounting Office, New Capitol Building, Tagbilaran City ABC: P76,324.43 Cost of Canvas: P150.00</t>
  </si>
  <si>
    <t xml:space="preserve"> Republic of the Philippines BARANGAY SAN AGUSTIN Ibaan, Batangas INVITATION TO BID The Barangay Government of San Agustin, Ibaan, Batangas through its Bids and Awards Committee (BAC), invites contractors registered with and classified by the Philippine Co</t>
  </si>
  <si>
    <t xml:space="preserve"> 2	Unit	2.5HP Window Type Aircondition(Manual type), ABC 40,000.00/unit 		Minimum Requirements:				 		&gt;with atleast 5 Air Filter system for hospital bacteria,				 		viruses &amp; moldes.				 		&gt;Lowest Non-Inverters Energy Saving feature, automatic				 		off sy</t>
  </si>
  <si>
    <t xml:space="preserve"> Republic of the Philippines																		 Province of Bohol																		 Municipality of Buenavista																		 																		 Barangay Panghagban																	 INVITATION TO APPLY FOR ELIGIBILITY AND TO BID																		 							</t>
  </si>
  <si>
    <t xml:space="preserve"> 1.	The Municipality of Impasugong, through the 20% DF – Rehabilitation of Multi-Purpose Halls – Hagpa – Kiudto Phase 2 intends to apply the sum of One Million Five Hundred Thousand Pesos (PhP 1,500,000.00) being the Approved Budget for the Contract (ABC) </t>
  </si>
  <si>
    <t xml:space="preserve"> INVITATION TO BID NO. INFR-2020-11 									Date: June 10, 2020 1.	The Government of the Philippines (GOP) has received a Loan and administered by the International Fund for Agricultural Development (IFAD) through Loan No. 2000001773 toward the cost of th</t>
  </si>
  <si>
    <t xml:space="preserve"> This project entails purchase of medical supplies during Covid-19 pandemic for use of MHO-KGU,Magallanes, Sorsogon</t>
  </si>
  <si>
    <t xml:space="preserve"> Please see attached bidding documents.</t>
  </si>
  <si>
    <t xml:space="preserve"> Republic of the Philippines Province of Iloilo Municipality of Lemery Invitation to Bid 1.	The Barangay  Marapal,  Lemery, Iloilo, through  General Fund  intends to apply the sum of Two Hundred Twenty Thousand  Pesos ( P220,000.00 ) being the Approved  Bu</t>
  </si>
  <si>
    <t xml:space="preserve"> For internet connection, commuter supplies and others</t>
  </si>
  <si>
    <t xml:space="preserve"> Republic of the Philippines Province of Pangasinan Municipality of Natividad BTO CALAPUGAN INVITATION TO BID FOR ( REHABILITATION OF MULTI-PURPOSE  BRGY. HALL PHASE 2) The [BTO CALAPUGAN], through the  20% Development Fund  intends to apply the sum of [ON</t>
  </si>
  <si>
    <t xml:space="preserve"> Section I. Invitation to Bid Republic of the Philippines Province of Misamis Oriental  Municipality of Salay INVITATION TO BID FOR Procurement of materials for Installation of Ili-ilihon Water System Distribution Pipes 1.	The Local Government Unit of Sala</t>
  </si>
  <si>
    <t xml:space="preserve"> Republic of the Philippines Province of Eastern Samar Municipality of Mercedes OFFICE OF THE BIDS AND AWARDS COMMITTEE (BAC) INVITATION TO BID # INFRA-2020-006  Invitation to Bid for the Proposed Municipal Building Front Yard Landscaping (Phase 1) &amp; Rehab</t>
  </si>
  <si>
    <t xml:space="preserve"> ITEM        DESCRIPTION                                 QTY.            UNIT   I.           Const. of Bleacher                           10                m</t>
  </si>
  <si>
    <t xml:space="preserve"> Improvement to include: 1.installation of intake box 2.installation of transmission of intake box</t>
  </si>
  <si>
    <t xml:space="preserve"> LOT - I Aggregates 10	cu.m.	Mixing Sand 10	cu.m.	3/4" Crushed Aggregates 		Total of Lot - I  P27,200.00</t>
  </si>
  <si>
    <t xml:space="preserve"> Section I. Invitation to Bid Republic of the Philippines Province of Misamis Oriental  Municipality of Salay INVITATION TO BID FOR Procurement of 16,000 liters of Diesel 1.	The Local Government Unit of Salay, through the Trust &amp; General Fund   intends to </t>
  </si>
  <si>
    <t xml:space="preserve"> Republic of the Philippines Province of Albay Municipality of Rapu-Rapu Barangay Buhatan INVITATION TO BID FOR Office Supplies  Purchase of Generator Set 1.	The Barangay Local Government Unit of Buhatan, Rapu-Rapu, Albay, through the Budget of the contrac</t>
  </si>
  <si>
    <t xml:space="preserve"> ARTICLE AND DESCRIPTION											 ITEM	QTY.	UNIT						CEILING 					UNIT PRICE		TOTAL  								PRICE							 															 				Office: Universidad De Manila				PR No. 476							 				Charge to: Other Supplies and Materials Expenses				OBR No. 100-2003-021</t>
  </si>
  <si>
    <t xml:space="preserve"> Republic of the Philippines Province of Zamboanga del Sur MUNICIPALITY OF LAKE WOOD BIDS AND AWARDS COMMITTEE Invitation to Bid for Procurement of Construction/Installation of Solar Type Street Lighting System in this Municipality 1.	The Local Government </t>
  </si>
  <si>
    <t xml:space="preserve"> Invitation to Bid 									June 10, 2020 	 1.	 The Municipal Government of Tinoc through the Bids and Awards Committee advertised an Invitation to bid for the Purchase of One (1) Unit Mini Dump Truck   funded under the LGSF – Other Financial Assistance of</t>
  </si>
  <si>
    <t xml:space="preserve"> Republic of the Philippines										 DEPARTMENT OF EDUCATION										 Region VI - Western Visayas										 DIVISION OF NEGROS OCCIDENTAL										 Cottage Road Bacolod City										 										 REQUEST FOR QUOTATION (RFQ) FOR GOODS										 										</t>
  </si>
  <si>
    <t xml:space="preserve"> INVITATION TO BID LGU-El Salvador City, Misamis Oriental through its BAC, invites interested bidders to apply for eligibility and if found eligible to bid for the contract: 1.	Contract ID No.	:	ITB No. 2020-06-050/Project ID No. 20-018-20% Name of Project</t>
  </si>
  <si>
    <t xml:space="preserve"> Republic of the Philippines MUNICIPALITY OF BUENAVISTA INVITATION TO BID FOR CONCRETING OF SIHI – DAAT FMR  1.	The Local Government Unit of Buenavista, Marinduque through the fund from the 20% DF CY 2020 intends to apply the sum of Nine Hundred Ninety Nin</t>
  </si>
  <si>
    <t xml:space="preserve"> Contract ID: 20PK0070 Contract Name: Repair/Maintenance of DPWH Building, Quality Assurance Section Office Building, P-6, Bulanao, Tabuk City, Kalinga   Contract Location: P-6, Bulanao, Tabuk City, Kalinga Brief Description: Repair and Maintenance of Buil</t>
  </si>
  <si>
    <t xml:space="preserve"> INVITATION TO BID									 									 The Barangay Batungan, Municipality of Tungawan, Province of Zamboanga Sibugay,  through its Bids and Awards Committee 									 Committee (BAC), invites suppliers/ manufacturers/ distributors / contractors to apply fo</t>
  </si>
  <si>
    <t xml:space="preserve"> 1.	The Municipality of Impasugong, through the 8-90-00 (2016 &amp; below) 20% - Purchase of Post Harvest Facilities intends to apply the sum Five Hundred Seventy Thousand Pesos (PhP 570,000.00) being the Approved Budget for the Contract (ABC) to payments unde</t>
  </si>
  <si>
    <t xml:space="preserve"> Republic of the Philippines Province of Leyte Municipality of Hilongos INVITATION TO RE-BID FOR THE PURCHASE OF FUEL, OIL AND LUBRICANTS 1.  The Local Government Unit of Hilongos, through GENERAL FUND-CURRENT APPROPRIATION intends to apply the sum ONE MIL</t>
  </si>
  <si>
    <t xml:space="preserve"> Republic of the Philippines Province of Samar MUNICIPALITY OF MARABUT INVITATION to BID for  RELOCATION OF THREE LOCAL HEROES MONUMENT  	 1.	The Municipal Government of Marabut, through its 20% Development Fund intends to apply the sum of Four Hundred Tho</t>
  </si>
  <si>
    <t xml:space="preserve"> Photo Copier Machine Specification: Scanner Integrated Copy/Print Speed: A4: Max 16RPM A:3 Max 9RPM Print System: Electrophotograph Laser Gradation: 256 Paper Input Capacity: Standard 250 Sheets Cassette (A5-a3, 64-157 g/m2) Optional: 100 Sheets bypass (A</t>
  </si>
  <si>
    <t xml:space="preserve"> Procurement of One (1) unit Service Vehicle  Pick-up ACTIVITY	SCHEDULE	VENUE 1. Issuance of Bid Document June 10, 2020-June 30, 2020 BAC Secretariat Office -MPDO 2. Pre-Bid Conference/ Supplemental Bid- June 17, 2020 @ Tourism Office @ 1:30 PM	 3. Submiss</t>
  </si>
  <si>
    <t xml:space="preserve"> 1 set Diesel Tractor L5018 KRX193 Rotary Tiller Specifications: Model: KRX193 Dimensions: Width (mm) 2153 Depth (mm) 893 Height (mm) 1033 Weight with Joint: Kg. 464 Blade Type: Flange Number of Blade: pcs. 36 Tilling Width: mm 1863 Blade Shaft: PTO 540 rp</t>
  </si>
  <si>
    <t xml:space="preserve"> Republic of the Philippines Province of Albay Municipality of Rapu-Rapu Barangay Buhatan INVITATION TO BID FOR Purchase of Motorboat Service 1.	The Barangay Local Government Unit of Buhatan, Rapu-Rapu, Albay, through the Budget of the contract approved by</t>
  </si>
  <si>
    <t xml:space="preserve"> Billboard; Structural Excavation; Reinforcing Steel Bars; Structural Concrete; Grouted Riprap;  Equipment Requirement: Bar Cutter; Bar Bender; Concrete Mixer; Dumptruck; Safety shoes; safety helmet; safety gloves; reflectorized vest; 14 w.d.</t>
  </si>
  <si>
    <t xml:space="preserve"> ITEM NO.	ITEM AND DESCRIPTION			QTY	UNIT 	Common Office Supplies				 1	Correctional tape, 6 meters			90	pc 2	Bond paper A4- 20/70 gsm			700	rms 3	Bond paper short, 20/70 gsm			700	rms 4	Bond paper long, 20/70 gsm			700	rms 5	Ballpen-Black and Blue			90	bo</t>
  </si>
  <si>
    <t xml:space="preserve"> 4	Unit	5KVA Uninterruptible power supply, ABC 30,000.00/unit RFQ#06-0599</t>
  </si>
  <si>
    <t xml:space="preserve"> Republic of the Philippines Province of Davao de Oro MUNICIPALITY OF COMPOSTELA BIDS AND AWARDS COMMITTEE CP#: 0998-571-7569 INVITATION TO BID FOR  Procurement for the Supply, Delivery and Installation of Window Blinds and Office Furniture and Fixtures fo</t>
  </si>
  <si>
    <t xml:space="preserve"> Republic of the Philippines											 DEPARTMENT OF EDUCATION											 Region VI - Western Visayas											 DIVISION OF NEGROS OCCIDENTAL											 Cottage Road Bacolod City											 											 REQUEST FOR QUOTATION (RFQ) FOR GOODS											 			</t>
  </si>
  <si>
    <t xml:space="preserve"> SCOPE OF WORK &amp; TECHNICAL SPECIFICATIONS GENERAL CONDITIONS                All works to be undertaken shall be in accordance with the plans and working drawings. It includes the furnishing of all materials, labor and equipment with supervision necessary f</t>
  </si>
  <si>
    <t xml:space="preserve"> Please quote your lowest price on the item(s)  listed below, subject to the Terms and Condition Stated												 below and submit your quotation duly signed by your representative not later than 10:30 A.M. of  June 19, 												 2020, at the return e</t>
  </si>
  <si>
    <t xml:space="preserve"> Republic of the Philippines Province of Palawan  Municipal Government of Cuyo BIDS AND AWARDS COMMITTEE Email Address: baccuyopalawan@gmail.com INVITATION TO BID FOR “SUPPLY AND DELIVERY OF ASSORTED MEDICINES FOR MUNICIPAL HEALTH OFFICE OF CUYO”   1.	The </t>
  </si>
  <si>
    <t xml:space="preserve"> LOT - I Aggregates 10	cu.m.	Mixing Sand 10	cu.m.	3/4" Crushed Aggregates 		Total of Lot - I  P24,700.00</t>
  </si>
  <si>
    <t xml:space="preserve"> Republic of the Philippines MUNICIPALITY OF BUENAVISTA INVITATION TO BID FOR CONCRETING OF MALBOG – HAYNON FMR  1.	The Local Government Unit of Buenavista, Marinduque through the fund from the 20% DF CY 2020 intends to apply the sum of Nine Hundred Ninety</t>
  </si>
  <si>
    <t xml:space="preserve"> Purchase of Supplies Please be guided by the following schedules: 1. Submission of Letter of Intent - June 11,2020 2. Issuance and Availability of Bidding Documents - June 15-16,2020 3. Opening of Bids - June 18, 2020</t>
  </si>
  <si>
    <t xml:space="preserve"> Republic of the Philippines Province of Albay Municipality of Rapu-Rapu Barangay Bilbao INVITATION TO BID FOR THE 20% EDF CY 2020 PROJECTS 1.	The Barangay Local Government Unit of Bilbao, Rapu-Rapu, Albay, through the Budget for the Contract Approved by t</t>
  </si>
  <si>
    <t xml:space="preserve"> Republic of the Philippines DEPARTMENT OF PUBLIC WORKS AND HIGHWAYS BATANGAS III DISTRICT ENGINEERING OFFICE REGIONAL OFFICE IV-A J. Gonzales St., Barangay 4, Tanauan City RE-INVITATION TO BID (CW-2020-035) The DPWH–Batangas III District Engineering Offic</t>
  </si>
  <si>
    <t xml:space="preserve"> Rehabilitation of Barangay Road from Diversion Road to Sitio Paopagon, Barangay Salingcomot, Baganga, Davao Oriental.</t>
  </si>
  <si>
    <t xml:space="preserve"> Procurement of One (1) unit Brand New MPV ACTIVITY	SCHEDULE	VENUE 1. Issuance of Bid Document June 10, 2020-June 30, 2020 BAC Secretariat Office -MPDO 2. Pre-Bid Conference/ Supplemental Bid- June 17, 2020 @ Tourism Office @ 1:30 PM	 3. Submission of Bids</t>
  </si>
  <si>
    <t xml:space="preserve"> Replacement of Main PCB (Quantity of 1) Replacement of NV RAM Compatible with RC4 Thermo Scientific Refrigerated Centrifuge (8 placer) NOTE: ALL NEW SUPPLIER ARE REQUIRED TO SUBMIT THE FOLLOWING DOCUMENT. 1. DTI Registration 2. SEC Registration 3. Current</t>
  </si>
  <si>
    <t xml:space="preserve"> INVITATION TO BID NO. INFRA-2020-09 									 1.	The Municipal Government of Hungduan, Ifugao, through the 20% Municipal Development Fund intends to apply the sum of One Million Two Hundred Fifty Five Thousand Eight Hundred Seventeen Pesos &amp; Sixty Four Ce</t>
  </si>
  <si>
    <t xml:space="preserve"> ITB No. 2020-11-EFS June 10, 2020 Republic of the Philippines Province of Davao Oriental CITY OF MATI INVITATION TO BID IMPROVEMENT OF THE GUANG-GUANG MANGROVE PARK Name of Project 1.	The City Government of Mati, through the Trust Fund Account (from the D</t>
  </si>
  <si>
    <t xml:space="preserve"> Purchase of 3 sets Desktop Computer</t>
  </si>
  <si>
    <t xml:space="preserve"> The length of the road is seventy two (72) meters. The pavement width is five (5) meters while the pavement thickness is  fifteen hundredths (0.15) meter.</t>
  </si>
  <si>
    <t xml:space="preserve"> 1	Unit	Electric Autopsy Saw, ABC 190,000.00/unit 		&gt;Heavy Duty,well balanced,light weight,user friendly,				 		power switch is located on end part of the saw,includes				 		large and small section blades and bone dust collector				 		&gt;able to attach to bo</t>
  </si>
  <si>
    <t xml:space="preserve"> Invitation to Bid 									June 10, 2020 	 1.	 The Municipal Government of Tinoc through the Bids and Awards Committee advertised an Invitation to bid for the Purchase of One (1) Unit Wheeled Backhoe   funded under the Year 2020 Annual Budget – 20% Local </t>
  </si>
  <si>
    <t xml:space="preserve"> INVITATION TO BID FOR (Procurement of Goods; Supply and Delivery of Materials for use in the repair/maintenance of various national roads and bridges within the  jurisdiction of MMIDEO, NCR, DPWH, Rosario, Pasig City  	The Metro Manila 1st District Engine</t>
  </si>
  <si>
    <t xml:space="preserve"> LOT I - Aggregates &amp; Masonry Products 50	bags	Portland Cement (40kg./bag) 		Total of Lot - I  P14,000.00</t>
  </si>
  <si>
    <t xml:space="preserve"> Concreting of Jct. Recodo Road to Sitio Panorama, Cawayan, Masbate</t>
  </si>
  <si>
    <t xml:space="preserve"> Purchase of foot baths for various office entrances</t>
  </si>
  <si>
    <t xml:space="preserve"> The road length is one hundred forty two  (142) meters. The pavement width is three and a half (3.5) meters while the pavement thickness is fifteen hundredths (0.15) meter.</t>
  </si>
  <si>
    <t xml:space="preserve"> Rehabilitation of Barangay Road from Proper San Victor to Sitio Heni, Barangay San Victor, Baganga, Davao Oriental</t>
  </si>
  <si>
    <t xml:space="preserve"> Republic of the Philippines																	 DEPARTMENT OF EDUCATION																	 Region VI - Western Visayas																	 DIVISION OF NEGROS OCCIDENTAL																	 Cottage Road Bacolod City																	 																	 REQUEST FOR QUOT</t>
  </si>
  <si>
    <t xml:space="preserve"> Laptop 15.6" (Core i7 / 8 gb ram DDR 4 Windows 10 / 1 TB HDD)</t>
  </si>
  <si>
    <t xml:space="preserve"> Contract ID No.	:20GII0009 Contract Name	:Repair and Maintenance of Defective Roadways under D.O. 41 s2016 along Catarman-Laoang Road and Rawis-Catubig Road Contract Location:Northern Samar Second District Brief Description of Goods to be Procured:Use as </t>
  </si>
  <si>
    <t xml:space="preserve"> PR#20-06-0292 ABC 345,005.00 25 pcs.   GI Pipe 1”Ø x 6m, ASTM S-40 (wt. 12 kgs.) 198 pcs. GI Pipe ½”Ø x 6m, ASTM S-40 (wt. 7.62 kgs.) 40 pcs.   PVC Sanitary Pipe 50mm (2”)Ø x 10’, S-1000 w/ hub 25 pairs  Construction Gloves 15 pcs.  Reflectorized Vest Siz</t>
  </si>
  <si>
    <t xml:space="preserve"> Republic of the Philippines Province of Albay Municipality of Rapu-Rapu Barangay Hamorawon INVITATION TO BID FOR THE CONSTRUCTION OF PATHWALK (PUROK 1) 1.	The Barangay Local Government Unit of Hamorawon, Rapu-Rapu, Albay, through the Budget for the Contra</t>
  </si>
  <si>
    <t xml:space="preserve"> 30 cylinders Gas Chlorine, 99% purity Approved Budget Cost: ₱10,500.00 / tank x x x x x This is a two (2) envelope system: Envelope “A” to contain the following; among others: A.) A refundable bid bond in the form of cash, Manager's or Cashier's check equ</t>
  </si>
  <si>
    <t xml:space="preserve"> (385.85 sq. ft.)  12-panels    Korean Combi Blinds (Marie Khaki)  Location                      : BICOL UNIVERSITY POLANGUI CAMPUS, POLANGUI, ALBAY    Approved Budget For the Contract	: 96,462.50 Delivery Period		: 7 days 1.	The BICOL UNIVERSITY POLANGUI </t>
  </si>
  <si>
    <t xml:space="preserve"> Improvement of Day Care Center</t>
  </si>
  <si>
    <t xml:space="preserve"> All prospective bidders are invited to bid on the above items. The Sangguniang Barangay of Tanza reserves the right to accept or reject any bid, to annul the bidding process, and to reject all bids at any time prior to contract award, without thereby incu</t>
  </si>
  <si>
    <t xml:space="preserve"> Supply and Delivery of 1000 Amperes Circuit Breaker for MCC2, FOB Masbate</t>
  </si>
  <si>
    <t xml:space="preserve"> Republic of the Philippines                                                       Province of Zamboanga del Norte                                                          MUNICIPALITY OF MANUKAN 	                                                           </t>
  </si>
  <si>
    <t xml:space="preserve"> for Psychiatric Medications</t>
  </si>
  <si>
    <t xml:space="preserve"> 50	ream	                   PAPER, MULTICOPY, 80gsm, size: 210mm x 297mm	 50	ream	                   PAPER, MULTICOPY, 80gsm, size: 216mm x 330mm	 100	ream	                   PAPER, Multi-Purpose (COPY) Legal, 70 gsm	 30	pad	                   PAPER, PAD, </t>
  </si>
  <si>
    <t xml:space="preserve"> Installation of Solar LED Street Light at Barangay Salingcomot, Baganga, Davao Oriental.</t>
  </si>
  <si>
    <t xml:space="preserve"> 1,500	 bags	Certified Palay Seeds 	40kgs/bag	 		Note:  Date Harvest is not earlier than January 1, 2020 		Requested Varieties are: 		PSB Rc 10, NSIC Rc: 222, 216, 226, 238 and Recenty 		good quality varieties 		GRAND TOTAL AMOUNT   P2,280,000.00</t>
  </si>
  <si>
    <t xml:space="preserve"> Lot I - Aggregates &amp; Masonry Products: 10	cu.m.	Mixing Sand 10	cu.m.	3/4" Crushed Aggregates 		Total of Lot - I P27,200.00</t>
  </si>
  <si>
    <t xml:space="preserve"> Republic of the Philippines																			 DEPARTMENT OF EDUCATION																			 Region VI - Western Visayas																			 DIVISION OF NEGROS OCCIDENTAL																			 Cottage Road Bacolod City																			 																			 REQU</t>
  </si>
  <si>
    <t xml:space="preserve"> SUPPLY AND DELIVERY OF 2 UNITS MOTORCYCLE USE AT ENGINEERING OFFICE AS SERVICE FOR INSPECTION OF PROJECTS, MAUBAN, QUEZON. The Local Government Unit of Mauban through the TRUST FUND-ENGINEERING OFFICE, 2020 intends to apply the sum of Two hundred seventee</t>
  </si>
  <si>
    <t xml:space="preserve"> Construction of 2 units Single Detached Commercial Hometel at Sunrise Boulevard, Barangay Dapnan, Baganga, Davao Oriental.</t>
  </si>
  <si>
    <t xml:space="preserve"> All prospective bidders are invited to bid on the above items. The Sangguniang Barangay of Tanza  reserves the right to accept or reject any bid, to annul the bidding process, and to reject all bids at any time prior to contract award, without thereby inc</t>
  </si>
  <si>
    <t xml:space="preserve"> Request for Quotation for the Procurement of Prepaid Cellphone Cards to be used for Encoding of RCM Interview, ME &amp; L, Farming Monitor, Research Trial Implementation and Communication purpose for RCM Activities in the province of Negros Oriental CY 2020 1</t>
  </si>
  <si>
    <t xml:space="preserve"> Republic of the Philippines Province of Agusan del Norte Municipality of Nasipit Invitation to Bid for Improvement of Public Bus Terminal (Building), Brgy. Triangulo 1. The Local Government Unit of Nasipit, through the 20% MDF 2020 intends to apply the su</t>
  </si>
  <si>
    <t xml:space="preserve"> Republic of the Philippines PROVINCE OF LANAO DEL NORTE MUNICIPALITY OF LALA Office of the Municipal General Services                                                                                                               _________________          </t>
  </si>
  <si>
    <t xml:space="preserve"> 5	bxs	Cholesterol Fuji Chem 10	bxs	Triglycerides Fuji Chem 20	bxs	Sodium Pottasium 1	bx 	UF II Search Sed 1	bx	UF II Search Bac 1	bx	UF II Pac Bac 1	bx	UF II Pac Sed 3,000	pcs	Specimen cup w/ cover sterile 5	bxs	UF II Sheath 		GRAND TOTAL AMOUNT  P271,085</t>
  </si>
  <si>
    <t xml:space="preserve"> Installation of Solar LED Street Light at Barangay San Isidro, Baganga, Davao Oriental.</t>
  </si>
  <si>
    <t xml:space="preserve"> Request for Quotation City Agriculture Office Construction Material and Inventory P 151,565.06</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</si>
  <si>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</si>
  <si>
    <t xml:space="preserve"> Republic of the Philippines Province of Oriental Mindoro MUNICIPALITY OF NAUJAN BIDS AND AWARDS COMMITTEE INVITATION TO BID SUPPLY AND DELIVERY OF ICT EQUIPMENT AND FURNITURE &amp; FIXTURES TO BE USED IN DIFFERENT OFFICES, NAUJAN, ORIENTAL MINDORO 1.	The Muni</t>
  </si>
  <si>
    <t xml:space="preserve"> Laboratory and Dental Supplies</t>
  </si>
  <si>
    <t xml:space="preserve"> INVITATION TO BID FOR Procurement of Goods; Supply and Delivery of One (1) Unit Portable  Weigh-In-Motion (WIM) Axle Weigher Set for use of Anti-Truck  Overloading Mobile Enforcers (ATOME) of MMIDEO, NCR, DPWH,  Rosario, Pasig City  	The Metro Manila 1st </t>
  </si>
  <si>
    <t xml:space="preserve"> Lot I-Aggregates &amp; Masonry Products 80	bags	Portland Cement (40kg./bag) 10	cu.m	Mixing Sand 5	cu.m	Mixing Gravel (Crack Stone) 		Total of Lot - I P42,100.00</t>
  </si>
  <si>
    <t xml:space="preserve"> Rehabilitation of Barangay Road from Sitio Cabanbanan, Barangay Dapnan to Sitio Lapaz &amp; Sitio Calinaban, Barangay San Isidro, Baganga, Davao Oriental</t>
  </si>
  <si>
    <t xml:space="preserve"> Scope of Works: *Layout *Structural Excavation and Clearing *Filling and Compaction *Concrete Works *Masonry Works, Roof Framing Works *Ceiling *Roofing Works *Doors *Windows *Sanitary Works, Septic Tank *Painting *Window Grills *Electrical *Hauling</t>
  </si>
  <si>
    <t xml:space="preserve"> 150	bxs	Clean gloves large 10	bxs	NGT FR. 18 10's/box 50	btls	Hydrogen peroxide 500ml 1000	pcs	Soluset 50	packs	Blood set 10's/pack 20	bxs	Syringe 50ml 50's /box 50	packs	Adult diaper large 10's/pack 50	packs	Boufant cap 100's/pack 50	bxs	Disposable syrin</t>
  </si>
  <si>
    <t xml:space="preserve"> Chlorine Dioxide (BugBUST)</t>
  </si>
  <si>
    <t xml:space="preserve"> The Municipality of Pola, Oriental Mindoro hereby invites interested parties to participate in the public auction of various unserviceable properties, scrap and waste materials and various motor vehicles, as indicated below Item No.	Item Description and L</t>
  </si>
  <si>
    <t xml:space="preserve"> The Local  Government   Unit  of General  Santos  City, through  the  GENERAL FUND CY 2020  intends  to apply  the sum of one hundred forty eight thousand two hundred twenty and xx / 100 Pesos Only (148,220.00)   being  the Approved  Budget  for the Contr</t>
  </si>
  <si>
    <t xml:space="preserve"> LOT - III Lumber 150	pcs.	2" x 2" x 10' R/L  		Total of Lot - III P 33,600. 00</t>
  </si>
  <si>
    <t xml:space="preserve"> Republic of the Philippines Province of Albay Municipality of Rapu-Rapu Barangay Galicia INVITATION TO BID FOR THE FENCING OF MULTI-PURPOSE HALL 1.	The Barangay Local Government Unit of Galicia, Rapu-Rapu, Albay, through the Budget for the Contract Approv</t>
  </si>
  <si>
    <t xml:space="preserve"> 1     Unit     Repair of Franklin Submersible Motor 75hp, 3 phase, 380/469V                  8"Ø (Spare of Sto. Niño Pumping Station)                  Scope of Work:                  a.  Check-up, overhaul and rewind                  b.  Replace o-rings, </t>
  </si>
  <si>
    <t xml:space="preserve"> Please see attached bidding documents for details.</t>
  </si>
  <si>
    <t xml:space="preserve"> Bids and Awards Committee							 INVITATION TO BID/ REQUEST FOR QUOTATION							 							          The City Government of Pagadian, through its Bids and Awards Committee (BAC), invites suppliers/manufacturers/distributors to apply for eligibility and if fo</t>
  </si>
  <si>
    <t xml:space="preserve"> Invitation to Bid All prospective bidders are invited to bid on the above items. The Sangguniang Barangay of Mercado reserves the right to accept or reject any bid, to annul the bidding process, and to reject all bids at any time prior to contract award, </t>
  </si>
  <si>
    <t xml:space="preserve"> Scope of Works *Lay-Out *Base Preparation *Portland Cement Concrete Pavement *Labor *Equipment Rental *Contingencies</t>
  </si>
  <si>
    <t xml:space="preserve"> The Local  Government   Unit  of General  Santos  City, through  the  GENERAL FUND CY 2020  intends  to apply  the sum of seventy nine thousand fifty and xx / 100 Pesos Only (79,050.00)   being  the Approved  Budget  for the Contract   (ABC) to payments  </t>
  </si>
  <si>
    <t xml:space="preserve"> Republic of the Philippines Province of Bukidnon MUNICIPALITY OF LIBONA   INVITATION TO BID 	The Local Government Unit of libona, through its Bids and Awards Committee (BAC) invites Suppliers/manufacturers/distributors/contractors with to apply for eligib</t>
  </si>
  <si>
    <t xml:space="preserve"> Package 1: Various MPP, Taggay &amp; Ballayangon, Pinukpuk</t>
  </si>
  <si>
    <t xml:space="preserve"> 3,500	bags	Certified Palay Seeds 	40 kgs/bag	 		Note: Date of Harvest not earlier than Mar 1, 2020 		Requested Varieties are: PSB Rc 10; NSIC Rc 222, 		216, 226, 238 and recently released good quality 		varities 		GRAND TOTA AMOUNT  P5,320,000.00</t>
  </si>
  <si>
    <t xml:space="preserve"> 83	sets	PNP Pexilized Field Service Uniform 83	pcs	Tactical Boots 		GRAND TOTAL AMOUNT  P630,800.00</t>
  </si>
  <si>
    <t xml:space="preserve"> Road Opening at Ikog Buaya, Sitio Nonocan, Barangay Dapnan Phase III, Baganga, Davao Oriental</t>
  </si>
  <si>
    <t xml:space="preserve"> Republic of the Philippines Province of Misamis Occidental Municipality of Plaridel INVITATION TO APPLY FOR ELIGIBILITY AND TO BID 	 	The Local Government Unit, LGU-Plaridel, Misamis Occidental, through its Bids and Awards Committee (BAC), invites supplie</t>
  </si>
  <si>
    <t xml:space="preserve"> LOT - I Aggregates 30	cu.m.	Washed Fine Aggregates 20	cu.m.	3/4" Crushed Aggregates 33	cu.m.	Item 201 		Total of Lot - I  P83,050.00 		LOT - III  Lumber 67	pcs	2" x 2" x 12' R/L 		Total of Lot - III  P13,400.00 		 		LOT - IV  Painting 10	gals	Zinc Chromat</t>
  </si>
  <si>
    <t xml:space="preserve"> Package 2: Various Concrete Pathway, Taggay &amp; Limos, Pinukpuk</t>
  </si>
  <si>
    <t xml:space="preserve"> Temporary Facilities, Project Billboard, Construction Safety and Health, Mobilization/Demobilization, Clearing and Grubbing, Roadway Excavation (Surplus Soft Rock for Disposal), Foundation Fill, Pipe Culvert and Drain Excavation, Embankment from Road Exca</t>
  </si>
  <si>
    <t xml:space="preserve"> Repair of Building 1, Repair of Building 2, Repair of Gazebo and Wooden Trellis, Repainting of Gate, Electrical Works (Bldg 1, 2 and Gazebo), Construction of Pumphouse, Installation of Water Tanks, Temporary Facilities, Project Billboard, Mobilization/Dem</t>
  </si>
  <si>
    <t xml:space="preserve"> Republic of the Philippines Province of Cotabato Municipality of Antipas BIDS AND AWARDS COMMITTEE INVITATION TO BID FOR Supply and Installation of Streetlights 1.	The Municipal Government of Antipas, through the Budget approved by the Sanggunian intends </t>
  </si>
  <si>
    <t xml:space="preserve"> TRAINING PACKAGE OF SECURITY, BODY GUARD AND TRAFFIC ENFORCER OF MAUBAN, QUEZON The Local Government Unit of Mauban through the GENERAL FUND, 1011/5-02-02-010, 2020 intends to apply the sum of Two hundred ninety two thousand pesos (Php 292,000.00) being t</t>
  </si>
  <si>
    <t xml:space="preserve"> LOT - I Aggregates 10	cu.m.	Washed Sand 6	cu.m.	3/4" Crushed Rock 		Total of Lot - I  P18,700.00 		LOT - III Lumber 50	pcs	2" x 2" x 10' R/L 30	pcs	1" x 2" x 10' R/L 		Total of Lot - III  P11,050.00</t>
  </si>
  <si>
    <t xml:space="preserve"> A) REQUEST FOR QUOTATION 1. 62 pcs ¾” x 4’ x 8’ – Marine Plywood 2. 20 pcs ¼” x 4’ x 8’ – Narra Plywood 3. 5 kg 2” CWN nail 4. 3 kg 3” CWN nail 5. 2 kg 4” CWN nail 6. 3 kg 1” Fin. nail 7. 4 kg 2” Fin nail 8. 4 kg 1 ½’ Fin nail 9. 4 ltrs Wood glue Noted: D</t>
  </si>
  <si>
    <t xml:space="preserve"> CLEANING / CLEARING OF WATERLILIES</t>
  </si>
  <si>
    <t xml:space="preserve"> per attached BSP specifications for delivery to BSP Batac Branch, City of Batac, Ilocos Norte</t>
  </si>
  <si>
    <t xml:space="preserve"> False Works and Forms, Concrete Slab, Masonry Works, Carpentry Works, Glass Works, and Fabricated Materials, Reflected Ceiling, Electrical Works, Tile Works (CR), Painting Works, Riprap (Class A) – Slope Protection, Lined Canal (0.80 x 0.90m), Storm Drain</t>
  </si>
  <si>
    <t xml:space="preserve"> LOT - I Aggregates  70	bags	Portland Cement (40kg./bag) 35	cu.m.	Mixing Sand 40	cu.m.	3/4" Crushed Aggregates 5	shts	3/4" Ordinary Plywood 50	pcs	2  x 2 x 12 Gemelina R/L 		Total of Lot - I  P124,625.00</t>
  </si>
  <si>
    <t xml:space="preserve"> 50	piece	        BROOM, soft (tambo)	 50	piece	        BROOM, STICK (TING-TING), usable length: 760mm min	 50	bottle	CLEANER,TOILET BOWL AND URINAL, 900ml-1000ml cap	 50	can 	        CLEANSER, SCOURING POWDER, 350g min./can	 50	pack	        DETERGENT POWD</t>
  </si>
  <si>
    <t xml:space="preserve"> Scope of Works *Clearing and Grubbing *Sub-Grade Preparation *Aggregate Sub-Base Course *Aggregate Base Course *Portland Cement Concrete Pavement *Stoned Masonry Canal *Contingencies</t>
  </si>
  <si>
    <t xml:space="preserve"> purchase aircon</t>
  </si>
  <si>
    <t xml:space="preserve"> SUPPLY AND DELIVERY OF MATERIALS FOR IMPROVEMENT OF MULTI-PURPOSE HALL IN BARANGAY BATO, MAUBAN, QUEZON. 1.	The Local Government Unit of Mauban through the 20% DEVELOPMENT FUND (DF)-8751/1-07-10-030, 2020 intends to apply the sum of Two hundred sixty seve</t>
  </si>
  <si>
    <t xml:space="preserve"> SENIOR'S WALKATHON 2020</t>
  </si>
  <si>
    <t xml:space="preserve"> Scope of Works: *Clearing and Grubbing *Structural Excavation *Filling and Compaction, Concrete Works *Forms and Scaffolding *Masonry Works *Septic Tank *Windows *Doors *Corrugated Metal Roofing *Ceiling *Plumbing Works *Roof Framing Works *Painting Works</t>
  </si>
  <si>
    <t xml:space="preserve"> The Local  Government   Unit  of General  Santos  City, through  the  GENERAL FUND CY 2020  intends  to apply  the sum of five hundred seventy four thousand thirty and 50 / 100 Pesos Only (574,030.50)   being  the Approved  Budget  for the Contract   (ABC</t>
  </si>
  <si>
    <t xml:space="preserve"> CONSTRUCTION OF EVACUATION CENTER</t>
  </si>
  <si>
    <t xml:space="preserve"> NAME OF PROJECT: FABRICATION OF ELEVATED WATER TANK LOCATION: BRGY. MAILHI, BAYBAY CITY, LEYTE SOURCE OF FUND: IRA DETAILED ESTIMATES  MATERIALS AND LABOR</t>
  </si>
  <si>
    <t xml:space="preserve"> The Local  Government   Unit  of General  Santos  City, through  the  GENERAL FUND  intends  to apply  the sum of one hundred forty five thousand and xx / 100 Pesos Only (145,000.00)   being  the Approved  Budget  for the Contract   (ABC) to payments  und</t>
  </si>
  <si>
    <t xml:space="preserve"> Please see attached Invitation to Bid</t>
  </si>
  <si>
    <t xml:space="preserve"> Republic of the Philippines 				 						City of Manila				 						BARANGAY 170, ZONE 15, DISTRICT II				 						BIDS AND AWARDS COMMITTEE				 										 										June 10, 2020 										D A T E 						INVITATION TO BID 				 										 BARANGAY 170, ZONE 15, </t>
  </si>
  <si>
    <t xml:space="preserve"> Republic of the Philippines Province of Northern Samar LOCAL GOVERNMENT UNIT CAPUL, NORTHERN SAMAR BID AND AWARDS COMMITTEE INVITATION TO BID 2020-06-001 GD The LOCAL GOVERNMENT UNIT OF CAPUL NORTHERN SAMAR through its BIDS AND AWARDS COMMITTEE (BAC), inv</t>
  </si>
  <si>
    <t xml:space="preserve"> Request for Quotation for the Procurement of Office Supplies to be used at AMAD Office 1.	The Department of Agriculture-Regional Field Office 7 (DA-RFO 7), through the General Appropriations Act of CY 2020)  intends to apply the sum of Sixty Seven Thousan</t>
  </si>
  <si>
    <t xml:space="preserve"> Republic of the Philippines 				 						City of Manila				 						BARANGAY 309, ZONE 30, DISTRICT III				 						BIDS AND AWARDS COMMITTEE				 										 										June 10, 2020 										D A T E 						INVITATION TO BID 				 										 BARANGAY 309, ZONE 30,</t>
  </si>
  <si>
    <t xml:space="preserve"> per BSP specifications for delivery to BSP Batac Branch, City of Batac, Ilocos Norte</t>
  </si>
  <si>
    <t xml:space="preserve"> 1,400 pieces 1/2” Ball Valve / Stop Cock Ball Type-Lock Wing (Threaded) (please see complete specifications below) Approved Budget Cost: ₱400.00 / pc 15 pieces 3/4” Ball Valve / Stop Cock Ball Type-Lock Wing (Threaded) (please see complete specifications </t>
  </si>
  <si>
    <t xml:space="preserve"> Rehabilitation of potable water system</t>
  </si>
  <si>
    <t xml:space="preserve"> Triglyceride Liquid 2x125ml                   1               box Uriscan Test Strips                                5               box Cholesterol Liquid, 2x125ml                   1               box Creatinine Liquid, 2x125ml                    1     </t>
  </si>
  <si>
    <t xml:space="preserve"> Air Freshener, 280 ml can, lemon	75	can Air Freshener,gel	17	pack Alcohol, 500ml, 70% ethanol	181	bottle Ballpen (Blue)	24	piece Ballpen (Black)	228	piece Ballpen (Red)	28	piece Battery, dry cell, AA	46	packet Battery, dry cell, AAA	15	packet Bleach disin</t>
  </si>
  <si>
    <t xml:space="preserve"> 6	Unit	Router	 2	Unit	UTP cable	 6	Unit	Switch Hub 8 port	 1	Unit	RJ 45	 1	Unit	Crimping tool</t>
  </si>
  <si>
    <t xml:space="preserve"> INVITATION TO BID NO. INFRA-2020-03 									 1.	The Municipal Government of Hungduan, Ifugao, through the 20% Municipal Development Fund intends to apply the sum of Five Hundred Seventy Six Thousand Sixty Two Pesos &amp; Eleven Centavos (₱576,062.11) being t</t>
  </si>
  <si>
    <t xml:space="preserve"> Republic of the Philippines 				 						City of Manila				 						BARANGAY 174, ZONE 15, DISTRICT II				 						BIDS AND AWARDS COMMITTEE				 										 										June 10, 2020 										D A T E 						INVITATION TO BID 				 										 BARANGAY 174, ZONE 15, </t>
  </si>
  <si>
    <t xml:space="preserve"> Republic of the Philippines						 Department of Education						 Region IX, Zamboanga Peninsula						 DIVISION OF ZAMBOANGA DEL SUR						 TUKURAN TECHNICAL VOCATIONAL HIGH SCHOOL						 Tukuran, Zamboanga del Sur						 						 Bids and Awards Committee						</t>
  </si>
  <si>
    <t xml:space="preserve"> This project entails purchase of medical supplies for use during Covid-19 pandemic of MHO-LGU, Magallanes, Sorsogon.</t>
  </si>
  <si>
    <t xml:space="preserve"> Republic of the Philippines						 Province of Negros Occidental						 Municipality of La Castellana						 Bids and Awards Committee						 						 INVITATION TO APPLY FOR ELIGIBILITY AND TO BID						 						 Name of Project: 		WIDENING OF MUNICIPAL STREETS 	</t>
  </si>
  <si>
    <t xml:space="preserve"> BARANGAY DAY</t>
  </si>
  <si>
    <t xml:space="preserve"> Concreting of Roads (Shoulders), Along Highway Road, Caritan Centro, Tuguegarao City</t>
  </si>
  <si>
    <t xml:space="preserve"> 1 unit Split Type Aircondition, 2.5 HP 11.77kj/h, 1740 W</t>
  </si>
  <si>
    <t xml:space="preserve"> 10	bottle	INK, EPSON 664, Black	 5	bottle	INK, EPSON 664, Yellow	 5	bottle	INK, EPSON 664, Magenta	 5	bottle	INK, EPSON 664, Cyan	 10	bottle	INK, EPSON 003, Black	 5	bottle	INK, EPSON 003, Yellow	 5	bottle	INK, EPSON 003, Magenta	 5	bottle	INK, EPSON 003,</t>
  </si>
  <si>
    <t xml:space="preserve"> ITEM NO.	ITEM AND DESCRIPTION			QTY	UNIT 1	Electrical wirings (drop wire) No. 6 for Surung SUSIMO Building			50	Linear meter 2	Electrical wirings (drop wire) No. 6 for PITA SUSIMO Building			125	Linear meter 3	Electrical wirings (drop wire) No. 6 for Cal-</t>
  </si>
  <si>
    <t xml:space="preserve"> Republic of the Philippines 				 						City of Manila				 						BARANGAY 171, ZONE 15, DISTRICT II				 						BIDS AND AWARDS COMMITTEE				 										 										June 10, 2020 										D A T E 						INVITATION TO BID 				 										 BARANGAY 171, ZONE 15, </t>
  </si>
  <si>
    <t xml:space="preserve"> 5	book	       RECORD BOOK, 300 PAGES, size: 214mm x 278mm min	 3	roll	       TAPE, TRANSPARENT, width: 24mm (±1mm)	 2	pack	       FOLDER, TAGBOARD, for A4 size documents	 1	pack	       FOLDER, TAGBOARD, for legal size documents	 10	piece	       CLEARBOOK,</t>
  </si>
  <si>
    <t xml:space="preserve"> REQUEST FOR QUOTATION The Dagupan City Water District through its Bids and Awards Committee (BAC) invites qualified bidders/contractors to send letter of quotation for the following: Name of Project:  Strengthening of Existing 100MMØ PVC pipe Distribution</t>
  </si>
  <si>
    <t xml:space="preserve"> scope of works:  I.) Removalof Dilapidated Roofing Sheets, G.I. Pipe and Breaking of Damage CHB Wall,  II.) Clearing/ Excavation of Sludge, Lagoon and Canal (Manual), III.) Installation of Pressurized Pump,  IV.) Concrete and Masonry Works,  V.) Roof and </t>
  </si>
  <si>
    <t xml:space="preserve"> Invitation to Bid for the Supply and Delivery of various Medicine for the use of Brgy. Sta. Clara, Batangas City</t>
  </si>
  <si>
    <t xml:space="preserve"> 20	piece 	Empty bottle for alcohol, 350-500ml	 1	box	        Paracetamol	 1	box	        Mefinamic acid	 1	box	        Loperamide, antihistamine	 1	box	        Loperamide</t>
  </si>
  <si>
    <t xml:space="preserve"> 5	cart 	        INK CART, EPSON C13T664100 (T6641), Black	 3	cart 	        INK CART, EPSON C13T664200 (T6642), Cyan	 3	cart 	        INK CART, EPSON C13T664300 (T6643), Magenta	 3	cart  	INK CART, EPSON C13T664400 (T6644), Yellow	 1	cart 	        INK CART</t>
  </si>
  <si>
    <t xml:space="preserve"> INVITATION TO BID June 8, 2020 The Eastern Visayas Regional Medical Center, through its Bids and Awards Committee (BAC A) invites suppliers/manufacturers/distributors to bid for the hereunder project:  Item/Description	Approved Budget for the Contract (AB</t>
  </si>
  <si>
    <t xml:space="preserve"> KAINANG BAYAN</t>
  </si>
  <si>
    <t xml:space="preserve"> 3 units	Foot Operated Alcohol Dispenser Stand 2 units	Hand Dryer •	Touch Free Sensing Type •	Waterproof</t>
  </si>
  <si>
    <t xml:space="preserve"> 2 units Rescue Passenger Van 2.2L Diesel MT Length: 4,260mm- 4300mm Width:1,695mm- 1700mm Height: 1,895mm wheelbase: 2,350mm curb weight: 1,140kg- 1,200kg engine: 2.2L E4 Compliant fuel tank capacity: 55L Suspension Front Independent Wishbone and coil sta</t>
  </si>
  <si>
    <t xml:space="preserve"> Toyota Hilux 4x2</t>
  </si>
  <si>
    <t xml:space="preserve"> 10	piece	        BROOM, STICK (TING-TING), usable length: 760mm min	 10	can	        CLEANER,TOILET BOWL AND URINAL, 900ml-1000ml cap	 10	pouch	DETERGENT POWDER, all purpose, 1kg	 10	piece	        DUST PAN, non-rigid plastic, w/ detachable handle	 10	roll	</t>
  </si>
  <si>
    <t xml:space="preserve"> Republic of the Philippines								 Province of Negros Occidental								 Municipality of La Castellana								 Bids and Awards Committee								 								 INVITATION TO APPLY FOR ELIGIBILITY AND TO BID								 								 Name of Project: 		SUPPORT TO ECO-TO</t>
  </si>
  <si>
    <t xml:space="preserve"> SAYAWAN SA KALYE</t>
  </si>
  <si>
    <t xml:space="preserve"> 72 boxes	3-ply Surgical Masks (Medical Grade) 24 gallons	70% Isopropyl Alcohol 50 kgs	Ariel Powder- Antibacterial 80 cans	Lysol Disinfectant, 510g 75 bottles	Hand Wash/Soap (Liquid or Gel) 500mL 60 cans	Air Freshener 510g 96 pcs	Albatross 50g 80 bottles	D</t>
  </si>
  <si>
    <t xml:space="preserve"> Construction of Masonry Drainage Structure, Along Highway Road, Caritan Centro, Tuguegarao City</t>
  </si>
  <si>
    <t xml:space="preserve"> KOLAMBUGAN WATER DISTRICT					                                        ( GOVERNMENT OWNED AND CONTROLLED CORPORATION )					                                           Cabili Street, Poblacion, Kolambugan Lanao del Norte 920               					              </t>
  </si>
  <si>
    <t xml:space="preserve"> PASEO NG MGA BANDA</t>
  </si>
  <si>
    <t xml:space="preserve"> ADDITIONAL CCTV at PANSOL PROPER AND KAINGIN 1</t>
  </si>
  <si>
    <t xml:space="preserve"> Concreting of 0.15m x 4m x 67 meters road at Sitio Elib. NOTE: Barangay construction Project of Barangay Talaguton in this Municipality CONTACT PERSON: VICENTE A. MARUYA III Punong Barangay Barangay Talaguton Municipality of Don Marcelino Province of Dava</t>
  </si>
  <si>
    <t xml:space="preserve"> Construction of Multi-Purpose Building, Centro 10, Tuguegarao City, Cagayan</t>
  </si>
  <si>
    <t xml:space="preserve"> 1000 pcs. T-Shirts with Print 313 pcs. Polo Shirts with Print</t>
  </si>
  <si>
    <t xml:space="preserve"> PLEASE DOWNLOAD THE ATTACHMENT/S FOR REFERENCE. Important Notes and Conditions: You can submit your quotation ON or BEFORE JUNE 10, 2020 at 01:00 PM with the photocopy of the following legal documents: a. Mayor’s / Business Permit  b. PhilGEPS Registratio</t>
  </si>
  <si>
    <t xml:space="preserve"> WASTE MANAGEMENT MATERIALS</t>
  </si>
  <si>
    <t xml:space="preserve"> to purchase of medals used for completion ceremony</t>
  </si>
  <si>
    <t xml:space="preserve"> TERMS and CONDITIONS:					 1. All entries must be typewritten or legibly written.					 2. Delivery period within Fifteen (15) working days upon receipt of the approved funded Purchase (P.O.). Administrative penalties pursuant to Sec. 69 of the Revised IRR</t>
  </si>
  <si>
    <t xml:space="preserve"> Benguet First District Engineering Office La Trinidad, Benguet June 8, 2020 INVITATION TO BID The Benguet First District Engineering Office, through its Bids and Awards Committee (BAC), invites contractors to submit bids for the following Contract: Contra</t>
  </si>
  <si>
    <t xml:space="preserve"> Construction of Masonry Drainage Structure, Along Reyno Street, Caritan Centro, Tuguegarao City</t>
  </si>
  <si>
    <t xml:space="preserve"> CONSTRUCTION OF APAYAO LIVELIHOOD TRAINING CENTER</t>
  </si>
  <si>
    <t xml:space="preserve"> Concreting of Local Roads with 130m (Item 311) Length, 0.20m thickness, 5.00m width and 1.00m shouldering on both sides. Scope of Works: Item 102 - Surplus Common Excavation Item 103(6) - Pipe Culvert and Drain Excavation Item 200 - Aggregates Sub-base Co</t>
  </si>
  <si>
    <t xml:space="preserve"> BARANGAY DAY PARADE</t>
  </si>
  <si>
    <t xml:space="preserve"> INVITATION TO BID The Department of Public Works and Highways Ilocos Norte Second District Engineering Office , through its Bids and Awards Committee (BAC) for Goods, invites suppliers to submit bids for the following Contract: Contract ID: 20GAB0003 Cont</t>
  </si>
  <si>
    <t xml:space="preserve"> Province of Benguet-CAR Municipality of Mankayan  BIDS AND AWARDS COMMITTEE INVITATION TO APPLY FOR ELIGIBILITY AND TO BID JUNE 9, 2020 	The Municipal Government of Mankayan, through its Bids and Awards Committee, invites PhilGEPS registered supplier for </t>
  </si>
  <si>
    <t xml:space="preserve"> Republic of the Philippines Province of Oriental Mindoro MUNICIPALITY OF NAUJAN BIDS AND AWARDS COMMITTEE INVITATION TO BID SUPPLY &amp; DELIVERY OF MATERIALS TO BE USED IN THE REHABILITATION OF EVACUATION CENTER IN DIFFERENT BARANGAYS, NAUJAN, ORIENTAL MINDO</t>
  </si>
  <si>
    <t xml:space="preserve"> Improvement/Rehabilitation of Barangay Bita Norte Child Development Center</t>
  </si>
  <si>
    <t xml:space="preserve"> Republic of the Philippines DEPARTMENT OF PUBLIC WORKS AND HIGHWAYS SURIGAO DEL NORTE 1st  DISTRICT ENGINEERING OFFICE REGIONAL OFFICE XIII 			       Dapa, Siargao Island, Surigao del Norte INVITATION TO BID The Department of Public Works and Highways Sur</t>
  </si>
  <si>
    <t xml:space="preserve"> 25 Bags Portland Cement 3 cu.mRider Washed Sand  325pcs4” thk chb 25pcs 9mm0x6m deformed bars 4kgs #16 gi tie wire 6 shts 1/4 x 4x8 marine plywood 32	bdft	4-2 x 6 x 8 Good Lumber	 50 bdft 15-2x2x10 goo lumber 1 kg # 3 concrete nails 1 kg # cwn 0.5 kg #2 1</t>
  </si>
  <si>
    <t xml:space="preserve"> Republic of the Philippines                   Department of Health	       CENTRAL OFFICE BIDS AND AWARDS COMMITTEE  INVITATION TO BID FOR THE PROCUREMENT OF LAN ADAPTER TYPE-C IB NO. 2020-220 1.	The Department of Health (DOH), through the General Appropri</t>
  </si>
  <si>
    <t xml:space="preserve"> INVITATION TO  BID The Municipality of San Nicolas, Pangasinan through its Bids and Awards Committee (BAC), invites contractors registered with and classified by the Philippine Contractors Accreditation Board (PCAB) to apply for eligibility and if found e</t>
  </si>
  <si>
    <t xml:space="preserve"> Republic of the Philippines          City of Dumaguete Bids and Awards Committee INVITATION TO BID FOR PURCHASE REQUEST OF 10 LGTHS DEFORMED STEEL BARS (16MMØ X 6.0M) AND OTHER ITEMS 	The City of Dumaguete thru its BIDS AND AWARDS COMMITTEE (BAC), invites</t>
  </si>
  <si>
    <t xml:space="preserve"> RFQ (20-06-028) Enteral Nutrition-Semi Elemental Nutrition 227 g Modular protein Formula</t>
  </si>
  <si>
    <t xml:space="preserve"> Republic of the Philippines CITY OF PANABO Province of Davao del Norte BIDS AND AWARDS COMMITTEE -o0o- REQUEST FOR QUOTATION 1.	 The City of Panabo, through CHO-DRUGS &amp; MEDICINES /LFP – MATERNAL &amp; CHILD HEALTH PROGRAM intends to apply the sum of Twelve Th</t>
  </si>
  <si>
    <t xml:space="preserve"> The Local  Government   Unit  of General  Santos  City, through  the  GENERAL FUND CY 2020  intends  to apply  the sum of nine hundred eleven thousand and xx / 100 Pesos Only (911,000.00)   being  the Approved  Budget  for the Contract   (ABC) to payments</t>
  </si>
  <si>
    <t xml:space="preserve"> 1	The Municipality of Pola, Province of Oriental Mindoro through its  General Fund  (Special Purpose Appropriation 20% MDF (SB#2, 2019) intends to apply the sum of One Million Three Hundred Ninety-Seven Thousand One Hundred Eighteen  pesos and 54/100 only</t>
  </si>
  <si>
    <t xml:space="preserve"> Invitation to Bid for the Supply and Delivery of various Medicine for the use of Brgy. Sampaga, Batangas City</t>
  </si>
  <si>
    <t xml:space="preserve"> Republic of the Philippines CITY OF PANABO Province of Davao del Norte BIDS AND AWARDS COMMITTEE -o0o- REQUEST FOR QUOTATION 1.	 The City of Panabo, through CHO-MED., DEN., &amp; LAB. SUPPLIES /LFP – VOLUNTARILY BLOOD PROGRAM intends to apply the sum of One H</t>
  </si>
  <si>
    <t xml:space="preserve"> RFQ (20-06-029) Various Medical Supplies</t>
  </si>
  <si>
    <t xml:space="preserve"> Provision of consultancy services of Physician for  Pag-IBIG Fund - SSWM for the period of six (6)  months effective upon assumption to duty</t>
  </si>
  <si>
    <t xml:space="preserve"> RFQ (20-05-097) Various Laboratory Reagents</t>
  </si>
  <si>
    <t xml:space="preserve"> WO - Supply, delivery and installation of LED Type High Bay Lights Assembly for the Upgrading of Power Cavern High Bay Lighting System of Agus 4 HE Plant. NOTE: PLEASE SEE ATTACHED PRE-PR FOR THE COMPLETE DETAILED OF SPECS.</t>
  </si>
  <si>
    <t xml:space="preserve"> CONSTRUCTION/REHABILITATION OF WATER SUPPLY/SEPTAGE AND SEWERAGE/RAIN WATER COLLECTORS</t>
  </si>
  <si>
    <t xml:space="preserve"> Republic of the Philippines Province of Bukidnon MUNICIPALITY OF LIBONA Barangay Government Unit of Pongol INVITATION TO BID 	The Barangay Government Unit of Pongol, through its Bids and Awards Committee (BAC) invites Suppliers/manufacturers/distributors/</t>
  </si>
  <si>
    <t xml:space="preserve"> The Local  Government   Unit  of General  Santos  City, through  the  GENERAL FUND CY 2020  intends  to apply  the sum of twenty nine thousand twenty one and 45 / 100 Pesos Only (29,021.45)   being  the Approved  Budget  for the Contract   (ABC) to paymen</t>
  </si>
  <si>
    <t xml:space="preserve"> 1. 40	units	 Hospital Bed 3 cranks panel type Complete set w/ 6” Bed Mattress, side rails, IV Pole size: 2160mm x 1000mm x 500mm Standard Configuration: Double Protection Screw System Luxurious Silent Castors Aluminum Alloy Guardrails Double Protection Sc</t>
  </si>
  <si>
    <t xml:space="preserve"> INVITATION TO BID Sealed proposal in ink typewritten one (1) copy will be received fro bonafide contractors on June 23, 2020 at 2:00 PM at Barangay Hall, Barangay Abar 1st, this city on which date, time and place the bid will publicly opened in the presen</t>
  </si>
  <si>
    <t xml:space="preserve"> Fixed glass Analogue, Sliding doors and Hanging Cabinet.</t>
  </si>
  <si>
    <t xml:space="preserve"> office Equipment, Computer Set and Printer Machine with Scanner</t>
  </si>
  <si>
    <t xml:space="preserve"> The Local  Government   Unit  of General  Santos  City, through  the  GEERAL FUND CY 2020  intends  to apply  the sum of two hundred thirty two thousand three hundred twenty and xx / 100 Pesos Only (232,320.00)   being  the Approved  Budget  for the Contr</t>
  </si>
  <si>
    <t xml:space="preserve"> A) REQUEST FOR QUOTATION 1. 560 pcs Ceramic floor tiles, 30 x 60cm 2. 330 pcs Wall tiles (polish) 30 x 60cm 3. 2 pcs Shower hose stainless 4. 1 bag Portland Cement, 40 kg/bag 5.3 pcs Tile cutting wheel / disc 4”Ø 6. 2 bags Tile grout gray, 2 kg/bag 7. 2 b</t>
  </si>
  <si>
    <t xml:space="preserve"> IMPROVEMENT OF STREET LIGHTS  BRGY. CABUGAO, BACUAG, SDN				MODE OF IMPLEMENTATION:BY ADMIN 	 APPROPRIATION=PHOP P  150,000.00			SOURCE OF FUND= 20% MDF 2020 PHYSICAL TARGET= 50 LIGHTS 				NO. OF CALENDAR DAYS= 31 C.D.  COST OF MATERIALS = P 110,542.00 MA</t>
  </si>
  <si>
    <t xml:space="preserve"> A) REQUEST FOR QUOTATION 1. 500 pcs Dwarf Santan medium size 2. 50 pcs Macky 6ft. 3. 25 pcs Kamuning 5ft. 4. 25 pcs Eugenia 5ft. 5. 25 pcs Pandakaki 5ft. 6. 25 pcs Pokiantea (Topiary) medium size 7. 40 pcs Picara big size 8. 25 pcs Golden Seplira big size</t>
  </si>
  <si>
    <t xml:space="preserve"> INVITATION TO BID NO. INFRA-2020-08 									 1.	The Municipal Government of Hungduan, Ifugao, through the 20% Municipal Development Fund intends to apply the sum of One Million One Hundred Fifty Thousand Four Hundred Sixty Two Pesos &amp; Forty Two Centavos </t>
  </si>
  <si>
    <t xml:space="preserve"> The Local  Government   Unit  of General  Santos  City, through  the  GENERAL FUND CY 2020  intends  to apply  the sum of two hundred six thousand five hundred two and xx / 100 Pesos Only (206,502.00)   being  the Approved  Budget  for the Contract   (ABC</t>
  </si>
  <si>
    <t xml:space="preserve"> Invitation to Bid for the Supply and Delivery of CCTV Camera for the use of Brgy. Sampaga, Batangas City</t>
  </si>
  <si>
    <t xml:space="preserve"> RFQ (20-06-023) Opthalmology Supplies</t>
  </si>
  <si>
    <t xml:space="preserve"> INVITATION FOR NEGOTIATED PROCUREMENT  DUE TO TWO- FAILED BIDDINGS ITB  No. 074-NP - 2020 1.	The City Government of Surigao, through its Bids and Awards Committee (BAC) intends to procure Siganid Fingelings (buras) and feeds for Siganid Production (DOLE-D</t>
  </si>
  <si>
    <t xml:space="preserve"> Republic of the Philippines CITY OF PANABO Province of Davao del Norte BIDS AND AWARDS COMMITTEE -o0o- REQUEST FOR QUOTATION 1.	 The City of Panabo, through CHO-MEDICAL, DENTAL &amp; LABORATORY SUPPLIES (LAB SEC.) /MOOE intends to apply the sum of Seventy-Six</t>
  </si>
  <si>
    <t xml:space="preserve"> Electrical Materials for Barangay Alitaya Mangaldan,Pangasinan</t>
  </si>
  <si>
    <t xml:space="preserve"> Republic of the Philippines										 Cordillera Administrative Region										 Provincial Government of Kalinga										 										 BIDS AND AWARDS COMMITTEE										 										 Invitation to Bid										 										 1.	The Provincial Government of KA</t>
  </si>
  <si>
    <t xml:space="preserve"> 1	LOT	Laboratory Equipment Set for Food Processing laboratory		 2	Unit 	heavy duty stove		 2	Unit 	50 kg LPG tank		 2	Unit 	vacuum sealer		 1	Unit 	food procesor (2.1 L) (750 w)		 3	pcs	chef knife		 3	pcs	knife sharpening/honing rod		 3	pcs	paring knife		</t>
  </si>
  <si>
    <t xml:space="preserve"> 1.	1		set		Computer w/ Printer		 2.	1		unit		Office Table		 3.	1		unit		Office Chair		 4.	100		pcs.		Monobloc Chair		 5.	20		pcs.		Kiddie Chair		 6.	6		pcs.		Kiddie Table		 7.	1		unit		Steel Cabinet		 8.	1		set		Projector w/ screen		 9.	2		unit		Televisio</t>
  </si>
  <si>
    <t xml:space="preserve"> Labor and Materials for Construction of 18 units Streetlights</t>
  </si>
  <si>
    <t xml:space="preserve"> Republic of the Philippines PROVINCE OF BUKDINON Malaybalay City OFFICE OF THE PROVINCIAL GOVERNOR Bids and Awards Committee INVITATION TO BID FOR THE “SUPPLY AND DELIVERY OF ONE LOT KITCHEN WARES AND APPLIANCES” ITB No. 2020-153 June 8, 2020 1.	The Provi</t>
  </si>
  <si>
    <t xml:space="preserve"> 1	bx	Rapid chem glucose reagent 5x100ml 1	bx	Uric acid reagent 5x 100 ml 1	bx	Urea U.V reagent 2x 125ml 1	bx	Creatinine reagent 4x 100ml 1	bx	Total  cholesterol reagent 5x 100ml 1	bx	Triglycerides reagent 5x 100ml 1	bx	HDL cholesterol ppt 4x25ml 1	bx	SGOT</t>
  </si>
  <si>
    <t xml:space="preserve"> 3	Pieces	"Carbouy, LDPE carbouy with spigot 25L, transparent, opaque" 9	Pieces	Magnetic Stirring Bar, Magnetic stirring bar assortments w/ storage box, heat resistant, white 10	Pieces	"Container, Carbouy container Black, 50L" 2,000	Pieces	"Personal Protec</t>
  </si>
  <si>
    <t xml:space="preserve"> Please see Request for Quotation/Bid form attached to Associated Components.</t>
  </si>
  <si>
    <t xml:space="preserve"> Republic of the Philippines PROVINCE OF BUKDINON Malaybalay City OFFICE OF THE PROVINCIAL GOVERNOR Bids and Awards Committee INVITATION TO BID FOR THE “SUPPLY AND DELIVERY OF ONE LOT OFFICE SUPPLIES” ITB No. 2020-152 June 8, 2020 1.	The Provincial Governm</t>
  </si>
  <si>
    <t xml:space="preserve"> INVITATION TO BID NO. INFRA-2020-05 									 1.	The Municipal Government of Hungduan, Ifugao, through the 20% Municipal Development Fund intends to apply the sum of Five Hundred Seventy Thousand Two Hundred Seventy Four Pesos &amp; Fifty Seven Centavos (₱572</t>
  </si>
  <si>
    <t xml:space="preserve"> Republic of the Philippines Department of Education Region VIII SCHOOLS DIVISION OF TACLOBAN CITY Tacloban City INVITATION TO BID Project No.: CY 2020_QRF (REPAIR)-Lot 1 1. The Department of Education (DepED) Division of Tacloban City, through the General</t>
  </si>
  <si>
    <t xml:space="preserve"> 4 cubic sand 4 cubic gravel 24 pcs. 16mm dif. bar 25 pcs. 10mm dif. bar 10 kilos tie wire 20 bags of cement 4 coco lumber 4 pcs. fenolic board 130 pcs. CHB #4 4 kilos nail # 3 3 kilos nail #2 2 kilos nail #4</t>
  </si>
  <si>
    <t xml:space="preserve"> 1 60 KILOS BROWN SUGAR - . 2 40 KILOS DRIED FISH-DILI PINIKAS - . 3 160 CAN SARDINES - . 4 50 BOT/S SOY SAUCE - . 5 60 KILOS COOKING OIL - . 6 80 CAN/S CORNED BEEF - 160 GRMS. 7 300 PCS NOODLES - . 8 25 SACK RICE - well-milled 9 12 PCK/S SALT - 250 GRMS-I</t>
  </si>
  <si>
    <t xml:space="preserve"> INVITATION TO BID FOR THE PROCUREMENT OF VARIOUS AGRICULTURAL INPUTS AND POST-HARVEST FACILITIES FOR TECHNOLOGY DEMONSTRATION AND POST-HARVEST PROJECTS IMPLEMENTATION UNDER THE NATIONAL FISHERIES PROGRAM FOR CY 2020 (2ND BIDDING) Invitation to Bid No. 202</t>
  </si>
  <si>
    <t xml:space="preserve"> Repair of C.R.</t>
  </si>
  <si>
    <t xml:space="preserve"> Republic of the Philippines                   Department of Health	       CENTRAL OFFICE BIDS AND AWARDS COMMITTEE  INVITATION TO BID FOR THE  PROCUREMENT OF VARIOUS USB FLASH DRIVE  IB NO. 2020-210 1.	The Department of Health (DOH), through the General A</t>
  </si>
  <si>
    <t xml:space="preserve"> Republic of the Philippines          City of Dumaguete Bids and Awards Committee INVITATION TO BID FOR PURCHASE REQUEST OF 36 CU.M COARSE AGGREGATES (2” MAX. SIZE) AND OTHER ITEMS 	The City of Dumaguete thru its BIDS AND AWARDS COMMITTEE (BAC), invites al</t>
  </si>
  <si>
    <t xml:space="preserve"> Republic of the Philippines          City of Dumaguete Bids and Awards Committee INVITATION TO BID FOR PURCHASE REQUEST OF 11 LGTHS DEFORMED STEEL BAR (16MMØ X 6.0M) AND OTHER ITEMS 	The City of Dumaguete thru its BIDS AND AWARDS COMMITTEE (BAC), invites </t>
  </si>
  <si>
    <t xml:space="preserve"> INVITATION TO BID NO. INFRA-2020-06 									 1.	The Municipal Government of Hungduan, Ifugao, through the 20% Municipal Development Fund intends to apply the sum of Six Hundred Sixty Eight Thousand Five Hundred Forty Five Pesos &amp; Ten Centavos (₱668,545.1</t>
  </si>
  <si>
    <t xml:space="preserve"> Republic of the Philippines DEPARTMENT OF PUBLIC WORKS AND HIGHWAYS LAGUNA II DISTRICT ENGINEERING OFFICE REGIONAL OFFICE IV-A Brgy. Bambang, Los Baños, Laguna Invitation to Bid No. 2020 - 08 The Department of Public Works and Highways- Laguna II District</t>
  </si>
  <si>
    <t xml:space="preserve"> Republic of the Philippines Municipality of Taytay Taytay, Palawan NOTICE TO BIDDERS Item # Qty Unit Description Amount 1. 3 Units Transformer 15KVA, Single Phase 2. 1 Unit   Power Transformer 25 KVA - ISO Standard - Secondary Voltage (220 Volts - 230 Vol</t>
  </si>
  <si>
    <t xml:space="preserve"> Cadaver Holding Area</t>
  </si>
  <si>
    <t xml:space="preserve"> 575 bags Portland cement 42 cu.m Sand 61 cu.m Gravel 120 cu.m Red cinder w/ binder 69 kls Tie wire #16 551 pcs 16mm dia D/B 611 pcs 10mm dia D/B 20 pcs 20mm dia D/B 198 pcs 12mm dia D/B 120 pcs 1 1/2" dia GI pipe s-40 252 pcs 1 1/2" dia GI scaffolding cla</t>
  </si>
  <si>
    <t xml:space="preserve"> Republic of the Philippines Province of Bukidnon MUNICIPALITY OF LIBONA Barangay Government Unit of Capihan INVITATION TO BID 	The Barangay Government Unit of Capihan, through its Bids and Awards Committee (BAC) invites Suppliers/manufacturers/distributor</t>
  </si>
  <si>
    <t xml:space="preserve"> Republic of the Philippines Office of the Punong Barangay BIDS AND AWARDS COMMITTEE Lucaban, Burgos, Ilocos Sur INVITATION TO BID The Barangay Government of Lucaban, Burgos, Ilocos Sur, through its Bids and Awards Committee (BAC) invites bids for the here</t>
  </si>
  <si>
    <t xml:space="preserve"> 1 UNIT GANG CHAIR - 4 SEATERS - STAINLESS</t>
  </si>
  <si>
    <t xml:space="preserve"> 1. 50,000		pcs	Thermal Printed Card (design to be provided) 				Process: Retransfer 	Printing: YMCKO Finish: Overlay Gloss / Laminated Size: ISO CR80 85.60 x 53.98 mm Protocol: ISO 14443A Thickness: 0.88mm 13.56MHz MIFARE Classic 1K PVC Card body material</t>
  </si>
  <si>
    <t xml:space="preserve"> 1. FUEL FILTER &amp; 10 OTHERS Note: item # 1-4 intended for 90kw Cummins genset DELIVERY SITE:   CALAGUAS DPP                           Brgy. Banocboc, Vinzons, Camarines Norte PLEASE SUBMIT REQUIREMENTS: 1.	MAYOR’S/BUSINESS PERMIT 2.	PhilGEPS REG. NUMBER/CE</t>
  </si>
  <si>
    <t xml:space="preserve"> Republic of the Philippines Municipality of Taytay Taytay, Palawan NOTICE TO BIDDERS Item # Qty Unit Description Amount 1. 7 units Desktop Computer: Specs: Processor: CPU @ 2.20ghz, Installed RAM: 4.00 GB, System Type: 64 Bit Operating System x64 based pr</t>
  </si>
  <si>
    <t xml:space="preserve"> 1.	The Local Government Unit of Enrile through the Local Government Support Fund-AM 2019 intends to apply the sum of Five Million pesos (Php 5,000,000.00) being the Approved Budget for the Contract (ABC) to payments under the contract for the Concreting o</t>
  </si>
  <si>
    <t xml:space="preserve"> Purchase of 1,380 rounds ammunition for 9mm pistol and 1,380 rounds ammunition for 5.56mm (M16) Rifle</t>
  </si>
  <si>
    <t xml:space="preserve"> Retaining Wall</t>
  </si>
  <si>
    <t xml:space="preserve"> 3/4 marine plywood 1/4x1x1x6m Angle Bar Welding Rod Bolt 3/6 x 1l nuts and washers 60x60 tiles Counter sink Faucet HDPE Pipe 1/2 Compression type threaded coupling 1/2 Epoxy (1ltr) epoxy primer PVC Pipe 1/2 PVC Threaded Elbow 1/2 PVC Elbow 1/2 PVC Tee 1/2</t>
  </si>
  <si>
    <t xml:space="preserve"> office divider</t>
  </si>
  <si>
    <t xml:space="preserve"> INVITATION TO BID NO. INFRA-2020-07 									 1.	The Municipal Government of Hungduan, Ifugao, through the 20% Municipal Development Fund intends to apply the sum of Nine Hundred Fifty Four Thousand Eight Hundred Sixty Five Pesos &amp; Ninety Seven Centavos (</t>
  </si>
  <si>
    <t xml:space="preserve"> Section I. Invitation to Bid   INVITATION TO BID FOR  Supply and Delivery of 6x6 Saddam Truck Rescue Vehicle (Surplus) 1.	The Local Government Unit of Lambayong, through the MDRRM Expenses Fund intends to apply the sum of Two Million Four Hundred Fifty Th</t>
  </si>
  <si>
    <t xml:space="preserve"> GOOD COMMODITIES</t>
  </si>
  <si>
    <t xml:space="preserve"> Passenger Van Engine: 1GD ftv, 4 cylinders in line 16 valve DOHC Diplacement: 2,755 Emission Standard: Euro 4 Seating Capacity:15 Over All LxWxH: 5,265x1,950x1990 Transmission: 6 speed manual Power Features: Window, Door Retract Steering System: Variable </t>
  </si>
  <si>
    <t xml:space="preserve"> REPUBLIC OF THE PHILIPPINES		 			                   PROVINCE OF SIQUIJOR		 					 			                MUNICIPALITY OF SIQUIJOR		 			                 REQUEST FOR QUOTATION		 					 			                                                                       Date</t>
  </si>
  <si>
    <t xml:space="preserve"> passenger type multicab 6 seaters gasoline engine transmission 4x2 with brgy. logo sticker</t>
  </si>
  <si>
    <t xml:space="preserve"> Please submit your quotation for the following items on or before 5:00PM on Jun 22, 2020. ITEM D E S C R I P T I O N QTY. UNIT  1 Radio Transceiver, Handset Radio 3 unit Technical Specification Requirements: Portable handhel radio; water resistant, shock </t>
  </si>
  <si>
    <t xml:space="preserve"> SEE ATTACHED INVITATION TO BID, CHECKLISTS, BIDDING DOCUMENTS, STANDARD BIDDING FORMS AND PLANS</t>
  </si>
  <si>
    <t xml:space="preserve"> Republic of the Philippines          City of Dumaguete Bids and Awards Committee INVITATION TO BID FOR PURCHASE REQUEST OF 24 CU.M SAND (STD. SPECS) AND OTHER ITEMS 	The City of Dumaguete thru its BIDS AND AWARDS COMMITTEE (BAC), invites all interested ma</t>
  </si>
  <si>
    <t xml:space="preserve"> 1. 4	Unit	Inkjet printer with built-in Continuous Ink System Print Method: On-demand ink jet, Bi-directional printing, Uni-directional printing, 5760 x 1440 dpi Max resolution, Micro Piezo™ print head Nozzle Configuration 180 Nozzles Black, 59 Nozzles per</t>
  </si>
  <si>
    <t xml:space="preserve"> REQUEST  FOR  QUOTATION (RE - ISSUANCE) 																							 Small Value Procurement																							 																							 																							 	Company Name 																						 	Address                			:																			 											</t>
  </si>
  <si>
    <t xml:space="preserve"> 113 bags Portland cement 11 cu.m Sand 11.5 cu.m Gravel 120 pcs 10mm dia D/B 1000 pcs CHB #4" 14 kls Tie wire #16 1 pc Hacksaw blade 56 pcs Sahara cment 50 pcs 12mm dia D/B 8 pcs Corr. GI sheet G.24 x 8' 2 units Door (1.80m x 0.70m) 2 pcs Pail flush bowl 8</t>
  </si>
  <si>
    <t xml:space="preserve"> Request for Quotation for the Procurement of Branded Smart TV to be used in SAAD presentation of reports, meetings, orientation, consultations and other related activities 1.	The Department of Agriculture-Regional Field Office 7 (DA-RFO 7), through the Ge</t>
  </si>
  <si>
    <t xml:space="preserve"> INVITATION TO BID FOR  GENERAL SUPPORT SERVICES  (Security Services Requirement of MMIDEO, NCR, DPWH, Rosario, Pasig City) 	The Metro Manila 1st District Engineering Office, through the GAA 2020 intends to apply the sum of FOUR MILLION THREE HUNDRED THIRT</t>
  </si>
  <si>
    <t xml:space="preserve"> 1. The Provincial Government of Davao Del Norte, through 20% DF CY 2020 and Trust Fund (NHA), intends to apply the sum of Forty Four Million Six Hundred Twenty Four Thousand One Hundred Thirty Two and 95/100 Pesos (Php 44,624,132.95) and being the Approve</t>
  </si>
  <si>
    <t xml:space="preserve"> Republic of the Philippines MUNICIPALITY OF BUENAVISTA INVITATION TO BID FOR CONSTRUCTION OF LIVELIHOOD &amp; ENTERPRENEUR CENTER  1.	The Local Government Unit of Buenavista, Marinduque through the fund from the 20% DF CY 2020 intends to apply the sum of Six </t>
  </si>
  <si>
    <t xml:space="preserve"> Republic of the Philippines          City of Dumaguete Bids and Awards Committee INVITATION TO BID FOR PURCHASE REQUEST OF 30 CU.M COARSE AGGREGATES (2” MAX. SIZE) AND OTHER ITEMS 	The City of Dumaguete thru its BIDS AND AWARDS COMMITTEE (BAC), invites al</t>
  </si>
  <si>
    <t xml:space="preserve"> Local Government of Valencia Catarata Street, Poblacion, Valencia City,  Bukidnon, Philippines Philippine access (088) 828-5430 Contract Reference No. 10-2020 06/09/2020 INVITATION TO BID FOR THE PROPOSED CONSTRUCTION OF MULTI-PURPOSE BUILDING PHASE I AT </t>
  </si>
  <si>
    <t xml:space="preserve"> Republic of the Philippines Municipality of Taytay Taytay, Palawan NOTICE TO BIDDERS Item # Qty Unit Description Amount 1. 1 unit Brand New Vehicle (VAN) Specification: Transmission and chassis: Transmission: 6-speed MANUAL, Suspension Front/Rear: McPhers</t>
  </si>
  <si>
    <t xml:space="preserve"> REQUEST FOR QUOTATION The Local Government Unit of Molave, through its Bids and Awards Committee, will undertake a Small Value Procurement for the Purchase of Various Construction Materials and Supplies to be Used for the Expansion of School Canteen at MR</t>
  </si>
  <si>
    <t xml:space="preserve"> Republic of the Philippines PROVINCE OF ZAMBOANGA DEL SUR Municipality of Dumalinao BIDS AND AWARDS COMMITTEE INVITATION TO APPLY FOR ELIGIBILITY AND TO BID The Local Government Unit of Dumalinao, Zamboanga del Sur, through its Bids and Awards Committee (</t>
  </si>
  <si>
    <t xml:space="preserve"> 3,800	Pieces	Plastic bag, PE, 5in x 6in x 0. 005 ,, w/ 1-color print 2,600	Pieces	Plastic sack ,50kg cap, with 2-color print 10,000	Pieces	Plastic bag, PE, 5in x 6in x 0. 005 ,, w/ 1-color print</t>
  </si>
  <si>
    <t xml:space="preserve"> Construction of Butubut Sur Civic Center</t>
  </si>
  <si>
    <t xml:space="preserve"> 2 sets Multistage Submersible Motor with the following specifications: I. General Requirements: Rating	:	30	Hp Nominal Voltage	:	460	V Number of Phase	:	3	 Frequency	:	60	Hz Standard Diameter	:	6	Inches Lead Wire / Cables	:	Plug-in or Detachable Rotor Spl</t>
  </si>
  <si>
    <t xml:space="preserve"> Item No.	Scope of Work	 		 403	REINFORCING STEEL	 900	REINFORCE CONCRETE	 414	FORMS &amp; FALSEWORKS	 704	MASONRY WORKS	 103(1)a	Structure Excavation	 1027	PLASTERING WORKS	 1010	WINDOW	 500(1)	ROOFING WORKS	 ITEM B.5:	PROJECT BILLBOARD</t>
  </si>
  <si>
    <t xml:space="preserve"> INVITATION TO BID SUPPLY AND DELIVERY OF ONE (1) UNIT PASSENGER VAN VEHICLE (PV)    The Pag-IBIG Fund Corporate Headquarters, through its Bids and Awards Committee – Goods and Services (BAC-GS) intends to apply the sum of Two Million Six Hundred Thousand </t>
  </si>
  <si>
    <t xml:space="preserve"> INVITATION TO BID The DPWH Zamboanga del Sur 2nd District Engineering Office, Poblacion, Guipos, Zamboanga del Sur, through its Bids and Awards Committee (BAC), invites contractors to submit bids for the following Contract: Contract ID	:	20JG0051 - rebid </t>
  </si>
  <si>
    <t xml:space="preserve"> 1	pc    Ball Joint Lower Labor</t>
  </si>
  <si>
    <t xml:space="preserve"> INVITATION TO BID FOR  GENERAL SUPPORT SERVICES  (Janitorial Services Requirement of MMIDEO, NCR, DPWH, Rosario, Pasig City) 	The Metro Manila 1st District Engineering Office, through the GAA 2020 intends to apply the sum of TWO MILLION EIGHT HUNDRED EIGH</t>
  </si>
  <si>
    <t xml:space="preserve"> Section I. Invitation to Bid     Republic of the Philippines Province of La union Municipality of Bacnotan INVITATION TO BID The Local Government of Bacnotan through its Bids and Awards Committee (BAC) invites contractors to submit bids for the following </t>
  </si>
  <si>
    <t xml:space="preserve"> 1.	10		unit		Refill of Fire Extinguisher 2.	1		set		CCTV Camera &amp; Access.</t>
  </si>
  <si>
    <t xml:space="preserve"> Please submit your quotation for the following items on or before 5:00PM on Jun 22, 2020. ITEM D E S C R I P T I O N QTY. UNIT  1 Piston Ring, STD (4 Wheels) 1 set 2 Liner, Cylinder (Finish) (4 Wheels) 1 set 3 Gasket, Overhauling (4 Wheels) 1 set 4 Bearin</t>
  </si>
  <si>
    <t xml:space="preserve"> INVITATION TO BID The Provincial Government of Occidental Mindoro through its Bids and Awards Committee (BAC) invites all interested contractors to apply for eligibility and to bid for the following projects: Reference No.	Name of Project	Location	Brief D</t>
  </si>
  <si>
    <t xml:space="preserve"> Improvement of Bet-ang Farmers Multi-purpose Pavement</t>
  </si>
  <si>
    <t xml:space="preserve"> Please submit your quotation for the following items on or before 5:00PM on Jun 22, 2020. ITEM D E S C R I P T I O N QTY. UNIT 1 Electrical, Wire, THHN Copper Wire, 100mm² (4/0 AWG) , Stranded (300m/reel) 150 mtr 2 Electrical, Eye Terminal, 100mm3 3 pc Aw</t>
  </si>
  <si>
    <t xml:space="preserve"> Republic of the Philippines Municipality of Taytay Taytay, Palawan NOTICE TO BIDDERS Item # Qty Unit Description Amount 1. 1 lot Construction Materials and Supplies The two envelope system of procurement shall be observed, Bidding documents shall be avail</t>
  </si>
  <si>
    <t xml:space="preserve"> Civil works that include concrete works</t>
  </si>
  <si>
    <t xml:space="preserve"> APPROVED BUDGET***************************************P606,540.00 1. 780 PIECE BALLPEN, RED  Specifications: Please see attached specifications 2. 2340 PIECE BALLPEN, BLUE Specifications: Please see attached specifications 3. 1620 PIECEBALLPEN, BLACK Spec</t>
  </si>
  <si>
    <t xml:space="preserve"> Republic of the Philippines DEPARTMENT OF PUBLIC WORKS AND HIGHWAYS Region VII   South Road Properties (SRP), Cebu City                                        Contract ID	 : 20H00061 Contract Name  : Cluster Project: Construction of Rain Water Supply/Sept</t>
  </si>
  <si>
    <t xml:space="preserve"> Improvement of Almeida Farmers Multi-purpose Pavement</t>
  </si>
  <si>
    <t xml:space="preserve"> Republic of the Philippines Province of Albay Municipality of Rapu-Rapu Barangay Tinocawan INVITATION TO BID FOR THE  REHABILITATION OF WATER SYSTEM 1.	The Barangay Local Government Unit of Tinocawan, Rapu-Rapu, Albay, through the Budget for the Contract </t>
  </si>
  <si>
    <t xml:space="preserve"> Improvement of Bet-ang Farmers Multi-purpose Building</t>
  </si>
  <si>
    <t xml:space="preserve"> Item No.	Scope of Work	 		 403	REINFORCING STEEL	 900	REINFORCE CONCRETE	 414	FORMS &amp; FALSEWORKS	 704	MASONRY WORKS	 103(1)a	Structure Excavation	 1027	PLASTERING WORKS	 1010	WINDOW	 SPL	TILE WORKS	 ITEM B.5:	PROJECT BILLBOARD</t>
  </si>
  <si>
    <t xml:space="preserve"> 1	Brake Pad 1	Bushing Pad 	Labor</t>
  </si>
  <si>
    <t xml:space="preserve"> 1. ANGLE BAR 1/2x2x20 &amp; 20 OTHERS DELIVERY SITE :  MASBATE MINI GRID OFFICE                           PINAMARBUHAN, MOBO, MASBATE PLEASE SUBMIT REQUIREMENTS: 1.	MAYOR’S/BUSINESS PERMIT 2.	PhilGEPS REG. NUMBER/CERTIFICATE</t>
  </si>
  <si>
    <t xml:space="preserve"> Invitation to Bid for Construction of Two (2) Storey Men’s Dormitory Building at ESSU Salcedo Campus Re-Bidding 1.	The Eastern Samar State University – Main Campus, through the FY 2020 GAA, R.A 11465 intends to apply the sum of Eighteen Million Two Hundre</t>
  </si>
  <si>
    <t xml:space="preserve"> REPAIR &amp; MAINTENANCE MOTOR VEHICLE</t>
  </si>
  <si>
    <t xml:space="preserve"> 1 unit Laptop computer 1 unit Biometric 1 unit Smart TV 1 unit Netbook computer</t>
  </si>
  <si>
    <t xml:space="preserve"> REPUBLIC OF THE PHILIPPINES CITY OF MANILA OFFICE OF THE BARANGAY BIDS AND AWARDS COMMITTEE INVITATION TO BID - IT Equipment &amp; Software REQUESTING OFFICER/END USER: Barangay 706 Zone 77 District 5 Approved Budget for Contract (ABC) Php 100,000.00 SOURCE O</t>
  </si>
  <si>
    <t xml:space="preserve"> UNIT                QUANTITY                   DESCRIPTION LITERS                 600                         PREMIUM LITERS                  3,777                      DIESEL</t>
  </si>
  <si>
    <t xml:space="preserve"> Item No.	Qty	Unit	Article / Description 1	542	bags	Portland Cement 2	330	lengths	10mm X 6m DRB STD (grade 40) 3	121	length	8mm X 6m DRB STD (grade 40) 4	51	kgs	G.I No. 16 Tie Wire 5	22	kgs	N-55 Electrode Welding Rod 6	4	pcs	Cutting Disc 7	150	pcs	Metal Sc</t>
  </si>
  <si>
    <t xml:space="preserve"> Title:Procurement of Information Technology and Accessories under P.R.Nos. 1593-2020(Sangguniang Panlungsod) and 1637-2020(Sangguniang Panlungsod-Augmentation for Legislative  Services)-1Lot Total ABC: Php 61,700.00 (INSTRUCTION AS TO THE REQUIRED FORM: F</t>
  </si>
  <si>
    <t xml:space="preserve"> Formworks &amp; Scaffolding                          LS              LS    Demolition of Existing Roofing  Roof Framing &amp; Roof Beams                      LS              LS  Reinforced Concrete Footing   (at Stage -1st floor &amp; 2nd floor)                cu.m  </t>
  </si>
  <si>
    <t xml:space="preserve"> Republic of the Philippines Province of Albay Municipality of Rapu-Rapu Barangay Tinocawan INVITATION TO BID FOR THE REHABILITATION OF MULTI-PURPOSE BUILDING 1.	The Barangay Local Government Unit of Tinocawan, Rapu-Rapu, Albay, through the Budget for the </t>
  </si>
  <si>
    <t xml:space="preserve"> Improvement of Sector 07 Camiling Farm to Market Road</t>
  </si>
  <si>
    <t xml:space="preserve"> Provision of the following seeds and fertilizers: 1. 13kg Sweet corn seeds 2. 15kg Mungo Seeds 3. 25kg. Peanut Seeds 4. 85 bags Chicken manure/vermicast fertilizer 5. 12 bags complete fertilizer 6. 12 bags Urea Note: inclusive of transportation and delive</t>
  </si>
  <si>
    <t xml:space="preserve"> Improvement of Pa-o Farmers Multi-purpose Building</t>
  </si>
  <si>
    <t xml:space="preserve"> Republic of the Philippines Province of Kalinga TABUK CITY OHS COMMITTEE ON BIDS AND AWARDS INVITATION TO BID FOR THE PROCUREMENT OF MEDICAL/SURGICAL/LABORATORY/XRAY/ULTRASOUND SUPPLIES 1. The PROVINCIAL GOVERNMENT OF KALINGA, through the General Fund Ann</t>
  </si>
  <si>
    <t xml:space="preserve"> Item No.	Scope of Work	 		 405	MASONRYWORKS	 707	REINFORCING STEEL	 300	REINFORCING CONCRETE	 1027	PLASTERING WORKS	 1010	DOORS	 1009	WINDOWS	 1003	CEILINGS	 1102	ELECTRICAL WORKS	 SPL	TILING WORKS	 1032	PAINT WORKS	 B.5:	PROJECT BILLBOARD</t>
  </si>
  <si>
    <t xml:space="preserve"> Local Government of Valencia Catarata Street, Poblacion, Valencia City,  Bukidnon, Philippines Philippine access (088) 828-5430 Contract Reference No. 2020-09 RE-BID 06/09/2020 INVITATION TO BID FOR THE SUPPLY AND DELIVERY OF 2 UNITS BRANDNEW UTILITY VAN </t>
  </si>
  <si>
    <t xml:space="preserve"> 1 Bags Red Beads 21 2 Bags Blue Beads 21 3 Bags Yellow Beads 21 4 Bags Black Beads 21 5 Bags Green Beads 21 6 Bags White Beads 21 7 Bags Orange Beads 21 8 Boxes Bead Needles 15 9 Dozens Buttons 25 10 Rolls Magic Tape 9 11 Rolls White Thread 80 12 Pcs Scis</t>
  </si>
  <si>
    <t xml:space="preserve"> Republic of the Philippines Batangas City Invitation to Apply for Eligibility and to Bid The Barangay Government of Barangay Mahabang Parang, Batangas City intends to apply the sum of One Hundred Sixty Thousand Pesos Only (Php 160,000.00) broken down as f</t>
  </si>
  <si>
    <t xml:space="preserve"> 3 units Executive chairs 1 unit Steel cabinet - 3 drawers (small)</t>
  </si>
  <si>
    <t xml:space="preserve"> The Local Government Unit of Barugo, through the Department of Labor and Employment Integrated Livelihood and Emergency Employment Program (DILEEP) 2019 intends to apply the sum of Eight Hundred Eleven Thousand Pesos only (Php811,000.00) being the Approve</t>
  </si>
  <si>
    <t xml:space="preserve"> Improvement of Sector 7 Calungbuyan Farm to Market Road</t>
  </si>
  <si>
    <t xml:space="preserve"> I. MOBILIZATION/DEMOLIBILIZATION.SIGNAGE II. CARPENTRY WORKS III. MASONRY WORKS</t>
  </si>
  <si>
    <t xml:space="preserve"> Republic of the Philippines Province of La union Municipality of Bacnotan INVITATION TO BID The Local Government of  Bacnotan through its Bids and Awards Committee (BAC) invites contractors to submit bids for the following contract. Contract Name: Improve</t>
  </si>
  <si>
    <t xml:space="preserve"> I. STRUCTURE EXCAVATION 8.83 CU.M. II. CONCRETE WORKS 8.83 CU.M. III. INSTALLATION OF  POST &amp; SOLAR LIGHTS 46 UNITS IV. PAINTING WORKS 1 LOT</t>
  </si>
  <si>
    <t xml:space="preserve"> 2020-100 Clearing and Widening of Road Brgy Diaz</t>
  </si>
  <si>
    <t xml:space="preserve"> Improvement of Sector 4&amp;5 Bungol Farm to Market Road</t>
  </si>
  <si>
    <t xml:space="preserve"> REQUEST  FOR  QUOTATION 																							 NEGOTIATED PROCUREMENT 																							 (TWO FAILED QUOTATION - SVP) 																							 																							 																							 	Company Name 																						 	Address              </t>
  </si>
  <si>
    <t xml:space="preserve"> Republic of the Philippines Province of Kalinga TABUK CITY OHS COMMITTEE ON BIDS AND AWARDS INVITATION TO BID FOR THE PROCUREMENT OF DRUGS AND MEDICINES (DANGEROUS DRUGS) 1. The PROVINCIAL GOVERNMENT OF KALINGA, through the General Fund Annual Budget 2020</t>
  </si>
  <si>
    <t xml:space="preserve"> To provide back-up UPS for the CCTV operations</t>
  </si>
  <si>
    <t xml:space="preserve"> Construction of Pa-o Farmers Multi-purpose Pavement</t>
  </si>
  <si>
    <t xml:space="preserve"> REQUEST  FOR  QUOTATION (RE-ISSUANCE) 																							 Small Value Procurement																							 																							 																							 	Company Name 																						 	Address                			:																			 													</t>
  </si>
  <si>
    <t xml:space="preserve"> 1 unit Audio recorder 1 unit Electric pot 1.5L 2 units Lapel mic 2 units Microphone 1 unit Rice cooker (10 cups) 2 units Water dispenser  1 unit Camera</t>
  </si>
  <si>
    <t xml:space="preserve"> 1 unit AVR (220V fuse 5A) 6 units UPS (600 VA) 1 unit Printer L3110 1 unit Printer L360 2 pcs Mouse wireless 1 pc Anti-virus 1 unit CPU</t>
  </si>
  <si>
    <t xml:space="preserve"> TELEPHONE MOBILE EXPENSE</t>
  </si>
  <si>
    <t xml:space="preserve"> Republic of the Philippines DEPARTMENT OF HEALTH WESTERN VISAYAS Center for Health Development INVITATION TO BID FOR THE  Procurement of Disinfectants,  IB No. SB-2020-020 1.	The Department of Health – WV CHD, through the SAA-2020-03-0345 fund  intends to</t>
  </si>
  <si>
    <t xml:space="preserve"> Cuttings Napier 500 Kl Callandra Seeds 1/2 Kl Indigofera Seeds 1/2 Kl Rhizoni Seeds 1/2 Kl Acid Ipil-Ipil 3/4 Heads Upgraded Goat 20 * 5 Months Old * 15-18k * 60-75% Breed Anglo Nubian Heads Breeder Goat 2 * 75% Anglo Nubian * Aged 5-6 Months Old * 18 to </t>
  </si>
  <si>
    <t xml:space="preserve"> INVITATION TO BID 1. The PHILIPPINE TEXTILE RESEARCH INSTITUTE (PTRI), through the PCIEERD-GIA Project “Development of Inkjet CMYK Digital Printing Inks from Philippine Natural Dyes” intends to apply the sum of ONE MILLION SIX HUNDRED PESOS (Php1,600,000.</t>
  </si>
  <si>
    <t xml:space="preserve"> INVITATION TO BID FOR THE REBIDDING ON THE PROVISION OF LABOR, MATERIALS, EQUIPMENT AND OTHER INCIDENTALS NEEDED FOR THE REHABILITATION OF BUNGAD DIVERSION DAM (DD) AT BRGY. ANGSET, CARASI, ILOCOS NORTE 1.	The Department of Agriculture Regional Field Offi</t>
  </si>
  <si>
    <t xml:space="preserve"> Improvement of Cemetery Road</t>
  </si>
  <si>
    <t xml:space="preserve"> Procurement ID/Contract ID: 20CSAH01  Contract Name /Contract Location: Conduct of Soil Exploration and/or Geotechnical Investigation for Various Bridge Projects in the 2nd and 4th Legislative Districts of Pangasinan --------------------------------------</t>
  </si>
  <si>
    <t xml:space="preserve"> DEMOLITION OF UNNECESSARY STRUCTURES, CONCRETE AND MASONRY WORKS, FORM WORKS AND SCAFFOLDING WORKS, TILES, METAL AND ROOFING WORKS, SANITARY AND PLUMBING WORKS, CEILING AND CARPENTRY WORKS, DOORS AND WINDOWS, ELECTRICAL AND PAINTING WORKS.</t>
  </si>
  <si>
    <t xml:space="preserve"> QTY	UNIT	DESCRIPTION	Unit Price	TOTAL 				 		OFFICE OF THE MUNICIPAL MAYOR (REPAIR AND MAINTENANCE OF MUNICIPAL VEHICLE NISSAN URVAN OV 9314)		 1	unit	Perform wheel alignment, Replace wheel bearing Front LH side, Replace Stabilizer link assembly, Machine </t>
  </si>
  <si>
    <t xml:space="preserve"> Republic of the Philippines DEPARTMENT OF PUBLIC WORKS AND HIGHWAYS ILOILO 4TH  DISTRICT ENGINEERING OFFICE REGIONAL OFFICE VI Bolong Este, Sta. Barbara, Iloilo INVITATION   TO   BID   FOR   THE   INSTALLATION OF NOZZLE DIESEL INJECTOR AND DIAGNOSTIC SYST</t>
  </si>
  <si>
    <t xml:space="preserve"> Various Construction Materials</t>
  </si>
  <si>
    <t xml:space="preserve"> Purchase of Drug &amp; Medicines use of Brgy ibabang Dupay, Lucena</t>
  </si>
  <si>
    <t xml:space="preserve"> Lot 1 - IT Equipments Lot 2 - Furniture and Fixtures</t>
  </si>
  <si>
    <t xml:space="preserve"> Construction of Teacher Education Building (General Requirements, Mobilization &amp; Demobilization, Demolition, Excavation, Filling, Concrete &amp; Masonry Works, Column Footings, Tie Beam &amp; Wall Footing, Columns (grand to roof deck) Second Floor Beam, Ground Fl</t>
  </si>
  <si>
    <t xml:space="preserve"> Request for Expression of Interest (REOI) for the CONSULTANCY SERVICES FOR THE CONDUCT OF FEASIBILITY STUDY OF PROPOSED CONSTRUCTION OF MISSING LINKS AND NEW ROADS CERVANTES (ILOCOS SUR) - BESAO-SAGADA (MT. PROVINCE) ROAD VIA LAYLAYA (REGION I) 1. The DPW</t>
  </si>
  <si>
    <t xml:space="preserve"> Republic of the Philippines Province of Negros Occidental MUNICIPALITY OF HINOBA-AN Brgy. Council of Culipapa Bids and Awards Committee INVITATION TO BID The Barangay Council of Culipapa, Municipality of  Hinoba-an, Negros Occidental through its Bids and </t>
  </si>
  <si>
    <t xml:space="preserve"> Invitation to Bid The National Housing Authority (NHA), through the Corporate Budget approved by the NHA Board for CY 2020 intends to apply the sum of the Approved Budget for the Contract (ABC) to payments for the following contract: Ref. No. 2020-010	 PR</t>
  </si>
  <si>
    <t xml:space="preserve"> 1 roll PE pipe no. 3 1 roll PE pipe no. 2 1/2 1 roll PE pipe no. 2 1 roll PE pipe #1 1/2 1 pc PE Pipe # 1/2 3 pcs Saddle clamp 3 x 1/2 3 pcs Saddle clamp 2 1/2 x 1/2 3 pcs Saddle clamp 2 x 1/2 3 pcs Saddle clamp 1 1/2 x 1/2 3 pcs Elbow, PE pipe #3 3 pcs E</t>
  </si>
  <si>
    <t xml:space="preserve"> PROJECT:INSTALLATION OF GLASS PANELS FOR WINDOW TRANSACTION LOCATION: LGU-RIZAL, NUEVA ECIJA DESCRIPTION: INSTALLATION OF GLASS PANELS FOR WINDOW TRANSACTION SOURCE OF FUND: GENERAL FUND ABC: PHP 70,000.00</t>
  </si>
  <si>
    <t xml:space="preserve"> 1	lot	Token Supply and Delivery of Customized Polo shirt for the conduct of Batch 2 and 3 of Rice Specialists’ Training Course from last quarter of 2019 to 1st quarter of 2020  ITEM: Polo Shirts Quantity: 75 pcs  Material: Honeycomb fabric  Color: Combina</t>
  </si>
  <si>
    <t xml:space="preserve"> REQUEST  FOR  QUOTATION																							 NEGOTIATED PROCUREMENT 																							 (TWO FAILED QUOTATION - SHOPPING) 																							 																							 																							 	Company Name 																						 	Address          </t>
  </si>
  <si>
    <t xml:space="preserve"> Section I. Invitation to Bid     Republic of the Philippines Province of La union Municipality of Bacnotan INVITATION TO BID The Local Government of  Bacnotan through its Bids and Awards Committee (BAC) invites contractors to submit bids for the following</t>
  </si>
  <si>
    <t xml:space="preserve"> 1.	The Local Government Unit of Mabini, Pangasinan, through the 20% Development Fund CY 2020 intends to apply the sum of Four Hundred Thousand Pesos (PhP400,000.00) being the Approved Budget for the Contract (ABC) to payments under the contract for the Co</t>
  </si>
  <si>
    <t xml:space="preserve"> INVITATION TO BID FOR THE REBIDDING ON THE PROVISION OF LABOR, MATERIALS, EQUIPMENT AND OTHER INCIDENTALS NEEDED FOR THE REHABILITATION/IMPROVEMENT OF BIMOYAYONG DIVERSION DAM (DD) AT BRGY. VIRBIRA, CARASI, ILOCOS NORTE 1.	The Department of Agriculture Re</t>
  </si>
  <si>
    <t xml:space="preserve"> 1 20 PC/S RIBBON- CARTRIDGE - LQ310+ DOT MATRIX 2 10 REAM/S PAPER - BOOK LEGAL,216MMX330MM(8-1/2"X13"),MIN OF 70GSM 3 10 REAM/S PAPER - BOOK A4,210MMX297MM,MIN OF 70GSM 4 15 REAM/S PAPER - BOOK SUBS.20 SHORT ( 8 1/2"X11" ) 5 8 BOX/S COMPUTER FORMS - 4 PLY</t>
  </si>
  <si>
    <t xml:space="preserve"> Republic of the Philippines Province of Albay Municipality of Rapu-Rapu Barangay Sagrada INVITATION TO BID FOR THE CONSTRUCTION OF PATHWAY 1.	The Barangay Local Government Unit of Sagrada, Rapu-Rapu, Albay, through the Budget for the Contract Approved by </t>
  </si>
  <si>
    <t xml:space="preserve"> INVITATION TO BID (Rebid) Procurement of Construction Materials for the Construction of Multi-Purpose Building The LGU Surallah through the Bids and Awards Committee (BAC) is inviting suppliers to bid for the supply and delivery of GOODS/INFRASTRUCTURE/SE</t>
  </si>
  <si>
    <t xml:space="preserve"> INVITATION TO BID FOR THE REBIDDING ON THE PROVISION OF LABOR, MATERIALS, EQUIPMENT AND OTHER INCIDENTALS NEEDED FOR THE REHABILITATION/IMPROVEMENT OF PIMENTEL SMALL WATER IMPOUNDING PROJECT (SWIP) CANAL LINING AT BRGY. PIMENTEL, BATAC CITY, ILOCOS NORTE </t>
  </si>
  <si>
    <t xml:space="preserve"> REQUEST  FOR  QUOTATION 																							 Small Value Procurement																							 																							 																							 	Company Name 																						 	Address                			:																			 																					 		 	P</t>
  </si>
  <si>
    <t xml:space="preserve"> The Local Government Unit – Quinapondan, Eastern Samar, through its Bids &amp; Awards Committee (BAC ), intends to apply the sum of On Hundred Sixty six Thousand One Hundred Sixty five Pesos and 12/100 (Php166,165.12) under the approved Appropriation Ordinanc</t>
  </si>
  <si>
    <t xml:space="preserve"> Republic of the Philippines DEPARTMENT OF HEALTH WESTERN VISAYAS Center for Health Development INVITATION TO BID FOR THE  Procurement of N95 Mask,  IB No. SB-2020-021 1.	The Department of Health – WV CHD, through the NTP CONAP 2019 fund  intends to apply </t>
  </si>
  <si>
    <t xml:space="preserve"> Republic of the Philippines Department of Health Central Luzon Center for Health Development Talavera General Hospital Talavera, Nueva Ecija   ISO QMS Certified INVITATION FOR NEGOTIATION Negotiation of Supply &amp; Delivery of Various Drugs &amp; Medicine for Ja</t>
  </si>
  <si>
    <t xml:space="preserve"> 116 bags cement 13 cu.m. Gravel 7 cu.m. Sand 4 pcs 12mm0 RSB 384 Bdft Coco lumber 3 kgs Assorted CW Nail</t>
  </si>
  <si>
    <t xml:space="preserve"> REQUEST  FOR  QUOTATION 																							 NEGOTIATED PROCUREMENT 																							 (TWO FAILED QUOTATION - SVP) 																							 																							 	Company Name 																						 	Address                			:																		</t>
  </si>
  <si>
    <t xml:space="preserve"> ITEM NO.	QTY	UNIT	ARTICLES	UNIT	TOTAL 				PRICE	 PR NO. 20-06-595			 1	12	monthly	Preventive Maintenance Service (PMS) of one (1) Fuji Elevator (1 year)	5,880.00	70,560.00 				TOTAL	70,560.00 NOTE TO ALL SUPPLIERS:  PLEASE ATTACHED CTC OF THE FOLLOWING WI</t>
  </si>
  <si>
    <t xml:space="preserve"> Item No.	Qty	Unit	Article / Description 1	15	reams	Paper, Multi Purpose Copy (Legal, 70 gsm, 216mm x 330mm) 2	15	reams	Paper, Multi-Purpose Copy (A4, 70 gsm, 210mm x 297mm) 3	24	bottle	Ink refill, T6641, Black</t>
  </si>
  <si>
    <t xml:space="preserve"> I.  MOBILIZATION/DEMOBILIZATION II. FORM WORKS III. MASONRY WORKS</t>
  </si>
  <si>
    <t xml:space="preserve"> Republic of the Philippines Province of La union Municipality of Bacnotan INVITATION TO BID The Local Government of Bacnotan through its Bids and Awards Committee (BAC) invites contractors to submit bids for the following contract. Contract Name: Improvem</t>
  </si>
  <si>
    <t xml:space="preserve"> SCOPE OF WORK IN EACH BARANGAY: I. BASE COURSE AGGREGATES 18.90 CU.M. II. CONCRETE WORKS  128.31 CU.M.</t>
  </si>
  <si>
    <t xml:space="preserve"> *FIBER OPTIC CABLES FOR HI-WAY, AND LONG DISTANCE.</t>
  </si>
  <si>
    <t xml:space="preserve"> 2020-053, CONCRETING OF BARANGAY ROAD AT PUROK 3-PUROK 5, LAGUMBINGAN, MIDSAYAP, COTABATO</t>
  </si>
  <si>
    <t xml:space="preserve"> 1 roll Automotive wire 2 pcs Brake light, isuzu forward 2 pcs Auto bulb, 24V (box) 10 pcs Battery clamp 4 pcs Bolt w/ nut 12mm HT 3 pcs Center bolt, 1/2 x10", high tensile 2 pcs Center bolt, 1/2 x 10", high tensile 1 pc Center bolt, 9/16 x 10", high tensi</t>
  </si>
  <si>
    <t xml:space="preserve"> INVITATION TO BID FOR  Procurement of Sound System 1.	The Local Government Unit  of Don Victoriano,  Don Victoriano, Misamis  Occidental through the  Bids and Awards Committee BAC intends to apply the sum of   Four Hundred Thousand Pesos  (P 400,000.00)  </t>
  </si>
  <si>
    <t xml:space="preserve"> June 9, 2020 1.	The Provincial Government of Davao del Sur, through its Special Bids and Awards Committee (SBAC), invites all potential bidders/contractors to apply to bid for the following project. Bids submitted in excess of the ABC shall be automatical</t>
  </si>
  <si>
    <t xml:space="preserve"> ITEMS OF WORK: I. EARTHWORKS AND MOBILIZATION ......................................................1.00 Lot II. FORMWORKS......................................................1.00 Lot III. CONCRETE AND MASONRY WORKS.......................................</t>
  </si>
  <si>
    <t xml:space="preserve"> 1.	The Local Government Unit of Mabini, Pangasinan, through the 20% Development Fund CY 2020 intends to apply the sum of TWO MILLION SIX HUNDRED THOUSAND PESOS (PhP2,600,000.00) being the Approved Budget for the Contract (ABC) to payments under the contra</t>
  </si>
  <si>
    <t xml:space="preserve"> INVITATION TO BID FOR THE REBIDDING ON THE PROVISION OF LABOR, MATERIALS, EQUIPMENT AND OTHER INCIDENTALS NEEDED FOR THE IMPROVEMENT OF TANGAOAN SMALL WATER IMPOUNDING PROJECT (SWIP) CANAL LINING AT BRGY. TANGAOAN, PIDDIG, ILOCOS NORTE 1.	The Department o</t>
  </si>
  <si>
    <t xml:space="preserve"> Republic of the Philippines Province of Iloilo BIDS AND AWARDS COMMITTEE INVITATION TO BID Purchase of Diesel Fuel Bid No. GOV-20-0593-B 1. The Iloilo Provincial Government, through the 2020 General Fund intends to apply the sum of ONE MILLION FIVE HUNDRE</t>
  </si>
  <si>
    <t xml:space="preserve"> Republic of the Philippines Province of Albay Municipality of Rapu-Rapu Barangay Sagrada INVITATION TO BID FOR THE INSTALLATION OF SOLAR POWERED STREET LIGHTS 1.	The Barangay Local Government Unit of Sagrada, Rapu-Rapu, Albay, through the Budget for the C</t>
  </si>
  <si>
    <t xml:space="preserve"> 95 bags cement 116 pcs RSB 10mm0 2 pcs RSB 9mm0 17 bdft Coco lumber 2 kgs CW Nails Assorted 5 kgs CW Nails Assorted 870 pcs CHB 4" 5 cu.m. Gravel 7 cu.m. Sand</t>
  </si>
  <si>
    <t xml:space="preserve"> Republic of the Philippines Department of Education Region VIII SCHOOLS DIVISION OF TACLOBAN CITY Tacloban City INVITATION TO BID Project No.: CY 2020_QRF (REPAIR)-Lot 2 1. The Department of Education (DepED) Division of Tacloban City, through the General</t>
  </si>
  <si>
    <t xml:space="preserve"> ITEM	ITEM  DESCRIPTION	QTY	UNIT NO.			 1	Monoblock Chair	80</t>
  </si>
  <si>
    <t xml:space="preserve"> INVITATION TO BID FOR THE REBIDDING ON THE PROVISION OF LABOR, MATERIALS, EQUIPMENT AND OTHER INCIDENTALS NEEDED FOR THE REHABILITATION/IMPROVEMENT OF SARICAO SMALL WATER IMPOUNDING PROJECT (SWIP) AT BRGY. SARICAO, VINTAR, ILOCOS NORTE 1.	The Department o</t>
  </si>
  <si>
    <t xml:space="preserve"> Item No.	Qty	Unit	Article / Description 1	10	reams	Bookpaper, A4, 70 gsm, Subs.20 2	5	reams	Bookpaper, Legal, 70gsm, Subs.20 3	4	bots.	Epson Ink, L3310 4	4	bots.	Epson Ink, L360 5	5	pcs	Ring Binder, 1 inch. 6	1	pc	Manual Dater, 8-digits</t>
  </si>
  <si>
    <t xml:space="preserve"> To provide electric hand dryers in all comfort rooms of the branch</t>
  </si>
  <si>
    <t xml:space="preserve"> The Local Government Unit – Quinapondan, Eastern Samar, through its Bids &amp; Awards Committee (BAC ), intends to apply the sum of One Hundred Fifty Five Thousand Four Hundred Sixty One Pesos and 76/100 (Php155,461.76) under the approved Appropriation Ordina</t>
  </si>
  <si>
    <t xml:space="preserve"> Republic of the Philippines          City of Dumaguete Bids and Awards Committee INVITATION TO BID FOR PURCHASE REQUEST OF 14 LGTHS DEFORMED STEEL BAR (16MMØ X 6.0M) AND OTHER ITEMS 	The City of Dumaguete thru its BIDS AND AWARDS COMMITTEE (BAC), invites </t>
  </si>
  <si>
    <t xml:space="preserve"> 1 lot 2020-052, CONCRETING OF ROAD FROM PUROK 5-PUROK 9, SAN ISIDRO, MIDSAYAP, COTABATO</t>
  </si>
  <si>
    <t xml:space="preserve"> See attached ITB No. GOODS-20-108 and print Bid Notice Abstract</t>
  </si>
  <si>
    <t xml:space="preserve"> Smoke Emission Testing of 1x560kw Volvo genset Parameters : 1	Nitrogen Oxide (NOx) 2	Carbon Monoxide (CO) 3	Sulfur Oxide (Sox) 4	Particulate Matter (PM) 5	Sulfur Dioxide(SO2) Scope of Works: 1.	Perform Source Emission Monitoring to determine compliance to</t>
  </si>
  <si>
    <t xml:space="preserve"> Republic of the Philippines Department of Education Region VIII SCHOOLS DIVISION OF TACLOBAN CITY Tacloban City INVITATION TO BID Project No.: CY 2020_QRF (REPAIR)-Lot 3 1. The Department of Education (DepED) Division of Tacloban City, through the General</t>
  </si>
  <si>
    <t xml:space="preserve"> 1 lot 2020-054, CONCRETING OF BARANGAY ROAD FROM BARANGAY HALL TO PUROK 6, MALAMOTE, MIDSAYAP, COTABATO</t>
  </si>
  <si>
    <t xml:space="preserve"> City Government of La Carlota								          Standard Form Number: SF-GOOD-59 Revised on: May 24, 2004 Standard Form Title: REQUEST FOR QUOTATION 												Date: ______________												              Quotation No.________ Company Name Address 	Pleas</t>
  </si>
  <si>
    <t xml:space="preserve"> Republic of the Philippines          City of Dumaguete Bids and Awards Committee INVITATION TO BID FOR PURCHASE REQUEST OF 304 BAGS PORTLAND CEMENT (40 KGS/BAG) AND OTHER ITEMS 	The City of Dumaguete thru its BIDS AND AWARDS COMMITTEE (BAC), invites all i</t>
  </si>
  <si>
    <t xml:space="preserve"> CONSTRUCTION OF PERIMETER FENCE WITH PERGOLA OF EARLY CHILDHOOD CARE AND DEVELOPMENT CENTER AT POBLACION ZONE II, JAVIER LEYTE. TERMS AND CONDITIONS : 1.	Supply and Delivery of  Labor and Materials for the Construction of Perimeter Fence with Pergola of E</t>
  </si>
  <si>
    <t xml:space="preserve"> Republic of the Philippines DEPARTMENT OF PUBLIC WORKS AND HIGHWAYS ILOILO 4TH  DISTRICT ENGINEERING OFFICE REGIONAL OFFICE VI Bolong Este, Sta. Barbara, Iloilo INVITATION   TO   BID   FOR   THE   SUPPLY/DELIVERY OF OIL FILTERS, TIRES AND OIL &amp; LUBRICANTS</t>
  </si>
  <si>
    <t xml:space="preserve"> Republic of the Philippines Office of the Punong Barangay BIDS AND AWARDS COMMITTEE Dirdirig Burgos, Ilocos Sur INVITATION TO BID The Barangay Government of Dirdirig, Burgos, Ilocos Sur, through its Bids and Awards Committee (BAC) invites bids for the her</t>
  </si>
  <si>
    <t xml:space="preserve"> Republic of the Philippines Province of Oriental Mindoro Municipality of Bulalacao Invitation to Bid for   IMPROVEMENT OF BULALACAO BAY PARK FOR URBAN GREENING/EXPANSION OF FISH LANDING PORT            June 1, 2020 1.	The Municipality of Bulalacao, throug</t>
  </si>
  <si>
    <t xml:space="preserve"> Invitation to Bid For   Supply and Delivery of 11,360 bundles Clear Plastic Jacket for Savings, Signature Card  and 10,400 reams Whitewove Paper Mimeo 1.	The LAND BANK OF THE PHILIPPINES (LANDBANK), through its Corporate Budget for the contract approved b</t>
  </si>
  <si>
    <t xml:space="preserve"> I N V I T A T I O N   T O   B I D  The Visayas State University (VSU) through its Bids and Awards Committee (BAC) invites contractors to bid for the hereunder project: Name of Project 	:  Completion of Covered Court of VSU Isabel (INFRA-20-05) Location		:</t>
  </si>
  <si>
    <t xml:space="preserve"> PROCUREMENT OF CONSTRUCTION MATERIALS AND SUPPLIES</t>
  </si>
  <si>
    <t xml:space="preserve"> LGU-BINUANGAN would like to invite all interested bidders/suppliers to supply and the delivery of Construction Materials for the Rehabilitation of Movable Stage with an ABC of Fifty Nine Thousand Pesos Only (59,000.00).</t>
  </si>
  <si>
    <t xml:space="preserve"> Republic of the Philippines Province of Iloilo Municipality of Lemery Invitation to Bid 1.	The Barangay  Velasco,  Lemery, Iloilo, through  General Fund  intends to apply the sum of One Hundred Fifty Three Thousand Three Hundred Pesos ( P153,300.00 ) bein</t>
  </si>
  <si>
    <t xml:space="preserve"> 8 units 30watts Solar light Street lamp installed in 3"0 c 6.0m G.I Pipe (sch 40) ans stable concrete pedestal</t>
  </si>
  <si>
    <t xml:space="preserve"> Purchase of materials and supplies for the repair and maintenance of transportation equipment.</t>
  </si>
  <si>
    <t xml:space="preserve"> Item No.	Qty	Unit	Article / Description 1	20	bottles	EPSON L3110 Ink 003 - Black 2	20	bottles	EPSON L3110 Ink 003 - Yellow 3	20	bottles	EPSON L3110 Ink 003 - Cyan 4	20	bottles	EPSON L3110 Ink 003 - Magenta</t>
  </si>
  <si>
    <t xml:space="preserve"> ITEM	ITEM  DESCRIPTION	QTY	UNIT NO.			 1	Rental of Equipment (includes fuel, oil and operator) BACKHOE	4	days</t>
  </si>
  <si>
    <t xml:space="preserve"> For recabling of CCTV Perimeter Backbone</t>
  </si>
  <si>
    <t xml:space="preserve"> Republic of the Philippines  Province of Cebu Municipality of Boljoon INVITATION TO BID FOR the purchase of IT Supplies 1.	The Municipality of Boljoon, through the PHILHEALTH Capitation in the amount of Seventy One  thousand Nine hundred Eighty nine pesos</t>
  </si>
  <si>
    <t xml:space="preserve"> Please submit your quotation for the following items on or before 5:00PM on Jun 22, 2020. ITEM D E S C R I P T I O N QTY. UNIT  1 Computer, Laptop 2 unit Technical Specification Requirements: Operating System : Windows 10 Home Processor : Intel Core i7-10</t>
  </si>
  <si>
    <t xml:space="preserve"> Republic of the Philippines          City of Dumaguete Bids and Awards Committee INVITATION TO BID FOR PURCHASE REQUEST OF 43 CU.M CONCRETE PREMIX (3000 PSI @ 28 DAYS) CF: 9 BAGS/CU.M 	The City of Dumaguete thru its BIDS AND AWARDS COMMITTEE (BAC), invite</t>
  </si>
  <si>
    <t xml:space="preserve"> Contract ID: 20PL0115 Contract Name: Upgrading/Improvement of Local Road from Employees Village-Upper CARAA Ground-NIA Access Road, Bulanao, Tabuk City, Kalinga Contract Location: Tabuk City, Kalinga Brief Description: Construction of 210m x 6.1m x 0.23m </t>
  </si>
  <si>
    <t xml:space="preserve"> Republic of the Philippines BARANGAY PALINDAN Ibaan, Batangas INVITATION TO BID The Barangay Government of Palindan, Ibaan, Batangas through its Bids and Awards Committee (BAC), invites contractors registered with and classified by the Philippine Contract</t>
  </si>
  <si>
    <t xml:space="preserve"> 1.	The Human Rights Violations Victims’ Memorial Commission, through the 2019 General Appropriations Act, intends to apply the sum of Three Million Five Hundred Thousand Pesos Only (Php 3,500,000.00) being the Approved Budget for the Contract (ABC) to pay</t>
  </si>
  <si>
    <t xml:space="preserve"> Please submit your quotation for the following items on or before 5:00PM on Jun 22, 2020. ITEM D E S C R I P T I O N QTY. UNIT UNIT COST TOTAL COST 1 Lab. Accs, Free Standing Electrode Stand with Swivel Arm, 01X081600 1 pc 2 Lab. Accs, General Purpose Pla</t>
  </si>
  <si>
    <t xml:space="preserve"> Republic of the Philippines                   Department of Health	       CENTRAL OFFICE BIDS AND AWARDS COMMITTEE  INVITATION TO BID FOR THE PROCUREMENT OF LINK LOAD BALANCER IB NO. 2020-219 1.	The Department of Health (DOH), through the General Appropri</t>
  </si>
  <si>
    <t xml:space="preserve"> Name of Project:      1. Construction of Road Rehabilitation - KM 5 Sarmiento  Location:                      Brgy, Cabinuangan, New Bataan, Davao De Oro Brief Description:      PR# MEO-300-2020-02-020                    Item  No.	Quantity	Unit of Issue	I</t>
  </si>
  <si>
    <t xml:space="preserve"> Item No.	Qty	Unit	Article / Description 1	20	reams	PAPER, MULTICOPY, 80gsm, size :Legal (216mm x 330mm ) 2	30	reams	PAPER, MULTICOPY, 80gsm, size: A4 (210mm x 297mm)</t>
  </si>
  <si>
    <t xml:space="preserve"> Procurement of various Medical Equipment.</t>
  </si>
  <si>
    <t xml:space="preserve"> PROJECT: PURCHASE OF ASSISTED DEVICE LOCATION:RIZAL, NUEVA ECIJA SOURCE OF FUND: GENERAL FUND ABC: PHP 100,000.00</t>
  </si>
  <si>
    <t xml:space="preserve"> 3 pcs 12V battery, disposable, 11 plates 2 pcs Fuel filter cartridge, 4D56/mil. jeep 2 pcs Oil filter cartridge, 4D56/mil. jeep 1 pc Fuel filter cartridge, Foton ambulance 1 pc Oil filter cartridge, Foton ambulance</t>
  </si>
  <si>
    <t xml:space="preserve"> Construction of 0.20m X 4.00m X 90.00m  Climate Proofed Concrete Pavement to  include demolition of existing structure,  embankment, concrete works (includes  rectification of concrete steps-one side), and  masonry worksi</t>
  </si>
  <si>
    <t xml:space="preserve"> Republic of the Philippines Municipality of Taytay Taytay, Palawan NOTICE TO BIDDERS Item # Qty Unit Description Amount 1.	30	set	Seaweeds Paraphernalias                                               1 roll rope #20                                        </t>
  </si>
  <si>
    <t xml:space="preserve"> Please see attached RFQ for the full description of the item and for terms and conditions. Please submit your quotation on or before the closing date.</t>
  </si>
  <si>
    <t xml:space="preserve"> Billboard; Excavation Works; RSB Works; Structural Concrete Class A; PCC Pavement (Plain); Steel Grating; Painting Works (Masonry painting); Safety &amp; Health (Construction Health and safety Requirement); Equipment Requirement:  payloader; backhoe; batching</t>
  </si>
  <si>
    <t xml:space="preserve"> PURCHASE OF 3 UNITS AIRCONDITION</t>
  </si>
  <si>
    <t xml:space="preserve"> Please submit your quotation for the following items on or before 5:00PM on Jun 22, 2020. ITEM D E S C R I P T I O N QTY. UNIT  1 Lab. Accs, Crucible Tong (Metal) 2 pc 2 Lab. Accs, Laboratory Wrapping Film, 4`` x 125 ft. 1 roll 3 Magnetic Stir Bar, PTFE -</t>
  </si>
  <si>
    <t xml:space="preserve"> LGU-BINUANGAN would like to invite all interested bidders/suppliers to supply and the delivery for the Purchase of Construction Materials for the Improvement/Rehabilitation of Water System at LGU-Binuangan, Misamis Oriental with an ABC of Eighty Four Thou</t>
  </si>
  <si>
    <t xml:space="preserve"> See attached documents, print Bid Notice Abstract and download ITB No. GOODS-20-109.</t>
  </si>
  <si>
    <t xml:space="preserve"> 1 unit Submersible pump assembly 5HP (multi-stage) w/ pull-out &amp; installation - good quality 1 unit Panel board 5HP &amp; accessories including installation &amp; repair of submersible pump</t>
  </si>
  <si>
    <t xml:space="preserve"> Billboard; Excavation (Slope &amp; Foundation); Construction of Slope Protection; PCCP;  Safety &amp; Health (Construction Health and safety Requirement); Equipment Requirement: backhoe; bar cutter; bar bender; one bagger mixer; concrete vibrator; water truck(160</t>
  </si>
  <si>
    <t xml:space="preserve"> PROCUREMENT OF CONSTRUCTION MATERIALS AND SUPPLY FOR CONCRETING OF PRES GARCIA BRGY ROAD PHASE iv ONLY</t>
  </si>
  <si>
    <t xml:space="preserve"> Installation of Solar LED Street Light at Barangay Dapnan, Baganga, Davao Oriental</t>
  </si>
  <si>
    <t xml:space="preserve"> Republic of the Philippines Department of Education Region VIII SCHOOLS DIVISION OF TACLOBAN CITY Tacloban City INVITATION TO BID Project No.: CY 2020_QRF (REPAIR)-Lot 4 1. The Department of Education (DepED) Division of Tacloban City, through the General</t>
  </si>
  <si>
    <t xml:space="preserve"> INVITATION TO BID  for the following Projects: Construction/Rehabilitation of Water Supply/Rain Water Collector, Office of the Governor, Office of the Vice-Governor, GSO Building of the Provincial Capitol, Provincial Police Office Building, Municipal Poli</t>
  </si>
  <si>
    <t xml:space="preserve"> Item No.	Qty	Unit	Article / Description 1	33	reams	PAPER, MULTICOPY, 80gsm, size: A4 (210mm x 297mm)</t>
  </si>
  <si>
    <t xml:space="preserve"> PR2020-05-015 - Purchase and delivery of Vehicle Parts and Accessories for use of various vehicles assigned at the Maintenance Section, This Office</t>
  </si>
  <si>
    <t xml:space="preserve"> Republic of the Philippines DEPARTMENT OF PUBLIC WORKS AND HIGHWAYS MISAMIS ORIENTAL 2nd DISTRICT ENGINEERING OFFICE Region X Balase Street, El Salvador City INVITATION TO BID FOR The Department of Public Works and Highways Misamis Oriental 2nd District E</t>
  </si>
  <si>
    <t xml:space="preserve"> 1 unit Electric fan (rota air) 1 unit Refrigerator 1 unit Projector</t>
  </si>
  <si>
    <t xml:space="preserve"> Please submit your quotation for the following items on or before 5:00PM on Jun 22, 2020. ITEM D E S C R I P T I O N QTY. UNIT 1 Lab. Accs, Filter Paper, 11cm (10 circles/pack) (retention rating: 8um) (for Oil &amp; Grease analysis) 1 pack 2 Lab. Accs, Filter</t>
  </si>
  <si>
    <t xml:space="preserve"> Name of Project:      1. Construction of Drainage Canal, C.M. Recto Street  Location:                      Brgy, Cabinuangan, New Bataan, Davao De Oro Brief Description:      PR# MEO-300-2020-02-021                    Item  No.	Quantity	Unit of Issue	Item</t>
  </si>
  <si>
    <t xml:space="preserve"> Republic of the Philippines Province of South Cotabato BIDS AND AWARDS COMMITTEE Salada Street, Poblacion Tupi, South Cotabato Tel. Fax No.: (083) 226-1045 INVITATION TO BID FOR THE SUPPLY AND DELIVERY OF ONE (1) UNIT UTILITY VEHICLE (PICK UP) 1.	The Muni</t>
  </si>
  <si>
    <t xml:space="preserve"> Construction of PDAO Office Extension Building at Municipal Complex, Baganga, Davao Oriental.</t>
  </si>
  <si>
    <t xml:space="preserve"> Republic of the Philippines Municipality of Taytay Taytay, Palawan NOTICE TO BIDDERS Item # Qty Unit Description Amount 1.	50	 units   Pumpboat Engine:                                                                                      Specs:ME68 Gasolin</t>
  </si>
  <si>
    <t xml:space="preserve"> CONCRETING OF BARANGAY ALANGTIN FMR Contract Location:                     Barangay Alangtin, Tubo, Abra Brief Description:                     Concreting of Roads using PCCP (Unreinforced, 0.28m thk., 14 days) The DPWH-Abra District Engineering Office re</t>
  </si>
  <si>
    <t xml:space="preserve"> 20 boxes N95 mask 3 pcs Oxygen holder 3 pcs Oxygen tank w/ regulator 30 pcs Torniquet 3 unit Wheel chair 3 units BP w/ stand 5 unit Nebulizer pulmo aid</t>
  </si>
  <si>
    <t xml:space="preserve"> UNIT	  DESCRIPTION		                  QUANTITY 	50 KVA TRANSFORMER		 I	ELECTRICAL WORKS		 A.	 Supply and Installations of Electrical Overhead Secondary Wire Suspension &amp; Service Entrance		 pcs	RSC Pipe 2 1/2"Ø		                2 pcs	Entrance Cap 2 1/2Ø		 </t>
  </si>
  <si>
    <t xml:space="preserve"> See attached document, print Bid Notice Abstract and download ITB No. GOODS-20-110.</t>
  </si>
  <si>
    <t xml:space="preserve"> Structure Excavation; Embankment; Structural Concrete for Fooling and Slab on Fill; Structural Concrete for Fooling Tie Beam, Girder/Beam; Reinforcing Steel of Reinforced Concrete Structures; Formworks and Falseworks; catch Basin (Concrete/CHB); Plumbing </t>
  </si>
  <si>
    <t xml:space="preserve"> See attached document, print Bid Notice Abstract and download ITB No. GOODS-20-111.</t>
  </si>
  <si>
    <t xml:space="preserve"> Construction of 1 unit Multi-Purpose Pavement (0.10 x 17 x 28 M) at Sitio Obian 2, Barangay San Victor, Baganga, Davao Oriental.</t>
  </si>
  <si>
    <t xml:space="preserve"> 265 bags Portland cement 14 cu.m Sand 21 cu.m Gravel</t>
  </si>
  <si>
    <t xml:space="preserve"> Republic of the Philippines Province of Agusan del Norte Municipality of Nasipit Invitation to Bid for the Improvement of Public Bus Terminal (Road Concreting of the Rear Portion of Bus Terminal) and Construction of Public Bus Terminal Drainage System, Br</t>
  </si>
  <si>
    <t xml:space="preserve"> Replacement of Roofing panels of legislative  building, replacement of 5 units steel  windows to aluminum sliding windows and  converting of roofing to concrete slab of ABC  Building.</t>
  </si>
  <si>
    <t xml:space="preserve"> CONCRETING OF BARANGAY TUBTUBA FMR Contract Location:                     Barangay Tubtuba, Tubo, Abra Brief Description:                     Concreting of Roads using PCCP (Unreinforced, 0.20m thk., 14 days) The DPWH-Abra District Engineering Office rese</t>
  </si>
  <si>
    <t xml:space="preserve"> In line with the Provisions of R.A. 9184, otherwise known as Government Procurement Reform Act. Barangay 378, Zone 38, District III, Invites you to bid in relation to the procurement and delivery of the Barangay Information Transaction System (BITS), spec</t>
  </si>
  <si>
    <t xml:space="preserve"> Construction of Concrete “Mabuhay Silvino  Lubos” Signage to include earthworks and  concrete works (footing, pedestal, slab on  grade, concrete signage).</t>
  </si>
  <si>
    <t xml:space="preserve"> Republic of the Philippines PROVINCE OF LANAO DEL NORTE MUNICIPALITY OF LALA Office of the Municipal General Services                                                                                         _________________                                </t>
  </si>
  <si>
    <t xml:space="preserve"> The Zamboanga State College of Marine Sciences and Technology (ZSCMST), through its Bids and Awards Committee, is inviting PhilGEPS registered suppliers to submit its best quotation on the item/s listed below, subject to the terms and conditions below sta</t>
  </si>
  <si>
    <t xml:space="preserve"> The Municipal Government of Magsaysay, Palawan, through its Bids and Awards Committee (BAC), will undertake a Small Value Procurement for the “Office Devices for Isolation Unit” in accordance with Section 53.9 of the Implementing Rules and Regulations of </t>
  </si>
  <si>
    <t xml:space="preserve"> E-Billboard and Bulletin Board Maintenance</t>
  </si>
  <si>
    <t xml:space="preserve"> See associated components for complete details</t>
  </si>
  <si>
    <t xml:space="preserve"> INVITATION TO BID FOR PROCUREMENT OF JANITORIAL SERVICES 2020 FOR NORSU CAMPUSES Project Reference No.: GOOD2020-02-01 1. The Negros Oriental State University (NORSU) Campuses and the Bids and Awards Committee (BAC), through General Appropriation and Allo</t>
  </si>
  <si>
    <t xml:space="preserve"> Barangay Road Opening:  - From NHJ Sitio Tuajon, Barangay Dapnan to Sitio Kasukan, Barangay San Victor  - From Barangay Site Saoquigue to Diversion Road.  - From Proposed Cemetery, Barangay Salingcomot  - At Ikog Buaya, Sitio Nonocan, Barangay Dapnan Phas</t>
  </si>
  <si>
    <t xml:space="preserve"> 40 PCS One step rapid test</t>
  </si>
  <si>
    <t xml:space="preserve"> UNIT	  DESCRIPTION		QUANTITY 105	Subgrade Preparation		 	A = 345m x 5m		 	Qty.= 1794 sq.m		 I- Equipment Rental:			 	1 Road Grader  for 6 hours		 	1 Road Roller    for 6 hours		 			 II- Labor:			 	1 Foreman  for 0.5 day(s)		 	2 Laborers  for 0.5 day(s)		 </t>
  </si>
  <si>
    <t xml:space="preserve"> GO-2020-0149 Rebidding INVITATION TO BID FOR THE PROCUREMENT OF FUEL (DIESEL) FOR USE AT THE OFFICE OF THE GOVERNOR AND ITS SATELLITE OFFICES INCLUDING IN THE DELIVERY OF ALL MEDICINES TO ALL HOSPITALS IN THE PROVINCE OF BOHOL ABC: P 1,185,332.59 COST OF </t>
  </si>
  <si>
    <t xml:space="preserve"> Republic of the Philippines Department of Education Region VIII SCHOOLS DIVISION OF TACLOBAN CITY Tacloban City INVITATION TO BID Project No.: CY 2020_QRF (REPAIR)-Lot 5 1. The Department of Education (DepED) Division of Tacloban City, through the General</t>
  </si>
  <si>
    <t xml:space="preserve"> CMUPRES LC RAZALO		 1	1	Unit	Digital Duplicator	 			Print Speed: At least 130ppm and up	 			Paper feed table capacity: At least 1000 sheets and up	 			Paper weight: 45 - 210 gsm	 			Power consumption: max 220 W	 			Power: 160 W, TEC: 2.23 KWh	 			Heavy du</t>
  </si>
  <si>
    <t xml:space="preserve"> The Department of Agriculture-RFO 3, invites interested suppliers to submit quotations/proposals for the hereunder requirement, to wit: ITEM NO.	QTY.	UNIT	ITEMS &amp; DESCRIPTION		UNIT PRICE	TOTAL AMOUNT	BRAND/MODEL 							 	3	box	VerifyTMDisposal Biological </t>
  </si>
  <si>
    <t xml:space="preserve"> CONTRACT NO.: BNLSL-LCB-24-2020 LOCATION: Montebello SIP, Kananga, Leyte SCOPE OF WORK: Construction of Diversion Works, Canal, Farm Level and Road System APPROVED BUDGET FOR CONTRACT: Php 18,834,953.01 CONTRACT DURATION: 360 calendar days Bidding will be</t>
  </si>
  <si>
    <t xml:space="preserve"> Construction of Monreal Municipal Port</t>
  </si>
  <si>
    <t xml:space="preserve"> 580 pcs Drug testing kits</t>
  </si>
  <si>
    <t xml:space="preserve"> Republic of the Philippines Municipality of Taytay Taytay, Palawan NOTICE TO BIDDERS Item # Qty Unit Description Amount 1.	1	pc	Radiator  2.	2	pcs	Rubber Patch (50 mm) 3.	2	pcs	Rubber Patch (65 mm) 4.	2	pcs	Vulcanizing Solution  5.	1	pc	Tire Guage (Brass)</t>
  </si>
  <si>
    <t xml:space="preserve"> Republic of the Philippines Municipality of Taytay Taytay, Palawan NOTICE TO BIDDERS Item # Qty Unit Description Amount 1.	691	bags  Cement  2.	21	kgs	CW Nails #4 3.	16	kgs 	CW Nails #3 4.	10	kgs 	CW Nails #2.5  5.	4	rolls 	Nylon #100 6.	583	pcs 	RSB 10mm</t>
  </si>
  <si>
    <t xml:space="preserve"> 1. FIRE EXTINGUISHER CONTAINS ABC, DRY CHEM     100LBS, MONO AMMONIUM PHOSPHATE     WITH WHEEL 2. LADDER, ELECTRICIAN, EXTENDABLE     AT LEAST 32 FT, FIBERGLASS, 300LBS LOAD CAP DELIVERY SITE: OM-BOD OFFICE                          PEÑAFRANCIA, DARAGA, AL</t>
  </si>
  <si>
    <t xml:space="preserve"> Municipality of Danao			  Name of the Procuring Entity	 Standard Form Number: SF-GOOD-60 Revised on: May 24, 2004 Standard Form Title: Request for Quotation REQUEST FOR QUOTATION Date: June 10, 2020 ___________________________________________ COMPANY NAME</t>
  </si>
  <si>
    <t xml:space="preserve"> Procurement of One (1) unit Brand New Van (for Mobile Blood Donation).</t>
  </si>
  <si>
    <t xml:space="preserve"> Republic of the Philippines OFFICE OF THE PUNONG BARANGAY Barangay BASIRANG Province of Misamis Occidental INVITATION TO BID The Office of the Punong Barangay of Barangay BASIRANG through its Bids and Awards Committee [BAC], invites supplier/s registered </t>
  </si>
  <si>
    <t xml:space="preserve"> 46 pcs. - 3" dia. UPVC Pipe 1 set - 4x8 Tarpaulin with Frame Signboard</t>
  </si>
  <si>
    <t xml:space="preserve"> Republic of the Philippines Department of Education Region VIII SCHOOLS DIVISION OF TACLOBAN CITY Tacloban City INVITATION TO BID Project No.: CY 2020_QRF (REPAIR)-Lot 6 1. The Department of Education (DepED) Division of Tacloban City, through the General</t>
  </si>
  <si>
    <t xml:space="preserve"> Rehabilitation of of Sunrise Boulevard, Barangay Dapnan, Baganga, Davao Oriental</t>
  </si>
  <si>
    <t xml:space="preserve"> Republic of the Philippines PROVINCE OF ZAMBOANGA DEL NORTE Municipality of Godod BARANGAY SIORAN INVITATION TO BID FOR PROPOSED SPRING DEVELOPMENT REHABILITATION Sioran, Godod, Zamboanga del Norte 1.	The Barangay Local Government Unit of Sioran, Godod, Z</t>
  </si>
  <si>
    <t xml:space="preserve"> CONTRACT NO.: BNLSL-LCB-28-2020 LOCATION: Cambalading SIP, Albuera, Leyte SCOPE OF WORK: Construction of Diversion Works, Canal and Farm Level System (Package I)  APPROVED BUDGET FOR CONTRACT: Php 17,805,795.61 CONTRACT DURATION: 360 calendar days Bidding</t>
  </si>
  <si>
    <t xml:space="preserve"> RE-INVITATION TO BID The DPWH-Regional Office No. III,  through  its  Bids  and  Awards  Committee  (BAC),  invites contractors to submit bids for the Contract below: Procurement ID/Contract ID:    20C00046 Contract Name:      Construction of the DENR – E</t>
  </si>
  <si>
    <t xml:space="preserve"> 4 pcs Tire, tubeless 195 R15 2 pcs Tire, tubeless 235/75 R15</t>
  </si>
  <si>
    <t xml:space="preserve"> PHILIPPINE TEXTILE RESEARCH INSTITUTE								 General Santos Avenue, Bicutan, Taguig City								 Telephone No. 8372071 Local 2373 &amp; 2366; Telefax No. 8370744								 								 Request for Quotation								 								 							Date	09-Jun-2020 							Quotation</t>
  </si>
  <si>
    <t xml:space="preserve"> 241 - Supply and Delivery of Medical and Dental supplies for SDSSU Tandag Campus</t>
  </si>
  <si>
    <t xml:space="preserve"> Republic of the Philippines CITY OF PANABO Province of Davao del Norte BIDS AND AWARDS COMMITTEE -o0o- INVITATION TO BID  SUPPLY OF LAPTOP WITH COMPLETE ACCESSORIES &amp; 3 IN 1 PRINTER (REBID) 1.	The City of Panabo, through CAGRO / ICT EQUIPMENT-TRUST FUND-0</t>
  </si>
  <si>
    <t xml:space="preserve"> Republic of the Philippines Department of Health Central Luzon Center for Health Development Talavera General Hospital Talavera, Nueva Ecija   ISO QMS Certified INVITATION TO BID  SUPPLY AND DELIVERY OF ONE (1) LOT HEALTH MANAGEMENT SYSTEM WITH STRUCTURED</t>
  </si>
  <si>
    <t xml:space="preserve"> REQUEST FOR EXPRESSION OF INTEREST (REI)  FOR THE (20CSNH03) Consulting Services for the Conduct of Soil Exploration And/Or Geotechnical Investigation in Preparation of the Preliminary &amp; Detailed Engineering of Proposed Various FY 2021 Regular Infrastruct</t>
  </si>
  <si>
    <t xml:space="preserve"> The DENR-Provincial Environment and Natural Resources Office (PENRO) Zamboanga del Sur, through its Bids and Awards Committee, invites interested LGUs, People's Organizations (PO's), Non-Government Organization (NGO's), and Cooperatives to participate in </t>
  </si>
  <si>
    <t xml:space="preserve"> PHO-2020-037 Rebidding INVITATION TO BID FOR THE PROCUREMENT OF LAPTOPS, DESKTOP COMPUTERS, EXTERNAL HARD DRIVE, PRINTER, UPS, HANDHELD RADIO, HANDHELD BARCODE READER KIT, AND DSLR CAMERA WITH LENS TO BE USED IN THE OFFICE IT OPERATIONS (ADMIN, WARD, LABO</t>
  </si>
  <si>
    <t xml:space="preserve"> PEO-2020-0065 &amp; 2020-0082 Rebidding INVITATION TO BID FOR THE PROCUREMENT OF AGGREGATE SUBBASE COURSE (ANAPOG) FOR MANUAL PATCHING, MANUAL REPAIR OF UNPAVED SURFACE AND ROAD RESURFACING ROAD OF PMD II SET 1 AND 2 ABC: P 2,842,000.00 COST OF BID DOCUMENTS:</t>
  </si>
  <si>
    <t xml:space="preserve"> CONTRACT NO.: BNLSL-LCB-28A-2020 LOCATION: Cambalading SIP, Albuera, Leyte SCOPE OF WORK: Construction of Supplementary Dam APPROVED BUDGET FOR CONTRACT: Php 5,859,258.63 CONTRACT DURATION: 180 calendar days Bidding will be conducted in accordance with re</t>
  </si>
  <si>
    <t xml:space="preserve"> Republic of the Philippines CITY OF PANABO Province of Davao del Norte BIDS AND AWARDS COMMITTEE -o0o- INVITATION TO BID  SUPPLY OF COMPUTER DESKTOP W/ COMPLETE ACCESSORIES &amp; PRINTER W/ SCANNER (REBID) 1.	The City of Panabo, through CAGRO / ICT EQUIPMENT-</t>
  </si>
  <si>
    <t xml:space="preserve"> Specs: 1,000 cycles   Pills 150    cycles   Lynestrenol 2,500 vials     DMPA 2,500 bxs/4s  Condom 50      btls      Alcohol 70% 500ml 20      pcs    Cotton 400grms 15   bxs/100s Syringe 5cc 50   pcs   Elastic bandage 4     bxs/24s Transparent micropore 1/</t>
  </si>
  <si>
    <t xml:space="preserve"> Allopurinol 300mg caps 100's	30	box Aluminum Magnesium 200mg tab 500's	50	box Amlodipine 10mg tablet 100's	70	box Amoxicillin 500mg capsule 100's	200	box Anti-fungal ointment	70	tubes Anti-Scabies Ointment	50	tubes Ascorbic Acid	1000	box Aspirin 80mg tabs</t>
  </si>
  <si>
    <t xml:space="preserve"> 1	1	Unit	Hydraulic Hot stamping Machine 			1 Power: 380V 50HZ 			2 Stamping area 400 * 600mm 			3 Table area: 520 * 800mm 			4 Heating power: 6400W 			5 Motor power : 3700W 			6 Maximum pressure: 60T 			7 Bronzing thickness &lt; 75mm 			8 Stamping temperatur</t>
  </si>
  <si>
    <t xml:space="preserve"> 2 set - Heavy Duty Tent</t>
  </si>
  <si>
    <t xml:space="preserve"> Supply and Delivery of Four (4) Units Motorcycle- DRR Rescue Vehicle With the Following Specifications: Engine Type: not exceeding 200cc Displacement: not exceeding 200cc Seating Capacity: 1 driver plus 8 passengers Type of Fuel: Gasoline Additional Appar</t>
  </si>
  <si>
    <t xml:space="preserve"> INVITATION TO BID FOR Procurement of Security Manpower Services FY 2020 for NORSU Campuses Project Reference No.: GOOD2020-03-03 1. The Negros Oriental State University (NORSU) Campuses and the Bids and Awards Committee (BAC), through General Appropriatio</t>
  </si>
  <si>
    <t xml:space="preserve"> INVITATION TO BID The DPWH-Regional Office No. III,  through  its  Bids  and  Awards  Committee  (BAC),  invites contractors to submit bids for the Contract below: Procurement ID/Contract ID:    20C00047 Contract Name:      Rehabilitation/Restoration of D</t>
  </si>
  <si>
    <t xml:space="preserve"> Republic of the Philippines CITY OF PANABO Province of Davao del Norte BIDS AND AWARDS COMMITTEE -o0o- INVITATION TO BID  SUPPLY OF UNDERWATER CAMERA WITH COMPLETE ACCESSORIES (REBID) 1.	The City of Panabo, through CAGRO / TECHNICAL &amp; SCIENTIFIC EQUIPMENT</t>
  </si>
  <si>
    <t xml:space="preserve"> Specs: 30  pcs  BP apparatus with stethoscope (aneroid) 30  pcs  Digital thermometer 800 kits  Pregnancy test kit 100  bxs/100s  Terumo syringe with needle 3ml 25 bxs/100s  Terumo syringe with needle 1ml (tuberculin) 250  btls   Alcohol 70% 500ml 50  pcs </t>
  </si>
  <si>
    <t xml:space="preserve"> INVITATION TO BID Bid No. B-81-2020  1.	The Provincial Government of Negros Oriental, through Source of Fund: 1) SP Res.#1115-2019 AO #72,Series of 2019,20% DF CY 2020; 2) SP Res.#846-2018 (20% DF,AIP 2019); 3) SP Res.#1076-2017  AO 57 Series of 2017 20 %</t>
  </si>
  <si>
    <t xml:space="preserve"> 243 - Supply and Delivery of Office Supplies (STF) for SDSSU Tandag Campus</t>
  </si>
  <si>
    <t xml:space="preserve"> Name of Project: Concreting of Farm to Market Road Location: Purok 2, Brgy Naya, Pura, Tarlac ABC: Php 500,000.00</t>
  </si>
  <si>
    <t xml:space="preserve"> Republic of the Philippines Department of Health ZAMBOANGA PENINSULA-CENTER FOR HEALTH DEVELOPMENT  Upper Calarian, Zamboanga City 7000 Phone: (062) 983-0314, (062) 983-0146, Fax: (062) 991-3380 Email: dohchdzp@yahoo.com, Web: www.doh.gov.ph Standard Form</t>
  </si>
  <si>
    <t xml:space="preserve"> 1 unit Butt Fusion machine     GENERATOR SET / GASOLINE              Rated watts: 6,500         Surge watts: 7,000         Fuel tank capacity: 6.6 gallon         Electric starting system         Overhead value engage w/ AVR alternator         Hydraulic pr</t>
  </si>
  <si>
    <t xml:space="preserve"> Construction of Masonry Drainage Structure, Along Del Rosario Street, Centro 06, Tuguegarao City, Cagayan</t>
  </si>
  <si>
    <t xml:space="preserve"> Republic of the Philippines Municipality of Taytay Taytay, Palawan NOTICE TO BIDDERS Item # Qty Unit Description Amount 1.	1	unit	Word Cabinet w/glass Slide 2.	10	pcs 	Monoblock Chairs (Green) 3.	2	pcs 	Executive Chair w/arm 4.	3	pcs 	Visitor Chair 5.	1	p</t>
  </si>
  <si>
    <t xml:space="preserve"> BIDS AND AWARDS COMMITTEE REQUEST FOR QUOTATION United Coconut Planters Bank (UCPB) invites all interested suppliers, which are registered in the Philippine Government Electronic System (PhilGEPS), to submit their lowest price proposal/quotation for suppl</t>
  </si>
  <si>
    <t xml:space="preserve"> Procurement of toner, drums, developing unit and spare parts for use of Photocopier Develop Ineo +221, Plotter and Comcolor GD7330 of DPWH, Iloilo 2nd DEO, Balabag, Dumangas, Iloilo</t>
  </si>
  <si>
    <t xml:space="preserve"> Project: PURCHASE AND DELIVERY OF IT EQUIPMENT AND ACCESSORIES Location: Laurel, Batangas ABC: PHP 329,000.00 Advertisement	June 10-17, 2019	 Pre-bid Conference	-	 Submission of Letter of Intent	June 10-18, 2020	 Issuance of Bid Documents	June 10-18, 2020</t>
  </si>
  <si>
    <t xml:space="preserve"> water meter, 1/2 Dia. Ball Valve (PVC with Tread), Ball Valve (PVC without Tread), PE Male Adaptor, PE Female Adaptor, PE MAle Elbow, PE female Elbow, RE Elbow, 2x1 1/2 PE Tee, 1 1/2 x 1 PE Tee, 1 1/2 PEE Coupling, 2 PE Coupling, 1 1/2 hose, 1/2 PVC Pipe,</t>
  </si>
  <si>
    <t xml:space="preserve"> Supply and delivery of office supplies and equipments</t>
  </si>
  <si>
    <t xml:space="preserve"> CVM - MP Condino		 1	10	Unit	Steel Cabinet, heavy duty 4 -drawers	 2	4	Unit	Office Steel rack Open Steel shelves filing cabinet, 5 layers	 4	15	Unit	Executive Chair	 5	2	Unit	L Shape Sofa set, modern and simple design, leather with center table	 6	4	Set	S</t>
  </si>
  <si>
    <t xml:space="preserve"> REPUBLIC OF THE PHILIPPINES CITY OF MANILA OFFICE OF THE BARANGAY BIDS AND AWARDS COMMITTEE INVITATION TO BID - Motorcycle w/ Sidecar  REQUESTING OFFICER/END USER: Barangay 793 Zone 86 District 5 Approved Budget for Contract (ABC) Php 180,000.00 SOURCE OF</t>
  </si>
  <si>
    <t xml:space="preserve"> 1. PUMP CENTRIFUGAL, STAINLESS STEEL, SHAFT IN MECHANICAL SEAL, SIZE: 100MM x 80MM, SUCTION AND      DISCHARGE PUMP 2. HYDRAULIC PRESS HEAVY  DUTY, 10 TON, H FRAME WITH TURBO AIR HYDRAULIC PUMP , SINGLE ACTING      CYLINDER WITH HOSE ASSY. DELIVERY SITE: </t>
  </si>
  <si>
    <t xml:space="preserve"> PHILIPPINE BIDDING DOCUMENTS (As Harmonized with Development Partners) Procurement for  IMPROVEMENT OF SHELTER FOR YOUTH OFFENDER &amp; CRISIS CENTER BRGY. TINAMNAN LUCBAN, QUEZON BIDDING Government of the Republic of the Philippines Fourth Edition   Preface </t>
  </si>
  <si>
    <t xml:space="preserve"> For the general supplies of various Cebu City Government Offices.</t>
  </si>
  <si>
    <t xml:space="preserve"> Republic of the Philippines CITY OF PANABO Province of Davao del Norte BIDS AND AWARDS COMMITTEE -o0o- INVITATION TO BID  SUPPLY OF COMBI BLINDS (REBID) 1.	The City of Panabo, through SPO/FURNITURE &amp; FIXTURES 2020-CAPITAL OUTLAY 2020 intends to apply the </t>
  </si>
  <si>
    <t xml:space="preserve"> REQUEST FOR EXPRESSION OF INTEREST (REI)  FOR THE (20CSNH04) Consulting Services for the Conduct of Soil Exploration And/Or Geotechnical Investigation in Preparation of the Preliminary &amp; Detailed Engineering of Proposed Various FY 2021 Regular Infrastruct</t>
  </si>
  <si>
    <t xml:space="preserve"> Specs: 100  exam  Bacteriological Examination</t>
  </si>
  <si>
    <t xml:space="preserve"> I N V I T A T I O N   T O   B I D  The Visayas State University (VSU) through its Bids and Awards Committee (BAC) invites contractors to bid for the hereunder project: Name of Project 	:  Completion of Covered Court of VSU Villaba (INFRA-20-06) Location		</t>
  </si>
  <si>
    <t xml:space="preserve"> LOCAL GOVERNMENT UNIT OF NAGUILIAN , ISABELA INVITATION TO BID FOR the SUPPLY AND DELIVERY OF CONSTRUCTION MATERIALS FOR THE CONSTRUCTION OF DRAINAGE CANAL ALONG PROVINCIAL ROAD AT BARANGAY ROXAS INFRONT OF COMMERCIAL STALLS. 1.	The Local Government Unit </t>
  </si>
  <si>
    <t xml:space="preserve"> BIDS AND AWARDS COMMITTEE REQUEST FOR QUOTATION 	The  Barangay Unit of Patawag, Labason, ZN., Invites all interested registered supplier to submit quotation for the Purchase of Construction Materials for  Carpentry Works at Barangay Hall Phase -  I Patawa</t>
  </si>
  <si>
    <t xml:space="preserve"> Republic of the Philippines CITY OF PANABO Province of Davao del Norte BIDS AND AWARDS COMMITTEE -o0o- INVITATION TO BID  SUPPLY OF DRONE WITH COMPLETE ACCESSORIES (REBID) 1.	The City of Panabo, through CAGRO / TECHNICAL &amp; SCIENTIFIC EQUIPMENT-TRUST FUND-</t>
  </si>
  <si>
    <t xml:space="preserve"> Republic of the Philippines Province of Davao del Sur MUNICIPALITY OF MATANAO -oOo- INVITATION TO BID The Local Government Unit of Matanao, Davao del Sur, through its Bids and Awards Committee (BAC), invites interested suppliers/distributors to apply for </t>
  </si>
  <si>
    <t xml:space="preserve"> COMPLETION OF BUILDING, REHABILITATION OF DOMESTIC WATER SUPPLY, CONSTRUCTION OF FOOTHPATH AND REPAIR &amp; CONSTRUCTION OF FOOTHBRIDGE PROJECT COMPONENT: 1. REPAIR OF DEPYANG I AT DALIPEY, TACADANG (PHP430,500.00). 2. COMPLETION AND IMPROVEMENT OF SADDLE CHI</t>
  </si>
  <si>
    <t xml:space="preserve"> Republic of the Philippines								 Province of Negros Occidental								 Municipality of La Castellana								 Bids and Awards Committee								 								 INVITATION TO APPLY FOR ELIGIBILITY AND TO BID								 								 Name of Project: 		REPAIR OF HANGING</t>
  </si>
  <si>
    <t xml:space="preserve"> 15 books Bookbinding - hardbound</t>
  </si>
  <si>
    <t xml:space="preserve"> MAIN DOCUMENTS</t>
  </si>
  <si>
    <t xml:space="preserve"> Invitation to Bid for REPAIR OF CAS SCHOOL BUILDING AT NORSU BAYAWAN-STA. CATALINA CAMPUS INFRA2020-06-04 1. The Negros Oriental State University (NORSU), through the SPECIAL TRUST FUND (STF) intends to apply the sum Two Million Five Hundred Thousand Peso</t>
  </si>
  <si>
    <t xml:space="preserve"> Name of Project: Concreting of Farm to Market Road Location: Purok 1, Brgy. Balite, Pura, Tarlac ABC: Php 500,000.00</t>
  </si>
  <si>
    <t xml:space="preserve"> Cover All, Gloves, Face MAsk, Face Shield, Boots, Thermal Scanner, Thermometer, Oxygen Tank with Regulator, Canula-Adult, Canula-Children, BP Apparatus</t>
  </si>
  <si>
    <t xml:space="preserve"> Republic of the Philippines CITY OF PANABO Province of Davao del Norte BIDS AND AWARDS COMMITTEE -o0o- INVITATION TO BID  SUPPLY OF MOBILE FORAGE COLLECTOR CAB (REBID) 1.	The City of Panabo, through CAGRO/ AGRICULTURAL &amp; FORESTRY EQUIPMENT-TRUST FUND 03-C</t>
  </si>
  <si>
    <t xml:space="preserve"> REPUBLIC OF THE PHILIPPINES CITY OF MANILA OFFICE OF THE BARANGAY BIDS AND AWARDS COMMITTEE INVITATION TO BID 1 set - Additional CCTV Camera 40 units - Refill Fire Extinguisher 10 units - Fire Extinguisher 3 units - Two Way Radio 1 unit - Ladder REQUESTIN</t>
  </si>
  <si>
    <t xml:space="preserve"> Section I. Invitation to Bid Republic of the Philippines PROVINCE OF CAGAYAN Municipality of Peñablanca PROVINCIAL BIDS AND AWARDS COMMITTEE INVITATION TO BID FOR  Supply and Delivery of 40 Units Brand New Customized Police Patrol Vehicle 1.	The Provincia</t>
  </si>
  <si>
    <t xml:space="preserve"> Republic of the Philippines Department of Health REGION 1 MEDICAL CENTER Arellano Street, Dagupan City BAC Office Tel No.: (075) 523-18-65 Telefax: (075) 523-41-03 r1mcsbac2012@gmail.com Invitation to Bid for the R1MC Tubular Slatch Wind Pressure Support </t>
  </si>
  <si>
    <t xml:space="preserve"> The Department of Agriculture-RFO 3, invites interested suppliers to submit quotations/proposals for the hereunder requirement, to wit: ITEM NO.	QTY.	UNIT	ITEMS &amp; DESCRIPTION		UNIT PRICE	TOTAL AMOUNT	BRAND/MODEL 							 	5	box	Tips filtered(1000ul) steril</t>
  </si>
  <si>
    <t xml:space="preserve"> BIDS AND AWARDS COMMITTEE REQUEST FOR QUOTATION 	The Barangay Unit of Patawag, Labason, ZN., Invites all interested registered supplier to submit quotation for the Purchase of Construction Materials for  Contrete/Masonry Works at Barangay Hall  Phase – I </t>
  </si>
  <si>
    <t xml:space="preserve"> DRINKS AND BEVERAGES  1	90	cases	Canned Juice Drink- Pineapple, Orange, Four                                Seasons (240 ml x 24) 2	100	cases	Flavored Juice w/ GCE &amp; L-carnitine (330ml x 24) 3	20	cases	Ready-to-Drink Tonic Food Drink (24 x 250ml) GROCERIE</t>
  </si>
  <si>
    <t xml:space="preserve"> UNIVERSITY OF THE PHILIPPINES MANILA The Health Sciences Center 8/F PGH Central Block Bldg,  Taft Avenue, Manila INVITATION TO BID PROPOSED OFFICE FOR DISASTER SIMULATION CENTER 2ND  FLOOR, JUAQUIN  GONZALES COMPOUND UNIVERSITY OF THE PHILIPPINES MANILA 1</t>
  </si>
  <si>
    <t xml:space="preserve"> Republic of the Philippines CITY OF PANABO Province of Davao del Norte BIDS AND AWARDS COMMITTEE -o0o- REQUEST FOR QUOTATION 1.	 The City of Panabo, through CAGRO – AGRICULTURAL INDUCE FOR DIST. /CALAMITY FUND 2018 intends to apply the sum of Three Hundre</t>
  </si>
  <si>
    <t xml:space="preserve"> BIDS AND AWARDS COMMITTEE REQUEST FOR QUOTATION 	The Local Government Unit of Labason, ZN.,invites all interested registered supplier to submit quotation for the Purchase of Construction Materials for Doors and Windows at Barangay Hall Phase – I  Patawag,</t>
  </si>
  <si>
    <t xml:space="preserve"> 1 unit laptop 14 inches</t>
  </si>
  <si>
    <t xml:space="preserve"> 5,024 liters of fuel</t>
  </si>
  <si>
    <t xml:space="preserve"> Repair/Maintenance of DPWH Building</t>
  </si>
  <si>
    <t xml:space="preserve"> OPENING OF BIDS IN DSWD FO IX ZAMBOANGA CITY					 DELIVERY IN DSWD FO IX ZAMBOANGA CITY					 PROCUREMENT FOR THE FF.: 					 330	BOX	SURGICAL FACE MASK			 ********************************************	 FOR THE PANTAWID PAMILYA PROGRAM STAFF ASSIGNED IN THE </t>
  </si>
  <si>
    <t xml:space="preserve"> Procurement of office furnitures for the use of DPWH, Iloilo 2nd DEO, Balabag, Dumangas, Iloilo</t>
  </si>
  <si>
    <t xml:space="preserve"> Republic of the Philippines CITY GOVERNMENT OF SAN FERNANDO City Hall Building, F. Ortega Highway Tel. No. (072)8886901, (072) 867-8100/Fax No. (072)8886907 Website: www.sanfernandocity.gov.ph Email: csflu_98@yahoo.com INVITATION TO BID FOR  Procurement o</t>
  </si>
  <si>
    <t xml:space="preserve"> LOCAL GOVERNMENT UNIT OF NAGUILIAN , ISABELA INVITATION TO BID FOR the SUPPLY AND DELIVERY OF PAINTING MATERIALS FOR BARANGAY QUIRINO MULTI-PURPOSE HALL. 1.	The Local Government Unit of Naguilian, Isabela, through the 20% Development Fund intends to apply</t>
  </si>
  <si>
    <t xml:space="preserve"> BIDS AND AWARDS COMMITTEE REQUEST FOR QUOTATION 	The Barangay  Unit of Patawag, Labason, ZN., Invites all interested registered supplier to submit quotation for the Purchase of Construction Materials for  Plumbing Works, at Barangay Hall Phase – I Patawag</t>
  </si>
  <si>
    <t xml:space="preserve"> 2 btls Glass cleaner 4 btls Alcohol 70% 500ml 5 btls Toilet bowl cleaner 10 packs Bathroom tissue 2 ply 4/pack 10 bulb Bulb 9 watts 12 cards Talk n text card 300 12 cards Globe card 300 5 pcs Doormat plastic 3 pcs Broom soft 1 pc Dish drainer w/ 2 drawers</t>
  </si>
  <si>
    <t xml:space="preserve"> INVITATION TO BID FOR SUPPLY AND DELIVERY OF DOCUMENT SCANNERS FOR DSWD CENTRAL OFFICE —  ITB NO. GOP/20-DSWD-037 — (PR NO. 01-20001-PR-2020-03-00300) 1. The Department of Social Welfare and Development (DSWD), through the DSWD Funds, intends to apply the</t>
  </si>
  <si>
    <t xml:space="preserve"> Republic of the Philippines Province of Davao del Sur MUNICIPALITY OF MATANAO -oOo- INVITATION TO BID The Local Government Unit of Matanao, Davao del Sur, through its Bids and Awards Committee (BAC), invites interested ISO certified suppliers/distributors</t>
  </si>
  <si>
    <t xml:space="preserve"> Republic of the Philippines DEPARTMENT OF PUBLIC WORKS AND HIGHWAYS REGIONAL OFFICE II Tuguegarao City, Cagayan  INVITATION TO BID The DPWH Regional Office No. 2 through the Bids and Awards Committee (BAC) invite contractors to bid for the project  :  Con</t>
  </si>
  <si>
    <t xml:space="preserve"> BIDS AND AWARDS COMMITTEE REQUEST FOR QUOTATION The Barangay Unit of Patawag, Labason, ZN., Invites all interested registered supplier to submit quotation for the Purchase of Construction Materials for Roofing Works at Barangay Hall Phase - I Patawag, Lab</t>
  </si>
  <si>
    <t xml:space="preserve"> For office use.</t>
  </si>
  <si>
    <t xml:space="preserve"> REQUEST FOR EXPRESSION OF INTEREST (REI)  FOR THE (20CSNH05) Consulting Services for the Conduct of Soil Exploration And/Or Geotechnical Investigation in Preparation of the Preliminary &amp; Detailed Engineering of Proposed Various FY 2021 Regular Infrastruct</t>
  </si>
  <si>
    <t xml:space="preserve"> RGMO - Sudaria		 1	107	Unit	Harrow (Bearing Oil Type, Tire: 700 x 15, 9 	 			blade, Shafting 2 1/2, Blade Size 24", Frame 	 			118" &amp; 131"	 2	1	Unit	Disc Plow (standard size)</t>
  </si>
  <si>
    <t xml:space="preserve"> Republic of the Philippines Municipality of Taytay Taytay, Palawan NOTICE TO BIDDERS Item # Qty Unit Description Amount 1.   1    Unit   Const. Of Multi-Purpose Hall The two envelope system of procurement shall be observed, Bidding documents shall be avai</t>
  </si>
  <si>
    <t xml:space="preserve"> Republic of the Philippines CITY GOVERNMENT OF SAN FERNANDO City Hall Building, F. Ortega Highway Tel. No. (072)8886901, (072) 867-8100/Fax No. (072)8886907 Website: www.sanfernandocity.gov.ph Email: csflu_98@yahoo.com INVITATION TO BID FOR  Procurement a</t>
  </si>
  <si>
    <t xml:space="preserve"> 1	1	unit	Ceiling Helicopter Fan (24 ft diameter, variable speed)</t>
  </si>
  <si>
    <t xml:space="preserve"> INVITATION TO BID FOR THE Supply, Delivery, Installation and Commissioning of Air-Conditioning System for the Bureau of Quarantine PUBLIC BIDDING NO. 20-020-5 FUNDING SOURCE: General Appropriations Act of 2017 1.	The PROCUREMENT SERVICE invites PhilGEPS r</t>
  </si>
  <si>
    <t xml:space="preserve"> REQUEST FOR EXPRESSION OF INTEREST REOI2020-C01 1.	The Department of Public Works and Highway-Isabela 3rd District Engineering Office     through the PDE 2020 intends to apply the Approved Budget for the Contract (ABC) to payment under the following contr</t>
  </si>
  <si>
    <t xml:space="preserve"> Republic of the Philippines Municipality of Taytay Taytay, Palawan NOTICE TO BIDDERS Item # Qty Unit Description Amount 1. 1 Unit Const. Of Multi-Purpose Hall The two envelope system of procurement shall be observed, Bidding documents shall be available a</t>
  </si>
  <si>
    <t xml:space="preserve"> 1.	The Local Government Unit of Las Nieves, through the Budget for the Contract approved by the Sanggunian (MDRRMF-TF) intends to apply the sum of two million two hundred and fifty thousand pesos only (Php 2,250,000.00), being the Approved Budget for the </t>
  </si>
  <si>
    <t xml:space="preserve"> The Philippine Rural Development Project- Regional Project Coordination Office XI hereunder referred to as the End-User now requests interested applicants to submit Expression of Interest for the Hiring of the following PRDP-RPCO XI personnel for the peri</t>
  </si>
  <si>
    <t xml:space="preserve"> 150	REAM	PAPER, multicopy, A4, Substance 20 200	REAM 	PAPER, multicopy, Legal, Substance 20 10	PIECE	PUNCHER, heavy duty with two hole guide  50	BOOK	RECORD BOOK, 500 pages size 214 mm x 278 mm 30	PACK 	Folder Brown-Long, 100pcs/pack 30	BOX	Ballpen, (Blac</t>
  </si>
  <si>
    <t xml:space="preserve"> Republic of the Philippines Province of Ilocos Norte MUNICIPALITY OF CURRIMAO INVITATION TO BID FOR  PURCHASE OF CELLCARDS 1.	The Municipality of Currimao intends to apply the sum of [Two Hundred Six Thousand Pesos (P206,000.00)] being the Approved Budget</t>
  </si>
  <si>
    <t xml:space="preserve"> Republic of the Philippines DEPARTMENT OF PUBLIC WORKS AND HIGHWAYS CAGAYAN 2ND DISTRICT ENGINEERING OFFICE Regional Office II Abulug, Cagayan June 9, 2020 INVITATION TO BID  The Cagayan 2nd District Engineering Office, Abulug, Cagayan, through its Bids a</t>
  </si>
  <si>
    <t xml:space="preserve"> Procurement of One (1) Unit Android Electronic Total Station Specification:  Android 5.1 Operating System  1000m Reflector less/5000m Reflector  1”/2” Angle Accuracy  Automatic Graph Drawing  Complete with surveying Programs  5.0 inch capacitive Tou</t>
  </si>
  <si>
    <t xml:space="preserve"> Concreting of 200m x 5m x 0.20m roadway w/.5 shoulder both sides demolition of existing PCCP thick with the following proposed work:  Item No.			Description				          Unit 		   Quantity     A.1.1	Provision of Field for the Engineer (rental basis)	   mo</t>
  </si>
  <si>
    <t xml:space="preserve"> 1.	The Local Government Unit of Las Nieves, through the Budget for the Contract approved by the Sanggunian (MDRRMF-TF) intends to apply the sum of one million and nine hundred thousand pesos only (Php 1,900,000.00), being the Approved Budget for the Contr</t>
  </si>
  <si>
    <t xml:space="preserve"> Purchase of Supplies for the Rehabilitation of Court</t>
  </si>
  <si>
    <t xml:space="preserve"> Republic of the Philippines   CITY GOVERNMENT OF SAN FERNANDO   City Hall Building, F. Ortega Highway   Tel. No. (072)8886901, (072) 867-8100/Fax No. (072)8886907   Website: www.sanfernandocity.gov.ph   Email: csflu_98@yahoo.com      INVITATION TO BID FOR</t>
  </si>
  <si>
    <t xml:space="preserve"> 1.	The Local Government Unit of Las Nieves, through the Budget for the Contract approved by the Sanggunian (20% DF) intends to apply the sum of one million and five hundred thousand pesos only (Php 1,500,000.00) being the Approved Budget for the Contract </t>
  </si>
  <si>
    <t xml:space="preserve"> Republic of the Philippines PROVINCE OF BUKDINON Malaybalay City OFFICE OF THE PROVINCIAL GOVERNOR Bids and Awards Committee INVITATION TO BID FOR THE “SUPPLY AND DELIVERY OF ONE LOT HOUSEKEEPING SUPPLIES” ITB No. 2020-149 June 9, 2020 1.	The Provincial G</t>
  </si>
  <si>
    <t xml:space="preserve"> Sec VI - TECHNICAL SPECIFICATIONS A.	GENERAL PROVISIONS AND REQUIREMENTS 1.	GENERAL These specifications cover the requirements for the Repair of Perimeter Fence (section only), in NFA Siquijor as stipulated in the plans which will form part of the contra</t>
  </si>
  <si>
    <t xml:space="preserve"> Republic of the Philippines Municipality of Taytay Taytay, Palawan NOTICE TO BIDDERS Item # Qty Unit Description Amount 1.	24	pcs 	Tires Intended for 3 Hi-lux  2.	16	pcs 	Tires Intended for 2 Commuter Ambulance 3.	6	pcs 	Tires 7.50 RIG LT 10 PLY Intended </t>
  </si>
  <si>
    <t xml:space="preserve"> ITEM NO.	DESCRIPTION					Unit	     Qty. I	Project Sign Board					pc.	       1 II	Deep Well Drilling					m	      12 III	Pump( 2Hp )					       Set	       1 IV	Pipelines fittings and appurtenances		LS	       1 V	Elevated Stainless Steel Tank			Cu.m       10</t>
  </si>
  <si>
    <t xml:space="preserve"> 1. The Department of Agriculture – Regional Field Office – Cordillera Administrative Region (DA-RFO-CAR) intends to apply part of its CY 2020 General Appropriation Act (GAA) the total sum of Eight Million Five Thousand Pesos (P8,005,000.00) being the Appr</t>
  </si>
  <si>
    <t xml:space="preserve"> All-Weather Waterproof, with 4K Gimbal Camera, Payload Release System for Search and Rescue, Land and Take-Off in the  Water, Mapping Drone to include Mapping Software Optical Sensor Type / Size: ½.3” CMOS Valid Pixels: 14MP Recording Media: Micro SD Card</t>
  </si>
  <si>
    <t xml:space="preserve"> Project No.: QRF2020-B1-NS-REPAIR-L2 The Department of Education (DepED) Division of Northern Samar, through the 2020 Government Appropriations Act (GAA), intends to apply the sum of One Million Six Hundred Eighty-Eight Thousand Three Hundred Seventy-Six </t>
  </si>
  <si>
    <t xml:space="preserve"> Invitation to Bid Design and Build of Single - storey Administration Building for Dipaculao Water District, Dipaculao, Aurora 1.	The Dipaculao Water District intends to apply the sum of Seven Hundred Eighty-Nine Thousand Pesos (P789,000.00) being the tota</t>
  </si>
  <si>
    <t xml:space="preserve"> INVITATION TO BID The DPWH-Bataan 2nd District Engineering Office, through its Bids and Awards Committee (BAC), invites contractors to submit bids for the following Contract: Contract ID	:	20CB0065 Contract Name	:	Concreting of Sitio Kinaragan to Sitio Ba</t>
  </si>
  <si>
    <t xml:space="preserve"> INVITATION TO BID The DPWH-Bataan 2nd District Engineering Office, through its Bids and Awards Committee (BAC), invites contractors to submit bids for the following Contract: Contract ID	:	20CB0068 Contract Name	:	Concreting of Brgy. Balagtas to Roman Sup</t>
  </si>
  <si>
    <t xml:space="preserve"> Republic of the Philippines City of Makati Metro Manila BARANGAY SAN ISIDRO BIDS AND AWARDS COMMITTEE Date: 9 June 2020 INVITATION TO BID The Bids and Awards Committee of Barangay San Isidro, Makati City, Metro Manila is inviting all interested parties to</t>
  </si>
  <si>
    <t xml:space="preserve"> INVITATION TO BID The DPWH-Bataan 2nd District Engineering Office, through its Bids and Awards Committee (BAC), invites contractors to submit bids for the following Contract: Contract ID	:	20CB0067 Contract Name	:	Concreting of Brgy. Alangan Farm-to-Marke</t>
  </si>
  <si>
    <t xml:space="preserve"> INVITATION TO BID The DPWH-Bataan 2nd District Engineering Office, through its Bids and Awards Committee (BAC), invites contractors to submit bids for the following Contract: Contract ID	:	20CB0066 Contract Name	:	Concreting of Brgy. Ibis Farm-to-Market R</t>
  </si>
  <si>
    <t xml:space="preserve"> Republic of the Philippines Municipality of Taytay Taytay, Palawan NOTICE TO BIDDERS Item # Qty Unit Description Amount 1.    1    Lot   Office Equipment  The two envelope system of procurement shall be observed, Bidding documents shall be available at BA</t>
  </si>
  <si>
    <t xml:space="preserve"> 1.	The Cadiz East Elementary School II of Cadiz City, through the Schools MOOE Fund CY 2020  intends to apply the sum of Four Thousand, Nine Hundred Pesos (Php 4,900.00) being the Approved Budget for the Contract (ABC) to payments under the contract for I</t>
  </si>
  <si>
    <t xml:space="preserve"> a)	Signboard b)	Occupational safety &amp; health program c)	Structure excavation d)	Gravel bedding e)	Formworks f)	Reinforcing steel bars g)	Structural concrete h)	Manual hauling of materials</t>
  </si>
  <si>
    <t xml:space="preserve"> Project No.: QRF2020-B1-NS-REPAIR-L3 The Department of Education (DepED) Division of Northern Samar, through the 2020 Government Appropriations Act (GAA), intends to apply the sum of One Million Fifteen Thousand Seven Hundred Five Pesos and 36/100 Centavo</t>
  </si>
  <si>
    <t xml:space="preserve"> The PHILIPPINE SCIENCE HIGH SCHOOL SOUTHERN MINDANAO CAMPUS through the General Appropriations Act (GAA) of 2020 intends to apply the sum of Two Million Three Hundred Seventy Five Thousand (P2,375,000.00) Pesos being the Approved Budget for the Contract (</t>
  </si>
  <si>
    <t xml:space="preserve"> The Bids and Awards Committee (BAC) of Luis Uychiat Elementary School invites interested bidders 0f 2020  Learning Modules Reproduction Reproduction of Learning Modules Months Covered: August-December 2020 Approved Budget Contract: 68,350.00 Pre-Bid Confe</t>
  </si>
  <si>
    <t xml:space="preserve"> Procurement of ABG Cassette/Cartridge with the Provision of ABG Analyzer Machine (Tie-Up)</t>
  </si>
  <si>
    <t xml:space="preserve"> Supply, Delivery, Installation, Testing and Commissioning of Two (2) Units Synchronizing Unit Module for the Two (2) Units Doosan Electric Generators.</t>
  </si>
  <si>
    <t xml:space="preserve"> INVITATION TO BID The DPWH-Bataan 2nd District Engineering Office, through its Bids and Awards Committee (BAC), invites contractors to submit bids for the following Contract: Contract ID	:	20CB0069 Contract Name	:	Concreting of Purok 6, Brgy. Gen. Lim Far</t>
  </si>
  <si>
    <t xml:space="preserve"> 1.	The Local Government Unit of Las Nieves, through the General Appropriations Act (BUB/GPB) intends to apply the sum of four hundred ninety eight thousand pesos only (Php 498,000.00), being the Approved Budget for the Contract (ABC) to payments under the</t>
  </si>
  <si>
    <t xml:space="preserve"> Project No.: QRF2020-B1-NS-REPAIR-L1 The Department of Education (DepED) Division of Northern Samar, through the 2020 Government Appropriations Act (GAA), intends to apply the sum of Two Million Two Hundred Nineteen Thousand One Hundred Seven Pesos and 39</t>
  </si>
  <si>
    <t xml:space="preserve"> a)	Signboard b)	Occupational safety &amp; health program c)	Forms and scaffoldings  d)	Reinforcing steel bars e)	Steel and tinsmithry works f)	Structural concrete g)	Plastering works h)	Masonry works i)	Painting works j)	G.I. pipe railings k)	Handlaid rock em</t>
  </si>
  <si>
    <t xml:space="preserve"> 2x4 Mini dump Truck Dimensions: Wheelbase 3200, Front Overhang 1230 Ring Overhang 1360, Wheel Track Front Axie 1530 Wheel track rear axie 1584,Chassis length 5780 Approach angle 29, Departure angle 23 Maximum driving speed (Km/H 74) Maximum gradiability 1</t>
  </si>
  <si>
    <t xml:space="preserve"> Republic of the Philippines WESTERN PHILIPPINES UNIVERSITY          A STRONG PARTNER FOR SUSTAINABLE DEVELOPMENT BIDS AND AWARDS COMMITTEE Invitation to Bid for Supply, Delivery and Installation of equipment for the DA-ACEF indigenous fruits project The W</t>
  </si>
  <si>
    <t xml:space="preserve"> INVITATION TO BID The DPWH-Bataan 2nd District Engineering Office, through its Bids and Awards Committee (BAC), invites contractors to submit bids for the following Contract: Contract ID	:	20CB0070 Contract Name	:	Repair/Maintenance of DWPH Building, Main</t>
  </si>
  <si>
    <t xml:space="preserve"> The BARANGAY LISON VALLEY, through its BIDS AND AWARDS COMMITTEE (BAC) invites suppliers/manufacturers/distributors to apply for eligibility and to bid for the hereunder project: Name of Project: CONSTRUCTION OF MULTI-PURPOSE HALL Location: Barangay Lison</t>
  </si>
  <si>
    <t xml:space="preserve"> INVITATION TO BID  SUPPLY AND DELIVERY OF IT EQUIPMENT UNDER PB 20-02-14A 1.	The Philippine Rice Research Institute, through the 2020 Regular Trust Fund Budget intends to apply the sum of ONE MILLION EIGHT HUNDRED FIFTY THOUSAND PESOS AND 00/100 ONLY (PhP</t>
  </si>
  <si>
    <t xml:space="preserve"> Republic of the Philippines Province of Laguna MUNICIPALITY OF LUISIANA INVITATION TO BID 1. The Municipal Government of Luisiana, Laguna intends to apply the sum of Four Hundred Thousand Pesos (Php 400,000.00) being the Approved Budget for the Contract (</t>
  </si>
  <si>
    <t xml:space="preserve"> Project No.: QRF2020-B1-NS-REPAIR-L4 The Department of Education (DepED) Division of Northern Samar, through the 2020 Government Appropriations Act (GAA), intends to apply the sum of One Million Five Hundred Thirty-Three Thousand Nine Hundred Eight Pesos </t>
  </si>
  <si>
    <t xml:space="preserve"> a)	Signboard b)	Occupational safety &amp; health program c)	Formworks  d)	Reinforcing steel bars e)	Steel and tinsmithry works f)	Structural concrete g)	Pathway preparation h)	Masonry &amp; plumbing works i)	Painting works j)	G.I. pipe railings k)	Septic tank l)	</t>
  </si>
  <si>
    <t xml:space="preserve"> a)	Signboard b)	Occupational safety &amp; health program c)	Formworks  d)	Structural excavation e)	Grouted riprap f)	Concrete pathway (class “a”) g)	G.I. pipe railings h)	Carpentry and tinsmithry works i)	Structural concrete j)	Steel works k)	Septic tank l)	R</t>
  </si>
  <si>
    <t xml:space="preserve"> materials</t>
  </si>
  <si>
    <t xml:space="preserve"> Project No.: QRF2020-B1-NS-REPAIR-L6 The Department of Education (DepED) Division of Northern Samar, through the 2020 Government Appropriations Act (GAA), intends to apply the sum of One Million Six Hundred Seventy-Nine Thousand Seven Hundred Eighty-Four </t>
  </si>
  <si>
    <t xml:space="preserve"> OPENING OF BIDS IN DSWD FO IX ZAMBOANGA CITY						 DELIVERY IN DSWD-SWAD-IPIL, ZAMBOANGA SIBUGAY						 PROCUREMENT FOR THE FF.:						 						 17	BOX	BALL PEN, BLACK, 0.5mm 50 PCS. /BOX				 	REAM	BOND PAPER A4, S-20				 230	REAM	BOND PAPER LONG S-20				 200</t>
  </si>
  <si>
    <t xml:space="preserve"> INVITATION TO BID FOR SUPPLY AND DELIVERY OF 1,796 UNITS 15MM Ø MULTI JET BRASS WATER METER 1. The Tanay Water District, through the 2020 Corporate Operating Budget intends to apply the sum of Two Million Six Hundred Ninety Four Thousand Pesos (₱2,694,000</t>
  </si>
  <si>
    <t xml:space="preserve"> Project No.: QRF2020-B1-NS-REPAIR-L5 The Department of Education (DepED) Division of Northern Samar, through the 2020 Government Appropriations Act (GAA), intends to apply the sum of One Million Eight Hundred Seventy-Three Thousand Four Hundred Eighty Pes</t>
  </si>
  <si>
    <t xml:space="preserve"> Republic of the Philippines WESTERN PHILIPPINES UNIVERSITY          A STRONG PARTNER FOR SUSTAINABLE DEVELOPMENT BIDS AND AWARDS COMMITTEE Invitation to Bid for Supply and Delivery of Materials and Equipment for DA-ACEF Mango Project The Western Philippin</t>
  </si>
  <si>
    <t xml:space="preserve"> Project No.: QRF2020-B1-NS-REPAIR-L8 The Department of Education (DepED) Division of Northern Samar, through the 2020 Government Appropriations Act (GAA), intends to apply the sum of One Million Two Hundred Sixty-Four Thousand Two Hundred Ninety-Nine Peso</t>
  </si>
  <si>
    <t xml:space="preserve"> Republic of the Philippines DEPARTMENT OF PUBLIC WORKS AND HIGHWAYS SULTAN KUDARAT 1ST DISTRICT ENGINEERING OFFICE REGIONAL OFFICE XII Isulan, Sultan K INVITATION TO BID The Department of Public Works and Highways, Sultan Kudarat 1st District Engineering </t>
  </si>
  <si>
    <t xml:space="preserve"> Project No.: QRF2020-B1-NS-REPAIR-L7 The Department of Education (DepED) Division of Northern Samar, through the 2020 Government Appropriations Act (GAA), intends to apply the sum of One Million Two Hundred Forty-Eight Thousand One Hundred Seventy-Seven P</t>
  </si>
  <si>
    <t xml:space="preserve"> The Barangay Government of Sipac-Almacen, through the Annual Budget 2020 duly approved by the Sangguniang Panlungsod intends to apply the sum of One Hundred Eighty Thousand Pesos (P 180,000.00) being the Approved Budget for the Contract (ABC) to payment f</t>
  </si>
  <si>
    <t xml:space="preserve"> Invitation to Bid Upgrading of Bungdor Road (Road Opening) ITB – Infra – 2020 – 06-001 1.	The Local Government Unit of Barangay Sicul, Sta. Praxedes, through the Provincial Development Fund intends to apply the sum of Three Hundred Ninety Nine Thousand Th</t>
  </si>
  <si>
    <t xml:space="preserve"> Republic of the Philippines CITY GOVERNMENT OF SAN FERNANDO City Hall Building, F. Ortega Highway Tel. No. (072)8886901, (072) 867-8100/Fax No. (072)8886907 Website: www.sanfernandocity.gov.ph Email: csflu_98@yahoo.com INVITATION TO BID FOR  PROCUREMENT F</t>
  </si>
  <si>
    <t xml:space="preserve"> Republic of the Philippines WESTERN PHILIPPINES UNIVERSITY          A STRONG PARTNER FOR SUSTAINABLE DEVELOPMENT BIDS AND AWARDS COMMITTEE Invitation to Bid for Supply and Delivery of Customized Polo Shirt and Sling Bag  The Western Philippines University</t>
  </si>
  <si>
    <t xml:space="preserve"> Contract ID:	20DL0203 Contract Name:	REPAIR/MAINTENANCE OF FLOOD CONTROL &amp; DRAINAGE STRUCTURES ALONG BAYOD BRIDGE, TALABA-SUMMIT-PANAON ROAD, KM.180+728, ATIMONAN, QUEZON 	 Contract Location:	ATIMONAN, QUEZON Brief Description:		REPAIR/MAINTENANCE OF FLOO</t>
  </si>
  <si>
    <t xml:space="preserve"> Contract ID:	20DL0204 Contract Name:	REPAIR/MAINTENANCE OF DRAINAGE ALONG QUEZON-ALABAT-PEREZ ROAD, KM.022+050-KM.022+097 (RIGHT SIDE) Contract Location:	ALABAT, QUEZON Brief Description:		REPAIR/MAINTENANCE OF DRAINAGE STRUCTURES Approved Budget for the </t>
  </si>
  <si>
    <t xml:space="preserve"> Item of works includes: -Concrete Footpath -Structural Concrete -Excavation -Railings -Manual Hauling</t>
  </si>
  <si>
    <t xml:space="preserve"> The National Irrigation Administration-Regional Office XII, through the GAA Fund CY2019 intends to apply the sum of EIGHT MILLION PESOS (P 8,000,000.00) being the Approved Budget for the Contract (ABC) to payments under the contract for NIA12-R.O.-GOODS-2</t>
  </si>
  <si>
    <t xml:space="preserve"> Contract ID:	20DL0205 Contract Name:	A)	REPAIR/MAINTENANCE OF DILG BUILDING, PNP – STORAGE ROOM/BARRACKS BUILDING, GUMACA, QUEZON 	 B)	REPAIR/MAINTENANCE OF DPWH BUILDING, DPWH SUB OFFICE (FIELD ENGR. OFFICE), BRGY. LAGYO, GUMACA, QUEZON C)	REPAIR/MAINTEN</t>
  </si>
  <si>
    <t xml:space="preserve"> INVITATION TO BID  SUPPLY AND DELIVERY OF IT EQUIPMENT  UNDER PB 20-02-15A (FOR BRANCH STATION) 1.	The Philippine Rice Research Institute, through the 2020 Capital Outlay Fund Budget intends to apply the sum of THREE MILLION SIX HUNDRED EIGHTY THOUSAND PE</t>
  </si>
  <si>
    <t xml:space="preserve"> The Barangay Government of Sipac-Almacen, through the Annual Budget 2020 duly approved by the Sangguniang Panlungsod intends to apply the sum of One Hundred Fifty Thousand Pesos (P 150,000.00) being the Approved Budget for the Contract (ABC) to payment fo</t>
  </si>
  <si>
    <t xml:space="preserve"> Project No.: QRF2020-B1-NS-REPAIR-L9 The Department of Education (DepED) Division of Northern Samar, through the 2020 Government Appropriations Act (GAA), intends to apply the sum of Two Million Seven Hundred Sixty-Seven Thousand Five Hundred Eight Pesos </t>
  </si>
  <si>
    <t xml:space="preserve"> Sir/ Ma'am: Please quote your lowest possible prices for the articles described in the attached document.</t>
  </si>
  <si>
    <t xml:space="preserve"> MALE ( 25-50 YEARS OLD) PHYSICALLY AND MENTALLY FIT MUST BE RESIDING NEAR  THE WORK STATION preferably with experience</t>
  </si>
  <si>
    <t xml:space="preserve"> TIRE, TUBELESS, R17 for toyota Hi-Lux; + 1Item Tire Outer Casing, All Terrain Black, Tubeless 265 x 70 x R17 Steel Belted M+S</t>
  </si>
  <si>
    <t xml:space="preserve"> Republic of the Philippines DEPARTMENT OF PUBLIC WORKS AND HIGHWAYS LAGUNA I  DISTRICT ENGINEERING OFFICE REGIONAL OFFICE NO. IV-A Santa Cruz, Laguna 									June 8, 2020 NOTICE OF PROCUREMENT THROUGH ALTERNATIVE METHOD 	Notice is given that the DPWH-Lag</t>
  </si>
  <si>
    <t xml:space="preserve"> Contract ID:	20DL0206 Contract Name:	71X-SPECIAL MAINTENANCE H. PLACING NEW TRAFFIC SIGNS ALONG DAANG MAHARLIKA, K0159+000 - K0181+000 Contract Location:	ATIMONAN, QUEZON Brief Description:		PLACING NEW TRAFFIC SIGNS Approved Budget for the Contract (ABC)</t>
  </si>
  <si>
    <t xml:space="preserve"> The Barangay Government of Sipac-Almacen, through the Annual Budget 2020 duly approved by the Sangguniang Panlungsod intends to apply the sum of Two Hundred Fifty Thousand Pesos (P 250,000.00) being the Approved Budget for the Contract (ABC) to payment fo</t>
  </si>
  <si>
    <t xml:space="preserve"> Item	Quantity	Unit	Description					 1	1		pcs.	TENT					 2	7		pcs.	TROMPA W/ ACCESORIES					 3	4		roll.	SPEAKER WIRE					 4	2		pcs.	CAMERA					 5	2		roll.	CCTV WIRE					 6	1		pc.	AVR					 7	1		pc.	DVR 16 CHANNEL</t>
  </si>
  <si>
    <t xml:space="preserve"> INVITATION TO BID FOR Procurement and Installation of Three (3) units Window type Aircondition (2 hp) and Five (5) units Floor Standing Aircondition (3 toner) for MDRRMC/OPCEN Building 1.	The Municipality of San Jose, through the 2020 Annual Budget under </t>
  </si>
  <si>
    <t xml:space="preserve"> Contract ID:	20DL0207 Contract Name:	CONSTRUCTION/REHABILITATION OF WATER SUPPLY/SEPTAGE AND SEWERAGE/RAIN WATER COLLECTORS - RAIN WATER COLLECTORS IN PUBLIC FACILITIES - REGION IV-A  A. COMETA ELEMENTARY SCHOOL, BRGY. COMETA, QUEZON, QUEZON B. GUMUBAT EL</t>
  </si>
  <si>
    <t xml:space="preserve"> Project No.: QRF2020-B1-NS-REPAIR-L11 The Department of Education (DepED) Division of Northern Samar, through the 2020 Government Appropriations Act (GAA), intends to apply the sum of One Million Seven Hundred Fifty-Four Thousand Eight Hundred Nineteen Pe</t>
  </si>
  <si>
    <t xml:space="preserve"> The Barangay Government of Sipac-Almacen, through the Annual Budget 2020 duly approved by the Sangguniang Panlungsod intends to apply the sum of Seventy Five Thousand Pesos (P 75,000.00) being the Approved Budget for the Contract (ABC) to payment for the </t>
  </si>
  <si>
    <t xml:space="preserve"> Project No.: QRF2020-B1-NS-REPAIR-L10 The Department of Education (DepED) Division of Northern Samar, through the 2020 Government Appropriations Act (GAA), intends to apply the sum of Two Million Ninety-Three Thousand Ninety-Six Pesos and 36/100 Centavos </t>
  </si>
  <si>
    <t xml:space="preserve"> Contract Reference Number: ITB#2020-038; PR# 2020-02-0506 Name of the Contract: DRAINAGE IMPROVEMENT (RIPRAP), GEGONCILLO VILLAGE, BRGY. BALINTAWAK (STRAIGHT CONTRACT LABOR &amp; MATERIALS) Location of the Contract: ESCALANTE GOVERNMENT CENTER Standard Form N</t>
  </si>
  <si>
    <t xml:space="preserve"> INVITATION TO BID FOR Purchase of Stickers for Tricycle (4 inches x 12 inches) 1.	The Municipality of San Jose, through the 2020 Annual Budget under General Fund of Sangguniang Bayan Office   intends to apply the sum of Four Hundred Fifty One Thousand Fiv</t>
  </si>
  <si>
    <t xml:space="preserve"> Sir/Ma'am: Please quote your lowest possible price for the articles described in the attached document.</t>
  </si>
  <si>
    <t xml:space="preserve"> Office Supplies Consumables</t>
  </si>
  <si>
    <t xml:space="preserve"> Lubricating Oil, SAE 5W-30, engine, synthetic Packaging: 20 Ltrs/pail</t>
  </si>
  <si>
    <t xml:space="preserve"> Republic of the Philippines Office of the Municipal mayor BIDS AND AWARDS COMMITTEE Pasuquin, Ilocos Norte INVITATION TO BID FOR  Purchase of Insecticide  1.	The LGU-PASUQUIN, through the VIRGINIA TOBACCO EXCISE TAXES R.A. 7171        (FY 2016)  intends t</t>
  </si>
  <si>
    <t xml:space="preserve"> Project No.: QRF2020-B1-NS-REPAIR-L12 The Department of Education (DepED) Division of Northern Samar, through the 2020 Government Appropriations Act (GAA), intends to apply the sum of Two Million Three Hundred Thirty-Five Thousand Eight Hundred Fifty-Nine</t>
  </si>
  <si>
    <t xml:space="preserve"> INVITATION TO BID FOR Purchase of Stickers for Tricycle (4 inches x 7 inches) 1.	The Municipality of San Jose, through the 2020 Annual Budget under General Fund of Sangguniang Bayan Office   intends to apply the sum of Three Hundred Sixty Five Thousand Pe</t>
  </si>
  <si>
    <t xml:space="preserve"> Project No.: QRF2020-B1-NS-REPAIR-L13 The Department of Education (DepED) Division of Northern Samar, through the 2020 Government Appropriations Act (GAA), intends to apply the sum of One Million Two Hundred Thirty Eight Thousand Three Hundred Twenty Nine</t>
  </si>
  <si>
    <t xml:space="preserve"> INVITATION TO BID FOR Purchase of Various Office Supplies for LGU of San Jose (2nd Quarter) 1.	The Municipality of San Jose, through the 2020 Annual Budget (General Fund) under the Office Supplies Expenses of the Local Government Unit of San Jose   intend</t>
  </si>
  <si>
    <t xml:space="preserve"> Republic of the Philippines Office of the Municipal mayor BIDS AND AWARDS COMMITTEE Pasuquin, Ilocos Norte INVITATION TO BID FOR  Purchase of Fertilizer  1.	The LGU-PASUQUIN, through the VIRGINIA TOBACCO EXCISE TAXES R.A. 7171        (FY 2016)  intends to</t>
  </si>
  <si>
    <t xml:space="preserve"> Republic of the Philippines Office of the Municipal mayor BIDS AND AWARDS COMMITTEE Pasuquin, Ilocos Norte INVITATION TO BID FOR  Purchase of Disaster Paraphernalia’s, Equipment and Uniforms 1.	The LGU-PASUQUIN, through the CALAMITY FUND CY2020, intends t</t>
  </si>
  <si>
    <t xml:space="preserve"> Republic of the Philippines Office of the Municipal mayor BIDS AND AWARDS COMMITTEE Pasuquin, Ilocos Norte INVITATION TO BID FOR  Installation of CCTV 1.	The LGU-PASUQUIN, through the GENERAL FUND CY2020, intends to apply the sum of P 603,090.00 being the</t>
  </si>
  <si>
    <t xml:space="preserve"> Item	Quantity	Unit	Description 1	6	pcs.	LED 2	1	pcs.	360 CAMERA  3	2	pcs.	MONITOR 4	3	roll.	CCTV WIRE 5	2	pcs.	AVR  6	10	pcs.	POWER SUPPLY (ADAPTOR) 7	5	pcs.	CCTV CAMERA</t>
  </si>
  <si>
    <t xml:space="preserve"> BIDS AND AWARDS COMMITTEE: Item #	 Qty	   Unit	                   Item Description	  Unit Cost	      Total Cost 0001	60	sacks	Rice		 			x-x-x-x Nothing Follows x-x-x-x		 ROY D. CARALDE                            WINNY C. WAYCO, CE, EnP	                   </t>
  </si>
  <si>
    <t xml:space="preserve"> Project No.: QRF2020-B1-NS-REPAIR-L14 The Department of Education (DepED) Division of Northern Samar, through the 2020 Government Appropriations Act (GAA), intends to apply the sum of One Million Eight Hundred Twenty-Eight Thousand Eight Hundred Fifty-Fou</t>
  </si>
  <si>
    <t xml:space="preserve"> BIDS AND AWARDS COMMITTEE: Item #	 Qty	   Unit	                   Item Description	  Unit Cost	      Total Cost 0001	60	gals	Latex Paint		 0002	10	gals	Floor Paint/Power Floor		 0003	11	shts	3/4 x 4 x 8		 0004	2	kgs	1 1/2 Fishing Nails		 0005	1	ltr	Stikwe</t>
  </si>
  <si>
    <t xml:space="preserve"> INVITATION TO BID FOR Procurement of IT Equipment 1.	The Municipality of San Jose, through the 2020 Annual Budget under 5% DRRM Calamity Fund   intends to apply the sum of Five Hundred Seventy Nine Thousand Pesos Only (₱ 579,000.00) being the Approved Bud</t>
  </si>
  <si>
    <t xml:space="preserve"> Supply and delivery of various communication equipment as support for the establishment of the Learning Sites for Agriculture of ATI Bicol.</t>
  </si>
  <si>
    <t xml:space="preserve"> •Repair and Rehabilitation of School Building [Marcos Pimentel ES, Labo (5)] - ₱ 1,564,875.35 •Construction of Concrete Slab on Covered Court and Improvement of School Fence (F. Baldovino ES, Daet) - ₱ 456,176.41 Please download the attached bidding docum</t>
  </si>
  <si>
    <t xml:space="preserve"> Supply and delivery of 9 units of powered portable audio system as support for the establishment of the Learning Sites for Agriculture of ATI Bicol.</t>
  </si>
  <si>
    <t xml:space="preserve"> ITEM NO.	UNIT		QTY		DESCRIPTION		 							 					PHILHEALTH PCB		 							 1	 pcs 		14		 BP Apparatus 		 							 2	 pcs 		7		 Treatment/Medicine Cart 		 							 3	 tank 		9		 Oxygen refill 50lbs 		 							 							 4	 unit 		1		 Steam Sterilzer Autoclave, 16.</t>
  </si>
  <si>
    <t xml:space="preserve"> YMCKT COLOR RIBBON 500 PRINTS</t>
  </si>
  <si>
    <t xml:space="preserve"> Item	Qty.	A R T I C L E S				 1		OTHER PROPERTY PLANT &amp; EQUIPMENT				 2	1 lot	CCTV camera (12) w/IR siamese wire				 3		UTP wire F&amp;M connector, balun				 4		power supply, bracket				 5	1 set	Public Address System				 6		(trompa w/driver, amplifier				 7		</t>
  </si>
  <si>
    <t xml:space="preserve"> Project No.: QRF2020-B1-NS-REPAIR-L16 The Department of Education (DepED) Division of Northern Samar, through the 2020 Government Appropriations Act (GAA), intends to apply the sum of One Million Five Hundred Twenty Three Thousand One Hundred Eighty Six P</t>
  </si>
  <si>
    <t xml:space="preserve"> The Metro Kalibo Water District, through the Bids and Awards Committee (BAC), will undertake Negotiated Procurement (Small Value Procurement) for the SUPPLY AND DELIVERY OF VARIOUS WATER SERVICE CONNECTION MATERIALS FOR INTERCONNECTION AND ACTIVATION OF B</t>
  </si>
  <si>
    <t xml:space="preserve"> ITEM NO.	UNIT		QTY		DESCRIPTION		 							 1	 serve 		250		Snacks Set A (sandwich &amp; water)		 2	 serve 		500		 Snacks Set B (sandwich, noodles &amp; water) 		 3	 serve 		300		 Meals Set A (rice, meat, water) 		 4	 serve 		250		 Meals Set B (meat, veg., fruits &amp;</t>
  </si>
  <si>
    <t xml:space="preserve"> Please download the attached bidding document for more info about the project. For further information, please refer to: Mrs. Maria Flora T. Pandes or Mrs. Herbie B. De Lemios Department of Education-Division of Camarines Norte F. Pimentel Avenue, Baranga</t>
  </si>
  <si>
    <t xml:space="preserve"> Location of Project: Alawihao National High School, Alawihao, Daet, Camarines Norte Please download the attached bidding document for more info about the project. For further information, please refer to: Mrs. Maria Flora T. Pandes or Mrs. Herbie B. De Le</t>
  </si>
  <si>
    <t xml:space="preserve"> Project No.: QRF2020-B1-NS-REPAIR-L17 The Department of Education (DepED) Division of Northern Samar, through the 2020 Government Appropriations Act (GAA), intends to apply the sum of Three Million Three Hundred Fifty Four Thousand Eighty Nine Pesos and 7</t>
  </si>
  <si>
    <t xml:space="preserve"> INVITATION TO BID FOR  Procurement of Information and Communication Technology Equipment  1.	The Local Government Unit  of Don Victoriano,  Don Victoriano, Misamis  Occidental through the  Bids and Awards Committee BAC intends to apply the sum of   Five H</t>
  </si>
  <si>
    <t xml:space="preserve"> ITEM NO.	UNIT		QTY		DESCRIPTION		 							 					PHILHEALTH PCB		 					 CAPITAL OUTLAY 		 1	 unit 		1		 Television 65 inch KD-65X7007E 		 					 TYPE:  		 					 TV type: LCD 		 					 Screen size: 65 inches 		 					 Resolution: 3840 x 2160 		 					 SPECS: 		 </t>
  </si>
  <si>
    <t xml:space="preserve"> The DPWH Nueva Ecija 1st DEO, through its Bids and Awards Committee (BAC), invites contractors to submit bids for the following contract:			 				 	20CE0209: Construction of Multi-Purpose Building, Brgy. Abar 1st, City of San Jose, Nueva Ecija			 				 				</t>
  </si>
  <si>
    <t xml:space="preserve"> REQUEST FOR EXPRESSION OF INTEREST FOR THE Procurement of Consultancy Services for the “Implementation of the 2020 PhilHealth Client Awareness and Satisfaction Survey” 1.	The Philippine Council for Health Research and Development (PCHRD), through the 2019</t>
  </si>
  <si>
    <t xml:space="preserve"> Project No.: QRF2020-B1-NS-REPAIR-L18 The Department of Education (DepED) Division of Northern Samar, through the 2020 Government Appropriations Act (GAA), intends to apply the sum of One Million Twenty Thousand Seven Hundred Seventy Three Pesos and 28/10</t>
  </si>
  <si>
    <t xml:space="preserve"> Project No.: QRF2020-B1-NS-REPAIR-L23 The Department of Education (DepED) Division of Northern Samar, through the 2020 Government Appropriations Act (GAA), intends to apply the sum of One Million Seven Hundred Twenty Nine Thousand Nine Hundred Sixty Five </t>
  </si>
  <si>
    <t xml:space="preserve"> Project No.: QRF2020-B1-NS-REPAIR-L22 The Department of Education (DepED) Division of Northern Samar, through the 2020 Government Appropriations Act (GAA), intends to apply the sum of One Million Two Hundred Twelve Thousand One Hundred Ninty Three Pesos a</t>
  </si>
  <si>
    <t xml:space="preserve"> Project No.: QRF2020-B1-NS-REPAIR-L15 The Department of Education (DepED) Division of Northern Samar, through the 2020 Government Appropriations Act (GAA), intends to apply the sum of One Million Two Hundred Fifty Nine Thousand Two Hundred Ninety Three Pe</t>
  </si>
  <si>
    <t xml:space="preserve"> Project No.: QRF2020-B1-NS-REPAIR-L19 The Department of Education (DepED) Division of Northern Samar, through the 2020 Government Appropriations Act (GAA), intends to apply the sum of One Million Eight Hundred Forty Thousand Six Hundred Fifty Pesos and 82</t>
  </si>
  <si>
    <t xml:space="preserve"> PROCUREMENT OF THE FOLLOWING SERVICES: MOTORCYCLE: FRAME WITH BACKBONE FRONT TIRE 3.00 x 17 IGNITION TYPE DC-CDI ENGINE TYPE 4 STROKE, SINGLE OVERHEAD CAMSHAFT, BORE x STROKE 1 CYLINDER, DISPLACEMENT 176.6 cc, FRONT SUSPENSION TELESCOPIC FORK FUEL CAPACIT</t>
  </si>
  <si>
    <t xml:space="preserve"> Republic of the Philippines Province of Iloilo MUNICIPALITY OF BINGAWAN Office of the Bids and Awards Committee INVITATION TO BID PURCHASE OF MATERIALS FOR THE CONSTRUCTION/REHABILITATION OF EVACUATION CENTER Name of Project The Local Government Unit of B</t>
  </si>
  <si>
    <t xml:space="preserve"> PROCUREMENT OF AIRCON SPAREPARTS FOR MAINTENANCE OF ACUs (FLOOR/CEILING) MOUNTED AT PTB NOTE: CLOSING DATE OF ADVERTISEMENT  IS ON JUNE 15,2020 @ 12:00 NN. OPENING OF BIDDING DOCUMENTS   IS ON JUNE 15 ,2020 @ 01:30 PM. ////NOTHING FOLLOWS\\\\\</t>
  </si>
  <si>
    <t xml:space="preserve"> Package of Office Equipment 2	Sets	Computer with Printer 10	Pcs	CCTV Camera 7	Roll	UTP Wire 2	Unit	DVR 16 Channel 2	Pcs	Connector</t>
  </si>
  <si>
    <t xml:space="preserve"> PROCUREMENT OF CLUTCH PRESSURE PLATE ASSEMBLY FOR EUROTRAC YTO X1204 FORD TRACTOR UTILIZED FOR GRASSCUTTING AND VEGETATION CONTROL ACTIVITIES NOTE: CLOSING DATE OF ADVERTISEMENT  IS ON JUNE 15,2020 @ 12:00 NN. OPENING OF BIDDING DOCUMENTS   IS ON JUNE 15 </t>
  </si>
  <si>
    <t xml:space="preserve"> Supply and delivery of various food processing equipment as support for the establishment of the Learning Sites for Agriculture of ATI Bicol in Casiguran, Sorsogon.  Approved Budget of the Contract includes delivery charges and other expenses that may be </t>
  </si>
  <si>
    <t xml:space="preserve"> Supply of materials for the Construction of Lined Canal</t>
  </si>
  <si>
    <t xml:space="preserve"> PURCHASE OF ROUND UP FOR VCU AND MAINTENANCE USE NOTE: CLOSING DATE OF ADVERTISEMENT  IS ON JUNE 15,2020 @ 12:00 NN. OPENING OF BIDDING DOCUMENTS   IS ON JUNE 15 ,2020 @ 01:30 PM. ////NOTHING FOLLOWS\\\\\</t>
  </si>
  <si>
    <t xml:space="preserve"> Project No.: QRF2020-B1-NS-REPAIR-L25 The Department of Education (DepED) Division of Northern Samar, through the 2020 Government Appropriations Act (GAA), intends to apply the sum of One Million Eight Hundred Ninety Three Thousand Nine Hundred Thirty Nin</t>
  </si>
  <si>
    <t xml:space="preserve"> Supply and delivery of various hardware and construction materials as support for the establishment of the Learning Sites for Agriculture of ATI Bicol in Anislag, Daraga, Albay. Approved Budget of the Contract includes delivery charges and other expenses </t>
  </si>
  <si>
    <t xml:space="preserve"> Supply and delivery of various food processing equipment as support for the establishment of the Learning Sites for Agriculture of ATI Bicol in Carolina, Naga City.  Approved Budget of the Contract includes delivery charges and other expenses that may be </t>
  </si>
  <si>
    <t xml:space="preserve"> Concreting of 43.00 In.m., 0.15m thick, 4.00m width roadway Brgy Road</t>
  </si>
  <si>
    <t xml:space="preserve"> CLEARING, EXCAVATION, FORMWORKS AND REINFORCED CONCRETE WORKS</t>
  </si>
  <si>
    <t xml:space="preserve"> Supply of materials &amp; rental of concrete mixer for the Concreting of Barangay road</t>
  </si>
  <si>
    <t xml:space="preserve"> Project No.: QRF2020-B1-NS-REPAIR-L20 The Department of Education (DepED) Division of Northern Samar, through the 2020 Government Appropriations Act (GAA), intends to apply the sum of One Million Seven Hundred Forty Four Thousand Seven Hundred Thirty Two </t>
  </si>
  <si>
    <t xml:space="preserve"> Project No.: QRF2020-B1-NS-REPAIR-L24 The Department of Education (DepED) Division of Northern Samar, through the 2020 Government Appropriations Act (GAA), intends to apply the sum of One Million Four Hundred Five Thousand Two Hundred Sixty One Pesos and </t>
  </si>
  <si>
    <t xml:space="preserve"> MUNICIPALITY OF HINABANGAN Hinabangan, Samar Invitation to Bid for  Improvement of Water System Transmission Line  (Diversion Road) 1.	The Municipal Government of Hinabangan, through the 20% Development Fund CY 2020 intends to apply the sum of ONE MILLION</t>
  </si>
  <si>
    <t xml:space="preserve"> 803(1)a	Structure Excavation (Common Soil)	20	cu.m.	10,740.00 804(1)a	Embarkment from Excavation	40	cu.m.	9,200.00 900(1)	Structural Concrete	19	cu.m.	133,380.00 902(1)	Reinforcing Steel	1,540.85	kgs	100,155.25 903(2)	Form works and False Works	30	sq.m.	2</t>
  </si>
  <si>
    <t xml:space="preserve"> 103(1)a	Structure Excavation	18	cu.m.	7,308.00 900(1)	Structural Concrete	13.60	cu.m.	95,798.40 902(1)	Reinforcing Steel	148.00	kgs	10,360.00 1047(2)a	Structural Steel	1	lot	385,033.60 SPL 	Project Billboard	lot	All	1,500.00 	Equipment Needed: (Minimum) W</t>
  </si>
  <si>
    <t xml:space="preserve"> MAINTENANCE AND SERVICING OF BAGGAGE HANDLING SYSTEM FOR BHS USE DOMESTIC AND INTERNATIONAL QUARTERLY SERVICING SCOPE: 1. MANPOWER STANDBY SUPPORT CALL COMMITMENT FOR 24 HRS PER 7 DAYS 2. 1 PERSON MECHANICAL AND 1 PERSON FOR ELCTRICAL 3. 1 TIME PREVENTIVE</t>
  </si>
  <si>
    <t xml:space="preserve"> Section I. Invitation to Bid Republic of the Philippines Province of Davao del Norte Municipality of Talaingod 10 June, 2020 INVITATION TO BID FOR PURCHASE OF CONSTRUCTION MATERIALS (Construction of Warehouse for Potable Water System-Phase I) 1.	The Local</t>
  </si>
  <si>
    <t xml:space="preserve"> Provision of labor and materials for the construction of tree nursery in Delicia’s Farm, Bagawang, Pandan, Catanduanes.</t>
  </si>
  <si>
    <t xml:space="preserve"> Concreting of deckslab.laying of stone masonry at both sides of culvert approach and graveling of road.</t>
  </si>
  <si>
    <t xml:space="preserve"> Contract Name: 20GKF0031-Purchase of Materials for Regravelling of Shoulders along Linamon-Zamboanga Road K1570+000-K1573+000. Contract Location: Lanao del Norte Brief Description of Goods to be Procured: Aggregate Base Course = 414 cu.m. Approved Budget </t>
  </si>
  <si>
    <t xml:space="preserve"> Section I. Invitation to Bid Republic of the Philippines Province of Davao del Norte Municipality of Talaingod 10 June, 2020 INVITATION TO BID FOR 	DIESOLINE (FUEL) 1.	The Local Government Unit of Talaingod, Davao del Norte intends to apply the sum of Thr</t>
  </si>
  <si>
    <t xml:space="preserve"> Contract Name: 20GKF0035-Purchase of Materials for Regravelling of Road Shoulders along Tubod-Ganassi Road K1600+000-K1605+000. Contract Location: Lanao del Norte Brief Description of Goods to be Procured: Aggregate Base Course = 333 cu.m. Approved Budget</t>
  </si>
  <si>
    <t xml:space="preserve"> Republic of the Philippines Province of Ilocos Norte MUNICIPALITY OF ADAMS BIDS AND AWARDS COMMITTEE Cp nos.:09085535686, 09323141379, 09563902358  email address : mannegdege@yahoo.com                   June 09, 2020  INVITATION TO BID PURCHASE OF VARIOUS</t>
  </si>
  <si>
    <t xml:space="preserve"> MUNICIPALITY OF HINABANGAN Hinabangan, Samar Invitation to Bid for  Repair &amp; Maintenance of Conduit Pipelines 1.	The Municipal Government of Hinabangan, through the MOOE CY 2020 (Mayor’s Office) intends to apply the sum of SIX HUNDRED THIRTY ONE THOUSAND </t>
  </si>
  <si>
    <t xml:space="preserve"> Project No.: QRF2020-B1-NS-REPAIR-L21 The Department of Education (DepED) Division of Northern Samar, through the 2020 Government Appropriations Act (GAA), intends to apply the sum of One Million Eight Hundred Sixty-Eight Thousand Ninety-Six Pesos and 49/</t>
  </si>
  <si>
    <t xml:space="preserve"> Republic of the Philippines Province of Ilocos Norte MUNICIPALITY OF ADAMS BIDS AND AWARDS COMMITTEE Cp nos.:09085535686, 0932314137, 09563902358  email address : mannegdege@yahoo.com JUNE 09, 2020 INVITATION TO BID CONSTRUCTION OF SLOPE PROTECTION 1.	The</t>
  </si>
  <si>
    <t xml:space="preserve"> Republic of the Philippines Province of Ilocos Norte MUNICIPALITY OF ADAMS BIDS AND AWARDS COMMITTEE Cp nos.:09085535686, 0932314137, 09563902358  email address : mannegdege@yahoo.com JUNE 09, 2020 INVITATION TO BID CONSTRUCTION OF ROADS 1.	The Municipal </t>
  </si>
  <si>
    <t xml:space="preserve"> Contract Name: 20GKF0034-Purchase of Materials for Regravelling of RoadShoulders along LDNICR (Magsaysay-Tubod Section) K1588+000- K1591+600. Contract Location: Lanao del Norte Brief Description of Goods to be Procured: Aggregate Base Course = 368 cu.m. A</t>
  </si>
  <si>
    <t xml:space="preserve"> Contract Name: 20GKF0029-Purchase of Various Janitorial Office Supply for use in DPWH-Lanao del Norte 2nd DEO Contract Location: Iligan City Brief Description of Goods to be Procured: various cleaning reagents and accessories (see attached RFQ/specificati</t>
  </si>
  <si>
    <t xml:space="preserve"> Contract Name: 20GKF0033-Purchase of Materials for Regravelling of Road Shoulders along Tubod-Ganassi Road K1590+000-K1595+000. Contract Location: Lanao del Norte Brief Description of Goods to be Procured: Aggregate Base Course = 333 cu.m. Approved Budget</t>
  </si>
  <si>
    <t xml:space="preserve"> Contract Name: 20GKF0032- Purchase of Materials for Regravelling of Shoulders along Linamon-Zamboanga Road K1561+000-K1564+000. Contract Location: Lanao del Norte Brief Description of Goods to be Procured: Aggregate Base Course = 414 cu.m. Approved Budget</t>
  </si>
  <si>
    <t xml:space="preserve"> Contract Name: 20GKF0038-Purchase of Materials for Regravelling of Road Shoulders along Tubod-Ganassi Road K1605+000-K1610+000. Contract Location: Lanao del Norte Brief Description of Goods to be Procured: Aggregate Base Course = 333 cu.m. Approved Budget</t>
  </si>
  <si>
    <t xml:space="preserve"> 801	Removal &amp; Relocation of Structures (63mmØ HDPE Pipes	720	ln.m.	47,520.00 803(1)	Structure Excavation (Common Soil)	108	cu.m.	48,168.00 804(1)	Embankment From Structure Excavation	108	cu.m.	24,084.00 900(1)	Structural Concrete, Class “A”	1.75	cu.m.	11,</t>
  </si>
  <si>
    <t xml:space="preserve"> Supply and Delivery of Customized Gift Certificates for DTI Pangkabuhayan sa Pagbangon at Ginhawa (DTI-PBG) 1.	The Department of Trade and Industry Region IV-A, through the General Appropriations Act intends to apply the sum of  Twelve Million Four Hundre</t>
  </si>
  <si>
    <t xml:space="preserve"> Contract Name: 20GKF0036-Purchase of Materials for Regravelling of Shoulders along Linamon-Zamboanga Road K1590+000-K1593+000. Contract Location: Lanao del Norte Brief Description of Goods to be Procured: Aggregate Base Course = 414 cu.m. Approved Budget </t>
  </si>
  <si>
    <t xml:space="preserve"> 1.	The Local Government Unit (LGU) of Esperanza, through the Appropriation Ordinance No. 6, series of 2019 under the Office of the Municipal Disaster Risk Reduction and Management Council (MDRRM Office) intends to apply the sum of Three Hundred Ninety Nin</t>
  </si>
  <si>
    <t xml:space="preserve"> Contract Name: 20GKF0037-Purchase of Materials for Regravelling of Shoulders along Linamon-Zamboanga Road K1585+000-K1588+000. Contract Location: Lanao del Norte Brief Description of Goods to be Procured: Aggregate Base Course = 414 cu.m. Approved Budget </t>
  </si>
  <si>
    <t xml:space="preserve"> Republic of the Philippines Region XII Province of Cotabato BIDS AND AWARDS COMMITTEE Amas, Kidapawan City INVITATION TO BID FOR Supply &amp; Delivery of Medical Supplies &amp; Medicines for Arakan Valley District Hospital, Antipas, Cotabato. (PB-20-212) 1.	The P</t>
  </si>
  <si>
    <t xml:space="preserve"> Procurement of one set multi-purpose shredder/chipper/grinder machine as support for the establishment of School for Practical Agriculture in Pamorangon, Daet, Cam. Norte. Approved Budget of the Contract includes delivery charges and other expenses that m</t>
  </si>
  <si>
    <t xml:space="preserve"> Please see attached Request for Quotation and Terms and Conditions</t>
  </si>
  <si>
    <t xml:space="preserve"> JOSE B. LINGAD MEMORIAL REGIONAL HOSPITAL City of San Fernando, Pampanga Tel. No. (045) 961-3921 Date: June 10, 2020 No. 2020 – 06 - 184-S REQUEST FOR QUOTATION (Name of Agency) (Address) Sir/Madam: Please quote your lowest price on the item/s listed belo</t>
  </si>
  <si>
    <t xml:space="preserve"> Republic of the Philippines Province of Batangas MUNICIPALITY OF LOBO Invitation to Bid for the PURCHASE OF GENERATOR SET TO BE INSTALLED AT NEW PUBLIC MARKET, BARANGAY POBLACION, LOBO, BATANGAS Contract ID No. 3-01-001-20-076 			 1.The Municipal Governme</t>
  </si>
  <si>
    <t xml:space="preserve"> B.9	Mobilization/Demobilization	1	lot	15,853.95 103(1)	Structure Excavation	51	cu.m.	14,790.00 511	Gabions	102	cu.m.	417,853.20 SPL 	Project Billboard	lot	All	1,502.85 	Equipment Needed: (Minimum) Dumptruck (10cu.m.)		1 unit Backhoe (0.80cu.m.)		1 unit Ca</t>
  </si>
  <si>
    <t xml:space="preserve"> Semi-Integrated Solar Street Lamp 	35	unit (Lamp + Battery + Controller + Solar Panel)		  - Lamp : 80 Led Beads, 220 Lumens/Watts		 &gt; 3,000 Lumen, &gt; 50,000 Hrs, 6000k Color Temp.,		  - Charge Controller: MPPT, 10A Charge 		 Current, Intellegent Led Power </t>
  </si>
  <si>
    <t xml:space="preserve"> Contract Name: 20GKF0039-Purchase of Materials for Regravelling of Road Shoulders along Tubod-Ganassi Road K1605+000-K1610+000. Contract Location: Lanao del Norte Brief Description of Goods to be Procured: Aggregate Base Course = 333 cu.m. Approved Budget</t>
  </si>
  <si>
    <t xml:space="preserve"> OFFICE OF THE BIDS AND AWARDS COMMITTEE INVITATION TO BID NO. 91-20 Name of Project: Procurement of Aggregates used for Road Concreting of Brgy. Street @ Brgy. San Roque, Socorro, SDN Source of Funds: 20% Development Fund The Municipality of Socorro throu</t>
  </si>
  <si>
    <t xml:space="preserve"> Contract Name: 20GKF0030-Purchase of Various Office Supply for use in DPWH-Lanao del Norte 2nd DEO Contract Location: Iligan City Brief Description of Goods to be Procured: various office supplies (see attached RFQ/specification) Approved Budget for the C</t>
  </si>
  <si>
    <t xml:space="preserve"> INVITATION TO BID PROCUREMENT OF VARIOUS MEDICAL EQUIPMENT CY 2020 PUBLIC BIDDING NO. VMC-2020-026 1.	The Valenzuela Medical Center (VMC), through the General Appropriations Act CY 2020/Income Fund intends to apply the sum of Philippine Currency: Forty Fi</t>
  </si>
  <si>
    <t xml:space="preserve"> OFFICE OF THE BIDS AND AWARDS COMMITTEE INVITATION TO BID NO. 90-20 Name of Project: Procurement of Hardware Materials used for Road Concreting of Brgy. Street @ Brgy. San Roque, Socorro, SDN Source of Funds: 20% Development Fund The Municipality of Socor</t>
  </si>
  <si>
    <t xml:space="preserve"> Section I. Invitation to Bid Republic of the Philippines Province of Davao del Norte MUNICIPALITY OF TALAINGOD 								10 June, 2020 Invitation to Bid for CONSTRUCTION OF MULTI-PURPOSE CENTERS (@Purok 3, Tagulayan Palma Gil &amp; Sitio Salawao, Sto. Niño,Tala</t>
  </si>
  <si>
    <t xml:space="preserve"> Cement, Portland	840	bags Sand, S &amp; W	50	cu.m. Gravel, 3/4" - 1"	100	cu.m. 16Ø x 6.0 RSB, Deformed	30	pcs. 25pcs. 2" x 6" x 12' Coco Lumber	300	BF 8pcs. 2" x 2" x 12' Coco Lumber	32	BF 1pc. 3" x 4" x 10' Apitong	10	BF 1/4" x 2" x 8' Flat Moulding	2	pcs. 3</t>
  </si>
  <si>
    <t xml:space="preserve"> Contract Name: 20GKF0040-Purchase of Materials for Regravelling of Shoulders along Linamon-Zamboanga Road K1576+000-K1579+000. Contract Location: Lanao del Norte Brief Description of Goods to be Procured: Aggregate Base Course = 414 cu.m. Approved Budget </t>
  </si>
  <si>
    <t xml:space="preserve"> Republic of the Philippines Region XII Province of Cotabato BIDS AND AWARDS COMMITTEE Amas, Kidapawan City INVITATION TO BID FOR Supply &amp; Delivery of Medical Supplies for Mlang District Hospital, Mlang, Cotabato. (PB-20-303) 1.	The Provincial Government o</t>
  </si>
  <si>
    <t xml:space="preserve"> ATTACHED</t>
  </si>
  <si>
    <t xml:space="preserve"> Republic of the Philippines Region XII Province of Cotabato BIDS AND AWARDS COMMITTEE Amas, Kidapawan City INVITATION TO BID FOR Supply &amp; Delivery of Office Equipment for the Office of the Provincial Veterinarian, Amas, Kidapawan City. (PB-20-306) 1.	The </t>
  </si>
  <si>
    <t xml:space="preserve"> Republic of the Philippines Province of Agusan del Sur MUNICIPALITY OF PROSPERIDAD BARANGAY LA CARIDAD BIDS AND AWARDS COMMITTEE NOTICE FOR NEGOTIATED PROCUREMENT (TWO FAILED BIDDING) NO. 2020-011 The Barangay Government of La Caridad, Prosperidad, Agusan</t>
  </si>
  <si>
    <t xml:space="preserve"> Contract ID No. 20OH0148 Contract Name : Local  Program - Construction/Repair/Rehabilitation/Improvement  of  various   Infrastructure including Local Projects-Buildings and other Structures-Multi-Purpose/facilities-Construction of Various Multi-Purpose B</t>
  </si>
  <si>
    <t xml:space="preserve"> Republic of the Philippines Region XII Province of Cotabato BIDS AND AWARDS COMMITTEE Amas, Kidapawan City INVITATION TO BID FOR Supply &amp; Delivery of Hardware Supplies for distribution to different barangay/recipients of the province . (PB-20-312) 1.	The </t>
  </si>
  <si>
    <t xml:space="preserve"> Contract ID No. 20OH0149 Contract Name : Local Program-Local Infrastructure Program-Buildings and other Structures-  Multipurpose / Facilities - Construction of Multi-purpose Building and Facilities, Pres. Corazon C. Aquino Senior High School, Baseco Port</t>
  </si>
  <si>
    <t xml:space="preserve"> Republic of the Philippines Region XII Province of Cotabato BIDS AND AWARDS COMMITTEE Amas, Kidapawan City INVITATION TO BID FOR Supply &amp; Delivery of Relief Supplies for distribution to E-CLIP beneficiaries . (PB-20-311) 1.	The Provincial Government of Co</t>
  </si>
  <si>
    <t xml:space="preserve"> Republic of the Philippines Region XII Province of Cotabato BIDS AND AWARDS COMMITTEE Amas, Kidapawan City INVITATION TO BID FOR Supply &amp; Delivery of Brochures to be distributed to walk-in clients (farmers) of the Office of Provincial Agriculturist, Amas,</t>
  </si>
  <si>
    <t xml:space="preserve"> Republic of the Philippines Region XII Province of Cotabato BIDS AND AWARDS COMMITTEE Amas, Kidapawan City INVITATION TO BID FOR Supply &amp; Delivery of Laptop Computers for the Office of the Vice Governor and the Sangguniang Panlalawigan, Amas, Kidapawan Ci</t>
  </si>
  <si>
    <t xml:space="preserve"> Republic of the Philippines Region XII Province of Cotabato BIDS AND AWARDS COMMITTEE Amas, Kidapawan City INVITATION TO BID FOR Supply &amp; Delivery of Veterinary Equipment for the Office of the Provincial Veterinarian, Amas, Kidapawan City. (PB-20-305) 1.	</t>
  </si>
  <si>
    <t xml:space="preserve"> Republic of the Philippines Region XII Province of Cotabato BIDS AND AWARDS COMMITTEE Amas, Kidapawan City INVITATION TO BID FOR Supply &amp; Delivery of Laboratory Reagents for Mlang District Hospital, Mlang, Cotabato. (PB-20-309) 1.	The Provincial Governmen</t>
  </si>
  <si>
    <t xml:space="preserve"> Contract ID No. 20OH0102 Re-ads Contract Name :  Local Program-Local  Infrastructure  Program-Buildings  and other Structures - Multi-Purpose/Facilities-Construction of Multi-Purpose Building Villamor Air Base, Pasay City Contract Location: Pasay City	 Sc</t>
  </si>
  <si>
    <t xml:space="preserve"> Republic of the Philippines Region XII Province of Cotabato BIDS AND AWARDS COMMITTEE Amas, Kidapawan City INVITATION TO BID FOR Supply &amp; Delivery of IV Fluids for Mlang District Hospital, Mlang, Cotabato. (PB-20-304) 1.	The Provincial Government of Cotab</t>
  </si>
  <si>
    <t xml:space="preserve"> Invitation to Bid for Construction/Rehabilitation of Local Roads, Poblacion,Mogpog, Marinduque 1.	The Municipal Government of Mogpog, through the 2020Annual Investment Fundintends to apply the sum of ONE MILLION SEVEN HUNDRED SEVENTY NINE THOUSAND SIX HUN</t>
  </si>
  <si>
    <t xml:space="preserve"> Contract ID No. 20OH0151 Contract Name :  Proposed Construction/Rehabilitation of Water Supply/Septage and Sewerage/Rainwater                            Collector-Rainwater Collector System at: 1)	Aurora A. Quezon E/S San Andres cor. Vasquez, Malate, Mani</t>
  </si>
  <si>
    <t xml:space="preserve"> Republic of the Philippines Region XII Province of Cotabato BIDS AND AWARDS COMMITTEE Amas, Kidapawan City INVITATION TO BID FOR Supply &amp; Delivery of Various Agricultural Supplies for the Office of Provincial Agriculturist, Amas, Kidapawan City. (PB-20-30</t>
  </si>
  <si>
    <t xml:space="preserve"> 2" GRAVEL	5.67	m3 1" Gravel	0.94	m3 Portland Cement 40 kg Type I	61	Bags 3/4" Gravel	5.78	m3 Sand	7.22	m3 Ordinary Plywood (4' x 8' x 1/2") 	2	pcs 2" x 2" x 12' Cocolumber 	10	pcs Common wire nails (Assorted Size)	5	kgs 16 mmØ x 6 mtr RSB	12	pcs 12 mmØ x </t>
  </si>
  <si>
    <t xml:space="preserve"> Section I. Invitation to Bid Republic of the Philippines Province of Davao del Norte MUNICIPALITY OF TALAINGOD 								10 June , 2020 Invitation to Bid for CONSTRUCTION OF SCHOOL FENCING (PHASE II) (@Sto. Niño Central Elementary School, Talaingod, DdN 1.	</t>
  </si>
  <si>
    <t xml:space="preserve"> Republic of the Philippines Region XII Province of Cotabato BIDS AND AWARDS COMMITTEE Amas, Kidapawan City INVITATION TO BID FOR Supply of Diesel Fuel for the use of various activities and official vehicles of the Office of the Vice Governor and Sanggunia</t>
  </si>
  <si>
    <t xml:space="preserve"> INVITATION TO BID: BID REFERENCE NO. 2020-65 “(REPOSTING) PROCUREMENT OF EIGHT (8) UNITS 7HP MARINE ENGINE (GASOLINE FED) WITH COMPLETE ACCESSORIES UNDER SAAD 2020 FOR COASTAL MUNICIPALITY OF BOHOL” The DA-Bureau of Fisheries and Aquatic Resources Region </t>
  </si>
  <si>
    <t xml:space="preserve"> INVITATION TO BID BID REFERENCE NO. 2020-67 “(REPOSTING) PROCUREMENT OF VARIOUS MATERIALS FOR FABRICATION OF 8 UNITS (22FT) MOTORIZED FRP BOAT UNDER SAAD 2020 FOR COASTAL MUNICIPALITY OF BOHOL” The DA-Bureau of Fisheries and Aquatic Resources Region VII, </t>
  </si>
  <si>
    <t xml:space="preserve"> INVITATION TO BID: BID REFERENCE NO. 2020-63 “(REPOSTING) PROCUREMENT OF NINETY (90) UNITS 7.5HP MARINE ENGINE (DIESEL) WITH COMPLETE ACCESSORIES FOR CEBU PROVINCE” The DA-Bureau of Fisheries and Aquatic Resources Region VII, through the General Appropria</t>
  </si>
  <si>
    <t xml:space="preserve"> Republic of the Philippines Region XII Province of Cotabato BIDS AND AWARDS COMMITTEE Amas, Kidapawan City INVITATION TO BID FOR Supply &amp; Delivery of IT &amp; Office Equipment for the Provincial Human Resource Management Office, Amas, Kidapawan City. (PB-20-3</t>
  </si>
  <si>
    <t xml:space="preserve"> INVITATION TO BID: BID REFERENCE NO. 2020-68 “(REPOSTING) PROCUREMENT OF TWO (2) UNITS MULTI-PURPOSE VEHICLE” The DA-Bureau of Fisheries and Aquatic Resources Region VII, through the General Appropriations Act (GAA) FY 2020 intends to apply the sum of TWO</t>
  </si>
  <si>
    <t xml:space="preserve"> INVITATION TO BID: BID REFERENCE NO. 2020-66 “(REPOSTING) PROCUREMENT OF FIFTEEN (15) UNITS 7HP MARINE ENGINE (GASOLINE FED) WITH COMPLETE ACCESSORIES UNDER TARGET 2020 FOR COASTAL MUNICIPALITY OF BOHOL” The DA-Bureau of Fisheries and Aquatic Resources Re</t>
  </si>
  <si>
    <t xml:space="preserve"> INVITATION TO BID: BID REFERENCE NO. 2020-64 “(REPOSTING) PROCUREMENT OF TEN (10) UNITS 20HP MARINE ENGINE (DIESEL) WITH COMPLETE ACCESSORIES FOR CEBU PROVINCE” The DA-Bureau of Fisheries and Aquatic Resources Region VII, through the General Appropriation</t>
  </si>
  <si>
    <t xml:space="preserve"> Republic of the Philippines Region XII Province of Cotabato CITY OF KIDAPAWAN BIDS AND AWARDS COMMITTEE Invitation to Bid 						  		          Date: June 09, 2020 1.	The City Government of Kidapawan, through the 20% EDF CY 2020 Appropriation Ordinance 20-0</t>
  </si>
  <si>
    <t xml:space="preserve"> Republic of the Philippines CITY OF TACURONGAlong National Highway &amp; City S OFFICE OF THE CITY MAYOR INVITATION TO BID FOR  INSTALLATION OF SOLAR STREET LIGHTS (Contract ID No: 2020-CW-017) The City Government of Tacurong, through Locally Funded Projects </t>
  </si>
  <si>
    <t xml:space="preserve"> 1 unit Bottle and Glass Crusher Grinding Capacity: 500-1,000kg/hr Prime Mover: 10-14 HP Diesel Engine Horizontal Blades: Approx. 26 pcs, high impact steel blades Rotor Diameter: 215mm Hopper Dimension: Approx. 22" x 18" Perforation Screen Size: Approx. 5/</t>
  </si>
  <si>
    <t xml:space="preserve"> 103(1)A STRUCTURE EXCAVATION 178.56 CU.M 506 STONE MASONRY 99.58 CU.M 104(1) EMBANKMENT 48 CU.M B.5 PROJECT BILLBOARD 1 EACH</t>
  </si>
  <si>
    <t xml:space="preserve"> Republic of the Philippines PROVINCE OF SAMAR Municipality of Pinabacdao Invitation to Bid Repair of Brgy. Botoc Health Station and Installation of Facilities Pinabacdao Samar 1. The LOCAL GOVERMENT UNIT of Pinabacdao Samar, through the FY 2020 Budget int</t>
  </si>
  <si>
    <t xml:space="preserve"> Procurement of Mental Drugs Lot 1</t>
  </si>
  <si>
    <t xml:space="preserve"> Republic of the Philippines Region XII Province of Cotabato CITY OF KIDAPAWAN BIDS AND AWARDS COMMITTEE Invitation to Bid 						  		             Date: June 09, 2020 1.	The City Government of Kidapawan, through the 20% EDF CY 2020 Appropriation Ordinance 2</t>
  </si>
  <si>
    <t xml:space="preserve"> Republic of the Philippines Region XII Province of Cotabato CITY OF KIDAPAWAN BIDS AND AWARDS COMMITTEE Invitation to Bid 						  		             Date: June 9, 2020 1.	The City Government of Kidapawan, through the Trust Fund (Department of Agriculture Acco</t>
  </si>
  <si>
    <t xml:space="preserve"> The Local  Government   Unit  of General  Santos  City, through  the  GENERAL FUND CY 2020  intends  to apply  the sum of one million one hundred seventy two thousand five hundred and xx / 100 Pesos Only (1,172,500.00)   being  the Approved  Budget  for t</t>
  </si>
  <si>
    <t xml:space="preserve"> For Shortlisted Consultants only.</t>
  </si>
  <si>
    <t xml:space="preserve"> The Local  Government   Unit  of General  Santos  City, through  the  GENERAL FUND CY 2020  intends  to apply  the sum of four million six hundred eighty thousand seven hundred and xx / 100 Pesos Only (4,680,700.00)   being  the Approved  Budget  for the </t>
  </si>
  <si>
    <t xml:space="preserve"> Procurement of Mental Drugs Lot 5</t>
  </si>
  <si>
    <t xml:space="preserve"> The Local  Government   Unit  of General  Santos  City, through  the  DEPED SEF CY 2020  intends  to apply  the sum of two million four hundred twenty nine thousand eight hundred ninety six and xx / 100 Pesos Only (2,429,896.00)   being  the Approved  Bud</t>
  </si>
  <si>
    <t xml:space="preserve"> Procurement of Mental Drugs Lot 7</t>
  </si>
  <si>
    <t xml:space="preserve"> Procurement of Mental Drugs Lot 4</t>
  </si>
  <si>
    <t xml:space="preserve"> Procurement of Mental Drugs Lot 6</t>
  </si>
  <si>
    <t xml:space="preserve"> Contract ID: 			200003	 Contract Name: 	Purchase of One  (1) Unit  Heavy Equipment  for use at DPWH-Bataan 1st   District Engineering Office  (DEO) Contract Location: 		Orani,Bataan                  Approved Budget for the Contract (ABC):  Php 6,800,000.0</t>
  </si>
  <si>
    <t xml:space="preserve"> The Local  Government   Unit  of General  Santos  City, through  the  GENERAL FUND CY 2020  intends  to apply  the sum of one million five hundred eighty thousand and xx / 100 Pesos Only (1,580,000.00)   being  the Approved  Budget  for the Contract   (AB</t>
  </si>
  <si>
    <t xml:space="preserve"> REQUEST FOR QUOTATION      	Please quote your lowest price on the project listed below, subject to the Terms of Reference hereto attached.  Submit your quotation duly signed by your representative not later than 10:00 a.m. on 24 June 2020 to this address:</t>
  </si>
  <si>
    <t xml:space="preserve"> Supply and delivery of various construction materials for Various Projects LOT 5</t>
  </si>
  <si>
    <t xml:space="preserve"> Diesel Fuel etc. NOTE:To all suppliers bid documents and BAC Resolution 2020-029 are available at  BAC Office and LGU website.</t>
  </si>
  <si>
    <t xml:space="preserve"> The Local  Government   Unit  of General  Santos  City, through  the  DEPED SEF CY 2020  intends  to apply  the sum of two million eight hundred thousand and xx / 100 Pesos Only (2,800,000.00)   being  the Approved  Budget  for the Contract   (ABC) to pay</t>
  </si>
  <si>
    <t xml:space="preserve"> Republic of the Philippines Province of Cebu Municipality of Cordova BIDS AND AWARDS COMMITTEE (BAC) (032-236-6171) INVITATION TO BID  The Municipality of Cordova, through its Bids and Awards Committee (BAC) intends to apply  the sum of Eighty Million Sev</t>
  </si>
  <si>
    <t xml:space="preserve"> Republic of the Philippines Region XII Province of Cotabato City of Kidapawan OFFICE OF THE BIDS AND AWARD COMMITTEE June 9, 2020 INVITATION TO BID FOR  SUPPLY AND DELIVERY OF WITHDRAWAL SLIP BOOKLET FOR THE CDRRMO, KIDAPAWAN CITY The CITY GOVERNMENT OF K</t>
  </si>
  <si>
    <t xml:space="preserve"> 20F00124 - Maintenance, Repair and Rehabilitation of Infrastructure Facilities and Other Related Activities – Maintenance Repair and Rehabilitation of Infrastructure Facilities – Flood Control and Drainage Systems Structures and Related Facilities: Repair</t>
  </si>
  <si>
    <t xml:space="preserve"> Republic of the Philippines						 City Government of Davao						 						 INVITATION TO BID						 for Infrastructure Projects B12-2020						 						 The City Government of Davao now invites bidders for the project/s under B12-2020 as listed below.   The pros</t>
  </si>
  <si>
    <t xml:space="preserve"> Contract ID No. 20OH0150 Contract Name :  Renovation of Planning Service Offices, DPWH Head Office, Bonifacio Drive, Port Area, Manila Contract Location: Manila City	 Scope of Work: Renovation of Office Building Source of Fund and Year: GAA 2020  Approved</t>
  </si>
  <si>
    <t xml:space="preserve"> Republic of the Philippines Province of Cebu Municipality of Cordova BIDS AND AWARDS COMMITTEE (BAC) (032-236-6171) INVITATION TO BID  The Municipality of Cordova, through its Bids and Awards Committee (BAC) intends to apply  the sum of One Hundred Sixty-</t>
  </si>
  <si>
    <t xml:space="preserve"> B.5 PROJECT BILLBOARD/SIGN BOARD 1 EACH 803(1)A EXCAVATION 132 CU.M 900(1)A2 STRUCTURAL CONCRETE *WALL FOOTING 15.50 CU.M 900(1)B2 STRUCTURAL CONCRETE *SLAB ON FILL 57.60 CU.M 1046(2)A CHB NON LOAD BEARING (*INCLUDING REINFORCING STEEL) 668 SQ.M 1027(1) C</t>
  </si>
  <si>
    <t xml:space="preserve"> Republic of the Philippines Region XII Province of Cotabato City of Kidapawan OFFICE OF THE BIDS AND AWARD COMMITTEE June 9, 2020 INVITATION TO BID FOR  SUPPLY AND DELIVERY OF PLUMBING MATERIALS FOR THE PROPOSED INSTALLATION OF WATERLINES AT SITIO RIVERSI</t>
  </si>
  <si>
    <t xml:space="preserve"> Republic of the Philippines PROVINCE OF MISAMIS OCCIDENTAL Municipality of Clarin ooOoo INVITATION TO APPLY FOR ELIGIBILITY AND TO BID (IAEB) The Municipal Government of Clarin, Province of Misamis Occidental, through its Bid and Award Committee (BAC) inv</t>
  </si>
  <si>
    <t xml:space="preserve"> Republic of the Philippines Region XII Province of Cotabato City of Kidapawan OFFICE OF THE BIDS AND AWARD COMMITTEE June 9, 2020 INVITATION TO BID FOR  SUPPLY AND DELIVERY OF GROCERY ITEMS AND PERISHABLE GOODS FOR THE USE OF KIDAPAWAN CITY HOSPITAL The C</t>
  </si>
  <si>
    <t xml:space="preserve"> Project Description: 1.  Relocation of escape ladder, plumbing works &amp; electrical works (SB Office) 2.  Repair of roofing, ceiling (portion) of the following offices:      a. Agriculture Office      b. Budget Office      c. DILG Office      d. Hallway, Co</t>
  </si>
  <si>
    <t xml:space="preserve"> Supply and Delivery of Additional Global Navigation Satellite System assigned at PDD (PR No. 20-03-074 dated 3/09/2020), DPWH Regional Office No. V, Rawis, Legazpi City</t>
  </si>
  <si>
    <t xml:space="preserve"> Republic of the Philippines Region XII Province of Cotabato City of Kidapawan OFFICE OF THE BIDS AND AWARD COMMITTEE June 9, 2020 INVITATION TO BID FOR  SUPPLY AND DELIVERY OF OFFICE AND JANITORIAL SUPPLIES FOR THE USE OF THE CPDC AND KIDAPAWAN CITY POLIC</t>
  </si>
  <si>
    <t xml:space="preserve"> Name of  Project/Contract	:	IMPROVEMENT OF ANDELUCIA FMR Location				:	BINOGAWAN,  Kasibu, Nueva Vizcaya Brief Description			:	1. Road Opening 					2. Installation of 18” RCPC 					 Approved Budget  for the Contract (ABC)		:	P 678,730.75 Source of Fund			</t>
  </si>
  <si>
    <t xml:space="preserve"> INVITATION TO BID GS 2020-006-020              FABRICATION AND SUPPLY OF FIBER GLASS MOTORIZED MOTORBOAT AND NON-MOTORIZED MOTORBOAT(SIBID-SIBID) 1.	The City Government of Sorsogon, through the Tanging Program under the 10 Pts. Agenda Other Purpose Funds </t>
  </si>
  <si>
    <t xml:space="preserve"> INVITATION TO BID FOR  IMPROVEMENT OF MULTI-PURPOSE DRYING PAVEMENT - CAMANGAAN The Municipality of San Juan, through its Bids and Awards Committee (BAC), invites contractors to submit bids for the following Contract: Contract ID		:          	20-00040				</t>
  </si>
  <si>
    <t xml:space="preserve"> 1 bag Portland cement 228.00 2 Kgs. 42-12mm Ø X 6m RSB 223.86 3 Kgs. 174-10mm Ø X 6m RSB 643.80 4 Kgs #16 Tie Wire 16.00 5 Kgs. Asstd CW Nails 29.00 6 Gal. solignum 1.00 7 Pcs. 9’pre-painted corr G1 sheet 22.00 8 Kgs. Twisted roof nail 6.00 9 L Vulcaseal </t>
  </si>
  <si>
    <t xml:space="preserve"> Republic of the Philippines Province of Southern Leyte MUNICIPALITY OF SAINT BERNARD BIDS AND AWARDS COMMITTEE INVITATION TO RE-BID FOR SUPPLY AND DELIVERY OF ONE (1) UNIT 6-WHEELER 4 x 4, 6 CUBIC METER DUMPTRUCK BAC-SBSL-MENRO-2020-10A 1.	The Municipalit</t>
  </si>
  <si>
    <t xml:space="preserve"> Name of  Project/Contract	:	COMPLETION OF STANDARD BIRTHING CLINIC - ALIMIT Location				:	ALIMIT,  Kasibu, Nueva Vizcaya Brief Description			:	1. Construction of Reinforced Concrete Slabs 					2. Installation of 4” CHB 					3. 20mm thick plastering works </t>
  </si>
  <si>
    <t xml:space="preserve"> this project consist of delivery of materials and construction projects</t>
  </si>
  <si>
    <t xml:space="preserve"> Name of  Project/Contract	:	CONSTRUCTION OF STANDARD DAYCARE CENTER BUILDING WITH COMPLETE FACILITIES Location				:	ALIMIT,  Kasibu, Nueva Vizcaya Brief Description			:	1. Reinforced concrete beams, columns and slabs 					2. Installation of CHB 					3. St</t>
  </si>
  <si>
    <t xml:space="preserve"> Name of  Project/Contract	:	IMPROVEMENT OF FMR-EDRALIN-ATAN ROAD Location				:	ANTUTOT,  Kasibu, Nueva Vizcaya Brief Description			:	1. 0.15M thick aggregate base coarse 					2. Construction of 0.15m x 5.0m x 45m PCCP and 0.15m x 445m concrete tirepath 		</t>
  </si>
  <si>
    <t xml:space="preserve"> Republic of the Philippines Bangsamoro Autonomous Region in Muslim Mindanao Provincial Government of Maguindanao BIDS AND AWARDS COMMITTEE Buluan, Maguindanao INVITATION TO BID FOR SUPPLY AND DELIVERY OF 4X4 PICK-UP 1.	The Provincial Government of Maguind</t>
  </si>
  <si>
    <t xml:space="preserve"> Concrete Paving along River Park 100LM NOTE:To all bidders bid documents and BAC Resolution 2020-029 are available at BAC Office and LGU website.</t>
  </si>
  <si>
    <t xml:space="preserve"> Republic of the Philippines Province of Cavite City of General Trias BARANGAY MANGGAHAN Invitation to Bid for  Project Reference No. B-19-20-002– ROAD REBLOCKING AND CONSTRUCTION OF DRAINAGE CANAL WITH COVER AT BARANGAY MANGGAHAN, CITY OF GENERAL TRIAS, C</t>
  </si>
  <si>
    <t xml:space="preserve"> 800(1) CLEARING &amp; GRUBBING 250 SQ.M 803(1) STRUCTURE EXCAVATION 120 CU.M 505(5) GROUTED RIPRAP (CLASS A) 253.13 CU.M 900(1)B4 PLAIN AND REINFORCED CONCRETE WORKS 52.32 104(1) EMBANKMENT 48 CU.M SPL INSTALLATION OF BAILEY BRIDGE(PANEL LUMBER ACCESSORIES &amp; </t>
  </si>
  <si>
    <t xml:space="preserve"> 1 bags Portland Cement 229.00 2 kgs 215-10mm Ø X 6m RSB 795.50 3 kgs #16 G.I Tie wire 24.00 4 kgs Assorted CWN 63.00 5 pcs 1/2" x 4'x8' Ordinary Plywood 22.00 6 kgs 44-16mm Ø X 6m RSB 369.33 7 pcs CHB 4" X 8" X 16" 1,003.00 8 bags Water Proofing Compound(</t>
  </si>
  <si>
    <t xml:space="preserve"> 2 COMFORT ROOMS &amp; KITCHEN SINK Item No.	Quantity	Unit	Description 			MASONRY WORKS 	14	pieces	60x60 Tiles double polish  	164	pieces	30x30 Wall Tiles  	40	pieces	30x30 Floor Tiles  	4	pieces	Aluminum Tile trim 	9	pieces	Plastic Tile trim 	22	pieces	10mm D</t>
  </si>
  <si>
    <t xml:space="preserve"> BIDS AND AWARDS COMMITTEE  INVITATION TO BID The DEPARTMENT OF HEALTH – CENTRAL VISAYAS CENTER for HEALTH DEVELOPMENT (DOH CV CHD), through its Bids and Awards Committee (BAC), invites suppliers to bid for the hereunder projects: BAC NO. 2020 - E06 Item #</t>
  </si>
  <si>
    <t xml:space="preserve"> WATER &amp; SANITATION 1 (ELEVATED FLOORING, WITH ROOFING &amp; 10 FAUCET) Item No.	Quantity	Unit	Description 			MASONRY WORKS 	36	pieces	60x60 Tiles double polish  	12	pieces	10mm Deformed steel bar 	2	pieces	Plywood 1/4 	10	pieces	Good Lumber 2x2x8 	250	pieces	</t>
  </si>
  <si>
    <t xml:space="preserve"> INVITATION TO BID FOR PROCUREMENT OF DENTAL DIGITAL PANORAMIC X-RAY WITH COMPLETE ACCESORRIES AND INSTALLATION IB No. 2020-06-29 (12) 1.	The Adela Serra Ty Memorial Medical Center, through HFEP CY 2019  intends to apply the sum of Two Million Pesos Only (</t>
  </si>
  <si>
    <t xml:space="preserve"> Republic of the Philippines Region XII Province of Cotabato CITY OF KIDAPAWAN BIDS AND AWARDS COMMITTEE Invitation to Bid 						  		             Date: June 09, 2020 1.	The City Government of Kidapawan, through the Local Disaster Risk Reduction Management </t>
  </si>
  <si>
    <t xml:space="preserve"> INVITATION TO BID SUPPLY AND DELIVERY OF DESKTOP COMPUTER AND OTHER EQUIPMENT  1.	The NATIONAL DAIRY AUTHORITY through the PL480 FUNDS intends to apply the sum of PESOS: ONE MILLION NINE HUNDRED TWENTY FIVE THOUSAND FIVE HUNDRED (P1,925,500.00) ONLY on th</t>
  </si>
  <si>
    <t xml:space="preserve"> Republic of the Philippines Region XII Province of Cotabato CITY OF KIDAPAWAN BIDS AND AWARDS COMMITTEE Invitation to Bid 						  		            Date: June 09, 2020 1.	The City Government of Kidapawan, through the Local Disaster Risk Reduction Management F</t>
  </si>
  <si>
    <t xml:space="preserve"> Republic of the Philippines Province of Iloilo  BIDS AND AWARDS COMMITTEE REQUEST FOR QUOTATION Quotation No.GOV-20-0331-NP (SV) Reference PR No. GOV-20-0331 June 5, 2020 _______________________ _______________________ (Supplier’s Name and Office Address)</t>
  </si>
  <si>
    <t xml:space="preserve"> Name of  Project/Contract	:	CONSTRUCTION OF DAYCARE CENTER Location				:	CAPISAAN,  Kasibu, Nueva Vizcaya Brief Description			:	1. Construction of 15.50m x 8.50m one storey building (Phase II) 					2. Excavation works for the exterior wall footing. 					3</t>
  </si>
  <si>
    <t xml:space="preserve"> Name of  Project/Contract	:	IMPROVEMENT OF LOWER SISI-MANTAE-LIMAN ROAD Location				:	PUDI,  Kasibu, Nueva Vizcaya Brief Description			:	1.Excavation for Structure 					2. Aggregate base coarse 					3. Installation of 24” and 36” RCPC with Stone Masonry H</t>
  </si>
  <si>
    <t xml:space="preserve"> Important Notice for Bidders: 1. Bid documents will be available to prospective bidder upon payment of a non-refundable amount of Five Thousand Pesos Only (P 5,000.00) to the Basilan State College Cashier 2. All bidders are required to post a Bid Security</t>
  </si>
  <si>
    <t xml:space="preserve"> Name of  Project/Contract	:	CONCRETINGOF FMR (KAKIDUGEN-CATARAWAN) Location				:	KAKIDUGEN,  Kasibu, Nueva Vizcaya Brief Description			:	1. Excavation for Structure 					2. 0.15m x 5m x 255m aggregate base coarse 					3. Construction of 0.15m x 5.0m x 255</t>
  </si>
  <si>
    <t xml:space="preserve"> City Government of Manila INVITATION TO BID NO. 2020-06-78 Procurement of Various Airconditioning Units and Supplies &amp; Materials for Installation 1.	The City Government of Manila, through the Philhealth Trust Fund CY 2020  intends to apply the sum of Two </t>
  </si>
  <si>
    <t xml:space="preserve"> City Government of Manila INVITATION TO BID NO. 2020-06-75 Procurement of Two (2) Units Bed Passenger Elevator including Installation, Testing  Commissioning, Civil Works, Dismantling and Preventive Maintenance  1.	The City Government of Manila, through t</t>
  </si>
  <si>
    <t xml:space="preserve"> Item No. | Description | Unit | Quantity SPL I | Excavation / Disposal | cu m | 2.88 SPL II | Concrete Works / Forms | cu m | 1.71 SPL III | Pole Works | pcs | 10 SPL IV | Construction Healty &amp; Safety | set | 1 Other Information Activities Schedule: 1. Is</t>
  </si>
  <si>
    <t xml:space="preserve"> 1 - GONGS, Kalsa and Pinsak = 19 sets 2 - SOLIBAO, Solibao and Kimbal = 19 sets Note: made of carabao, cow or deer skin, good quality</t>
  </si>
  <si>
    <t xml:space="preserve"> Lot No.	Unit	Item Description/Particular	Quantity     No. of Pax	   Unit Cost	Total  Cost Lot  No. 1	pax	PSA-RSSO IX - Zamboanga City- Procurement of  Catering Services  (Lunch with AM and PM Snacks) Live-out for 6 days  in the conduct of the  4th Level  </t>
  </si>
  <si>
    <t xml:space="preserve"> PROJECT: PROCUREMENT OF 26 UNITS MOTOR CYCLE W/ SIDECAR LOCATION: RIZAL, NUEVA ECIJA DESCRIPTION: 26 UNITS MOTOR CYCLE W/ SIDECAR SOURCE OF FUND: GENERAL FUND ABC: PHP 2,000,000.00</t>
  </si>
  <si>
    <t xml:space="preserve"> Construction of Multi – Purpose Pavement and delivery of construction materials</t>
  </si>
  <si>
    <t xml:space="preserve"> Republic of the Philippines Province of Eastern Samar City of Borongan -0- BIDS AND AWARDS COMMITTEE ------------------------------------------------------------------------------------------ Invitation to Bid for CONSTRUCTION OF LOOM RIVER FRONT PARK AT </t>
  </si>
  <si>
    <t xml:space="preserve"> B.5 PROJECT BILLBOARD/SIGNBOARD 1 EACH 101(3)B3 REMOVAL OF ACTUAL STRUCTURES/OBSTRUCTIONS 1,200.20 SQ.M 103(1) STRUCTURE EXCAVATION 17.64 CU.M 300(1) AGGREGATE SURFACE COURSE(UNCRUSHED) 188.60 CU.M 311(1)A PORTLAND CEMENT CONCRETE PAVEMENT 1,109.40 CU.M</t>
  </si>
  <si>
    <t xml:space="preserve"> Item I	-92.16 sq.m. Ceiling works Item II	-65 l.m. Fencing works Item III	-101.71 sq.m. Tileworks Item IV	-16.46 sq.m. Glassworks Item V	-736.47 sq.m. Paintworks Item VI	-130.35 l.m. Installation of Fascia board Item VII	-6 units Installation of Doors Ite</t>
  </si>
  <si>
    <t xml:space="preserve"> 1. PORTLAND CEMENT 49 BAGS 2. WATER PROOFING COMPOUND 49 BAGS 3. 80-12MM DIA X 6M RSB 426.4 KGS 4. 30-10MM DIA X 6M RSB 111 KGS 5. #16 TIE WIRE 9 KGS 6. ASSORTED CWN NAILS 8 KGS 7. FORM OIL 1 LIT 8. ½” X 4’ X 8’ ORDINARY PLYWOOD 30 PCS 9. 2” X 6M DIA G.I.</t>
  </si>
  <si>
    <t xml:space="preserve"> City Government of Manila INVITATION TO BID NO. 2020-06-82 Procurement of Various Manila Aide Uniform, Supplies and Materials 1.	The City Government of Manila, through the General Fund CY 2020 - Other Supplies and Materials Expenses intends to apply the s</t>
  </si>
  <si>
    <t xml:space="preserve"> Procurement of Space Spray (cyphenothrin 5%,BTL)</t>
  </si>
  <si>
    <t xml:space="preserve"> Procurement of Mental Drugs Lot 3</t>
  </si>
  <si>
    <t xml:space="preserve"> Procurement of Mental Drugs Lot 2</t>
  </si>
  <si>
    <t xml:space="preserve"> Supply and Installation of Additional 3-units Air Conditioning Units at Construction Division DPWH RO-V, (PR No. 20-02-038 dated 2/19/2020), DPWH Regional Office No. V, Rawis, Legazpi City</t>
  </si>
  <si>
    <t xml:space="preserve"> Republic of the Philippines Department of Health 	ADELA SERRA TY MEMORIAL MEDICAL CENTER	 		Capitol Hills, Tandag City, Surigao del Sur Telefax No. 086-211-4306, E-mail add: astmmc_hbac@yahoo.com.ph INVITATION TO BID FOR PROCUREMENT OF FULLY AUTOMATED DIG</t>
  </si>
  <si>
    <t xml:space="preserve"> City Government of Manila INVITATION TO BID  NO. 2020-06-81 Procurement of Various Construction Supplies and Materials 1.	The City Government of Manila, through the General Fund CY 2020 – Repairs and Maintenance – Infrastructure Assets &amp; Repairs and Maint</t>
  </si>
  <si>
    <t xml:space="preserve"> City Government of Manila INVITATION TO BID  NO. 2020-06-79 Procurement of Various Electrical Supplies and Materials 1.	The City Government of Manila, through the General Fund CY 2020 – Other Supplies and Materials Expenses intends to apply the sum of Two</t>
  </si>
  <si>
    <t xml:space="preserve"> City Government of Manila INVITATION TO BID  NO. 2020-06-76 Procurement of Asphalt, Bitumul and Thermoplastic Lane Marking 1.	The City Government of Manila, through the General Fund CY 2020 – Repairs and Maintenance – Infrastructure Assets intends to appl</t>
  </si>
  <si>
    <t xml:space="preserve"> City Government of Manila INVITATION TO BID  NO. 2020-06-63A Rental of Heavy Equipment 1.	The City Government of Manila, through the General Fund CY 2020 – Rent Expenses intends to apply the sum of Two Million Five Hundred  Thousand Pesos Only (Php2,500,0</t>
  </si>
  <si>
    <t xml:space="preserve"> (see bidding documents in the associated component for further project details)</t>
  </si>
  <si>
    <t xml:space="preserve"> City Government of Manila INVITATION TO BID  NO. 2020-06-88 Procurement of Various Vehicle Spare Parts 1.	The City Government of Manila, through the General Fund CY 2020 – Other Supplies and Materials Expenses intends to apply the sum of One Million Three</t>
  </si>
  <si>
    <t xml:space="preserve"> City Government of Manila INVITATION TO BID  NO. 2020-06-53A Preventive Maintenance Services for Various Hospital and Medical Equipment 1.	The City Government of Manila, through the General Fund CY 2020 – Repairs and Maintenance – Machinery and Equipment </t>
  </si>
  <si>
    <t xml:space="preserve"> Bathroom Soap 70g, asst. scent									50	pc Bleaching Solution 1/2 gal.										48	gal Broom/Walis Tambo											20	pc Bulb, LED, 12 watts, 180-265 volts								40	pc Chlorine													2	kg Detergent Bar 140g											100	bar Detergent Powder 500g</t>
  </si>
  <si>
    <t xml:space="preserve"> City Government of Manila INVITATION TO BID  NO. 2020-06-83 Procurement of Various Supplies and Materials 1.	The City Government of Manila, through the General Fund CY 2020 – Other Supplies and Materials Expenses  intends to apply the sum of  Five Million</t>
  </si>
  <si>
    <t xml:space="preserve"> BIDS AND AWARDS COMMITTEE  FDA-BAC Ref. No. ITB No. 2020-002-CSL INVITATION TO BIDS SUPPLY AND DELIVERY OF VARIOUS LABORATORY STANDARDS, REAGENTS AND MEDIA FOR ALABANG TESTING AND QUALITY ASSURANCE LABORATORY (ATQAL) AND CEBU TESTING AND QUALITY ASSURANCE</t>
  </si>
  <si>
    <t xml:space="preserve"> Diazepam 10mg/2mL ampule										20	amp Ephedrine 50mg/ml amp											10	amp Haloperidol 50mg ampule											10	amp Ketamine 50mg													5	vial Morphine Sulfate 10mg ampule 										10	amp Nalbuphine 10mg												10	amp Phenytoin 50mg							</t>
  </si>
  <si>
    <t xml:space="preserve"> Activated Charcoal sachet 100 g	                                                                 40	sachet Amikacin 125mg/ml/2ml	                                                                        100	amp Amiodarone 150mg ampule 3ml	                  </t>
  </si>
  <si>
    <t xml:space="preserve"> Disp. Syringe 1 cc 100's/box									30	box Disp. Syringe 3 cc 100's/box									30	box Disp. Syringe 5 cc 100's/box									30	box Digital Thermometer 											25	pc ECG Paper  112MM x 2, 5's										10	box Surgical Facemask 50's										40	box Facem</t>
  </si>
  <si>
    <t xml:space="preserve"> PROJECT NAME: PROPOSED CONSTRUCTION OF CONCRETE PERIMETER FENCE LOCATION: KINAN-OAN ELEMENTARY SCHOOL, KINAN-OA, TRINIDAD, BOHOL OWNER'S NAME: DEP-ED - KES TOTAL LENGTH: 55 METERS PROJECT COST: 200,000</t>
  </si>
  <si>
    <t xml:space="preserve"> Republic of the Philippines DR. EMILIO B. ESPINOSA, SR. MEMORIAL STATE COLLEGE  OF AGRICULTURE AND TECHNOLOGY (Masbate State College) BIDS AND AWARDS COMMITTEE http:www.debesmscat.edu.ph INVITATION TO BID FOR THE SUPPLY AND DELIVERY OF  EQUIPMENT, SUPPLIE</t>
  </si>
  <si>
    <t xml:space="preserve"> Please see attached purchase request</t>
  </si>
  <si>
    <t xml:space="preserve"> Republic of the Philippines DR. EMILIO B. ESPINOSA, SR. MEMORIAL STATE COLLEGE  OF AGRICULTURE AND TECHNOLOGY (Masbate State College) BIDS AND AWARDS COMMITTEE http:www.debesmscat.edu.ph INVITATION TO BID FOR THE SUPPLY, DELIVERY AND INSTALLATION OF OFFIC</t>
  </si>
  <si>
    <t xml:space="preserve"> Construction of Bank Protection at Abowok, Junction, Pinukpuk</t>
  </si>
  <si>
    <t xml:space="preserve"> Asepto Syringe 50ml													20	pc Adult Diaper large 10's												20	pack Examination Gloves Medium 50's								         		20	box Disposable Syringe 10ml 100's											10	box Elastic Bandage 3" 12's												6	pcs Elastic Bandage 4" 12's							</t>
  </si>
  <si>
    <t xml:space="preserve"> City Government of Manila INVITATION TO BID  NO. 2020-06-80 Procurement of one (1) lot Molecular Laboratory Set Up 1.	The City Government of Manila, through the General Fund CY 2020 – Medical Equipment-Capital Outlay   intends to apply the sum of  Fourtee</t>
  </si>
  <si>
    <t xml:space="preserve"> Republic of the Philippines Province of Batanes	 MUNICIPALITY OF BASCO               		INVITATION TO BID FOR THE PROCUREMENT OF SUBMERSIBLE PUMPS WITH CAPACITOR 1.	The Municipal Local Government Unit of Basco, through the General Fund  intends to apply th</t>
  </si>
  <si>
    <t xml:space="preserve"> Republic of the Philippines BULACAN STATE UNIVERSITY City of Malolos, Bulacan ________________________________________ INVITATION TO BID FOR   Re-Bidding Supply and Delivery of Ground Penetrating Radar (BulSU-BAC-G-2020-14) The BULACAN STATE UNIVERSITY (B</t>
  </si>
  <si>
    <t xml:space="preserve"> Republic of the Philippines MUNICIPALITY OF KAPALONG Province of Davao del Norte 	o0o	 INVITATION TO BID 	 Supply &amp; Delivery of Materials for the Repair and Maintenance of Other Transportation Equipment  1.	The Local Government Unit of Kapalong, through t</t>
  </si>
  <si>
    <t xml:space="preserve"> BIDS AND AWARDS COMMITTEE  FDA-BAC Ref. NO. ITB No. 2020-003-CSL INVITATION TO BIDS 1.       The Food and Drug Administration (FDA), through the FDA MOOE Fund of 2020 intends to apply the sum of Three Million Nine Hundred Thirty-Seven Thousand Two Hundred</t>
  </si>
  <si>
    <t xml:space="preserve"> Road Concreting - 360 length                            2.5 width</t>
  </si>
  <si>
    <t xml:space="preserve"> 1 LOT</t>
  </si>
  <si>
    <t xml:space="preserve"> P H I L I P P I N E   A R M Y OFFICE OF THE PHILIPPINE ARMY SPECIAL BIDS AND AWARDS COMMITTEE Fort Andres Bonifacio, Metro Manila Invitation to Bid The Armed Forces of the Philippines, through the Philippine Army Special Bids and Awards Committee (PASBAC)</t>
  </si>
  <si>
    <t xml:space="preserve"> The LOCAL BARANGAY GOVERNMENT UNIT of Barangay V, intends to apply the sum above-stated being the Approved Budget for the Contract (ABC) to payments under the contract for Construction of Drainage Canal, specified hereunder: MATERIALS COST      -     106,</t>
  </si>
  <si>
    <t xml:space="preserve"> The Barangay Local Government of Depase, Municipality of Bayog, Zamboanga del Sur thru its Bids and Awards Committee (BAC) invites all interested bidders for the “CONSTRUCTION OF EVACUATION CENTER (PHASE III)”  with project location at Barangay Depase,  B</t>
  </si>
  <si>
    <t xml:space="preserve"> Republic of the Philippines MUNICIPALITY OF KAPALONG Province of Davao del Norte 	o0o	 INVITATION TO BID 	 Supply &amp; Delivery of Other Supplies 1.	The Local Government Unit of Kapalong, through the General Fund  intends to apply the sum of Three Hundred Ei</t>
  </si>
  <si>
    <t xml:space="preserve"> Republic of the Philippines MUNICIPALITY OF KAPALONG Province of Davao del Norte 	o0o	 INVITATION TO BID 	 Supply &amp; Delivery of Other Supplies 1.	The Local Government Unit of Kapalong, through the General Fund  intends to apply the sum of Nine Hundred For</t>
  </si>
  <si>
    <t xml:space="preserve"> The LOCAL BARANGAY GOVERNMENT UNIT of Barangay Naguiddayan, intends to apply the sum above-stated being the Approved Budget for the Contract (ABC) to payments under the contract for (Concreting &amp; Widening of Barangay Road), specified hereunder: MATERIALS </t>
  </si>
  <si>
    <t xml:space="preserve"> 1.	The Local Government Unit of Tubigon, Bohol, through the budget for the contract approved by the Sangguniang Bayan (20% Development Fund) intends to apply the sum of One Million Four Hundred Sixty-One Thousand Four Hundred Ninety-Seven and 96/100 Pesos</t>
  </si>
  <si>
    <t xml:space="preserve"> Office Supplies-Bond Paper Short,Bond Paper Long,Mosquito Killer,etc....</t>
  </si>
  <si>
    <t xml:space="preserve"> 1.	The Local Government Unit of Tubigon, Bohol, through the budget for the contract approved by the Sangguniang Bayan (20% Development Fund) intends to apply the sum of One Million One Hundred Seventy-Nine Thousand Three Hundred Thirty-Five Pesos (P1,179,</t>
  </si>
  <si>
    <t xml:space="preserve"> Republic of the Philippines							 DEPARTMENT OF PUBLIC WORKS AND HIGHWAYS							 CAGAYAN 2ND							 DISTRICT ENGINEERING OFFICE							 Regional Office II							 Abulug, Cagayan							 							 							 Procuring Entity:		DPWH-Cagayan 2nd DEO	P.R. No.:			20</t>
  </si>
  <si>
    <t xml:space="preserve"> Republic of the Philippines CITY OF MALABON Metro Manila BIDS AND AWARDS COMMITTEE I N V I T A T I O N    T O    B I D SUPPLY AND DELIVERY OF MOBILE CARS FOR THE  PHILIPINE NATIONAL POLICE - MALABON 1.	The City Government of Malabon, through the Trust Fun</t>
  </si>
  <si>
    <t xml:space="preserve"> 1 pieces 3”Ø Gate Valve, Flanged type with Companion flanges, and BNG (please see complete specifications below) Approved Budget Cost: ₱16,400.00 / pc 1 piece 2”Ø Gate Valve, Flanged type with combi-flanges, sealing ring and bolts &amp;nuts (please see comple</t>
  </si>
  <si>
    <t xml:space="preserve"> Republic of the Philippines MUNICIPALITY OF KAPALONG Province of Davao del Norte 	o0o	 INVITATION TO BID 	 Supply &amp; Delivery of Various Medicine 1.	The Local Government Unit of Kapalong, through the General Fund  intends to apply the sum of Two Hundred Tw</t>
  </si>
  <si>
    <t xml:space="preserve"> Republic of the Philippines MUNICIPALITY OF CATARMAN Province of Northern Samar 	-ooOoo- BIDS &amp; AWARDS COMMITTEE INVITATION TO BID 	The Local Government of Catarman, Northern Samar invites interested parties/contractors to Apply for Eligibility and to Bid</t>
  </si>
  <si>
    <t xml:space="preserve"> Republic of the Philippines MUNICIPALITY OF KAPALONG Province of Davao del Norte 	o0o	 INVITATION TO BID 	 Supply &amp; Delivery of Materials for the Fabrication of Water Tanker w/ Trailer –Brgy. Maniki, Kapalong   1.	The Local Government Unit of Kapalong, th</t>
  </si>
  <si>
    <t xml:space="preserve"> INVITATION TO BID  PROCUREMENT OF RESCUE ROPES FOR BASIC ROPE RESCUE SKILLS                                                                                                                                              PPSC BAC IB NO.005 (G) 2020 1.	The Phi</t>
  </si>
  <si>
    <t xml:space="preserve"> DRRM Supplies and Materials</t>
  </si>
  <si>
    <t xml:space="preserve"> Construction Materials &amp; Supplies-2x3x16 Lumber,2x4x6 Lumber,Hollow Block No.4,etc...</t>
  </si>
  <si>
    <t xml:space="preserve"> Invitation to Bid for Construction of Nutripack Center at Brgy. San Roque, Oras, Eastern Samar 1.	The Local Government Unit of Oras, through the General Appropriations Act of 2020 intends to apply the sum of Six Hundred Ninety Four Thousand One Hundred Ei</t>
  </si>
  <si>
    <t xml:space="preserve"> Republic of the Philippines Cordillera Administrative Region Mountain Province MUNICIPALITY OF TADIAN OFFICE OF THE BIDS AND AWARDS COMMITTEE Invitation to Bid for   REHABILITATION OF CAGUBATAN DOMESTIC DOMESTIC WATER SYSTEM Date: June 9, 2020 1.	The Muni</t>
  </si>
  <si>
    <t xml:space="preserve"> Republic of the Philippines Province of Southern Leyte Municipality of Tomas Oppus Invitation to Bid  PROCUREMENT OF MATERIALS FOR THE CONSTRUCTION OF  COMMUNITY LEARNING CENTER 1.	The Barangay Local Government Unit, Hinagtikan, Tomas Oppus, Southern Leyt</t>
  </si>
  <si>
    <t xml:space="preserve"> Republic of the Philippines MUNICIPALITY OF KAPALONG Province of Davao del Norte 	o0o	 INVITATION TO BID 	 Supply &amp; Delivery One (1) unit Mini Hydraulic Excavator 1.	The Local Government Unit of Kapalong, through the MDRRM Fund   intends to apply the sum </t>
  </si>
  <si>
    <t xml:space="preserve"> 1	Pick-up Type Vehicle Not exceeding 3000cc engine displacement, diesel-fed 4 cylinders Manual Freedom White(Pearl White)/Silver Mettalic/Attitude Black Mica(Midnight Black) 2	Asian Utility Vehicle Not exceeding 2500cc engine displacement, diesel-fed and </t>
  </si>
  <si>
    <t xml:space="preserve"> 201 Aggregate Base Course 311 Portland Cement Concrete Pavement</t>
  </si>
  <si>
    <t xml:space="preserve"> Purchase of RESCUE SUPPLIES AND EQUIPMENT</t>
  </si>
  <si>
    <t xml:space="preserve"> Republic of the Philippines MUNICIPALITY OF KAPALONG Province of Davao del Norte 	o0o	 INVITATION TO BID 	 Supply &amp; Delivery of Materials for the Improvement of Water System at Prk. 2, Taguango, Brgy. Sua-on, Kapalong, Davao del Norte 1.	The Local Governm</t>
  </si>
  <si>
    <t xml:space="preserve"> Date: June 08, 2020 1.	The Provincial Government of Davao del Sur, through its Bids and Awards Committee (BAC), invites all potential bidders / suppliers to apply to bid for the following goods. Bids received in excess of the ABC shall be automatically re</t>
  </si>
  <si>
    <t xml:space="preserve"> Republic of the Philippines MUNICIPALITY OF KAPALONG Province of Davao del Norte 	o0o	 INVITATION TO BID 	 Supply &amp; Delivery of Materials for Proposed Closure and Rehabilitation of Open Dumpsite at Banate Capungagan, Kapalong, Davao del Norte 1.	The Local</t>
  </si>
  <si>
    <t xml:space="preserve"> See Phil. Bidding Documents, Bill of Quantities and Checklist hereto attached.</t>
  </si>
  <si>
    <t xml:space="preserve"> Republic of the Philippines MUNICIPALITY OF KAPALONG Province of Davao del Norte 	o0o	 INVITATION TO BID 	 Supply &amp; Delivery of Animal/Zoological Supplies  1.	The Local Government Unit of Kapalong, through the General Fund  intends to apply the sum of Fiv</t>
  </si>
  <si>
    <t xml:space="preserve"> Surgical brush with betadine soap									50	pc Smack Gown													24	pc Cotton Strand Suture 											5	pc Chromic 0, round												72	pc Chromic 0, cutting												72	pc Chromic 2-0, round with round needle									600	pc Chromic 2-0, cuttin</t>
  </si>
  <si>
    <t xml:space="preserve"> INVITATION TO BID Bid No. B-79-2020 (*REBIDDING) 1.	The Provincial Government of Negros Oriental, through Responsibility Center: 8918-021(19), intends to apply the sum of Five Million Three Hundred Ninety Thousand Pesos (Php 5,390,000.00) being the Approv</t>
  </si>
  <si>
    <t xml:space="preserve"> The Barangay Cagumitan, Tuao Cagayan through its 10% SK fund intends to apply the sum of Php 80,000.00 being the Approved Budget for the Contract (ABC) to payments under the contract for purchased FIBER GLASS BOARD WITH BASKETBALL WITH RING . Bids receive</t>
  </si>
  <si>
    <t xml:space="preserve"> Republic of the Philippines MUNICIPALITY OF KAPALONG Province of Davao del Norte 	o0o	 INVITATION TO BID 	 Supply &amp; Delivery of Materials for the Construction of Adolescent Health Center at Brgy. Maniki, Kapalong  1.	The Local Government Unit of Kapalong,</t>
  </si>
  <si>
    <t xml:space="preserve"> Construction of Sanitary Landfill- Cell 3 at Nabanngan, Payawan, Lamut, Ifugao Please see attached documents</t>
  </si>
  <si>
    <t xml:space="preserve"> INVITATION TO BID Project Name:	Installation of Additional Streetlights Project Location:	Brgy. Mayo, City of Mati, Davao Oriental Name of Bidder:	 Address :	 ITB Number:	Mayo – 03-20 ABC	P 300,000.00 Please quote your lowest price on the item/s listed be</t>
  </si>
  <si>
    <t xml:space="preserve"> IT Equipments</t>
  </si>
  <si>
    <t xml:space="preserve"> Republic of the Philippines Province of Sarangani BIDS AND AWARD COMMITTEE Municipality of Maasim INVITATION TO APPLY FOR ELIGIBILITY AND TO BID 	 	The Municipal Government of Maasim invites suppliers to apply for eligibility and to bid for the supply and</t>
  </si>
  <si>
    <t xml:space="preserve"> RFQ-GS-20200603-02 Interested Suppliers are invited to submit Sealed Price Quotation for the above listed item. The official LANDBANK Request for Quotation Form may be obtained from MS. LUBELLE LUMABAS, 25th Floor, Procurement Department, LANDBANK Plaza B</t>
  </si>
  <si>
    <t xml:space="preserve"> 1	Passenger Van Not exceeding 3000cc engine displacement, diesel-fed and 4 cylinders</t>
  </si>
  <si>
    <t xml:space="preserve"> Republic of the Philippines PROVINCE OF ZAMBOANGA SIBUGAY Municipality of Roseller T. Lim OFFICE OF THE BAC CHAIRMAN Barangay Calula INVITATION TO BID 						June 08, 2020 To All Interested Bidders: Notice is hereby served that sealed bid be received for p</t>
  </si>
  <si>
    <t xml:space="preserve"> ITB No. 2020-08 (SHORT OF AWARD) 1.	The SUGAR REGULATORY ADMINISTRATION, through the SRA Corporate Operating Budget 2020 intends to apply the sum of One Million Three Hundred Fifty Thousand Pesos (₱1,350,000.00) being the total Approved Budget for the Con</t>
  </si>
  <si>
    <t xml:space="preserve"> Description   SITE CLEARING AND GRUBBING Removal of Vegetations STRUCTURAL EXCAVATION Waster Disposal and Backfill Foundation fill Reinforcing steel Structural Concrete, Class A Pipe Culverts, 575 mm dia. RCCP Stone Masonry Units Warning and Hazard Signs </t>
  </si>
  <si>
    <t xml:space="preserve"> The Barangay Cagumitan, through its 10% BARANGAY DEV'T FUND intends to apply the sum Php 80,000.00 being the Approved Budget for the Contract (ABC) to payments under the contract to PURCHASED MOTOR CYCLE WITH SIDECAR. Bids received in excess of the ABC sh</t>
  </si>
  <si>
    <t xml:space="preserve"> 1	MINI 4WD FARM TRACTOR SPECIFICATIONS: &gt; with rated power 36-40 horsepower, vertical, three to four (3-4) cylinders, 4 stroke cycles, direct injection, natural aspirated diesel engine, minimum PTO horsepower is 85% of the maximum rated horsepower, PTO sp</t>
  </si>
  <si>
    <t xml:space="preserve"> [Republic of the Philippines] Province of Pangasinan Municipality of Natividad INVITATION TO BID FOR TITLE: Purchase of Five (5) units Floor Standing Air Conditioner Unit Including Installation Location: Brgy. Poblacion East, Natividad, Pangasinan Approve</t>
  </si>
  <si>
    <t xml:space="preserve"> Concreting of Pathways at Different Barangays, San Pascual, Masbate</t>
  </si>
  <si>
    <t xml:space="preserve"> THE OFFICE OF THE BIDS AND AWARDS COMMITTEE, SAN CARLOS CITY IS IN NEED OF SUPPLY/DELIVERY OF PROCUREMENT OF THE FOLLOWING EMERGENCY EVACUATION EQUIPMENT: 100 UNIT FAMILY MODULAR TENT SPECS: MEASURING 1.5 X 1.5 METERS, CAN ACCOMMODATE 5-7 PERSONS, TOP OPE</t>
  </si>
  <si>
    <t xml:space="preserve"> Construction/Rehabilitation of River Control at Brgy. Punta, Libagon, So. Leyte</t>
  </si>
  <si>
    <t xml:space="preserve"> See attached file.......</t>
  </si>
  <si>
    <t xml:space="preserve"> FOR GOODS OFFERED Project Name:	CONSTRUCTION OF EVACUATION CENTER Location:	Purok 8 (Sitio Magasa), Brgy. Lanca, City of Mati, Davao Oriental Approved Budget:	P 999,764.22 Project Duration	46 Calendar Days ITB Number	LANCA-2020-01 Pre-bidding Conference	J</t>
  </si>
  <si>
    <t xml:space="preserve"> Supply and delivery of the following: 1. 300 pcs. Chairs (Plastic) 2. 2 units Filling Cabinet (Metal) 3. 10 sets Office Tables with Chairs 4. 1 set Sofa bed (6" Disclaimer) 5. 2 pcs. Office Chairs</t>
  </si>
  <si>
    <t xml:space="preserve"> [Republic of the Philippines] Province of Pangasinan Municipality of Natividad INVITATION TO BID FOR TITLE: Construction/Improvement/Widening of Box Culvert at Purok 4 in Brgy. San Miguel Project Cost: P1,500,000.00 The [MUNICIPALITY OF NATIVIDAD], throug</t>
  </si>
  <si>
    <t xml:space="preserve"> Supply and Delivery of Various Electrical and Plumbing Materials (Pampanga Branch) *Please see attached Canvass Form. **Be guided accordingly on the second page of the Canvass Form. ***Kindly see the following attached documents: - Bill of Quantities (BOQ</t>
  </si>
  <si>
    <t xml:space="preserve"> Republic of the Philippines Province of Batangas Municipality of San Juan BIDS AND AWARDS COMMITTEE INVITATION TO APPLY FOR ELIGIBILITY AND TO BID THE LOCAL GOVERNMENT UNIT OF BRGY. LAIYA IBABAO,  SAN JUAN, BATANGAS, through its Bids and Awards Committee </t>
  </si>
  <si>
    <t xml:space="preserve"> 1.	The Municipality of Impasugong, through the GF – Agricultural Support &amp; Services – OM &amp; OE intends to apply the sum Four Hundred Thousand Pesos (PhP400,000.00) being the Approved Budget for the Contract (ABC) to payments under the contract for PRNo.20-</t>
  </si>
  <si>
    <t xml:space="preserve"> SUPPLY OF 64,000.00 LITERS OF DIESEL FUEL.</t>
  </si>
  <si>
    <t xml:space="preserve"> 1.	a)  Contract ID:	20OF0312 b)  Contract Name:	Repair of Hallways and Ceiling at the South Wing Annex Building from the Second to the Fourth Floors, including Aluminum Swing Door Enclosures at the East and West Stairwells HREP Compound, Brgy. Batasan Hil</t>
  </si>
  <si>
    <t xml:space="preserve"> 3.	a)  Contract ID:	20OF0314 b)  Contract Name:	Repair/Repainting of Exterior Walls and Doors of House Members Offices in the North and Batasan Complex, Brgy. Batasan Hills, Q.C. c)  Contract Location:	Quezon City d)  Scope of Work:	Repair/Re-Painting of </t>
  </si>
  <si>
    <t xml:space="preserve"> PURCHASE OF SUPPLIES &amp; MATERIALS FOR THE REPLACEMENT/INSTALLATION OF MARKER BUOY (P.E. ROPE, CYLINDRICAL FOAM, ROUNDED FOAM, NYLON)</t>
  </si>
  <si>
    <t xml:space="preserve"> The City Government of Ligao through its Bids and Awards Committee (BAC), now invites bids for the herein project: Name of Contract        :  Repair of Heritage Building Extension Location                       : Dunao,  Ligao City Brief Description      </t>
  </si>
  <si>
    <t xml:space="preserve"> The City Government of Ligao through its Bids and Awards Committee (BAC), now invites bids for the herein project: Name of Contract        :  Construction of Slope Protection Location                       : Buga, Nabonton,  Ligao City Brief Description  </t>
  </si>
  <si>
    <t xml:space="preserve"> Supply of labor and parts for the repair of barangay service</t>
  </si>
  <si>
    <t xml:space="preserve"> Adult Diaper (Large)												145	pc Asepto syringe 50ml												50	pc Colostomy Bag 250mm x 150mm									10	pc Disposable Needles 20											102	pc E.T. Tube 3.5													10	pc E.T. Tube 4.5													10	pc E.T. Tube 5													10	pc E.T.</t>
  </si>
  <si>
    <t xml:space="preserve"> The Barangay Malalinta, Tuao Cagayan through its 20% Barangay Dev’t fund intends to apply the sum of Php 74,976.90 being the Approved Budget for the Contract (ABC) to payments under the contract for Construction of Comfort Room . Bids received in excess o</t>
  </si>
  <si>
    <t xml:space="preserve"> 5.	a)  Contract ID:	20OF0316 b)  Contract Name:	Construction/Rehabilitation of Water Supply/Septage and Sewerage/Rain Water Collectors-Rain Water Collectors in Public Facilities, Q.C. c)  Contract Location:	Quezon City d)  Scope of Work:	Construction/Reha</t>
  </si>
  <si>
    <t xml:space="preserve"> Personal Protective Equipment  and supplies for covid 19</t>
  </si>
  <si>
    <t xml:space="preserve"> The Barangay Malalinta, Tuao Cagayan through its Provincial Aid fund intends to apply the sum of Php 73.385.00 being the Approved Budget for the Contract (ABC) to payments under the contract for Procurement of Materials for Installation of the Solar Stree</t>
  </si>
  <si>
    <t xml:space="preserve"> 4.	a)  Contract ID:	20OF0315 b)  Contract Name:	General Repair and Rehabilitation of the Main Building Roofing HREP Compound, Batasan Road, Brgy. Batasan Hills, Q.C.  c)  Contract Location:	Quezon City d)  Scope of Work:	General Repair and Rehabilitation </t>
  </si>
  <si>
    <t xml:space="preserve"> INVITATION TO BID  PROCUREMENT OF FOUR (4) UNITS GENERATOR SET FOR THE PPSC HEAD OFFICE AND NPC SILANG PPSC BAC IB NO.006 (G) 2020 1.	The Philippine Public Safety College through the General Appropriations Act of FY2020 , intends to apply the sum indicate</t>
  </si>
  <si>
    <t xml:space="preserve"> Republic of the Philippines Province of Negros Oriental MUNICIPALITY OF BACONG Barangay Tubod INVITATION TO BID Improvement of Multi-purpose Hall,  Tubod Bacong, Negros Oriental RFQ 2020-01 1.	The Barangay Tubod through the Brgy Fund  intends to apply the</t>
  </si>
  <si>
    <t xml:space="preserve"> 3 units Dosing Pump (metering pump), with the following specifications: Type Beta BT5b 1008, 6.8 LPH at 10 bars, 230V, single phase, 60Hz, solenoid driven IP65 with the following accessories: - Foot valve strainer - Injection valve, 1/2” NP - Discharge tu</t>
  </si>
  <si>
    <t xml:space="preserve"> City Government of Manila INVITATION TO BID NO. 2020-06-74 Procurement of Food and Drinks 1.	The City Government of Manila, through the General Fund CY 2020 – Representation Expenses intends to apply the sum of Four Million Six Hundred Eighty Thousand Pes</t>
  </si>
  <si>
    <t xml:space="preserve"> Republic of the Philippines CITY OF BAIS BIDS AND AWARDS COMMITTEE INVITATION TO APPLY FOR ELIGIBILITY AND TO BID 	The City Government of Bais invites interested bidders to apply for eligibility and to bid for use in Waste Management and Environmental San</t>
  </si>
  <si>
    <t xml:space="preserve"> DRRM COMMAND CENTER/CCTV CONTROL BUILDING - COMPLETION</t>
  </si>
  <si>
    <t xml:space="preserve"> Republic of the Philippines Cordillera Administrative Region PROVINCIAL GOVERNMENT OF ABRA Bangued Invitation to Bid for  IMPROVEMENT OF TOURISM INFRASTRUCTURE - PARKS 1.	The Provincial Government of Abra, through the Budget for the Contract Approved by t</t>
  </si>
  <si>
    <t xml:space="preserve"> Republic of the Philippines Province of Batangas Municipality of San Juan BIDS AND AWARDS COMMITTEE INVITATION TO APPLY FOR ELIGIBILITY AND TO BID THE LOCAL GOVERNMENT UNIT OF BRGY. SAPANGAN,  SAN JUAN, BATANGAS, through its Bids and Awards Committee (BAC</t>
  </si>
  <si>
    <t xml:space="preserve"> ANNUAL INTERNET CONNECTION.SUBSCRIPTION FIBER INTERNET CONNECTION  SPEED: UP TO 45MBPS LOCATION/SITE:  MASBATE PRES MINI GRID OFFICE                           PINAMARBUHAN, MOBO, MASBATE PLEASE SUBMIT REQUIREMENTS: 1	MAYOR’S/BUSINESS PERMIT 2	PhilGEPS REG</t>
  </si>
  <si>
    <t xml:space="preserve"> The Municipal Government of San Mariano, Isabela intends to apply the sum of Two Million Four Hundred Ninety Nine Thousand Six Hundred Sixty Eight pesos and Fifty-Three Centavos Only. (Php2,499,668.53) being the Approved Budget for the Contract (ABC) char</t>
  </si>
  <si>
    <t xml:space="preserve"> 2.	a)  Contract ID:	20OF0313 b)  Contract Name:	Repair and Re-Painting of HREP Perimeter Fence Batasan Complex, Brgy. Batasan Hills, Q.C. c)  Contract Location:	Quezon City d)  Scope of Work:	Repair and Re-Painting of Building  e)  Approved Budget for the</t>
  </si>
  <si>
    <t xml:space="preserve"> Republic of the Philippines Cordillera Administrative Region PROVINCIAL GOVERNMENT OF ABRA Bangued Invitation to Bid for  REHABILITATION AND IMPROVEMENT OF  POBLACION LICUAN-DOMINGLAY ROAD 1.	The Provincial Government of Abra, through the Budget for the C</t>
  </si>
  <si>
    <t xml:space="preserve"> Washed Gravel Washed Sand Portland Cement 12mm RSB 10mm RSB Cut off Disk 14 Tie Wire #16 3/8”x4”x8 ord. Plywood  2”x2”x8 coco lumber 2”x3”x12 coco lumber Bamboo poles 4” common nails 3” common nails  2-1/2 common nails 1” ½ common nails 1” ¼ G.I Pipe Sche</t>
  </si>
  <si>
    <t xml:space="preserve"> Purchase of Computer set and Accessories</t>
  </si>
  <si>
    <t xml:space="preserve"> Construction of Livelihood Center for DSWD Clients ( OFW, Solo Parent, PWDs, Women, &amp; AMMA-Phase 4 Please see attached documents</t>
  </si>
  <si>
    <t xml:space="preserve"> Republic of the Philippines PROVINCE OF SAMAR Municipality of Pinabacdao Invitation to Bid Repair of Brgy.Mambog Baily Bridge Pinabacdao Samar 1. The LOCAL GOVERMENT UNIT of PInabacdao Samar, through the FY 2020 Budget intends to apply the sum of Six Hund</t>
  </si>
  <si>
    <t xml:space="preserve"> SUPPLY AND DELIVERY OF GEO-TAGGING DEVICE FOR OFFICIAL USE OF DENR TARLAC</t>
  </si>
  <si>
    <t xml:space="preserve"> Republic of the Philippines Province of Iloilo MUNICIPALITY OF CARLES INVITATION TO BID 1.0 The Municipal Government of Carles, Province of Iloilo through its GRANT by DOH-HFEP CY 2019 intends to apply the sum of One Million Seven Hundred Thousand Pesos O</t>
  </si>
  <si>
    <t xml:space="preserve"> Republic of the Philippines																		 Province of Bohol																		 Municipality of Buenavista																		 																		 INVITATION TO APPLY FOR ELIGIBILITY AND TO BID																		 																		 The Barangay Local Govern</t>
  </si>
  <si>
    <t xml:space="preserve"> 1 lot Commissioning of an Artist to produce Twelve (12) Paintings of Selected Events of the Philippine Segments of the First Circumnavigation of the World by the Magellan Elcano Expedition</t>
  </si>
  <si>
    <t xml:space="preserve"> W=6M; L=10LM; CONSTRUCT CEILING AND SIX (6) ROOMS</t>
  </si>
  <si>
    <t xml:space="preserve"> SUPPLY AND DELIVERY OF MOTORCYCLE FOR OFFICIAL USE OF DENR TARLAC</t>
  </si>
  <si>
    <t xml:space="preserve"> Disp. Syringe 1 cc 100's/box	                            30	box Disp. Syringe 3 cc 100's/box	                            30	box Disp. Syringe 5 cc 100's/box	                            30	box Digital Thermometer	                                           </t>
  </si>
  <si>
    <t xml:space="preserve"> INVITATION TO BID June 5, 2020            Contract ID Number	:  20GIA004 P.R. Number		:  2020-05-0052 dated May 26, 2020 (GOODS) A B C			:  P 1,730,000.00 Contract Location	:  Naval, Province of Biliran Brief Description	:  Procurement of Instant Cold Mix</t>
  </si>
  <si>
    <t xml:space="preserve"> Section 1. INVITATION to BID (IB) No. 2020-012 The Municipality of Cabiao, Nueva Ecija, through its Bids and Awards Committee (BAC), invites suppliers/manufacturers/distributors to apply for eligibility and to bid if found eligible, to bid for the followi</t>
  </si>
  <si>
    <t xml:space="preserve"> PR No. 				CMD 2020-03-042							 											 	Please quote your lowest price on the item/s listed below, subject to the General Conditions, 										 stating the shortest time of delivery and submit your quotation duly signed by  your authorized 							</t>
  </si>
  <si>
    <t xml:space="preserve"> INVITATION TO BID  1.	The CITY GOVERNMENT OF CAUAYAN, ISABELA through the 2020 GENERAL FUND intends to apply the sum of ONE MILLION EIGHT HUNDRED TEN THOUSAND PESOS (PHP1,810,000.00) being the Approved Budget for the Contract (ABC) to payments under the c</t>
  </si>
  <si>
    <t xml:space="preserve"> Republic of the Philippines Province of Capiz Municipality of Tapaz INVITATION TO RE-BID  Procurement of Four (4) units Motorcycle, Tapaz, Capiz 1. 	The Municipality of Tapaz, through the 5% MDRRMF Fund 2020 intends to apply the sum of Two Hundred Thirty-</t>
  </si>
  <si>
    <t xml:space="preserve"> OFFICE CUBICLE AND OFFICE EQUIPMENT</t>
  </si>
  <si>
    <t xml:space="preserve"> The Municipal Government of San Mariano, Isabela intends to apply the sum of Thirteen Million Five Hundred Twenty Six Thousand Five Hundred Seventy Pesos and 05/100 (Php13,526,570.05) being the Approved Budget for the Contract (ABC) chargeable against CY </t>
  </si>
  <si>
    <t xml:space="preserve"> Procurement of Infrastructure Projects 1. Construction of Material Recovery Facility @ Trading Post, Mabatobato, Lamut, Ifugao 2. Extension of Trading Post Building @ Mabatobato, Lamut, Ifugao Please see attached documents</t>
  </si>
  <si>
    <t xml:space="preserve"> Brief Description of the Project				 Quantity	Unit	Item Description		  1.00 	unit	Passenger Van (converted into an ambulance		 		   and fitted with necessary medical equipment		 		   and apparatus)		 		Specifications:		 		Engine:		 		·         not exceddi</t>
  </si>
  <si>
    <t xml:space="preserve"> ACTIVITIES	SCHEDULE 1.	Issuance of Bid Documents	June 15, 2020 2.	Pre-Bid conference	 3.	Opening of Bids	June 19, 2020, 9:00 A.M. 4.	Bid Evaluation	June 19, 2020, 2020 5.	Post-qualification	June 23, 2020, 2020 6.	Notice of Award	June 26, 2020</t>
  </si>
  <si>
    <t xml:space="preserve"> PURCHASE OF OFFICE SUPPLIES AND MATERIALS (1ST AND 2ND QUARTER)</t>
  </si>
  <si>
    <t xml:space="preserve"> SUPPLY AND INSTALLATION OF AGISOFT SOFTWARE FOR OFFICIAL USE OF DENR TARLAC</t>
  </si>
  <si>
    <t xml:space="preserve"> N-COVID Disinfection, Protection and Temperature scanning of employee and students</t>
  </si>
  <si>
    <t xml:space="preserve"> Purchase of construction materials for the concreting of barangay Fatima pavement around Fatima Market.</t>
  </si>
  <si>
    <t xml:space="preserve"> INVITATION TO BID The City Vigan, through its Bids and Awards Committee (BAC), invites suppliers/manufacturers/distributors/contractors to apply for eligibility and to bid for the hereunder project: Name of Project:	Procurement of Post Processing Software</t>
  </si>
  <si>
    <t xml:space="preserve"> Invitation to Bid for the  SUPPLY AND DELIVERY OF STARTER KITS FOR DOLE DRESSMAKING, BAKING &amp; SMALL MOTOR ENGINE SERVICE (SMES) PROGRAM 1.	The LGU-RAMON, ISABELA, through the Budget for the contract approved by the Sanggunian intends to apply the sum of P</t>
  </si>
  <si>
    <t xml:space="preserve"> Anti Rabies Vaccines 10's dose									423	vials Disposable Syringe 3ml 100's/box								5	boxes</t>
  </si>
  <si>
    <t xml:space="preserve"> INVITATION TO BID The City Vigan, through its Bids and Awards Committee (BAC), invites suppliers/manufacturers/distributors/contractors to apply for eligibility and to bid for the hereunder project: Name of Project:	Procurement of Aerial Vehicle (Drone) f</t>
  </si>
  <si>
    <t xml:space="preserve"> Department of Public Works and Highways  Regional Office VI, Fort San Pedro, Iloilo City INVITATION TO BID  The Department of Public Works and Highways, Regional Office VI, through its Bids and Awards Committee (BAC), invites suppliers to submit bids for </t>
  </si>
  <si>
    <t xml:space="preserve"> SUPPLY AND DELIVERY OF DRONE &amp; IPAD MINI FOR OFFICIAL USE OF DENR TARLAC</t>
  </si>
  <si>
    <t xml:space="preserve"> Procurement of Infrastructure Projects 1. Constn. of Interconnector of Buildings @ Public Market, Pob. West, Lamut, Ifugao 2. Constn. of Entrance/ Exit gate at Trading Post, Mabatobato, Lamut, Ifugao 3. Constn. of Vault for Special Wastes 4. Constn. of Co</t>
  </si>
  <si>
    <t xml:space="preserve"> 1 LOT ELECTRO-MECHANICAL INSTALLATION OF STAGE 1 Mobilization/General Requirements/Site Clean up Concreting Works Booster Pump Pad Piping Support Motor Controller Pad Welding Works Installation and Fabrication of Piping Supports Installation and Fabricati</t>
  </si>
  <si>
    <t xml:space="preserve"> materials for the Rehabilitation of Street Lights</t>
  </si>
  <si>
    <t xml:space="preserve"> Republic of the Philippines  Province of Cotabato Municipality of Antipas Barangay Kiyaab OFFICE OF THE BIDS &amp; AWARD COMMITTEE Invitation to Bid for Construction Of 1-Unit Tribal Hall 1.	The Barangay Government of Kiyaab through the Trust Fund intends to </t>
  </si>
  <si>
    <t xml:space="preserve"> Republic of the Philippines DEPARTMENT OF PUBLIC WORKS AND HIGHWAYS PANGASINAN 1ST DISTRICT ENGINEERING OFFICE REGIONAL OFFICE I Alaminos City, Pangasinan INVITATION TO BID FOR 20GAG0001- Furnishing of Materials for the Completion of DPWH Main Building, D</t>
  </si>
  <si>
    <t xml:space="preserve"> The Municipal Government of San Mariano, Isabela intends to apply the sum of Nine Hundred Ninety Nine Thousand Nine Hundred Ninety-Six Pesos and Eighty-Four Centavos (Php999,996.84) being the Approved Budget for the Contract (ABC) chargeable against CY 20</t>
  </si>
  <si>
    <t xml:space="preserve"> The Municipal Government of San Mariano, Isabela intends to apply the sum of One Million Thirty-Eight Thousand Four Hundred Ninety-Nine Pesos and Eighty-Four Pesos (Php1,038,499.84) being the Approved Budget for the Contract (ABC) chargeable against CY 20</t>
  </si>
  <si>
    <t xml:space="preserve"> materials for the Construction of Line Canal</t>
  </si>
  <si>
    <t xml:space="preserve"> Construction of Bridge to Memorial Park - Phase II @ Mabatobato, Lamut, Ifugao Please see attached documents</t>
  </si>
  <si>
    <t xml:space="preserve"> Republic of the Philippines Province of Quezon MUNICIPALITY OF POLILLO ***** INVITATION TO BID FOR  SUPPLY AND DELIVERY OF ONE (1) UNIT MINI DUMPTRUCK (BRAND NEW) AND (1) UNIT MINI PAYLOADER (BRAND NEW) OF LGU POLILLO 1.	The Municipality of Polillo, throu</t>
  </si>
  <si>
    <t xml:space="preserve"> Purchase of Catering Services</t>
  </si>
  <si>
    <t xml:space="preserve"> FOR NFA REGIONAL OFFICE 02</t>
  </si>
  <si>
    <t xml:space="preserve"> JUNE 8, 2020 INVITATION TO BID Name of Project: SUPPLY AND DELIVERY OF LIMESTONE FOR REHABILITATION OF BARANGAY ROADS OF 16 BARANGAYS  BALINTAWAK,EAST KIBAWE, GUTAPOL, KIORAO, LABUAGON, MARAPANGE,MASCARIÑAS, NATULONGAN, NEW KIDAPAWAN, OLD KIBAWE, PALMA, R</t>
  </si>
  <si>
    <t xml:space="preserve"> 1		Set		Tire, 23.5 x 25, 18/20 PR, Tube Type 	 1		Pc		Tire, 23.1 x 26, 12 PR Tubeless, Non directional 34		Set		Tire, 12 x 20, Tube Type, Super Lug, (Cross Lug) 18 PR 13		Set		Tire, 11 x 20, Tube Type, Super Lug (Cross Lug) 18 PR 4		Set		Battery, Low Main</t>
  </si>
  <si>
    <t xml:space="preserve"> 1.	The Municipality of Consolacion, through the GF - 20% EDF intends to apply the sum of Three Million Five Hundred Thousand Pesos (P 3,500,000.00) being the Approved Budget for the Contract (ABC) to payments under the contract for Construction/Installati</t>
  </si>
  <si>
    <t xml:space="preserve"> Republic of the Philippines DEPARTMENT OF PUBLIC WORKS AND HIGHWAYS PANGASINAN 1ST DISTRICT ENGINEERING OFFICE REGIONAL OFFICE I Alaminos City, Pangasinan INVITATION TO BID FOR 20GAG0002- Provision of Office Equipment and Accessories for the use of office</t>
  </si>
  <si>
    <t xml:space="preserve"> Portland Cement Coco Lumber 2x4x12 Sand Gravel Common Nails #3</t>
  </si>
  <si>
    <t xml:space="preserve"> I.    CONCRETE AND MASONRY WORKS              -         5.375  CU.M.</t>
  </si>
  <si>
    <t xml:space="preserve"> REQUEST FOR QUOTATION The National Telecommunications Commission (NTC), through its Bids and Awards Committee (BAC), will undertake Negotiated Procurement – Small Value Procurement for the project “Procurement of Two (2) Air Conditioning Units for NTC Reg</t>
  </si>
  <si>
    <t xml:space="preserve"> Windows 10 AMD RYZEN 5 1tb HDD/256GB S5D AMD PADEON VEGA GRAPHICS MOUSE ATTACH</t>
  </si>
  <si>
    <t xml:space="preserve"> SOLID WASTE MANAGEMENT (1ST QUARTER TO 3RD QUARTER)</t>
  </si>
  <si>
    <t xml:space="preserve"> Invitation to Bid for Construction/Improvement of Drainage System of Libertad Public Market  Libertad, Antique The Local Government of Libertad, Antique, through the MDF 2020 intends to apply the sum of One Million Three Hundred Thousand Pesos (PhP 1,300,</t>
  </si>
  <si>
    <t xml:space="preserve"> Number: 	Quantity: 	 1	90	sets		Garden Tool Set	(Gardening Trowel, Small hand Rake, Sprinklers, Prunning Shears, Bolo)		1,000.00	90,000.00 2	8	bags/packs	Organic fertilizer	not less than 5% each of N,P,K, 50 kg/bag		1,200.00	9,600.00 No.	TermsAndCondition</t>
  </si>
  <si>
    <t xml:space="preserve"> Invitation to Bid for the Construction/Improvement of Barangay Road (Phase II), Brgy. Tabas, Paracale, Camarines Norte 1.	TheProvincial Government of Camarines Norte, through the Performance Challenge Fund CY 2020intends to apply the sum of Four MillionFi</t>
  </si>
  <si>
    <t xml:space="preserve"> INVITATION TO BID FOR Procurement of Reference Books (Lot 1-7) 	          The CAMARINES SUR POLYTECHNIC COLLEGES, through the College Income intends to apply the sum of the following listed below being the Approved Budget for the Contract (ABC) to payment</t>
  </si>
  <si>
    <t xml:space="preserve"> Reshaping &amp; compaction, including trimming of road side slopes of Katipunan Barangay Road networks.</t>
  </si>
  <si>
    <t xml:space="preserve"> Invitation to Bid for the Rehabilitation of Solar Streetlights, Cory Aquino Boulevard, Camarines Norte 1.	TheProvincial Government of Camarines Norte, through the General Fund 2020intends to apply the sum of Four MillionEight Hundred Sixty-One Thousand Fi</t>
  </si>
  <si>
    <t xml:space="preserve"> INVITATION TO BID The City Vigan, through its Bids and Awards Committee (BAC), invites suppliers/manufacturers/distributors/contractors to apply for eligibility and to bid for the hereunder project: Name of Project:	Procurement of Personal Watercrafts wit</t>
  </si>
  <si>
    <t xml:space="preserve"> 2 PCS. tIRES # 540/65R 34 REAR 2 PCS TIRE # 440/65r 24 FRONT 12 PCS OIL SEAL BEARING 12 PCS BEARING # 6310 1 PC CLUTCH CABLE 1M 1 PC. OIL FILTER 1 PC FUEL FILTER 1 PC AIR  CLEANER</t>
  </si>
  <si>
    <t xml:space="preserve"> 1.	The Municipality of Consolacion, through the GF - 20% intends to apply the sum of One Million Three Hundred Sixty-Six Thousand Nine Hundred Sixty-Three Pesos and 34/100 (P 1,366,963.34) being the Approved Budget for the Contract (ABC) to payments under</t>
  </si>
  <si>
    <t xml:space="preserve"> PHOTOCOPYING SERVICES FOR OM-BOD FOR LETTER/A4 &amp; LEGAL SIZES REDUCER/ENLARGER MONTHLY BASIS LOCATION/SITE: OM BOD OFFICE                          PEÑAFRANCIA, DARAGA, ALBAY PLEASE SUBMIT REQUIREMENTS: 1	MAYOR’S/BUSINESS PERMIT 2	PhilGEPS REG. NUMBER/CERTI</t>
  </si>
  <si>
    <t xml:space="preserve"> Section I. Invitation to Bid INVITATION TO BID: BID REFERENCE NO.: 2020-014 Supply and Delivery of Various Fingerlings  The Bureau of Fisheries and Aquatic Resources-12 (BFAR-12) of the Department of Agriculture, through the General Appropriations Act for</t>
  </si>
  <si>
    <t xml:space="preserve"> Republic of the Philippines DEPARTMENT OF PUBLIC WORKS AND HIGHWAYS PANGASINAN 1ST DISTRICT ENGINEERING OFFICE REGIONAL OFFICE I Alaminos City, Pangasinan INVITATION TO BID FOR 20GAG0003- Furnishing of Materials, Furniture and Equipment  for the Completio</t>
  </si>
  <si>
    <t xml:space="preserve"> BIDS AND AWARDS COMMITTEE (BAC) Email address: bacregion2@yahoo.com Telefax No.: (078) 304-0560 CP Nos.: 09173190220 INVITATION TO BID ITB No.: 2020-06-21 The Department of Agriculture – Regional Field Office No. 02 (DA-RFO 02) through its Bids and Awards</t>
  </si>
  <si>
    <t xml:space="preserve"> A Republic of the Philippines BIDS AND AWARDS COMMITTEE Dagupan City Invitation to Bid   for PROPOSED CONCRETING OF PAVEMENT AND COVERED DRAINAGE AT DIVISION OFFICE, BRGY. POBLACION OESTE, DAGUPAN CITY 1.	The City Government of Dagupan, through the CONTIN</t>
  </si>
  <si>
    <t xml:space="preserve"> Invitation to Bid for the Construction of Potable Water System, Brgy. Kanapawan, Labo, Camarines Norte 1.	TheProvincial Government of Camarines Norte, through the 20% Development Fund 2019intends to apply the sum of Four MillionNine Hundred Eighty-Eight T</t>
  </si>
  <si>
    <t xml:space="preserve"> JUNE 8, 2020 INVITATION TO BID Name of Project: SUPPLY &amp; DELIVERY OF LIMESTONE FOR THE MAINTENANCE OF PROVINCIAL ROADS &amp; BRIDGES (MACHINE GRADING, REGRAVELLING SAND, GRAVEL&amp; LIMESTONE)  Approved Budget of the Contract: P 1,501,500.00 ITEM: 2,730	cu.m.	Lim</t>
  </si>
  <si>
    <t xml:space="preserve"> Republic of the Philippines Province of Zambales MUNICIPALITY OF MASINLOC OFFICE OF THE BIDS AND AWARDS COMMITTEE INVITATION TO BID The Municipality of Masinloc, Province of Zambales, through its Bids and Awards Committee (BAC), invites suppliers/Manufact</t>
  </si>
  <si>
    <t xml:space="preserve"> JOB  ORDER: Consultancy services for the conduct of the Project “RAPID MARKETING APPRAISAL FOR YELLOW AND WHITE CORN FOR BILIRAN AND LEYTE PROVINCES” for 2 Months (August to September 2020) No.	Scope of Work	Quantity	Unit_Cost	ABC 	Qualification:	1	400,00</t>
  </si>
  <si>
    <t xml:space="preserve"> Reproduction of Learners Materials Supplies of Ink for Modules</t>
  </si>
  <si>
    <t xml:space="preserve"> 3/4 Marine Plywood 1/4 4x1x1x6m Angle Bar Welding Rod Bolt 3/16x1 w/ nuts and washers 60x60 tiles Counter Sink Faucet HDPE Pipe 1/2 Compression Type Threaded Coupling 1/2 Epoxy (1ltr) Epoxy Primer PVC Pipe 1/2 PVC Threaded Elbow 1/2 PVC Elbow 1/2 PVC Tee </t>
  </si>
  <si>
    <t xml:space="preserve"> gasoline supplies for lawn mower</t>
  </si>
  <si>
    <t xml:space="preserve"> Procurement ID/Contract ID:	20PI0092 Contract Name:	Local Infrastructure Program - Water Management Facilities - Water Supply: Construction/ Rehabilitation/ Improvement of Waterworks, Brgy. Bontoc Ili, Poblacion and Calutit, Bontoc, Mountain Province Cont</t>
  </si>
  <si>
    <t xml:space="preserve"> 15,000	Ltr	Fuel, Diesel 1,300	Ltr	Fuel, Gasoline, Special 100   	Ltr	Oil, Diesel Engine 15W40 20    	Pail	Oil, Hydraulic VG 68 60    	Ltr	Oil, Hydraulic SAE 30 120   	Ltr	Oil, Hydraulic SAE 10 14    	Ltr	Oil, 2T 25    	Ltr	Oil, Gasoline Engine 20W50 25   </t>
  </si>
  <si>
    <t xml:space="preserve"> BIDS AND AWARDS COMMITTEE (BAC) Email address: bacregion2@yahoo.com Telefax No.: (078) 304-0560 CP Nos.: 09173190220 INVITATION TO BID ITB No.: 2020-06-20 The Department of Agriculture – Regional Field Office No. 02 (DA-RFO 02) through its Bids and Awards</t>
  </si>
  <si>
    <t xml:space="preserve"> 1.	The National Irrigation Administration Interim Albay-Catanduanes IMO, Tuburan, Ligao City, through the GAA/SIP CY 2020 intends to apply the sum of P941,747.59 being the Approved Budget for the Contract (ABC) to STA. ISABEL CIP, Bato, Catanduanes under </t>
  </si>
  <si>
    <t xml:space="preserve"> CONTINUATION OF CONSTRUCTION OF THE MULTI PURPOSE BUILDING AT ST. JOSEPH SUBDIVISION, SAN ANTONIO San Antonio, Mexico, Pampanga BAC Activities Schedule 1. Submission of Request for Expression of Interest and Eligibility Requirements	June 9-16, 2020 2.  Pr</t>
  </si>
  <si>
    <t xml:space="preserve"> Construction of Rainwater Collection System (Polyethylene Tank – Vertical)</t>
  </si>
  <si>
    <t xml:space="preserve"> INVITATION TO BID The City of Bayawan, through its Bids and Awards Committee (BAC), invites suppliers/manufacturers/distributors/contractors to bid for the hereunder projects: 	Lot No. I		Materials, labor, fuel and equipment needed for the development of </t>
  </si>
  <si>
    <t xml:space="preserve"> MUNICIPALITY OF ABRA DE ILOG Name of Procuring Entity							 Contract Reference Number Goods No.14-2020 Name of Contract: Supply and Delivery of Medicines    Location:  LGU, ADIOM Republic of the Philippines Province of Occidental Mindoro Municipality of </t>
  </si>
  <si>
    <t xml:space="preserve"> MUNICIPALITY OF ABRA DE ILOG Name of Procuring Entity							 Contract Reference Number Goods No.15-2020 Name of Contract: Supply and Delivery of  Materials for the Construction of Day Care Center Poblacion    Location:  Abra de Ilog, Occ. Mindoro Republic</t>
  </si>
  <si>
    <t xml:space="preserve"> 1  1,490   bts.   Ascorbic Acid with zinc syrup 60ml    58.00      86,420.00 2  125      bxs.  Vitamins = Iron Food Supplement Capsule (Multiron)   400.00    50,000.00 3  432      bts.   Paracetamol 250mg/5ml 60ml   60.00    25,920.00 4  20        bxs.  P</t>
  </si>
  <si>
    <t xml:space="preserve"> JUNE 8, 2020 INVITATION TO BID Name of Project: SUPPLY &amp; DELIVERY OF SAND &amp; GRAVEL FOR THE MAINTENANCE OF PROVINCIAL ROADS &amp; BRIDGES (MACHINE GRADING, REGRAVELLING SAND, GRAVEL&amp; LIMESTONE) Approved Budget of the Contract: P 1,029,000.00 ITEM: 735	cu.m.	Sa</t>
  </si>
  <si>
    <t xml:space="preserve"> 1.	The Municipality of Consolacion, through the GF - 20% intends to apply the sum of One Million Four Hundred Seventy-Five Thousand Seven Hundred Seventy-Four Pesos and 96/100 (P 1,475,774.96) being the Approved Budget for the Contract (ABC) to payments u</t>
  </si>
  <si>
    <t xml:space="preserve"> Republic of the Philippines	 	DEPARTMENT OF PUBLIC WORKS AND HIGHWAYS	 	ILOILO 3RD	 	DISTRICT ENGINEERING OFFICE	 	REGIONAL OFFICE VI	 	Barotac Viejo, Iloilo	 INVITATION TO BID FOR  1.	Contract Name:	20GGH0023 – Purchase of Ten Thousand (10,000) Liters Di</t>
  </si>
  <si>
    <t xml:space="preserve"> Procurement ID/Contract ID:	20PI0093 Contract Name:	Local Infrastructure Program - Local Roads and Bridges, Local Bridges, Construction/ Rehabilitation/ Improvement of Various Footbridges, Brgy. Betwagan, Sadanga, Mountain Province Contract Location:	Sada</t>
  </si>
  <si>
    <t xml:space="preserve"> MUNICIPALITY OF ABRA DE ILOG Name of Procuring Entity						                Contract Reference Number Goods No.11-2020 Name of Contract: Supply and Delivery of Materials for the  Construction and Upgrading of Potable Water System    Location: Abra de Ilog,</t>
  </si>
  <si>
    <t xml:space="preserve"> Invitation to Bid Supply and Delivery of Office Supplies, 1 Lot, for the Utilization of Pantawid Pamilya staff in RPMO, POO1, POO2, POO3, POO4 and its municipalities for the 1st Quarter CY 2020 1.	The Department of Social Welfare and Development, Field Of</t>
  </si>
  <si>
    <t xml:space="preserve"> Number: 	Quantity: 	Unit	PPMP_Code	PPMP_Code1	PPMP_Code2	PPMP_Remarks	Articles	Specifications	StockNo	Unit_Cost	Estimated_Cost 1.	20	bags		Hog Starter	Crumble		1,600.00	32,000.00 2.	27	bags		hog grower			1,450.00	39,150.00 3.	20	bag		Hog Lactating pellets</t>
  </si>
  <si>
    <t xml:space="preserve"> Invitation to Bid for Road Rehabilitation of General Fullon Street to Zaldivar Street  Libertad, Antique The Local Government of Libertad, Antique, through the MDF 2020 intends to apply the sum of Three Million Pesos (PhP 3,000,000.00) being the Approved </t>
  </si>
  <si>
    <t xml:space="preserve"> City Government of Manila INVITATION TO BID NO. 2020-06-87 Procurement of Various I.T. and Office Equipment 1.	The City Government of Manila, through the Capital Outlay-Operating Expenses CY 2020 for Peace and Order intends to apply the sum of Two Million</t>
  </si>
  <si>
    <t xml:space="preserve"> REQUEST FOR QUOTATION The National Telecommunications Commission (NTC), through its Bids and Awards Committee (BAC), will undertake Negotiated Procurement – Two Failed Biddings for the project “Six (6) Months Lease Contract of Office Space for NTC Pagadia</t>
  </si>
  <si>
    <t xml:space="preserve"> 17 bags cement 2   cu.m gravel 1   cu.m sand 22 pcs   RSB 10mm 22 pcs   RSB 9mm 5 1/2    kg #16 tie wire 3  pcs  ordinary plywood 1/4" thk 108 bd.ft coco lumber 3  kg  cw nails, assorted 11 pcs G.I pipe 2" sch 40, 6m length 3   kg  welding rod 600 lm #6 s</t>
  </si>
  <si>
    <t xml:space="preserve"> MUNICIPALITY OF ABRA DE ILOG Name of Procuring Entity							 Contract Reference Number Goods No.16-2020 Name of Contract: Supply and Delivery of  Materials for the Construction of Aluyan Fence    Location:  Abra de Ilog, Occ. Mindoro Republic of the Phili</t>
  </si>
  <si>
    <t xml:space="preserve"> Municipality of Dolores, Quezon INVITATION TO BID FOR THE LOCAL PROGRAM, LOCAL INFRASTRUCTURE PROGRAM, CONSTRUCTION OF MULTI PURPOSE BUILDING-PHASE 1 (MUNICIPAL HALL) AT DOLORES, QUEZON The LGU, through  the General Fund  (Office of the Mayor)–intends to </t>
  </si>
  <si>
    <t xml:space="preserve"> https://drive.google.com/file/d/1AJphcvo9ZCylnFOt6KVNDq2FMP6jCdDN/view?usp=drivesdk</t>
  </si>
  <si>
    <t xml:space="preserve"> Department of Public Works and Highways Contract ID:	20NA0069 Title: 		Concreting of Brgy. Guinabsan FMR, Buenavista, Agusan del Norte Location:		Buenavista, Agusan del Norte ________________________________________________________________________________</t>
  </si>
  <si>
    <t xml:space="preserve"> LGU - Padre Burgos, Southern Leyte INVITATION TO BID FOR  Procurement of Backhoe Track Shoe Type Padre Burgos, Southern Leyte 1.	The LGU Padre Burgos, Southern Leyte through the 20% EDF , CY 2020  intends to apply the sum of Three Million Sixty Seven Thou</t>
  </si>
  <si>
    <t xml:space="preserve"> Improvement of Administration Office</t>
  </si>
  <si>
    <t xml:space="preserve"> https://drive.google.com/file/d/1fGbwW-yO84fRNebF27-RxpbnI9SLawdz/view?usp=drivesdk</t>
  </si>
  <si>
    <t xml:space="preserve"> REQUEST FOR QUOTATION The National Telecommunications Commission (NTC), through its Bids and Awards Committee (BAC), will undertake a Negotiated Procurement - Small Value Procurement for the “Supply and Delivery of Two (2) Units Brand New Mobile Phones to</t>
  </si>
  <si>
    <t xml:space="preserve"> MUNICIPALITY OF ABRA DE ILOG Name of Procuring Entity						 Contract Reference Number Goods No.19-2020 Name of Contract: Supply and Delivery of Materials for the  Construction of Local Access Road    Location:  Sitio, Sto. Tomas , ADIOM Republic of the Ph</t>
  </si>
  <si>
    <t xml:space="preserve"> JUNE 8, 2020 INVITATION TO BID Name of Project: SUPPLY &amp; DELIVERY OF DIESEL FOR ROAD ROLLER AND ROAD GRADER FOR THE MAINTENANCE OF PROVINCIAL ROADS &amp; BRIDGES (MACHINE GRADING, REGRAVELLING SAND, GRAVEL&amp; LIMESTONE)  Approved Budget of the Contract: 322,850</t>
  </si>
  <si>
    <t xml:space="preserve"> Invitation to Bid for the Contract Package for the Concreting of Farm to Market Road with Stone Masonry, Barangay Pudoc West, Tagudin, Ilocos Sur 1.	The Local Government Unit of Tagudin, Ilocos Sur, thru its Bids and Awards Committee intends to apply the </t>
  </si>
  <si>
    <t xml:space="preserve"> MUNICIPALITY OF ABRA DE ILOG Name of Procuring Entity						 Contract Reference Number Goods No.18-2020 Name of Contract: Supply and Delivery of Materials for the  Construction of RMG Office   Location:  LGU, ADIOM Republic of the Philippines Province of O</t>
  </si>
  <si>
    <t xml:space="preserve"> Procurement ID/Contract ID:	20PI0094 Contract Name:	Maintenance, Repair and Rehabilitation of Infrastructure Facilities and Other Related Activities - Public Buildings: Repair/Maintenance of: 1. DPWH Building Old DE's Quarters, Caluttit, Bontoc, Mountain </t>
  </si>
  <si>
    <t xml:space="preserve"> Name of Project: Provision of Sixteen (16) Sets Solar Streetlight Location: Brgy Estipona, Pura, Tarlac ABC: Php 787,500.50 Specification: 16 sets LED Solar Light 150 V SMD, Warm White Model: SSL 150W-WW Specification: Light Output: 150W Solar Panel:250W </t>
  </si>
  <si>
    <t xml:space="preserve"> Reinforced Concrete Revetment</t>
  </si>
  <si>
    <t xml:space="preserve"> MUNICIPALITY OF ABRA DE ILOG Name of Procuring Entity						 Contract Reference Number Goods No. 22-2020 Name of Contract: Supply and Delivery of Materials for the  Construction of Local Access Road    Location:  Sitio, Amazona, Brgy. Lumangbayan, ADIOM Re</t>
  </si>
  <si>
    <t xml:space="preserve"> Republic of the Philippines																		 Province of Bohol																		 Municipality of Buenavista																		 																		 Barangay Cambuhat																		 INVITATION TO APPLY FOR ELIGIBILITY AND TO BID																		 								</t>
  </si>
  <si>
    <t xml:space="preserve"> MUNICIPALITY OF ABRA DE ILOG Name of Procuring Entity						 Contract Reference Number Goods No.17-2020 Name of Contract: Supply and Delivery of Materials for the  Repair and Maintenance of Public Building and  Other Structures   Location:  LGU, ADIOM Repu</t>
  </si>
  <si>
    <t xml:space="preserve"> Republic of the Philippines Province of Pangasinan Municipality of Bugallon OFFICE OF THE BIDS AND AWARDS COMMITTEE INVITATION TO BID The Barangay Magtaking of the Municipality of Bugallon, Pangasinan, through its Bids and Awards Committee (BAC), invites </t>
  </si>
  <si>
    <t xml:space="preserve"> Mobile Aerial Platform GVW (kg) 6775 Engine Model: 4B2-115C50 Euro4   Net Weight (kg) 5775     Drive size 4*2     Max speed: 95kmh     Platform Specs: Max lift: 12m Max crane     Weight 100kg., Basket Max weight 200kg     Power: 90Kw     Displacement: 5.5</t>
  </si>
  <si>
    <t xml:space="preserve"> MUNICIPALITY OF ABRA DE ILOG Name of Procuring Entity						 Contract Reference Number Goods No. 23-2020 Name of Contract: Supply and Delivery of Materials                FOR THE Maint. of Water System Location:  LGU, ADIOM Republic of the Philippines Prov</t>
  </si>
  <si>
    <t xml:space="preserve"> Republic of the Philippines						 Province of Bohol						 Municipality of Batuan						 Barangay Poblacion Sur						 						 ABSTRACT OF BID/BILL OF QUANTITIES						 ____________________________						 ____________________________						 _____________________</t>
  </si>
  <si>
    <t xml:space="preserve"> Number: 	Quantity: 	 1	20	sack		COPRA MEAL			1,000.00	20,000.00 2	20	sack		Fish Meal			1,000.00	20,000.00 3	100	kilo		Rice bran			20.00	2,000.00 4	20	sack		Soybean meal	50 kg/bag		1,000.00	20,000.00 No.	TermsAndConditions 1	Winning bidder must follow the </t>
  </si>
  <si>
    <t xml:space="preserve"> Please see attached Invitation for Negotiation</t>
  </si>
  <si>
    <t xml:space="preserve"> This project is located at barangay Nueva Era,Cabatuan,Isabela			 			 I.	CLEARING AND GRUBBING	8,050.00	sq.m. II.	SUBGRADE PREPARATION	8,050.00	sq.m. III.	AGGREGATE SUB-BASE COARSE	1,207.50	cu.m. IV.	AGGREGATE BASE COARSE	966.00	cu.m. V.	PORTLAND CEMENT C</t>
  </si>
  <si>
    <t xml:space="preserve"> Republic of the Philippines Province of Guimaras Municipality of Jordan  Invitation to Bid for Concreting of Barangay Roads at Balingasag, Sinapsapan, Jordan, Guimaras Invitation to Bid No. 20-038 (Re-bid) 1.	The Municipal Government of Jordan, through th</t>
  </si>
  <si>
    <t xml:space="preserve"> PURCHASE &amp; DELIVERY OF MOTORCYCLE FOR MUN. TREASURY OFFICE &amp;  MUN. AGRICULTURE OFFICE</t>
  </si>
  <si>
    <t xml:space="preserve"> various agricultural machinery and equipment</t>
  </si>
  <si>
    <t xml:space="preserve"> MUNICIPALITY OF ABRA DE ILOG Name of Procuring Entity						 Contract Reference Number Goods No. 21-2020 Name of Contract: Supply and Delivery of Materials for the  Construction of Local Access Road    Location:  Sitio, Rayusan, Brgy. Armado, ADIOM Republi</t>
  </si>
  <si>
    <t xml:space="preserve"> Procurement ID/Contract ID:	20PI0095 Contract Name:	Concreting of Brgy. Agawa FMR, Brgy. Agawa, Besao, Mountain Province Contract Location:	Besao, Mountain Province Brief Description:	Road concreting Approved Budget for the Contract (ABC):	Php 11,939,999.</t>
  </si>
  <si>
    <t xml:space="preserve"> Portland Cement 9mm dia. RSB Tie Wire #16 Common Nails (Assorted) CHB 4"x8"x16' Sand Gravel</t>
  </si>
  <si>
    <t xml:space="preserve"> Republic of the Philippines Province of Pangasinan BIDS AND AWARDS COMMITTEE Municipality of Calasiao INVITATION TO BID FOR  REPAIR OF GOVERNMENT FACILITIES FOR USE DURING THE OPERATION OF COVID 19 PANDEMIC AT CALASIAO, PANGASINAN 1.	The Municipality of C</t>
  </si>
  <si>
    <t xml:space="preserve"> The CAGAYAN STATE UNIVERSITY through the GAA FY 2020 intends to apply the sum Five Million Four Hundred Twenty-Eight Thousand Eight Hundred Pesos(P 5,428,800.00), being the Approved Budget for the Contract (ABC) to payments under the contract for “REPAIR </t>
  </si>
  <si>
    <t xml:space="preserve"> 1,249 Box	Disposable Face mask Ear loop 50 pcs/box, ABC 800.00/box RFQ#06-0589</t>
  </si>
  <si>
    <t xml:space="preserve"> Specifications: 1293.33 bd.ft. 388 pcs-2” x 2” x 10’ Coco Lumber; 970.67 bd.ft. 364 pcs-2” x 2” x 8’ Coco Lumber; 110 bd.ft. 22 pcs-2” x 3” x 10’ Coco Lumber; 440 bd.ft. 66 pcs-2” x 4” x 10’ Coco Lumber; 44 bd.ft. 11 pcs-2” x 4” x 6’ Coco Lumber; 160 bd.f</t>
  </si>
  <si>
    <t xml:space="preserve"> 1.	The MUNICIPALITY OF GUINAYANGAN, QUEZON, through  the  2020 MOOE  intends to apply the sum of  One Hundred Forty Two Thousand One Hundred Eighty Pesos                 (P 142,180.00) being the Approved Budget for the Contract (ABC) to payments under the</t>
  </si>
  <si>
    <t xml:space="preserve"> MUNICIPALITY OF ABRA DE ILOG Name of Procuring Entity						                Contract Reference Number Infra No. 01-2020 Name of Contract:  Construction and Development of Auxiliary Source Water      Location: Brgy. Tibag, Abra de Ilog, Occ. Mindoro Republi</t>
  </si>
  <si>
    <t xml:space="preserve"> One (1) Unit Mini Dump-Truck</t>
  </si>
  <si>
    <t xml:space="preserve"> Province of Guimaras			 Municipality of Jordan			 BIDS AWARDS COMMITTEE			 			  			8-Jun-20 			 Invitation of Bid No.20-039			 			 Sealed bids, in triplicate subject to the coordination herein below specified will be received in the			 Property Division o</t>
  </si>
  <si>
    <t xml:space="preserve"> MUNICIPALITY OF ABRA DE ILOG Name of Procuring Entity						 Contract Reference Number Goods No. 20-2020 Name of Contract: Supply and Delivery of Materials for the  Construction of Local Access Road    Location:  Sitio, Kalinyawan, Brgy. San Vicente, ADIOM</t>
  </si>
  <si>
    <t xml:space="preserve"> Portland Cement Coco Lumber 2"x4"x12' Mixing Water Sand Gravel Common Nails (Assorted)</t>
  </si>
  <si>
    <t xml:space="preserve"> PLEASE REFER  ATTACHMENT</t>
  </si>
  <si>
    <t xml:space="preserve"> Republic of the Philippines Province of Pangasinan Bids and Awards Committee Municipality of Calasiao INVITATION TO BID  PURCHASE OF HYGIENE AND SANITARY PACK FOR WOMEN ATCALASIAO, PANGASINAN 1.	The Municipality of Calasiao, through the General Fund inten</t>
  </si>
  <si>
    <t xml:space="preserve"> Please see attached Bidding Document in the Associated Components. Thank you very much</t>
  </si>
  <si>
    <t xml:space="preserve"> Municipality of Dolores, Quezon INVITATION TO BID FOR CONSTRUCTION OF 1 CLASSROOM AND 1 COMPUTER LABORATORY AT BUNGOY ELEMENTARY SCHOOL  The LGU, through  the General  Fund ( 20% DF)–intends to apply the sum of  Two Million Six Hundred  Thousand  Pesos (P</t>
  </si>
  <si>
    <t xml:space="preserve"> INVITATION TO BID  1.	The CITY GOVERNMENT OF CAUAYAN, ISABELA through the 2020 GENERAL FUND intends to apply the sum of ONE MILLION THREE HUNDRED THOUSAND PESOS (Php 1,300,000.00) being the Approved Budget for the Contract (ABC) to payments under the cont</t>
  </si>
  <si>
    <t xml:space="preserve"> Purchase of 3 Units Aircon to be used by Vice Mayors Office 3 Units Split Type Aircon Inverter with 10 year Warranty on compressor and 1 Year Warranty on parts and serrvice</t>
  </si>
  <si>
    <t xml:space="preserve"> Engine Specification		 Type		2.8L Diesel, 4 Cylinder, In line 16V, DOHC, Turbo charged Engine Technology	Direct Injection Common Rail Diesel (d-4D) Displacement		  2.755cc   Max Output		  176ps/3,4000rpm   Max Torque		  420nm/1,400-2,600rpm   Fuel Tank Ca</t>
  </si>
  <si>
    <t xml:space="preserve"> INVITATION TO BID The Department of Public Works and Highways - Pampanga 1st District Engineering Office, through its Bids and Awards Committee (BAC), invites contractors to submit bids for the following Contract: 1.	 Procurement ID/Contract ID	:	20CG0140</t>
  </si>
  <si>
    <t xml:space="preserve"> The Local Government Unit of Barugo, through the 20% Project Development Fund (PDF)  intends to apply the sum of Three Hundred Fifty Thousand Pesos only (Php350,000.00) being the Approved Budget for the Contract (ABC) to payments under the contract for Pr</t>
  </si>
  <si>
    <t xml:space="preserve"> Number: 	Quantity: 	 1	5	rolls		Chicken Ranged Net (height 12 ft., 100 meters long per roll, color green)		4,500.00	22,500.00 2	15	rolls		Hog wires 4 ft. height		2,200.00	33,000.00 3	2	rolls		Nylon Black net (fine mesh)		4,250.00	8,500.00 4	3	rolls		Nylon</t>
  </si>
  <si>
    <t xml:space="preserve"> Republic of the Philippines					 DEPARTMENT OF PUBLIC WORKS AND HIGHWAYS					 BUTUAN CITY					 DISTRICT ENGINEERING OFFICE					 REGIONAL OFFICE XIII					 Butuan City, Agusan del Norte					 	                                      Tel. Nos. 342-5331  Fax No.</t>
  </si>
  <si>
    <t xml:space="preserve"> l.	The MUNICIPALITY OF GUINAYANGAN, QUEZON, through the  2020  MDF   intends to apply the sum of  One Hundred Forty Six Thousand Seven Hundred Fourteen  Pesos                                  (P 146,714.00) being the Approved Budget for the Contract (ABC)</t>
  </si>
  <si>
    <t xml:space="preserve"> MUNICIPALITY OF ABRA DE ILOG Name of Procuring Entity						                Contract Reference Number Infra No. 02-2020 Name of Contract:  Upgrading and Improvement of Kuli-kuli Road 3      Location: Brgy. Armado, Abra de Ilog, Occ. Mindoro Republic of the</t>
  </si>
  <si>
    <t xml:space="preserve"> Please submit your quotation for the following items on or before 5:00PM on Jun 24, 2020. ITEM D E S C R I P T I O N QTY. UNIT  1 Automatic Weather Station 1 unit Technical Specification Requirements: Operating Temperature: -40 to 150F (-40° to +65°C); No</t>
  </si>
  <si>
    <t xml:space="preserve"> 1.	The Municipality of Impasugong, through the 20% Rubber Plantation Project/Oil Palm Project intends to apply the sum Two Million Five Hundred Thousand Pesos (PhP 2,500,000.00) being the Approved Budget for the Contract (ABC) to payments under the contra</t>
  </si>
  <si>
    <t xml:space="preserve"> Republic of the Philippines Province of Antique Municipality of Caluya Barangay Semirara INVITATION TO BID FOR PROCUREMENT OF 9 UNITS BRAND NEW MOTORBIKES FOR BARANGAY OFFICIALS OF BARANGAY SEMIRARA, CALUYA, ANTIQUE  1.	The Local Government Unit Semirara,</t>
  </si>
  <si>
    <t xml:space="preserve"> RFQ-GS-20200521-01 Interested Suppliers are invited to submit Price Quotation for the above listed item. The official LANDBANK Request for Quotation Form may be obtained from MS. NADZ ILETO, you may email her at nadiaileto_25@yahoo.com The deadline for th</t>
  </si>
  <si>
    <t xml:space="preserve"> Please download pDf @ associated components for more information</t>
  </si>
  <si>
    <t xml:space="preserve"> INVITATION TO BID PROCUREMENT OF VARIOUS GOODS IB NO. 2020-06-30 (05) 1.	The Department of Health Cagayan Valley Center for Health Development, through the GOP-General Appropriations Act 2020 intends to apply the lump sum of One Million Two Hundred Fifty </t>
  </si>
  <si>
    <t xml:space="preserve"> Construction of 160.00 meters concrete road</t>
  </si>
  <si>
    <t xml:space="preserve"> 1 unit Ambulance Vehicle</t>
  </si>
  <si>
    <t xml:space="preserve"> Republic of the Philippines Province of Pangasinan Bids and Awards Committee Municipality of Calasiao INVITATION TO BID  PURCHASE OF FAMILY PLANNING SUPPLIES, MEDICINES AND VITAMINS AT CALASIAO, PANGASINAN 1.	The Municipality of Calasiao, through the Gene</t>
  </si>
  <si>
    <t xml:space="preserve"> Republic of the Philippines CITY OF MALABON Metro Manila BIDS AND AWARDS COMMITTEE I N V I T A T I O N    T O    B I D SUPPLY AND DELIVERY OF VARIOUS PRINTED FORMS, STICKERS AND  TIN PLATES FOR THE PROJECT “REGISTRATION AND FRANCHISING  OF TRICYCLES, PEDI</t>
  </si>
  <si>
    <t xml:space="preserve"> ITEM NO.	PARTICULARS	 UNIT 	QTY 1	Roadpod VT Plus A	unit	 3.00  			 2	Road "O" Tubes (30M/Roll)                                                                                                                            	roll	 4.00  			 3	Figure 8 Road Cle</t>
  </si>
  <si>
    <t xml:space="preserve"> Invitation to Bid for the Supply and Delivery of various Medicine for the use of Brgy. San Andres, Batangas City</t>
  </si>
  <si>
    <t xml:space="preserve"> Republic of the Philippines CITY GOVERNMENT OF SAN FERNANDO Barangay Camansi INVITATION TO BID FOR  Improvement of Multi-Purpose Hall Barangay Camansi, City of San Fernando 1.	The Barangay Camansi, through the Barangay Fund  intends to apply the sum of on</t>
  </si>
  <si>
    <t xml:space="preserve"> Construction of 179.52 meters concrete road</t>
  </si>
  <si>
    <t xml:space="preserve"> FOR SALE	 TOTAL ABC: P 1,941,293.00	 Lot	Amount per BAC 1	P 150.00 2	P 300.00 3	P 150.00 4	P 150.00 5	P 300.00 6	P 300.00 7	P 300.00 8	P 300.00 9	P 150.00 10	P 300.00 11	P 300.00 12	P 150.00 13	P 150.00 14	P 300.00 15	P 150.00 16	P 300.00 17	P 150.00 18	P</t>
  </si>
  <si>
    <t xml:space="preserve"> REQUEST FOR EXPRESSION OF INTEREST (REOI) FOR CONSULTING SERVICES  19CSK00054 – Consulting Services for the Conduct of Soil Testing/Exploration for Bridge Projects - Geotechnical Investigation - Construction of Concrete Bridge, Magsaysay-Butuan City Coast</t>
  </si>
  <si>
    <t xml:space="preserve"> Section I. Invitation to Bid   Republic of the Philippines CITY GOVERNMENT OF SAN FERNANDO Barangay I Email: barangayone@rocketmail.com.ph INVITATION TO BID FOR  Installation and Distribution of Water System  Multi-Purpose Hall, Barangay I, City of San Fe</t>
  </si>
  <si>
    <t xml:space="preserve"> qspillway riprap  18.50m x 3.00m     55.50m2</t>
  </si>
  <si>
    <t xml:space="preserve"> Approved Budget for the Contract: Php 3,647,420.00 Estimated Budget Contract Duration/ Delivery Period: 30 Calendar Days SCHEDULE of ACTIVITIES 1. Issuance of Bid Documents: June 9 – 29, 2020 before bid opening 2. Pre-bid Conference: June 16, 2020, 09:00 </t>
  </si>
  <si>
    <t xml:space="preserve"> Cleaning supplies for the maintenance of Bgy. building facilities</t>
  </si>
  <si>
    <t xml:space="preserve"> Republic of the Philippines					 DEPARTMENT OF PUBLIC WORKS AND HIGHWAYS					 BUTUAN CITY DISTRICT ENGINEERING OFFICE					 REGIONAL OFFICE XIII					 Butuan City, Agusan del Norte					   Tel. Nos. 342-5331  Fax No. 225-2022					 					 Name of Procuring Ent</t>
  </si>
  <si>
    <t xml:space="preserve"> Supply of labor and materials on the conduct of Preventive Maintenance Services to BSP Motor and Armored Vehicle. Please see attachment for details.</t>
  </si>
  <si>
    <t xml:space="preserve"> The Municipal Government of Luna, Isabela through its Bids and Awards Committee (BAC) invites contractors registered by the Philippine Contractors Accreditation Board (PCAB) to apply and bid for the hereunder project: Name of Project: UPGRADING (EARTH TO </t>
  </si>
  <si>
    <t xml:space="preserve"> Invitation to Bid for the Supply and Delivery of various Medicine for the use of Brgy. Pinamucan Proper, Batangas City</t>
  </si>
  <si>
    <t xml:space="preserve"> NOTICE FOR NEGOTIATED PROCUREMENT FOR THE SUPPLY AND DELIVERY OF CONSTRUCTION MATERIALS (GOODS-2020-007)  The Puerto Princesa City Water District (PPCWD) invites suppliers that are technically, legally and financially capable to enter into a contract with</t>
  </si>
  <si>
    <t xml:space="preserve"> REQUEST FOR EXPRESSION OF INTEREST (REOI) FOR CONSULTING SERVICES  19CSK00053 – Consulting Services for the Conduct of Soil Testing/Exploration for Bridge Projects - Geotechnical Investigation - Construction of Pigsuotan Bridge, Brgy. Mandulog, Iligan Cit</t>
  </si>
  <si>
    <t xml:space="preserve"> Item No.	Scope of Work	Quantity	Unit	Total Estimated Cost I	Excavation and Lay Out	1 lot	 II	Forms and Scaffolding	480	Bd.ft.	 III	Concrete and Masonry Works	170	Bags	 IV	Steel/Roofing Works	84	pcs	 				657,018.63</t>
  </si>
  <si>
    <t xml:space="preserve"> 120	pcs.	    0.60"Ø x 1.0m RCPC 450	pcs.	    4" CHB 42	bags	    Portland Cement 4	cu.m.	Crushed Sand 2	cu.m.	Gravel, Crushed Stone, 3/4" 24	lngth	    10mmØ x 6.0m RSB, deformed 1	pcs.	    Hacksaw Blade 3	kgs.	    #16 G.I. Wire</t>
  </si>
  <si>
    <t xml:space="preserve"> Republic of the Philippines OFFICE OF THE PUNONG BARANGAY Barangay LOCSOON Province of Misamis Occidental INVITATION TO BID The Office of the Punong Barangay of Barangay Locsoon through its Bids and Awards Committee [BAC], invites supplier/s registered wi</t>
  </si>
  <si>
    <t xml:space="preserve"> q   30 sq.m</t>
  </si>
  <si>
    <t xml:space="preserve"> Item No.	Scope of Work	Quantity	Unit	Total Estimated Cost 1	Steel and Welding Works	8.00	units	 				 				 				 				211,945.77</t>
  </si>
  <si>
    <t xml:space="preserve"> The Municipal Government of Bayog, Zamboanga del Sur thru its Bids and Awards Committee (BAC) invites all interested bidders for the “SUPPLY AND DELIVERY OF EMERGENCY AND RESCUE EQUIPMENT FOR FLOOD AND EARTHQUAKE” for preparedness and operations of the Mu</t>
  </si>
  <si>
    <t xml:space="preserve"> Republic of the Philippines												 City of San Carlos												 Negros Occidental												 												 			INVITATION TO BID							FOR SALE	 			PURCHASE REQUEST NO: 18-20-04-0549			P 1,956.00	 Sealed bids for quotation of prices will be received</t>
  </si>
  <si>
    <t xml:space="preserve"> REQUEST FOR EXPRESSION OF INTEREST (REOI) FOR CONSULTING SERVICES  19CSK00056 – Consulting Services for the Conduct of Soil Testing/Exploration for Bridge Projects - Geotechnical Investigation - Construction of Bridge, Cagayan de Oro Diversion Road, Jct. </t>
  </si>
  <si>
    <t xml:space="preserve"> 1,166	Bags	Hog grower Pellets (50 kilos) 3,080	Bags	Hog Gestating Mash (50 kilos) 1,166	Bags	Hog Lactating Mash (50 kilos) 330	Bags	Piglet Booster (24 kilos) 3,916	Bags	Pre Starter (25 kilos) TERMS &amp; CONDITIONS: 1. The Supplier has a capacity to deliver t</t>
  </si>
  <si>
    <t xml:space="preserve"> Section I. Invitation to Bid Republic of the Philippines Province of Surigao del Sur Municipality of San Miguel BARANGAY Umalag INVITATION TO BID FOR THE SUPPLY AND DELIVERY OF HARDWARE MATERIALS FOR CONSTRUCTION OF PUBLIC MARKET 1.	The BarangayLocal Gove</t>
  </si>
  <si>
    <t xml:space="preserve"> 20GID0016	Supply and Delivery of Reflectorized Traffic Paints for use in Repainting of Bridges, Guardrails and Headwall within the 2nd District of Leyte  Supply and Delivery of the Following: 120 pails Reflectorized Traffic Paint -White 20 pails- Reflecto</t>
  </si>
  <si>
    <t xml:space="preserve"> The  Sangguniang Barangay  VILLA BOTA , through its Bids and Awards Committee (BAC), invites suppliers/manufacturers/distributors/contractors to apply for eligibility and to bid for the hereunder project: Name of Project	:  REHABILITATION  OF STREET LIGHT</t>
  </si>
  <si>
    <t xml:space="preserve"> 500	sets	Supply and Delivery of nine hundred (900) sets galvanized metal layer cage with forty-eight (48) heads of pullets ready to lay in every set. To thirty (30) MIC Farmers Associations in the Municipality of Leyte subject to its terms and conditions.</t>
  </si>
  <si>
    <t xml:space="preserve"> 1.	The Municipality of Consolacion, through the GF - 20% intends to apply the sum of Two Hundred Fifty-Three Thousand Four Hundred Fifty-Eight Pesos (P 253,458.00) being the Approved Budget for the Contract (ABC) to payments under the contract for Repair/</t>
  </si>
  <si>
    <t xml:space="preserve"> Republic of the Philippines												 City of San Carlos												 Negros Occidental												 												 			INVITATION TO BID							FOR SALE	 			PURCHASE REQUEST NO: 1-20-03-0520			P 1,000.00	 Sealed bids for quotation of prices will be received </t>
  </si>
  <si>
    <t xml:space="preserve"> Republic of the Philippines												 City of San Carlos												 Negros Occidental												 												 			INVITATION TO BID							FOR SALE	 			PURCHASE REQUEST NO: 31-20-02-0344			P 3,000.00	 Sealed bids for quotation of prices will be received</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</si>
  <si>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</si>
  <si>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REQUEST FOR EXPRESSION OF INTEREST (REOI) FOR CONSULTING SERVICES  19CSK00055 – Consulting Services for the Conduct of Soil Testing/Exploration for Bridge Projects - Geotechnical Investigation - Construction of Concrete Bridge, Impasug-ong Bdry. Bukidnon </t>
  </si>
  <si>
    <t xml:space="preserve"> Qpathway area  67.10 x 0.90    60.39 sq.m</t>
  </si>
  <si>
    <t xml:space="preserve"> City Government of Manila INVITATION TO BID NO. 2020-06-77 Procurement of Various MTPB Uniforms, Supplies and Materials 1.	The City Government of Manila, through the TRUSTFUND CY 2020 (2-01-01-020-OVR-25%) intends to apply the sum of Eight Million Three H</t>
  </si>
  <si>
    <t xml:space="preserve"> - see Terms of Reference</t>
  </si>
  <si>
    <t xml:space="preserve"> JUNE 8, 2020 INVITATION TO BID Name of Project: SUPPLY AND DELIVERY OF FUEL FOR REHABILITATION OF BARANGAY ROADS OF 16 BARANGAYS   Approved Budget of the Contract: P 786,500.00 ITEM: 14,300	liters	Fuel  (for road grader) 		 The conduct of Bid for SUPPLY A</t>
  </si>
  <si>
    <t xml:space="preserve"> supplies for Barangay Eco-aide and clean-up drive</t>
  </si>
  <si>
    <t xml:space="preserve"> Trash Bins for Waste Segregation Projects</t>
  </si>
  <si>
    <t xml:space="preserve"> Contract ID No. 20GSK00010 - Supply and Installation for Air Conditioning Units for use in the Planning and Design Division (RROW), 1st Quarter. (Please see attached ITB)</t>
  </si>
  <si>
    <t xml:space="preserve"> Republic of the Philippines Dagupan City BIDS AND AWARDS COMMITTEE INVITATION TO BID For the Procurement of Drugs and Medicines for CHO use (PR no.: 2020-00615-014) 1.	The City Government of Dagupan, through the 2020 Approved ANNUAL BUDGET intends to appl</t>
  </si>
  <si>
    <t xml:space="preserve"> SECTION I. INVITATION TO BID FOR THE PROPOSED RENOVATION AND IMPROVEMENTS OF BOARDWALK AND WAINTING SHED 1. 	The DENR PENRO CEBU through the IPAF-RIA of PA OIWS intends to apply the sum of Three Million Two Hundred Seven Thousand Pesos (P3,207,000.00) bei</t>
  </si>
  <si>
    <t xml:space="preserve"> Temporary Facilities, Project Billboard, Construction Safety and Health, Mobilization/Demobilization, Clearing and Grubbing, Roadway Excavation (Common), Foundation Fill, Pipe Culvert and Drain Excavation, Embankment from Road Excavation, Subgrade Prepara</t>
  </si>
  <si>
    <t xml:space="preserve"> BIDS AND AWARDS COMMITTEE INVITATION TO BID No. 026-2020 The METRO ROXAS WATER DISTRICT (MRWD), through its Bids and Awards Committee (BAC), invites Janitorial Agencies/Janitorial Service Providers to apply for eligibility and to bid for the hereunder pro</t>
  </si>
  <si>
    <t xml:space="preserve"> Republic of the Philippines Province of Guimaras Municipality of Sibunag INVITATION TO BID FOR  Bid No. 2020-015 – Materials for Development of M unicipal Cemetery The Municipality of Sibunag  through the 2020 20% DF   (Development of Mun icipal Cemetery,</t>
  </si>
  <si>
    <t xml:space="preserve"> INVITATION TO BID PROCUREMENT OF VARIOUS PHARMACEUTICALS  ITB No. 2020-03-003 1.	The NORTHERN MINDANAO MEDICAL CENTER (NMMC), through the General Appropriations Act 2020 intends to apply the sum of One Hundred Sixty Nine Million Seven Hundred Sixty Six Th</t>
  </si>
  <si>
    <t xml:space="preserve"> Construction of Field Office for the Engineer, Project Billboard, Occupational Safety and Health Program, Traffic Management, Mobilization/Demobilization, Clearing and Grubbing, Roadway Excavation (Common), Foundation Fill, Pipe Culvert and Drain Excavati</t>
  </si>
  <si>
    <t xml:space="preserve"> Republic of the Philippines					 DEPARTMENT OF PUBLIC WORKS AND HIGHWAYS					 BUTUAN CITY DISTRICT ENGINEERING OFFICE					 REGIONAL OFFICE XIII					 Butuan City, Agusan del Norte					   Tel. Nos. 342-5331  Fax No. 225-2022					 					Page 1 of 6 Name of Pr</t>
  </si>
  <si>
    <t xml:space="preserve"> Contract ID No. 20GSK00011 - Supply and Delivery of Office Supplies for the use in the Planning and Design Division for 2nd quarter, 2020. (Please see attached ITB)</t>
  </si>
  <si>
    <t xml:space="preserve"> Republic of the Philippines PROVINCE OF SAMAR Municipality of Pinabacdao Invitation to Bid Repair of Brgy.Mambog Baily Bridge Pinabacdao Samar 1. The LOCAL GOVERMENT UNIT of PInabacdao Samar, through the FY 2020 Budget intends to apply the sum of Five Hun</t>
  </si>
  <si>
    <t xml:space="preserve"> Construction of 3,077 ln.m. Water Supply System</t>
  </si>
  <si>
    <t xml:space="preserve"> Republic of the Philippines Province of Ilocos Sur MUNICIPALITY OF MAGSINGAL Office of the Bids and Awards    Committee INVITATION TO BID FOR THE PROVISION OF POTABLE WATER SUPPLY FOR TOBACCO FARMERS OF SITIO SARAGCAO, MAAS-ASIN, MAGSINGAL, ILOCOS SUR The</t>
  </si>
  <si>
    <t xml:space="preserve"> INVITATION TO BID  1.	The CITY GOVERNMENT OF CAUAYAN, ISABELA through the 2020 GENERAL FUND intends to apply the sum of FOUR MILLION PESOS (Php 4,000,000.00) being the Approved Budget for the Contract (ABC) to payments under the contract for the Supply an</t>
  </si>
  <si>
    <t xml:space="preserve"> Concreting of Roads - Cluster I Area A. Valeroso Road, Barangay Caduldulaoan B. Marquez Road, Barangay Botbotones C. Antonio Road, Barangay San Vicente D. Antimano Road (Gap), Barangay Pinpinas</t>
  </si>
  <si>
    <t xml:space="preserve"> Construction of Field Office for the Engineer, Provision of Furnitures/Fixtures, Equipment and Appliances for the Field Office of the Engineer, Construction Survey and Staking, Project Billboard, Occupational Safety and Health Program, Traffic Management,</t>
  </si>
  <si>
    <t xml:space="preserve"> ALBAY 3RD DISTRICT ENGINEERING OFFICE																											 Paulog, Ligao City																											 																											 																											 INVITATION TO BID																											 																											 															</t>
  </si>
  <si>
    <t xml:space="preserve"> Repair/Maintenance and Replacement of various cctv cameras</t>
  </si>
  <si>
    <t xml:space="preserve"> 6	pcs	Swivel Chairs 				 		•Leather type without leg supporter, •Thick cushion				 		•Black textillen mesh, •Comportable Seat &amp; Back				 		•Maximum weight capacity: 100kg, •Tilt Lock Mechanism				 		•Chromed Steel Base and PP Casters				 		•Pneumatic Seat</t>
  </si>
  <si>
    <t xml:space="preserve"> Concreting of Roads - Cluster II Area A. Villegas Road, Barangay Pilpila B. Espino Road, Barangay Vargas C. Esteban Road, Barangay Vargas D. Road #11, Barangay Sta. Ines East E. Road #5, Barangay Sta. Ines East</t>
  </si>
  <si>
    <t xml:space="preserve"> Additional cameras for various streets of Bgy. Mariana</t>
  </si>
  <si>
    <t xml:space="preserve"> safety kits and supplies for BPSOs</t>
  </si>
  <si>
    <t xml:space="preserve"> qstreet names   40 units qsignage            1 unit</t>
  </si>
  <si>
    <t xml:space="preserve"> Republic  of  the  Philippines  Province  of  Marinduque MUNICIPALITY  OF  GASAN INVITATION TO BID FOR THE INSTALLATION OF FIBER GLASS WINDOW ON  PUBLIC MARKET TOWER 1.	The Municipality of Gasan, through 20% Development Fund Continuing Appropriation inten</t>
  </si>
  <si>
    <t xml:space="preserve"> ALBAY 3RD DISTRICT ENGINEERING OFFICE																										 Paulog, Ligao City																										 																										 INVITATION TO BID																										 																										 The DPWH - Albay 3rd District Engineering Office</t>
  </si>
  <si>
    <t xml:space="preserve"> The  Sangguniang Barangay  LAGUNA , through its Bids and Awards Committee (BAC), invites suppliers/manufacturers/distributors/contractors to apply for eligibility and to bid for the hereunder project: Name of Project	:  REHABILITATION  OF MULTI – PURPOSE </t>
  </si>
  <si>
    <t xml:space="preserve"> Brief Description/Specification: “SUPPLY AND DELIVERY OF VARIOUS FIRST AID SUPPLIES AND MATERIALS” for preparedness and operations of the Municipal Disaster Risk Reduction &amp; Management Office in the Municipal Government of Bayog, Zamboanga del Sur.   Appr</t>
  </si>
  <si>
    <t xml:space="preserve"> Contract ID No. 20GSK00012 - Supply and Installation of Office Furnitures &amp; Fixtures for use in the Road Right of Way New Office, Planning and Design Division. (Please see attached ITB)</t>
  </si>
  <si>
    <t xml:space="preserve"> 5	pcs	Handheld Radio Antenna, Motorola GP2000 15	pcs	Handheld Radio Battery Pack, ICOM IC-V88 10	pcs	Handheld Radio Battery Pack, Motorola GP2000 15	pcs	Handheld Radio Charger, ICOM IC-V88 5	pcs	Handheld Radio Charger, Motorola GP2000</t>
  </si>
  <si>
    <t xml:space="preserve"> SURIGAO STATE COLLEGE OF TECHNOLOGY Surigao City INVITATION TO BID FOR IMPROVEMENT OF BUILDINGS AND ESTATES/PLANNING OFFICE 1.	The Surigao State College of Technology, through the Corporate Budget for the Contract Approved by the Governing Boards intends </t>
  </si>
  <si>
    <t xml:space="preserve"> 10 units Hypochlorinator Capacity:  5 liters per hour (lph) @ 100 psi (6 units) Brand: ___________ Model: ___________ Inclusion: Product Brochure 10  liters per hour (lph) @ 100 psi (4 units) Brand:___________ Model:___________ Inclusion: Product Brochure</t>
  </si>
  <si>
    <t xml:space="preserve"> CONSTRUCTION MATERIALS AND SUPPLIES MATERIALS: 2” X2” X ¼” Angle Bar 50 pcs., 2” x3” x 1.5mm C. Purlins 38 pcs., 2” x 10” x1.5mm Channel(Facia) 8 pcs., 0.5mm x 1.0m Long Span Prepainted Rob Type( 4.20m) 28 pcs., Speial Gutter ( pre-painted) 14 pcs., Ridge</t>
  </si>
  <si>
    <t xml:space="preserve"> Const. of Two Storey  Building (Dimension:  22.50m x 9.40m) made of concrete masonry works, C- Joist suspended slabs, steel &amp; galva iron roofing sheets complete with ceilings, hanger &amp; nailers, paintings, plumbing &amp; sanitary fixtures, doors &amp; windows with</t>
  </si>
  <si>
    <t xml:space="preserve"> Procurement of Medical &amp; Laboratory Supplies						 Purchase Requested by the City Health Unit, Tabaco City						 						 To Interested Suppliers, Manufacturers and Distributors,						 						 Please quote your lowest price/s on the lot or item/s  below, sub</t>
  </si>
  <si>
    <t xml:space="preserve"> Concreting of Roads - Cluster III Area A. Road #12, St. Anthony Subd., Barangay Pob. East B. Sagun Road, Barangay Pob. West C. Morales St. Extension (Gap), Barangay Pob. West D. Road #11, Barangay Pob. West</t>
  </si>
  <si>
    <t xml:space="preserve"> Local Government Unit of Cordon, Isabela Invitation to Bid for Construction of Multi-Purpose Hall located  at LGU-Cordon, Isabela. 1.	The Local Government Unit, through the Provincial  Fund intends to apply the sum of Five Million Pesos          (P5,000,0</t>
  </si>
  <si>
    <t xml:space="preserve"> INVITATION TO BID CONSTRUCTION OF VARIOUS INFRASTRUCTURE PROJECTS FOR THE CITY OF NAVOTAS UNDER LGSF The City Government of Navotas, through its Bids and Awards Committee, will hold a Public Bidding for the CONSTRUCTION OF VARIOUS INFRASTRUCTURE PROJECTS </t>
  </si>
  <si>
    <t xml:space="preserve"> 330	Heads	GILT 		1. Grand Parent Stocks 		2. Parent Stocks 22	Heads	Boar 		1. Grand Parent Stocks 		2. Terminal lines 		3. A.I. Trained TERMS AND CONDITIONS: 1. The Supplier has a capacity to deliver the required Gilts and Boars needed by the project. 2. </t>
  </si>
  <si>
    <t xml:space="preserve"> 1	Pick-Up 4x4 1. Automatic transmission 2. 2.0 - 3.0 cc Engine displacement 3. Bedliner 4. Leather seat cover 5. Towing hitch</t>
  </si>
  <si>
    <t xml:space="preserve"> Supplies and equipment for Barangay Dental Clinic</t>
  </si>
  <si>
    <t xml:space="preserve"> The Municipality of Baliwag, through its Bids and Awards Committee (BAC), invites contractors to apply for eligibility and to bid the here ender project: Name of Project	:	ICT EQUIPMENT FOR EODB ONE STOP SHOP 	 Location		:	BALIWAG, BULACAN	 Brief Descript</t>
  </si>
  <si>
    <t xml:space="preserve"> INVITATION TO BID (RE-BID) The Provincial Government of Palawan through its Bids and Awards Committee (BAC) invites suppliers/manufacturers/ distributors/contractors to apply for eligibility and to bid for the hereunder project. Name of the Project       </t>
  </si>
  <si>
    <t xml:space="preserve"> 1	set	Compact Threading Machine 		Specifications: 		* 1/2"-2 NPT,230 V, 50/60 Hz 		* atleast 115 lb or 52.3 kg. 		Pipe capacity: atleast 1/8" - 2" (3mm-50mm) 		Bolt capacity: atleast 1/4" - 2" (6mm - 50mm) 		 		Special Features: 		Heavy Duty performance 	</t>
  </si>
  <si>
    <t xml:space="preserve"> 10	pcs	Adaptor, S/A, Bullet 37T, Viton 15	pcs	Bearing bracket with bearing 10	pcs	Cartridge bullet valve, S/A, doube ball 10	pcs	Ceramic Weight 100	mtrs	Chemical hose, 3/16 5	pcs	Cycle timer, 5 sec, 24v-115v-230v, 50/60 Hz 15	pcs	Diaphragm 10	pcs	Foot Val</t>
  </si>
  <si>
    <t xml:space="preserve"> Construction of Masonry Drainage along Sampaguita Street (Panacal Village), Caggay-Tanza, Tuguegarao City</t>
  </si>
  <si>
    <t xml:space="preserve"> Construction of Three (3) Phase Primary Distribution Line for Tuguegarao City Slaughter House (Ipil-Ipil Street, Capatan, Tuguegarao City)</t>
  </si>
  <si>
    <t xml:space="preserve"> 1000	vials	AMPICILLIN 250mg 1000	vials	AMPICILLIN 500mg 2000	vials	AMPICILLIN + SULBACTAM Na 750mg 1000	amps	BUPIVACAINE 0.5% HEAVY 4ml Sol. 2000	vials	CEFAZOLIN 1g 1000	vials	CEFTAZIDIME 1g 2000	vials	CEFTRIAXONE 1g 5000	vials	CEFUROXIME 750mg 500	amps	C</t>
  </si>
  <si>
    <t xml:space="preserve"> Republic of the Philippines Province of Leyte MUNICIPALITY OF CAPOOCAN -oOo- CAPOOCAN BIDS AND AWARD COMMITTEE INVITATION TO BID  for SUPPLY AND DELIVERY OF 3 UNITS MOTOR VEHICLES 1.	The MUNICIPALITY of Capoocan, Leyte, through the MO GENERAL FUND, MDRRM </t>
  </si>
  <si>
    <t xml:space="preserve"> SPECIFICATION: &gt; Hybrid Solar Inverter (5KVA with Built-in MPPT Charge Controller, 48 vdc Input Voltage, 60A, 220-250VAC Pure Sine Wave Output &gt; Monocrystalline 335 watts Solar PV Modules (14 units) &gt; 4mm2/6mm2 DC Solar Cables &gt; 4.69lWp railing kit and ac</t>
  </si>
  <si>
    <t xml:space="preserve"> 900	BAGS	Chicken Layer Grower Crumble (50 kilos) 300	BAGS	Chicken Pre-Layer Crumble (50 kilos) 1500	BAGS	Chicken Layer 1 Crumble (50 kilos Terms and Conditions: a. Feeds delivered should be in good condition. b. Feeds should be delivered at thirty (30) Fa</t>
  </si>
  <si>
    <t xml:space="preserve"> Invitation to Bid for the  PROCUREMENT OF VEHICLE Kiblawan, Davao del Sur 1.The Local Government Unit of Kiblawan, through the 2020 Peace and Order Fund[ In the case of National Government Agencies, the General Appropriations Act and/or continuing appropr</t>
  </si>
  <si>
    <t xml:space="preserve"> CONSTRUCTION MATERIALS AND SUPPLIES MATERIALS: Drop Wire 480 meters, Lamp Holders 15 sets, Led Lamp Bulb  watts 15 pcs., G.I. Pipe 3” SCH 40 15 pcs., G.I Pipe 1 ½” SCH 20 6 pcs., THHN Wire# 14 24 meters, THHN #10 24 meters, Electrical Tape 12 rolls, Coirc</t>
  </si>
  <si>
    <t xml:space="preserve"> 288	bot	Aluminum Magnesium SUSP 60 ml 200	box	Aluminum Hydroxide + Magnesium Hydroxide 720	bot	Ambroxol 6mg/ml DROPS 15ml 2880	bot	Ambroxol 15mg/ml SYRUP 60ml 500	box	Ambroxol 30mg TAB 100s 300	box	Amlodipine 5mg TAB 100s 500	box	Amoxicillin 500mg CAP 100</t>
  </si>
  <si>
    <t xml:space="preserve"> 1.	174	BAGS PORTLAND CEMENT				 2.	72	PCS. 12MM DIA. DSB				 3.	27.25	KGS. No.16 TIE WIRE				 4.	208	PCS. 10MM DIA. DSB				 5.	30	PCS. 16MM DIA. DSB				 6.	5	SHTS. 1/2" THK. MARINE PLYWOOD				 7.	540	BDFT. 2 X 3 X 12 COCO LUMBER (90)				 8.	280	BDFT. 2 X </t>
  </si>
  <si>
    <t xml:space="preserve"> INVITATION TO BID Date: June 08, 2020 1.	The Provincial Government of Davao del Sur, through its Bids and Awards Committee (BAC), invites all potential bidders/suppliers to apply to bid for the following goods. Bids received in excess of the ABC shall be </t>
  </si>
  <si>
    <t xml:space="preserve"> 500	units	Heavy Duty Utility Bed with the following specifications: -2020 all new model-hHigh  Density -Rigid-Military grade Camp AId Regular Utility Bed -3 Folds Utility Bed -Oxford Polyester Fabric  -Black PVC Coated Fabric density 6x6 275g/m2 -PVC Late</t>
  </si>
  <si>
    <t xml:space="preserve"> Republic of the Philippines PROVINCE OF BUKDINON Malaybalay City OFFICE OF THE PROVINCIAL GOVERNOR Bids and Awards Committee INVITATION TO BID FOR THE “SUPPLY AND DELIVERY OF ONE LOT CONSUMABLES &amp; I.T SUPPLIES” ITB No. 2020-151 June 8, 2020 1.	The Provinc</t>
  </si>
  <si>
    <t xml:space="preserve"> qcctv   1 set</t>
  </si>
  <si>
    <t xml:space="preserve"> The work covered under this contract shall include the following: 1. Construction of 5.20m vehicular gate 2. improvement of dryer house (painting and improvement of roof framing system) 3. provision of concrete ramp/approach 4. 200mm thick concrete paveme</t>
  </si>
  <si>
    <t xml:space="preserve"> INVITATION TO BID FOR THE    CONTRACT ID: 19-10-208 REBID  Contract Name: SUPPLY, DELIVERY, TESTING AND COMMISSIONING OF BRAND NEW AMBULANCE (TYPE I)   Approved Budget for the Contract (ABC) : Php  82,500,000.00       Cost of Bidding Documents: Php 50,000</t>
  </si>
  <si>
    <t xml:space="preserve"> Republic of the Philippines PROVINCE OF BUKDINON Malaybalay City OFFICE OF THE PROVINCIAL GOVERNOR Bids and Awards Committee INVITATION TO BID FOR THE “SUPPLY AND DELIVERY OF ONE LOT CONSTRUCTION MATERIALS &amp; ELECTRICAL SUPPLIES FOR VARIOUS OFFICES” ITB No</t>
  </si>
  <si>
    <t xml:space="preserve"> Invitation to Bid Republic of the Philippines City of Olongapo -0- BIDS AND AWARDS COMMITTEE BAC Office 3rd Floor  Olongapo City Hall  Web: www.olongapocity.gov.ph INVITATION TO BID FOR  OC-63(JLGMH-17) 20 GD  PROCUREMENT FOR THE SUPPLY AND DELIVERY OF ME</t>
  </si>
  <si>
    <t xml:space="preserve"> Improvement of Pallua Elementary School Gymnasium (Pallua Elementary School, Pallua Sur)</t>
  </si>
  <si>
    <t xml:space="preserve"> INVITATION TO BID  No. 2020-015 The Department of Public Works and Highways -Davao del Norte District Engineering Office, Tagum City, Davao del Norte, through its Bids and Awards Committee (BAC), invites contractors to submit bids for the following Contra</t>
  </si>
  <si>
    <t xml:space="preserve"> VALENZUELA MEDICAL CENTER									 Padrigal St., Karuhatan, Valenzuela City									 Telephone No. 294-6711									 									 PURCHASE REQUEST									 									 Office		Medical Division	 	PR. No.				Date:	June 1, 2020 Division		Physical Medicine and Reh</t>
  </si>
  <si>
    <t xml:space="preserve"> Invitation to Bid Republic of the Philippines City of Olongapo -0- BIDS AND AWARDS COMMITTEE BAC Office 3rd Floor  Olongapo City Hall  Web: www.olongapocity.gov.ph INVITATION TO BID FOR  OC-64(DRRMO-05) 20 GD PROCUREMENT FOR THE SUPPLY AND DELIVERY OF BAS</t>
  </si>
  <si>
    <t xml:space="preserve"> Invitation to Bid Republic of the Philippines City of Olongapo -0- BIDS AND AWARDS COMMITTEE BAC Office 3rd Floor  Olongapo City Hall  Web: www.olongapocity.gov.ph INVITATION TO BID FOR  OC-65(DRRMO-06) 20 GD  PROCUREMENT FOR THE SUPPLY AND DELIVERY OF RE</t>
  </si>
  <si>
    <t xml:space="preserve"> 1.	The Municipality of Guinayangan, Quezon through the 2020 C.O. intends to apply the sum of One Million Five Hundred Twelve Thousand Pesos  (P 1,512,000.00) being the Approved Budget for the Contract (ABC) to payments under the contract for the Concretin</t>
  </si>
  <si>
    <t xml:space="preserve"> INVITATION TO BID  1.	The CITY GOVERNMENT OF CAUAYAN, ISABELA through the 2020 GENERAL FUND intends to apply the sum of ONE MILLION THREE HUNDRED EIGHTY THOUSAND PESOS (Php 1,380,000.00) being the Approved Budget for the Contract (ABC) to payments under t</t>
  </si>
  <si>
    <t xml:space="preserve"> Const. of Two Storey Building (Dimension:  11.80m x 7.00m) made of concrete, masonry works, steel &amp; galva iron roofing sheets complete with ceilings, hanger &amp; nailers, paintings, plumbing &amp; sanitary fixtures, doors &amp; windows with grills, railings, signage</t>
  </si>
  <si>
    <t xml:space="preserve"> 1.	1,526	BAGS PORTLAND CEMENT			 2.	45	PCS. 16MM DIA. DSB			 3.	10	PCS. 12MM DIA. DSB				 4.	840	BDFT 2 X 6 X 12 COCO LUMBER (70)			 5.	32	BDFT 2 X 4 X 8 COCO LUMBER (6)				 6.	15	PCS. SANDVICK HACKSAW BLADE				 7.	10	KGS. No. 2 1/2 CWN				 PURPOSE: FOR C</t>
  </si>
  <si>
    <t xml:space="preserve"> CONSTRUCTION OF MATERIALS AND SUPPLIES MATERIALS: Drop Wire 510 meters, Lamp Holders 16 sets, Led Lamp Bulb 20 watts 16 pcs., G.I. Pipe 3” SCH 40 16 pcs., G.I Pipe 1 ½” SCH 20 4 pcs., THHN Wire# 14 28 meters, THHN #10 28 meters, Electrical Tape 8 rolls, C</t>
  </si>
  <si>
    <t xml:space="preserve"> INVITATION TO QUOTE Date:  June 08, 2020 1.	The Provincial Government of Davao del Sur, through its Bids and Awards Committee (BAC), invites all interested bidders/suppliers to quote for the following goods under Alternative Methods of Procurement (Small </t>
  </si>
  <si>
    <t xml:space="preserve"> 1. 6,680 LTRS. DIESEL FUEL PURPOSE: FOR CONCRETING OF 260 MTRS CONCRETE PAVEMENT ALONG DINASAN TO LIPAY BARANGAY ROAD, JOSE DALMAN, ZAMBOANGA DEL NORTE. The complete schedule of activities is listed, as follows:							 							 		Activities			        Sched</t>
  </si>
  <si>
    <t xml:space="preserve"> CONSTRUCTION MATERIALS AND SUPPLIES MATERIALS: Drop Wire 1,350 meters, Lamp Holders 47 sets, Led Lamp Bulb 45 watts 40 pcs., G.I. Pipe 3” SCH 40 45 pcs., G.I Pipe 1 ½” SCH 20 14 pcs., THHN Wire# 14 48 meters, THHN #10 48 meters, Electrical Tape 14 rolls, </t>
  </si>
  <si>
    <t xml:space="preserve"> ITEM NO                     DESCRIPTION                            QUANTITY        UNIT 105 (1)                       SUB-GRADE PREPARATION          900                SQ.M 201                             AGGREGATE BASE COURSE         157.5             CU</t>
  </si>
  <si>
    <t xml:space="preserve"> Republic of the Philippines Province of Oriental Mindoro MUNICIPALITY OF NAUJAN BIDS AND AWARDS COMMITTEE INVITATION TO BID SUPPLY AND DELIVERY OF OFFICE, JANITORIAL AND OTHER SUPPLIES TO BE USED IN DIFFERENT OFFICES, NAUJAN, ORIENTAL MINDORO 1.	The Munic</t>
  </si>
  <si>
    <t xml:space="preserve"> Invitation to Bid for the CONSTRUCTION OF JIABONG FIRE STATION  1.	The Bureau of Fire Protection Region 8, through the Special Accounts in the General Fund SAGF 2020 intends to apply the sum of Seven Million Three Hundred Twenty Thousand Nine Hundred Sixt</t>
  </si>
  <si>
    <t xml:space="preserve"> OPENING OF BIDS IN DSWD FO IX ZAMBOANGA CITY		 DELIVERY IN DSWD-T ISABELA CITY, BASILAN PROVINCE		 PROCUREMENT FOR THE FF.:		 		 2	PCS.	FLASH DRIVE, 16gb CAPACITY 30	REAM	PAPER, MULTI-PURPOSE (COPY) LEGAL SIZE , 70gsm, 216mm X 330mm, SUB 20 30	REAM	PAPER,</t>
  </si>
  <si>
    <t xml:space="preserve"> 1. The LGU-Bakun, Benguet, through the 2020 20% MDF intends to apply the sum of   P 1,699,347.45 being the Approved Budget for the Contract (ABC) to payments under the contract Various Infrastructure Projects under Cluster I-2020, Kayapa, Bakun, Benguet (</t>
  </si>
  <si>
    <t xml:space="preserve"> CONCRETING OF BARANGAY BUDAC TO BARANGAY GADDANI FMR Contract Location:                      Barangay Budac and Barangay Gaddani, Tayum, Abra Brief Description:                     Concreting of Roads using PCCP (Unreinforced,                             </t>
  </si>
  <si>
    <t xml:space="preserve"> Republic of the Philippines Region XII Province of Cotabato Municipality of Makilala  OFFICE OF THE BIDS AND AWARD COMMITTEE INVITATION TO BID N0. 2020-003 (RE-BIDDING)            The Municipality of Makilala, through the TRUST FUND under DAR_MINSAAD   in</t>
  </si>
  <si>
    <t xml:space="preserve"> INVITATION TO BID FOR Procurement of Hospital Engineering &amp; Facilities Management Unit (HEMU) Supplies and ICT Equipment IB NO: 2020-019 The Western Visayas Medical Center, through Internally Generated Income and FY 2020 GAA, in the amount of Three Millio</t>
  </si>
  <si>
    <t xml:space="preserve"> INVITATION FOR NEGOTIATED PROCUREMENT Negotiated Procurement – Two Failed Biddings Reference No. NIAREG9-0226-2020-RESTOCISCY2020-024 (NP 53.1) Dear Sir/Ma’am: 1.	In view of the two (2) failed public biddings conducted for the project entitled: “Repair of</t>
  </si>
  <si>
    <t xml:space="preserve"> Diesel,  Umleaded Prospective Bidders must have completed a contract similar to the project with the amount of at least 50% of the ABC. Bidding will be conducted through open competitive bidding procedures using a non-discretionary “pass/fail” criterion a</t>
  </si>
  <si>
    <t xml:space="preserve"> Const. of Two Storey Building (Total Floor Area:  161.00 sq.m.) with 11.5m x 1.50m Balcony made of concrete, masonry works, C- Joist suspended slabs, steel &amp; galva iron roofing sheets complete with ceilings,  hanger &amp; nailers, paintings, plumbing &amp; sanita</t>
  </si>
  <si>
    <t xml:space="preserve"> Installation of Tourism Information System Expected Output: 	Automated filing &amp; reporting system 	Automated counting of daily arrivals With the following disaggregation: •	Sex •	Age •	Nationality •	Address •	Accommodation •	Length of Stay</t>
  </si>
  <si>
    <t xml:space="preserve"> INVITATION FOR NEGOTIATED PROCUREMENT Negotiated Procurement – Two Failed Biddings Reference No. NIAREG9-0219-2020-FSDECY2013-2014-021 (NP 53.1)  Dear Sir/Ma’am: 1.	In view of the two (2) failed public biddings conducted for the project entitled: “Supply </t>
  </si>
  <si>
    <t xml:space="preserve"> Const. of Two Storey Building (Dimension:  8.50m x 6.20m) made of concrete, masonry works, C- Joist suspended  slabs, steel, &amp; galva iron roofing sheets complete with ceilings, hanger, fie exit ladder, signages &amp; electrical systems including demolition of</t>
  </si>
  <si>
    <t xml:space="preserve"> PLEASE QUOTE US YOUR LOWEST BID FOR THE FOLLOWING: REPAIR/REHABILITATION OF ACCOUNTING OFFICE</t>
  </si>
  <si>
    <t xml:space="preserve"> Contract ID: 20PK0069 Contract Name: Cluster 1 - Repair and Rehabilitation of Infrastructure Facilities and Other Related Activities - Flood Control and Drainage Systems, Structures and Related Facilities, Mabilong and Dangoy, Lubuagan, Kalinga   Contract</t>
  </si>
  <si>
    <t xml:space="preserve"> INVATATION TO BID   CONSTRUCTION OF 2-STOREY MUNICIPAL MULTI-PURPOSE BUILDING Identification No. BARMM-SUL-06-SIA-03-20 June 4, 2020 The Municipality of Siasi, Province of Sulu, implementing  partner of the Development Bank of the Philippine (DBP) now inv</t>
  </si>
  <si>
    <t xml:space="preserve"> Republic of the Philippines Province of Oriental Mindoro MUNICIPALITY OF NAUJAN BIDS AND AWARDS COMMITTEE INVITATION TO BID SUPPLY AND DELIVERY OF MATERIALS TO BE USED IN THE INSTALLATION/ REHABILITATION OF WATER SYSTEM LEVEL II &amp; III IN DIFFERENT BARANGA</t>
  </si>
  <si>
    <t xml:space="preserve"> Vaccine, Rabies, Vero Cell Purified, 2.5IU/0.5ml vial +diluent,   Serum, anti-rabies (equine) 200IU/ml, 5ml vial Prospective Bidders must have completed a contract similar to the project with the amount of at least 50% of the ABC. Bidding will be conducte</t>
  </si>
  <si>
    <t xml:space="preserve"> INVITATION TO BID The DPWH Cebu 3rd District Engineering Office through its Bids and Awards Committee (BAC) for Goods, invites suppliers to submit bids for the following Contract:             Contract ID: 20GHF0005            Contract Name: Supply and Del</t>
  </si>
  <si>
    <t xml:space="preserve"> Invitation to Bid for the CONSTRUCTION OF PADRE BURGOS FIRE STATION  1.	The Bureau of Fire Protection Region 8, through the Special Accounts in the General Fund SAGF 2020 intends to apply the sum of Seven Million Three Hundred Twenty Thousand Nine Hundred</t>
  </si>
  <si>
    <t xml:space="preserve"> https://drive.google.com/file/d/1I_8XdRSbLBVGRKzArqIijGHoMkT8Y1dn/view?usp=drivesdk</t>
  </si>
  <si>
    <t xml:space="preserve"> ITEMS OF WORK I. CLEARING AND GRUBBING II. INTAKE TANK III. TRANSMISSION PIPELINE IV. CABLE INSTALLATION V. PROJECT BILLBOARD</t>
  </si>
  <si>
    <t xml:space="preserve"> Please refer to attached ITB</t>
  </si>
  <si>
    <t xml:space="preserve"> Concreting of Road with following description of works re:  Portland Cement Concrete Pavement (1,113.00 sq.m. @ 0.20m thk.) including subgrade and aggregate base course preparation and compaction.</t>
  </si>
  <si>
    <t xml:space="preserve"> Republic of the Philippines Cordillera Administrative Region Provincial Local Government Unit of Ifugao BIDS AND AWARDS COMMITTEE - INFRA 3rd Floor PEO Bldg., Capitol Compound Lagawe, Ifugao Email Ad.: bacifugao@gmail.com INVITATION TO BID  		NCB Publicat</t>
  </si>
  <si>
    <t xml:space="preserve"> Const. of Stage with dressing room (Dimension: 8.0m x 7.00) complete with Reinf. Concrete column, masonry works, steel trusses &amp; coloroof g.i. sheet, rib- type roofing, paintings, doors, windows, ceiling, tileworks, sanitary/ plumbing and electrical syste</t>
  </si>
  <si>
    <t xml:space="preserve"> RFQ-GS-20200603-01 Interested Suppliers are invited to submit Price Quotation for the above listed item. The official LANDBANK Request for Quotation Form may be obtained from MS. ARVIE ESTRELLA, you may email her at  avestrella08@gmail.com. The deadline f</t>
  </si>
  <si>
    <t xml:space="preserve"> Revised on: July 28, 2004                                            INVITATION TO APPLY FOR ELIGIBILITY AND TO BID                        The Local Government Unit of Catanauan, Quezon, through its Bids and Awards Committee (BAC), invites suppliers/manuf</t>
  </si>
  <si>
    <t xml:space="preserve"> Republic of the Philippines  Province of Bukidnon  MUNICIPALITY OF KALILANGAN    Bids and Award Committee (BAC)  INVITATION TO BID FOR  Goods 2020-06-016 The Local Government Unit – Kalilangan, Bukidnon through the BIDS AND AWARDS COMMITTEE (BAC) now invi</t>
  </si>
  <si>
    <t xml:space="preserve"> Invitation to Bid for the CONSTRUCTION OF PINABACDAO FIRE STATION 1. The Bureau of Fire Protection Region 8, through the Special Accounts in the General Fund SAGF 2020 intends to apply the sum of Seven Million Three Hundred Twenty Thousand Nine Hundred Si</t>
  </si>
  <si>
    <t xml:space="preserve"> This project is own by the Barangay Government of Lower Bag-ong Tudela, Josefina, Zamboanga del Sur which they have to repair their streetlights inorder to maintain the safety of their constituents.</t>
  </si>
  <si>
    <t xml:space="preserve"> Concreting of Road with following description of works re:  Portland Cement Concrete Pavement (492.00 sq.m. @ 0.20m thk.) including removal of existing PCCP (reblocking), roadway excavation, subgrade and aggregate base course preparation and compaction.</t>
  </si>
  <si>
    <t xml:space="preserve"> Const. of Three Storey Building (Dimension: 36m x 9.40m) made of concrete, masonry works, steel &amp; galva iron roofing sheets complete with ceilings, hanger &amp; nailers, paintings, plumbing &amp; sanitary fixtures, doors &amp; windows with grills, railings, fire exit</t>
  </si>
  <si>
    <t xml:space="preserve"> https://drive.google.com/file/d/1Wx6gqQUw4MNckdXd60MNwCAGJpHR-3yF/view?usp=drivesdk</t>
  </si>
  <si>
    <t xml:space="preserve"> Republic of the Philippines Province of Misamis Occidental MUNICIPALITY OF CALAMBA   INVITATION TO BID FOR THE CONCRETING OF IMAN STREET- BARANGAY MAGCAMIGUING 	June 9, 2020 1.	The Local Government Unit of Calamba, Misamis Occidental, through the 20% Deve</t>
  </si>
  <si>
    <t xml:space="preserve"> Concreting of Road with following description of works re:  Portland Cement Concrete Pavement (1,101.00 sq.m. @ 0.20m thk.) including subgrade and aggregate base course preparation and compaction.</t>
  </si>
  <si>
    <t xml:space="preserve"> INVITATION TO BID FOR SUPPLY AND DELIVERY OF HDPE PIPES AND COMPRESSION FITTINGS 1. The Tanay Water District, through the Corporate Budget for the contract approved by the governing Boards intends to apply the sum of One Million One Hundred Seventy Two Th</t>
  </si>
  <si>
    <t xml:space="preserve"> ITEMS OF WORK: I. DEMOLITION (SLABS, WALLS) ......................................................28.50 CU.M. II. EXCAVATION WORKS (MANUAL) ......................................................95.00 CU.M. III. HAULING AND DISPOSAL OF DEMOLISHED AND EXCAV</t>
  </si>
  <si>
    <t xml:space="preserve"> ITEMS OF WORK CLEARING AND GRUBBING INTAKE TANK TRANSMISSION PIPELINE RESERVOIR TANKS PROJECTS BILLBOARD</t>
  </si>
  <si>
    <t xml:space="preserve"> Repair and Maintenance of Lined Canal</t>
  </si>
  <si>
    <t xml:space="preserve"> Construction of Slope Protection with following description of works re:  Grouted Riprap, Class A (Total Volume:  120.66 cu.m.) including individual Removal of Trees, Structure Excavation, Embankment &amp; Concrete Sealing, 150mm thk.</t>
  </si>
  <si>
    <t xml:space="preserve"> Republic of the Philippines DEPARTMENT OF PUBLIC WORKS AND HIGHWAYS REGIONAL OFFICE VIII Baras, Palo, Leyte    INVITATION TO BID No. 2020-06-001 June 8, 2020 1.	The Department of Public Works and Highways Regional Office VIII, Baras, Palo, Leyte, through </t>
  </si>
  <si>
    <t xml:space="preserve"> OPENING OF BIDS IN DSWD FO IX, ZAMBOANGA CITY		 DELIVERY IN DSWD HOME FOR WOMEN MAMPANG ZAMBOANGA CITY		 PROCUREMENT FOR THE FF.:		 		 1	UNIT 	TEMPORARY FENCE SHIELD 		FENCE 1.8m X 2.4m, 32 X 1.5mm WITH PAINT 		********************************** 		PURPOSE</t>
  </si>
  <si>
    <t xml:space="preserve"> Const. of Two Storey Building (Dimension: 31.50m x 9.40m) made of concrete, masonry works, C- Joist suspended slabs, steel &amp; galva iron roofing sheets complete with ceilings, hanger &amp; nailers, paintings, plumbing &amp; sanitary fixtures, doors &amp; windows with </t>
  </si>
  <si>
    <t xml:space="preserve"> Const. of Two (2) units Communal Toilet (Floor Area:  CR #1- 18.12 sqm; CR #2 22.06 sq.m.) made of concrete, masonry works, steel &amp; galva iron roofing sheets complete with ceilings, hanger &amp; nailers, paintings, plumbing, &amp; sanitary fixtures, doors &amp; windo</t>
  </si>
  <si>
    <t xml:space="preserve"> Const. of Two Storey Four Classroom Building (Dimension:  22.50m x 9.40m) made of concrete, masonry works, C- Joist suspended slabs, steel &amp; galva iron roofing sheets complete with ceilings, hanger &amp; nailers, paintings, plumbing &amp; sanitary fixtures, doors</t>
  </si>
  <si>
    <t xml:space="preserve"> REQUEST FOR EXPRESSION OF INTEREST (REI) FOR CONSULTING SERVICES FOR THE DESIGN REVIEW/CONSTRUCTION SUPERVISION OF THE AMBAL-SIMUAY RIVER AND RIO GRANDE DE MINDANAO RIVER FLOOD CONTROL PROJECTS PACKAGE 1 AND PACKAGE 2 1.	The Department of Public Works and</t>
  </si>
  <si>
    <t xml:space="preserve"> Municipality of ATIMONAN, QUEZON Standard From Number SF-INFRA-05 Revised on July 28, 2004 INVITATION TO BID The Municipal Government of ATIMONAN, QUEZON, through its Bids and Awards Committee (BAC), invites Contractors to apply for Eligibility and to Bid</t>
  </si>
  <si>
    <t xml:space="preserve"> Const. of Two Storey Four Classroom Bldg. at Talisay ES, Brgy. Talisay, Calaca, Batangas</t>
  </si>
  <si>
    <t xml:space="preserve"> PROJECT NAME: Improvement of Laduan Elementary School PROJECT LOCATION:  Lengaoan, Buguias, Benguet DURATION:  44 CD (Including mobilization and Curing) PROJECT Cost:  PHP 290,000.00 SOURCE OF FUND: 20% MDF CY 2020 ITEM NO.	DESCRIPTION							 QTY  	   	UN</t>
  </si>
  <si>
    <t xml:space="preserve"> Please download the attached file (Associated Components) for the Bid Document.</t>
  </si>
  <si>
    <t xml:space="preserve"> City Government of Manila INVITATION TO BID  NO. 2020-06-86 Procurement of Various Airconditioning units and Supplies and Materials for Installation 1.	The City Government of Manila, through the Philhealth Fund intends to apply the sum of Four Million Thr</t>
  </si>
  <si>
    <t xml:space="preserve"> Section II. Instructions to Bidders A.  General 1.	Scope of Bid 		 	1.1	The Procuring Entity as defined in the BDS, invites bids for the construction of Works, as described in Section VI- Specifications.  The name and identification number of the Contract</t>
  </si>
  <si>
    <t xml:space="preserve"> 2020-049 REHABILITATION OF BUREAU OF FIRE PROTECTION (BFP) BUILDING AT MUNICIPAL HALL COMPOUND, MIDSAYAP, COTABATO</t>
  </si>
  <si>
    <t xml:space="preserve"> PROJECT NAME: Construction of Naybo Child Development Center (Phase II)  PROJECT LOCATION:  Poblacion, Buguias, Benguet DURATION:  68 CD (Including mobilization and Curing) PROJECT Cost:  PHP 400,000.00 SOURCE OF FUND: Supplemental Budget CY 2020 ITEM NO.</t>
  </si>
  <si>
    <t xml:space="preserve"> PROJECT NAME: Improvement of Gusadan – Lusong Pathway PROJECT LOCATION:  Buyacaoan, Buguias, Benguet DURATION:  37 CD (Including mobilization and Curing) PROJECT Cost:  PHP 100,000.00 SOURCE OF FUND: 20% MDF CY 2020 ITEM NO.	DESCRIPTION							 QTY  	   	U</t>
  </si>
  <si>
    <t xml:space="preserve"> INVITATION TO BID MUNICIPALITY OF BALETE THE MUNICIPALITY OF BALETE THRU BIDS AND AWARDS COMMITTEE INVITES ALL SUPPLIERS/BIDDERS/CONTRACTORS TO APPLY FOR ELIGIBILITY SCREENING AND IF SUBSEQUENTLY FOUND ELIGIBLE FOR THE PROCUREMENT REQUEST FOR THE PROJECT </t>
  </si>
  <si>
    <t xml:space="preserve"> PROJECT NAME: Construction of Livestock Auction Center (Phase II)  PROJECT LOCATION:  Abatan, Buguias, Benguet DURATION:  191 CD (Including mobilization and Curing) PROJECT Cost:  PHP 2,635,385.80 SOURCE OF FUND: 20% MDF CY 2020 ITEM NO.	DESCRIPTION						</t>
  </si>
  <si>
    <t xml:space="preserve"> 1 lot Research Work, Museum Text and AVP Script Writing of the Dambanang Lapu-lapu (Lapu-Lapu Shrine), Lapu-Lapu City, Cebu</t>
  </si>
  <si>
    <t xml:space="preserve"> Const. of Two Storey "ALS" Building (Dimension:  19.05m x 9.15m) made of concrete, masonry works, C-Joist suspended slabs, steel &amp; galva iron roofing sheets complete with  ceilings, hanger &amp; nailers, paintings, plumbing &amp; sanitary fixtures, doors &amp; window</t>
  </si>
  <si>
    <t xml:space="preserve"> CONCRETING OF FMR-BRGY. STA CRUZ Brgy. Sta. Cruz, Labo, Cams. Norte</t>
  </si>
  <si>
    <t xml:space="preserve"> The DPWH-North Manila District Engineering Office, through its Bids and Awards Committee (BAC) invites contractors to submit bids for the following Contract: 1.	  Contract I.D. No. 20OE0198   Contract Name: MOOE – Maintenance, Repair and Rehabilitation of</t>
  </si>
  <si>
    <t xml:space="preserve"> I. DISMANTLING OF DILAPIDATED PUMP &amp; ACCESSORIES II. REPLACEMENT/INSTALLATION</t>
  </si>
  <si>
    <t xml:space="preserve"> Municipality of Looc INVITATION TO BID FOR Purchase for Risk Communication and Hygiene Kits 1.	The Municipality of Looc, through the Bayanihan Grant intends to apply the sum of Php 1,850,504.00 being the Approved Budget for the Contract (ABC) to payments </t>
  </si>
  <si>
    <t xml:space="preserve"> Description I.	Reinforced Concrete  II.	Masonry Works III.	Railings  IV.	Doors and Windows  V.	Ceramic / Unglazed Tiles  VI.	Electrical Works VII.	Painting  1. Barangay Solano, TANAUAN, LEYTE through the bids and awards comm.) invites suppliers, distribut</t>
  </si>
  <si>
    <t xml:space="preserve"> 1.00 LOT - PROJECT BILLBOARD 5250.00 SQ.M. - CLEARING AND GRUBBING 2478.00 CU.M. - COMMON EXCAVATION 3000.00 SQ.M. - SUBGRADE PREPARATION 1.00 UNIT - CSPMC CABINET</t>
  </si>
  <si>
    <t xml:space="preserve"> CONCRETING OF FMR-BRGY. MASALONG Dumpsite, Brgy. Masalong, Labo, Cams. Norte</t>
  </si>
  <si>
    <t xml:space="preserve"> The DPWH-North Manila District Engineering Office, through its Bids and Awards Committee (BAC) invites contractors to submit bids for the following Contract: 3.	Contract I.D. No. 20OE0200   Contract Name: MOOE – Maintenance, Repair and Rehabilitation of I</t>
  </si>
  <si>
    <t xml:space="preserve"> BIDS AND AWARDS COMMITTEE MUNICIPALITY OF BALETE THE MUNICIPALITY OF BALETE THRU BIDS AND AWARDS COMMITTE INVITES ALL SUPPLIERS/BIDDERS/CONTRACTORS TO APPLY FOR ELIGIBILITY SCREENING AND IF SUBSEQUENTLY FOUND ELIGIBLE FOR THE PROCUREMENT REQUEST FOR THE P</t>
  </si>
  <si>
    <t xml:space="preserve"> MUNICIPALTIY OF BALETE BIDS AND AWARDS COMMITTEE THE MUNICIPALITY OF BALETE THRU BIDS AND AWARDS COMMITTE INVITES ALL SUPPLIERS/BIDDERS/CONTRACTORS TO APPLY FOR ELIGIBILITY SCREENING AND IF SUBSEQUETLY FOUND ELIGIBLE FOR THE PROCUREMENT REQUEST FOR THE PR</t>
  </si>
  <si>
    <t xml:space="preserve"> Provision of Field Office for the Engineer (Rental Basis); Project Billboard/Sign Board; Occupational Safety &amp; Health Program; Mobilization/Demobilization; Clearing &amp; Grubbing; Surplus Common Excavation; Structure Excavation, Soft Rock; Embankment from Bo</t>
  </si>
  <si>
    <t xml:space="preserve"> The DPWH-North Manila District Engineering Office, through its Bids and Awards Committee (BAC) invites contractors to submit bids for the following Contract: 2.	  Contract I.D. No. 20OE0199   Contract Name: MOOE – Maintenance, Repair and Rehabilitation of</t>
  </si>
  <si>
    <t xml:space="preserve"> CONCRETING OF FMR-BRGY. BAKIAD P3, Brgy. Bakiad, Labo, Cams. Norte</t>
  </si>
  <si>
    <t xml:space="preserve"> 2020-036, CONSTRUCTION OF STEEL BRIDGE AT SITIO PANGPANG, PUROK 4, BARANGAY UPPER GLAD 1, MIDSAYAP, COTABATO</t>
  </si>
  <si>
    <t xml:space="preserve"> Provision of Combined Field Office, Laboratory and Living Quarters Building for the Engineer (Rental Basis); Project Billboard/Signboard; Occupational Safety and Health Program; Traffic Management; Mobilization/Demobilization; Clearing and Grubbing (w/ st</t>
  </si>
  <si>
    <t xml:space="preserve"> The DPWH-North Manila District Engineering Office, through its Bids and Awards Committee (BAC) invites contractors to submit bids for the following Contract: 4.	 Contract I.D. No. 20OE0201   Contract Name: Construction / Rehabilitation of Water Supply / S</t>
  </si>
  <si>
    <t xml:space="preserve"> 2020-039, CONSTRUCTION OF BAILEY BRIDGE CONNECTING PUROK 4 AND PUROK 5, POBLACION 5, MIDSAYAP, COTABATO</t>
  </si>
  <si>
    <t xml:space="preserve"> BIDS AND AWARDS COMMITTEE MUNICIPALITY OF BALETE THE MUNICIPALITY OF BALETE  THRU BIDS AND AWARDS COMMITTEE INVITES ALL SUPPLIERS/BIDDERS/CONTRACTORS TO APPLY FOR ELIGIBILITY SCREENING AND IF SUBSEQUENTLY FOUND ELIGIBLE FOR THE PROCUREMENT REQUEST FOR THE</t>
  </si>
  <si>
    <t xml:space="preserve"> Republic of the Philippines  Department of  Science and Technology  Regional Office No. IX  Pettit Barracks,   Zamboanga  City Tel. Nos. (062) 992-1114; (062) 991-1024 INVITATION TO BID SUPPLY AND DELIVERY OF SUPPLY AND DELIVERY OF CALIBRATION AND RECERTI</t>
  </si>
  <si>
    <t xml:space="preserve"> RENOVATION OF LABO MUNICIPAL MUSEUM Municipal Museum, Labo, Cams. Norte</t>
  </si>
  <si>
    <t xml:space="preserve"> National Power Corporation INVITATION TO BID PUBLIC BIDDING 2020-0094 1.	National Power Corporation (NPC) has received financing from the European Union administered by World Bank toward the cost of the Access to Sustainable Energy Project (ASEP), Philipp</t>
  </si>
  <si>
    <t xml:space="preserve"> CONCRETING OF FMR-BRGY. BAKIAD PSHIDA, Brgy. Bakiad, Labo, Cams. Norte</t>
  </si>
  <si>
    <t xml:space="preserve"> BIDS AND AWARDS COMMITTEE MUNICIPALITY OF BALETE THE MUNICIPALITY OF BALETE THRU BIDS AND AWARDS COMMITTEE INVITES ALL SUPPLIERS/BIDDERS/CONTRACTORS TO APPLY FOR ELIGIBILITY SCREENING AND IF SUBSEQUENTLY FOUND ELIGIBLE FOR THE PROCUREMENT REQUEST FOR THE </t>
  </si>
  <si>
    <t xml:space="preserve"> Purchase of Asphalt Cement 60/70 for Various Bridges along Various Road Sections</t>
  </si>
  <si>
    <t xml:space="preserve"> PURCHASE OF SUPPLIES AND MATERIALS FOR THE ASPHALTING OF KAMAMA HOA PHASE 1 AND 2</t>
  </si>
  <si>
    <t xml:space="preserve"> Project Billboard/Sign Board; Occupational Safety and Health Program; Mobilization/Demobilization; Subgrade Preparation (Common Material); Aggregate Subbase Course (0.15m thick); Portland Cement Concrete Pavement (Unreinforced), (0.20m thick, 14 days).</t>
  </si>
  <si>
    <t xml:space="preserve"> Fuel &amp; Lubricants of  Service Vehicle for Supervision/Implementation of Regular Infra Projects</t>
  </si>
  <si>
    <t xml:space="preserve"> Purchase of Materials for Act. # 122 Crack and Joint Sealing of Concrete Pavement - Maintenance Section</t>
  </si>
  <si>
    <t xml:space="preserve"> Republic of the Philippines  Barangay 494, Zone 49, District IV, Manila Bids and Awards Committee INVITATION TO BID Barangay 494, Zone 49, District IV, Manila through its Bids and Awards Committee (BAC), Invites all Suppliers Contractors to bid the here u</t>
  </si>
  <si>
    <t xml:space="preserve"> Purchase of Materials, Tools &amp; Equipment use for Routine Maintenance along Various Road Sections</t>
  </si>
  <si>
    <t xml:space="preserve"> -KAMAMA HOA PHASE 2 -MARCOS COMPOUND ALLEY -7TH STREET ALLEY -PINGKIAN 1 CENTRAL A -SAN MIGUEL STREET</t>
  </si>
  <si>
    <t xml:space="preserve"> 2020-051, SUPPLY AND DELIVERY OF ELECTRONIC DEVICES AND EQUIPMENT FOR EXPLOSIVE ORDNANCE DISPOSAL (EOD) UNIT AT LGU MIDSAYAP, COTABATO</t>
  </si>
  <si>
    <t xml:space="preserve"> - VARIOUS ALLEY AT PINGKIAN 2 -VARIOUS ROADS AT NAWASA (SAMAKA HOA) -PINGKIAN 1 CENTRAL B -TEACHERS VILLAGE ROQUE 1 -CALUMPANG/ G. ROQUE STREETS -NARANGHITA EXTENSION</t>
  </si>
  <si>
    <t xml:space="preserve"> 2020-050, CONSTRUCTION OF BOX CULVERT AT PUROK 3, MILAYA, MIDSAYAP, COTABATO</t>
  </si>
  <si>
    <t xml:space="preserve"> Road Safety Devices</t>
  </si>
  <si>
    <t xml:space="preserve"> The DPWH – Bulacan First District Engineering Office, through its Bids and Awards Committee (BAC), invites contractors to submit bids for the following Contract: Contract ID: 20CC0246 Contract Name: Construction of three storey nine classroom – Pres. Cora</t>
  </si>
  <si>
    <t xml:space="preserve"> Invitation to Bid for Rehabilitation and Construction of Barangay Street Lights, Brgy.Lim-ao, Kananga, Leyte 1.	The Barangay Government of Lim-ao, Kananga, Leyte, through its BIDS AND AWARDS COMMITTEE (BAC),through the DOE ER 1-94 funds intends to apply t</t>
  </si>
  <si>
    <t xml:space="preserve"> Repainting of Centerline</t>
  </si>
  <si>
    <t xml:space="preserve"> STOCK NO.		ITEM DESCRIPTION		QTY.	UNIT 1	)	Alcohol, Isopropyl, 70% Solution, 330ml, Spray 		94	bottles 2	)	Anti-virus Software, Licensed, 5 Devices		2	lic. 3	)	Ballpen, 0.5mm, Ball Needle Point, Black 		24	pieces 4	)	Ballpen, 1 Box, Black		1	box 5	)	Ballp</t>
  </si>
  <si>
    <t xml:space="preserve"> The DPWH – Bulacan First District Engineering Office, through its Bids and Awards Committee (BAC), invites contractors to submit bids for the following Contract: Contract ID: 20CC0244 Contract Name: Construction of two storey six classroom – Lolomboy Elem</t>
  </si>
  <si>
    <t xml:space="preserve"> Cluster 15- Sewerage and Waste Water Facility and Boardwalk, Puerto Galera, Oriental Mindoro  15.1 Construction of Boardwalk and Sewage Treatment Plant Phase 2 at Sabang Beach, Puerto Galera, Oriental Mindoro 15.2 Construction of Boardwalk and Sewage Trea</t>
  </si>
  <si>
    <t xml:space="preserve"> Repair of One(1) Building</t>
  </si>
  <si>
    <t xml:space="preserve"> Thermoplastic Pavement Markings</t>
  </si>
  <si>
    <t xml:space="preserve"> The DPWH – Bulacan First District Engineering Office, through its Bids and Awards Committee (BAC), invites contractors to submit bids for the following Contract: Contract ID: 20CC0249 Contract Name: Construction of four storey eight classroom – Lolomboy N</t>
  </si>
  <si>
    <t xml:space="preserve"> The DPWH – Bulacan First District Engineering Office, through its Bids and Awards Committee (BAC), invites contractors to submit bids for the following Contract: Contract ID: 20CC0247 Contract Name: Construction of three storey nine classroom – Longos Ele</t>
  </si>
  <si>
    <t xml:space="preserve"> For Road Protection in Sitio Can-Anyong</t>
  </si>
  <si>
    <t xml:space="preserve"> The DPWH – Bulacan First District Engineering Office, through its Bids and Awards Committee (BAC), invites contractors to submit bids for the following Contract: Contract ID: 20CC0248 Contract Name: Construction of three storey nine classroom – Tikay Elem</t>
  </si>
  <si>
    <t xml:space="preserve"> The DPWH – Bulacan First District Engineering Office, through its Bids and Awards Committee (BAC), invites contractors to submit bids for the following Contract: Contract ID: 20CC0250 Contract Name: Construction of three storey twelve classroom – Bungahan</t>
  </si>
  <si>
    <t xml:space="preserve"> The DPWH – Bulacan First District Engineering Office, through its Bids and Awards Committee (BAC), invites contractors to submit bids for the following Contract: Contract ID: 20CC0251 Contract Name: Construction of three storey nine classroom – Bulihan Na</t>
  </si>
  <si>
    <t xml:space="preserve"> 30 PCS. 4MP Night Color Technology POE Bullet with Varifocal-IP Network Security Camera with Accessories 30 pcs. Waterproof Survillence Outdoor Junction Box(Camera Terminal) 1 unit 32 Channel Network Video Recorder 2U SATA ( 8sata ports up 10TB HD capacit</t>
  </si>
  <si>
    <t xml:space="preserve"> Republic of the Philippines DEPARTMENT OF PUBLIC WORKS AND HIGHWAYS BATANGAS III DISTRICT ENGINEERING OFFICE REGIONAL OFFICE IV-A J. Gonzales St., Barangay 4, Tanauan City INVITATION TO BID (CW-2020-034) The DPWH–Batangas III District Engineering Office, </t>
  </si>
  <si>
    <t xml:space="preserve"> The DPWH – Bulacan First District Engineering Office, through its Bids and Awards Committee (BAC), invites contractors to submit bids for the following Contract: Contract ID: 20CC0245 Contract Name: Construction of two storey six classroom – Guiguinto Cen</t>
  </si>
  <si>
    <t xml:space="preserve"> NOTICE OF NEGOTIATED PROCUREMENT (Small Value Procurement-Individual Consultant) DSWD NNP No. 20-GOP-SVC-002-A “Hiring of Writer/Technical Editor for the 2019 DSWD Annual Report” (PR No. 01-20001-PR-2020-02-00197) 1. The Department of Social Welfare and D</t>
  </si>
  <si>
    <t xml:space="preserve"> Province of Cagayan BARANGAY UGAC NORTE  Tuguegarao City 	INVITATION TO BID  NAME OF PROJECT:  SUPPLY, DELIVERY &amp; INSTALLATION OF EMERGENCY PAGING SYSTEM  REFERENCE NO.: PB-G-001-2020 DATE OF POSTING: June 9, 2020 1.	The Barangay Council of Barangay Ugac </t>
  </si>
  <si>
    <t xml:space="preserve"> Utility Vehicle for LDRRMC Use with the Following Specifications: Engine Model:		2 GD-FTV (low) Engine Type:		2.4diesel, 4-cylinder, 16 valve DOHC Variable, Nozzle Turbo with front Mounted Intercooler Displacement:		2,389 cc Max Output: 			hm/rpm 147/3,40</t>
  </si>
  <si>
    <t xml:space="preserve"> Procurement of Ultrasound (HFEP)</t>
  </si>
  <si>
    <t xml:space="preserve"> Two-Storey School Building</t>
  </si>
  <si>
    <t xml:space="preserve"> Pick-up Utility Vehicle for LDRRMC Use with the following Specifications: Engine Model:				4JJ1-TCX Engine Type:	4-cylinder In-line Blue Power Diesel w/ Turbo intercooler Displacement:				2,999cc Maximum Power	PS(kW)@rpm:	177(130)@3,600 Maximum Torque	N-m</t>
  </si>
  <si>
    <t xml:space="preserve"> The DPWH – Bulacan First District Engineering Office, through its Bids and Awards Committee (BAC), invites contractors to submit bids for the following Contract: Contract ID: 20CC0254 Contract Name: Concreting of Brgy. Siling Bata to Brgy. Cacarong Matand</t>
  </si>
  <si>
    <t xml:space="preserve"> Procurement of Computed Radiography Laser Imaging System(HFEP)</t>
  </si>
  <si>
    <t xml:space="preserve"> 500 UNITS GO BAG N95 Mask Flashlight First Aid Kits Radio Transistor Sleeping Bag Cangoods  MineralWater Bisquits Toiletries</t>
  </si>
  <si>
    <t xml:space="preserve"> 4x4 Mini-Dump Truck for Hauling of Solid Waste with the following Specifications: Cabin:					1880mm extended cab,LHD, A/C  Vehicle Main Dimensions:		Overall dimensions (LxWxH)mm5995x2350x3450 Wheel base:  			(mm)3360Wheel track (front/rear) (mm)1160/1475 </t>
  </si>
  <si>
    <t xml:space="preserve"> REPUBLIC OF THE PHILIPPINES PROVINCE OF EASTERN SAMAR MUNICIPALITY OF LAWAAN REQUEST FOR QUOTATION PR No.: RFQ No.: PR Date: PhilGEPS Reference No. : End-User : Closing Date: ABC:650,000.00 Time: Sir/Madam: Please quote your lowest price on the items/s li</t>
  </si>
  <si>
    <t xml:space="preserve"> 1.	The Human Rights Violations Victims’ Memorial Commission, through the 2019 General Appropriations Act, intends to apply the sum of One Million Four-Hundred Thirty Thousand Pesos Only (Php 1,430,000.00)) being the Approved Budget for the Contract (ABC) </t>
  </si>
  <si>
    <t xml:space="preserve"> Two-Storey School Building (Research Office)</t>
  </si>
  <si>
    <t xml:space="preserve"> Item	Qty	Unit of	Item Description		Estimated	Estimated Number		Measurement			Unit Cost	Amount 1	1	         lot	       I- Concreting &amp; Masonry Works			 2	20	         bags	        Portland Cement			 3	5	        cu.m.	Sand and Gravel (Good Mixed)			 4	15	   </t>
  </si>
  <si>
    <t xml:space="preserve"> The DPWH – Bulacan First District Engineering Office, through its Bids and Awards Committee (BAC), invites contractors to submit bids for the following Contract: Contract ID: 20CC0252 Contract Name: Concreting of Brgy. Catacte FMR Contract Location: Brgy.</t>
  </si>
  <si>
    <t xml:space="preserve"> IB 2020-06-006 PSS Procurement of Steam Sterilizer 2020-06</t>
  </si>
  <si>
    <t xml:space="preserve"> PROCUREMENT OF FURNITURE &amp; FIXTURES &amp; OTHER EQUIPMENT 1.	The Municipal Government of Placer, through the Budget for the contract approved by the respective Sanggunian-  General Fund CY 2020 intends to apply the sum of One Million Four Hundred Thirty Thous</t>
  </si>
  <si>
    <t xml:space="preserve"> INVITATION TO BID FOR:  PROCUREMENT OF IT &amp; OTHER OFFICE EQUIPMENT 1.	The Municipal Government of Placer, through the Budgte for the contract approved by the respective Sanggunian-  General Fund CY 2020 intends to apply the sum of Two Million One Hundred </t>
  </si>
  <si>
    <t xml:space="preserve"> Republic of the Philippines Province of Northern Samar MUNICIPALITY OF LOPE DE VEGA Lope De Vega, Northern Samar Invitation to Bid CONSTRUCTION OF SLOPE PROTECTION AND COMPLETION OF EVACUATION CENTER Barangay Osmena, Lope De Vega, Northern Samar  The Loca</t>
  </si>
  <si>
    <t xml:space="preserve"> Supply and Delivery of Plastic Melter for City ENRO</t>
  </si>
  <si>
    <t xml:space="preserve"> Invitation to Bid for: CONSTRUCTION OF INTEGRATED TERMINAL 1.	The Municipal Government of Placer, through the Budget approved by the respective Sanggunian - through DBP loan intends to apply the sum of Twenty Five Million pesos (P25,000,000.00) being the </t>
  </si>
  <si>
    <t xml:space="preserve"> Republic of the Philippines Province of Northern Samar MUNICIPALITY OF LOPE DE VEGA Lope De Vega, Northern Samar Invitation to Bid IMPROVEMENT OF MUNICIPAL PARK Barangay Poblacion, Lope De Vega, Northern Samar  The Local Government Unit – Lope De Vega, No</t>
  </si>
  <si>
    <t xml:space="preserve"> Two-Storey School Building (Training Center with Lodging Rooms)</t>
  </si>
  <si>
    <t xml:space="preserve"> Invitation to Bid for: UPGRADING OF ELECTRICAL SYSTEM, PHASE I 1.	The Municipal Government of Placer, through the Budget approved by the Sanggunian - 20% EDF CY2020 intends to apply the sum of Five Million pesos (P5,000,000.00) being the Approved Budget f</t>
  </si>
  <si>
    <t xml:space="preserve"> Republic of the Philippines Province of Northern Samar MUNICIPALITY OF LOPE DE VEGA -oo0oo- BIDS AND AWARDS COMMITTEE INVITATION TO BID  The Bids and Awards Committee of the Municipality of Lope de Vega hereby invites accredited business entities to bid f</t>
  </si>
  <si>
    <t xml:space="preserve"> IB 2020-06-005 PORL Procurement of Operating Room Light 2020-05</t>
  </si>
  <si>
    <t xml:space="preserve"> Supply and Delivery of Medical Equipment for Community Hospital</t>
  </si>
  <si>
    <t xml:space="preserve"> BID PROPOSAL MESS FOODSTUFF						 AUGUST TO DEC 2020						 LOT C. POULTRY						 						 MONTHS						 ITEMS/DESCRIPTION	QTY 	UNIT	Unit Price	Total Price	Unit Price	Total Price 	 5 months					 Chicken Breast ( less neck)	3000	kgs		 -   		 -    Chicken Legs (</t>
  </si>
  <si>
    <t xml:space="preserve"> The Municipal Government of Atok, Benguet now invites bids for MDF CLUSTER 12-2020 PROJECTS AT PAOAY, ATOK, BENGUET with the following Clustered Projects: 1.	CONSTRUCTION OF PAVEMENT ALONG GUEWENG-SALAT ROAD WITH AN ABC OF P500,000.00; AND 2.	CONSTRUCTION</t>
  </si>
  <si>
    <t xml:space="preserve"> Upgrading of Primary/Secondary Lines, Transformers and provision of Gen-Set with Housing</t>
  </si>
  <si>
    <t xml:space="preserve"> The DPWH – Bulacan First District Engineering Office, through its Bids and Awards Committee (BAC), invites contractors to submit bids for the following Contract: Contract ID: 20CC0253 Contract Name: Concreting of Brgy. Tanawan to Brgy. Poblacion FMR Contr</t>
  </si>
  <si>
    <t xml:space="preserve"> BID PROPOSAL MESS FOODSTUFF						 AUGUST TO DEC 2020						 						 LOT A. RICE						 						 MONTHS						 ITEMS/DESCRIPTION	QTY 	UNIT	Unit Price	Total Price	Unit Price	Total Price 	 5 months					 Rice; Semi-laon/Commercial 50 kg (long grain)	1000	sacks		 - </t>
  </si>
  <si>
    <t xml:space="preserve"> The Municipal Government of Atok, Benguet now invites bids for MDF CLUSTER 11-2020 PROJECT: REHABILITATION OF IRRIGATION CANAL AT CASDAN, NAGUEY, ATOK, BENGUET with the following Scope of Works: SPL. 1.	INSTALLATION OF BILLBOARD/TARPAULIN	 I.	EXCAVATION/S</t>
  </si>
  <si>
    <t xml:space="preserve"> 2.	The Municipal Government of Atok, Benguet now invites bids for MDRRMF CLUSTER 3-2020 PROJECT: REHABILITATION OF KM. 288-BETAC-WAGI ROAD AT ABIANG, ATOK, BENGUET with the following Scope of Works: 102.		EXCAVATION 104.		EMBANKMENT 405.		STRUCTURAL CONCR</t>
  </si>
  <si>
    <t xml:space="preserve"> BID PROPOSAL MESS FOODSTUFF						 AUGUST TO DEC 2020						 LOT B. MEAT 						 						 MONTHS						 ITEMS/DESCRIPTION	QTY 	UNIT	Unit Price	Total Price	Unit Price	Total Price 	 5 months					 Beef Sirloin (cut as requested)	3000	kgs		 -   		 -    Pork liempo	</t>
  </si>
  <si>
    <t xml:space="preserve"> BID PROPOSAL MESS FOODSTUFF						 AUGUST TO DEC 2020						 LOT .F VEGETABLES,LEGUMES &amp; DESSERT						 						 MONTHS						 ITEMS/DESCRIPTION	QTY 	UNIT	Unit Price	Total Price	Unit Price	Total Price 	 5 months					 Ampalaya	320	kg.		 -   		 -    Ampalaya leav</t>
  </si>
  <si>
    <t xml:space="preserve"> Invitation to Bid for the Construction of Multi-Purpose Building (Phase III), Brgy. Cubi-Cubi 1.	The Local Government Unit of Nasipit, through the 20% MDF 2020 intends to apply the sum of Nine Hundred Ninety-Nine Thousand Nine Hundred Fifty-One Pesos and </t>
  </si>
  <si>
    <t xml:space="preserve"> BID PROPOSAL MESS FOODSTUFF						 AUGUST TO DEC 2020						 LOT.E GROCERIES						 						 MONTHS						 ITEMS/DESCRIPTION	QTY 	UNIT	Unit Price	Total Price	Unit Price	Total Price 	 5 months					 GROCERIES						 All Around Sarsa, 320 gm	 500 	btl.		 -   		 -  </t>
  </si>
  <si>
    <t xml:space="preserve"> For Awuyon Community Municipal Hospital use.</t>
  </si>
  <si>
    <t xml:space="preserve"> BID PROPOSAL MESS FOODSTUFF						 AUGUST TO DEC 2020						 						 LOT .G COLD CUTS						 						 MONTHS						 ITEMS/DESCRIPTION	QTY 	UNIT	Unit Price	Total Price	Unit Price	Total Price 	 5 months					 Burger Patties,80 pcs	160	box		 -   		 -    Hotdog jumbo</t>
  </si>
  <si>
    <t xml:space="preserve"> BID PROPOSAL MESS FOODSTUFF						 AUGUST TO DEC 2020						 LOT D.DRIED &amp; FRESH FISH						 						 MONTHS						 ITEMS/DESCRIPTION	QTY 	UNIT	Unit Price	Total Price	Unit Price	Total Price 	 5 months					 						 Bangus,cleaned 2 pcs/kg	1300	kgs		 -   		 -    G</t>
  </si>
  <si>
    <t xml:space="preserve"> Description of Works to be Done Part A. Civil Works.......................................92.77% Part B. General Item &amp; Other Requirements......7.23% ...................................................................100% Item/Description.................</t>
  </si>
  <si>
    <t xml:space="preserve"> ACQUISITION OF 55 UNITS LAPTOPS		 		 		 UNIT	ITEM/DESRIPTION	QUANTITY pcs	Laptops	55 	Core i5 ( latest gen)	 	8gb RAM	 	256GB SSD	 	ITB HDD	 	Intel UHD Graphics 620 Nvidia MX130 GDDR5 2 G	 	Windows 10 Pro 64bit	 	Ports:	 	1 USB type C 3.1 Gen 1 with Power</t>
  </si>
  <si>
    <t xml:space="preserve"> Food Supplies Assistance to Military and MPOC Members.</t>
  </si>
  <si>
    <t xml:space="preserve"> Invitation to Bid for the Road Concreting (NRJ Camagong-Resettlement Site) Barangay Road, Brgy. Camagong The Local Government Unit of Nasipit, through the 20% MDF 2020 intends to apply the sum of One Million Nine Hundred Thousand Pesos (Php 1,900,000.00) </t>
  </si>
  <si>
    <t xml:space="preserve"> BIDS AND AWARDS COMMITTEE INVITATION TO BID The DEPARTMENT OF HEALTH – CENTRAL VISAYAS CENTER for HEALTH DEVELOPMENT (DOH – CV CHD), through its Bids and Awards Committee (BAC), invites contractors to bid for the hereunder projects: BAC NO. 2020-I01 	 NAM</t>
  </si>
  <si>
    <t xml:space="preserve"> For distribution to farmers.</t>
  </si>
  <si>
    <t xml:space="preserve"> Republic of the Philippines Region XII Province of Cotabato Municipality of Makilala  OFFICE OF THE BIDS AND AWARD COMMITTEE INVITATION TO BID N0. 2020-006            The Municipality of Makilala, through the Sangguniang Bayan   intends to apply the sum o</t>
  </si>
  <si>
    <t xml:space="preserve"> Republic of the Philippines Region XII Province of Cotabato Municipality of Makilala  OFFICE OF THE BIDS AND AWARD COMMITTEE INVITATION TO BID N0. 2020-007            The Municipality of Makilala, through the Municipal Disaster Risk Reduction Management O</t>
  </si>
  <si>
    <t xml:space="preserve"> Republic of the Philippines Region XII Province of Cotabato Municipality of Makilala  OFFICE OF THE BIDS AND AWARD COMMITTEE INVITATION TO BID N0. 2020-008            The Municipality of Makilala, through the Municipal Environment and Natural Resources Of</t>
  </si>
  <si>
    <t xml:space="preserve"> Republic of the Philippines PROVINCE OF SOUTHERN LEYTE Municipality of San Juan BIDS AND AWARD COMMITTEE INVITATION TO BID FOR  Procurement of Surveying Equipment The Municipality of San Juan through the General Fund intends to apply the sum of Four Hundr</t>
  </si>
  <si>
    <t xml:space="preserve"> ROAD IMPROVEMENT: SEE PROGRAM OF WORKS, DRAWINGS AND BILL OF QUANTITIES UPON PAYMENT OF BIDDING DOCUMENTS</t>
  </si>
  <si>
    <t xml:space="preserve"> IMPROVEMENT/ UPGRADING OF ABATAN- BAGNEN ROAD FUND SOURCE: DILG (CMGP) TYPES OF WORK TO BE DONE: Provision of field office for the engineer (rental basis) Provision of furniture, equipment and appliances Provision of 4x4 pick-up type service vehicle for t</t>
  </si>
  <si>
    <t xml:space="preserve"> For replace of various damaged parts of Municipal Vehicles.</t>
  </si>
  <si>
    <t xml:space="preserve"> Republic of the Philippines Province of Davao de Oro BIDS AND AWARDS COMMITTE Cabidianan, Nabunturan, Davao de Oro ITB No. 20-021 June 03, 2020 INVITATION TO BID  FOR  THE Procurement of spareparts (heavy equipment) 1.	The Provincial Government of Davao d</t>
  </si>
  <si>
    <t xml:space="preserve"> IMPROVEMENT/ UPGRADING OF BONTOC- MAINIT ROAD FUND COURCE: DILG (CMGP) TYPES OF WORK TO BE DONE: Provision of field office for the engineer (rental basis) Provision of furniture, equipment and appliances Provision of 4x4 pick-up type service vehicle for t</t>
  </si>
  <si>
    <t xml:space="preserve"> 4 cylinder, turbo-intercooler, common-rail direct injection, blue power diesel engine, passenger van body type,  Displacement: 2.8-3.0 liters Max power PS/RPM: 72kw (98hp)/3400 Max torque (Nm/Rpm): 220N.m/1700 Emission standard: EURO 4 Brakes: service: dr</t>
  </si>
  <si>
    <t xml:space="preserve"> CONSTRUCTION OF EVACUATION CENTER PHASE III</t>
  </si>
  <si>
    <t xml:space="preserve"> 5 pcs4 x 3/4" saddle clamp 11 pcs 3 x 3/4" saddle clamp 4 pcs 2 1/2" x 3/4" saddle clamp 38 pcs 3/4 x 3" G.I. Nipple 19 pcs 1 x 3/4" G.I. Bell reducer 19 pcs 3/4" service cock 51 pcs 1 x3" G.I. Nipple 15 pcs 1" dia. G.I. Pipe 100 pcs 3/4 x 10 thread tape </t>
  </si>
  <si>
    <t xml:space="preserve"> Brief Description of the Project: Pipelaying of 6”Ø, 4”Ø &amp; 3”Ø uPVC Pipes S10 and installation of 9 G.I. Pipe S-40/super “A” Drainage Crossing A.	Additional Guidelines to be followed in line with the COVID-19 measures, are as follows: a.	Number of partici</t>
  </si>
  <si>
    <t xml:space="preserve"> Republic of the Philippines  Province of Bukidnon  MUNICIPALITY OF KALILANGAN    Bids and Award Committee (BAC)  INVITATION TO BID FOR  Infra 2020-06-005 The Local Government Unit – Kalilangan, Bukidnon through the BIDS AND AWARDS COMMITTEE (BAC) now invi</t>
  </si>
  <si>
    <t xml:space="preserve"> SEE ATTACHED BID DOCUMENTS FOR COMPLETE DETAILS</t>
  </si>
  <si>
    <t xml:space="preserve"> Republic of the Philippines  Province of Bukidnon  MUNICIPALITY OF KALILANGAN    Bids and Award Committee (BAC)  INVITATION TO BID FOR  Infra 2020-06-007 The Local Government Unit – Kalilangan, Bukidnon through the BIDS AND AWARDS COMMITTEE (BAC) now invi</t>
  </si>
  <si>
    <t xml:space="preserve"> Republic of the Philippines Province of Davao de Oro BIDS AND AWARDS COMMITTE Cabidianan, Nabunturan, Davao de Oro ITB No. 20-021 June 03, 2020 INVITATION TO BID  FOR  THE Procurement of food supplies (meals and snacks)within Davao de Oro 1.	The Provincia</t>
  </si>
  <si>
    <t xml:space="preserve"> 6,480 pcs   Rice-Mongo food blend 6,480 pcs Rice-mongo BIMO Curls</t>
  </si>
  <si>
    <t xml:space="preserve"> INVITATION TO BID FOR THE INSTALLATION / REHABILITATION OF STREETLIGHTING SYSTEM &amp; PATHWAY (PLAZA AND AROUND THE CHURCH &amp; NATIONAL HIWAY FROM TUMAGBOK BRIDGE TO SAPA BRIDGE), POBLACION, MIAGAO    1.	The Municipality of Miagao through the Budget for the Co</t>
  </si>
  <si>
    <t xml:space="preserve"> Republic of the Philippines Cordillera Administrative Region Province of Abra Bangued INVITATION TO BID FOR THE SUPPLY AND DELIVERY OF BACKYARD GARDENING SUPPLIES AND ASSORTED VEGETABLE SEEDS 1.	The PROVINCIAL GOVERNMENT OF ABRA through the Budget for the</t>
  </si>
  <si>
    <t xml:space="preserve"> Republic of the Philippines Province of Iloilo  Municipality of Pototan BIDS AND AWARDS COMMITTEE INVITATION TO BID 1.	The Municipality of Pototan, through the IRA Fund‘‘ intends to apply the sum of (2,500,000.00) being the Approved Budget for the Contrac</t>
  </si>
  <si>
    <t xml:space="preserve"> INVITATION TO BID NO. 2020-06-0013 PROCUREMENT OF ELECTRICAL SUPPLIES AND EQUIPMENT OF CAPSU SIGMA SATELLITE COLLEGE 1.	The Capiz State University, through the Special Trust Fund - 2020 intends to apply the sum of One Million Two Hundred Sixty-Seven Thous</t>
  </si>
  <si>
    <t xml:space="preserve"> Republic of the Philippines  Province of Bukidnon  MUNICIPALITY OF KALILANGAN    Bids and Award Committee (BAC)  INVITATION TO BID FOR  Infra 2020-06-009 The Local Government Unit – Kalilangan, Bukidnon through the BIDS AND AWARDS COMMITTEE (BAC) now invi</t>
  </si>
  <si>
    <t xml:space="preserve"> INVITATION TO BID  CONCRETING OF TAMBO BARANGAY ROAD, AYUNGON, NEGROS ORIENTAL BID IDENTIFICATION NUMBER 2020-06-24 1.	The Municipality of Ayungon, through the 20% LDF 2020 Supplemental Budget intends to apply the sum of Two Million Pesos (Php 2,000,000.0</t>
  </si>
  <si>
    <t xml:space="preserve"> INVITATION TO BID 1.	The Tondo Medical Center (TMC), through the General Appropriations Act/HFEP intends to apply the sum of Nine Million Four Hundred Sixty Thousand Philippine Pesos (PhP 9,460,000.00) being the Approved Budget for the Contract (ABC) to p</t>
  </si>
  <si>
    <t xml:space="preserve"> IMPROVEMENT/ UPGRADING OF MAMAGA- SACLIT ROAD FUND SOURCE: DILG (CMGP) TYPES OF WORK TO BE DONE: Provision of field office for the engineer (rental basis) Provision of furniture, equipment and appliances Provision of 4x4 pick-up type service vehicle for t</t>
  </si>
  <si>
    <t xml:space="preserve"> Republic of the Philippines  Province of Bukidnon  MUNICIPALITY OF KALILANGAN    Bids and Award Committee (BAC)  INVITATION TO BID FOR  Infra 2020-06-006 The Local Government Unit – Kalilangan, Bukidnon through the BIDS AND AWARDS COMMITTEE (BAC) now invi</t>
  </si>
  <si>
    <t xml:space="preserve"> IMPROVEMENT/ UPGRADING OF SADSADAN- CUBA ROAD FUND SOURCE: DILG (CMGP) TYPES OF WORK TO BE DONE: Provision of field office for the engineer (rental basis) Provision of furniture, equipment and appliances Provision of 4x4 pick-up type service vehicle for t</t>
  </si>
  <si>
    <t xml:space="preserve"> INVITATION TO BID FOR THE  LAYOUT AND PRINTING OF VARIOUS MANUALS IB NO. 2020-183 1.	The Department of Health (DOH), through the General Appropriations Act of 2020 intends to apply the sum of Three Million Nine Hundred Thirty Nine Thousand Five Hundred Ph</t>
  </si>
  <si>
    <t xml:space="preserve"> INVITATION TO BID 1.	The Tondo Medical Center (TMC), through the General Appropriations Act/HFEP intends to apply the sum of Eight Million Fifty Thousand Philippine Pesos (PhP 8,050,000.00) being the Approved Budget for the Contract (ABC) to payments unde</t>
  </si>
  <si>
    <t xml:space="preserve"> INVITATION TO BID  CONCRETING OF SITIO KANLUKDUHAN, BARANGAY GOMENTOC, BARANGAY ROAD, AYUNGON, NEGROS ORIENTAL BID IDENTIFICATION NUMBER 2020-06-23 1.	The Municipality of Ayungon, through the 20% LDF 2020 Supplemental Budget intends to apply the sum of Tw</t>
  </si>
  <si>
    <t xml:space="preserve"> Republic of the Philippines Region XII Province of Cotabato Municipality of Makilala  OFFICE OF THE BIDS AND AWARD COMMITTEE INVITATION TO BID N0. 2020-013            The Municipality of Makilala, through the  Municipal Government-20% EDF  intends to appl</t>
  </si>
  <si>
    <t xml:space="preserve"> Republic of the Philippines Province of Cotabato Municipality of Makilala OFFICE OF THE BIDS &amp; AWARDS COMMITTEE INVITATION TO BID #2020-009 The Municipality of Makilala, funded by the DILG-AM applies for the Local Road Upgrading (Improvement of Bato Road)</t>
  </si>
  <si>
    <t xml:space="preserve"> Republic of the Philippines Department of Public Works and Highways DAVAO ORIENTAL FIRST DISTRICT ENGINEERING OFFICE REGION XI Lucod, Baganga, Davao Oriental INVITATION TO BID ITB No. 2020-035 1.	The Department of Public Works and Highways Davao Oriental </t>
  </si>
  <si>
    <t xml:space="preserve"> 220		Pcs	60x60 Floor Tiles 19		Pcs	Tile Adhesive 5		Pcs	Tile Grout	 25		Pcs	Marine Plywood 1/4 105		Pcs	Good Lumber 2x2x12 5		Kls	CWN 2"	 10		Kls	CWN 3"	 2		Kls	CWN 1½"	 3		Kls	Concrete Nail 37		Pcs	Coco Lumber 2x3x12 120		bags	Cement	 8		cu m	Sand	 92		P</t>
  </si>
  <si>
    <t xml:space="preserve"> INVITATION TO BID  CONCRETING OF KILABAN BARANGAY ROAD, AYUNGON, NEGROS ORIENTAL BID IDENTIFICATION NUMBER 2020-06-22 1.	The Municipality of Ayungon, through the 20% LDF 2020 Supplemental Budget intends to apply the sum of Two Million Pesos (Php 2,000,000</t>
  </si>
  <si>
    <t xml:space="preserve"> INVITATION TO BID  CONCRETING OF JANDALAMANON BARANGAY ROAD, AYUNGON, NEGROS ORIENTAL BID IDENTIFICATION NUMBER 2020-06-20 1.	The Municipality of Ayungon, through the 20% LDF 2020 Supplemental Budget intends to apply the sum of Two Million Pesos (Php 2,00</t>
  </si>
  <si>
    <t xml:space="preserve"> Republic of the Philippines Province of Cotabato Municipality of Makilala OFFICE OF THE BIDS &amp; AWARDS COMMITTEE INVITATION TO BID #2020-011 The Municipality of Makilala, funded by the Municipal Government applies for the Construction of Five (5) Units Mul</t>
  </si>
  <si>
    <t xml:space="preserve"> INVITATION TO BID  CONCRETING OF INACBAN BARANGAY ROAD, AYUNGON, NEGROS ORIENTAL BID IDENTIFICATION NUMBER 2020-06-21 1.	The Municipality of Ayungon, through the 20% LDF 2020 Supplemental Budget intends to apply the sum of Two Million Pesos (Php 2,000,000</t>
  </si>
  <si>
    <t xml:space="preserve"> 13		Pcs	LED Lamp 7		Pcs	GI Pipe 2ø S-40 2		Pcs	GI pipe 1ø S-40 600		Mtr	Service Drop Wire #6 52		Pcs	MS Bolt 1/2 x 6 13		Pcs	MS Plate 8x8x1/4 13		Pcs	Spool Insulator 20		Pcs	RSB 9mm 26		Pcs	RSB 10mm 2		Pcs	Plywood 1/4 (M) 15		Pcs	Coco Lumber 2x3x12 3		Kls</t>
  </si>
  <si>
    <t xml:space="preserve"> Republic of the Philippines Province of Cotabato Municipality of Makilala OFFICE OF THE BIDS &amp; AWARDS COMMITTEE INVITATION TO BID #2020-012 The Municipality of Makilala, funded by the Municipal Government applies for the Construction of 1- Storey Evacuati</t>
  </si>
  <si>
    <t xml:space="preserve"> INVITATION TO BID  ROAD CONCRETING OF MUNICIPAL CEMETERY ACCESS ROAD AT AYUNGON, NEGROS ORIENTAL BID IDENTIFICATION NUMBER 2020-06-25 1.	The Municipality of Ayungon, through the 20% LDF 2020 Supplemental Budget intends to apply the sum of Two Million Peso</t>
  </si>
  <si>
    <t xml:space="preserve"> Republic of the Philippines Province of Cotabato Municipality of Makilala OFFICE OF THE BIDS &amp; AWARDS COMMITTEE INVITATION TO BID #2020-014 The Municipality of Makilala, funded by the Municipal Government applies for the Construction of Temporary Office, </t>
  </si>
  <si>
    <t xml:space="preserve"> 1. The MLGU-Pasil, now invites bids for the INSTALLATION OF WINDOW BLINDS AT MP Bldg (Mayor's Office, Vice Mayor's Office &amp; SB Office). The project is located at Amdala, Guinaang, Pasil, Province of Kalinga. The following are the Item of Works;					 					</t>
  </si>
  <si>
    <t xml:space="preserve"> INVITATION TO BID  IMPROVEMENT/REBLOCKING/SHOULDER/CANAL OF MUNICIPAL STREET- KAPITANA TIRAY STREET, DEGUIT STREET, TABURAZA STREET, ENARDECIDO STREET AND VILLANUEVA STREET, BRGY. POBLACION, AYUNGON, NEGROS ORIENTAL BID IDENTIFICATION NUMBER 2020-06-27 1.</t>
  </si>
  <si>
    <t xml:space="preserve"> INVITATION TO BID GS 2020-006-019              PROCUREMENT  OF VARIOUS   FERTILIZERS 1.	The City Government of Sorsogon, through the Tanging Program under the 10 Pts. Agenda Other Purpose Funds CY 2020  intends to apply the sum of Two Million Five  Hundre</t>
  </si>
  <si>
    <t xml:space="preserve"> Republic of the Philippines Province of Cotabato Municipality of Makilala OFFICE OF THE BIDS &amp; AWARDS COMMITTEE INVITATION TO BID #2020-010 The Municipality of Makilala, funded by the Municipal Government applies for the Construction of Five (5) Units Mul</t>
  </si>
  <si>
    <t xml:space="preserve"> Construction/Installation of Street Lights</t>
  </si>
  <si>
    <t xml:space="preserve"> Republic of the Philippines										 Province of Bohol										 Municipality of Buenavista										 										 Barangay Anonang										 INVITATION TO APPLY FOR ELIGIBILITY AND TO BID										 										 The Barangay Local Government Unit of  CATIGBI</t>
  </si>
  <si>
    <t xml:space="preserve"> INVITATION TO BID  CONCRETING OF LAMIGAN (ABURAO SECTION) BARANGAY ROAD AT AYUNGON, NEGROS ORIENTAL BID IDENTIFICATION NUMBER 2020-06-26 1.	The Municipality of Ayungon, through the 20% LDF 2020 Supplemental Budget intends to apply the sum of Seven Hundred</t>
  </si>
  <si>
    <t xml:space="preserve"> Republic of the Philippines Department of Education Region V SCHOOLS DIVISION OFFICE OF CAMARINES SUR 	 INVITATION TO BID Project No.: 2020-06-01 The Department of Education (DepED) Schools Division Office of Camarines Sur, through the CY 2020 QUICK RESPO</t>
  </si>
  <si>
    <t xml:space="preserve"> PR # 214-020 INVITATION TO BID (GOODS) The Municipality of Sibonga, through the Trust Fund intends to apply the sum of Five hundred eleven thousand seven hundred fifty-seven &amp; 80/100 pesos only (511,757.80) being the Approved Budget for the Contract (ABC)</t>
  </si>
  <si>
    <t xml:space="preserve"> 1. The National Irrigation Administration (NIA), Regional Irrigation Office No.7, through the Lined Project 2020 intends to apply the sum of Thirteen Million Two Hundred Sixty Four Thousand Seven Hundred Thirty Pesos and 68/100 (P 13,264,730.68) being the</t>
  </si>
  <si>
    <t xml:space="preserve"> PR # 086-020 INVITATION TO BID (GOODS) The Municipality of Sibonga, through the General Fund intends to apply the sum of Five hundred ninety-nine thousand four hundred fifty pesos only (599,450.00) being the Approved Budget for the Contract (ABC) to payme</t>
  </si>
  <si>
    <t xml:space="preserve"> Construction of Multi-Purpose Building</t>
  </si>
  <si>
    <t xml:space="preserve"> 4 pcs. Gold Ring 18K</t>
  </si>
  <si>
    <t xml:space="preserve"> Installation of Decorative Cement Tiles</t>
  </si>
  <si>
    <t xml:space="preserve"> Please see attached Request For Quotation (RFQ) form/or Terms Of Reference (TOR) for complete specifications.</t>
  </si>
  <si>
    <t xml:space="preserve"> X X X X X X X X X X STRAIGHT CONTRACT FOR THE COMPLETION OF TB DOTS X X X X X X X X X X X X X I. TILE WORKS II. ELECTRICAL WORKS III. CEILING WORKS IV. DOORS AND WINDOWS V. PLUMBING AND PIPES FITTINGS VI. PAINTING WORKS VII. PERIMETER PATHWALK VIII. X-RAY</t>
  </si>
  <si>
    <t xml:space="preserve"> PR # 085 -020 INVITATION TO BID (INFRA) The Municipality of Sibonga through the Trust Fund intends to apply the sum of Two hundred ninety-six thousand eight hundred sixty-four &amp; 68/100 pesos only (296,864.68) being the Approved Budget for the Contract (AB</t>
  </si>
  <si>
    <t xml:space="preserve"> 1. The National Irrigation Administration (NIA), Regional Irrigation Office No.7, through the Lined Project 2020 intends to apply the sum of Eleven Million Three Hundred Sixty Five Thousand Seventy Eight Pesos and 85/100 (P 11,365,078.85) being the Approv</t>
  </si>
  <si>
    <t xml:space="preserve"> The Local Government Unit-Municipality of Malinao, Aklan through the 20% Development Fund, intends to apply the sum of One Hundred Nineteen Thousand Four Hundred Forty Eight Pesos and 50/100 (Php119,448.50) as the Approved Budget for the Contract (ABC) to</t>
  </si>
  <si>
    <t xml:space="preserve"> Republic of the Philippines Province of Siquijor Municipality of Maria INVITATION TO BID FOR Procurement of Dog Trap in Support to Dog Termination Program – Maria, Siquijor / MAR-00033G-2020 1.	The LGU – Municipality of Maria, through the Capital Outlay i</t>
  </si>
  <si>
    <t xml:space="preserve"> Lot 1 Molasses Delivered on site:  1. Palawan - 400 liters 2. Oriental Mindoro - 400 liters 3. Occidental Mindoro - 400 liters 4. Romblon - 400 liters 5. Marinduque - 400 liters Note: Delivered to Provinces - APCO Office Please see attached RFQ # 20-976 S</t>
  </si>
  <si>
    <t xml:space="preserve"> The Local Government Unit-Municipality of Malinao, Aklan through the 20% Development Fund, intends to apply the sum of Seven Hundred Fifty Four Thousand Two Hundred Sixteen Pesos and 00/100 (Php754,216.00) as the Approved Budget for the Contract (ABC) to </t>
  </si>
  <si>
    <t xml:space="preserve"> PHILIPPINE BIDDING DOCUMENTS (As Harmonized with Development Partners) Procurement for  CONSTRUCTION OF SANITARY LANDFILL FACILITY, CELL 2 BRGY. KALYAAT LUCBAN, QUEZON BIDDING Government of the Republic of the Philippines Fourth Edition   Preface These Ph</t>
  </si>
  <si>
    <t xml:space="preserve"> 1	DDC Battery Replacement for infilex GC/GD/AZ/CM 		22	set 	model no. 83170639-001			 	Industrial Ethernet replacement for CMS Console A and B, GS line (fiber optic converter)		3	set 	DDC Replacement for CP-CTO-1-1, CP-PTB-2-2 and CP-ADM_1-1		3	set 	Infle</t>
  </si>
  <si>
    <t xml:space="preserve"> PR # 178 -020 INVITATION TO BID (INFRA) The Municipality of Sibonga through the General Fund intends to apply the sum of Eight hundred forty-three thousand ninety-nine &amp; 4/100 pesos only (843,099.04) being the Approved Budget for the Contract (ABC) to pay</t>
  </si>
  <si>
    <t xml:space="preserve"> INVITATION TO BID The City Government of Pasay, through its Bids and Awards Committee (BAC) invites suppliers/manufacturers/distributors/contractors to apply and submit sealed bids for the supply and delivery of the following: Proposed Construction of Fou</t>
  </si>
  <si>
    <t xml:space="preserve"> INVITATION TO BID The Municipal Government of Gumaca, through its Bids and Awards Committee (BAC), invites suppliers/ manufacturers/ distributors/ contractors, to bid for the hereunder contract: Name of Contract		:	PURCHASE OF EMERGENCY RESPONSE VEHICLE L</t>
  </si>
  <si>
    <t xml:space="preserve"> The Local Government Unit-Municipality of Malinao, Aklan through the 20% Development Fund, intends to apply the sum of Two Hundred Ninety Eight Thousand Six Hundred Ninety Pesos and 00/100 (Php298,690.00) as the Approved Budget for the Contract (ABC) to p</t>
  </si>
  <si>
    <t xml:space="preserve"> INVITATION TO BID FOR Procurement of Machineries, Equipment, Furniture’s and Fixtures for the University use at ESSU Main Campus  1.	The EASTERN SAMAR STATE UNIVERSITY, through the FY 2020 GAA, R.A No. 11465 intends to apply the sum of Nine Million Five H</t>
  </si>
  <si>
    <t xml:space="preserve"> Republic of the Philippines							 PROVINCE OF ZAMBOANGA SIBUGAY							 Municipality of Talusan							 -7012-							 							 							 MUNICIPAL BIDS AND AWARDS  COMMITTEE							 REQUEST FOR QUOTATION							 SMALL VALUE PROCUREMENT							 NOTICE TO THE PUBL</t>
  </si>
  <si>
    <t xml:space="preserve"> The LOCAL GOVERNMENT UNIT OF MAGDALENA, through the 2019 LGSF-AM Program thru Notice of ADA (NADAI) No. 02-101254-09-2019 &amp; counterpart of the Municipality of Magdalena as per OBR No. 100-2003-164 to apply the sum of Six Million Seven Hundred Twenty Seven</t>
  </si>
  <si>
    <t xml:space="preserve"> INVITATION TO BID     20-077 Name of Project	:	Laboratory Supplies for LPH-Majayjay District Hospital No Balance Billing (NBB) Location	:	Majayjay, Laguna  Brief Description	:	Various Laboratory Supplies  Approved Budget For the Contract	:	999,976.00 Deli</t>
  </si>
  <si>
    <t xml:space="preserve"> 1.	The Department of Public Works and Highways Regional Office XI, Davao City, through its Bids and Awards Committee (BAC), invites bidders to submit bids for the Infra project funded under FY 2020 RA 11465 Regular 2020 CURRENT, to wit: Contract ID 	:	20L</t>
  </si>
  <si>
    <t xml:space="preserve"> INVITATION TO BID      20-076 Name of Project	:	Organic Fertilizer and Assorted Vegetable Seeds for Distribution to Households in the Province of Laguna as Food Security Measure for COVID-19 Pandemic  Location	:	Sta. Cruz, Laguna  Brief Description	:	Orga</t>
  </si>
  <si>
    <t xml:space="preserve"> INVITATION TO BID    	NO	PROJECT DESCRIPTION / LOCATION	BRIEF DESCRIPTION	APPROVED BUDGET FOR THE CONTRACT	CONTRACT DURATION (CALENDAR  DAYS) PGL INFRA 20-056	01	Rehabilitation/Improvement of 32 Classroom School Building Rear Exterior, PGMNHS, Sta. Cruz, </t>
  </si>
  <si>
    <t xml:space="preserve"> INVITATION TO BID      20-074 Name of Project	:	Termite/Pest Control Services for the Facilities of LPH-Luisiana District Hospital, LPH-Bay District Hospital, LPH-Nagcarlan District Hospital, LPH-San Pablo City District Hospital, LPH-Dr. J.P. Rizal Memori</t>
  </si>
  <si>
    <t xml:space="preserve"> REQUEST FOR QUOTATION										 										 RFQ No.		  NP/PB 20-0658		Date				  June 8, 2020		 PR Reference		  300-19-05-016		Implementing Office				  CDRRMO		 Pre-Bid Conference and Time				  June 16, 2020 (10:00 A. M.)						 Closing Date and Time				  Ju</t>
  </si>
  <si>
    <t xml:space="preserve"> Review Plan and Prepare the Following: Identifying the issues, potentials and furture development needs and spatial requirement of the city. Assess the Situation using both technical and participatory methods *Accomplishment of current CLUP Based on Key r</t>
  </si>
  <si>
    <t xml:space="preserve"> SUPPLY OF LABOR, TOOLS, APPARATUS/EQUIPMENT AND LABORATORY EQUIPMENT FOR THE SOIL BORING/SOIL EXPLORATION/ANALYSIS OF THE SITE</t>
  </si>
  <si>
    <t xml:space="preserve"> INVITATION TO BID     20-075 Name of Project	:	Medicines for LPH-San Pablo City District Hospital Location	:	San Pablo City  Brief Description	:	Various Medicines  Approved Budget For the Contract	:	1,517,485.10 Delivery Period 	:	10 Calendar Days The Pro</t>
  </si>
  <si>
    <t xml:space="preserve"> PB NO. 2020-032		 			 1.	1	lot	Proposed Construction of Fence at Animal Pound Office, Brgy. San Gregorio, San Pablo City. 			By: Contract 			 	Deadline for Submission of Bids: June 29, 2020 1:00 pm</t>
  </si>
  <si>
    <t xml:space="preserve"> Removal of Existing Structures  Structure Excavation  Embankment (from Borrow) Structural Concrete  Reinforcing Steel Formworks and Falseworks Carpentry and Joinery Works Doors and Windows (w/Grills) Prepainted Metal Sheets Tileworks Cement Plaster Finish</t>
  </si>
  <si>
    <t xml:space="preserve"> Invitation to Bid 2020-005 The Government of the Philippines, through the Department of Education, Division of Surigao del Sur, intends to apply the sum of Two Million One Hundred Sixty Four Thousand (Php 2,164,000.00) being the Approved Budget for the Co</t>
  </si>
  <si>
    <t xml:space="preserve"> 50.00 box Amoxicillin 500mg capsule		 50.00 box Amoxicillin 250mg capsule		 5.00 box Aluminum Magnesium Tablet		 25.00 box Ambroxol 30g		 50.00 bot. Amoxicillin 125mg suspension		 50.00 bot Amoxicillin 250mg capsule		 25.00 bot. Amoxicillin Drops 100mg		 </t>
  </si>
  <si>
    <t xml:space="preserve"> 2 unit Aircon 3TR Standard Floor Mounted 1 unit Aircon 2.0 HP Inverter Wall Mounted 1 unit Aircon 2.0 HP Standard Wall Mounted</t>
  </si>
  <si>
    <t xml:space="preserve"> Invitation to Bid 2020-004 SUPPLY AND DELIVERY OF ONE HUNDRED FIFTY (150) UNITS SMART TELEVISION The Government of the Philippines, through the Department of Education, Division of Surigao del Sur, intends to apply the sum of Two Million Two Hundred Forty</t>
  </si>
  <si>
    <t xml:space="preserve"> PB NO. 2020-031		 			 1.	1	lot	Proposed Construction of City Veterinary Office at Brgy. San Gregorio, San Pablo City. 			By: Contract 			 	Deadline for Submission of Bids: June 29, 2020 10:00 am</t>
  </si>
  <si>
    <t xml:space="preserve"> 100 BAGS  HYDRIDE LIME  2HAS 4 BAGS 14-14-14/ HAS    4 BAGS 46-0-0 80 BAGS FISH FEEDS STARTER 150 BAGS FISH FEED GROWER 100 BAGS FISH FEED FINISHER</t>
  </si>
  <si>
    <t xml:space="preserve"> Procurement of supply and delivery of Assorted Vegetable Seeds 100	packets	Pechay Black Behi Type 2g/pack 100	packets	Raddish Hybrid Long, Smooth type 16g/pack 100	packets	Eggplant Hybrid, Long purple type 1g/pack 100	packets	Tomato 1g/pack 100	packets	Am</t>
  </si>
  <si>
    <t xml:space="preserve"> Republic of the Philippines							 PROVINCE OF ZAMBOANGA SIBUGAY							 Municipality of Talusan							 -7012-							 OFFICE OF THE BAC CHAIRMAN							 							 INVITATION TO BID							 							 NOTICE TO THE PUBLIC:							 							 	Notice is hereby served t</t>
  </si>
  <si>
    <t xml:space="preserve"> Procurement of supply and delivery of Agricultural Supplies and Materials 16	pcs	Plastic drums w/ lid (200 liters) 32	roll	Nylon string 48	pcs	Seedling tray (104 holes) 16	roll	Mulching Polyethylene 16	unit	Garden hose (100 meter/unit) A2 PR# 2020-924</t>
  </si>
  <si>
    <t xml:space="preserve"> Republic of the Philippines Department of Health	 CENTRAL OFFICE BIDS AND AWARDS COMMITTEE  INVITATION TO BID FOR THE SUPPLY, DELIVERY, TESTING AND COMMISSIONING OF BRAND NEW MOBILE DENTAL VEHICLE IB NO. 2020-144 1.	The Department of Health (DOH), through</t>
  </si>
  <si>
    <t xml:space="preserve"> Section I. Invitation to Bid Republic of the Philippines PROVINCE OF ZAMBOANGA SIBUGAY Capitol Building, Ipil Heights, Ipil, Zamboanga Sibugay INVITATION TO BID FOR  Provision of Security Services 1.	The Province of Zamboanga Sibugay, through the GF-BY 20</t>
  </si>
  <si>
    <t xml:space="preserve"> 50 BAGS HYDRIDE LIME  2 BAGS 14-14-14 2 BAGS 46-0-0 40 BAGS FISH FEED STARTER 75 BAGS FISH FEED GROWER 50 BAGS FISHFEED FINISHER</t>
  </si>
  <si>
    <t xml:space="preserve"> Please see attached RFQ # 20-1096 Submit your Sign and Sealed Quotation together with your UPDATED ELIGIBILITY Requirements For more details please call BUB/Planning (426-0593)  Technical Requirements: 1. Valid Business Permit / Mayor's Permit 2. Valid Ph</t>
  </si>
  <si>
    <t xml:space="preserve"> Section I. Invitation to Bid Republic of the Philippines PROVINCE OF ZAMBOANGA SIBUGAY Capitol Building, Ipil Heights, Ipil, Zamboanga Sibugay INVITATION TO BID (REBID) FOR  Diesel, gas, and lubricants 1.	The Province of Zamboanga Sibugay, through the Gen</t>
  </si>
  <si>
    <t xml:space="preserve"> Procurement of supply and delivery of Native Chicken 20	heads	Rooster 100	heads	Hen 		Specification:  *Not less than 1kg (1000 grams)  *Not less than 4 months old but not more than 12 months old *No physical defects *Vaccinated against New Castle Disease </t>
  </si>
  <si>
    <t xml:space="preserve"> Section I. Invitation to Bid Republic of the Philippines PROVINCE OF ZAMBOANGA SIBUGAY Capitol Building, Ipil Heights, Ipil, Zamboanga Sibugay INVITATION TO BID FOR  2 Units Service Vehicle 1.	The Province of Zamboanga Sibugay, through the GF-SB#1, BY 202</t>
  </si>
  <si>
    <t xml:space="preserve"> INVITATION TO BID FOR THE PROCUREMENT OF SUPPLY &amp; DELIVERY OF BANANA PLANTLET      1.	The Department of Agriculture Regional Field Office 6 through the General Appropriations Act (GAA) of 2020 intends to apply the sum of One Million Eight Hundred Twenty E</t>
  </si>
  <si>
    <t xml:space="preserve"> 1.	The Western Visayas Medical Center, through the Regular Fund and Collection of Income, intends to apply the sum of PhP 1,500,000.00 Philippine Currency being the Approved Budget for the Contract (ABC) to payments under the contract for IB No. GS 2020-0</t>
  </si>
  <si>
    <t xml:space="preserve"> Procurement of supply and delivery of native pig 		Native Pig Predominantly black or dark brown in color showing the phenotypic characteristics of a native chicken 4	heads	Male 13	heads	Female 		*Not less than 3 months but not more than 8 months of age *N</t>
  </si>
  <si>
    <t xml:space="preserve"> Republic of the Philippines Province of Davao De Oro MUNICIPALITY OF COMPOSTELA BIDS AND AWARDS COMMITTEE (BAC) Invitation to Bid for Rehabilitation of Water System of Barangay Maparat (ITB NO. 2020-06-025 - BID NO. 001) 1.	The Municipality of Compostela,</t>
  </si>
  <si>
    <t xml:space="preserve"> Section I. Invitation to Bid Republic of the Philippines PROVINCE OF ZAMBOANGA SIBUGAY Capitol Building, Ipil Heights, Ipil, Zamboanga Sibugay INVITATION TO BID FOR  Medical Equipment 1.	The Province of Zamboanga Sibugay, through the 20% DF, 2019 intends </t>
  </si>
  <si>
    <t xml:space="preserve"> INVITATION TO BID FOR THE FABRICATION AND DELIVERY OF FIBERGLASS REINFORCED PLASTIC MOTORIZED FISHING BOAT 1. The Bureau of Fisheries and Aquatic Resources-Regional Fisheries Office I (BFAR RFO I), through the General Appropriation Act of 2020 (GAA 2020) </t>
  </si>
  <si>
    <t xml:space="preserve"> Section I. Invitation to Bid Republic of the Philippines PROVINCE OF ZAMBOANGA SIBUGAY Capitol Building, Ipil Heights, Ipil, Zamboanga Sibugay INVITATION TO BID FOR  1 Unit Newborn Hearing Screening Machine 1.	The Province of Zamboanga Sibugay, through th</t>
  </si>
  <si>
    <t xml:space="preserve"> 2 units Water Tank Truck (4 cubic) A. Detailed Specification Driver Form: 4 x 2; Side of Driving: Left B.Dimension Wheelbase 3360mm Overall Dimension 6080 x 2020 x 2400 mm Cargo Body Internal 3300 x 1680 x 1080 mm Front/Near Suspension Length 1095/1625 mm</t>
  </si>
  <si>
    <t xml:space="preserve"> BIDS &amp; AWARDS COMMITTEE  INVITATION TO BID  REPUBLIC OF THE PHILIPPINES  CITY OF GOVERNMENT OF NAVOTAS  BARANGAY NBBS KAUNLARAN  BIDS AND AWARDS COMMITTEE  1. The Sangguniang Barangay of NBBS-Kaunlaran, through its Bids and Awards Committee intends to app</t>
  </si>
  <si>
    <t xml:space="preserve"> 2    units      Window type aircon, 1.5 HP non-inverter</t>
  </si>
  <si>
    <t xml:space="preserve"> Concreting of Road at Sitio Obbog, Sta. Maria Norte, Binalonan, Pangasinan (49m x 6m x 0.2m)</t>
  </si>
  <si>
    <t xml:space="preserve"> BIDS &amp; AWARDS COMMITTEE  INVITATION TO BID  REPUBLIC OF THE PHILIPPINES  CITY OF GOVERNMENT OF NAVOTAS  BARANGAY NBBS KAUNLARAN  BIDS AND AWARDS COMMITTEE  1. The Sangguniang Barangay of NBBS - Kaunlaran, through its Bids and Awards Committee intends to a</t>
  </si>
  <si>
    <t xml:space="preserve"> Republic of the Philippines Province of Oriental Mindoro MUNICIPALITY OF NAUJAN BIDS &amp; AWARDS COMMITTEE INVITATION TO BID CONSTRUCTION OF EVACUATION CENTER AT BARANGAY MALVAR, NAUJAN, ORIENTAL MINDORO 1.	The Municipal Government of Naujan – Bids and Award</t>
  </si>
  <si>
    <t xml:space="preserve"> Invitation to Bid 1.	The Commission on Higher Education (CHED), through the General Appropriations Act Fiscal Year 2019 intends to apply the sum of Five Hundred Sixty Four Thousand Six Hundred Fifty Pesos (PHP 564,650.00) being the Approved Budget for the</t>
  </si>
  <si>
    <t xml:space="preserve"> A. CONSTRUCTION OF R.C. FOOTBRIDGE I. Excavation II. Reinforced Concrete III. Railings IV. Embankment and Aggregate Base Course V. P.C.C.P 504: Riprap &amp; Grouted Riprap B. Extension of River Control I. Excavation II. Rubber Concrete Foundation 504: Riprap </t>
  </si>
  <si>
    <t xml:space="preserve"> Republic of the Philippines Province of Oriental Mindoro MUNICIPALITY OF NAUJAN BIDS &amp; AWARDS COMMITTEE INVITATION TO BID CONSTRUCTION OF EVACUATION CENTER AT BARANGAY SAN ANDRES, NAUJAN, ORIENTAL MINDORO 1.	The Municipal Government of Naujan – Bids and A</t>
  </si>
  <si>
    <t xml:space="preserve"> Republic of the Philippines MUNICIPALITY OF ECHAGUE Province of Isabela INVITATION TO BID FOR  THE PROCUREMENT OF  TIRES 1.	The Local Government Unit , through  the  GENERAL   FUND  Of  2020   intends to apply the sum of  FOUR  MILLION NINE HUNDRED EIGHTY</t>
  </si>
  <si>
    <t xml:space="preserve"> Republic of the Philippines Province of Oriental Mindoro MUNICIPALITY OF NAUJAN BIDS AND AWARDS COMMITTEE INVITATION TO BID SUPPLY AND DELIVERY OF ONE (1) UNIT AMBULANCE TO BE USED IN THE MUNICIPAL HEALTH OFFICE, NAUJAN, ORIENTAL MINDORO 1. 	The Municipal</t>
  </si>
  <si>
    <t xml:space="preserve"> For the University</t>
  </si>
  <si>
    <t xml:space="preserve"> Republic of the Philippines Province of Quezon CITY GOVERNMENT OF TAYABAS INVITATION TO RE-BID FOR PROJECT # 19 – 171–PROCUREMENT OF Acquisition of Road Right-of-Way (RROW) for East Road/West Road/ Government Center (PARCELLARY SURVEY FOR EAST ROAD) –Offi</t>
  </si>
  <si>
    <t xml:space="preserve"> Republic of the Philippines Province of Kalinga TABUK CITY OHS COMMITTEE ON BIDS AND AWARDS INVITATION TO BID FOR THE PROCUREMENT OF O.B. KITS 1. The PROVINCIAL GOVERNMENT OF KALINGA, through the General Fund Annual Budget 2020 Intends to apply the sum of</t>
  </si>
  <si>
    <t xml:space="preserve"> INVITATION TO BID FOR PROCUREMENT OF SECURITY SERVICES      1. The Department of Agriculture Regional Field Office IX, through the GAA 2020 intends to apply the sum of  FIVE MILLION FOUR HUNDRED SIXTY  THREE  THOUSAND SEVEN HUNDRED FORTY ONE PESOS AND  NI</t>
  </si>
  <si>
    <t xml:space="preserve"> I.  Electrical Works Labor OCMP/CP/VAT</t>
  </si>
  <si>
    <t xml:space="preserve"> For both campuses</t>
  </si>
  <si>
    <t xml:space="preserve"> Delivery and supply of Construction Materials for the project of Additional Improvement of Covered Court of Barangay Puntod, Cagayan de Oro City</t>
  </si>
  <si>
    <t xml:space="preserve"> SUPPLY, DELIVERY AND INSTALLATION OF ICT EQUIPMENT FOR MONITORING OF PROJECT MITHI (20-03-142) 1.	Department of Science and Technology – MIMAROPA (DOST-MIMAROPA), through its Bids and Awards Committee (BAC) invites all prospective bidders to bid for the p</t>
  </si>
  <si>
    <t xml:space="preserve"> Republic of the Philippines BIDS AND AWARDS COMMITTEE Province of Pangasinan Municipality of Infanta INVITATION TO BID FOR PURCHASE OF ONE (1) UNIT DUMP TRUCK  FOR THE MUNICIPALITY OF INFANTA, PANGASINAN 1.	The Municipality of Infanta, Pangasinan, through</t>
  </si>
  <si>
    <t xml:space="preserve"> For research.</t>
  </si>
  <si>
    <t xml:space="preserve"> INVITATION TO BID  The Technical Education and Skills Development Authority (TESDA), through the General Appropriations Act (GAA) CY 2020 intends to apply the sum of Nine Million Eight Hundred Seventy-Four Thousand Two Hundred Ninety-Two Pesos (Php 9,874,</t>
  </si>
  <si>
    <t xml:space="preserve"> For procurement office.</t>
  </si>
  <si>
    <t xml:space="preserve"> INVITATION TO BID FOR THE CONSTRUCTION OF RIVERBANK PROTECTION,  BRGY. FRANTILLA,  MIAGAO, ILOILO 1.	The Municipality of Miagao through the Budget for the Contract Approved by the Sanggunian, Trust Fund – Provincial Aid,  Budget Year 2020 intends to apply</t>
  </si>
  <si>
    <t xml:space="preserve"> Prospective bidders should have experience in undertaking a similar project within the last two (2) years within an amount of at least 50% of the proposed project for bidding. The Eligibility Check/Screening as well as the Preliminary Examination of Bids </t>
  </si>
  <si>
    <t xml:space="preserve"> For Bayombong Campus</t>
  </si>
  <si>
    <t xml:space="preserve"> INVITATION TO BID FOR SLOPE PROTECTION PROJECT,  BRGY. CAGBANG, MIAGAO, ILOILO 1.	The Municipality of Miagao through the Budget for the Contract Approved by the Sanggunian, Trust Fund – Provincial Aid,  Budget Year 2020 intends to apply the sum of P 3,780</t>
  </si>
  <si>
    <t xml:space="preserve"> Republic of the Philippines Province of Siquijor Municipality of Maria Barangay Pisong-A INVITATION TO BID FOR Procurement of Solar Lamp in Support to Youth Development– Pisong-A, Maria, Siquijor / PIA-0003G-2020 1.	The BLGU –Pisong A,  Maria, through the</t>
  </si>
  <si>
    <t xml:space="preserve"> Republic of the Philippines Province of Kalinga TABUK CITY OHS COMMITTEE ON BIDS AND AWARDS INVITATION TO BID FOR THE PROCUREMENT OF PHARMACY SUPPLIES 1. The PROVINCIAL GOVERNMENT OF KALINGA, through the General Fund Annual Budget 2020 Intends to apply th</t>
  </si>
  <si>
    <t xml:space="preserve"> SUPPLIES AND MATERIALS NEEDED FOR THE BARANGAY ROAD CONCRETING</t>
  </si>
  <si>
    <t xml:space="preserve"> The Department of Agriculture-RFO 3, invites interested suppliers to submit quotations/proposals for the hereunder requirement, to wit: ITEM NO.	QTY.	UNIT	ITEMS &amp; DESCRIPTION		UNIT PRICE	TOTAL AMOUNT	BRAND/MODEL 							 			COMPUTER SUPPLIES AND OTHER MATE</t>
  </si>
  <si>
    <t xml:space="preserve"> Republic of the Philippines PROVINCIAL GOVERNMENT OF EASTERN SAMAR Capitol Building, Borongan, Eastern Samar, 6800 Tel No. (055)-560-8312 E-mail Address: esamar.bac@gmail.com BIDS AND AWARDS COMMITTEE (BAC) INVITATION TO BID FOR REPAIR/REHABILITATION OF S</t>
  </si>
  <si>
    <t xml:space="preserve"> INVITATION TO BID The Cauayan City Water District intends to apply the sum of TWENTY ONE MILLION FOUR HUNDRED SIX THOUSAND SEVEN HUNDRED THIRTY THREE AND 83/100 PESOS (₱21,406,733.83) being the Approved Budget for the Contract (ABC) to payment under the c</t>
  </si>
  <si>
    <t xml:space="preserve"> INVITATION TO BID (CW 2020-006-015)   The CITY GOVERNMENT OF SORSOGON, through its Bids and Awards Committee (BAC), invites suppliers/contractors to apply for eligibility and to bid for the hereunder project:  Name of Project		:	CONSTRUCTION/IMPROVEMENT O</t>
  </si>
  <si>
    <t xml:space="preserve"> Republic of the Philippines Province of Kalinga TABUK CITY OHS COMMITTEE ON BIDS AND AWARDS INVITATION TO BID FOR THE PROCUREMENT OF DRUGS AND MEDICINES 1. The PROVINCIAL GOVERNMENT OF KALINGA, through the General Fund Annual Budget 2020 Intends to apply </t>
  </si>
  <si>
    <t xml:space="preserve"> Republic of the Philippines PROVINCIAL GOVERNMENT OF EASTERN SAMAR Capitol Building, Borongan, Eastern Samar, 6800 Tel No. (055)-560-8312 E-mail Address: esamar.bac@gmail.com BIDS AND AWARDS COMMITTEE (BAC) INVITATION TO BID FOR CONSTRUCTION OF BUABUA – B</t>
  </si>
  <si>
    <t xml:space="preserve"> Procurement of Vehicle and Accessories</t>
  </si>
  <si>
    <t xml:space="preserve"> INVITATION TO BID FOR THE CONCRETING OF BARANGAY ROAD AND  CONSTRUCTION OF OVERFLOW, BRGY. PARO-ON,  MIAGAO, ILOILO 1.	The Municipality of Miagao through the Budget for the Contract Approved by the Sanggunian, Trust Fund – Provincial Aid,  Budget Year 202</t>
  </si>
  <si>
    <t xml:space="preserve"> Republic of the Philippines PROVINCIAL GOVERNMENT OF EASTERN SAMAR Capitol Building, Borongan, Eastern Samar, 6800 Tel No. (055)-560-8312 E-mail Address: esamar.bac@gmail.com BIDS AND AWARDS COMMITTEE (BAC) INVITATION TO BID FOR CONCRETING OF BARANGAY ROA</t>
  </si>
  <si>
    <t xml:space="preserve"> Republic of the Philippines Department of Health Cagayan Valley Center for Health Development BATANES GENERAL HOSPITAL Basco, Batanes E-mail Address: bataneshospital@gmail.com REQUEST FOR PROPOSAL RFP NO. 2020-03 Supply &amp; Delivery of Various Medicines 1.	</t>
  </si>
  <si>
    <t xml:space="preserve"> Republic of the Philippines PROVINCIAL GOVERNMENT OF EASTERN SAMAR Capitol Building, Borongan, Eastern Samar, 6800 Tel No. (055)-560-8312 E-mail Address: esamar.bac@gmail.com BIDS AND AWARDS COMMITTEE (BAC) INVITATION TO BID FOR ROAD CONCRETING OF MACAANG</t>
  </si>
  <si>
    <t xml:space="preserve"> Republic of the Philippines PROVINCIAL GOVERNMENT OF EASTERN SAMAR Capitol Building, Borongan, Eastern Samar, 6800 Tel No. (055)-560-8312 E-mail Address: esamar.bac@gmail.com BIDS AND AWARDS COMMITTEE (BAC) INVITATION TO BID FOR CONSTRUCTION/IMPROVEMENT O</t>
  </si>
  <si>
    <t xml:space="preserve"> -</t>
  </si>
  <si>
    <t xml:space="preserve"> Removal/Transfer of Cyclone Fence, Preparation of existing CHB fence for plastering and Chipping /Excavation works, concrete works (column, foundation &amp; horizontal stiffener) and painting works</t>
  </si>
  <si>
    <t xml:space="preserve"> ITEM NO. QTY UNIT DESCRIPTION 1.00 238.00 BAGS PORTLAND CEMENT PREMIUM 2.00 19.29 CU.M. WASHED SAND 3.00 17.15 CU.M. 3/4" CRUSHED GRAVEL 4.00 36.00 LNGTH 16MMØX6M RSB 5.00 76.00 LNGTH 12MMØX6M RSB 6.00 173.00 LNGTH 10MMØX6M RSB 7.00 40.00 KGS. TIE WIRE #1</t>
  </si>
  <si>
    <t xml:space="preserve"> REPUBLIC OF THE PHILIPPINES PROVINCE OF EASTERN SAMAR MUNICIPALITY OF LAWAAN REQUEST FOR QUOTATION PR No.: RFQ No.: PR Date: PhilGEPS Reference No. : End-User : Closing Date: ABC:76,000.00 Time: Sir/Madam: Please quote your lowest price on the items/s lis</t>
  </si>
  <si>
    <t xml:space="preserve"> Republic of the Philippines Province of Northern Samar MUNICIPALITY OF VICTORIA -o0o- INVITATION TO BID FOR THE SUPPLY AND DELIVERY OF TWO (2) UNITS MOTORCYCLE Contract No. LGU-PI-2020-06-13PB 1.	The Local Government Unit of Victoria, Northern Samar, thro</t>
  </si>
  <si>
    <t xml:space="preserve"> INVITATION TO BID The University of the Philippines Manila – School of Health Sciences through its Bids and Awards Committee, invites contractors/contractual services agencies duly registered and licensed to operate business under the laws of the Philippi</t>
  </si>
  <si>
    <t xml:space="preserve"> Republic of the Philippines Municipality of Infanta Barangay Potol BIDS AND AWARDS COMMITTEE Infanta, Pangasinan INVITATION TO BID FOR PURCHASE OF ICT EQUIPMENT FOR BRGY. POTOL, INFANTA, PANGASINAN 1.	The Barangay Potol, Infanta, Pangasinan - BAC, through</t>
  </si>
  <si>
    <t xml:space="preserve"> Republic of the Philippines Province of Northern Samar MUNICIPALITY OF VICTORIA -o0o- INVITATION TO BID FOR THE SUPPLY AND DELIVERY OF OFFICE FURNITURE AND FIXTURES Contract No. LGU-PI-2020-06-14PB 1.	The Local Government Unit of Victoria, Northern Samar,</t>
  </si>
  <si>
    <t xml:space="preserve"> 1.	The Department of Agriculture (DA) – Central Office, through the GAA CY 2020 intends to apply the sum of Six Million One Hundred Eighty Seven Thousand Five Hundred Pesos (PhP6,187,500.00) being the Approved Budget for the Contract (ABC) to payments und</t>
  </si>
  <si>
    <t xml:space="preserve"> 1.	The Department of Agriculture (DA) – Central Office, PhilFIDA, PCAF and FDC, through the GAA CY2020 intends to apply the sum of Fifteen Million Nine Hundred Fourteen Thousand Two Hundred Ninety-Two Pesos and 30/100 (PhP15,914,292.30) being the Approved</t>
  </si>
  <si>
    <t xml:space="preserve"> Republic of the Philippines PROVINCIAL GOVERNMENT OF EASTERN SAMAR Capitol Building, Borongan, Eastern Samar, 6800 Tel No. (055)-560-8312 E-mail Address: esamar.bac@gmail.com BIDS AND AWARDS COMMITTEE (BAC) INVITATION TO BID FOR CONSTRUCTION OF BRGY. ROAD</t>
  </si>
  <si>
    <t xml:space="preserve"> INVITATION TO BID  1.	The National Printing Office, through the Revolving Fund 2020 intends to apply the sum of ₱1,275,000.00 being the Approved Budget for the Contract (ABC) to payments under the contract for the Procurement of Supply, Delivery and Insta</t>
  </si>
  <si>
    <t xml:space="preserve"> BIDS AND AWARDS COMMITTEE INVITATION TO BID The Barangay of Tanong, through its Committee on Bids &amp; Awards, hereby invites all interested parties to submit sealed bid for the hereunder project: Name of Project: Purchase of Office Equipment Brief Descripti</t>
  </si>
  <si>
    <t xml:space="preserve"> INVITATION TO BID  PROCUREMENT  OF TWO (2) UNITS  BRAND NEW MEDICAL AMBULANCE   GS 2020-006-021 1.	The City Government of Sorsogon    intends to apply the sum of   Four   Million   Four Hundred      Thousand      Pesos (P 4,400,000.00) being the Approved </t>
  </si>
  <si>
    <t xml:space="preserve"> I N V I T A T I O N  T O  B I D The Manila International Airport Authority, through its Bids and Awards Committee (BAC), invites interested parties to apply for eligibility and to bid for the hereunder service contract: 	 Name of Contract       :  	Purcha</t>
  </si>
  <si>
    <t xml:space="preserve"> Republic of the Philippines Province of Pangasinan Municipality of Infanta Barangay Bamban BIDS AND AWARDS COMMITTEE INVITATION TO BID FOR:  SUPPLY, DELIVERY, FABRICATION and INSTALLATION OF MATERIALS FOR THE CONSTRUCTION OF 6 UNITS SOLAR STREETLIGHTS @ S</t>
  </si>
  <si>
    <t xml:space="preserve"> It includes: 107,520.00 Liters of Diesel and 32, 192.00 liters of Premium (Ron 91)</t>
  </si>
  <si>
    <t xml:space="preserve"> Republic of the Philippines PROVINCIAL GOVERNMENT OF EASTERN SAMAR Capitol Building, Borongan, Eastern Samar, 6800 Tel No. (055)-560-8312 E-mail Address: esamar.bac@gmail.com BIDS AND AWARDS COMMITTEE (BAC) INVITATION TO BID FOR CONCRETING OF HOLLYWOOD TO</t>
  </si>
  <si>
    <t xml:space="preserve"> INVITATION TO BID PROCUREMENT OF VARIOUS COVID-19 MEDICAL EQUIPMENT CY 2020 PUBLIC BIDDING NO. VMC-2020-028 1.	The Valenzuela Medical Center (VMC), through the General Appropriations Act CY 2020, intends to apply the sum of Philippine Currency: FOURTEEN M</t>
  </si>
  <si>
    <t xml:space="preserve"> 1.	The Department of Agriculture (DA) – Central Office, through the GAA CY 2020 intends to apply the sum One Million One Hundred Sixty-Two Thousand Nine Hundred Seventy-Five Pesos (PhP1,162,975.00) being the Approved Budget for the Contract (ABC) to payme</t>
  </si>
  <si>
    <t xml:space="preserve"> 1.	The Department of Agriculture (DA) – Central Office, through the GAA CY2020 intends to apply the sum of Seven Million Twenty-Two Thousand Six Hundred Seventy-Nine Pesos and 51/100 (PhP7,022,679.51) being the Approved Budget for the Contract (ABC) to pa</t>
  </si>
  <si>
    <t xml:space="preserve"> Republic of the Philippines Province of Pangasinan Municipality of Infanta Barangay Potol BIDS AND AWARDS COMMITTEE INVITATION TO BID FOR SUPPLY AND DELIVERY OF MATERIALS AND SUPPLIES AND DRILLING FOR THE PROVISION OF POTABLE WATER SYSTEM, PUROK 3, BRGY. </t>
  </si>
  <si>
    <t xml:space="preserve"> Republic of the Philippines Department of Health	 CENTRAL OFFICE BIDS AND AWARDS COMMITTEE  INVITATION TO BID FOR THE  HIRING OF A SERVICE PROVIDER PARTICULARLY MEDIA AGENCY TO DEVELOP A MEDIA PLAN AND PROCURE MEDIA PLACEMENTS TO AMPLIFY THE DOH COVID-19 </t>
  </si>
  <si>
    <t xml:space="preserve"> INVITATION TO BID  1.	The National Printing Office, through the Revolving Fund 2020 intends to apply the sum of Php8,000,000.00 being the Approved Budget for the Contract (ABC) to payments under the contract for the Procurement of Supply and Delivery of 2</t>
  </si>
  <si>
    <t xml:space="preserve"> The Local government Unit of Jipapad, Eastern Samar through the 5% DRRM Fund (2019) intends to apply the sum of One Hundred Fifty Thousand Pesos (150,000.00) being the Approved Budget for the Contract (ABC) as payment under the contract for the Purchase o</t>
  </si>
  <si>
    <t xml:space="preserve"> 1. The Local government Unit of Jipapad, Eastern Samar through the 5% DRRM Fund (2020) intends to apply the sum of Three Hundred Thousand Pesos (300,000.00) being the Approved Budget for the Contract (ABC) as payment under the contract for the Purchase of</t>
  </si>
  <si>
    <t xml:space="preserve"> The Barangay Bagong Sirang through its Bids and Awards Committee (BAC) invites suppliers to apply for the stated project below: Name of Project	: CONSTRUCTION OF PATHWAY AT ZONE 7 Location		: ZONE 7 BAGONG SIRANG, PILI, CAMARINES SUR  Project Reference No</t>
  </si>
  <si>
    <t xml:space="preserve"> INVITATION TO BID (CW 2020-006-017)   The CITY GOVERNMENT OF SORSOGON, through its Bids and Awards Committee (BAC), invites suppliers/contractors to apply for eligibility and to bid for the hereunder project:  Name of Project		:	CONSTRUCTION/IMPROVEMENT O</t>
  </si>
  <si>
    <t xml:space="preserve"> INVITATION TO BID  PROCUREMENT  OF ONE  (1) UNIT  BRAND NEW NON- REFRIGERATED CLOSE MEAT DELIVERY VAN    GS 2020 -006-018 1.	The City Government of Sorsogon    intends to apply the sum of   One   Million   Seven  Hundred      Thousand      Pesos (P 1,700,</t>
  </si>
  <si>
    <t xml:space="preserve"> for bagong silang 3 labo camarines norte.. their council agreed to implement the project of construction of pathway with the following materials... 297 bags portland cement 30 cu.m. item 201 33 cu.m crushed gravel 20 cu.m. washed sand 106.6 kgs 12mm dia d</t>
  </si>
  <si>
    <t xml:space="preserve"> The Barangay Bagong Sirang through its Bids and Awards Committee (BAC) invites suppliers to apply for the stated project below: Name of Project	: CONSTRUCTION OF DRAINAGE CANAL AT ZONE 6  Location		: ZONE 6 BAGONG SIRANG, PILI, CAMARINES SUR  Project Refe</t>
  </si>
  <si>
    <t xml:space="preserve"> Republic of the Philippines PROVINCE OF BUKIDNON Municipality of Don Carlos BIDS AND AWARDS COMMITTEE Invitation to Bid for the Supply &amp; Delivery of Various Construction Materials intended for Construction of Senior Citizen Building - Phase 2 (Complete Bi</t>
  </si>
  <si>
    <t xml:space="preserve"> Invitation to Bid for  Improvement of Rimos #4  Road, Luna, La Union 1.	The Provincial Government of La Union, through the RA7171 intends to apply the sum of ₱1,462,500.00 being the Approved Budget for the Contract (ABC) to payments under the contract for</t>
  </si>
  <si>
    <t xml:space="preserve"> Republic of the Philippines Province of Surigao del Sur Municipality of Tago ----oo0oo---- Invitation to Bid Supply and Delivery of Various Brand New Heavy Equipments and Brand New Six (6) Wheelers Dump truck Project ID No. TAG-SDS-051-2020 The Local Gove</t>
  </si>
  <si>
    <t xml:space="preserve"> Republic of the Philippines Province of Surigao del Sur Municipality of Tago ---ooo0ooo--- Invitation to Bid REHABILITAITON OF TAGO TOWN HALL Project ID No. TAG-SDS-053-2020 The Local Government Unit of Tago, Surigao del Sur invites sealed Bids from eligi</t>
  </si>
  <si>
    <t xml:space="preserve"> Invitation to Bid for  Rehabilitation and Improvement of Sapilang Road, Bacnotan, La Union 1.	The Provincial Government of La Union, through the RA7171 intends to apply the sum of ₱3,899,991.84 being the Approved Budget for the Contract (ABC) to payments </t>
  </si>
  <si>
    <t xml:space="preserve"> INVITATION TO BID The Local Government Unit of Jasaan, Jasaan, Misamis Oriental, through the 20% DF intends to apply the sum of Five Million Pesos and 00/100 (P 5,000,000.00) being the Approved Budget for the Contract (ABC) to payments under the contract </t>
  </si>
  <si>
    <t xml:space="preserve"> 12 units touch screen cellular phones 6 units keypad phones 3 handheld radio</t>
  </si>
  <si>
    <t xml:space="preserve"> RE - INVITATION TO BID The Local Government Unit of Jasaan, Jasaan, Misamis Oriental, through the General Fund intends to apply the sum of Five Million Pesos and 00/100 (P 5,000,000.00) being the Approved Budget for the Contract (ABC) to payments under th</t>
  </si>
  <si>
    <t xml:space="preserve"> INVITATION TO BID (for the Procurement of Goods)           1.	The City Government of Puerto Princesa (CGPP), through Appropriation Ordinance No. 6-2019 (Supplemental Budget No. 3 for CY 2019/Fund Source: Borrowings – Loan at Land Bank of the Philippines) </t>
  </si>
  <si>
    <t xml:space="preserve"> Invitation to Bid for  Improvement of Naguilian-San Fernando Road, Naguilian, La Union 1.	The Provincial Government of La Union, through the RA7171 intends to apply the sum of ₱9,750,000.00 being the Approved Budget for the Contract (ABC) to payments unde</t>
  </si>
  <si>
    <t xml:space="preserve"> Invitation to Bid for  Rehabilitation and Improvement of Biday-Mameltac-Saoay-Dallangayan Road, San Fernando City, La Union 1.	The Provincial Government of La Union, through the RA7171 intends to apply the sum of ₱3,900,000.00 being the Approved Budget fo</t>
  </si>
  <si>
    <t xml:space="preserve"> INVITATION TO BID PROCUREMENT OF SERVICE PROVIDER FOR THE PHASE II OF ENHANCED FARMLAND GEOGRAPHIC INFORMATION SYSTEM (FGIS DIGITIZATION OF PARCELLARY MAPS AND FARMLAND DATABASE DEVELOPMENT)  ITB NO. BS-003-2020 1.	The National Irrigation Administration (</t>
  </si>
  <si>
    <t xml:space="preserve"> Invitation to Bid for  Improvement/Widening of Balecbec-Basca Farm to Market Road, Naguilian, La Union 1.	The Provincial Government of La Union, through the RA7171 intends to apply the sum of ₱3,900,000.00 being the Approved Budget for the Contract (ABC) </t>
  </si>
  <si>
    <t xml:space="preserve"> • 	15 units Evaporation Kettle for coco sap cooking/processing         Brand New kettle •	Double-jacketed closed evaporation kettle using 3mm thick stainless steel plate •	One Hundred (100) liters capacity •	Type 304 with one (1) vacuum pump driven by 200</t>
  </si>
  <si>
    <t xml:space="preserve"> Republic of the Philippines PROVINCIAL GOVERNMENT OF EASTERN SAMAR Capitol Building, Borongan, Eastern Samar, 6800 Tel No. (055)-560-8312 E-mail Address: esamar.bac@gmail.com BIDS AND AWARDS COMMITTEE (BAC) INVITATION TO BID FOR THE  PROCUREMENT OF CONSTR</t>
  </si>
  <si>
    <t xml:space="preserve"> Invitation to Bid for  Rehabilitation of Lingsat Farm to Market Road (Hufano Street), San Fernando City, La Union 1.	The Provincial Government of La Union, through the RA7171 intends to apply the sum of ₱3,900,000.00 being the Approved Budget for the Cont</t>
  </si>
  <si>
    <t xml:space="preserve"> 10     pcs     Office Table    1     unit    Gang Chair, 3 seater Stainless    1     unit     Steel Cabinet 2 drawer horizontal    1     unit     Inkjet Printer (3 in 1)</t>
  </si>
  <si>
    <t xml:space="preserve"> Republic of the Philippines Province of Isabela LOCAL GOVERNMENT UNIT OF BENITO SOLIVEN INVITATION TO BID FOR THE COMPLETION OF COVERED COURT (ROOFING WORKS) AT BARANGAY GOMEZ 1.	The Barangay Government of Gomez thru the Bids and Awards Committee of the M</t>
  </si>
  <si>
    <t xml:space="preserve"> Republic of the Philippines Province of Isabela LOCAL GOVERNMENT UNIT OF BENITO SOLIVEN INVITATION TO BID FOR THE CONSTRUCTION OF DOUBLE BARREL REINFORCED CONCRETE BOX CULVERT PHASE I AT BARANGAY PLACER 1.	The Barangay Government of Placer thru the Bids a</t>
  </si>
  <si>
    <t xml:space="preserve"> Earthworks,  Subbase And Base Course,  Surface Course,  Drainage &amp; Slope Protection Structures, Miscellaneous</t>
  </si>
  <si>
    <t xml:space="preserve"> Supply and Delivery of Computer Paper Continuous Forms for the Regional Payroll Services Unit of the Department of Education, Regional Office VI (Rebid) Item No. Qty. Unit Description 1 350 Box Computer Paper Continuous Form, 14 7/8"x11"; carbonless 4 ply</t>
  </si>
  <si>
    <t xml:space="preserve"> General Requirements, Demolition Works, Earthworks, Structural Works, Architectural Works, Electrical , Plumbing</t>
  </si>
  <si>
    <t xml:space="preserve"> Ceiling Works, Windows, Doors, Plastering, Painting Works, Floor Topping, Tile Works, Electrical</t>
  </si>
  <si>
    <t xml:space="preserve"> MG-ADM20-005..REPLACEMENT OF EXISTING STREET LIGHTING INSIDE NPC MINGEN MRC ABC : P 3,000,000.00 PLACE OF DELIVERY :  MINGEN CENTRAL WAREHOUSE DITUCALAN, ILIGAN CITY AMOUNT OF BID DOCUMENTS : P 3,000.00</t>
  </si>
  <si>
    <t xml:space="preserve"> Invitation to Bid for  Construction of Farmers Multi-Purpose Center, Juan Cartas, Caba, La Union 1.	The Provincial Government of La Union, through the RA7171 intends to apply the sum of ₱3,900,000.00 being the Approved Budget for the Contract (ABC) to pay</t>
  </si>
  <si>
    <t xml:space="preserve"> INVITATION TO BID PUBLIC BIDDING NO.: 2005021 FUNDING SOURCE: GOVERNMENT OF THE PHILIPPINES THROUGH GENERAL APPROPRIATIONS ACT  (GAA) FY 2020 The Department of Science and Technology (DOST-CAR), through its Bids and Awards Committee  (BAC),  invites  bidd</t>
  </si>
  <si>
    <t xml:space="preserve"> INVITATION TO BID FOR THE SUPPLY AND DELIVERY OF SCHOOL SUPPLIES AND EQUIPMENT  1.	The Municipality of Salcedo, through the Special Education Fund  intends to apply the sum of Three Hundred Thirteen Thousand Eight Hundred Eighteen Pesos only ( Php 313,818</t>
  </si>
  <si>
    <t xml:space="preserve"> Invitation to Bid for  Construction of Dallangayan Este Creek Slope Protection, San Fernando City, La Union 1.	The Provincial Government of La Union, through the RA7171 intends to apply the sum of ₱1,950,000.00 being the Approved Budget for the Contract (</t>
  </si>
  <si>
    <t xml:space="preserve"> The NATIONAL FOOD AUTHORITY (NFA) Regional Office VI intends to apply the sum of Twenty Nine Million Seven Hundred Sixty Two Thousand One Hundred Twelve Pesos and 77/100 (Php 29,762,112.77) inclusive of VAT from its Corporate Operating Budget as the Appro</t>
  </si>
  <si>
    <t xml:space="preserve"> Medical Oxygen: 1800 PSI</t>
  </si>
  <si>
    <t xml:space="preserve"> Description  Republic of the Philippines  Province of Leyte  Municipality of Mahaplag -ooOOoo- INVITATION TO BID Procurement of construction materials for Completion of one unit two (2) Classroom Makeshift Building Hilusig National High School  1. The Loc</t>
  </si>
  <si>
    <t xml:space="preserve"> Republic of the Philippines PROVINCE OF PAMPANGA City of San Fernando INVITATION TO BID NO. 2020-18 IG - BAC INVITATION TO BID FOR PURCHASE REQUEST NO. 20-1417 and 20-0554 The Provincial Government of Pampanga (“Province”) intends to apply the following s</t>
  </si>
  <si>
    <t xml:space="preserve"> Republic of the Philippines BIDS AND AWARDS COMMITTEE Cadiz City      BID DOCUMENTS for the CONSTRUCTION OF BREAKWATER @ SO. CANDUMONG, BRGY. SICABA, CADIZ CITY (1) BIDS AND AWARDS COMMITTEE  Cadiz City   INVITATION TO BID/REQUEST FOR EXPRESSION OF INTERE</t>
  </si>
  <si>
    <t xml:space="preserve"> MG-PLM20-015..REPLACEMENT OF POWERHOUSE STATION BATTERIES ABC : P4,000,000.00 PLACE OF DELIVERY : PULANGI IV HEP WAREHOUSE MARAMAG, BUKIDNON AMOUNT OF BID DOCUMENTS : P 5,000.00</t>
  </si>
  <si>
    <t xml:space="preserve"> INVITATION TO BID FOR THE Supply and Delivery of 1-unit Passenger Van for Bicol University 1. The BICOL UNIVERSITY, through the Corporate Budget for the contract approved by the Board of Regents intends to apply the sum of Two Million One Hundred Eighty-S</t>
  </si>
  <si>
    <t xml:space="preserve"> MG-A5M20-001..AG4 SUPPLY, DELIVERY, INST., COMMISSIONING OF OIL-WATER SEPARATOR AT SUMP PIT ABC  : P 8,600,000.00 PLACE OF DELIVERY : AGUS 4 HEP WAREHOUSE BALOI-, LANAO DEL NORTE AMOUNT OF BID DOCUMENTS : P 10,000.00</t>
  </si>
  <si>
    <t xml:space="preserve"> Republic of the Philippines Province of Cagayan MUNICIPALITY OF BALLESTEROS Barangay Sta. Cruz INVITATION TO BID FOR  Procurement of Various Materials for the Installation of Solar Street Lights 1.	The Barangay Government of Sta. Cruz through the 20% Deve</t>
  </si>
  <si>
    <t xml:space="preserve"> General Rqmts., Pathwalk, Access ramp with railings, Access stairs with railings</t>
  </si>
  <si>
    <t xml:space="preserve"> Please see attached file for reference.</t>
  </si>
  <si>
    <t xml:space="preserve"> Republic of the Philippines BIDS AND AWARDS COMMITTEE Cadiz City      BID DOCUMENTS for the CONSTRUCTION OF GENDER SENSITIVE EVACUATION CENTER (PHASE II) @ BRGY. PROPER, BRGY. CABAHUG, CADIZ CITY (1) BIDS AND AWARDS COMMITTEE  Cadiz City   INVITATION TO B</t>
  </si>
  <si>
    <t xml:space="preserve"> Republic of the Philipines Province of Camarines Sur Municipality of Del Gallego BIDS AND AWARDS COMMITTEE INVITATION TO BID FOR CONSTRUCTION OF MULTI-PURPOSE BUILDING WITH WHARF AND LANDING AREA The Local Government Unit of Del Gallego, Camarines Sur, th</t>
  </si>
  <si>
    <t xml:space="preserve"> INVITATION TO BID FOR THE Supply and Delivery of 1-unit Sports Utility Vehicle for Bicol University 1. The BICOL UNIVERSITY, through the Corporate Budget for the contract approved by the Board of Regents intends to apply the sum of One Million Seven Hundr</t>
  </si>
  <si>
    <t xml:space="preserve"> INSTALLATION OF WASTE MANAGEMENT FACILITY FOR SCHOOL</t>
  </si>
  <si>
    <t xml:space="preserve"> Republic of the Philippines Province of Isabela LOCAL GOVERNMENT UNIT OF BENITO SOLIVEN INVITATION TO BID FOR THE CONCRETING OF YEBAN NORTE-PUNIT ROAD (530 METERS) 1.	The Municipal Government of Benito Soliven, intends to apply the sum of Two Million Four</t>
  </si>
  <si>
    <t xml:space="preserve"> Contract for the Concreting of Road Section at Purok 6. Rd. A (Sitjar Area) 300m, Brgy. Tibal - Og The Municipality of Santo Tomas, through MDF CY 2020 intends to apply the sum of P’ 2,497,407.01 being the Approved Budget for the Contract (ABC) to payment</t>
  </si>
  <si>
    <t xml:space="preserve"> Location of the Project: Brgy. Mandu-awak, San Dionisio, Iloilo Approved Budget for the Contract: P920,000.00 Funding Source: 20% Devel;opment Fund, CY 2019 Contract Duration: 40 Calendar Days Physical Target: 60 ln.m. Bid Opening: June 24, 2020 at 10:00 </t>
  </si>
  <si>
    <t xml:space="preserve"> ITB NO. 2020-0012 Design, Supply, Fabrication of Mounting Brackets and Installation and Testing of Antenna Panels for the Zamboanga Transmitter Station of the People’s Television Network Inc. (PTNI)</t>
  </si>
  <si>
    <t xml:space="preserve"> Republic of the Philippines Province of Albay Municipality of Tiwi OFFICE OF THE BIDS AND AWARDS COMMITTEE CP#0917-851-2315 Invitation to Bid for the IMPROVEMENT OF ROADWAY &amp; SLOPE PROTECTION &amp; DRAINAGE 1.	The Local Government Unit of Tiwi, Albay, through</t>
  </si>
  <si>
    <t xml:space="preserve"> 130 "Unit(s)" "100-watts LED Street Light -" "100-265 volts, 12,000 lumens, IP65 Bridgelux Chips Meanwell Driver, Daylight, size: 725x285x82mm no arm and photo switch" 70 "Piece(s)" "Photo Control Switch -" "" 2 "Roll(s)" "#6 Service Drop Wire -" "" *****</t>
  </si>
  <si>
    <t xml:space="preserve"> I. SITE PREPARATION - 9.79% -- LS II. AGGREGATE BASE COURSE (ITEM 201) - 1.79% - 3.2 III. P.C.C.P (ITEM 311) - 11.96%  IV. GOUTED RIPRAP (ITEM 504) /RUB CONC. - 16.87% V. FOOTBRIDGE -- 41.25% VI. FORMS/SCAFFOLDINGS -- 18.35% -- LS DIRECT COST LABOR---34.2</t>
  </si>
  <si>
    <t xml:space="preserve"> Location of the Project: Brgy. Dugman-Pangi Road, San Dionisio, Iloilo Approved Budget for the Contract: P1,550,000.00 Funding Source: 20% Development Fund, CY 2019 Contract Duration: 90 Calendar Days Physical Target: 155 ln.m. Bid Opening: June 24, 2020 </t>
  </si>
  <si>
    <t xml:space="preserve"> I. SITE PREPARATION (REMOVAL OF EXST ROOF) -- 4% II. REPAIR OF ROOF/ROOF FRAMING -- 53.64% III. REPAIR OF CEILING -- 22.08% IV. PAINTING - 12.69% V. SCAFFOLDINGS -- 7.60% -- LS</t>
  </si>
  <si>
    <t xml:space="preserve"> REPAINTING OF SCHOOL GROUND SHS FOR SCHOOL BEAUTIFICATION</t>
  </si>
  <si>
    <t xml:space="preserve"> Republic of the Philippines BIDS AND AWARDS COMMITTEE Province of Pangasinan Municipality of Infanta INVITATION TO BID FOR PURCHASE OF TWO (2) UNITS MOTORCYCLE FOR THE OPERATION OF THE OFFICE OF THE IWWS, INFANTA, PANGASINAN 1.	The Municipality of Infanta</t>
  </si>
  <si>
    <t xml:space="preserve"> Republic of the Philippines Province of Albay Municipality of Tiwi OFFICE OF THE BIDS AND AWARDS COMMITTEE CP#0917-851-2315 INVITATION TO BID  PROCUREMENT OF MATERIALS FOR THE INTEGRATED COMMUNITY FOOD PRODUCTION (ICFP) PROJECT 1.	The Local Government Uni</t>
  </si>
  <si>
    <t xml:space="preserve"> Republic of the Philippines Province of Albay Municipality of Tiwi BIDS AND AWARDS COMMITTEE Invitation to Bid for the CHILD DEVELOPMENT CENTER FENCING &amp; WATER TANK &amp; SITE DEVELOPMENT 1.	The Local Government Unit of Tiwi, Albay, through General Fund (SB N</t>
  </si>
  <si>
    <t xml:space="preserve"> INVITATION TO BID IB NO. CW 2020 – 083 Construction of Slope Protection at Brgy. Waygan Spillway, Mansalay Oriental Mindoro 1.  The Provincial Government of Oriental Mindoro (PGOM) through the General Fund – 5% Calamity Fund 2019 intends to apply the sum </t>
  </si>
  <si>
    <t xml:space="preserve"> Rehabilitation of Road</t>
  </si>
  <si>
    <t xml:space="preserve"> ADDITIONAL SCHOOL AND OFFICE SUPPLIES SHS</t>
  </si>
  <si>
    <t xml:space="preserve"> INVITATION TO BID IB NO. CW 2020 – 084 Construction  of Gabion at Sitio Tagascan, Brgy. San Vicente, Roxas, Oriental Mindoro 1.  The Provincial Government of Oriental Mindoro (PGOM) through the General Fund – 5% Calamity Fund 2019 intends to apply the sum</t>
  </si>
  <si>
    <t xml:space="preserve"> INVITATION TO BID IB NO. CW 2020 – 085 Concreting of Road at Brgy. Batong Dalig, Socorro, Oriental Mindoro 1.  The Provincial Government of Oriental Mindoro (PGOM) through the 20% Development Fund CA 2019 intends to apply the sum of One Million Six Hundre</t>
  </si>
  <si>
    <t xml:space="preserve"> 1.	The Capiz Provincial Government, through the GOP–2020 intends to apply the total amount of Seven Hundred Fifty-Nine Thousand Six Hundred Pesos (Php759,600.00) being the total aggregated Approved Budget for the Contract (ABC) to payments under the contr</t>
  </si>
  <si>
    <t xml:space="preserve"> Republic of the Philippines Province of Albay Municipality of Tiwi OFFICE OF THE BIDS AND AWARDS COMMITTEE CP#0917-851-2315 INVITATION TO BID  PROCUREMENT OF ONE (1) UNIT AMBULANCE 1.	The Local Government Unit of Tiwi, Albay, through General Fund (SB#1) o</t>
  </si>
  <si>
    <t xml:space="preserve"> INVITATION TO BID IB NO. CW 2020 – 082 Construction of Bridge at Sta. Maria, Mansalay, Oriental Mindoro 1.  The Provincial Government of Oriental Mindoro (PGOM) through the 20% Development Fund CA 2019 intends to apply the sum of One Million Nine Hundred </t>
  </si>
  <si>
    <t xml:space="preserve"> Location of the Project: Municipality of San Dionisio, Iloilo Approved Budget for the Contract: P1,250,000.00 Funding Source: MDRRM FUND, CY 2020 Specifications:           2.2 Diesel Engine, 5 speed Mandual Transmission           Euro-4 Diesel engine; Ste</t>
  </si>
  <si>
    <t xml:space="preserve"> Republic of the Philippines PROVINCE OF QUIRINO Cabarroguis -oOo- BIDS AND AWARDS COMMITTEE INVITATION TO BID FOR  Completion of Hanging Footbridge Contract No. PB-CW-2020-024 							June 6, 2020 1.	The Bids and Awards Committee (BAC) of the Provincial Go</t>
  </si>
  <si>
    <t xml:space="preserve"> Republic of the Philippines PROVINCE OF QUIRINO Cabarroguis -oOo- BIDS AND AWARDS COMMITTEE INVITATION TO BID FOR  Completion of Hanging Footbridge Contract No. PB-CW-2020-023 							June 6, 2020 1.	The Bids and Awards Committee (BAC) of the Provincial Go</t>
  </si>
  <si>
    <t xml:space="preserve"> INVITATION TO BID (Public Bidding) The BFAR 08, through its Bids and Awards Committee (BAC), invites eligible suppliers to bid for the hereunder contract:	 NAME OF CONTRACT: 20-05-0550 Supply and Delivery of Materials for Aquaponics with Intensive Tilapia</t>
  </si>
  <si>
    <t xml:space="preserve"> 1.	The Capiz Provincial Government, through the GOP–2020 intends to apply the total amount One Million Four Hundred Forty-One Thousand Five Hundred Pesos (Php 1,441,500.00) being the total Approved Budget for the Contract (ABC) to payments under the contr</t>
  </si>
  <si>
    <t xml:space="preserve"> ITB NO. 2020-0013 Supply, Delivery, Installation, Testing, Commissioning and Training of Six (6) Units of Audio Processors for the Manila, Zamboanga, Guimaras, Naga, and Cotabato Transmitter Stations of the People`s Television Network, Inc. (PTNI)</t>
  </si>
  <si>
    <t xml:space="preserve"> Republic of the Philippines PROVINCE OF QUIRINO Cabarroguis -oOo- BIDS AND AWARDS COMMITTEE INVITATION TO BID FOR  Completion of Hanging Footbridge Contract No. PB-CW-2020-021 							June 6, 2020 1.	The Bids and Awards Committee (BAC) of the Provincial Go</t>
  </si>
  <si>
    <t xml:space="preserve"> Republic of the Philippines PROVINCE OF QUIRINO Cabarroguis -oOo- BIDS AND AWARDS COMMITTEE INVITATION TO BID FOR  Completion of Hanging Footbridge Contract No. PB-CW-2020-022 							June 6, 2020 1.	The Bids and Awards Committee (BAC) of the Provincial Go</t>
  </si>
  <si>
    <t xml:space="preserve"> ITB NO. 2020-0011 Provision of Security  Services of People’s Television Network, Inc. Manila Office and its Provincial Station</t>
  </si>
  <si>
    <t xml:space="preserve"> Section I. Invitation to Bid Republic of the Philippines Province of Davao del Norte Municipality of Talaingod 7 June, 2020 INVITATION TO BID FOR PURCHASE OF VEHICLE (VAN) (MMO-BAC &amp; GSO)) 1.	The Local Government Unit of Talaingod, Davao del Norte intends</t>
  </si>
  <si>
    <t xml:space="preserve"> INVITATION TO BID IB NO. CW 2020 – 081 Concreting of Pili – Banilad Road, Pinamalayan, Oriental Mindoro 1.  The Provincial Government of Oriental Mindoro (PGOM) through the 20% Development Fund 2019 intends to apply the sum of Five Million Nine Hundred Th</t>
  </si>
  <si>
    <t xml:space="preserve"> INVITATION TO BID  (Public Bidding) The BFAR 08, through its Bids and Awards Committee (BAC), invites eligible suppliers to bid for the hereunder contract:	 NAME OF CONTRACT: 20-05-0545 Supply and Delivery of Materials for Intensive Tilapia Farming in Pon</t>
  </si>
  <si>
    <t xml:space="preserve"> Republic of the Philippines Province of Cebu MUNICIPALITY OF DAANBANTAYAN BARANGAY POBLACION Bids and Awards Committee INVITATION TO BID PROCUREMENT OF MATERIALS FOR CONSTRUCTION/ERECTION OF ELECTRICAL POST 1. The Barangay Goverment of Poblacion,Daanbanta</t>
  </si>
  <si>
    <t xml:space="preserve"> INVITATION TO BID IB NO. CW 2020 – 086 Concreting of Road Section at Brgy. Sta. Rosa II, Binaybay, Baco, Oriental Mindoro 1.  The Provincial Government of Oriental Mindoro (PGOM) through the 20% Development Fund CA 2019 intends to apply the sum of One Mil</t>
  </si>
  <si>
    <t xml:space="preserve"> SEE SPECS</t>
  </si>
  <si>
    <t xml:space="preserve"> DRAINAGE SYSTEM</t>
  </si>
  <si>
    <t xml:space="preserve"> Construction of Concrete/Timber Footbridge, Width=2.40m, Length= 40.00m 1. 84.00 LM Columns (Pre-Vast) 2. 10.00 cu.m Capping, Girder and Transom 3. 9,226.67 bd. ft Plank Floor and Running Board 4. 60.00 bd.ft Stone Masonry 5. 3,367.50 bd.ft Railguard and </t>
  </si>
  <si>
    <t xml:space="preserve"> INVITATION TO BID The City Government of Pasay, through its Bids and Awards Committee (BAC) invites suppliers/manufacturers/distributors/contractors to apply and submit sealed bids for the supply and delivery of the following: Proposed supply and delivery</t>
  </si>
  <si>
    <t xml:space="preserve"> Section I. Invitation to Bid Republic of the Philippines Province of Davao del Norte MUNICIPALITY OF TALAINGOD 								7 June, 2020 Invitation to Bid for ROAD CONCRETING (@Purok 6, Fortu Area, Sto. Niño Crossing Opao-Junction Provincial Road, Palma Gil, T</t>
  </si>
  <si>
    <t xml:space="preserve"> INVITATION TO BID IB NO. CW 2020 – 088 Installation of Automatic Fire Suppression System at Oriental Mindoro Southern District Hospital, Roxas, Oriental Mindoro 1.  The Provincial Government of Oriental Mindoro (PGOM) through the General Fund CA 2018 inte</t>
  </si>
  <si>
    <t xml:space="preserve"> Republic of the Philippines DR. EMILIO B. ESPINOSA, SR. MEMORIAL STATE COLLEGE  OF AGRICULTURE AND TECHNOLOGY (Masbate State College) BIDS AND AWARDS COMMITTEE http:www.debesmscat.edu.ph Cabitan, Mandaon, Masbate Invitation to Bid for the  Construction of</t>
  </si>
  <si>
    <t xml:space="preserve"> building</t>
  </si>
  <si>
    <t xml:space="preserve"> Construction of Drainage</t>
  </si>
  <si>
    <t xml:space="preserve"> Procurement of Two (2) units Rescue Vehicle for Barangays of LGU Laak, Davao De Oro with an ABC if Php. 3,200,000.00. Specification: *Engine: Model: 2GD-FTV(low), Type: 2.4L Diesel, 4-Cylinder, 16-valve DOHC, Variable Nozzle Turbo w/ front Mounted interco</t>
  </si>
  <si>
    <t xml:space="preserve"> Procurement of Seven (7) units Steel Goal with Ring &amp; Board and Complete Accessories for Barangay Langtud, Melale, Sto. Niño, Mangloy, Kidawa and Datu Ampunan - Laak, Davao De Oro with an ABC of Php. 2,100,000.00.</t>
  </si>
  <si>
    <t xml:space="preserve"> Name of Project: Purchase of three (3) sets Sand Separator/ Filter bag housing for Pura Water System Pumping Station Location: Brgy Singat, Nilasin 2nd and Poblacion 3, Pura, Tarlac ABC: Php 1,600,000.00 5 units SAND SEPARATOR/ FILTER BAG HOUSING Filter b</t>
  </si>
  <si>
    <t xml:space="preserve"> Acquasition of construction materials for improvement of Barangay Multi Purpose Hall Taguihon, Baclayon, Bohol Bill of materials:   INSTALLATION OF DOOR AND WINDOWS 1.  1 set   - Fixed glass window 1 w/ aluminum frame (1.12mx1.00m with opening) 2.  2 sets</t>
  </si>
  <si>
    <t xml:space="preserve"> Contract Labor and Materials for the Concreting of Toribio Suan Street, Laac (Pob.), Laak, Davao De Oro with an ABC of Php. 1,428,263.51.</t>
  </si>
  <si>
    <t xml:space="preserve"> Invitation to Bid for the Construction of 1 Unit 3 Classroom Bldg at Gaboc Elementary School 1.	The Local Government Unit of Manolo Fortich, through the Special Education Fund intends to apply the sum of FOUR MILLION THREE HUNDRED THOUSAND PESOS (PhP 4,30</t>
  </si>
  <si>
    <t xml:space="preserve"> MUST HAVE AN DENR ENVIRONMENTAL COMPLIANCE CERTIFICATE FOR SANITARY LANDFILL</t>
  </si>
  <si>
    <t xml:space="preserve"> Concreting of barangay road @ brgy San Antonio, Lal-lo, Cagayan</t>
  </si>
  <si>
    <t xml:space="preserve"> Description   Republic of the Philippines Province of Oriental Mindoro MUNICIPALITY OF NAUJAN BARANGAY SAN JOSE BIDS AND AWARDS COMMITTEE INVITATION TO BID SUPPLY AND DELIVERY OF MATERIALS TO BE USED FOR THE INSTALLATION OF STREET LIGHTS IN DIFFERENT SITI</t>
  </si>
  <si>
    <t xml:space="preserve"> Republic of the Philippines PROVINCE OF NUEVA VIZCAYA Invitation to Bid for the  CONSTRUCTION/IMPROVEMENT OF SITIO CAINO FTMR Located at Banila, Dupax del Sur, Nueva Vizcaya  1.	The Provincial Government of Nueva Vizcaya, through the 2020 20% Development </t>
  </si>
  <si>
    <t xml:space="preserve"> INVITATION TO APPLY FOR ELIGIBILITY AND BID The Barangay of Pispis, Maasin, Iloilo, through its Bids and Awards Committee (BAC), invites suppliers/ distributors/ contractors to apply for eligibility and to bid for the hereunder project: Name of Project : </t>
  </si>
  <si>
    <t xml:space="preserve"> Republic of the Philippines PROVINCE OF NUEVA VIZCAYA Invitation to Bid for the  CONSTRUCTION/IMPROVEMENT OF NEW BENAY WANGYEON FTMR Located at Malasin, Dupax del Norte, Nueva Vizcaya  1.	The Provincial Government of Nueva Vizcaya, through the 2020 20% De</t>
  </si>
  <si>
    <t xml:space="preserve"> Description Republic of the Philippines Province of Oriental Mindoro MUNICIPALITY OF NAUJAN BARANGAY SAN JOSE BIDS AND AWARDS COMMITTEE INVITATION TO BID SUPPLY AND DELIVERY OF MATERIALS TO BE USED IN REHABILITATION OF HEALTH CENTER, SITIO SIMBAHAN, BARAN</t>
  </si>
  <si>
    <t xml:space="preserve"> Name of Project: Purchase of One (1) Set Sand Separator/ Filter bag housing for Pura Water System Pumping Station  Location: Brgy Estipona, Pura, Tarlac ABC: Php 640,000.00 2 units SAND SEPARATOR/ FILTER BAG HOUSING Filter bag housing : Single PR# : SBF-0</t>
  </si>
  <si>
    <t xml:space="preserve"> Name of Project:Site Development of Bancasi Rotunda JCT BCI Highway and DOP Avenue-2nd Bidding Location: Barangay Bancasi,Butuan City Duration:200 calendar days Total ABC: Php 9,900,954.74 For representative/s of interested bidders who wish to attend the </t>
  </si>
  <si>
    <t xml:space="preserve"> INVITATION TO APPLY FOR ELIGIBILITY AND BID The Barangay of Daja, Maasin, Iloilo, through its Bids and Awards Committee (BAC), invites suppliers/ distributors/ contractors to apply for eligibility and to bid for the hereunder project: Name of Project : Re</t>
  </si>
  <si>
    <t xml:space="preserve"> Procurement of One (1) Brand New Emergency Vehicle (DOH Standard Ambulance) of LGU Laak, Davao De Oro with an ABC of Php. 2,600,000.00. Specification: - 2.5 L In-line, 4 Cylinder DOHC 16, Turbo Charge Diesel Engine (Valve Variable), 120-130 PS (Max Power)</t>
  </si>
  <si>
    <t xml:space="preserve"> MEALS FOR TEAM SUPERVISION FOR VISITORS AND TEACHERS</t>
  </si>
  <si>
    <t xml:space="preserve"> PROCUREMENT, SUPPLY AND DELIVERY OF 5.56MM AMMUNITIONS (M193)</t>
  </si>
  <si>
    <t xml:space="preserve"> See attached main document.</t>
  </si>
  <si>
    <t xml:space="preserve"> Stock	ITEM DESCRIPTION	QTY	UNIT No.			 			 A.	 General Requirements		 	1. Permits (Building Permits, Occupancy Permit, ECC, DOLE 	1	lot 	    and  other Local Permits required)		 	2. Mobilization/Demobilization	1	lot 	3. Temporary Facilities	1	lot 	4. Phot</t>
  </si>
  <si>
    <t xml:space="preserve"> Procurement of Seven (7) units Rescue Vehicle for Barangays of LGU Laak, Davao De Oro with an ABC of Php. 11,200,000.00. Specification: *Engine: Model: 2GD-FTV(low), Type: 2.4L Diesel, 4-Cylinder, 16-valve DOHC, Variable Nozzle Turbo w/ front Mounted inte</t>
  </si>
  <si>
    <t xml:space="preserve"> PROCUREMENT, SUPPLY AND DELIVERY OF 9MM AMMUNITIONS</t>
  </si>
  <si>
    <t xml:space="preserve"> SUPPLY, DELIVERY AND INSTALLATION OF TYPHOON-RESILIENT VERTICAL INDOOR FARMING SYSTEM AT ASCOT BAZAL CAMPUS</t>
  </si>
  <si>
    <t xml:space="preserve"> Construction of 9 units  Streetlights</t>
  </si>
  <si>
    <t xml:space="preserve"> Contract Labor and Materials for the Construction of Concrete Pavement of Public Night Market Stalls at Laac (Pob.), Laak, Davao De Oro with an ABC of Php. 809,306.17.</t>
  </si>
  <si>
    <t xml:space="preserve"> Republic of the Philippines Province of Compostela Valley Municipality of Monkayo -o0o- INVITATION TO BID FOR THE PROCUREMENT OF DRUGS &amp; MEDICINES FOR MUNICIPAL HEALTH CENTER VARIOUS PROGRAM-1st SEMESTER The Municipality of Monkayo, through the GENERAL FU</t>
  </si>
  <si>
    <t xml:space="preserve"> PROCUREMENT, SUPPLY AND DELIVERY OF 5.56MM AMMUNITIONS (SS109)</t>
  </si>
  <si>
    <t xml:space="preserve"> Title:Procurement of 1,000 Vial Rabies Vaccine(10 Dose/Vial),etc. under P.R.No. 1408-2020-Office of the City Veterinarian-2nd Bidding Total ABC: Php 1,595,798.00 For representative/s of interested bidders who wish to attend the Pre-Bidding Conference, ple</t>
  </si>
  <si>
    <t xml:space="preserve"> PANEL 900 WATS INVERTER 7500 WATTS RATING 2X7500 WATTS PANEL MOUNTING &amp; ACCESSORIES DC SURGE PROTECTION AC CIRCUIT BREAKER PV POWER CABLES OTHER INST. MATERIALS</t>
  </si>
  <si>
    <t xml:space="preserve"> Description of Work to be Done: - Excavations - Backfilling and Compaction - R.C. Foundation and Pedestal - Reinforcing Steel for Foundation and Pedestal - Formworks - Project Sign Board (COA) - Project Sign Board (ASCOT) - Complete Streetlight LED Light </t>
  </si>
  <si>
    <t xml:space="preserve"> Republic of the Philippines PROVINCE OF NUEVA VIZCAYA Invitation to Bid for the  CONSTRUCTION/IMPROVEMENT OF PUROK 2 BONE SOUTH FTMR Located at Aritao, Nueva Vizcaya  1.	The Provincial Government of Nueva Vizcaya, through the 2020 20% Development Fund int</t>
  </si>
  <si>
    <t xml:space="preserve"> Republic of the Philippines PROVINCE OF NUEVA VIZCAYA Invitation to Bid for the  CONSTRUCTION OF HUKHUKYONG PIS Located at Labang, Ambaguio, Nueva Vizcaya  1.	The Provincial Government of Nueva Vizcaya, through the 2020 20% Development Fund intends to app</t>
  </si>
  <si>
    <t xml:space="preserve"> Republic of the Philippines LOCAL GOVERNMENT UNIT OF GINGOOG BIDS AND AWARDS COMMITTEE Gingoog City INVITATION TO BID 1.	The Local Government Unit of Gingoog City, through the Budget for the contract approved by the Sangguniang Panlungsod, intends to appl</t>
  </si>
  <si>
    <t xml:space="preserve"> Republic of the Philippines PROVINCE OF NUEVA VIZCAYA Invitation to Bid for the  CONSTRUCTION OF CUTAR FARMERS ASSOCIATION CIS Located at Aritao, Nueva Vizcaya  1.	The Provincial Government of Nueva Vizcaya, through the 2020 20% Development Fund intends t</t>
  </si>
  <si>
    <t xml:space="preserve"> vaccination of 150 women and children</t>
  </si>
  <si>
    <t xml:space="preserve"> PROCUREMENT, SUPPLY AND DELIVERY OF 30 ROUNDS MAGAZINE FOR 5.56MM</t>
  </si>
  <si>
    <t xml:space="preserve"> Republic of the Philippines PROVINCE OF NUEVA VIZCAYA Invitation to Bid for the  CONSTRUCTION OF BALONG CIS Located at Labang, Ambaguio, Nueva Vizcaya  1.	The Provincial Government of Nueva Vizcaya, through the 2020 20% Development Fund intends to apply t</t>
  </si>
  <si>
    <t xml:space="preserve"> BEST AND FINAL OFFER for the One (1) Lot Supply and Delivery Five Hundred Sixty-Seven Thousand Nine Hundred (567,900) tablets of Sevelamer Carbonate, 800mg Reference:  BFO No. 20-001 Source of Fund:   Corporate Operating Budget (COB) The National Kidney a</t>
  </si>
  <si>
    <t xml:space="preserve"> INVITATION TO BID FOR  CY 2020 ENHANCED NATIONAL GREENING PROGRAM- HAULING OF SEEDLINGS UNDER MECHANIZED AND MODENIZED FOREST NURSERY DENR-ENGP-MMFN-HAULING-2020-001 1.	The Department of Environment and Natural Resources, Regional Office No. 5, Rawis, Leg</t>
  </si>
  <si>
    <t xml:space="preserve"> Republic of the Philippines                                                     PROVINCE OF SAMAR                                                         INVITATION TO BID                                                       Supply of Fishing Gears 1) Th</t>
  </si>
  <si>
    <t xml:space="preserve"> 4 ROLLS PE PIPE 1'' Ø 3 ROLLS PE PIPE 2 2 1/2'' Ø  5 ROLLS PE PIPE 3/4'' Ø</t>
  </si>
  <si>
    <t xml:space="preserve"> General Requirements, Occupational Safety and Health Program, Site Clearing and Layout, Excavation and Backfilling, Embankment, Reinforcing Steel (Grade 40), Structural Concrete (21Mpa), Masonry Works, Plastering Works, Stainless Railings, Roofing and roo</t>
  </si>
  <si>
    <t xml:space="preserve"> Republic of the Philippines PROVINCE OF NUEVA VIZCAYA Invitation to Bid for the  CONSTRUCTION/IMPROVEMENT OF KAKIDUGUEN FTMR Located at Kasibu, Nueva Vizcaya  1.	The Provincial Government of Nueva Vizcaya, through the 2020 20% Development Fund intends to </t>
  </si>
  <si>
    <t xml:space="preserve"> Republic of the Philippines PROVINCE OF NUEVA VIZCAYA Invitation to Bid for the  CONSTRUCTION OF LANTAP-BAKIR CIS Located at Bagabag, Nueva Vizcaya  1.	The Provincial Government of Nueva Vizcaya, through the 2020 20% Development Fund intends to apply the </t>
  </si>
  <si>
    <t xml:space="preserve"> Republic of the Philippines PROVINCE OF NUEVA VIZCAYA Invitation to Bid for the  CONSTRUCTION OF VISTAHILL CIS Located at Bayombong, Nueva Vizcaya  1.	The Provincial Government of Nueva Vizcaya, through the 2020 20% Development Fund intends to apply the s</t>
  </si>
  <si>
    <t xml:space="preserve"> INVITATION TO APPLY FOR ELIGIBILITY AND TO BID The Municipal Government of Piñan, Zamboanga del Norte through its Bids and Awards Committee (BAC), invites legitimate suppliers/dealers  to apply for eligibility and if found eligible, to bid for the hereund</t>
  </si>
  <si>
    <t xml:space="preserve"> Civil work that include concrete works</t>
  </si>
  <si>
    <t xml:space="preserve"> Rain Water Collector 	 			 	 Cost of Bidding Documents: Php 5,000.00					 Source of Funds: SR2020-03-0039459 The significant times and deadlines of procurement activities are shown below: 1. Issuance of Bidding Documents	Deadline: June 8 – June 24, 2020, </t>
  </si>
  <si>
    <t xml:space="preserve"> Completion of Multi-Purpose Building</t>
  </si>
  <si>
    <t xml:space="preserve"> Republic of the Philippines				 Province of Lanao del Norte				 Municipality of Lala				 Office of the Municipal General Services	 			                                                                                      _______________ 				               </t>
  </si>
  <si>
    <t xml:space="preserve"> 1   Unit   CARGO TRUCK                 *(6 Wheeler Dump Truck) – 5.5 – 6 Cu.m. Capacity - Diesel, four strike direct injection engine - Maximum Output: 120 HP – 160 HP - Rotation Speed: 2500 RPM – 2800 RPM - Euro II Emission Standard - 4 Cylinders with wa</t>
  </si>
  <si>
    <t xml:space="preserve"> 530 pcs - Smart prepiad cards, 300s 93 pcs - TNT prepaid cards, 300 65 pcs - GLOBE prepaid cards, 300s 32 pcs - TM prepaid cards, 300s</t>
  </si>
  <si>
    <t xml:space="preserve"> Republic of the Philippines                                                     PROVINCE OF SAMAR                                                        2nd INVITATION TO BID                                               Supply of Electrical Equipment 1) </t>
  </si>
  <si>
    <t xml:space="preserve"> Civil work that include concrete work</t>
  </si>
  <si>
    <t xml:space="preserve"> Completion of 2 Storey MPB with Common Toilet and Pantry</t>
  </si>
  <si>
    <t xml:space="preserve"> Construction of Concrete Road:  Length= 5,280.00m; Width= 5.00m; Thickness= 0.23m; Area= 28,230.424 sq.m. Double Barrel: 3x3x12, Single Barrel: 3x3x10</t>
  </si>
  <si>
    <t xml:space="preserve"> Republic of the Philippines CENTRAL BICOL STATE UNIVERSITY OF AGRICULTURE-SIPOCOT 	Impig, Sipocot, Camarines Sur INVITATION TO BID FOR SUPPLY AND DELIVERY OF ONE (1) UNIT PASSENGER VAN 1.	The CENTRAL BICOL STATE UNIVERSITY OF AGRICULTURE (CBSUA) - SIPOCOT</t>
  </si>
  <si>
    <t xml:space="preserve"> Republic of the Philippines PROVINCE OF NUEVA VIZCAYA Invitation to Bid for the  CONSTRUCTION OF MAGA-AD BAKIR CIS Located at Bagabag, Nueva Vizcaya  1.	The Provincial Government of Nueva Vizcaya, through the 2020 20% Development Fund intends to apply the</t>
  </si>
  <si>
    <t xml:space="preserve"> Description   Republic of the Philippines Province of Quezon Municipality of San Francisco BIDS &amp; AWARDS COMMITTEE INVITATION TO APPLY FOR ELIGIBILITY AND TO BID The Municipality of San Francisco through 20% Development  Fund intends to apply the sum of O</t>
  </si>
  <si>
    <t xml:space="preserve"> Item Description                     Quantity                Unit of Use Printer Multi-Function Inkjet         2                            Unit Laptop: X409UA HT731T, Core     4                            Unit i3/4GB/1TB HDD,NO OS/14"</t>
  </si>
  <si>
    <t xml:space="preserve"> CONSTRACTION OF WATER SYSTEM</t>
  </si>
  <si>
    <t xml:space="preserve"> INVITATION TO RE-BID FOR THE  SUPPLY AND DELIVERY OF GIS DESKTOP SOFTWARE PR No. 27611-001  1.	The Metropolitan Cebu Water District, through the Corporate Budget of 2020 intends to apply the sum of: PR No.	Description	Qty.	Unit Price	Approved Budget  for </t>
  </si>
  <si>
    <t xml:space="preserve"> Construction of road</t>
  </si>
  <si>
    <t xml:space="preserve"> Republic of the Philippines Province of Negros Occidental CITY OF TALISAY INVITATION TO BID  FOR THE Purchase of Eight (8) units of Assault Rifle   For the use of Talisay PNP of the   City of Talisay 1.	The City of Talisay, through the PNP Capital Outlay </t>
  </si>
  <si>
    <t xml:space="preserve"> INVITATION TO BID June 4, 2020 The Eastern Visayas Regional Medical Center, through its Bids and Awards Committee (BAC A) invites suppliers/manufacturers/distributors to bid for the hereunder project:  Item/Description	Approved Budget for the Contract (AB</t>
  </si>
  <si>
    <t xml:space="preserve"> INVITATION TO RE-BID FOR THE  SUPPLY AND DELIVERY OF COMPUTER NOTEBOOK PR Nos. 27619-001 to 27619-003 1.	The Metropolitan Cebu Water District, through the Corporate Budget of 2020 intends to apply the sum of: PR No.	Description	Qty.	Unit Price	Approved Bu</t>
  </si>
  <si>
    <t xml:space="preserve"> Republic of the Philippines Province of Camarines Sur MUNICIPALITY OF PAMPLONA BIDS AND AWARDS COMMITTEE Poblacion, Pamplona, Camarines Sur 4416 Invitation to Bid for Construction of Bleachers and Multi-Purpose Hall (TESDA, Senior Citizen Building and oth</t>
  </si>
  <si>
    <t xml:space="preserve"> INVITATION TO RE-BID FOR THE  SUPPLY, DELIVERY, AND INSTALLATION OF FIRE SUPRESSION SYSTEM PR No. 27388-001 1.	The Metropolitan Cebu Water District, through the Corporate Budget of 2020 intends to apply the sum of: PR No.	Description	Qty.	Unit Price	Appro</t>
  </si>
  <si>
    <t xml:space="preserve"> Construction of Concrete Road Length= 2,882.838m, Width= variable, Thickness= 0.23m, Area= 4,800.271 sq.m. Approach Bridge: Length= 496.479m, Width= 6.7m, Thickness= 0.28m, Area= 3,326.409 sq.m.</t>
  </si>
  <si>
    <t xml:space="preserve"> Materials for the Improvement of Manpower Development Center ( Sports Center) Pob. Ilaud, Zarraga, Iloilo</t>
  </si>
  <si>
    <t xml:space="preserve"> Acquisition of IT Equipments for Department of Education Items: 1. 5 units Desktop Computers     Specifications:        Core i3        8GB DDR4        1 TB HDD SATA        Casing/Power Supply 650 watts        USB Keyboard &amp; Mouse        18.5 LED Monitor  </t>
  </si>
  <si>
    <t xml:space="preserve"> INVITATION TO RE-BID FOR THE  SUPPLY, DELIVERY, AND INSTALLATION OF LOCAL AREA NETWORK (LAN) STRUCTURED CABLING IN THE NEW MSSD BUILDING, TALAMBAN, CEBU CITY PR No. 27608-001 1.	The Metropolitan Cebu Water District, through the Corporate Budget of 2020 in</t>
  </si>
  <si>
    <t xml:space="preserve"> Republic of the Philippines				 Province of Lanao del Norte				 Municipality of Lala				 Office of the Municipal General Services				 				_________________________ 				Date CANVASS				 				 				 	Sir/Madam:			 		Please quote your lowest price for the foll</t>
  </si>
  <si>
    <t xml:space="preserve"> Tablet Specs. -WiFi Ready -3G or 4G -7" Display Screen (1024 x 600) -Camera -GPS Chip (not assisted GPS through the Net) -at least Dual Core Processor or Higher -Android 4.1 or Higher -USB (to connect with the computer) -Li-ion 4000 Mah Battery (1200 hrs.</t>
  </si>
  <si>
    <t xml:space="preserve"> Concreting of Road: Width= 5m, thickness= 0.23m, total length= 1.580 Km/3.160 Lane-Km Construction of Box Culvert, Drainage and Provision of Hazard Markers and Reflectorized Pavement Markings</t>
  </si>
  <si>
    <t xml:space="preserve"> Construction of Concrete Road Length= 5,689.80m, Width= variable, Thickness= 0.23m, Area= 19,117.45 sq.m. (including flare) Drainage (Culvert Pipes 60" dia &amp; 36" dia) Length= 9.00 ln.m. &amp; 24.00 ln.m.</t>
  </si>
  <si>
    <t xml:space="preserve"> SUPPLY AND DELIVERY OF MEDICAL EQUIPMENT ACCESSORIES FOR INFUSION PUMPS (JMS AND TERUMO BATTERIES) - Order of payment for Bid Docs will be available at GSD-Head Office @ 10th Floor Makati City Hall Bldg. 2.  Look for Mr. Reden Villanueva. - A  complete se</t>
  </si>
  <si>
    <t xml:space="preserve"> The BAC is conducting the public bidding for this Contract pursuant to GPPB Circular 06-2019 dated July 17, 2019 (Guidelines on the Implementation of Early Procurement Activities) in relation to the provisions of the Republic Act 9184 and its Implementing</t>
  </si>
  <si>
    <t xml:space="preserve"> ITEMS OF WORK INCLUDES: - MANUAL HAULING OF MATERIALS FROM ROADSIDE TO JOBSITE - SITE PREPARATION, CLEARING, &amp; LEVELING - EXCAVATION - REINFORCING STEEL BAR - FORMWORKS - STRUCTURAL CONCRETE - 4" THICK CHB WITH REBARS - PLASTERING WORKS - PLUMBING WORKS -</t>
  </si>
  <si>
    <t xml:space="preserve"> INVITATION TO APPLY FOR ELIGIBILITY TO BID The Local Government Unit of Matag-ob, through its Bids and Awards Committee (BAC), invites Suppliers /Manufacturers/Distributors/ Contractors to apply for eligibility and to bid for the hereunder projects. Name </t>
  </si>
  <si>
    <t xml:space="preserve"> SUPPLY, DELIVERY AND INSTALLATION OF LABORATORY INFORMATION SYSTEM (LIS) FOR OSPITAL NG MAKATI  - Order of payment for Bid Docs will be available at GSD-Head Office @ 10th Floor Makati City Hall Bldg. 2.  Look for Mr. Reden Villanueva. - A  complete set o</t>
  </si>
  <si>
    <t xml:space="preserve"> (LOT.) Project Informative Billboard and Temporary Facilities (LOT.) Heavy Equipment Mobilization and Demobilization (SQ.M.) Clearing and Grubbing (with Stripping) (CU.M.) Roadway Excavation (CU.M.) Embankment (SQ.U.) Sub-grade Preparation (CU.M.) Aggrega</t>
  </si>
  <si>
    <t xml:space="preserve"> PLEASE SEE ATTACHED FILE/S.</t>
  </si>
  <si>
    <t xml:space="preserve"> INVITATION TO BID SUPPLY &amp; DELIVERY OF AIRCONDITIONING UNIT Reference No.: GDS-20-054 The MUNICIPAL GOVERNMENT OF DARAGA, through the Municipal Annual Budget, intends to apply the sum of Two Hundred Eighty Three Thousand Pesos (P283,000.00)  being the App</t>
  </si>
  <si>
    <t xml:space="preserve"> Construction of Concrete Road: Length= 3,323.529m, Width= Variable, Thickness= 0.23m, Area= 13,404.97 sq.m. Drainage (CHB 4" Line Canal) Length= 345.93m, Width= Variable, Height= 1.00m</t>
  </si>
  <si>
    <t xml:space="preserve"> SUPPLY, DELIVERY AND INSTALLATION OF FURNITURE AND FIXTURES FOR THE CITY CIVIL REGISTRATION OFFICE - Order of payment for Bid Docs will be available at GSD-Head Office @ 10th Floor Makati City Hall Bldg. 2.  Look for Mr. Reden Villanueva. - A  complete se</t>
  </si>
  <si>
    <t xml:space="preserve"> (LOT.) Project Informative Billboard and Temporary Facilities (LOT.) Heavy Equipment Mobilization and Demobilization (SQ.M.) Clearing and Grubbing (with Stripping) (CU.M) Roadway Excavation (CU.M.) Embankment (SQ.M.) Sub-grade Preparation (CU.M.) Aggregat</t>
  </si>
  <si>
    <t xml:space="preserve"> SUPPLY AND DELIVERY OF FABRICATED RECYCLABLE BINS - Order of payment for Bid Docs will be available at GSD-Head Office @ 10th Floor Makati City Hall Bldg. 2.  Look for Mr. Reden Villanueva. - A  complete set of Bidding Documents will be available from day</t>
  </si>
  <si>
    <t xml:space="preserve"> 1 UNIT LAPTOP  1 UNIT PROJECTOR WITH SCREEN 1 SALA SET</t>
  </si>
  <si>
    <t xml:space="preserve"> Republic of the Philippines Province of Negros Occidental MUNICIPALITY OF HINOBA-AN Bids and Awards Committee E-mail: municipality_hinobaan@yahoo.com INVITATION TO BID The Municipality of  Hinoba-an, Negros Occidental through its Bids and Awards Committee</t>
  </si>
  <si>
    <t xml:space="preserve"> SUPPLY AND DELIVERY OF MEDICAL, DENTAL AND LABORATORY SUPPLIES FOR VARIOUS DEPARTMENTS/OFFICES OF THE CITY GOVERNMENT OF MAKATI - Order of payment for Bid Docs will be available at GSD-Head Office @ 10th Floor Makati City Hall Bldg. 2.  Look for Mr. Reden</t>
  </si>
  <si>
    <t xml:space="preserve"> SUPPLY, DELIVERY AND INSTALLATION OF DESKTOP AND LAPTOP COMPUTERS FOR VARIOUS OFFICES/DEPARTMENTS OF CITY GOVERNMENT OF MAKATI - Order of payment for Bid Docs will be available at GSD-Head Office @ 10th Floor Makati City Hall Bldg. 2.  Look for Mr. Reden </t>
  </si>
  <si>
    <t xml:space="preserve"> REPAIR OF VARIOUS MEDICAL EQUIPMENT (2 LOTS) LOT 1: REPAIR OF MEDICAL EQUIPMENT (ULTRASOUND MACHINE – HITACHI F37) LOT 2: REPAIR OF MEDICAL EQUIPMENT (INFANT INCUBATOR – WEYER VITA) - Order of payment for Bid Docs will be available at GSD-Head Office @ 10</t>
  </si>
  <si>
    <t xml:space="preserve"> INVITATION TO BID The LOCAL GOVERNMENT UNIT OF SANTO TOMAS,  through its Bids and Awards Committee (BAC), invites suppliers/ manufacturers/distributors/ contractors to apply for eligibility and to bid for the hereunder projects to be undertaken on  June 2</t>
  </si>
  <si>
    <t xml:space="preserve"> SUPPLY AND INSTALLATION OF CCTV CAMERA IN ADMIN AND ACADEMIC BUILDING - Order of payment for Bid Docs will be available at GSD-Head Office @ 10th Floor Makati City Hall Bldg. 2.  Look for Mr. Reden Villanueva. - A  complete set of Bidding Documents will b</t>
  </si>
  <si>
    <t xml:space="preserve"> SUPPLY AND DELIVERY OF STENOGRAPH MACHINES - Order of payment for Bid Docs will be available at GSD-Head Office @ 10th Floor Makati City Hall Bldg. 2.  Look for Mr. Reden Villanueva. - A  complete set of Bidding Documents will be available from day of pos</t>
  </si>
  <si>
    <t xml:space="preserve"> SUPPLY AND DELIVERY OF CRAWLER EXCAVATOR - Order of payment for Bid Docs will be available at GSD-Head Office @ 10th Floor Makati City Hall Bldg. 2.  Look for Mr. Reden Villanueva. - A  complete set of Bidding Documents will be available from day of posti</t>
  </si>
  <si>
    <t xml:space="preserve"> 1.) 	 1 	 - Unit 	 - Motor Vehicle (Passenger Van) 			 			Engine: 2.80 Diesel Manual Transmission, 4 cylinders 			Displacement: 2.755cc 			Maximum Output: 176/3,400 			Fuel Tank Capacity: 70L 			Emission Standard: EURO 4 			Tires: 235/65 R16 			Seating Ca</t>
  </si>
  <si>
    <t xml:space="preserve"> SUPPLY AND DELIVERY OF MATERIALS, TOOLS AND PPES FOR VARIOUS PROJECTS OF EEMO,DEPW AND GSD - Order of payment for Bid Docs will be available at GSD-Head Office @ 10th Floor Makati City Hall Bldg. 2.  Look for Mr. Reden Villanueva. - A  complete set of Bid</t>
  </si>
  <si>
    <t xml:space="preserve"> PLEASE SEE ATTACHED FILES.</t>
  </si>
  <si>
    <t xml:space="preserve"> Description 1. Name of Project: Procurement of 2 (Two) Units Motorcycle for Early Warning and Monitoring Location: Bugasong, Antique Brief Description: 2 Units Motor Cycle, LTO Registered in the name of Municipality of Bugasong Engine Type: 4 Stroke Singl</t>
  </si>
  <si>
    <t xml:space="preserve"> 1	 1.00 	unit	Fabrication of Informative Signs, 3mm thk Aluminum Sheet rectangular shape, 450mm x 750mm incl. Printing w/ 3m Sticker Coated (Ormoc) 2	 3.00 	length	 1-1/2" x 1/4" THK Flat Bar, 6m long (Baybay) 3	 3.00 	length	2" dia. G.i Pipe , Schedule 4</t>
  </si>
  <si>
    <t xml:space="preserve"> CONCRETE WORKS AND ELECTRICAL WORKS MATERIALS: QTY.  UNIT   PARTICULARS 20 SETS 8" AMGLOBE (HALF CLEAR) W/1-1/2 " ADAPTOR 2000 MTRS.  3.5 MM TW WIRE 20  PCS. ELECTRICAL TAPE 10 ROLLS RUBBER TAPE 10 PCS. 1 1/2" G.I. PIPE 20 LENGTHS 10MM RSB 20 PCS. 11W LED</t>
  </si>
  <si>
    <t xml:space="preserve"> 1.	The LGU - CORELLA, BOHOL, through the budget approved by the Sanggunian per Municipal Ordinance No. 2019-15 under 20% development fund intends to apply the sum of PHP 1,658,802.91 being the Approved Budget for the Contract (ABC) to payments under the c</t>
  </si>
  <si>
    <t xml:space="preserve"> DESIGN, LAYOUT AND PRINTING OF MAKATI TOURIST MAPS - Order of payment for Bid Docs will be available at GSD-Head Office @ 10th Floor Makati City Hall Bldg. 2.  Look for Mr. Reden Villanueva. - A  complete set of Bidding Documents will be available from da</t>
  </si>
  <si>
    <t xml:space="preserve"> 1 LOT Equipment and Facilities for the Rehabilitation of Old Engineering Building Item Description: ( Please see the Official Bidding Form for the full specification of each items) [2 UNITS] Wireless spectrometer with Fiber Optic Cable Accessory Concepts </t>
  </si>
  <si>
    <t xml:space="preserve"> Construction of 1.995 lane km. concrete road</t>
  </si>
  <si>
    <t xml:space="preserve"> Construction of Bridge: Length= 45.00m Road: Length= 207.00 ln.m., Width= 6.70 m., Area= 1,386.90 sq.m.</t>
  </si>
  <si>
    <t xml:space="preserve"> PURCHASE OF SUPPLIES AND MATERIALS FOR ACTIVITIES/PROGRAMS OF VARIOUS OFFICES/DEPARTMENTS OF THE CITY GOVERNMENT OF MAKATI - Order of payment for Bid Docs will be available at GSD-Head Office @ 10th Floor Makati City Hall Bldg. 2.  Look for Mr. Reden Vill</t>
  </si>
  <si>
    <t xml:space="preserve"> (SET) RAM PUMP AND PRE-FABRICATED MATERIALS (SET) IMPOUNDING TANK (4M X 1M X 0.80M) (SET)  DIVERSION PIPELINE AND BYPASS (50M AND 60M) (SETS) CATCHMENT TANK (1.20M X 1.2M X 1M) (SET) DRIVE PIPE AND SUPPORT STAND (SETS) RAM PUMP FOUNDATION AND SAFETY COVER</t>
  </si>
  <si>
    <t xml:space="preserve"> 100 REAMS BOND PAPER LONG 75 REAMS Bond paper short 125 pcs. folder long 100 pcs. folder short 100 pcs. colored folder long 50 pcs. expandered folder long hard bond 100 pcs. each envelope long and short 25 boxes fastener 100 pcs.ballpen black, 50 pcs. red</t>
  </si>
  <si>
    <t xml:space="preserve"> Republic of the Philippines Province of Nueva Vizcaya BIDS AND AWARDS COMMITTEE (BAC-Goods) BAC OFFICE, Provincial Capitol, Bayombong, Nueva Vizcaya 	 REQUEST FOR QUOTATION (RFQ) For the Procurement of Vehicle Parts and Accessories  For the Provincial Coo</t>
  </si>
  <si>
    <t xml:space="preserve"> Republic of the Philippines Province of Leyte MUNICIPALITY OF HILONGOS Invitation to Bid  1.	The  Local Government Unit of Hilongos  through its Bids and Awards Committee (BAC), hereby invites Domestic Contractors registered with and classified by the Phi</t>
  </si>
  <si>
    <t xml:space="preserve"> Construction (Completion) of Multi-Purpose Building (360.00 sq.m.) includes repainting of existing structure, replacement of stage flooring, fence (front only), repair/replacement of damage roofing and gutter, construction of stage roofing</t>
  </si>
  <si>
    <t xml:space="preserve"> SUPPLY AND DELIVERY OF COMMERCIAL RICE FOR MAKATI CITY JAIL - Order of payment for Bid Docs will be available at GSD-Head Office @ 10th Floor Makati City Hall Bldg. 2.  Look for Mr. Reden Villanueva. - A  complete set of Bidding Documents will be availabl</t>
  </si>
  <si>
    <t xml:space="preserve"> Office Supplies Expenses</t>
  </si>
  <si>
    <t xml:space="preserve"> SUPPLY AND DELIVERY OF MEALS FOR ACTIVITIES OF VARIOUS DEPARTMENTS/OFFICES OF THE CITY GOVERNMENT OF MAKATI - Order of payment for Bid Docs will be available at GSD-Head Office @ 10th Floor Makati City Hall Bldg. 2.  Look for Mr. Reden Villanueva. - A  co</t>
  </si>
  <si>
    <t xml:space="preserve"> Republic of the Philippines DEPARTMENT OF PUBLIC WORKS AND HIGHWAYS BATANGAS II  DISTRICT ENGINEERING OFFICE REGIONAL OFFICE IV-A Kumintang Ilaya, Batangas City INVITATION TO BID For Repair and Maintenance of Road Safety Facilities 1.	The Department of Pu</t>
  </si>
  <si>
    <t xml:space="preserve"> Department of Public Works and Highways (DPWH) Contract ID: 20G00098 Contract Name: Construction of Revetment at Sibalom Bridge (Abutment B Downstream and Upstream) Pangpang, Sibalom, Antique Location of the Contract: Sibalom, Antique --------------------</t>
  </si>
  <si>
    <t xml:space="preserve"> PRINTING OF MAKATI ANNUAL REPORTS 2019 WITH DOCUMENTARY ENVELOPE - Order of payment for Bid Docs will be available at GSD-Head Office @ 10th Floor Makati City Hall Bldg. 2.  Look for Mr. Reden Villanueva. - A  complete set of Bidding Documents will be ava</t>
  </si>
  <si>
    <t xml:space="preserve"> SUPPLY AND DELIVERY OF FOOD SUPPLIES FOR FOOD ASSISTANCE AND NUTRI-BATA PROJECTS (2 LOTS) LOT 1: SUPPLY AND DELIVERY OF COMMERCIAL RICE LOT 2: SUPPLY AND DELIVERY OF OTHER FOOD SUPPLIES (EGGS-MONGGO) - Order of payment for Bid Docs will be available at GS</t>
  </si>
  <si>
    <t xml:space="preserve"> PRINTING OF MATERIALS AND FORMS FOR VARIOUS DEPARTMENTS - Order of payment for Bid Docs will be available at GSD-Head Office @ 10th Floor Makati City Hall Bldg. 2.  Look for Mr. Reden Villanueva. - A  complete set of Bidding Documents will be available fr</t>
  </si>
  <si>
    <t xml:space="preserve"> Republic of the Philippines LOCAL GOVERNMENT UNIT OF GINGOOG BIDS AND AWARDS COMMITTEE Gingoog City 	INVITATION TO BID	 PURCHASE OF CONSTRUCTION MATERIALS AND SUPPLIES FOR FENCING @ BARANGAY LUNOTAN, GINGOOG CITY UNDER P.R. NO. 20-20-02-044 (CHARGED TO: 2</t>
  </si>
  <si>
    <t xml:space="preserve"> Republic of the Philippines LOCAL GOVERNMENT UNIT OF GINGOOG BIDS AND AWARDS COMMITTEE Gingoog City 	INVITATION TO BID	 PURCHASE OF DAIRY STOCKS UNDER P.R. NO. 50-20-05-042 (CHARGED TO: 20&amp; DF DAIRY PRODUCTION (DAIRY STOCKS, HF X JERSEY, PREGNANT)) 1.	The</t>
  </si>
  <si>
    <t xml:space="preserve"> Republic of the Philippines Province of Nueva Vizcaya BIDS AND AWARDS COMMITTEE (BAC-Goods) BAC OFFICE, Provincial Capitol, Bayombong, Nueva Vizcaya 	 REQUEST FOR QUOTATION (RFQ) For the Procurement of Vehicle Parts and Accessories  For the Sangguniang Pa</t>
  </si>
  <si>
    <t xml:space="preserve"> Installation of 4,000 liters Rainwater Collector</t>
  </si>
  <si>
    <t xml:space="preserve"> INVITATION TO BID  Supply and Delivery of (9,375) Nine Thousand Three Hundred Seventy-Five Heads Free Ranged Chicken and (1,768) One Thousand Seven Hundred Sixty-Eight Heads Ducks for use under Livestock and Poultry Program 	The Department of Agriculture </t>
  </si>
  <si>
    <t xml:space="preserve"> RE-INVITATION TO BID  The Department of Public Works and Highways – Cordillera Administrative Region, through its Bids and Awards Committee (BAC) for Goods, invites suppliers to submit bids for the contract below: Contract ID No.:	20GP00033 Contract Name:</t>
  </si>
  <si>
    <t xml:space="preserve"> PROPOSED CONSTRUCTION OF COLUMBARIUM COMPLEX LOCATED AT KALAYAAN AVENUE CORNER N. GARCIA STREET, BARANGAY VALENZUELA, MAKATI CITY - Order of payment for Bid Docs will be available at GSD-Head Office @ 10th Floor Makati City Hall Bldg. 2.  Look for Mr. Red</t>
  </si>
  <si>
    <t xml:space="preserve"> 5 UNIT OF GARBAGE BIN USE FOR GARBAGE COLLECTION</t>
  </si>
  <si>
    <t xml:space="preserve"> INVITATION TO BID  Supply and Delivery of Poultry Feeds for use under Livestock and Poultry Program 	The Department of Agriculture Regional Field Office No. 5, through the General Appropriation Act   for CY 2020-Livestock intends to apply the sum of One M</t>
  </si>
  <si>
    <t xml:space="preserve"> Republic of the Philippines DEPARTMENT OF PUBLIC WORKS AND HIGHWAYS OFFICE OF THE REGIONAL DIRECTOR Region VII                                                                                                                        South Road Properties (SR</t>
  </si>
  <si>
    <t xml:space="preserve"> SUPPLY AND DELIVERY OF BIRTHDAY CAKES FOR THE CITY EMPLOYEES THROUGH ORDERING AGREEMENT - Order of payment for Bid Docs will be available at GSD-Head Office @ 10th Floor Makati City Hall Bldg. 2.  Look for Mr. Reden Villanueva. - A  complete set of Biddin</t>
  </si>
  <si>
    <t xml:space="preserve"> BATCH 1 Item 	Quantity	Unit of	Item Description	 No.		Issue		 1	480	bag	Bt Corn Seeds P3774YHR	 2	480	liter	Organic Foliar Fertilizer (11-3-4)	 3	960	bag	Complete Fertilizer (14-14-14)	 4	720	bag	Urea (46-0-0)	 5	300	liter	Glyphosate Herbicide	 BATCH 2 It</t>
  </si>
  <si>
    <t xml:space="preserve"> UNIVERSITY OF THE PHILIPPINES MANILA The Health Sciences Center 8/F PGH Central Block Bldg,  Taft Avenue, Manila INVITATION TO BID PROPOSED REHABILITATION AND RENOVATION OF  REMAINING BASIC SCIENCE LABORATORIES SALCEDO HALL, COLLEGE OF MEDICINE UNIVERSITY</t>
  </si>
  <si>
    <t xml:space="preserve"> Supply and Delivery: 37,760 Liters of Diesel</t>
  </si>
  <si>
    <t xml:space="preserve"> CONCRETING OF BARANGAY GACAB FMR Contract Location:                    Barangay Gacab, Malibcong, Abra Brief Description:                     Concreting of Roads using PCCP (Unreinforced, 0.20m thk.,) The DPWH-Abra District Engineering Office reserves the</t>
  </si>
  <si>
    <t xml:space="preserve"> Acquisition of bills of materials for construction/fabrication of block tienda Fabrication and Installation of Block Tienda		 Rectangular Tube, 1.5mm x 2" x 3" (B.I)	343	pcs. Cement Fiber Board, 1/2" x 4' x 8' 	180	sheets Marine Plywood, 1/4" x 4' x 8'	24</t>
  </si>
  <si>
    <t xml:space="preserve"> INVITATION TO BID FOR CW-APAYAO-LARIP-02-2020 1.	The National Irrigation Administration – Cordillera Administrative Region (NIA-CAR), through the General Appropriations Act (GAA) 2020 intends to apply the sum Fifty Five Million One Hundred Sixty Seven Tho</t>
  </si>
  <si>
    <t xml:space="preserve"> NOTICE OF PROCUREMENT June 5, 2020 Notice is hereby given that the Department of Public Works and Highways (DPWH) Dinagat Islands District Engineering Office is undertaking the procurement of (20CSNE0001) CONSULTING SERVICES FOR THE CONDUCT OF SOIL EXPLOR</t>
  </si>
  <si>
    <t xml:space="preserve"> Invitation to Bid for the  CONSTRUCTION OF MULTI-PURPOSE HALL/EVACUATION CENTER-PHASE V AT BUGALLON PROPER, RAMON, ISABELA 1.	The LGU-RAMON, ISABELA, through the Budget for the contract approved by the Sanggunian intends to apply the sum of P15,000,000.00</t>
  </si>
  <si>
    <t xml:space="preserve"> 1.	The Capiz Provincial Government, through the GOP CY-2020 intends to apply the total amount of Nine Million Eight Hundred Thousand Pesos (Php 9,800,000.00) being the Approved Budget for the Contract (ABC).  Bids received in excess of the ABC shall be au</t>
  </si>
  <si>
    <t xml:space="preserve"> INVITATION TO BID FOR CW-KALINGA-UCRIS-03-2020 1.	The National Irrigation Administration – Cordillera Administrative Region (NIA-CAR), through the General Appropriations Act (GAA) 2020 intends to apply the sum Sixteen Million Three Hundred  Thousand Nine </t>
  </si>
  <si>
    <t xml:space="preserve"> Supply and Delivery: 27,660 Liters of Diesel</t>
  </si>
  <si>
    <t xml:space="preserve"> Republic of the Philippines City of Iriga Main City Hall Building, Sta. Cruz Sur Telefax No. (054) 299-1933 OFFICE OF THE BIDS AND AWARDS COMMITTEE May 29, 2020 INVITATION TO BID The City of Iriga, through its Bids and Awards Committee (BAC) hereby invite</t>
  </si>
  <si>
    <t xml:space="preserve"> Medical, Dental, &amp; Laboratory Supplies</t>
  </si>
  <si>
    <t xml:space="preserve"> Medical, Dental &amp; Supplies</t>
  </si>
  <si>
    <t xml:space="preserve"> Republic of the Philippines Province of Ilocos Norte Municipality of Burgos BARANGAY POBLACION INVITATION TO BID FOR  Purchase of Motor Vehicle 1.	The Barangay Government of Poblacion, Burgos, Ilocos Norte, through the CY, 2019 and 2018 Supplemental Budge</t>
  </si>
  <si>
    <t xml:space="preserve"> Civil Works that include concrete work</t>
  </si>
  <si>
    <t xml:space="preserve"> DESCRIPTION LOCAL GOVERNMENT UNIT - MUNICIPALITY OF BACOLOR INVITATION TO APPLY FOR ELIGIBILITY AND TO BID The Local Government Unit - Municipality of Bacolor, Bacolor, Pampanga, through the Bids and Award Committee (BAC), invites contractors/suppliers to</t>
  </si>
  <si>
    <t xml:space="preserve"> Republic of the Philippines 	CITY OF SAN PEDRO Province of Laguna BIDS AND AWARDS COMMITTEE INVITATION TO APPLY FOR ELIGIBILITY AND TO BID PR NO. 0390 1.	The City Government of San Pedro, Laguna through the 2020 Budget Approved by the Sangguniang Panglung</t>
  </si>
  <si>
    <t xml:space="preserve"> INVITATION TO BID FOR CW-APAYAO-LARIP-01-2020 1.	The National Irrigation Administration – Cordillera Administrative Region (NIA-CAR), through the General Appropriations Act (GAA) 2020 intends to apply the sum Fifty Million Two Hundred Ninety Five Thousand</t>
  </si>
  <si>
    <t xml:space="preserve"> Lot 1  LCD Projector 5 Sets • 3LCD Technology, RGB liquid crystal shutter • White and Colour Brightness at 3,300lm • SVGA resolution, 800 x 600, 4:3 • High contrast ratio of 15,000:1 • Horizontal keystone slider • 10,000 hours lamp life in eco-mode • Opti</t>
  </si>
  <si>
    <t xml:space="preserve"> Supply of Security Services for 36 guards (12 hours) duty for 5 months to be rendered at Municipal Hall, Public Market and Old Mun. Bldg. Compound</t>
  </si>
  <si>
    <t xml:space="preserve"> Acquisition of Construction materials: Formworks			 Marine Plywood, 1/4" x 4' x 8'	2	sheets	 9pcs.-2" x 2" x 10' Mahogany Lumber	30	bd.ft.	  CWN #4	1	kg.	  CWN #2-1/2	1	kg.	   	 Concrete Works			 Portland Cement	18	pcs.	   Sand (Fine Sand)	1.5	pcs.	  Grav</t>
  </si>
  <si>
    <t xml:space="preserve"> CONCRETING OF BARANGAY PACQUED FMR Contract Location:                    Barangay Pacqued, Malibcong, Abra Brief Description:                     Concreting of Roads using PCCP (Unreinforced, 0.20m thk.,) The DPWH-Abra District Engineering Office reserves</t>
  </si>
  <si>
    <t xml:space="preserve"> Improvement of Multipurposed Building at Brgy, Antipolo, Rizal, Laguna</t>
  </si>
  <si>
    <t xml:space="preserve"> Republic of the Philippines Province of Eastern Samar Municipality of Mercedes OFFICE OF THE BIDS AND AWARDS COMMITTEE (BAC) INVITATION TO BID FOR THE PROCUREMENT OF ASSORTED GOODS AS FOOD ASSISTANCE TO SENIOR CITIZENS INVITATION TO BID NO. GOODS-2020-06-</t>
  </si>
  <si>
    <t xml:space="preserve"> Republic of the Philippines 	CITY OF SAN PEDRO Province of Laguna BIDS AND AWARDS COMMITTEE INVITATION TO APPLY FOR ELIGIBILITY AND TO BID PR NO. 0406 1.	The City Government of San Pedro, Laguna through the 2020 Budget Approved by the Sangguniang Panglung</t>
  </si>
  <si>
    <t xml:space="preserve"> Contract ID: 20PK0066 Contract Name: Repair / Maintenance of DPWH Building, Area Parts and Component Building, P-6, Bulanao, Tabuk City, Kalinga   Contract Location: P-6, Bulanao, Tabuk City, Kalinga Brief Description: Repair and Maintenance of Building A</t>
  </si>
  <si>
    <t xml:space="preserve"> 1 - NETWORK VIDEO RECORDER 16CH 2 - HARD DRIVE 14 - IP BULLET CAMERA 10 - POE SWITCH PORTS 1 - LEC TV 32'' 1 - AVR 500W  1 - CIRCUIT BREAKER 1 - AC SURGE PROTECTOR 1 GROUND ROD 5/8'' X4 FEET 9 - METAL PULL BOX 6X8X8 50 - RJ45 CONNECTORS 25 - SERVICE DROP </t>
  </si>
  <si>
    <t xml:space="preserve"> Republic of the Philippines DEPARTMENT OF PUBLIC WORKS AND HIGHWAYS ILOILO 1st  DISTRICT ENGINEERING OFFICE REGIONAL OFFICE VI Fort San Pedro, Iloilo City INVITATION TO BID  The Department of Public Works and Highways, Iloilo 1st District Engineering Offi</t>
  </si>
  <si>
    <t xml:space="preserve"> INVITATION TO BID 1.	The Bangko Sentral ng Pilipinas (BSP), through its Bids and Awards Committee-Security Plant Complex (BAC-SPC), invites Bidders to apply for eligibility and to bid for the hereunder requirement: Name of Requirement/Brief Description:	 </t>
  </si>
  <si>
    <t xml:space="preserve"> QUARTERLY PREVENTIVE MAINTENANCE OF 194 MOTORVEHICLES 1.	The Bureau of Fire Protection Region 8, through the General Appropriations Act CY 2020 intends to apply the sum of One Million Nine Hundred Forty Thousand Pesos (₱1,940,000.00) being the Approved Bu</t>
  </si>
  <si>
    <t xml:space="preserve"> Contract ID: 20PK0067 Contract Name: Repair/Maintenance of DPWH BUILDING, AES Office-Repair Bay and Planning Office, P-6 Bulanao, Tabuk City, Kalinga   Contract Location: P-6, Bulanao, Tabuk City, Kalinga Brief Description: Repair and Maintenance of Build</t>
  </si>
  <si>
    <t xml:space="preserve"> Photocopier, Heavy Duty 4 Sets • Print, copy, scan functions • Auto-duplex printing • Borderless printing up A5 to A3 • ADF Capability with reverting feeder • Scan to USB/ USB Printing • Ethernet (LAN) • Copy/Print Speed (A4): 23 ppm; Duplex: 17 ppm • Cop</t>
  </si>
  <si>
    <t xml:space="preserve"> Invitation to Bid for the Construction of Evacuation Center 1.	The Municipal Government of Lal-lo, through the Performance Challenge Fund (PCF) intends to apply the sum of Two Million Three Hundred Thousand Pesos (Php2,300,000.00) being the Approved Budge</t>
  </si>
  <si>
    <t xml:space="preserve"> INVITATION TO BID FOR THE PROCUREMENT OF  11 UNITS LAPTOP 1.	The Municipal Government of Lal-lo, through the General Fund of 2020 intends to apply the sum of Five Hundred Seventy Thousand Pesos (Php 570,000.00) being the Approved Budget for the Contract (</t>
  </si>
  <si>
    <t xml:space="preserve"> NOTICE TO THE PUBLIC REQUEST FOR PROPOSAL Purchase Request No: PUR20-05-0433 The Philippine General Hospital hereby informs the public that it will be procuring the following item/s through Small Value Procurement:		 2,000 pcs Disposable Stretcher Cover  </t>
  </si>
  <si>
    <t xml:space="preserve"> Contract ID: 20PK0068 Contract Name: Repair/Maintenance of DPWH Building, Adiministrative/Main Building, P-6 Bulanao, Tabuk City, Kalinga   Contract Location: P-6, Bulanao, Tabuk City, Kalinga Brief Description: Repair and Maintenance of Building Approved</t>
  </si>
  <si>
    <t xml:space="preserve"> Item SPL-1: Mobilization/Demobilization Item SPL-2: Sign Board/Billboard Item 103: Structure excavation (mechanical) Item 104: Embankment Item 201: Aggregate Surface Item 311: Concrete works with steel Item 500: Pipe culverts dia (24"dia.) Item 505: Grout</t>
  </si>
  <si>
    <t xml:space="preserve"> Republic of the Philippines Department of Health Cagayan Valley Center for Health Development BATANES GENERAL HOSPITAL Basco, Batanes E-mail Address: bataneshospital@gmail.com INVITATION TO BID ITB NO. 2020-05 Procurement of Calibration Services 1.	The De</t>
  </si>
  <si>
    <t xml:space="preserve"> INVITATION TO BID FOR THE PROCUREMENT OF  OFFICE AND JANITORIAL SUPPLIES  1.	The Municipal Government of Lal-lo, through the General Fund of 2020 intends to apply the sum of Seven Hundred Ninety Thousand Pesos (Php 790,000.00) being the Approved Budget fo</t>
  </si>
  <si>
    <t xml:space="preserve"> REQUEST FOR QUOTATION PROCUREMENT OF THREE (3) UNITS WATER PURIFIER WITH SOLAR BATTERY  AND 100 PIECES FILTER (Negotiated Procurement-Two Failed Biddings) Reference No: 2020-06-008 Sir/Madam: The Municipal Government of Lal-lo through the Bids and Awards </t>
  </si>
  <si>
    <t xml:space="preserve"> 5 LI</t>
  </si>
  <si>
    <t xml:space="preserve"> % of total             Unit            Quantity I. DECLOGGING                                                            51.59                cu.m.             318.00 II. WASTE DISPOSAL                                                    31.53             </t>
  </si>
  <si>
    <t xml:space="preserve"> 2,220,000 pcs each</t>
  </si>
  <si>
    <t xml:space="preserve"> Republic of the Philippines   Province of Sarangani  Municipality of Alabel    Invitation to Bid for the Installation of 120 Watts Solar Lights within Poblacion Area 1.The Municipality of Alabel, through the SARO-OSEC-19-0024229[ In the case of National G</t>
  </si>
  <si>
    <t xml:space="preserve"> Procurement of One (1) Unit 45 hp  4WD Farm Tractor With Disc Plow. DELIVERY TERM: 45 Calendar days FOR MORE DETAILS KINDLY DOWNLOAD ASSOCIATED COMPONENTS</t>
  </si>
  <si>
    <t xml:space="preserve"> 50 UNITS REFILL OF FIRE EXTINGUISHER 20 UNITS PURCHASE OF HANDHELD RADIO</t>
  </si>
  <si>
    <t xml:space="preserve"> Supply and Delivery of Medical, Dental and Laboratory Supplies for City Health Office</t>
  </si>
  <si>
    <t xml:space="preserve"> BIDS AND AWARDS COMMITTEE-SECURITY PLANT COMPLEX 05 June 2020 INVITATION FOR NEGOTIATION 	 Name of Requirement/ Brief Description: One (1) Lot Supply and Installation of New Process Lines at the Gold Refinery, BSP, Quezon City, as per BSP Scope of Work an</t>
  </si>
  <si>
    <t xml:space="preserve"> Rebid: Supply and Delivery of Various Drugs and Medicines for Community Hospital- 3rd Quarter (GF-2020)</t>
  </si>
  <si>
    <t xml:space="preserve"> Provide Labor, Materials and Equipment for the Construction of Feed Mill Facility Location: DARCES Manambulan, Tugbok District, Davao City Note: Plans and Designs could be downloaded at the DA Website at davao.da.gov.ph or see BAC Secretariat office. FOR </t>
  </si>
  <si>
    <t xml:space="preserve"> Rebid: Supply and Delivery of Various Drugs and Medicines including Anti-rabies Vaccines for Community Hospital- 3rd Quarter (GAD-2020)</t>
  </si>
  <si>
    <t xml:space="preserve"> Rebid: Supply and Delivery of Drugs and Medicines for City Health Office-3rd Quarter</t>
  </si>
  <si>
    <t xml:space="preserve"> Procurement Of Five (5) Units Brand New Hauling Truck Package 1:	Three (3) Units Brand New Hauling Truck (Six Wheeler Drop-Side Body Type) DELIVERY TERM: 60 Calendar days Package 2:	Two(2) Units Brand New Hauling Truck (4WD Double Cab) DELIVERY TERM: 60 C</t>
  </si>
  <si>
    <t xml:space="preserve"> Supply, Delivery and Installation of Digital X-Ray Machine for Community Hospital</t>
  </si>
  <si>
    <t xml:space="preserve"> Contract ID: 20PF0066 Contract Name: Repair and Maintenance of Road Safety Facilities Brief Description: Traffic Engineering and Management System Approved Budget for the Contract (ABC): PhP 4,971,000.00 Source of Funds: FY 2020 GAA AMWP Contract Duration</t>
  </si>
  <si>
    <t xml:space="preserve"> Supply and Delivery of Medical and Laboratory Supplies for Community Hospital- GAD 2020</t>
  </si>
  <si>
    <t xml:space="preserve"> Concreting of Alley RoadC</t>
  </si>
  <si>
    <t xml:space="preserve"> Concreting of Alley Road</t>
  </si>
  <si>
    <t xml:space="preserve"> Supply and Delivery of Medical and Laboratory Supplies for Community Hospital- GF 2020</t>
  </si>
  <si>
    <t xml:space="preserve"> Republic of the Philippines DEPARTMENT OF SCIENCE AND TECHNOLOGY PHILIPPINE SCIENCE HIGH SCHOOL - SOCCSKSARGEN REGION CAMPUS Bids and Awards Committee INVITATION TO BID FOR THE PROCUREMENT OF 50 LAPTOP COMPUTERS 1.	The Philippine Science High School SOCCS</t>
  </si>
  <si>
    <t xml:space="preserve"> Republic of the Philippines											 	Office of the Municipal Mayor											 	BIDS AND AWARDS COMMITTEE											 	Binmaley, Pangasinan											 												 	Invitation to Bid											 	 for 											 	Completion of Multi-Purpose/Evacuation Ce</t>
  </si>
  <si>
    <t xml:space="preserve"> Republic of the Philippines Province of Ilocos Norte Municipality of Burgos BARANGAY POBLACION INVITATION TO BID FOR  PROCUREMENT OF HANDHELD RADIO 1.	The Barangay Government of Poblacion, Burgos, Ilocos Norte, through the CY 2018 and 2019, Supplemental B</t>
  </si>
  <si>
    <t xml:space="preserve"> Republic of the Philippines BANGSAMORO AUTONOMOUS REGION IN MUSLIM MINDANAO Province  of  Lanao  del  Sur INVITATION TO BID  The Provincial Government of  Lanao del Sur through its  Bids and Awards Committee (BAC) invites accredited  suppliers  for the pr</t>
  </si>
  <si>
    <t xml:space="preserve"> INVITATION TO BID 2020-CS-01 The Department of Public Works and Highways QUEZON III DISTRICT ENGINEERING OFFICE, Catanauan, Quezon, through the FY2020 PDE FUND intends to apply the amount of ₱ ₱2,500,000.00  being the Approved Budget for the Contract (ABC</t>
  </si>
  <si>
    <t xml:space="preserve"> Purchase of Lot for Multi-purpose Activity Center in Barangay Manhanip, Malinao, Aklan</t>
  </si>
  <si>
    <t xml:space="preserve"> Republic of the Philippines DEPARTMENT OF PUBLIC WORKS AND HIGHWAYS OFFICE OF THE DISTRICT ENGINEER Aklan District Engineering Office Toting Reyes St., Kalibo, Aklan The Department of Public Works and Highways (DPWH), Aklan District Engineering Office, Ka</t>
  </si>
  <si>
    <t xml:space="preserve"> REQUEST FOR EXPRESSION OF INTEREST (REI) 1.	The Department of Public Works and Highways, Surigao del Sur 2nd District Engineering Office, Bislig City through PDE 2020, intends to apply the sum of Php 600,000.00 inclusive of 5% contingency being the Approv</t>
  </si>
  <si>
    <t xml:space="preserve"> INVITATION TO BID 2020-CS-02 The Department of Public Works and Highways QUEZON III DISTRICT ENGINEERING OFFICE, Catanauan, Quezon, through the FY2020 PDE FUND intends to apply the amount of ₱ ₱6,000,000.00  being the Approved Budget for the Contract (ABC</t>
  </si>
  <si>
    <t xml:space="preserve"> Description: 1.Super Carry Van 2. Yr. Model 2018 3. 5 doors 4. Passenger capacity-9 including driver 5. Milleage Reaching-not to exceed 8,000 Kms. 6. Fully loaded- Pioneer car stereo and 4 speakers - Aricon front and rear - heavy tinted 7. Engine-0.8 Lite</t>
  </si>
  <si>
    <t xml:space="preserve"> 1.	The Philippine Institute for Development Studies (PIDS), through the 2020 Corporate Operating Budget intends to apply the sum of Two Million Four Hundred Thousand Pesos &amp; 00/100 (PHP2,400,000.00), being the Approved Budget for the Contract (ABC) to pay</t>
  </si>
  <si>
    <t xml:space="preserve"> REQUEST FOR EXPRESSION OF INTEREST (REI) 1.	The Department of Public Works and Highways, Surigao del Sur 2nd District Engineering Office, Bislig City through PDE 2020, intends to apply the sum of Php 1,200,000.00 inclusive of 5% contingency being the Appr</t>
  </si>
  <si>
    <t xml:space="preserve"> 1.	The Department of Agrarian Reform, hereinafter called “Procuring Entity”, has received financing (hereinafter called “funds”) from the Government of the Philippines (GOP) through the General Appropriations Act of 2020 hereinafter called the “Funding So</t>
  </si>
  <si>
    <t xml:space="preserve"> Temporary Facility 1 LS Mobilization/Demobilization 1 LS Surplus common excavation 2,570.60 cu.m. Embankment 663.80 cu.m. Sub Grade Preparation 3,850.00 sq.m. Aggregate Sub-Base Course 412.5 cu.m. Portland Cement Concrete Pavement 2,750 sq.m.</t>
  </si>
  <si>
    <t xml:space="preserve"> Labor and Materials for the Concreting of Road (Bypass Road) at Brgy. Sta Rita - Brgy. San Francisco, Concepcion, Tarlac Approved Budget for the Contract : P 4,997,378.79 Source of Fund : 20% EDF 2020 The contract to be performed by the successful bidder </t>
  </si>
  <si>
    <t xml:space="preserve"> Republika ng Pilipinas BAYAN NG CORTES Surigao del Sur BIDS AND AWARDS COMMITTEE June 5, 2020 INVITATION TO BID FOR Equipment to be use in the Computerization Program (RPTAS) Phase 1    The Local Government Unit of Cortes through LGU PR. No.  101-186 date</t>
  </si>
  <si>
    <t xml:space="preserve"> Improvement/Construction of Old Public Market Building (Fish &amp; Chicken Section 25 Stalls)</t>
  </si>
  <si>
    <t xml:space="preserve"> Republic of the Philippines Municipality of Palompon  Barangay Cangmoya BIDS AND AWARD COMMITTEE Palompon. Leyte INVITATION TO APPLY FOR ELIGIBILITY AND TO BID N0. 2020-2406-001                                                                              </t>
  </si>
  <si>
    <t xml:space="preserve"> Republic of the Philippines Municipality of Palompon  Barangay Cruz BIDS AND AWARD COMMITTEE Palompon. Leyte INVITATION TO APPLY FOR ELIGIBILITY AND TO BID N0. 2020-2406-001                                                                                  </t>
  </si>
  <si>
    <t xml:space="preserve"> Republic of the Philippines Municipality of Palompon  Barangay Cambinoy BIDS AND AWARD COMMITTEE Palompon. Leyte INVITATION TO APPLY FOR ELIGIBILITY AND TO BID N0. 2020-2406-001                                                                              </t>
  </si>
  <si>
    <t xml:space="preserve"> REPUBLIC OF THE PHILIPPINES PROVINCE OF CEBU MUNICIPALITY OF PINAMUNGAJAN Invitation to Bid for : CONSTRUCTION OF DRAINAGE &amp; PROVISION OF COVER 					(at Brgy. Pandacan) 	 1. The MUNICIPALITY OF PINAMUNGAJAN, through the GENERAL FUND  intends to apply the </t>
  </si>
  <si>
    <t xml:space="preserve"> 1.	The Provincial Government of Ilocos Norte, through the RA 7171 Fund  intends to apply the sum of Ten Million Five Hundred Twenty Thousand Pesos                     (Php  10,520,000.00                    ) being the Approved Budget for the Contract (ABC</t>
  </si>
  <si>
    <t xml:space="preserve"> REPUBLIC OF THE PHILIPPINES PROVINCE OF CEBU MUNICIPALITY OF PINAMUNGAJAN Invitation to Bid for:  CONSTRUCTION OF PUBLIC CEMETERY 			      Purok Sambag, Pandacan, Pinamungajan, Cebu 1.	The MUNICIPALITY OF PINAMUNGAJAN, through the GENERAL FUND  intends to</t>
  </si>
  <si>
    <t xml:space="preserve"> REPUBLIKA NG PILIPINAS KALAKHANG MAYNILA LUNGSOD NG NAVOTAS Pamahaalaang Barangay ng Navotas West H. MONROY ST. NAVOTAS WEST, NAVOTAS CITY Invitation to Bid UPGRADING OF ALLEY WITH IMPROVEMENT OF DRAINAGE CANAL  Int. Davila St., (Near Totoy Bidang Res.) b</t>
  </si>
  <si>
    <t xml:space="preserve"> PLEASE SEE ATTACHED BID DOCUMENTS FOR COMPLETE DETAILS</t>
  </si>
  <si>
    <t xml:space="preserve"> REPUBLIC OF THE PHILIPPINES PROVINCE OF CEBU MUNICIPALITY OF PINAMUNGAJAN Invitation to Bid for : BARANGAY  ROAD CONCRETING AT GUIMBAWIAN 						 1. The MUNICIPALITY OF PINAMUNGAJAN, through the GENERAL FUND  intends to apply the sum of ONE MILLION FIVE  H</t>
  </si>
  <si>
    <t xml:space="preserve"> Procurement ID/Contract ID:	20PI0089 Contract Name:	Maintenance, Repair and Rehabilitation of Infrastructure Facilities and Other Related Activities - Public Buildings: Repair/Maintenance of: 2. DPWH Building Caluttit, Bontoc, Mountain Province a. BOE Mai</t>
  </si>
  <si>
    <t xml:space="preserve"> Procurement ID/Contract ID:	20PI0087 Contract Name:	Replacement of Concrete Pavement along 1. Mt. Province - Ilocos via Tue Road, K0402+000 - K0417+000 (I.S.), 2. Mt. Province - Ilocos via Kayan Road, K0395+872 - K0395+926, K0397+200 - K0397+231.8 Contrac</t>
  </si>
  <si>
    <t xml:space="preserve"> Procurement ID/Contract ID:	20PI0076 Contract Name:	Local Infrastructure Program - Water Management Facilities - Water Supply, Construction of Waterworks Phase I, Mainit and Guina-ang, Bontoc, Mountain Province Contract Location:	Bontoc, Mountain Province</t>
  </si>
  <si>
    <t xml:space="preserve"> Republic of the Philippines Province of Oriental Mindoro MUNICIPALITY OF NAUJAN BIDS &amp; AWARDS COMMITTEE INVITATION TO BID CONCRETING OF ROAD FROM SITIO MADAO, MOTODERAZO TO SAN AGUSTIN, NAUJAN, ORIENTAL MINDORO 1.	The Municipal Government of Naujan – Bids</t>
  </si>
  <si>
    <t xml:space="preserve"> Procurement ID/Contract ID:	20PI0088 Contract Name:	Maintenance, Repair and Rehabilitation of Infrastructure Facilities and Other Related Activities - Flood Control and Drainage Systems, Structures and Related Facilities: Repair/Maintenance of: 1. Drainag</t>
  </si>
  <si>
    <t xml:space="preserve"> Procurement ID/Contract ID:	20PI0082 Contract Name:	Local Program - Local Roads and Bridges, Local Roads, Construction/ Rehabilitation/ Improvement of Local Road, Brgy. Ankileng, Sagada, Mountain Province Contract Location:	Sagada, Mountain Province Brief</t>
  </si>
  <si>
    <t xml:space="preserve"> REPAINTING OF SCHOOL GROUND AND OTHER FACILITY FOR SCHOOL MAINTAINANCE</t>
  </si>
  <si>
    <t xml:space="preserve"> 1.	The Provincial Government of Ilocos Norte, through the RA 7171 Fund  intends to apply the sum of Fifteen Million Pesos   (Php 15,000,000.00                ) being the Approved Budget for the Contract (ABC) to payments under the contract for Procurement</t>
  </si>
  <si>
    <t xml:space="preserve"> Republic of the Philippines Municipality of Palompon  Barangay Mabini BIDS AND AWARD COMMITTEE Palompon. Leyte INVITATION TO APPLY FOR ELIGIBILITY AND TO BID N0. 2020-2406-001                                                                                </t>
  </si>
  <si>
    <t xml:space="preserve"> 52 CS NOODLES 25 CS SARDINES 22 PACKS PLASTIC BAGS MEALS AND SNACKS CARGO TRUCK RENTALS</t>
  </si>
  <si>
    <t xml:space="preserve"> 78 SACKS RICE 28.5 CS NOODLES 15 CS SARDINES 5 DOZEN MIKKI 2 KGS DRIED FISH 5.5 SACKS BROWN SUGAR 370 KGS FISH 44.5 KGS NATIVE COFFEE 1 SACK SALT 10 KGS COOKING OIL 3 DOZ HANDSOAP 6 BOT BLEACH 2 KGS ONIONS 22 PACKS PLASTIC BAGS MEALS AND SNACKS CARGO TRUC</t>
  </si>
  <si>
    <t xml:space="preserve"> 20 SACKS RICE 400 HYGIENE KITS AND FOOD PACKS</t>
  </si>
  <si>
    <t xml:space="preserve"> Republic of the Philippines Province of Negros Occidental City of Sagay BIDS AND AWARDS COMMITTEE Tel. No. 4540196, Telefax 4880187 www.sagay-city.com.ph bacsagaycity@yahoo.com INVITATION TO BID The City of Sagay, through its Bids and Awards Committee (BA</t>
  </si>
  <si>
    <t xml:space="preserve"> Republic of the Philippines PROVINCE OF SOUTHERN LEYTE Municipality of San Juan BIDS AND AWARD COMMITTEE INVITATION TO BID FOR  Supply and Delivery of Medicines The Municipality of San Juan through the General Fund intends to apply the sum of Six Hundred </t>
  </si>
  <si>
    <t xml:space="preserve"> REPUBLIKA NG PILIPINAS KALAKHANG MAYNILA LUNGSOD NG NAVOTAS Pamahaalaang Barangay ng Navotas West H. MONROY ST. NAVOTAS WEST, NAVOTAS CITY Invitation to Bid UPGRADING OF ALLEY WITH IMPROVEMENT OF DRAINAGE CANAL  Int. Davila St. (Near Echol) Brgy. Navotas </t>
  </si>
  <si>
    <t xml:space="preserve"> The City Government of Naga, through the Other Supplies and Materials Account of various offices, intends to apply the sum of One Million Ninety Three Thousand Six Hundred  Eighty Four (P 1,093,684.00) Pesos being the Approved Budget for the Contract (ABC</t>
  </si>
  <si>
    <t xml:space="preserve"> 112 SACKS OF RICE</t>
  </si>
  <si>
    <t xml:space="preserve"> 6 CS SARDINES 25 CS NOODLES 24 SACKS SALT 100 PACKS MSG 7 SACKS SUGAR MEALS AND SNACKS CARGO TRUCK RENTALS</t>
  </si>
  <si>
    <t xml:space="preserve"> Republic of the Philippines Department of Public Works and Highways OFFICE OF THE DISTRICT ENGINEER 		Camarines Sur 4th  District Engineering Office (Formerly; Camarines Sur 3rd DEO) Caraycayon, Tigaon, Camarines Sur Tel. #(054)881-01-07 INVITATION TO BID</t>
  </si>
  <si>
    <t xml:space="preserve"> Name of Contract: Construction of Tanjay City Adolescent Friendly Health Service Center at Barangay Sta. Cruz Viejo IAC Classification: Small "B" for Buildings PCAB Category "D" Duration: 120 C.D. Approved Budget for the Contract: Php 1,118,704.62 xxxxxxx</t>
  </si>
  <si>
    <t xml:space="preserve"> Procurement ID/Contract ID:	20PI0091 Contract Name:	Construction/Rehabilitation of Water Supply/Septage and Sewerage/Rain Water Collectors - Rain Water Collectors in Public Facilities: Rain Water Collectors in Public Facilities - CAR Contract Location:	1.</t>
  </si>
  <si>
    <t xml:space="preserve"> Republic of the Philippines	 Department of Science and Technology PHILIPPINE SCIENCE HIGH SCHOOL – ZAMBOANGA PENINSULA REGION CAMPUS Cogon, Dipolog City INVITATION TO BID FOR THE CONSTRUCTION OF DORMITORY BUILDING III (MALE) REBID Design and Build  APPROV</t>
  </si>
  <si>
    <t xml:space="preserve"> ITEM	QTY	Unit of 	DESCRIPTION NO		Issue	 1	100	bxs	Amlodipine 10 mg tab 100' 2	288	bots	Ascorbic Acid syr 60 mL 3	300	bxs	Ascorbic Acid 500 mg tab 100' 4	201	bxs	B-Complex tab 100' 5	11	bxs	Celecoxib 200 mg cap 100' 6	144	bots	Lagundi syrup 60 mL 7	100	bx</t>
  </si>
  <si>
    <t xml:space="preserve"> Republic of the Philippines Province of Negros Occidental Municipality of Pontevedra BIDS AND AWARDS COMMITTEE INVITATION TO BID  (infrastructure) 	The Municipality of Pontevedra, Negros Occidental through its Bids and Awards Committee (BAC), invites all </t>
  </si>
  <si>
    <t xml:space="preserve"> Procurement ID/Contract ID:	20PI0090 Contract Name:	Convergence and Special Support Program - Construction/ Improvement of Access Roads leading to Declared Tourism Destinations, Bontoc - Mainit - Sagada Road leading to Guina-ang Rice Terraces, Mainit Hots</t>
  </si>
  <si>
    <t xml:space="preserve"> Item No.	Item Description 	Quantity	Unit PROJECT BILLBOARD ITEM B.5:	Project Billboard / Signboard	          1.00 	pc Occupational Safety and Health Program ITEM B.7:	Occupational Safety and Health Program	          1.00 	L.S.  Check Dam A (Rubble Masonry</t>
  </si>
  <si>
    <t xml:space="preserve"> CAGAYAN DE ORO CITY 1ST DISTRICT ENGINEERING OFFICE REGIONAL OFFICE X 	10th RES Compound, Bulua, Cagayan de Oro City 	 INVITATION TO BID The Department of Public Works and Highways – Cagayan de Oro City 1st District Engineering Office, through its Bids an</t>
  </si>
  <si>
    <t xml:space="preserve"> 100	set 	Personal Protective Equipment			 50	set 	Washable Personal Protective Equipment			 320	gal.	Alcohol 70% solution			 200	bots.	Hand Sanitizer x 500ml			 500	packs	Alcogel			 400	boxes	Surgical Face Mask x 50s			 250	pcs.	N95 Mask			 70	bxs.	Latex </t>
  </si>
  <si>
    <t xml:space="preserve"> INVITATION TO BID FOR SUPPLY AND DELIVERY OF VARIOUS WATER SERVICE CONNECTION MATERIALS FOR 2ND QUARTER PROCUREMENT OF CY 2020 1.	The METRO KALIBO WATER DISTRICT, through the Corporate Budget for the contract approved by the governing Boards for the year </t>
  </si>
  <si>
    <t xml:space="preserve"> SUBSCRIPTION OF INTERNET CONNECTIVITY FOR THE PERIOD  JUNE TO DECEMBER 2020 Item Description INTERNET SUBSCRIPTION Connection Type: Fiber Optics             Must be leased-line, enterprise or corporate Bandwidth: can reach up to 300mbps CIR (guaranteed sp</t>
  </si>
  <si>
    <t xml:space="preserve"> l.	The MUNICIPALITY OF GUINAYANGAN, QUEZON, through  the  2020 C.O.  intends to apply the sum of  Forty One Thousand Three Hundred Sixty Two  Pesos  (P 41,362.00) being the Approved Budget for the Contract (ABC) to payments under the contract for Supply a</t>
  </si>
  <si>
    <t xml:space="preserve"> VEHICLE REPAIR</t>
  </si>
  <si>
    <t xml:space="preserve"> 60 SACKS RICE MEALS AND SNACKS HYGIENE KITS CARGO TRUCK RENTALS</t>
  </si>
  <si>
    <t xml:space="preserve"> ITEM NO.	DESCRIPTION	QUANTITY	UNIT 			 PROJECT BILLBOARD  ITEM B.5:	Project Billboard / Signboard	          1.00 	pc Occupational Safety and Health Program ITEM B.7:	Occupational 	          1.00 	L.S. Check Dam A (Rubble Masonry) ITEM 100 (1):	Clearing an</t>
  </si>
  <si>
    <t xml:space="preserve"> INVITATION TO BID Date: June 04, 2020 1.	The Provincial Government of Davao del Sur, through its Bids and Awards Committee (BAC), invites all potential bidders/suppliers to apply to bid for the following goods. Bids received in excess of the ABC shall be </t>
  </si>
  <si>
    <t xml:space="preserve"> 1.	The MUNICIPALITY OF GUINAYANGAN, QUEZON, through  the  2020 MOOE  intends to apply the sum of  Seventy Five Thousand Six Hundred  Pesos (P 75,600.00) being the Approved Budget for the Contract (ABC) to payments under the contract for Supply and Deliver</t>
  </si>
  <si>
    <t xml:space="preserve"> Republic of the Philippines Department of Health Center for Health Development-Bicol BICOL REGION GENERAL HOSPITAL AND GERIATRIC MEDICAL CENTER                                             Cabusao, Camarines Sur INVITATION TO BID  PROCUREMENT OF DRUGS AND </t>
  </si>
  <si>
    <t xml:space="preserve"> Republic of the Philippines Province of Eastern Samar  Municipality of Llorente Invitation to Bid for Supply and Delivery of Assorted Medicines 1.	The Local Government of Llorente, through the Budget Approved by the Respective Sanggunian intends to apply </t>
  </si>
  <si>
    <t xml:space="preserve"> INVITATION TO BID FOR THE SUPPLY, DELIVERY, INSTALLATION AND COMMISSIONING OF ONE (1) UNIT FULLY AUTOMATED SYSTEM FOR COAGULATION 1.	The Eversley Childs Sanitarium and General Hospital, through HFEP 2020 GAA, intends to apply the sum of Seven Million Five</t>
  </si>
  <si>
    <t xml:space="preserve"> Construction of Climate Resilient Flood control project Continuing 2018 Conrazon, Bansud Oriental Mindoro</t>
  </si>
  <si>
    <t xml:space="preserve"> INVITATION TO BID 1.	The Cabagan Water District (CWD) has an approved Program of Work amounting to P 3,904,104.00 from the CWD Corporate Operating Budget Approved by the Board of Directors for the Drilling of Two(2) Production Wells. 2.	The CABAGAN WATER </t>
  </si>
  <si>
    <t xml:space="preserve"> ITEM NO.	DESCRIPTION	QUANTITY	UNIT 			  PROJECT BILLBOARD   ITEM B.5:	Project Billboard / Signboard	          1.00 	pc Occupational Safety and Health Program ITEM B.7:	Occupational Safety and Health Program	          1.00 	L.S. Check Dam A (Rubble Masonry</t>
  </si>
  <si>
    <t xml:space="preserve"> Republic of the Philippines Province of Eastern Samar  Municipality of Llorente Invitation to Bid for Supply and Delivery of Assorted Other Supplies and Materials 1.	The Local Government of Llorente, through the Budget Approved by the Respective Sanggunia</t>
  </si>
  <si>
    <t xml:space="preserve"> 1.	The MUNICIPALITY OF GUINAYANGAN, QUEZON, through  the  Special Education Fund (SEF) intends to apply the sum of  Fifty Two Thousand Pesos (P 52,000.00) being the Approved Budget for the Contract (ABC) to payments under the contract for Supply and Deliv</t>
  </si>
  <si>
    <t xml:space="preserve"> 1.	The MUNICIPALITY OF GUINAYANGAN, QUEZON, through  the  2020 MOOE  intends to apply the sum of  One Hundred Ninety Two Thousand Four Hundred Forty  Pesos                 (P 192,440.00) being the Approved Budget for the Contract (ABC) to payments under t</t>
  </si>
  <si>
    <t xml:space="preserve"> ITEM NO.	ITEM DESCRIPTION	QUANTITY	UNIT PROJECT BILLBOARD			 ITEM B.5:	Project Billboard / Signboard	1.00	pc Occupational Safety and Health Program ITEM B.7:	Occupational Safety and Health Program	1.00	L.S. Check Dam A (Rubble Masonry)		 ITEM 100 (1):	Cle</t>
  </si>
  <si>
    <t xml:space="preserve"> 1.	The OCCIDENTAL MINDORO STATE COLLEGE (OMSC), through the Special Trust Fund intend to apply the sum of Two Million Three Hundred Eighty-Three Thousand Six Hundred Seventy Seven Pesos Only (Php2,383,677.00) being the Approved Budget for the Contract (AB</t>
  </si>
  <si>
    <t xml:space="preserve"> PR. No. 65-2020 (MDRRMO) 1	10	unit	Matress Single 4”thick 2	20	pc	Bed Sheet 80 x 90” 3	20	pc	Pillow 4	20	pc	Pillow Case 5	20	pc	Blanket  6	20	panels	window curtain 7	7	sets	curtain rod with lock &amp; hook  8	6	unit	wall fan 9	2	sets	Double Deck Bed Frame (si</t>
  </si>
  <si>
    <t xml:space="preserve"> Supplies &amp; Devices</t>
  </si>
  <si>
    <t xml:space="preserve"> 150 set of 150watts integrated white  Solar Street lights</t>
  </si>
  <si>
    <t xml:space="preserve"> Item No.	Item Description	Quantity	Unit PROJECT BILLBOARD ITEM B.5:	Project Billboard / Signboard	        1.00 	pc Occupational Safety and Health Program ITEM B.7:	Occupational Safety and Health Program	        1.00 	L.S. INTAKE TANK (1.0m x 1.0m x 1.0 m </t>
  </si>
  <si>
    <t xml:space="preserve"> 1.	The MUNICIPALITY OF GUINAYANGAN, QUEZON, through its Bids and Awards Committee (BAC), will undertake a Negotiated Procurement – Two Failed Bidding for the Supply and Delivery of Food Processing Tools &amp; Equipment for use by the Municipal Agriculture Off</t>
  </si>
  <si>
    <t xml:space="preserve"> CONSTRUCTION OF WATER SUPPLY</t>
  </si>
  <si>
    <t xml:space="preserve"> For the use of Information Management Service 																																					 				 Appliances 																																					  1 				 Smart TV, LED, UHD, 60 inches with wall bracket, 																														 1 				 unit 			 				 tilting </t>
  </si>
  <si>
    <t xml:space="preserve"> Republic of the Philippines DEPARTMENT OF PUBLIC WORKS AND HIGHWAYS NUEVA VIZCAYA 2ND DISTRICT ENGINEERING OFFICE REGIONAL OFFICE II Dupaxdel Norte, Nueva Vizcaya INVITATION TO BID The Department of Public Works and Highways – Nueva Vizcaya Second Distric</t>
  </si>
  <si>
    <t xml:space="preserve"> 5 units</t>
  </si>
  <si>
    <t xml:space="preserve"> ITEM NO.	DESCRIPTION	QUANTITY	UNIT 			 PROJECT BILLBOARD  ITEM B.5:	Project Billboard / Signboard	          1.00 	pc Occupational Safety and Health Program ITEM B.7:	Occupational Safety and Health Program	          1.00 	L.S. INTAKE TANK (1.0m x 1.0m x 1.</t>
  </si>
  <si>
    <t xml:space="preserve"> Waterworks Materials for the construction of Shallow Well Pump</t>
  </si>
  <si>
    <t xml:space="preserve"> see attached</t>
  </si>
  <si>
    <t xml:space="preserve"> Republic of the Philippines Province of Compostela Valley Municipality of Monkayo -o0o- INVITATION TO BID FOR THE PROCUREMENT OF RICE FOR PEACE &amp; ORDER OPERATION  The Municipality of Monkayo, through the GENERL FUND intends to apply the sum of EIGHT HUNDR</t>
  </si>
  <si>
    <t xml:space="preserve"> PR. No. 64-2020 (MDRRMO) 1.	4	pcs	Tire 195/70R15 2.	1	pc	3SM Battery 3.	1	pc	BALDWIN FILTERS BF-5587 fuel 4.	4	pcs	Tire 185R14</t>
  </si>
  <si>
    <t xml:space="preserve"> Gentlemen : Please furnish us with your quotation on or before June 8, 2020 for the supply and delivery of the following item/s: 	 15 units	TIRE (185-14-8) Specifications: •Diameter - 185 •Rim - 14 •Ply - 8 “Including wheel alignment” End Users: SSS Dilim</t>
  </si>
  <si>
    <t xml:space="preserve"> 1.	The MUNICIPALITY OF GUINAYANGAN, QUEZON, through its Bids and Awards Committee (BAC), will undertake a Negotiated Procurement – Two Failed Biddings for the Supply and Delivery of Food Processing Tools &amp; Equipment for use by the Municipal Agriculture Of</t>
  </si>
  <si>
    <t xml:space="preserve"> Bids received in excess of the ABC shall be automatically rejected during the bid opening. The bidders should have completed, within two (2) years from the date of submission and receipt of bids, at least one contract that is similar to the Project. The d</t>
  </si>
  <si>
    <t xml:space="preserve"> Republic of the Philippines Province of Agusan del Norte  CITY OF CABADBARAN     BIDS AND AWARDS COMMITTEE                	 BIDS AND AWARDS COMMITTEE INVITATION TO BID CONSTRUCTION OF DAY CARE CENTER AT BARANGAY SITE (PERPETUAL SUCCOR) 1.	The Local Govern</t>
  </si>
  <si>
    <t xml:space="preserve"> Hauling Vehicle Air-conditioning System,Dual Sun Visor, Power Window,Adjustable Seats Engine Type: Four Cylinder,In-line, Water  Cooling,Gasoline Engine - Euro 4 Displacement 1,498cc/ 1.5L Fuel Tank Capacity : 50 Liters Transmission Gear / Drive Train 5-S</t>
  </si>
  <si>
    <t xml:space="preserve"> 40 SACKS RICE MEALS AND SNACKS CARGO TRUCK RENTALS HYGIENE KITS</t>
  </si>
  <si>
    <t xml:space="preserve"> 1	LABOR AND MATERIALS FOR THE CONSTRUCTION		 	OF CONCRETE PERIMETER FENCE		 	AT VALLEHERMOSO HIGH SCHOOL		 	VALLEHERMOSO, CARMEN, BOHOL		 	SCOPE OF WORKS:		 	Item I: Earth Works		 	           Manual Excavation		 	           Footing (7 units) &amp; Zocalo		 	I</t>
  </si>
  <si>
    <t xml:space="preserve"> See Attach  Associete Documents</t>
  </si>
  <si>
    <t xml:space="preserve"> Description INVITATION TO BID / REQUEST FOR EXPRESSION OF INTEREST The Municipality of Allacapan, through its Bids and Awards Committee (BAC), invites suppliers/distributors/contractors to apply for eligibility and to bid for the hereunder project: Name o</t>
  </si>
  <si>
    <t xml:space="preserve"> MEDICINE SUPPLIES</t>
  </si>
  <si>
    <t xml:space="preserve"> 2,100 PCS 4" CHB 36 PCS 9MM RSB 50 PCS 10MM RSB 98 BAGS PORTLAND CEMENT 8 KLS TIE WIRE 4 CU.M RIVER SAND 8 CU.M MIXED AGGREGATES</t>
  </si>
  <si>
    <t xml:space="preserve"> See Attach Associete Document</t>
  </si>
  <si>
    <t xml:space="preserve"> The Municipality of Bay, Laguna through the GOP/General Fund intends to apply the sum of Three Hundred Eighty Nine Thousand Nine Hundred Thirty Pesos Only (Php, 389,930.00) being the Approved Budget for the Contract (ABC) to payments under the contract fo</t>
  </si>
  <si>
    <t xml:space="preserve"> Reinforcing Steel (12mm O x 6m) Reinforcing Steel (10mm O x 6m) Choker (Selected Aggregates) Glass Beads Chlorinated Rubber Ref. Traffic Paint (White) Thermoplastic Paint White Thermoplastic Paint Yellow Lumber Thermoplastic Epoxy Primer LPG (50 kg) LPG (</t>
  </si>
  <si>
    <t xml:space="preserve"> INVITATION TO BID FOR CIVIL WORKS June 03, 2020 1.	The Department of Public Works and Highways (DPWH), Bukidnon Second District Engineering Office, Pinamaloy, Don Carlos, Bukidnon through its Bids and Awards Committee BAC, invites contractors to submit bi</t>
  </si>
  <si>
    <t xml:space="preserve"> 1	1,700	PCS	            CHB #4		          25.00	42,500.00 2	120	        PCS	            10MM DIA RSB		250.00	30,000.00 3	40	        PCS	            9MM DIA RSB		200.00	8,000.00 4	16	        CU.M	            SAND		1,800.00	28,800.00 5	4	        CU.M	GRAVEL</t>
  </si>
  <si>
    <t xml:space="preserve"> Republic of the Philippines Province of Misamis Oriental Municipality of Initao Invitation to Bid  CONCRETING OF FARM-TO-MARKET ROAD (TUBIGAN) 1.	The Municipal Government of Initao, Misamis Oriental, through its General Fund 2019, intends to apply the sum</t>
  </si>
  <si>
    <t xml:space="preserve"> Invitation to Bid for the Procurement of Various Live Animals   The Agricultural Training Institute (ATI). through the 2017 General Appropriations Act intends to apply the sum of Two Million Seven Hundred Twenty Thousand Pesos (PhP 2,720,000.00) being the</t>
  </si>
  <si>
    <t xml:space="preserve"> Construction Projects-Concreting of Access Road to Evacuation Center Phase 1, Brgy. Awasian, Tandag City</t>
  </si>
  <si>
    <t xml:space="preserve"> Republic of the Philippines Province of Oriental Mindoro MUNICIPALITY OF NAUJAN BIDS AND AWARDS COMMITTEE INVITATION TO BID SUPPLY AND DELIVERY OF MATERIALS TO BE USED IN THE IMPROVEMENT/ REHABILITATION OF DRAINAGE CANAL IN DIFFERENT BARANGAYS, NAUJAN, OR</t>
  </si>
  <si>
    <t xml:space="preserve"> Purchase of Supplies to be officially used in connection with the Alternative Home School Program of the Municipality of Guimbal, Iloilo</t>
  </si>
  <si>
    <t xml:space="preserve"> 41 SACKS RICE 20 CS NOODLES 50 PACKS PLASTIC BAGS MEALS AND SNACKS CARGO TRUCK RENTALS</t>
  </si>
  <si>
    <t xml:space="preserve"> ITEM III.	COLUMN AND FOOTING	 	 	   	24	PCS	12mm Dia RSB	 	              350.00 	          8,400.00   	18	PCS	10mm Dia RSB	 	              250.00 	          4,500.00   	5	KGS	Tie Wire	 	                 90.00 	              450.00   	3	CU.M	Sand	 	       </t>
  </si>
  <si>
    <t xml:space="preserve"> Procurement of Supplies use for MSWDO/Disable</t>
  </si>
  <si>
    <t xml:space="preserve"> Republic of the Philippines Province of Oriental Mindoro MUNICIPALITY OF NAUJAN 	 BIDS &amp; AWARDS COMMITTEE INVITATION TO BID CONCRETING OF ROADS IN DIFFERENT BARANGAYS, NAUJAN, ORIENTAL MINDORO 1.	The Municipal Government of Naujan – Bids and Awards Commit</t>
  </si>
  <si>
    <t xml:space="preserve"> Procurement of Supplies use for MSWDO</t>
  </si>
  <si>
    <t xml:space="preserve"> The Municipality of Bay, through the GOP – 20% Economic Development Fund (EDF) intends to apply the sum of Two Million Two Hundred Thirty Six Eight Hundred Eighty Two Pesos and Sixty Centavos (PHP 2,236,882.62) being the Approved Budget for the Contract (</t>
  </si>
  <si>
    <t xml:space="preserve"> Republic of the Philippines DEPARTMENT OF PUBLIC WORKS AND HIGHWAYS CAGAYAN THIRD DISTRICT ENGINEERING OFFICE REGION II Tuguegarao City The DPWH-CAGAYAN THIRD DISTRICT ENGINEERING OFFICE, through the GAA FY-2020 (DA) intends to apply the sum of P11,940,00</t>
  </si>
  <si>
    <t xml:space="preserve"> Procurement of Supplies use for MSWDO/Senior Citizen</t>
  </si>
  <si>
    <t xml:space="preserve"> ITEM I	PROVISION OF PROJECT BILLBOARD			 	20	Bd.ft	5 – 2’ x 3” x 8’ Good Lumber		55.00	1,100.00 	0.5	Kg	CWN #3		95.00	47.50 	32	Sq.ft	4ft x 8ft Tarpaulin		25.00	800.00 ITEM II	CONCRETE PAVEMENT			 	65	Cu.m	Gravel		1,500.00	97,500.00 	46	Cu.m	Sand		1,800.0</t>
  </si>
  <si>
    <t xml:space="preserve"> Republic of the Philippines DEPARTMENT OF PUBLIC WORKS AND HIGHWAYS CAGAYAN THIRD DISTRICT ENGINEERING OFFICE REGION II Tuguegarao City The DPWH-CAGAYAN THIRD DISTRICT ENGINEERING OFFICE, through the GAA FY-2020 (DA) intends to apply the sum of P35,820,00</t>
  </si>
  <si>
    <t xml:space="preserve"> Solar Streetlights</t>
  </si>
  <si>
    <t xml:space="preserve"> 1	12	pc	Rescue Uniform- Tactical Pants	 	       1,850.00 	     22,200.00  2	12	pc	Rescue Uniform- T- Shirt w/ Color	 	           850.00 	     10,200.00  3	1	pc	Chain Block 5 tons	 	     21,500.00 	     21,500.00  4	12	pc	Rescue Uniform-Jacket	 	       2,1</t>
  </si>
  <si>
    <t xml:space="preserve"> Republic of the Philippines Province of Sorsogon                                            Municipality of Irosin                                        BIDS &amp; AWARDS COMMITTEE CONSTRUCTION OF SLOPE PROTECTION-SAN JULIAN  TABLE OF CONTENTS SECTION I. INV</t>
  </si>
  <si>
    <t xml:space="preserve"> 1 Unit Brand New 12 seater Van Vehicle Specification: - Model Type: 2.5 L. 4 in line DOHC 16 valves - Variable Turbo Charged ( VGS) - Diesel (YD5DDTI) - Bore X Stroke / Displacement / Compression - Ratio: 89mmx100mm / 2488cc /151 - Maximum Torque: 356 1/1</t>
  </si>
  <si>
    <t xml:space="preserve"> Opening of Farm to Market Road Barangay Rizal, Santa, Ilocos Sur</t>
  </si>
  <si>
    <t xml:space="preserve"> Brief Description: Farm to Market Road SPECS: Length of FTMR : 108.00 mts.  width: 3.00 mts. thickness: 20 cm. The significant times and deadlines of procurement activities are shown below:  Activities	Schedule 1. Receipt of LOIs from Prospective Bidders	</t>
  </si>
  <si>
    <t xml:space="preserve"> Description Republic of the Philippines PROVINCE OF ZAMBONAGA DEL NORTE Barangay Tiniguiban Municipality of Leon B. Postigo INVITATION TO BID (003)  June 05, 2020   Municipality of Leon B. Postigo, Zamboanga del Norte invites qualified bidders to apply fo</t>
  </si>
  <si>
    <t xml:space="preserve"> Republic of the Philippines DEPARTMENT OF PUBLIC WORKS AND HIGHWAYS CAGAYAN THIRD DISTRICT ENGINEERING OFFICE REGION II Tuguegarao City The DPWH-CAGAYAN THIRD DISTRICT ENGINEERING OFFICE, through the GAA FY-2020 intends to apply the sum of P2,969,999.99 b</t>
  </si>
  <si>
    <t xml:space="preserve"> Republic of the Philippines DEPARTMENT OF PUBLIC WORKS AND HIGHWAYS CAGAYAN THIRD DISTRICT ENGINEERING OFFICE REGION II Tuguegarao City The DPWH-CAGAYAN THIRD DISTRICT ENGINEERING OFFICE, through the GAA FY-2020 (AMWP) intends to apply the sum of P1,000,0</t>
  </si>
  <si>
    <t xml:space="preserve"> 1	240	PCS	10MM DIA RSB		250.00	60,000.00 2	80	PCS	12MM DIA RSB (VERTICALS)		350.00	28,000.00 3	100	BAGS	PORTLAND CEMENT		300.00	30,000.00 4	10	CU.M	SAND		1,800.00	18,000.00 5	13	CU.M	GRAVEL CHOKER		1,500.00	19,500.00 6	20	SHTS	MARINE PLYWOOD ½”		1,250.00	</t>
  </si>
  <si>
    <t xml:space="preserve"> Construction of Line Canal Mabilbila, Santa, Ilocos Su</t>
  </si>
  <si>
    <t xml:space="preserve"> ITEM I.	TILE INSTALLATION 	 	 	 	   	IA. LOBBY	 	 	 	 	   	170	pcs	TILES .60 X .60	 	       250.00 	    42,500.00   	5	cu.m	FINISHING SAND	 	   2,500.00 	    12,500.00   	60	bags	PORTLAND CEMENT	 	       300.00 	    18,000.00   	10	kgs	TILE GROUT	 	      </t>
  </si>
  <si>
    <t xml:space="preserve"> public biding</t>
  </si>
  <si>
    <t xml:space="preserve"> Republic of the Philippines Department of Public Works and Highways AGUSAN DEL NORTE DISTRICT ENGINEERING OFFICE  REGIONAL OFFICE XIII  J. P. Rosales Avenue, Butuan City    INVITATION TO BID    The Department of Public Works and Highways Agusan del Norte </t>
  </si>
  <si>
    <t xml:space="preserve"> ITEM	ITEM  DESCRIPTION	QTY	UNIT NO.			 1	Partition with 1 set -Glass 115" x 215" clear glass with 1 3/4" x 3" Aluminum frame (Analok) Fix, Slide/ Slide, Fix w/ transom	1	set</t>
  </si>
  <si>
    <t xml:space="preserve"> Republic of the Philippines DEPARTMENT OF PUBLIC WORKS AND HIGHWAYS CAGAYAN THIRD DISTRICT ENGINEERING OFFICE REGION II Tuguegarao City The DPWH-CAGAYAN THIRD DISTRICT ENGINEERING OFFICE, through the GAA FY-2020 intends to apply the sum of P9,950,000.00 b</t>
  </si>
  <si>
    <t xml:space="preserve"> 1	751	bags	Portland Cement	 	320.00	240,320.00 2	41.6	cu.m.	Sand	 	1,800.00	74,880.00 3	83.2	cu.m.	Gravel	 	1,800.00	149,760.00 4	45,000	Gallons	Water	 	0.50	22,500.00 5	20	cu.m.	Base Preparation	 	1,700.00	34,000.00 6	50	I.m.	Formworks	 	300.00	15,000.00</t>
  </si>
  <si>
    <t xml:space="preserve"> INVITATION TO BID FOR  “Supply and Delivery of Five (5) sets High Availability Firewall Appliance (2 paired units)” 1.	The Philippine Institute of Volcanology and Seismology, through the GAA 2020 intends to apply the sum of One Million Seven Hundred Fifty</t>
  </si>
  <si>
    <t xml:space="preserve"> The Department of Agriculture-RFO 3, invites interested suppliers to submit quotations/proposals for the hereunder requirement, to wit: 2	unit	GEOTAGGING	 		Qualcomm Snapdragon	 		675 octa - core chip	 		6GB RAM 128GB internal	 		storage 6.7 inch FHD+	 		</t>
  </si>
  <si>
    <t xml:space="preserve"> Improvement/ Rehabilitation of Public Market Santa, Ilocos Sur</t>
  </si>
  <si>
    <t xml:space="preserve"> Republic of the Philippines DEPARTMENT OF PUBLIC WORKS AND HIGHWAYS CAGAYAN THIRD DISTRICT ENGINEERING OFFICE REGION II Tuguegarao City The DPWH-CAGAYAN THIRD DISTRICT ENGINEERING OFFICE, through the GAA FY-2020 (MOOE) intends to apply the sum of P400,000</t>
  </si>
  <si>
    <t xml:space="preserve"> Description Republic of the Philippines PROVINCE OF ZAMBONAGA DEL NORTE Municipality of Leon B. Postigo INVITATION TO BID (2020-05-065)  June 04, 2020   Municipality of Leon B. Postigo, Zamboanga del Norte invites qualified bidders to apply for prequalifi</t>
  </si>
  <si>
    <t xml:space="preserve"> Republic of the Philippines DEPARTMENT OF PUBLIC WORKS AND HIGHWAYS CAGAYAN THIRD DISTRICT ENGINEERING OFFICE REGION II Tuguegarao City The DPWH-CAGAYAN THIRD DISTRICT ENGINEERING OFFICE, through the GAA FY-2020 (MOOE) intends to apply the sum of P500,000</t>
  </si>
  <si>
    <t xml:space="preserve"> ITEM I.	WALLING	 	 	   	900	PCS	CHB #4	 	             25.00 	       22,500.00   	40	PCS	10mm Dia RSB	 	           200.00 	         8,000.00   	6	CU.M	Sand (Approved Source)	 	       1,500.00 	         9,000.00   	4	KGS	Tie Wire	 	             90.00 	     </t>
  </si>
  <si>
    <t xml:space="preserve"> Republic of the Philippines DEPARTMENT OF PUBLIC WORKS AND HIGHWAYS CAGAYAN THIRD DISTRICT ENGINEERING OFFICE REGION II Tuguegarao City The DPWH-CAGAYAN THIRD DISTRICT ENGINEERING OFFICE, through the GAA FY-2020 (MOOE) intends to apply the sum of P1,000,0</t>
  </si>
  <si>
    <t xml:space="preserve"> The DPWH, Negros Occidental 3rd District Engineering Office, Kabankalan City, Negros Occidental, through its Bids and Awards Committee (BAC), invites contractors to submit bids for the following contract: 1. Contract ID		:	20GM0077 Contract Name	:	Concret</t>
  </si>
  <si>
    <t xml:space="preserve"> The DPWH, Negros Occidental 3rd District Engineering Office, Kabankalan City, Negros Occidental, through its Bids and Awards Committee (BAC), invites contractors to submit bids for the following contract: 1. Contract ID		:	20GM0073 Contract Name	:	Concret</t>
  </si>
  <si>
    <t xml:space="preserve"> The Works consist of 1. Project Billboard 2. Manual Excavation and Backfilling 3. Installation of light post Lot 1. Installation of Street Lighting at Barangay Son-ok II, Pintuyan, Southern Leyte (Php200,000.00) Lot 2. Installation of Street Lighting at P</t>
  </si>
  <si>
    <t xml:space="preserve"> The DPWH, Negros Occidental 3rd District Engineering Office, Kabankalan City, Negros Occidental, through its Bids and Awards Committee (BAC), invites contractors to submit bids for the following contract: 1. Contract ID		:	20GM0079 Contract Name	:	Concret</t>
  </si>
  <si>
    <t xml:space="preserve"> The Works consist of 1. Project Billboard 2. Excavation 3. Concrete Line Canal 4. Grouted Riprap</t>
  </si>
  <si>
    <t xml:space="preserve"> The DPWH, Negros Occidental 3rd District Engineering Office, Kabankalan City, Negros Occidental, through its Bids and Awards Committee (BAC), invites contractors to submit bids for the following contract: 1. Contract ID		:	20GM0078 Contract Name	:	Concret</t>
  </si>
  <si>
    <t xml:space="preserve"> Republic of the Philippines DEPARTMENT OF PUBLIC WORKS AND HIGHWAYS CAGAYAN THIRD DISTRICT ENGINEERING OFFICE REGION II Tuguegarao City The DPWH-CAGAYAN THIRD DISTRICT ENGINEERING OFFICE, through the GAA FY-2020 (MOOE) intends to apply the sum of P300,000</t>
  </si>
  <si>
    <t xml:space="preserve"> Republic of the Philippines DEPARTMENT OF PUBLIC WORKS AND HIGHWAYS CAGAYAN THIRD DISTRICT ENGINEERING OFFICE REGION II Tuguegarao City The DPWH-CAGAYAN THIRD DISTRICT ENGINEERING OFFICE, through the GAA FY-2020 (MOOE) intends to apply the sum of P250,000</t>
  </si>
  <si>
    <t xml:space="preserve"> INVITATION TO BID The MUNICIPALITY OF BANI, through its Bids and Awards Committee (BAC), invites suppliers/contractors to bid for the following: Name of Project	:Procurement of Farm Equipment	 Project Location	:Bani, Pangasinan Project Description :	100 u</t>
  </si>
  <si>
    <t xml:space="preserve"> INVITATION TO BID The City Government of Ozamiz, through its Bids and Awards Committee (BAC), invites contractors registered with and classified by the Philippine Contractors Accreditation Board (PCAB) to apply for eligibility and to bid for the hereunder</t>
  </si>
  <si>
    <t xml:space="preserve"> Republic of the Philippines MUNICIPALITY OF PANIQUI Province of Tarlac 	Solicitation No.: I-2020-013 Name of the Project      : Construction of New Public Market (Site Development – Embankment) Location of the Project : Burgos St., Brgy. Tablang, Paniqui,</t>
  </si>
  <si>
    <t xml:space="preserve"> Republic of the Philippines MUNICIPALITY OF PANIQUI Province of Tarlac 	Solicitation No.: I-2020-012 Name of the Project      : Construction of New Public Market (Site Development – Drainage System) Location of the Project : Burgos St., Brgy. Tablang, Pan</t>
  </si>
  <si>
    <t xml:space="preserve"> Description Republic of the Philippines PROVINCE OF ZAMBONAGA DEL NORTE Municipality of Leon B. Postigo INVITATION TO BID (2020-05-066)  June 04, 2020   Municipality of Leon B. Postigo, Zamboanga del Norte invites qualified bidders to apply for prequalifi</t>
  </si>
  <si>
    <t xml:space="preserve"> STRUCTURE EXCAVATION FORMWORKS &amp; SCAFFOLDINGS REINFORCED CONCRETE REINFORCING STEEL BARS MASONRY WORKS STEEL WORKS CARPENTRY WORKS ROOFING ELECTRICAL WORKS</t>
  </si>
  <si>
    <t xml:space="preserve"> PLEASE SEE ATTACHED BIDDING DOCUMENTS</t>
  </si>
  <si>
    <t xml:space="preserve"> Supply of labor, materials and rental of equipment</t>
  </si>
  <si>
    <t xml:space="preserve"> 1	134	feet	Well Drilling of 6"Ø bore hole	 	    1,000.00 	   134,000.00      2      1      unit    Submersible pump, model                    72,500.00        72,500.00                           18GS10412, 1HP, 230 Volts                          Single Ph</t>
  </si>
  <si>
    <t xml:space="preserve"> I	PROVISION OF 1 UNIT BILLBOARD (2.4M X 2.4M)	 	 	   	12	bd.ft.	2" x 3" x 12ft Good Lumber	1	           50.00 	                    600.00   	12	bd.ft.	2" x 3" x 8ft Good Lumber	1	           50.00 	                    600.00   	2	pcs 	Marine Plywood 1/4"	1</t>
  </si>
  <si>
    <t xml:space="preserve"> INVITATION FOR NEGOTIATED PROCUREMENT BAC-NP NO. 2020-05 	The Research Institute for Tropical Medicine (RITM) through its Bids and Awards Committee (BAC) invites technically, legally and financially capable PHILGEPS-registered suppliers/manufacturers to a</t>
  </si>
  <si>
    <t xml:space="preserve"> INVITATION TO BID CATERING SERVICES FOR RESPONSE OPERATION 1.	The Local Government Unit of Cabadbaran City through the DRRMF intends to apply the sum of ONE HUNDRED NINETY-FOUR THOUSAND NINE HUNDRED FORTY PESOS ONLY (P 194,940.00) being the Approved Budge</t>
  </si>
  <si>
    <t xml:space="preserve"> The Works consist of 1. Project Billboard 2. Demolition and Clearing 3. Excavation 4. Installation of Pipe Culvert 5. Backfilling works 6. Masonry works 7. Concreting works</t>
  </si>
  <si>
    <t xml:space="preserve"> The DPWH, Negros Occidental 3rd District Engineering Office, Kabankalan City, Negros Occidental, through its Bids and Awards Committee (BAC), invites contractors to submit bids for the following contract: 1. Contract ID		:	20GM0076 Contract Name	:	Concret</t>
  </si>
  <si>
    <t xml:space="preserve"> INVITATION TO BID The Surigao del Sur 1st District Engineering Office, Tandag City, through its Bids and Awards Committee (BAC), invites contractors to submit bids for the following Contract: CONTRACT ID	:	20NH0081 (RE-AD) CONTRACT NAME	:	Rehabilitation o</t>
  </si>
  <si>
    <t xml:space="preserve"> Republic of the Philippines MUNICIPALITY OF PANIQUI Province of Tarlac 	Solicitation No.: I-2020-014 Name of the Project      : Construction of New Public Market (Main Building 1) Location of the Project : Burgos St., Brgy. Tablang, Paniqui, Tarlac INVITA</t>
  </si>
  <si>
    <t xml:space="preserve"> The DPWH, Negros Occidental 3rd District Engineering Office, Kabankalan City, Negros Occidental, through its Bids and Awards Committee (BAC), invites contractors to submit bids for the following contract: 1. Contract ID		:	20GM0075 Contract Name	:	Concret</t>
  </si>
  <si>
    <t xml:space="preserve"> INVITATION TO BID SUPPLY AND DELIVERY OF VARIOUS VEGETABLE SEEDS FOR HOME-BASED GARDENING PROJECT 1.	The Local Government Unit of Cabadbaran City through the GENERAL FUND intends to apply the sum of THREE HUNDRED THOUSAND PESOS ONLY (P 300,000.00) being t</t>
  </si>
  <si>
    <t xml:space="preserve"> Procurement of Supplies use for MTCO/ Tourism</t>
  </si>
  <si>
    <t xml:space="preserve"> INVITATION TO BID SUPPLY AND DELIVERY OF CUSTOMIZED UNIFORM (SWEAT SHIRT) W/ PRINT FOR CVOS 1.	The Local Government Unit of Cabadbaran City through the PEACE &amp; ORDER FUND intends to apply the sum of THREE HUNDRED THOUSAND PESOS ONLY (P 300,000.00) being t</t>
  </si>
  <si>
    <t xml:space="preserve"> INVITATION TO BID FOR  “Supply and Delivery of Twenty (20) units Solar Charge Controllers/Regulators” 1.	The Philippine Institute of Volcanology and Seismology, through the GAA 2020 intends to apply the sum of Six Hundred Twenty Thousand Pesos Only (₱620,</t>
  </si>
  <si>
    <t xml:space="preserve"> Provision of the following variety of hybrid rice seeds: 1. 120 bags @3 kilos of pioneer 2. 120 bags @3 kilos of longping 3. 120 bags @3 kilos of advanta Suppliers with good standing shall only be entertained and preferably within locality. May you send y</t>
  </si>
  <si>
    <t xml:space="preserve"> ITEM III	COLUMN/FOOTING			 	III - A	COLUMN 1, 4.0m x .40m x .40m (2)			 	1.50	Cu.m	Gravel		1,500.00	2,250.00 	12	Bags	Portland Cement		300.00	3,600.00 	1	Cu.m	Sand		1,800.00	1,800.00 	16	Length	20mm Ø RSB		600.00	9,600.00 	16	Length	10mm Ø RSB		300.00	4,8</t>
  </si>
  <si>
    <t xml:space="preserve"> The DPWH, Negros Occidental 3rd District Engineering Office, Kabankalan City, Negros Occidental, through its Bids and Awards Committee (BAC), invites contractors to submit bids for the following contract: 1. Contract ID		:	20GM0074 Contract Name	:	Concret</t>
  </si>
  <si>
    <t xml:space="preserve"> INVITATION TO BID SUPPLY AND DELIVERY OF CUSTOMIZED UNIFORM (POLO SHIRT W/ PRINT) FOR CVOS 1.	The Local Government Unit of Cabadbaran City through the PEACE &amp; ORDER FUND intends to apply the sum of TWO HUNDRED SEVENTY-SEVEN THOUSAND SEVEN HUNDRED FIFTY PE</t>
  </si>
  <si>
    <t xml:space="preserve"> ITEM II.	MASONRY/REINFORCEMENT/PLASTERING	 	 	   	720	pcs	CHB #4	 	              25.00 	         18,000.00   	6	cu.m	FINISHING SAND	 	        2,500.00 	         15,000.00   	60	bags	PORTLAND CEMENT	 	           295.00 	         17,700.00   	100	pcs	10MM Ø</t>
  </si>
  <si>
    <t xml:space="preserve"> Republic of the Philippines PROVINCE OF SAMAR Catbalogan -o0o- REQUEST FOR EXPRESSION OF INTEREST FOR THE PROCUREMENT OF INDEPENDENT CONSULTANT FOR THE CONSULTANCY SERVICES FOR SAMAR URBAN DEVELOPMENT PLAN, CATBALOGAN, CITY 1.	The Provincial Government of</t>
  </si>
  <si>
    <t xml:space="preserve"> Procurement of Security Services	2 12 months contract starting	 July 2020-June 2021	 	 Includes the following:	 Compliant to Technical Specification stated on Section VII of the Bidding Document	 Compliant to requirements stated on Section VI of the Biddi</t>
  </si>
  <si>
    <t xml:space="preserve"> Ethyl Alcohol, 70%, gallon, 30bottles Disposable Nitrile/Latex gloves, powder free, medium size, 100/box, 80boxes Disposable Nitrile/Latex gloves, powder free, small size, 100/box, 10boxes Disposable Nitrile/Latex gloves, powder free, large size, 100/box,</t>
  </si>
  <si>
    <t xml:space="preserve"> Republic of the Philippines  Province of Nueva Ecija City Government of Palayan INVITATION TO BID FOR THE CONSTRUCTION OF 5 UNITS MULTI-PURPOSE BUILDINGS 1.	The City Government of Palayan, through the General Fund intends to apply the sum of (Php25,000,00</t>
  </si>
  <si>
    <t xml:space="preserve"> Republic of the Philippines PROVINCE OF SURIGAO DEL NORTE MUNICIPALITY OF DEL CARMEN INVITATION TO BID The Local Government Unit of the Municipality of Del Carmen, Province of Surigao del Norte, through its Bids and Awards Committee (BAC), invites contrac</t>
  </si>
  <si>
    <t xml:space="preserve"> Medical Supplies for CVAC Operation LGU Cabagan Cabagan, Isabela</t>
  </si>
  <si>
    <t xml:space="preserve"> Invitation to Bid for the Procurement of Various Animal Feeds   The Agricultural Training Institute (ATI), through the 2020 General Appropriations Act intends to apply the sum of One Million Thirty-Two Thousand Nine Hundred Pesos (PhP 1,032,900.00) being </t>
  </si>
  <si>
    <t xml:space="preserve"> INSTALLATION OF CCTV CAMERAS FOR “ BALIK PROBINSYA BAGONG PAG -ASA PROGRAM” AT  BRGY TACUB, KAUSWAGAN, LANAO DEL NORTE</t>
  </si>
  <si>
    <t xml:space="preserve"> FUND SOURCE: 20% PDF 2020 `TYPES OF WORK TO BE DONE: Project billboard/ signboard/ occupational safety and health program/ reinforcing steel bars/ structural concrete (class A)/ formworks and falseworks/ masonry works (100mm thk CHB)/ steel window casemen</t>
  </si>
  <si>
    <t xml:space="preserve"> Republic of the Philippines PROVINCE OF CAMARINES SUR BIDS AND AWARDS COMMITTEE 									    	                      ITB No.032-06-2020 INVITATION TO BID 	The Provincial Government of Camarines Sur (PGCS) through its Bids and Awards Committee (BAC) invites</t>
  </si>
  <si>
    <t xml:space="preserve"> Procurement of Supplies use for MSWDO/LCPC</t>
  </si>
  <si>
    <t xml:space="preserve"> INVITATION TO BID CATERING SERVICES FOR COMMUNITY-BASED ORIENTATION PROGRAM 1.	The Local Government Unit of Cabadbaran City through the DRRMF intends to apply the sum of ONE HUNDRED NINETY-EIGHT THOUSAND THREE HUNDRED SIXTY PESOS ONLY (P 198,360.00) being</t>
  </si>
  <si>
    <t xml:space="preserve"> INVITATION TO BID CATERING SERVICES FOR POST DISASTER INTERVENTION PROGRAM 1.	The Local Government Unit of Cabadbaran City through the PEACE &amp; ORDER FUND intends to apply the sum of TWO HUNDRED NINETY-NINE THOUSAND TWO HUNDRED EIGHTY PESOS ONLY (P 299,280</t>
  </si>
  <si>
    <t xml:space="preserve"> Piglets Hog Starter Hog Grower Hog Finisher Dewormer (Injectable Ivermection, 10 ml/bottle -3 ml/cycle for 2 heads (.3 bottle/cycle Vitamin B. Complaex (Injectable BEXAN SP20 ml/bottle)-8 ml/cycle for 2 heads (08 bottle/cycle)</t>
  </si>
  <si>
    <t xml:space="preserve"> Laboratory Supplies for RHU LGU Cabagan Cabagan, Isabela</t>
  </si>
  <si>
    <t xml:space="preserve"> DELIVERY PERIOD: 15 CALENDAR DAY DELIVERY POINT: NPC -OBC WAREHOUSE, DILIMAN, QUEZON CITY BID PRICE VALIDITY: 120 CALENDAR DAYS TERMS OF PAYMENT: 30 CALENDAR DAYS</t>
  </si>
  <si>
    <t xml:space="preserve"> 1.	The OCCIDENTAL MINDORO STATE COLLEGE (OMSC), through the Special Trust Fund intend to apply the sum of Three Million One Hundred Fifty-Three Thousand Nine Hundred Thirty Two Pesos Only (Php3,153,932.00) being the Approved Budget for the Contract (ABC) </t>
  </si>
  <si>
    <t xml:space="preserve"> INVITATION TO BID CATERING SERVICES FOR HEALTH EMERGENCY MONITORING 1.	The Local Government Unit of Cabadbaran City through the PEACE &amp; ORDER FUND intends to apply the sum of ONE HUNDRED NINETY-EIGHT THOUSAND THREE HUNDRED PESOS ONLY (P 198,360.00) being </t>
  </si>
  <si>
    <t xml:space="preserve"> Procurement of Office Supplies use for COA office</t>
  </si>
  <si>
    <t xml:space="preserve"> INVITATION TO BID CATERING SERVICES FOR RESPONSE OPERATION 1.	The Local Government Unit of Cabadbaran City through the PEACE &amp; ORDER FUND intends to apply the sum of FOUR HUNDRED NINETY-EIGHT THOUSAND EIGHT HUNDRED PESOS ONLY (P 498,800.00) being the Appr</t>
  </si>
  <si>
    <t xml:space="preserve"> Construction Project of Establishment of Breastfeeding Cubicle</t>
  </si>
  <si>
    <t xml:space="preserve"> Fund Source: 20% PDF 2020` Types of Work to be done: project billboard/ signboard/ occupational safety and health program/ roadway excavation (unclassified)/ structure excavation (soft rock)/ overhaul/ grouted riprap (class A)</t>
  </si>
  <si>
    <t xml:space="preserve"> Procurement of Rice Duck Production (SAAD Project</t>
  </si>
  <si>
    <t xml:space="preserve"> SEE ATTACHED BIDDING DOCS, PLANS AND CHECKLIST</t>
  </si>
  <si>
    <t xml:space="preserve"> 20 W Solar Panel 5w LED Buld 10A Solar Charge Controller, Weatherproof, Dush Till Dawn 16ah Solar Battery  2"Post with Padestal 6" AMCO Globe</t>
  </si>
  <si>
    <t xml:space="preserve"> Fund Source: 20% PDF 2020 Types of Work to be Done: project billboard/ signboard/ occupational safety and health program/ removal of structures and obstruction/ structure excavation (manual excavation common soil)/ structure concrete/ structure concrete (</t>
  </si>
  <si>
    <t xml:space="preserve"> Republic of the Philippines Province of Bohol Municipality of Maribojoc Barangay Pagnitoan BIDS AND AWARDS COMMITTEE INVITATION TO BID  (Re-bidding) The Barangay Pagnitoan of the Municipality of Maribojoc, Bohol invites duly interested Suppliers /Contract</t>
  </si>
  <si>
    <t xml:space="preserve"> Invitation to Bid CONSTRUCTION OF GUITABAYAG BRIDGE (Gomez to Villaflor) Solicitation No. Infra-2020-05 The Municipality of San Isidro, Isabela, through the Trust Fund for FY 2020, intends to apply the sum of Four Million Nine Hundred Forty-Seven Thousand</t>
  </si>
  <si>
    <t xml:space="preserve"> Republic of the Philippines City Government of Cotabato BIDS AND AWARDS COMMITTEE Cotabato City INVITATION FOR NEGOTIATED PROCUREMENT Projects: 	I. Provisions of Barangay Health Station at Barangay RH-2, Cotabato City II. Provisions of Lying-Inns for Stra</t>
  </si>
  <si>
    <t xml:space="preserve"> Procurement of Cell cards use for MSWDO</t>
  </si>
  <si>
    <t xml:space="preserve"> Invitation to Bid CONSTRUCTION OF GUITABAYAG BRIDGE (Gomez to Nagbukel) Solicitation No. Infra-2020-06 The Municipality of San Isidro, Isabela, through the Trust Fund for FY 2020, intends to apply the sum of Four Million Nine Hundred Forty-Five Thousand T</t>
  </si>
  <si>
    <t xml:space="preserve"> PROCUREMENT OF 205 HEADS OF LIVE DOE &amp; 7 HEADS OF LIVE BUCK</t>
  </si>
  <si>
    <t xml:space="preserve"> Concreting/Improvement of Roxas Barangay Road Municipality of Mainit, Surigao del Norte Brief Description:	The project will involve the Concreting/Improvement of Roxas Barangay Road with the following scope of works: General Requirements, Clearing, Surplu</t>
  </si>
  <si>
    <t xml:space="preserve"> 1 unit - Mini-Dump Truck, Brand New &amp; Branded and not a discountinued model</t>
  </si>
  <si>
    <t xml:space="preserve"> FUND SOURCE: 20% PDF 2020 TYPES OF WORK TO BE DONE: Project billboard/ signboard/ occupational safety and health program/ clearing and grubbing/ reinforcing steel bar/ structural concrete class A (minor structure)/ structure excavation (unclassified)/ 65m</t>
  </si>
  <si>
    <t xml:space="preserve"> Republic of the Philippines Office of the Barangay Chairman BIDS AND AWARDS COMMITTEE Baquioen, Sual, Pangasinan INVITATION TO BID FOR THE PROCUREMENT OF OFFICE EQUIPMENT   1.	The Barangay Baquioen through its Bids and Awards Committee, intends to apply t</t>
  </si>
  <si>
    <t xml:space="preserve"> item no, unit qty description 1.   11 roll 2" diax60m PE Pipe sdr 11 2.  10 pcs 2"dia PE Pipe Connector 3.  1 pc 2" dia PE Female Connector 4.  1 pc 2" dia PE elbow 5.  25 roll tapelone tape big</t>
  </si>
  <si>
    <t xml:space="preserve"> Medical and Lab Supplies LGU Cabagan Cabagan, Isabela</t>
  </si>
  <si>
    <t xml:space="preserve"> Acquisition of multifilament net &amp; accessories for Agriculture Office Items: 1.  18 bundles - Multifilament net 210/2x25kx200md 2.  6 rolls        - P.e. Rope (3 mm) 3.  6 kls.         - lead sinker no. 2 4.  2 packs      - rubber floats 5.  18 spool     </t>
  </si>
  <si>
    <t xml:space="preserve"> REPUBLIC OF THE PHILIPPINES DEPARTMENT OF PUBLIC WORKS AND HIGHWAYS OFFICE OF THE DISTRICT ENGINEER CAVITE 1ST DISTRICT ENGINEERING OFFICE BRGY. DE OCAMPO, TRECE MARTIRES CITY, CAVITE INVITATION TO BID FOR PURCHASING OF CONSTRUCTION MATERIALS FOR THE ASPH</t>
  </si>
  <si>
    <t xml:space="preserve"> Provision of 1 Unit Four Wheeled Farm Tractor for the Municipal Agriculturist Office, Municipality of Bongabong, Oriental Mindoro.</t>
  </si>
  <si>
    <t xml:space="preserve"> Republic of the Philippines Province of Nueva Vizcaya Municipality of Solano -o0o- INVITATION TO BID FOR Supply &amp; Delivery of Laboratory Reagents for Hematology Analyzer   (SOLANO 056-2020) 1.	The Local Government Unit of Solano, Nueva Vizcaya through the</t>
  </si>
  <si>
    <t xml:space="preserve"> MAINTENANCE OF CORE LOCAL ROADS AT ATOK CIS SERVICE ROAD ATOK, FLORA, APAYAO</t>
  </si>
  <si>
    <t xml:space="preserve"> Supply &amp; Delivery of 1 Unit of Payloader for the MENRO, Municipality of Bongabong, Oriental Mindoro</t>
  </si>
  <si>
    <t xml:space="preserve"> INVITATION TO BID FOR THE SUPPLY, DELIVERY, INSTALLATION AND COMMISSIONING OF PERIPHERAL MAGNETIC STIMULATOR 1.  The Cagayan Valley Medical Center (CVMC), intends to apply the sum Three Million Pesos (Php   3,000,000.00 ) being the Approved Budget for the</t>
  </si>
  <si>
    <t xml:space="preserve"> Brief Description: covered box drainage Drainage Length: 41.00 mts. width: 1.00 mt The significant times and deadlines of procurement activities are shown below:  Activities	Schedule 1. Receipt of LOIs from Prospective Bidders	June 05-11, 2020 2. Issuance</t>
  </si>
  <si>
    <t xml:space="preserve"> REPUBLIC OF THE PHILIPPINES DEPARTMENT OF PUBLIC WORKS AND HIGHWAYS OFFICE OF THE DISTRICT ENGINEER CAVITE 1ST DISTRICT ENGINEERING OFFICE BRGY. DE OCAMPO, TRECE MARTIRES CITY, CAVITE INVITATION TO BID FOR PURCHASING OF THERMOPLASTIC PAINT MATERIALS FOR T</t>
  </si>
  <si>
    <t xml:space="preserve"> Waterworks Materials for the Improvement of Water System (14 Barangays)</t>
  </si>
  <si>
    <t xml:space="preserve"> Stock	ITEM DESCRIPTION	QTY	UNIT No.			 1	HOUSEHOLD-LEVEL DATA MANAGEMENT SYSTEM	1	system 	Project Components and Detailed Requirements:		 	1. Cloud Service		 	- Highly secured infrastructure, at least Level 1 PCI DSS		 	- SSL compliant for data encryption</t>
  </si>
  <si>
    <t xml:space="preserve"> Scope of Works: -	Construction of 1 unit – 1 storey open Multipurpose Building with a dimension of 9.0m x 10.0m and construction of 34.92 ln.m. concrete lined canal with fabricated removable steel cover. BILL OF QUANTITIES I             Layout and Excavat</t>
  </si>
  <si>
    <t xml:space="preserve"> REPUBLIC OF THE PHILIPPINES DEPARTMENT OF PUBLIC WORKS AND HIGHWAYS OFFICE OF THE DISTRICT ENGINEER CAVITE 1ST DISTRICT ENGINEERING OFFICE BRGY. DE OCAMPO, TRECE MARTIRES CITY, CAVITE INVITATION TO BID FOR PURCHASING OF CONSTRUCTION MATERIALS FOR THE REPA</t>
  </si>
  <si>
    <t xml:space="preserve"> Specifications: Type: 2.4 liter Diesel, 4 cylinder, 16 valves; Transmission Category: 6 Speed Manual w/ easy select 4wd; Displacement: 2.442 cc; Maximum Output: 179 hp@ 3.500 rpm; Max Torque (nm): 430 Nm@ 2.500 rpm; Fuel Type: Diesel with 75 L capacity; W</t>
  </si>
  <si>
    <t xml:space="preserve"> PROCUREMENT OF 1,225 HEADS OF LIVE NATIVE CHICKEN (HEN) &amp; 245 HEADS OF LIVE COCKEREL (MALE CHICKEN)</t>
  </si>
  <si>
    <t xml:space="preserve"> Republic of the Philippines	 PROVINCE OF IFUGAO	 Municipality of Asipulo	 BIDS AND AWARDS COMMITTEE	 INVITATION TO BID	 	 GOODS	 	 The Municipal Government of Asipulo, through the Mun. General Fund intends	  to apply the sum indicated in the table below, </t>
  </si>
  <si>
    <t xml:space="preserve"> QTY	UNIT	ITEM DESCRIPTION 		 		OFFICE SUPLIES  25.00 	pack	Acetate A4  7.00 	roll	Adding Machine ribbon  3.00 	roll	Adding Machine tape  1.00 	pcs	All Purpose Glue Stick  438.00 	pcs	Ballpen black, Ordinary  30.00 	pcs	Ballpen blue, Ordinary  3.00 	pcs	Ba</t>
  </si>
  <si>
    <t xml:space="preserve"> HANDLING SERVICES FOR A TOTAL OF 8,006,307 BAG MOVES FOR NCR AND BATANES WAREHOUSES</t>
  </si>
  <si>
    <t xml:space="preserve"> Diesel Fuel Gasoline (Extra) Fuel Engine Oil SAE No 10W-30 Grease Synthetic Oil SAE 10 Oil SAE 140</t>
  </si>
  <si>
    <t xml:space="preserve"> Supply And Delivery of Materials (Lot #1), Good Lumber (Lot #2), Fuel (Lot #3) Drainage Structure (Lot #4) and Labor (Lot #5) for Proposed Road Concreting from National Highway Sta. 00+015 to Sta. 00+246m leading to Maasin Nat’l. Highway, Barangay Maasin,</t>
  </si>
  <si>
    <t xml:space="preserve"> PROCUREMENT OF 14 HEADS OF LIVE CARABAO/COW</t>
  </si>
  <si>
    <t xml:space="preserve"> Construction of Slope Protection along Magsaysay-Paco Road Municipality of Mainit, Surigao del Norte Brief Description:	The project will involve the following scope of works: Grouted Riprap, Structural Concrete, Stone Masonry and Metal Guardrails with Con</t>
  </si>
  <si>
    <t xml:space="preserve"> Specifications: 2 pcs. Plain sheet #16.3 (4x8); 3 pcs. Plain sheet #14; 5 pcs. Steel Plate #2.5 mm; 2 length Channel Bolt # 3x16x3x20; 4 length Channel Bar #3/14x4x20; 2 length Angle Bar #3/16x20; 1 length Square Bar #1/2; 2 length Flat Bar # (5mm) 2x20; </t>
  </si>
  <si>
    <t xml:space="preserve"> Other General Requirements, Earthworks, Plain and Reinforced Concrete Works, Finishing and Other Civil Works</t>
  </si>
  <si>
    <t xml:space="preserve"> Supply and Delivery of Fitting &amp; Valves (Lot #1), Fuel &amp; Diesel (Lot #2), Chlorine Granules (Lot #3) and Chlorine Test Kit (Lot #4) for the use of Brooke’s Point Water System Office, Brooke’s Point, Palawan Lot #1 Fitting &amp; Valves: 1,711,781.00 Lot #2 Fue</t>
  </si>
  <si>
    <t xml:space="preserve"> The Department of Agriculture-RFO 3, invites interested suppliers to submit quotations/proposals for the hereunder requirement, to wit: 		Meals and Snack	 			 30	pax	AM snacks: Filipino Meryenda &amp; Drinks	 30	pax	Lunch (Meal: Rice, Fish/Chicken, Beef/Pork,</t>
  </si>
  <si>
    <t xml:space="preserve"> Supply &amp; Delivery of Vegetable Seeds for the Community Based Vegetable Gardening of the Municipal Agriculturist's Office, Municipality of  Bongabong, Oriental Mindoro.</t>
  </si>
  <si>
    <t xml:space="preserve"> REPUBLIKA NG PILIPINAS KALAKHANG MAYNILA LUNGSOD NG NAVOTAS Pamahaalaang Barangay ng Navotas West H. MONROY ST. NAVOTAS WEST, NAVOTAS CITY Invitation to Bid PROCUREMENT OF MEDICAL EQUIPMENT 1. The Brgy. Government of Navotas West, through the 2020 Annual </t>
  </si>
  <si>
    <t xml:space="preserve"> REPUBLIC OF THE PHILIPPINES DEPARTMENT OF PUBLIC WORKS AND HIGHWAYS OFFICE OF THE DISTRICT ENGINEER CAVITE 1ST DISTRICT ENGINEERING OFFICE BRGY. DE OCAMPO, TRECE MARTIRES CITY, CAVITE INVITATION TO BID FOR PURCHASING OF HEAVY EQUIPMENT FOR THE USE OF THE </t>
  </si>
  <si>
    <t xml:space="preserve"> RIPRAPPING OF LESSEB BARANGAY ROAD (LAWLAWITAN SECTION) FUND SOURCE: 20% PDF 2020 TYPES OF WORK TO BE DONE: Project billboard/ signboard/ occupational safety and health program/ structure excavation (common soil)/ grouted riprap (class A) IMPROVEMENT OF B</t>
  </si>
  <si>
    <t xml:space="preserve"> QTY	UNIT	ITEM DESCRIPTION 		 		JANITORIAL SUPPLIES  114.00 	btl	5 in 1 hand sanitizer, 250ml  5.00 	can	Air Freshener, concentrate  40.00 	can	Air Freshener, 320ml assorted scents  2.00 	unit	Aluminum Ladder  40.00 	pack	Battery, size AA, Alkaline, 4pcs/p</t>
  </si>
  <si>
    <t xml:space="preserve"> Long Sleeve w/ DPWH Logo (Burda) 2 Color Caps Neon Orange/Blue w/ DPWH Working Gloves Rain Coat Rubber Boots Bolo Knife Face Masks</t>
  </si>
  <si>
    <t xml:space="preserve"> QTY	UNIT	ITEM DESCRIPTION 		  4.00 	kit	Drum Kit Cartridge, DCSV 2060  Fuji Xerox  1.00 	kit	Drum Kit Cartridge (DC 2420)  5.00 	kit	Drum Kit Cartridge (DC 2320)  1.00 	kit	Drum Kit Canon iR1024 Copier  1.00 	kit	Drum Kit Canon S1810 Copier  15.00 	cart	D</t>
  </si>
  <si>
    <t xml:space="preserve"> Office Supplies for barangay Use</t>
  </si>
  <si>
    <t xml:space="preserve"> LOCAL GOVERNMENT UNIT OF NAGUILIAN, ISABELA Invitation to Bid for the COMPLETION OF NAGUILIAN COMMUNITY CENTER 1.	The Local Government Unit of Naguilian, Isabela, through the Provincial Government of Isabela  intends to apply the sum of Five Million Pesos</t>
  </si>
  <si>
    <t xml:space="preserve"> SEE ATTACHED BIDDING DOCS PLANS AND CHECKLIST</t>
  </si>
  <si>
    <t xml:space="preserve"> REHABILITATION OF MAIN ELECTRIC LINE OF MUNICIPAL HALL BUILDING FLORA, APAYAO</t>
  </si>
  <si>
    <t xml:space="preserve"> Supply and delivery of Materials (Lot #1), Good Lumber (Lot #2), Fuel (Lot #3) Drainage Structure (Lot #4) and Labor (Lot #5) for Proposed Road Concreting from National Highway sta. 00+350 to Sta. 00+760m leading to Kilala Elementary School, Barangay Mali</t>
  </si>
  <si>
    <t xml:space="preserve"> REPAIR AND MAINTENANCE OF ROAD</t>
  </si>
  <si>
    <t xml:space="preserve"> SUPPLY &amp; DELIVERY OF THE FOLLOWING: Lot 1	2 Units Printer and 1 Unit Laptop/Notebook Computer for the Municipal Budget Office  Lot 2 2 Units Printer, 2 Units Desktop Computer  and 1 Unit Tablet for the (BPLO)</t>
  </si>
  <si>
    <t xml:space="preserve"> Supply and Delivery of Materials (Lot #1), Good Lumber (Lot #2) Fuel (Lot #3) and Labor (Lot #4) for Proposed Road Concreting from National Highway Sta. 00+400 to Sta. 00+990m leading to Tagpirara Elementary School, Barangay Saraza, Brooke’s Point, Palawa</t>
  </si>
  <si>
    <t xml:space="preserve"> Supply &amp; Delivery of Drugs &amp; Medicines for Municipal Health Office (1st Semester), Municipality of Bongabong, Oriental Mindoro.</t>
  </si>
  <si>
    <t xml:space="preserve"> REPUBLIKA NG PILIPINAS KALAKHANG MAYNILA LUNGSOD NG NAVOTAS Pamahaalaang Barangay ng Navotas West H. MONROY ST. NAVOTAS WEST, NAVOTAS CITY Invitation to Bid PROCUREMENT OF COASTAL CLEAN UP DRIVE SUPPLIES. 1. The Brgy. Government of Navotas West, through t</t>
  </si>
  <si>
    <t xml:space="preserve"> INVITATION TO BID FOR THE PURCHASE OF TWENTY (20) UNITS BRAND NEW SINGLE MOTORCYCLE The Municipality of Isulan, through the GENERAL FUND 2020  intends to apply the sum of ONE MILLION ONE HUNDRED FORTY THOUSAND PESOS (P 1,140,000.00) being the Approved Bud</t>
  </si>
  <si>
    <t xml:space="preserve"> Republic of the Philippines  Province of Nueva Ecija City Government of Palayan INVITATION TO BID FOR THE SUPPLY, DELIVERY AND INSTALLATION OF STREET LIGHTS 1.	The City Government of Palayan, through the TRUST FUND intends to apply the sum of (Php3,500,00</t>
  </si>
  <si>
    <t xml:space="preserve"> Invitation to Bid for the           REHABILITATION/ IMPROVEMENT OF ISULAN     INTEGRATED PUBLIC TERMINAL The MUNICIPALITY OF ISULAN, through the 20% Development Fund 2020  intends to apply the sum of  ONE MILLION SIX HUNDRED THIRTY-THREE THOUSAND FIVE HUN</t>
  </si>
  <si>
    <t xml:space="preserve"> ITEM I CONCRETE &amp; MASONRY WORKS ITEM II DOORS &amp; WINDOWS ITEM III FINISHING &amp; PAINTING WORKS ITEM IV CARPENTRY &amp; JOINERY WORKS (CEILING WORKS)</t>
  </si>
  <si>
    <t xml:space="preserve"> REPUBLIKA NG PILIPINAS KALAKHANG MAYNILA LUNGSOD NG NAVOTAS Pamahaalaang Barangay ng Navotas West H. MONROY ST. NAVOTAS WEST, NAVOTAS CITY Invitation to Bid PROCUREMENT OF STOCK PILE 1. The Brgy. Government of Navotas West, through the 2020 Annual Budget </t>
  </si>
  <si>
    <t xml:space="preserve"> Republic of the Philippines     Province  of Surigao del Sur   TAGBINA, SURIGAO DEL SUR    BIDS AND AWARDS COMMITTEE INVITATION TO BID FOR THE  Construction of Market Tiendas LOCATION:  Brgy.  Poblacion, Tagbina, Surigao del Sur The municipality of Tagbin</t>
  </si>
  <si>
    <t xml:space="preserve"> CONSTRUCTION OF MRF, POBLACION EAST, FLORA, APAYAO</t>
  </si>
  <si>
    <t xml:space="preserve"> Other General Requirements, Civil, Mechanical, Electrical and Sanitary/Plumbing Works</t>
  </si>
  <si>
    <t xml:space="preserve"> INVITATION TO BID FOR THE SUPPLY AND DELIVERY OF LAPAROSCOPIC/VATS HAND INSTRUMENTS 1.  The Cagayan Valley Medical Center (CVMC), intends to apply the sum Four Million Pesos (Php   4,000,000.00 ) being the Approved Budget for the Contract (ABC) to payment</t>
  </si>
  <si>
    <t xml:space="preserve"> REPUBLIKA NG PILIPINAS KALAKHANG MAYNILA LUNGSOD NG NAVOTAS Pamahaalaang Barangay ng Navotas West H. MONROY ST. NAVOTAS WEST, NAVOTAS CITY Invitation to Bid PROCUREMENT OF BABY KITS FOR NEW BORN BABIES. 1. The Brgy. Government of Navotas West, through the</t>
  </si>
  <si>
    <t xml:space="preserve"> SELECTIVE REPLACEMENT OF CONCRETE PAVEMENT</t>
  </si>
  <si>
    <t xml:space="preserve"> I 1.00 SQ.M Railings and Trellis II 7.00 CU.M Floor Finish III 12.00 CU.M Excavation Works IV 25.00 CU.M Stone Masonry Works V 1.00 UNIT Historical Marker</t>
  </si>
  <si>
    <t xml:space="preserve"> The Bids and Awards Committee								 Province of Iloilo								 								      In connection with your Invitation to Bid No. PEO-20-0663-B  scheduled on June 17, 2020, I/we proposed to furnish and deliver in conformity with the terms and conditions, and s</t>
  </si>
  <si>
    <t xml:space="preserve"> 2 units Diesel Engine 3 units Power spray set 4 unit pump accessory set 22 rolls 1 1/2" 0 Irrigation hose 20 rolls 1 1/4" 0 Irrigation  Hose 8 rolls 3/4" 0 pressurized garden hose 6 units Depolinator 6 units Grass cutter 2       bags electric knapsack spr</t>
  </si>
  <si>
    <t xml:space="preserve"> IMPROVEMENT OF SUMEY-ANG- SADSADAN ROAD, BAUKO FUND SOURCE; 20% PDF 2020 TYPES OF WORK TO BE DONE: Project billboard/ signboard/ occupational safety and health program/ structure excavation (common soil)/ aggregate base course/ PCCP/ grouted riprap (class</t>
  </si>
  <si>
    <t xml:space="preserve"> INVITATION TO BID 2020-GS-02 The Department of Public Works and Highways QUEZON III DISTRICT ENGINEERING OFFICE, Catanauan, Quezon, through the FY2020 EAO Fund intends to apply the amount of ₱ 1,766,064.60 being the Approved Budget for the Contract (ABC) </t>
  </si>
  <si>
    <t xml:space="preserve"> Invitation to Bid The National Housing Authority (NHA), through the Corporate Budget approved by the NHA Board for CY 2020 intends to apply the sum of the Approved Budget for the Contract (ABC) to payments for the following contract: Ref. No. 2020-S001	 P</t>
  </si>
  <si>
    <t xml:space="preserve"> Provision of the following fertilizers: 1. 40 bags Complete fertilizer 2. 40 bags Urea Suppliers with good standing shall only be entertained and preferably within locality. May you send your quotation to this e-mail address (ati7.philgeps@gmail.com) or s</t>
  </si>
  <si>
    <t xml:space="preserve"> Republic of the Philippines Department of Health SOUTHERN ISABELA MEDICAL CENTER Hospital Bids and Awards Committee Brgy. Rosario, Santiago City Philippines ITB NO. 2020-06-011 INVITATION TO BID  FOR THE SUPPLY AND DELIVERY OF VARIOUS DRUGS AND MEDICINES </t>
  </si>
  <si>
    <t xml:space="preserve"> Republic of the Philippines 	Province of Agusan del Sur	 MUNICIPALITY OF SAN FRANCISCO OFFICE OF THE BIDS AND AWARDS COMMITTEE (BAC) INVITATION TO BID CONSTRUCTION OF SOLID WASTE SEGREGATION FACILITY AT DUMPSITE , SITIO DAMILAG, BARANGAY PISAAN, SFADS The</t>
  </si>
  <si>
    <t xml:space="preserve"> Pre-bid Conference @ BAC Conference Room, GSO, 1st floor, New Capitol Blg, Pigcarangan, Tubod,LDN on June 18, 2020 @ 10:00 AM Deadline for Submission of Eligibility requirements and bidding documents for bid opening (all bids must be placed in a sealed en</t>
  </si>
  <si>
    <t xml:space="preserve"> Republic of the Philippines 	Province of Agusan del Sur	 MUNICIPALITY OF SAN FRANCISCO OFFICE OF THE BIDS AND AWARDS COMMITTEE (BAC) INVITATION TO BID MUNICIPAL ROAD CONCRETING ALONG LADGADAN ROAD, BARANGAY LADGADAN, SFADS The Municipal Government of San </t>
  </si>
  <si>
    <t xml:space="preserve"> National Power Corporation INVITATION TO BID PUBLIC BIDDING 2020-0098 1.	The NATIONAL POWER CORPORATION (NPC), through       its        approved       Corporate Budget of CY 2020 intends to apply   the   sum   of (Please see schedule below) being the Appr</t>
  </si>
  <si>
    <t xml:space="preserve"> Republic of the Philippines Department of Health SOUTHERN ISABELA MEDICAL CENTER Hospital Bids and Awards Committee  Brgy. Rosario, Santiago City Philippines ITB NO. 2020-06-010 INVITATION TO BID  FOR THE SUPPLY AND DELIVERY OF VARIOUS MEDICAL SUPPLIES 1.</t>
  </si>
  <si>
    <t xml:space="preserve"> Supply &amp; Delivery of Medical Supplies for Municipal Health Office (1st Semester), Municipality of Bongabong, Oriental Mindoro.</t>
  </si>
  <si>
    <t xml:space="preserve"> Supply &amp; Delivery of Construction Materials for the Improvement of School Workshop (BBCS) at BBII, Bongabong, Oriental Mindoro.</t>
  </si>
  <si>
    <t xml:space="preserve"> The Bids and Awards Committee								 Province of Iloilo								 								      In connection with your Invitation to Bid No. PEO-20-0667-B  scheduled on June 17, 2020, I/we proposed to furnish and deliver in conformity with the terms and conditions, and s</t>
  </si>
  <si>
    <t xml:space="preserve"> Sukol River Night Lights at Poblacion, Bongabong, Oriental Mindoro</t>
  </si>
  <si>
    <t xml:space="preserve"> Republic of the Philippines Province of Surigao del Sur MUNICIPALITY OF TAGBINA BARANGAY TAGONGON BIDS AND AWARDS COMMITTEE (BAC) INVITATION TO BID SUPPLY AND DELIVERY OF HARDWARE MATERIALS FOR THE CONSTRUCTION OF PUBLIC COMFORT ROOM, TAGONGON, TAGBINA, S</t>
  </si>
  <si>
    <t xml:space="preserve"> Republic of the Philippines										 Province of Bohol										 Municipality of Buenavista										 										 Barangay Anonang										 INVITATION TO APPLY FOR ELIGIBILITY AND TO BID										 										 The Barangay Local Government Unit of  Eastern</t>
  </si>
  <si>
    <t xml:space="preserve"> CONSTRUCTION OF PLAZA DRAINAGE, LESEB, BAUKO FUND SOURCE: 20% PDF 2020 TYPES OF WORK TO BE DONE: Project billboard/ signboard/ occupational safety and health program/ structure excavation/ concrete (gutter and pathway)/ metal frames and grating/ reinforci</t>
  </si>
  <si>
    <t xml:space="preserve"> Invitation to Bid The National Housing Authority (NHA), through the Corporate Budget approved by the NHA Board for CY 2020 intends to apply the sum of the Approved Budget for the Contract (ABC) to payments for the following contract: Ref. No. 2020-S002	 P</t>
  </si>
  <si>
    <t xml:space="preserve"> Supply &amp; Delivery of Construction Materials for the Holding Pen Extension (Slaughterhouse), Bongabong, Oriental Mindoro.</t>
  </si>
  <si>
    <t xml:space="preserve"> Republic of the Philippines Province of Davao Oriental BIDS &amp; AWARDS COMMITTEE City of Mati INVITATION TO BID  Contract No.: CW20-19 The Provincial Government of Davao Oriental through its Bids and Awards Committee (BAC), invites licensed contractors to b</t>
  </si>
  <si>
    <t xml:space="preserve"> 16-20-0  : 4,300 bags 10-18-24 : 1,700 bags</t>
  </si>
  <si>
    <t xml:space="preserve"> 1.	The Barangay Council of Baragay Buntun, through the 20% Development Fund for Calendar Year 2020, intends to apply the sum of Seven Hundred Thirty Four Thousand One Hundred Thirty Six Pesos and Eighty Four Centavos (PhP 734,136.84), being the Approved B</t>
  </si>
  <si>
    <t xml:space="preserve"> Republic of the Philippines 	Province of Agusan del Sur	 MUNICIPALITY OF SAN FRANCISCO OFFICE OF THE BIDS AND AWARDS COMMITTEE (BAC) INVITATION TO BID SUPPLY AND DELIVERY OF TWO (2) UNITS MOTOR VEHICLE (PATROL CAR), PNP, SFADS The Municipal Government of </t>
  </si>
  <si>
    <t xml:space="preserve"> I.	GENERAL REQUIREMENTS     A. Sign Board        B. Temporary Facility II.	DIVERSION WORKS III.	CANALIZATION IV.	CANAL STRUCTURES</t>
  </si>
  <si>
    <t xml:space="preserve"> 1.	The Barangay Council of Baragay Buntun, through the 20% Development Fund for Calendar Year 2020, intends to apply the sum of  One Hundred Eighty Three Thousand Five Hundred Thirty Three Pesos and Ninety Six Centavos (PhP183,533.96), being the Approved </t>
  </si>
  <si>
    <t xml:space="preserve"> PHILIPPINE SCIENCE HIGH SCHOOL SYSTEM						"REQUEST FOR QUOTATION FORM &amp;  NOTICE (GOODS)"		 Office / Campus:			MAIN CAMPUS					 Address / Contact Details:			AGHAM ROAD, DILIMAN, QUEZON CITY					 								 						Quotation No.:	20-06-121	 	GENTELMEN:					Dat</t>
  </si>
  <si>
    <t xml:space="preserve"> BUILDING CONSTRUCTION (SINGLE STOREY BIRTHING FACILITY)</t>
  </si>
  <si>
    <t xml:space="preserve"> PHILIPPINE SCIENCE HIGH SCHOOL SYSTEM						"REQUEST FOR QUOTATION FORM &amp;  NOTICE (GOODS)"		 Office / Campus:			MAIN CAMPUS					 Address / Contact Details:			AGHAM ROAD, DILIMAN, QUEZON CITY					 								 						Quotation No.:	20-06-123	 	GENTELMEN:					Dat</t>
  </si>
  <si>
    <t xml:space="preserve"> PHILIPPINE SCIENCE HIGH SCHOOL SYSTEM						"REQUEST FOR QUOTATION FORM &amp;  NOTICE (GOODS)"		 Office / Campus:			MAIN CAMPUS					 Address / Contact Details:			AGHAM ROAD, DILIMAN, QUEZON CITY					 								 						Quotation No.:	20-06-119	 	GENTELMEN:					Dat</t>
  </si>
  <si>
    <t xml:space="preserve"> PHILIPPINE SCIENCE HIGH SCHOOL SYSTEM						"REQUEST FOR QUOTATION FORM &amp;  NOTICE (GOODS)"		 Office / Campus:			MAIN CAMPUS					 Address / Contact Details:			AGHAM ROAD, DILIMAN, QUEZON CITY					 								 						Quotation No.:	20-04-122	 	GENTELMEN:					Dat</t>
  </si>
  <si>
    <t xml:space="preserve"> I.	MOB./DEMOB. II.	GENERAL REQUIREMENTS     A. Sign Board        B. Temporary Facility III.	DIVERSION WORKS IV.	CANALIZATION V.	CANAL STRUCTURES</t>
  </si>
  <si>
    <t xml:space="preserve"> PHILIPPINE SCIENCE HIGH SCHOOL SYSTEM						"REQUEST FOR QUOTATION FORM &amp;  NOTICE (GOODS)"		 Office / Campus:			MAIN CAMPUS					 Address / Contact Details:			AGHAM ROAD, DILIMAN, QUEZON CITY					 								 						Quotation No.:	20-06-120	 	GENTELMEN:					Dat</t>
  </si>
  <si>
    <t xml:space="preserve"> I.	General Requirements     A. Sign Board        B. Temporary Facility II.	Canalization</t>
  </si>
  <si>
    <t xml:space="preserve"> TO CONSTRUCT STONE MASONRY SLOPE PROTECTION CONCRETE CANAL AND PCCP</t>
  </si>
  <si>
    <t xml:space="preserve"> PHILIPPINE SCIENCE HIGH SCHOOL SYSTEM						"REQUEST FOR QUOTATION FORM &amp;  NOTICE (GOODS)"		 Office / Campus:			MAIN CAMPUS					 Address / Contact Details:			AGHAM ROAD, DILIMAN, QUEZON CITY					 								 						Quotation No.:	20-06-125	 	GENTELMEN:					Dat</t>
  </si>
  <si>
    <t xml:space="preserve"> INVITATION TO APPLY FOR ELIGIBILITY AND TO  BID The Municipality of Mutia through its Bids and  Awards Committee Invites  contractors to apply for eligibility and to bid for the project reflected hereunder; NAME OF PROJECT	:  Procurement of Furniture &amp; Fi</t>
  </si>
  <si>
    <t xml:space="preserve"> Republic of the Philippines Province of Davao Oriental City of Mati BIDS &amp; AWARDS COMMITTEE INVITATION TO BID LOT Procurement of SPAREPARTS for the Use of Light and Heavy Equipment SOURCE OF FUND: 20% LGDF [8000A-300-1-07-03-010-17-12] 1.	The Provincial G</t>
  </si>
  <si>
    <t xml:space="preserve"> TO CONSTRUCT STONE MASONRY SLOPE PROTECTION AND PCCP</t>
  </si>
  <si>
    <t xml:space="preserve"> PHILIPPINE SCIENCE HIGH SCHOOL SYSTEM						"REQUEST FOR QUOTATION FORM &amp;  NOTICE (GOODS)"		 Office / Campus:			MAIN CAMPUS					 Address / Contact Details:			AGHAM ROAD, DILIMAN, QUEZON CITY					 								 						Quotation No.:	20-06-124	 	GENTELMEN:					Dat</t>
  </si>
  <si>
    <t xml:space="preserve"> The Local Government Unit of Tangcal, Lanao del Norte invites contractors to submit bids for the Rehabilitation of Box Culvert for 60 Calendar Days. NOTE: Download attached document(s) for more details</t>
  </si>
  <si>
    <t xml:space="preserve"> The National Food Authority (NFA) Southern Tagalog Region intends to apply the sum of Ninety Three Million Nine Hundred Sixty Nine Thousand Eight Hunded Seventy Five Pesos (P93,969,875.00) inclusive of VAT from its Corporate Operating Budget as the Approv</t>
  </si>
  <si>
    <t xml:space="preserve"> The Local Government Unit of Tangcal, Lanao del Norte invites contractors to submit bids for the Rehabilitation of Road from Poblacion to Bubong for 90 Calendar Days. NOTE: Download attached document(s) for more details</t>
  </si>
  <si>
    <t xml:space="preserve"> ITEM NO.	DESCRIPTION	 Qty 	Statement of Compliance 	Procurement and delivery of Mungbean, Peanut and Watermelon seeds under  HVCDP 2020		 1	Mungbean	250 bags	 Bidders must state here either “Comply” or “Not Comply” against each of the individual parameter</t>
  </si>
  <si>
    <t xml:space="preserve"> ITEM NO.	DESCRIPTION	   Qty	Statement of Compliance 	Assorted Lowland  Vegetable Seeds		 1	Hybrid Ampalaya @ 50g/can	800 cans	 2	Hybrid Squash @ 50g/can	800 cans	 3	Hybrid Cucumber @ 50g/can	800 cans	 4	OP Upo @ 50g/can	750 cans	 5	Hybrid Eggplant @ 50g/c</t>
  </si>
  <si>
    <t xml:space="preserve"> DESCRIPTION Item No.	PROCUREMENT AND DELIVERY OF VARIOUS LABORATORY SUPPLIES FOR THE 2nd  QUARTER OF CY 2020 UNDER ILD 	QTY (unit) 1	L-tryptophan, AR, 25g/bot.	2 bots. 2	Ammonium Acetate, AR, 500g/bot.	2 bots. 3	Acetonitrile, HPLC Grade, 4L/bot.	2 bots. 4</t>
  </si>
  <si>
    <t xml:space="preserve"> Department of Public Works and Highways (DPWH) Contract ID: 20MB0153 Contract Name:  Construction/Rehabilitation of Water Supply/Septage and Sewerage/Rain Water Collectors Contract Location: a)	Blagan Elementary School, Brgy. San Jose, General Santos City</t>
  </si>
  <si>
    <t xml:space="preserve"> INVITATION TO APPLY FOR ELIGIBILITY AND TO  BID The Municipality of Mutia through its Bids and  Awards Committee Invites  contractors to apply for eligibility and to bid for the project reflected hereunder; NAME OF PROJECT	:  Improvement of Municipal Plaz</t>
  </si>
  <si>
    <t xml:space="preserve"> The Government of the Philippines (GOP) has received a Loan from the World Bank towards the cost of Philippine Rural Development Project and intends to apply part of the proceeds of this loan to payments under the contract for the Construction of Chocolat</t>
  </si>
  <si>
    <t xml:space="preserve"> Contract Period: The contract shall commence on the date stipulated in the Notice to Proceed to be issued by the Administrative Services Department (ASD), to end 31 December 2020. Please see attachment in the Associated Components for the complete set of </t>
  </si>
  <si>
    <t xml:space="preserve"> INVITATION TO BID The Department of Public Works and Highways (DPWH), Cavite 3rd District Engineering Office, Carmona, Cavite through its Bids and Awards Committee (BAC), invites contractors to submit bids for the following Contract: 4. Contract I.D. No.:</t>
  </si>
  <si>
    <t xml:space="preserve"> TO PROVIDE FLU VACCINE TO 160 individual person</t>
  </si>
  <si>
    <t xml:space="preserve"> Republic of the Philippines Province of Camarines Sur MUNICIPALITY OF MINALABAC -o0o- Invitation to Bid for PURCHASE OF 2 UNITS STAINLESS WATER LORRY TRUCK 1. LGU-Minalabac, Camarines Sur, through its 5% DRRM Fund, CY 2020 intends to apply the sum of Five</t>
  </si>
  <si>
    <t xml:space="preserve"> Section I. Invitation to Bid   INVITATION TO BID FOR  Supply and Delivery of Robotics (LSB) 1.	The Local Government Unit of Lambayong, through the SEF Expenses Fund intends to apply the sum of Two Million Five Hundred Thousand Pesos (PhP2,500,000.00) bein</t>
  </si>
  <si>
    <t xml:space="preserve"> 1.	The Municipality of Consolacion, through the General Fund intends to apply the sum of Three Hundred Twenty-One Thousand Thirty Pesos (P 321,030.00) being the Approved Budget for the Contract (ABC) to payments under the contract for Procurement of Medic</t>
  </si>
  <si>
    <t xml:space="preserve"> (see bidding documents associated component for further project details)</t>
  </si>
  <si>
    <t xml:space="preserve"> RENOVATION OF MAYOR'S OFFICE AND CONSTRUCTION OF SORTING STATION, SIKATUNA, BOHOL</t>
  </si>
  <si>
    <t xml:space="preserve"> Republic of the Philippines DEPARTMENT OF PUBLIC WORKS AND HIGHWAYS CAMARINES NORTE  DISTRICT ENGINEERING OFFICE REGIONAL OFFICE V Daet, Camarines Norte INVITATION TO BID (Re-Advertisement) The Department of Public Works and Highways, Camarines Norte Dist</t>
  </si>
  <si>
    <t xml:space="preserve"> Republic of the Philippines DEPARTMENT OF PUBLIC WORKS AND HIGHWAYS SULTAN KUDARAT 2ND DISTRICT ENGINEERING OFFICE REGION XII Lebak, Sultan Kudarat INVITATION TO BID FOR SUPPLY/DELIVERY OF  ASPHALT COLD MIX FOR THE REPAIR/MAINTENANCE OF NATIONAL ROADS &amp; B</t>
  </si>
  <si>
    <t xml:space="preserve"> Republic of the Philippines DEPARTMENT OF PUBLIC WORKS AND HIGHWAYS SULTAN KUDARAT 2ND DISTRICT ENGINEERING OFFICE REGION XII Lebak, Sultan Kudarat INVITATION TO BID FOR SUPPLY/DELIVERY OF ROAD SAFETY FACILITIES FOR THE MAINTENANCE/IMPROVEMENT OF NATIONAL</t>
  </si>
  <si>
    <t xml:space="preserve"> Republic of the Philippines DEPARTMENT OF PUBLIC WORKS AND HIGHWAYS SULTAN KUDARAT 2ND DISTRICT ENGINEERING OFFICE REGION XII Lebak, Sultan Kudarat INVITATION TO BID FOR SUPPLY/DELIVERY OF THERMOPLASTIC PAINTS FOR THE REPAIR/MAINTENANCE OF NATIONAL ROAD &amp;</t>
  </si>
  <si>
    <t xml:space="preserve"> Republic of the Philippines DEPARTMENT OF PUBLIC WORKS AND HIGHWAYS SULTAN KUDARAT 2ND DISTRICT ENGINEERING OFFICE REGION XII Lebak, Sultan Kudarat INVITATION TO BID FOR SUPPLY/DELIVERY OF  ROAD SIGN FOR THE MAINTENANCE/IMPROVEMENT OF NATIONAL ROAD, SULTA</t>
  </si>
  <si>
    <t xml:space="preserve"> 1.	The Municipality of Consolacion, through the Financial Assistance from the Municipality and from the Provincial Capitol intends to apply the sum of Four Hundred Eighty Thousand Pesos (P 480,000.00) being the Approved Budget for the Contract (ABC) to pa</t>
  </si>
  <si>
    <t xml:space="preserve"> Invitation to Bid for  LOWER SIBUGUEY I RIS EXTENSION PROJECT PACKAGE 3 CY 2016 REMAINING WORKS Diplahan, Zamboanga Sibugay 1.	The National Irrigation Administration – Zamboanga Sibugay Irrigation Management Office, Region 9, through the LINEPROGRAMS-EXTE</t>
  </si>
  <si>
    <t xml:space="preserve"> MATERIALS FOR INTRAMURALS FOR EVENTS USED</t>
  </si>
  <si>
    <t xml:space="preserve"> OFFICE OF THE BIDS AND AWARDS COMMITTEE (BAC) INVITATION TO BID FOR THE 20-05-399 Construction of Water System at Maracabac, Guiling, Alamada, Cotabato 1.	The Local Government Unit of Alamada, through the Supplemental Budget No. 1 CY 2020 CO (1-07-03-040)</t>
  </si>
  <si>
    <t xml:space="preserve"> Invitation to Bid for  LOWER SIBUGUEY II RIS EXTENSION PROJECT PACKAGE 2 CY 2017 REMAINING WORKS Imelda, Zamboanga Sibugay 1.	The National Irrigation Administration – Zamboanga Sibugay Irrigation Management Office, Region 9, through the LINEPROGRAMS-EXTEN</t>
  </si>
  <si>
    <t xml:space="preserve"> REPUBLIC OF THE PHILIPPINES CALUMPIT WATER DISTRICT BIDS AND AWARDS COMMITTEE Records/BAC Room., CWD Bldg., M. Serrano St.,Corazon, Calumpit, Bulacan Tel. Nos. 044- 913 0079/ Telefax: 202 5125 INVITATION TO BID FOR Supply of Equipment, Installation and Co</t>
  </si>
  <si>
    <t xml:space="preserve"> OFFICE OF THE BIDS AND AWARDS COMMITTEE (BAC) INVITATION TO BID FOR: 20-06-443 Purchase of 8 in 1 Assorted Vegetables Seeds for Sustainable Integrated Natural Garden (SUSING) Livelihood Program-Livelihood Seeds Distribution for Alamada Constituents 1.	The</t>
  </si>
  <si>
    <t xml:space="preserve"> Department of Agriculture		 BUREAU OF PLANT INDUSTRY 692 San Andres Street Malate, Manila, Philippines E-mail Address: bpibac@yahoo.com Tel. No.: (02) 8526-7859, (02) 8691-0736 | Website: bpi.da.gov.ph SOLICITATION NO.: ITB PR NO. 0691-20BAC  INVITATION T</t>
  </si>
  <si>
    <t xml:space="preserve"> Student ID JHS FOR STUDENTS</t>
  </si>
  <si>
    <t xml:space="preserve"> Student ID SHS FOR STUDENTS</t>
  </si>
  <si>
    <t xml:space="preserve"> Department of Agriculture		 BUREAU OF PLANT INDUSTRY 692 San Andres Street Malate, Manila, Philippines E-mail Address: bpibac@yahoo.com Tel. No.: (02) 8526-7859, (02) 8691-0736 | Website: bpi.da.gov.ph SOLICITATION NO.: ITB PR NO. 0772-20BAC  INVITATION T</t>
  </si>
  <si>
    <t xml:space="preserve"> ADDITIONAL SCHOOL AND OFFICE SUPPLIES FOR STUDENTS</t>
  </si>
  <si>
    <t xml:space="preserve"> Contract ID:	20LG0113 (Readvertise) Contract Name:			Repair/Maintenance of Mati Flood Control, Brgy Central, City of Mati, Davao Oriental Contract Location:	Brgy Central, City of Mati, Davao Oriental Brief Description:	Repair/ Maintenance of Flood Control</t>
  </si>
  <si>
    <t xml:space="preserve"> REPAIR OF DOORS FOR SHS FOR SCHOOL MAINTAINACE</t>
  </si>
  <si>
    <t xml:space="preserve"> INSTALLATION OF CR SHS FOR WINS</t>
  </si>
  <si>
    <t xml:space="preserve"> SOLICITATION NO.: ITB PR NO. 0177-20BAC  INVITATION TO BID FOR THE PROCUREMENT FOR THE SUPPLY AND DELIVERY OF MYCOTOXIN SUPPLIES FOR USE IN LABORATORIES OF PLANT PRODUCT SAFETY SERVICES DIVISION (PPSSD) 1.	The Bureau of Plant Industry (BPI), through the Q</t>
  </si>
  <si>
    <t xml:space="preserve"> Department of Agriculture		 BUREAU OF PLANT INDUSTRY 692 San Andres Street Malate, Manila, Philippines E-mail Address: bpibac@yahoo.com Tel. No.: (02) 8526-7859, (02) 8691-0736 | Website: bpi.da.gov.ph SOLICITATION NO.: ITB PR NO. 0499-20BAC  INVITATION T</t>
  </si>
  <si>
    <t xml:space="preserve"> Department of Agriculture		 BUREAU OF PLANT INDUSTRY 692 San Andres Street Malate, Manila, Philippines E-mail Address: bpibac@yahoo.com Tel. No.: (02) 8526-7859, (02) 8691-0736 | Website: bpi.da.gov.ph SOLICITATION NO.: ITB PR NO. 0694-20BAC  INVITATION T</t>
  </si>
  <si>
    <t xml:space="preserve"> SOLICITATION NO.: ITB PR NO. 0204-20BAC  INVITATION TO BID FOR THE PROCUREMENT FOR THE SUPPLY AND DELIVERY OF LC, HPLC CONSUMABLES FOR USE IN LABORATORIES OF PLANT PRODUCT SAFETY SERVICES DIVISION (PPSSD) 1.	The Bureau of Plant Industry (BPI), through the</t>
  </si>
  <si>
    <t xml:space="preserve"> Department of Agriculture		 BUREAU OF PLANT INDUSTRY 692 San Andres Street Malate, Manila, Philippines E-mail Address: bpibac@yahoo.com Tel. No.: (02) 8526-7859, (02) 8691-0736 | Website: bpi.da.gov.ph SOLICITATION NO.: ITB PR NO. 0774-20BAC  INVITATION T</t>
  </si>
  <si>
    <t xml:space="preserve"> Republic of the Philippines Province of Ilocos Sur Municipality of Quirino, Ilocos Sur Invitation to Bid for the Continuation/Improvement of Kendongay FMR, Poblacion, Quirino, Ilocos Sur 1.	The Municipality of Quirino, Ilocos Sur, through the RA 7171 FY 2</t>
  </si>
  <si>
    <t xml:space="preserve"> Invitation to Bid for the supply &amp; delivery of Various School Supplies for use of Dep. Ed., Division of Batangas City</t>
  </si>
  <si>
    <t xml:space="preserve"> CONCRETING OF ROAD AT DOÑA PILAR, SASA, DAVAO CITY ITEM			DESCRIPTION 100(2)		CLEARING AND GRUBBING 101(1)		REMOVAL OF STRUCTURES AND OBSTRUCTION 102(2)		SURPLUS COMMON EXCAVATION 103(3)		FOUNDATION FILL 105(1)		SUBGRADE PREPARATION 201			AGGREGATE BASE C</t>
  </si>
  <si>
    <t xml:space="preserve"> Department of Agriculture		 BUREAU OF PLANT INDUSTRY 692 San Andres Street Malate, Manila, Philippines E-mail Address: bpibac@yahoo.com Tel. No.: (02) 8526-7859, (02) 8691-0736 | Website: bpi.da.gov.ph SOLICITATION NO.: ITB PR NO. 3310-19BAC  INVITATION T</t>
  </si>
  <si>
    <t xml:space="preserve"> REQUEST FOR EXPRESSION OF INTEREST (REI) FOR THE CONSULTING SERVICES FOR THE PREPARATION OF FEASIBILITY STUDIES OF NATIONAL SEPTAGE AND SEWERAGE MANAGEMENT PROGRAM  (OLONGAPO CITY AND ILIGAN CITY) 1.	The Department of Public Works and Highways, through th</t>
  </si>
  <si>
    <t xml:space="preserve"> Department of Agriculture		 BUREAU OF PLANT INDUSTRY 692 San Andres Street Malate, Manila, Philippines E-mail Address: bpibac@yahoo.com Tel. No.: (02) 8526-7859, (02) 8691-0736 | Website: bpi.da.gov.ph SOLICITATION NO.: ITB PR NO. 0697-20BAC  INVITATION T</t>
  </si>
  <si>
    <t xml:space="preserve"> Department of Agriculture		 BUREAU OF PLANT INDUSTRY 692 San Andres Street Malate, Manila, Philippines E-mail Address: bpibac@yahoo.com Tel. No.: (02) 8526-7859, (02) 8691-0736 | Website: bpi.da.gov.ph SOLICITATION NO.: ITB PR NO. 0604-20BAC  INVITATION T</t>
  </si>
  <si>
    <t xml:space="preserve"> Department of Agriculture		 BUREAU OF PLANT INDUSTRY 692 San Andres Street Malate, Manila, Philippines E-mail Address: bpibac@yahoo.com Tel. No.: (02) 8526-7859, (02) 8691-0736 | Website: bpi.da.gov.ph SOLICITATION NO.: ITB PR NO. 0952-20BAC  INVITATION T</t>
  </si>
  <si>
    <t xml:space="preserve"> Department of Agriculture		 BUREAU OF PLANT INDUSTRY 692 San Andres Street Malate, Manila, Philippines E-mail Address: bpibac@yahoo.com Tel. No.: (02) 8526-7859, (02) 8691-0736 | Website: bpi.da.gov.ph SOLICITATION NO.: ITB PR NO. 0698-20BAC  INVITATION T</t>
  </si>
  <si>
    <t xml:space="preserve"> Invitation to Bid for the supply &amp; delivery of One unit Corn Harvester w/trailer &amp; One unit Tractor for use of the City Veterinary &amp; Agricultural Services Office, Batangas City</t>
  </si>
  <si>
    <t xml:space="preserve"> ITEM			DESCRIPTION 101(1)		REMOVAL OF STRUCTURES AND OBSTRUCTIONS 102(2)		SURPLUS COMMON EXCAVATION 103(3)		FOUNDATION FILL 201.00		AGGREGATE BASE COURSE 311(1)		PCC PAVEMENT, PLAIN 404			REINFORCING STEEL 405(1)		STRUCTURAL CONCRETE, CLASS A 500.00		PIPE</t>
  </si>
  <si>
    <t xml:space="preserve"> Invitation to Bid for the supply, delivery &amp; installation of various airconditioning units for use of different offices of Batangas City Government</t>
  </si>
  <si>
    <t xml:space="preserve"> Department of Agriculture		 BUREAU OF PLANT INDUSTRY 692 San Andres Street Malate, Manila, Philippines E-mail Address: bpibac@yahoo.com Tel. No.: (02) 8526-7859, (02) 8691-0736 | Website: bpi.da.gov.ph SOLICITATION NO.: ITB PR NO. 0605-20BAC  INVITATION T</t>
  </si>
  <si>
    <t xml:space="preserve"> Description Republic of the Philippines PROVINCE OF ZAMBONAGA DEL NORTE Municipality of Leon B. Postigo INVITATION TO BID (2020-05-065) June 04, 2020   Municipality of Leon B. Postigo, Zamboanga del Norte invites qualified bidders to apply for prequalific</t>
  </si>
  <si>
    <t xml:space="preserve"> Description Republic of the Philippines PROVINCE OF ZAMBONAGA DEL NORTE Municipality of Leon B. Postigo INVITATION TO BID (2020-05-064) June 04, 2020   Municipality of Leon B. Postigo, Zamboanga del Norte invites qualified bidders to apply for prequalific</t>
  </si>
  <si>
    <t xml:space="preserve"> Description Republic of the Philippines PROVINCE OF ZAMBONAGA DEL NORTE Municipality of Leon B. Postigo INVITATION TO BID (2020-05-061) June 04, 2020   Municipality of Leon B. Postigo, Zamboanga del Norte invites qualified bidders to apply for prequalific</t>
  </si>
  <si>
    <t xml:space="preserve"> Republic of the Philippines PROVINCE OF PAMPANGA City of San Fernando INVITATION TO BID NO. 2020-16 IG - BAC INVITATION TO BID FOR PURCHASE REQUEST NO. 20-0554 and 20-0620 The Provincial Government of Pampanga (“Province”) intends to apply the following s</t>
  </si>
  <si>
    <t xml:space="preserve"> Republic of the Philippines DEPARTMENT OF PUBLIC WORKS AND HIGHWAYS OFFICE OF THE REGIONAL DIRECTOR Regional Office No. IV-A EDSA, Quezon City June 03, 2020 SUBJECT : NOTICE OF SHORT LIST AND REQUEST FOR PROPOSALS (RFP) FoR CONTRACT ID NO. 20CSD001: CONSU</t>
  </si>
  <si>
    <t xml:space="preserve"> Invitation to Bid for the supply, delivery &amp; installation of various materials for the restoration of Wireless Antennas and additional CCTV Surveillance Cameras at different Barangay of Batangas City</t>
  </si>
  <si>
    <t xml:space="preserve"> Description Republic of the Philippines PROVINCE OF ZAMBONAGA DEL NORTE Municipality of Leon B. Postigo INVITATION TO BID (2020-05-073) June 04, 2020   Municipality of Leon B. Postigo, Zamboanga del Norte invites qualified bidders to apply for prequalific</t>
  </si>
  <si>
    <t xml:space="preserve"> Description Republic of the Philippines PROVINCE OF ZAMBONAGA DEL NORTE Municipality of Leon B. Postigo INVITATION TO BID (2020-05-063) June 04, 2020   Municipality of Leon B. Postigo, Zamboanga del Norte invites qualified bidders to apply for prequalific</t>
  </si>
  <si>
    <t xml:space="preserve"> Description Republic of the Philippines PROVINCE OF ZAMBONAGA DEL NORTE Municipality of Leon B. Postigo INVITATION TO BID (2020-05-071) June 04, 2020   Municipality of Leon B. Postigo, Zamboanga del Norte invites qualified bidders to apply for prequalific</t>
  </si>
  <si>
    <t xml:space="preserve"> Description Republic of the Philippines PROVINCE OF ZAMBONAGA DEL NORTE Municipality of Leon B. Postigo INVITATION TO BID (2020-05-070) June 04, 2020   Municipality of Leon B. Postigo, Zamboanga del Norte invites qualified bidders to apply for prequalific</t>
  </si>
  <si>
    <t xml:space="preserve"> Description Republic of the Philippines PROVINCE OF ZAMBONAGA DEL NORTE Municipality of Leon B. Postigo INVITATION TO BID (2020-05-068) June 04, 2020   Municipality of Leon B. Postigo, Zamboanga del Norte invites qualified bidders to apply for prequalific</t>
  </si>
  <si>
    <t xml:space="preserve"> Description Republic of the Philippines PROVINCE OF ZAMBONAGA DEL NORTE Municipality of Leon B. Postigo INVITATION TO BID (2020-05-060) June 04, 2020   Municipality of Leon B. Postigo, Zamboanga del Norte invites qualified bidders to apply for prequalific</t>
  </si>
  <si>
    <t xml:space="preserve"> Description Republic of the Philippines PROVINCE OF ZAMBONAGA DEL NORTE Municipality of Leon B. Postigo INVITATION TO BID (2020-05-081) June 04, 2020   Municipality of Leon B. Postigo, Zamboanga del Norte invites qualified bidders to apply for prequalific</t>
  </si>
  <si>
    <t xml:space="preserve"> Description Republic of the Philippines PROVINCE OF ZAMBONAGA DEL NORTE Municipality of Leon B. Postigo INVITATION TO BID (2020-05-080) June 04, 2020   Municipality of Leon B. Postigo, Zamboanga del Norte invites qualified bidders to apply for prequalific</t>
  </si>
  <si>
    <t xml:space="preserve"> Description Republic of the Philippines PROVINCE OF ZAMBONAGA DEL NORTE Municipality of Leon B. Postigo INVITATION TO BID (2020-05-078) June 04, 2020   Municipality of Leon B. Postigo, Zamboanga del Norte invites qualified bidders to apply for prequalific</t>
  </si>
  <si>
    <t xml:space="preserve"> Description Republic of the Philippines PROVINCE OF ZAMBONAGA DEL NORTE Municipality of Leon B. Postigo INVITATION TO BID (2020-05-079) June 04, 2020   Municipality of Leon B. Postigo, Zamboanga del Norte invites qualified bidders to apply for prequalific</t>
  </si>
  <si>
    <t xml:space="preserve"> Description Republic of the Philippines PROVINCE OF ZAMBONAGA DEL NORTE Municipality of Leon B. Postigo INVITATION TO BID (2020-05-067) June 04, 2020   Municipality of Leon B. Postigo, Zamboanga del Norte invites qualified bidders to apply for prequalific</t>
  </si>
  <si>
    <t xml:space="preserve"> Description Republic of the Philippines PROVINCE OF ZAMBONAGA DEL NORTE Municipality of Leon B. Postigo INVITATION TO BID (2020-05-076) June 04, 2020   Municipality of Leon B. Postigo, Zamboanga del Norte invites qualified bidders to apply for prequalific</t>
  </si>
  <si>
    <t xml:space="preserve"> Description Republic of the Philippines PROVINCE OF ZAMBONAGA DEL NORTE Municipality of Leon B. Postigo INVITATION TO BID (2020-05-077) June 04, 2020   Municipality of Leon B. Postigo, Zamboanga del Norte invites qualified bidders to apply for prequalific</t>
  </si>
  <si>
    <t xml:space="preserve"> Description Republic of the Philippines PROVINCE OF ZAMBONAGA DEL NORTE Municipality of Leon B. Postigo INVITATION TO BID (2020-05-083) June 04, 2020   Municipality of Leon B. Postigo, Zamboanga del Norte invites qualified bidders to apply for prequalific</t>
  </si>
  <si>
    <t xml:space="preserve"> Description Republic of the Philippines PROVINCE OF ZAMBONAGA DEL NORTE Municipality of Leon B. Postigo INVITATION TO BID (2020-05-082) June 04, 2020   Municipality of Leon B. Postigo, Zamboanga del Norte invites qualified bidders to apply for prequalific</t>
  </si>
  <si>
    <t xml:space="preserve"> Description Republic of the Philippines PROVINCE OF ZAMBONAGA DEL NORTE Municipality of Leon B. Postigo INVITATION TO BID (2020-05-075) June 04, 2020   Municipality of Leon B. Postigo, Zamboanga del Norte invites qualified bidders to apply for prequalific</t>
  </si>
  <si>
    <t xml:space="preserve"> Description Republic of the Philippines PROVINCE OF ZAMBONAGA DEL NORTE Municipality of Leon B. Postigo INVITATION TO BID (2020-05-095) June 04, 2020   Municipality of Leon B. Postigo, Zamboanga del Norte invites qualified bidders to apply for prequalific</t>
  </si>
  <si>
    <t xml:space="preserve"> Description Republic of the Philippines PROVINCE OF ZAMBONAGA DEL NORTE Municipality of Leon B. Postigo INVITATION TO BID (2020-05-097) June 04, 2020   Municipality of Leon B. Postigo, Zamboanga del Norte invites qualified bidders to apply for prequalific</t>
  </si>
  <si>
    <t xml:space="preserve"> Description Republic of the Philippines PROVINCE OF ZAMBONAGA DEL NORTE Municipality of Leon B. Postigo INVITATION TO BID (2020-05-069) June 04, 2020   Municipality of Leon B. Postigo, Zamboanga del Norte invites qualified bidders to apply for prequalific</t>
  </si>
  <si>
    <t xml:space="preserve"> Description Republic of the Philippines PROVINCE OF ZAMBONAGA DEL NORTE Municipality of Leon B. Postigo INVITATION TO BID (2020-05-098) June 04, 2020   Municipality of Leon B. Postigo, Zamboanga del Norte invites qualified bidders to apply for prequalific</t>
  </si>
  <si>
    <t xml:space="preserve"> Description Republic of the Philippines PROVINCE OF ZAMBONAGA DEL NORTE Municipality of Leon B. Postigo INVITATION TO BID (2020-05-094) June 04, 2020   Municipality of Leon B. Postigo, Zamboanga del Norte invites qualified bidders to apply for prequalific</t>
  </si>
  <si>
    <t xml:space="preserve"> Description Republic of the Philippines PROVINCE OF ZAMBONAGA DEL NORTE Municipality of Leon B. Postigo INVITATION TO BID (2020-05-074) June 04, 2020   Municipality of Leon B. Postigo, Zamboanga del Norte invites qualified bidders to apply for prequalific</t>
  </si>
  <si>
    <t xml:space="preserve"> Description Republic of the Philippines PROVINCE OF ZAMBONAGA DEL NORTE Municipality of Leon B. Postigo INVITATION TO BID (2020-05-072) June 04, 2020   Municipality of Leon B. Postigo, Zamboanga del Norte invites qualified bidders to apply for prequalific</t>
  </si>
  <si>
    <t xml:space="preserve"> Description Republic of the Philippines PROVINCE OF ZAMBONAGA DEL NORTE Municipality of Leon B. Postigo INVITATION TO BID (2020-05-096) June 04, 2020   Municipality of Leon B. Postigo, Zamboanga del Norte invites qualified bidders to apply for prequalific</t>
  </si>
  <si>
    <t xml:space="preserve"> Improvement of Multi-Purpose Pavement at Brgy. Ulay-Bugang, Alimodian Iloilo</t>
  </si>
  <si>
    <t xml:space="preserve"> Republic of the Philippines Province of Sarangani Municipality of Malapatan INVITATION TO BID  	 2020-B1-04-010        PROCUREMENT OF HYBRID WHITE CORN SEEDS, MALAPATAN SARANGANI PROVINCE   1.	The Local Government Unit of Malapatan, through the GENERAL FU</t>
  </si>
  <si>
    <t xml:space="preserve"> INVITATION TO BID FOR  ESTABLISHMENT OF THREE (3) UNITS OF SMALL WATER IMPOUNDING SYSTEM (SWIS) AT BRGY. SAN ROQUE, BULALACAO, ORIENTAL MINDORO 1.	The DENR PENRO – Oriental Mindoro, through the RA 11465, GAA 2020 intends to apply the sum of Three Million </t>
  </si>
  <si>
    <t xml:space="preserve"> Description Republic of the Philippines PROVINCE OF ZAMBONAGA DEL NORTE Municipality of Leon B. Postigo INVITATION TO BID (2020-05-066) June 04, 2020   Municipality of Leon B. Postigo, Zamboanga del Norte invites qualified bidders to apply for prequalific</t>
  </si>
  <si>
    <t xml:space="preserve"> Improvement of Day Care Centerr, Brgy. Balabago, Alimodian Iloil;o</t>
  </si>
  <si>
    <t xml:space="preserve"> 102 Roadway Excavation  104 Embankment  201 Aggregate Base Course  311 Portland Cement Concrete Pavement</t>
  </si>
  <si>
    <t xml:space="preserve"> Republic of the Philippines Province of Sarangani Municipality of Malapatan INVITATION TO BID  	 2020-B2-02 ESTABLISHMENT OF MULTI-COMMODITY DRYING PAVEMENT AT SITIO KITULAG, BRGY. KINAM &amp; SITIO BOLOLKALON, BRGY. LUN PADIDU, MALAPATAN SARANGANI PROVINCE  </t>
  </si>
  <si>
    <t xml:space="preserve"> Description Republic of the Philippines PROVINCE OF ZAMBONAGA DEL NORTE Municipality of Leon B. Postigo INVITATION TO BID (2020-05-099) June 04, 2020   Municipality of Leon B. Postigo, Zamboanga del Norte invites qualified bidders to apply for prequalific</t>
  </si>
  <si>
    <t xml:space="preserve"> INVITATION TO BID FOR THE SUPPLY, DELIVERY, INSTALLATION AND COMMISSIONING OF ONE (1) UNIT FULLY AUTOMATED CLINICAL CHEMISTRY ANALYZER 1.	The Eversley Childs Sanitarium and General Hospital, through HFEP 2020 GAA, intends to apply the sum of Five Million </t>
  </si>
  <si>
    <t xml:space="preserve"> Description Republic of the Philippines PROVINCE OF ZAMBONAGA DEL NORTE Municipality of Leon B. Postigo INVITATION TO BID (2020-03-036)  May 06, 2020   Municipality of Leon B. Postigo, Zamboanga del Norte invites qualified bidders to apply for prequalific</t>
  </si>
  <si>
    <t xml:space="preserve"> Description Republic of the Philippines PROVINCE OF ZAMBONAGA DEL NORTE Municipality of Leon B. Postigo INVITATION TO BID (2020-04-051)  May 06, 2020   Municipality of Leon B. Postigo, Zamboanga del Norte invites qualified bidders to apply for prequalific</t>
  </si>
  <si>
    <t xml:space="preserve"> Description Republic of the Philippines PROVINCE OF ZAMBONAGA DEL NORTE Municipality of Leon B. Postigo INVITATION TO BID (2020-05-133)  May 06, 2020   Municipality of Leon B. Postigo, Zamboanga del Norte invites qualified bidders to apply for prequalific</t>
  </si>
  <si>
    <t xml:space="preserve"> Description Republic of the Philippines PROVINCE OF ZAMBONAGA DEL NORTE Municipality of Leon B. Postigo INVITATION TO BID (2020-05-093)  May 06, 2020   Municipality of Leon B. Postigo, Zamboanga del Norte invites qualified bidders to apply for prequalific</t>
  </si>
  <si>
    <t xml:space="preserve"> Description Republic of the Philippines PROVINCE OF ZAMBONAGA DEL NORTE Municipality of Leon B. Postigo INVITATION TO BID (2020-05-116)  May 06, 2020   Municipality of Leon B. Postigo, Zamboanga del Norte invites qualified bidders to apply for prequalific</t>
  </si>
  <si>
    <t xml:space="preserve"> Description Republic of the Philippines PROVINCE OF ZAMBONAGA DEL NORTE Municipality of Leon B. Postigo INVITATION TO BID (2020-05-132)  June 04, 2020   Municipality of Leon B. Postigo, Zamboanga del Norte invites qualified bidders to apply for prequalifi</t>
  </si>
  <si>
    <t xml:space="preserve"> Description Republic of the Philippines PROVINCE OF ZAMBONAGA DEL NORTE Municipality of Leon B. Postigo INVITATION TO BID (2020-05-092)  May 06, 2020   Municipality of Leon B. Postigo, Zamboanga del Norte invites qualified bidders to apply for prequalific</t>
  </si>
  <si>
    <t xml:space="preserve"> Description Republic of the Philippines PROVINCE OF ZAMBONAGA DEL NORTE Municipality of Leon B. Postigo INVITATION TO BID (2020-05-105)  May 06, 2020   Municipality of Leon B. Postigo, Zamboanga del Norte invites qualified bidders to apply for prequalific</t>
  </si>
  <si>
    <t xml:space="preserve"> Description Republic of the Philippines PROVINCE OF ZAMBONAGA DEL NORTE Municipality of Leon B. Postigo INVITATION TO BID (2020-05-125)  June 04, 2020   Municipality of Leon B. Postigo, Zamboanga del Norte invites qualified bidders to apply for prequalifi</t>
  </si>
  <si>
    <t xml:space="preserve"> Description Republic of the Philippines PROVINCE OF ZAMBONAGA DEL NORTE Municipality of Leon B. Postigo INVITATION TO BID (2020-05-123)  June 04, 2020   Municipality of Leon B. Postigo, Zamboanga del Norte invites qualified bidders to apply for prequalifi</t>
  </si>
  <si>
    <t xml:space="preserve"> Description Republic of the Philippines PROVINCE OF ZAMBONAGA DEL NORTE Municipality of Leon B. Postigo INVITATION TO BID (2020-05-106)  May 06, 2020   Municipality of Leon B. Postigo, Zamboanga del Norte invites qualified bidders to apply for prequalific</t>
  </si>
  <si>
    <t xml:space="preserve"> Description Republic of the Philippines PROVINCE OF ZAMBONAGA DEL NORTE Municipality of Leon B. Postigo INVITATION TO BID (2020-05-114)  June 04, 2020   Municipality of Leon B. Postigo, Zamboanga del Norte invites qualified bidders to apply for prequalifi</t>
  </si>
  <si>
    <t xml:space="preserve"> STACK EMISSION TESTING SCOPE OF WORKS: 1. TESTING OF IN-STACK CONCENTRATIONS OF SULFUR DIOXIDE (SO2),NITROGEN DIOXIDE(NO2) AND CARBON MONOXIDE(CO)      OF 1 UNIT 270K W AND ONE (1) UNIT 250K W GEENRATOR SET FOR THREE (3) RUNS PER UNIT. 2. TESTING OF IN-ST</t>
  </si>
  <si>
    <t xml:space="preserve"> Description Republic of the Philippines PROVINCE OF ZAMBONAGA DEL NORTE Municipality of Leon B. Postigo INVITATION TO BID (2020-05-115)  June 04, 2020   Municipality of Leon B. Postigo, Zamboanga del Norte invites qualified bidders to apply for prequalifi</t>
  </si>
  <si>
    <t xml:space="preserve"> Description Republic of the Philippines PROVINCE OF ZAMBONAGA DEL NORTE Municipality of Leon B. Postigo INVITATION TO BID (2020-05-117)  June 04, 2020   Municipality of Leon B. Postigo, Zamboanga del Norte invites qualified bidders to apply for prequalifi</t>
  </si>
  <si>
    <t xml:space="preserve"> Procurement of Compressor Upgrade for Mechanical Ventilator</t>
  </si>
  <si>
    <t xml:space="preserve"> Description Republic of the Philippines PROVINCE OF ZAMBONAGA DEL NORTE Municipality of Leon B. Postigo INVITATION TO BID (2020-05-119)  June 04, 2020   Municipality of Leon B. Postigo, Zamboanga del Norte invites qualified bidders to apply for prequalifi</t>
  </si>
  <si>
    <t xml:space="preserve"> Procurement of BHS Package</t>
  </si>
  <si>
    <t xml:space="preserve"> Description Republic of the Philippines PROVINCE OF ZAMBONAGA DEL NORTE Municipality of Leon B. Postigo INVITATION TO BID (2020-05-088)  June 04, 2020   Municipality of Leon B. Postigo, Zamboanga del Norte invites qualified bidders to apply for prequalifi</t>
  </si>
  <si>
    <t xml:space="preserve"> Scope of Work 510.00 sq.m Lay-out &amp; Stacking 195.00 cu,m. Earthworks 48.00 cu.m Concrete and Masonry Works 2.00 unit BasketBall Stand and Ring</t>
  </si>
  <si>
    <t xml:space="preserve"> Procurement of Stethoscope, Adult</t>
  </si>
  <si>
    <t xml:space="preserve"> Description Republic of the Philippines PROVINCE OF ZAMBONAGA DEL NORTE Municipality of Leon B. Postigo INVITATION TO BID (2020-05-104)  June 04, 2020   Municipality of Leon B. Postigo, Zamboanga del Norte invites qualified bidders to apply for prequalifi</t>
  </si>
  <si>
    <t xml:space="preserve"> Procurement of Medical Equipment Lot 2</t>
  </si>
  <si>
    <t xml:space="preserve"> Description Republic of the Philippines PROVINCE OF ZAMBONAGA DEL NORTE Municipality of Leon B. Postigo INVITATION TO BID (2020-05-103)  June 04, 2020   Municipality of Leon B. Postigo, Zamboanga del Norte invites qualified bidders to apply for prequalifi</t>
  </si>
  <si>
    <t xml:space="preserve"> Procurement of Hematology Analyzer (3 Differential Parts)</t>
  </si>
  <si>
    <t xml:space="preserve"> Description Republic of the Philippines PROVINCE OF ZAMBONAGA DEL NORTE Municipality of Leon B. Postigo INVITATION TO BID (2020-05-120)  June 04, 2020   Municipality of Leon B. Postigo, Zamboanga del Norte invites qualified bidders to apply for prequalifi</t>
  </si>
  <si>
    <t xml:space="preserve"> Description Republic of the Philippines PROVINCE OF ZAMBONAGA DEL NORTE Municipality of Leon B. Postigo INVITATION TO BID (2020-05-131)  June 04, 2020   Municipality of Leon B. Postigo, Zamboanga del Norte invites qualified bidders to apply for prequalifi</t>
  </si>
  <si>
    <t xml:space="preserve"> Procurement of ER Lights Ceiling Mounted</t>
  </si>
  <si>
    <t xml:space="preserve"> Procurement of Medical Equipment Lot 1</t>
  </si>
  <si>
    <t xml:space="preserve"> IA. Name of Project:   Riprapping of Sitio Sala River (Php1,500,000.00)       Location	     	:   Sitio Sala, Brgy. San Antonio, Kalayaan, Laguna       Brief Description	:   I.Temporary Facilities;                                     II. Site Preparation/E</t>
  </si>
  <si>
    <t xml:space="preserve"> Description Republic of the Philippines PROVINCE OF ZAMBONAGA DEL NORTE Municipality of Leon B. Postigo INVITATION TO BID (2020-05-127)  June 04, 2020   Municipality of Leon B. Postigo, Zamboanga del Norte invites qualified bidders to apply for prequalifi</t>
  </si>
  <si>
    <t xml:space="preserve"> Procurement of Fetal Doppler</t>
  </si>
  <si>
    <t xml:space="preserve"> Program of Work 78.00 cu.m Excavation 50.16 cu.m Grouted Riprap 13.68 cu.m Concrete</t>
  </si>
  <si>
    <t xml:space="preserve"> Description Republic of the Philippines PROVINCE OF ZAMBONAGA DEL NORTE Municipality of Leon B. Postigo INVITATION TO BID (2020-05-128)  June 04, 2020   Municipality of Leon B. Postigo, Zamboanga del Norte invites qualified bidders to apply for prequalifi</t>
  </si>
  <si>
    <t xml:space="preserve"> Procurement of Digital X-Ray with CR System</t>
  </si>
  <si>
    <t xml:space="preserve"> Description Republic of the Philippines PROVINCE OF ZAMBONAGA DEL NORTE Municipality of Leon B. Postigo INVITATION TO BID (2020-05-130)  June 04, 2020   Municipality of Leon B. Postigo, Zamboanga del Norte invites qualified bidders to apply for prequalifi</t>
  </si>
  <si>
    <t xml:space="preserve"> I.Site Preparation/Removal and Disposal of PCCP; II. Aggregate Base Course (0.10m thk);  III.Portland Cement Concrete Pavement (0.15m thk)</t>
  </si>
  <si>
    <t xml:space="preserve"> Description Republic of the Philippines PROVINCE OF ZAMBONAGA DEL NORTE Municipality of Leon B. Postigo INVITATION TO BID (2020-05-102)  June 04, 2020   Municipality of Leon B. Postigo, Zamboanga del Norte invites qualified bidders to apply for prequalifi</t>
  </si>
  <si>
    <t xml:space="preserve"> MOTORCYCLEXR150 3 units Spec:EngineTransmission5-Speed,StasterKick/electric,enginedisplacement(cc) 149,2 enginepower(kW/rpm)9,4/7.750,max torque(Nm/rpm)13/6.500,engine(cylinder)1 ignitionCDIbattery,system(volt)12,enginetypeOHRaircooled,strokecycle4 Compre</t>
  </si>
  <si>
    <t xml:space="preserve"> Description Republic of the Philippines PROVINCE OF ZAMBONAGA DEL NORTE Municipality of Leon B. Postigo INVITATION TO BID (2020-05-100)  June 04, 2020   Municipality of Leon B. Postigo, Zamboanga del Norte invites qualified bidders to apply for prequalifi</t>
  </si>
  <si>
    <t xml:space="preserve"> Description Republic of the Philippines PROVINCE OF ZAMBONAGA DEL NORTE Municipality of Leon B. Postigo INVITATION TO BID (2020-05-101)  June 04, 2020   Municipality of Leon B. Postigo, Zamboanga del Norte invites qualified bidders to apply for prequalifi</t>
  </si>
  <si>
    <t xml:space="preserve"> Description Republic of the Philippines PROVINCE OF ZAMBONAGA DEL NORTE Municipality of Leon B. Postigo INVITATION TO BID (2020-05-121)  June 04, 2020   Municipality of Leon B. Postigo, Zamboanga del Norte invites qualified bidders to apply for prequalifi</t>
  </si>
  <si>
    <t xml:space="preserve"> Republic of the Philippines Province of Sarangani Municipality of Malapatan INVITATION TO BID  	 2020-B1-04-011        PROCUREMENT OF UREA AND TRIPLE 14 (14-14-14) FERTILIZERS, MALAPATAN SARANGANI PROVINCE   1.	The Local Government Unit of Malapatan, thro</t>
  </si>
  <si>
    <t xml:space="preserve"> Description Republic of the Philippines PROVINCE OF ZAMBONAGA DEL NORTE Municipality of Leon B. Postigo INVITATION TO BID (2020-05-091)  June 04, 2020   Municipality of Leon B. Postigo, Zamboanga del Norte invites qualified bidders to apply for prequalifi</t>
  </si>
  <si>
    <t xml:space="preserve"> Republic of the Philippines Province of Sarangani Municipality of Malapatan INVITATION TO BID  	 2020-B2-05-013 CONSTRUCTION OF MNHS SITE-B DRAINAGE SYSTEM AT MNHS SITE-B SCHOOL SITE, BRGY. POBLACION, MALAPATAN SARANGANI PROVINCE  1.	The Local Government </t>
  </si>
  <si>
    <t xml:space="preserve"> Description Republic of the Philippines PROVINCE OF ZAMBONAGA DEL NORTE Municipality of Leon B. Postigo INVITATION TO BID (2020-05-084)  June 04, 2020   Municipality of Leon B. Postigo, Zamboanga del Norte invites qualified bidders to apply for prequalifi</t>
  </si>
  <si>
    <t xml:space="preserve"> Description Republic of the Philippines PROVINCE OF ZAMBONAGA DEL NORTE Municipality of Leon B. Postigo INVITATION TO BID (2020-05-124)  June 04, 2020   Municipality of Leon B. Postigo, Zamboanga del Norte invites qualified bidders to apply for prequalifi</t>
  </si>
  <si>
    <t xml:space="preserve"> Invitation to Bid for the supply &amp; delivery of Various Maintenance Materials for use of different Barangay of Batangas City</t>
  </si>
  <si>
    <t xml:space="preserve"> Republic of the Philippines Province of Sarangani Municipality of Malapatan INVITATION TO BID  	 2020-B1-05-012        PROCUREMENT OF MULTI-PURPOSE VEHICLE OF MUNICIPAL MAYOR’S OFFICE, MALAPATAN SARANGANI PROVINCE   1.	The Local Government Unit of Malapat</t>
  </si>
  <si>
    <t xml:space="preserve"> Purchase of IT &amp; Office Equipment (For Planning &amp; Design Section- five (5) sets Desktop Computer (For Designer), four (4) units Laptop Computer       two (2) units (For Administrative Use) &amp; two (2) units (For Designer), three (3)     units UPS, twelve In</t>
  </si>
  <si>
    <t xml:space="preserve"> Description Republic of the Philippines PROVINCE OF ZAMBONAGA DEL NORTE Municipality of Leon B. Postigo INVITATION TO BID (2020-05-110)  June 04, 2020   Municipality of Leon B. Postigo, Zamboanga del Norte invites qualified bidders to apply for prequalifi</t>
  </si>
  <si>
    <t xml:space="preserve"> Procurement of Medical Equipment Lot 3</t>
  </si>
  <si>
    <t xml:space="preserve"> Description Republic of the Philippines PROVINCE OF ZAMBONAGA DEL NORTE Municipality of Leon B. Postigo INVITATION TO BID (2020-05-062  June 04, 2020   Municipality of Leon B. Postigo, Zamboanga del Norte invites qualified bidders to apply for prequalific</t>
  </si>
  <si>
    <t xml:space="preserve"> Description Republic of the Philippines PROVINCE OF ZAMBONAGA DEL NORTE Municipality of Leon B. Postigo INVITATION TO BID (2020-05-109)  June 04, 2020   Municipality of Leon B. Postigo, Zamboanga del Norte invites qualified bidders to apply for prequalifi</t>
  </si>
  <si>
    <t xml:space="preserve"> Procurement of Medical Equipment Lot 4</t>
  </si>
  <si>
    <t xml:space="preserve"> Procurement of Microscope Binocular</t>
  </si>
  <si>
    <t xml:space="preserve"> Description Republic of the Philippines PROVINCE OF ZAMBONAGA DEL NORTE Municipality of Leon B. Postigo INVITATION TO BID (2020-05-087)  June 04, 2020   Municipality of Leon B. Postigo, Zamboanga del Norte invites qualified bidders to apply for prequalifi</t>
  </si>
  <si>
    <t xml:space="preserve"> Description Republic of the Philippines PROVINCE OF ZAMBONAGA DEL NORTE Municipality of Leon B. Postigo INVITATION TO BID (2020-05-089)  June 04, 2020   Municipality of Leon B. Postigo, Zamboanga del Norte invites qualified bidders to apply for prequalifi</t>
  </si>
  <si>
    <t xml:space="preserve"> Procurement of Oxygen Concentrators (6lpm)</t>
  </si>
  <si>
    <t xml:space="preserve"> Description Republic of the Philippines PROVINCE OF ZAMBONAGA DEL NORTE Municipality of Leon B. Postigo INVITATION TO BID (2020-05-112)  June 04, 2020   Municipality of Leon B. Postigo, Zamboanga del Norte invites qualified bidders to apply for prequalifi</t>
  </si>
  <si>
    <t xml:space="preserve"> Republic of the Philippines Province of Surigao del Sur Municipality of Tago Barangay Umbay ---ooo0ooo--- Invitation to Bid Purchase of Various Construction Materials Project ID No. UMB-TAG-SDS-01-2020 The Local Government Unit of Brgy. Umbay, Tago, Surig</t>
  </si>
  <si>
    <t xml:space="preserve"> Procurement of Newborn Screening Hearing Test</t>
  </si>
  <si>
    <t xml:space="preserve"> Procurement of Physical Therapy Equipment Set</t>
  </si>
  <si>
    <t xml:space="preserve"> Republic of the Philippines City of Cagayan de Oro BIDS AND AWARDS COMMITTEE  INVITATION TO BID  FOR  Supply and Delivery of Various Medical, Dental and Laboratory Supplies (Lot No. 1 to Lot No. 5); PR No. 20-1165 dated 06 April 2020; SN 122-2020 1.	The C</t>
  </si>
  <si>
    <t xml:space="preserve"> Description Republic of the Philippines PROVINCE OF ZAMBONAGA DEL NORTE Municipality of Leon B. Postigo INVITATION TO BID (2020-05-108)  June 04, 2020   Municipality of Leon B. Postigo, Zamboanga del Norte invites qualified bidders to apply for prequalifi</t>
  </si>
  <si>
    <t xml:space="preserve"> Description Republic of the Philippines PROVINCE OF ZAMBONAGA DEL NORTE Municipality of Leon B. Postigo INVITATION TO BID (2020-05-086)  June 04, 2020   Municipality of Leon B. Postigo, Zamboanga del Norte invites qualified bidders to apply for prequalifi</t>
  </si>
  <si>
    <t xml:space="preserve"> Republic of the Philippines Province of Sarangani Municipality of Malapatan INVITATION TO BID  	 2020-B1-03-007        PROCUREMENT OF ONE (1) UNIT FIRETRUCK FORWARD FTR SINGLE CAB FOR BUREAU OF FIRE PROTECTION, MALAPATAN, SARANGANI PROVINCE 1.	The Local G</t>
  </si>
  <si>
    <t xml:space="preserve"> Procurement of Reagent Refrigerator for Pharmaceutical Use</t>
  </si>
  <si>
    <t xml:space="preserve"> Description Republic of the Philippines PROVINCE OF ZAMBONAGA DEL NORTE Municipality of Leon B. Postigo INVITATION TO BID (2020-05-090)  June 04, 2020   Municipality of Leon B. Postigo, Zamboanga del Norte invites qualified bidders to apply for prequalifi</t>
  </si>
  <si>
    <t xml:space="preserve"> Republic of the Philippines DEPARTMENT OF PUBLIC WORKS AND HIGHWAYS SARANGANI  DISTRICT ENGINEERING OFFICE REGIONAL OFFICE XII Alabel, Sarangani Province INVITATION TO BID  for The DPWH-Sarangani District Engineering Office, Alabel Sarangani Province, thr</t>
  </si>
  <si>
    <t xml:space="preserve"> Description Republic of the Philippines PROVINCE OF ZAMBONAGA DEL NORTE Municipality of Leon B. Postigo INVITATION TO BID (2020-05-129)  June 04, 2020   Municipality of Leon B. Postigo, Zamboanga del Norte invites qualified bidders to apply for prequalifi</t>
  </si>
  <si>
    <t xml:space="preserve"> Description Republic of the Philippines PROVINCE OF ZAMBONAGA DEL NORTE Municipality of Leon B. Postigo INVITATION TO BID (2020-05-107)  June 04, 2020   Municipality of Leon B. Postigo, Zamboanga del Norte invites qualified bidders to apply for prequalifi</t>
  </si>
  <si>
    <t xml:space="preserve"> Invitation to Bid  For the Rehabilitation/Construction of Roads at Brgy. Dulonan, Arevalo, Iloilo City 1.	The City of Iloilo, through the 20% Development Fund, CY2019 intends to apply the sum of Two Million Pesos (Php 2,000,000.00) being the Approved Budg</t>
  </si>
  <si>
    <t xml:space="preserve"> 56		sets		LED SOLAR STREET LIGHT, 120W with Automatic Switch  						(Supply and Installation) 					 					Specification: 	 					Solar Panel: 150W (monocrystalline) 					 					Luminous Flux: 12,000 lumens 					Battery: Lithium Battery 					Visual Angle: 120</t>
  </si>
  <si>
    <t xml:space="preserve"> PB NO. 2020-029		 			 1.	1	lot	Proposed Installation of Streetlights (30 units Solar) at Brgy. San Cristobal, San Pablo City. 			By: Contract 			 	Deadline for Submission of Bids: June 25, 2020 10:00 am</t>
  </si>
  <si>
    <t xml:space="preserve"> PB NO. 2020-030		 			 1.	1	lot	Proposed Asphalt overlay at Brgy. San Juan, San Pablo City. 			By: Contract 			 	Deadline for Submission of Bids: June 25, 2020 1:00 pm</t>
  </si>
  <si>
    <t xml:space="preserve"> Invitation to Bid  For the Rehabilitation/Construction of Roads at Brgy. San Juan, Molo, Iloilo City 1.	The City of Iloilo, through the 20% Development Fund, CY2019 intends to apply the sum of One Million Pesos (Php 1,000,000.00) being the Approved Budget</t>
  </si>
  <si>
    <t xml:space="preserve"> Invitation to Bid  For the Construction of Learning Resource Center for Classes at Jaro II Elementary School, Jaro, Iloilo City 1.	The City of Iloilo, through the SEF, CY2019 intends to apply the sum of Five Million Pesos (Php 5,000,000.00) being the Appr</t>
  </si>
  <si>
    <t xml:space="preserve"> Republic of the Philippines City of Cagayan de Oro BIDS AND AWARDS COMMITTEE Invitation to Bid  for Construction and Operation of Sanitary Landfill (Pagalungan); SN 125 - 2020 ` 1.	The City Government of Cagayan de Oro, through the Current Appropriation, </t>
  </si>
  <si>
    <t xml:space="preserve"> Invitation to Bid  For the Construction of Two (2) Storey Two (2) Classroom Building at Jaro I Elementary School, Jaro, Iloilo City 1.	The City of Iloilo, through the SEF CY2019 intends to apply the sum of Five Million Pesos (Php 5,000,000.00) being the A</t>
  </si>
  <si>
    <t xml:space="preserve"> Invitation to Bid  For the Construction/Rehabilitation of Existing Drainage System at Brgy. San Vicente, Jaro, Iloilo City 1.	The City of Iloilo, through the 20% Development Fund, CY2019 intends to apply the sum of Three Million Pesos (Php 3,000,000.00) b</t>
  </si>
  <si>
    <t xml:space="preserve"> Description Republic of the Philippines PROVINCE OF ZAMBONAGA DEL NORTE Municipality of Leon B. Postigo INVITATION TO BID (2020-05-126)  June 04, 2020   Municipality of Leon B. Postigo, Zamboanga del Norte invites qualified bidders to apply for prequalifi</t>
  </si>
  <si>
    <t xml:space="preserve"> Republic of the Philippines Province of Sarangani Municipality of Malapatan INVITATION TO BID  	 2020-B1-04 PROCUREMENT OF MATERIALS FOR PROPOSED EXPANSION OF WATER SYSTEM AT SITIO ASPANG- MALYANG, BRGY. POBLACION, MALAPATAN, SARANGANI PROVINCE 1.	The Loc</t>
  </si>
  <si>
    <t xml:space="preserve"> Invitation to Bid  For the Rehabilitation/Construction of Roads at Brgy. Calaparan, Arevalo, Iloilo City 1.	The City of Iloilo, through the 20% Development Fund, CY2019 intends to apply the sum of Two Million Pesos (Php 2,000,000.00) being the Approved Bu</t>
  </si>
  <si>
    <t xml:space="preserve"> Republic of the Philippines City of Cagayan de Oro BIDS AND AWARDS COMMITTEE  INVITATION TO BID  FOR  Supply and Delivery of Various Medical, Dental and Laboratory Supplies (Lot No. 1 and Lot No. 9); PR No. 20-0946 dated 30 March 2020; SN 96a - 2020 1.	Th</t>
  </si>
  <si>
    <t xml:space="preserve"> Description Republic of the Philippines PROVINCE OF ZAMBONAGA DEL NORTE Municipality of Leon B. Postigo INVITATION TO BID (2020-05-111)  June 04, 2020   Municipality of Leon B. Postigo, Zamboanga del Norte invites qualified bidders to apply for prequalifi</t>
  </si>
  <si>
    <t xml:space="preserve"> Invitation to Bid  For the Completion of Classroom at Esteban Juntado Sr. Memorial Elementary School, Calumpang, Molo, Iloilo City 1.	The City of Iloilo, through the Capital Outlay SEF, CY2018 intends to apply the sum of Two Million Pesos (Php 2,000,000.0</t>
  </si>
  <si>
    <t xml:space="preserve"> INVITATION TO BID FOR THE SUPPLY AND DELIVERY OF MEDICAL DEVICES AND SUPPLIES   1.	The City of Iloilo, through the Trust Fund intends to apply the sum of One Million Eight Hundred Fifty-Nine Thousand Two Hundred Sixty-Five Pesos (P1,859,265.00) being the </t>
  </si>
  <si>
    <t xml:space="preserve"> Republic of the Philippines City of Cagayan de Oro BIDS AND AWARDS COMMITTEE  INVITATION TO BID  FOR  Supply and Delivery of One (1) Unit Basic Life Support (BLS) Ambulance Vehicle; PR No. 20-1182 dated 24 January 2020; SN 124 - 2020 1.	The City Governmen</t>
  </si>
  <si>
    <t xml:space="preserve"> Invitation to Bid  For the Construction/Rehabilitation of Existing Drainage System at Brgy. Tacas, Jaro, Iloilo City 1.	The City of Iloilo, through the 20% Development Fund, CY2019 intends to apply the sum of One Million Five Hundred Thousand Pesos (Php 1</t>
  </si>
  <si>
    <t xml:space="preserve"> Republic of the Philippines City of Cagayan de Oro BIDS AND AWARDS COMMITTEE  	 INVITATION TO BID  FOR  Supply and Delivery of Circuit Breakers and Other Items; PR No. 20-1244 dated 04 May 2020; SN 121 - 2020 1.	The City Government of Cagayan de Oro, thro</t>
  </si>
  <si>
    <t xml:space="preserve"> Republic of the Philippines Province of Sarangani Municipality of Malapatan INVITATION TO BID  	 2020-B1-03-009 PROCUREMENT OF RESCUE/ EXTRICATION EQUIPMENT OF MDRRMO, MALAPATAN, SARANGANI PROVINCE 1.	The Local Government Unit of Malapatan, through the MD</t>
  </si>
  <si>
    <t xml:space="preserve"> Description Republic of the Philippines PROVINCE OF ZAMBONAGA DEL NORTE Municipality of Leon B. Postigo INVITATION TO BID (2020-05-122)  June 04, 2020   Municipality of Leon B. Postigo, Zamboanga del Norte invites qualified bidders to apply for prequalifi</t>
  </si>
  <si>
    <t xml:space="preserve"> Republic of the Philippines Province of Palawan Municipality of Busuanga INVITATION TO BID FOR SUPPLY &amp; DELIVERY OF EQUIPMENT'S 1.	The Municipal Government of Busuanga, through the General Fund &amp; Capital Outlay intends to apply the sum of Seven Hundred Fo</t>
  </si>
  <si>
    <t xml:space="preserve"> please download bidding documents</t>
  </si>
  <si>
    <t xml:space="preserve"> 1	Fittings Pullbox with Bus Bar: 20x40x80 cm with cable terminal 3-250 mm2, 3-50mm2 and 3-14 mm2 Thhn Cu. Wire 2	Cable Cutter Heavy Duty 3	CHB 4" 4	Common Wire Nails (#3) 5	Concrete Nail #1 6	Cutting Disc Masonry 7	CW Nail 2" 8	Electrical liquidated Metal</t>
  </si>
  <si>
    <t xml:space="preserve"> Description Republic of the Philippines PROVINCE OF ZAMBONAGA DEL NORTE Municipality of Leon B. Postigo INVITATION TO BID (2020-05-118)  June 04, 2020   Municipality of Leon B. Postigo, Zamboanga del Norte invites qualified bidders to apply for prequalifi</t>
  </si>
  <si>
    <t xml:space="preserve"> Description Republic of the Philippines PROVINCE OF ZAMBONAGA DEL NORTE Municipality of Leon B. Postigo INVITATION TO BID (2020-05-085)  June 04, 2020   Municipality of Leon B. Postigo, Zamboanga del Norte invites qualified bidders to apply for prequalifi</t>
  </si>
  <si>
    <t xml:space="preserve"> ILOCOS NORTE IST DISTRICT ENGINEERING OFFICE Airport Ave. Brgy. Cavit, Laoag City, Ilocos Norte INVITATION TO BID The DPWH-Ilocos Norte 1st District Engineering Office, through its Bids and Awards Committee (BAC), invites contractors to submit bids for th</t>
  </si>
  <si>
    <t xml:space="preserve"> INVITATION TO BID The Municipal Government of La Trinidad through the Bids and Awards Committee (BAC) invites contractors to bid for the hereunder project: Contract Reference No.: POW - 8751 - 2020 - AMB - 02 Name of Project: Improvement of FMR at Upper A</t>
  </si>
  <si>
    <t xml:space="preserve"> a. CONTRACT ID: RIZAL-23JUNE2020-2 b. NAME OF PROJECT: Repair/Repainting/Improvement of Ynares Multi-Purpose Covered Court / Stage / Multi-Purpose Buildings &amp; Movable Bleacher at Angono &amp; Binangonan, Rizal              a)  Repair/Repainting/Improvement of</t>
  </si>
  <si>
    <t xml:space="preserve"> PROCUREMENT OF LABOR AND MATERIALS FOR INSTALLATION AND REHABILITATION OF TRANSMISSION AND DISTRIBUTION LINES IN VARIOUS LOCATIONS (4 LOTS) ***Kindly see attached Bidding Documents and Bill of Quantities for the Technical Specifications and Conditions of </t>
  </si>
  <si>
    <t xml:space="preserve"> a. CONTRACT ID: RIZAL-23JUNE2020-1 b. NAME OF PROJECT: Asphalt Overlaying of Roads at Angono &amp; Cardona, Rizal a)  Asphalt Overlaying of E. Dela Paz Street, Brgy. San Pedro, Angono b)  Asphalt Overlaying of Ampucao Road (portion), Brgy. Iglesia, Cardona c.</t>
  </si>
  <si>
    <t xml:space="preserve"> Contract ID:      20HL0109 Contract Name: Repair/Maintenance of DPWH Building, Office Building Contract Location:  Malabuhan,  Siaton, Negros Oriental Scope of Works:  Repair/Maintenance of DPWH Building Source of Fund and year:  FY 2020 GAA, RA 11465 App</t>
  </si>
  <si>
    <t xml:space="preserve"> a. CONTRACT ID: RIZAL-23JUNE2020-4 b. NAME OF PROJECT: Repair/Improvement of Stage &amp; Construction of School Signage at Brgy. Janosa, Binangonan, Rizal a)  Repair/Improvement of Stage at Brgy. Janosa b)  Construction of School Signage at Janosa Elementary </t>
  </si>
  <si>
    <t xml:space="preserve"> INVITATION TO BID The Municipal Government of La Trinidad through the Bids and Awards Committee (BAC) invites contractors to bid for the hereunder project: Contract Reference No.: POW - 8751 - 2020 - BTG - 01 Name of Project: Improvement of Drainage Canal</t>
  </si>
  <si>
    <t xml:space="preserve"> INVITATION TO BID The Municipal Government of La Trinidad through the Bids and Awards Committee (BAC) invites contractors to bid for the hereunder project: Contract Reference No.: POW - 8751 - 2020 - PUG - 03 Name of Project: Construction of Flood Control</t>
  </si>
  <si>
    <t xml:space="preserve"> a. CONTRACT ID: RIZAL-23JUNE2020-3 b. NAME OF PROJECT: Improvement/Repair of Ynares Multi-Purpose Covered Court, Brgy. Tabon, Binangonan, Rizal c. LOCATION: Brgy. Tabon, Binangonan, Rizal d. BRIEF DESCRIPTION: Improvement of Ynares Multi-Purpose Covered C</t>
  </si>
  <si>
    <t xml:space="preserve"> a. CONTRACT ID: RIZAL-23JUNE2020-6 b. NAME OF PROJECT: Construction/Provision of Wash Facilities (Water, Sanitation &amp; Hygiene) at Lunsad Elem.School, Brgy. Lunsad, Binangonan, Rizal c. LOCATION: Brgy. Lunsad, Binangonan, Rizal d. BRIEF DESCRIPTION: Wash F</t>
  </si>
  <si>
    <t xml:space="preserve"> a. CONTRACT ID: RIZAL-23JUNE2020-10 b. NAME OF PROJECT: Concreting of Road at Saint Pancratius Street, Park Place Village, Brgy. San Isidro, Cainta, Rizal c. LOCATION: Brgy. San Isidro, Cainta, Rizal  d. BRIEF DESCRIPTION:  Road improvement. e. MAJOR ITEM</t>
  </si>
  <si>
    <t xml:space="preserve"> a. CONTRACT ID: RIZAL-23JUNE2020-11 b. NAME OF PROJECT: Asphalt Overlaying/Concrete Reblocking (portion) of A. Mabini St., Brgy. Sto. Niňo, Cainta, Rizal c. LOCATION: Brgy. Sto. Niňo, Cainta, Rizal d. BRIEF DESCRIPTION: Road improvement. e. MAJOR ITEM OF </t>
  </si>
  <si>
    <t xml:space="preserve"> a. CONTRACT ID: RIZAL-23JUNE2020-12 b. NAME OF PROJECT: Asphalt Overlaying of C. Cruz St., Brgy. Sto. Niňo, Cainta, Rizal c. LOCATION: Brgy. Sto. Niňo, Cainta, Rizal d. BRIEF DESCRIPTION: Road improvement. e. MAJOR ITEM OF WORK: Bituminous Concrete Surfac</t>
  </si>
  <si>
    <t xml:space="preserve"> a. CONTRACT ID: RIZAL-23JUNE2020-5 b. NAME OF PROJECT: Improvement/Repair of Ynares Multi-Purpose Covered Court at Mahabang Parang National High School, San Juan Heights, Brgy. Mahabang Parang, Binangonan, Rizal c. LOCATION: Brgy. Mahabang Parang, Binango</t>
  </si>
  <si>
    <t xml:space="preserve"> a. CONTRACT ID: RIZAL-23JUNE2020-8 b. NAME OF PROJECT: Construction/Provision of Wash Facilities (Water, Sanitation &amp; Hygiene) at Libid Elem.School, Brgy. Libid, Binangonan, Rizal c. LOCATION: Brgy. Libid, Binangonan, Rizal d. BRIEF DESCRIPTION: Wash Faci</t>
  </si>
  <si>
    <t xml:space="preserve"> a. CONTRACT ID: RIZAL-23JUNE2020-14 b. NAME OF PROJECT: Repair of Roofing / Ceiling of Brgy.Hall Main and Repair of Flooring of Ynares Multi-Purpose Covered Court at Sitio Cinco, Brgy. Pinugay, Baras, Rizal c. LOCATION: Brgy. Pinugay, Baras, Rizal d. BRIE</t>
  </si>
  <si>
    <t xml:space="preserve"> a. CONTRACT ID: RIZAL-23JUNE2020-13 b. NAME OF PROJECT: Repair/Repainting of Ynares School Buildings &amp; Improvement of Ynares Multi-Purpose Covered Court at Evangelista Elem. School, Brgy. Evangelista, Baras, Rizal c. LOCATION: Brgy. Evangelista, Baras, Ri</t>
  </si>
  <si>
    <t xml:space="preserve"> a. CONTRACT ID: RIZAL-23JUNE2020-17 b. NAME OF PROJECT: Construction of 2-storey, 4-rooms Ynares School Building at Mariano C. San Juan Elem. School, Brgy. San Roque, Cardona, Rizal c. LOCATION: Brgy. San Roque, Cardona, Rizal d. BRIEF DESCRIPTION: Constr</t>
  </si>
  <si>
    <t xml:space="preserve"> a. CONTRACT ID: RIZAL-23JUNE2020-7 b. NAME OF PROJECT: Construction of 2-storey, 6-rooms Ynares School Building at Ithan Elem. School, Brgy. Ithan, Binangonan, Rizal c. LOCATION: Brgy. Ithan, Binangonan, Rizal d. BRIEF DESCRIPTION: Construction of Ynares </t>
  </si>
  <si>
    <t xml:space="preserve"> a. CONTRACT ID: RIZAL-23JUNE2020-9 b. NAME OF PROJECT: Construction of 2-storey, 6-rooms Ynares School Building at Kalinawan Elem. School, Brgy. Kalinawan, Binangonan, Rizal c. LOCATION: Brgy. Kalinawan, Binangonan, Rizal d. BRIEF DESCRIPTION: Constructio</t>
  </si>
  <si>
    <t xml:space="preserve"> INVITATION TO BID The Municipal Government of La Trinidad through the Bids and Awards Committee (BAC) invites contractors to bid for the hereunder project: Contract Reference No.: POW - 8751 - 2020 - PCO - 04 Name of Project: Construction of Drainage Cana</t>
  </si>
  <si>
    <t xml:space="preserve"> a. CONTRACT ID: RIZAL-23JUNE2020-16 b. NAME OF PROJECT: Repair/Improvement of Ynares Multi-Purpose Building &amp; Installation of Electrical Lighting System of Ynares Multi-Purpose Covered Court at Brgy. Balibago &amp; Brgy. Looc, Cardona, Rizal a)  Repair/Improv</t>
  </si>
  <si>
    <t xml:space="preserve"> a. CONTRACT ID: RIZAL-23JUNE2020-24 b. NAME OF PROJECT: Repair/Repainting 2-Units 1-Storey Multi-Purpose Building (Health Center / Day Care Center), Brgy. Imatong, Pililla, Rizal c. LOCATION: Brgy. Imatong, Pililla, Rizal d. BRIEF DESCRIPTION: Improvement</t>
  </si>
  <si>
    <t xml:space="preserve"> a. CONTRACT ID: RIZAL-23JUNE2020-25 b. NAME OF PROJECT: Improvement of School Fence/Construction of School Arc &amp; Repair of Gate &amp; Artesian Well at Brgy. Bagumbayan &amp; Brgy. Hulo, Pililla, Rizal a)  Improvement of School Fence at Matagbak Elem. School, Brgy</t>
  </si>
  <si>
    <t xml:space="preserve"> a. CONTRACT ID: RIZAL-23JUNE2020-22 b. NAME OF PROJECT: Asphalt Overlaying and Concrete Reblocking (portion) of A. Luna St., Brgy. Quisao, Pililla, Rizal c. LOCATION: Brgy. Quisao, Pililla, Rizal d. BRIEF DESCRIPTION: Road improvement. e. MAJOR ITEM OF WO</t>
  </si>
  <si>
    <t xml:space="preserve"> a. CONTRACT ID: RIZAL-23JUNE2020-27 b. NAME OF PROJECT: Construction of Ynares Stage &amp; Improvement of Ynares Multi-Prpose Covered Court at Southville 8C Phase 1K, Kasiglahan Village, Brgy. San Jose, Rodriguez, Rizal c. LOCATION: Brgy. San Jose, Rodriguez,</t>
  </si>
  <si>
    <t xml:space="preserve"> a. CONTRACT ID: RIZAL-23JUNE2020-21 b. NAME OF PROJECT: Concreting (portion) of Rambo Feeder Road, Brgy. Halayhayin, Pililla, Rizal c. LOCATION: Brgy. Halayhayin, Pililla, Rizal d. BRIEF DESCRIPTION: Road improvement. e. MAJOR ITEM OF WORK: PCC Pavement (</t>
  </si>
  <si>
    <t xml:space="preserve"> a. CONTRACT ID: RIZAL-23JUNE2020-26 b. NAME OF PROJECT: Construction/Provision of Wash Facilities (Water, Sanitation &amp; Hygiene) at Eastwood Residences, Brgy. San Isidro, Rodriguez, Rizal a)  Construction/Provision of Wash Facilities (Water, Sanitation &amp; H</t>
  </si>
  <si>
    <t xml:space="preserve"> a. CONTRACT ID: RIZAL-23JUNE2020-23 b. NAME OF PROJECT: Aspahlt Overlaying of San Antonio Road, Brgy. Quisao, Pililla, Rizal c. LOCATION: Brgy. Quisao, Pililla, Rizal d. BRIEF DESCRIPTION: Road improvement. e. MAJOR ITEM OF WORK: Bituminous Concrete Surfa</t>
  </si>
  <si>
    <t xml:space="preserve"> a. CONTRACT ID: RIZAL-23JUNE2020-28 b. NAME OF PROJECT: Construction of 2-storey, 8-rooms Ynares School Building at Patiis Elem. School, Brgy. Malanday, San Mateo, Rizal c. LOCATION: Brgy. Malanday, San Mateo, Rizal d. BRIEF DESCRIPTION: Construction of Y</t>
  </si>
  <si>
    <t xml:space="preserve"> a. CONTRACT ID: RIZAL-23JUNE2020-19 b. NAME OF PROJECT: Improvement / Rehabiltation of E. Pillas Street (portion), Brgy. Punta, Jalajala, Rizal c. LOCATION: Brgy. Punta, Jalajala, Rizal d. BRIEF DESCRIPTION: Road improvement. e. MAJOR ITEM OF WORK: PCC Pa</t>
  </si>
  <si>
    <t xml:space="preserve"> a. CONTRACT ID: RIZAL-23JUNE2020-15 b. NAME OF PROJECT: Construction of Drainage Canal at I.D. Julian Street, Brgy. Iglesia, Cardona, Rizal c. LOCATION: Brgy. Iglesia, Cardona, Rizal d. BRIEF DESCRIPTION: Construction of Drainage Canal. e. MAJOR ITEM OF W</t>
  </si>
  <si>
    <t xml:space="preserve"> a. CONTRACT ID: RIZAL-23JUNE2020-20 b. NAME OF PROJECT: Rehabilitation of Feeder Road at Sitio Calasiao, Brgy. Bagumbayan, Pililla, Rizal c. LOCATION: Brgy. Bagumbayan, Pililla, Rizal d. BRIEF DESCRIPTION: Road improvement. e. MAJOR ITEM OF WORK: Bitumino</t>
  </si>
  <si>
    <t xml:space="preserve"> Republic of the Philippines DEPARTMENT OF PUBLIC WORKS AND HIGHWAYS  MINDORO OCCIDENTAL DISTRICT ENGINEERING OFFICE Regional Office IV-B Mamburao, Occidental Mindoro NOTICE OF ELIGIBILITY May 27, 2020 MS. ROWENA SARREAL SANTOS TERMS CONCRETE TESTING # 19 </t>
  </si>
  <si>
    <t xml:space="preserve"> a. CONTRACT ID: RIZAL-23JUNE2020-30 b. NAME OF PROJECT: Construction/Provision of Wash Facilities (Water, Sanitation &amp; Hygiene) at Bagumbayan Elem.School, Brgy. Bagumbayan, Teresa, Rizal c. LOCATION: d. BRIEF DESCRIPTION: Wash Facilities e. MAJOR ITEM OF </t>
  </si>
  <si>
    <t xml:space="preserve"> a. CONTRACT ID: RIZAL-23JUNE2020-18 b. NAME OF PROJECT: Asphalt Overlaying/Concrete Reblocking (portion) of Segundo Pillas St., Brgy. Punta, Jalajala, Rizal c. LOCATION: Brgy. Punta, Jalajala, Rizal d. BRIEF DESCRIPTION: Road improvement. e. MAJOR ITEM OF</t>
  </si>
  <si>
    <t xml:space="preserve"> a. CONTRACT ID: RIZAL-23JUNE2020-29 b. NAME OF PROJECT: Construction of 4-storey, 8-rooms Ynares School Building at Wawa Elem. School, Brgy. Wawa, Tanay, Rizal c. LOCATION: Brgy. Wawa, Tanay, Rizal d. BRIEF DESCRIPTION: Construction of Ynares School Build</t>
  </si>
  <si>
    <t xml:space="preserve"> a. CONTRACT ID: RIZAL-23JUNE2020-31 b. NAME OF PROJECT: Asphalt Overlaying of L. Cerrero St., Brgy. Macamot, Binangonan, Rizal		 c. LOCATION: Brgy. Macamot, Binangonan, Rizal d. BRIEF DESCRIPTION: Road improvement. e. MAJOR ITEM OF WORK: Bituminous Concre</t>
  </si>
  <si>
    <t xml:space="preserve"> 1.	The Department of Public Works and Highways Regional Office XI, Davao City, through its Bids and Awards Committee (BAC), invites bidders to submit bids for the Infra projects funded under GAA FY 2020, to wit: Contract ID 	:	20L00028 Contract Name/Locat</t>
  </si>
  <si>
    <t xml:space="preserve"> 1.	The Department of Public Works and Highways Regional Office XI, Davao City, through its Bids and Awards Committee (BAC), invites bidders to submit bids for the Infra projects funded under GAA FY 2020, to wit: Contract ID 	:	20L00152 Contract Name/Locat</t>
  </si>
  <si>
    <t xml:space="preserve"> 1.	The Department of Public Works and Highways Regional Office XI, Davao City, through its Bids and Awards Committee (BAC), invites bidders to submit bids for the Infra projects funded under GAA FY 2020, to wit: Contract ID 	:	20L00150 Contract Name/Locat</t>
  </si>
  <si>
    <t xml:space="preserve"> Procurement ID/Contract I.D.: 20CN0142 Contract Name: Construction/Rehabilitation of Water Supply/Septage and Sewerage/Rain Water Collector Systems Brief Description: Civil, Mechanical, Electrical and Sanitary/Plumbing Works; Earthworks, Plain and Reinfor</t>
  </si>
  <si>
    <t xml:space="preserve"> 1.	The Department of Public Works and Highways Regional Office XI, Davao City, through its Bids and Awards Committee (BAC), invites bidders to submit bids for the Infra projects funded under GAA FY 2020, to wit: Contract ID 	:	20L00151 Contract Name/Locat</t>
  </si>
  <si>
    <t xml:space="preserve"> Republic of the Philippines Province of Pangasinan Municipality of Infanta Barangay Bayambang BIDS AND AWARDS COMMITTEE INVITATION TO BID FOR: PURCHASE OF ONE (1) UNIT MOTOR VEHICLE, BRGY. BAYAMBANG, INFANTA, PANGASINAN 1.	The Bayambang Barangay Council, </t>
  </si>
  <si>
    <t xml:space="preserve"> Republic of the Philippines Province of South Cotabato BIDS AND AWARDS COMMITTEE City of Koronadal  INF-ITB 20-025 INVITATION TO BID  1.	The Provincial Government of South Cotabato, through the PEO-8751 20% LDF (8.3.1) intends to apply the sum of         </t>
  </si>
  <si>
    <t xml:space="preserve"> LABOR AND MATERIALS FOR THE EVACUATION CENTER AND DISASTER RISK REDUCTION-RELATED EQUIPMENT AT POBLACION,BADIAN,CEBU FOR DETAILS PLS. CONTACT: MA.LUISA L. QUILESTINO BAC SECRETARIAT TEL.NO.(032) 475-9118</t>
  </si>
  <si>
    <t xml:space="preserve"> 1		un		Brand New Vehicle, Van type 15 pax capacity, Diesel Engine, 					4v cylinder with no less than 2,950cc displacement, Maximum 					output at least 135PS at 3,400 RPM, Common Rail, Turbo 					charge Intercooler, with tank capacity of no less than 70 </t>
  </si>
  <si>
    <t xml:space="preserve"> 1.	The Department of Public Works and Highways Regional Office XI, Davao City, through its Bids and Awards Committee (BAC), invites bidders to submit bids for the Infra projects funded under GAA FY 2020, to wit: Contract ID 	:	20L00154 Contract Name/Locat</t>
  </si>
  <si>
    <t xml:space="preserve"> Republic of the Philippines Department of Public Works and Highways Cotabato 1st District Engineering Office Region XII Villarica, Midsayap, Cotabato INVITATION TO BID The DPWH-Cotabato 1st District Engineering Office through its Bids and Awards Committee</t>
  </si>
  <si>
    <t xml:space="preserve"> Republic of the Philippines Department of Public Works and Highways Cotabato 1st District Engineering Office Region XII Villarica, Midsayap, Cotabato INVITATION TO BID The DPWH-Cotabato 1ST District Engineering Office through its Bids and Awards Committee</t>
  </si>
  <si>
    <t xml:space="preserve"> Republic of the Philippines Province of South Cotabato BIDS AND AWARDS COMMITTEE City of Koronadal  INF-ITB 20-026 INVITATION TO BID  1.	The Provincial Government of South Cotabato, through the PEMO-8731 CA-2020-70-GF intends to apply the sum of          </t>
  </si>
  <si>
    <t xml:space="preserve"> HYDRAULIC OIL	 	 	 HYDRAULIC OIL HYPLUS	 HYDRAULIC OIL, TURBINE OIL T68	 	 HIGH QUALITY ANTI WEAR HYDRAULIC OIL FORTIFIES WITH AN EFFECTIVE ADDITIVE PACKAGE FOR HYDRAULIC SYSTEMS OPERATING UNDER A WIDE RANGE OF TEMPERATURE	 OPERATIONS. COMPATBLE WITH THE </t>
  </si>
  <si>
    <t xml:space="preserve"> I. GENERAL REQUIREMENTS II SITE PREPARATION/EXCAVATION WORKS III. FOUNDATION EXCAVATION  IV. CONCRETE WORKS A. FOUNDATION B COLUMN C ZOCALO D CONCRETE FLOORING V MASONRY WORKS VI STEEL ROOF BEAM FABRICATION/INSTALLATION VII. STEEL WORKS /ROOF FRAMING VIII</t>
  </si>
  <si>
    <t xml:space="preserve"> Republic of the Philippines PROVINCE OF PAMPANGA City of San Fernando INVITATION TO BID NO. 2020-16 IG-BAC INVITATION TO BID FOR PURCHASE REQUEST NO. 20-1204, 20-0842, 20-0910, 20-0906, 20-0905 and 20-0904 The Provincial Government of Pampanga (“Province”</t>
  </si>
  <si>
    <t xml:space="preserve"> Republic of the Philippines Province of South Cotabato BIDS AND AWARDS COMMITTEE City of Koronadal  INF-ITB 20-024 INVITATION TO BID  1.	The Provincial Government of South Cotabato, through the PEO-8751 20% LDF (8.1.4) intends to apply the sum of         </t>
  </si>
  <si>
    <t xml:space="preserve"> PROJECT DESCRIPTION I- Earthwork - 311.73cu.m. II- Formworks and Scaffolds - 3,000.00 bd.ft. III- Reinforced Concrete Works - 54.74 cu.m. IV - MAsonry Works (includes septic tank)- 104.00 sq.m. V - Roofing works - 196.00 sq.m. VI- Doors and Windows - 7.27</t>
  </si>
  <si>
    <t xml:space="preserve"> Republic of the Philippines Province of Ilocos Norte Municipality of Paoay BIDS AND AWARDS COMMITTEE INVITATION TO BID 2020-012 Invitation to Bid for the Purchase of commonly used medical, dental and laboratory supplies to be use at the Rural Health Unit </t>
  </si>
  <si>
    <t xml:space="preserve"> Supply and delivery of various laboratory and radiology supplies and materials</t>
  </si>
  <si>
    <t xml:space="preserve"> Supply and delivery of various drugs and medicines and, laboratory and dental supplies and materials for Rural Health Units of Capas, Tarlac</t>
  </si>
  <si>
    <t xml:space="preserve"> Furniture's and Fixtures   to be used  in different offices in LGU Bansud</t>
  </si>
  <si>
    <t xml:space="preserve"> The ZAMBOANGA CITY STATE POLYTECHNIC COLLEGE through its Bids and Awards Committee (BAC) is inviting PHILGEPS registered suppliers to apply for eligibility and to submit bids for the items listed below: 1.	Cement, Portland, 40kgs./bag (1800 bags) 2.	Sand,</t>
  </si>
  <si>
    <t xml:space="preserve"> 1.	  12	-box	- 2.0mm2 THHN/TWHN-2 copper lead free Wire (150m/box, black color)	  - 3,500.00 2.	 4	-box	- 2.0mm2THHN/TWHN-2 copper Lead free Wire (150m/box, blue/white color)- 3,500.00 3.	 4	-box	- 2.0mm2THHN/TWHN-2 copper lead free Wire (150m/box,green/y</t>
  </si>
  <si>
    <t xml:space="preserve"> Supply and delivery of various laboratory and radiology supplies and materials for Ospital Ning Capas</t>
  </si>
  <si>
    <t xml:space="preserve"> 120 SACKS RICE 20 CASES NOODLES 50 SETS HYGIENE KIT MEALS ANCAR RENTALS CAR RENTALS</t>
  </si>
  <si>
    <t xml:space="preserve"> I. Reservoir Structure Excavation Concrete Works Rebar Works Fomworks &amp; Scaffoldings II. Deep Well Structure Excavation RCPC Fittings III. Pipe &amp; Fittings Clearing &amp; Grubbing Structure Excavation Backfilling &amp; Tamping Pipe Lay-out IV. Tapstand Solar Pump </t>
  </si>
  <si>
    <t xml:space="preserve"> Republic of the Philippines DEPARTMENT OF PUBLIC WORKS AND HIGHWAYS ANTIQUE  DISTRICT ENGINEERING OFFICE REGIONAL OFFICE VI San Jose, Antique INVITATION TO BID  The Department of Public Works and Highways, Antique District Engineering Office, San Jose, An</t>
  </si>
  <si>
    <t xml:space="preserve"> Construction Of Multi-Purpose Building ,Covered Court - 18.00mm x 10.00; 2-5.00m per span; with Floor Area - 180.00m2; Removed and Replace existing slab; 0.40m elevation from NGL; with PWD Ramp and Railings (Painted Finish); Painted Plaster Finish at colu</t>
  </si>
  <si>
    <t xml:space="preserve"> VILLAPAGASA, BANSUD NATIONAL HIGH SCHOOL</t>
  </si>
  <si>
    <t xml:space="preserve"> PROVINCIAL GOVERNMENT OF ISABELA Invitation to Bid for  Construction  of Rattan Processing Center Facility, Phase 1, Cabisera 10, City of Ilagan, Isabela  1.	The Provincial Government of Isabela, through the 2019-Re-programming intends to apply the sum of</t>
  </si>
  <si>
    <t xml:space="preserve"> Republic of the Philippines Province of Ilocos Norte Municipality of Paoay BIDS AND AWARDS COMMITTEE INVITATION TO BID 2020-013 Invitation to Bid for the Purchase of commonly used drugs and medicines to be use at the Rural Health Unit 1.	The Municipal Gov</t>
  </si>
  <si>
    <t xml:space="preserve"> LOCATED AT POBLACION, BANSUD OR. MDO BY CONTRACT (LABOR, MATERIALS, EQUIPMENT)</t>
  </si>
  <si>
    <t xml:space="preserve"> Supply and Delivery of Airconditioning Unit</t>
  </si>
  <si>
    <t xml:space="preserve"> METRO SIQUIJOR WATER DISTRICT BIDS &amp; AWARDS COMMITTEE Siquijor, Siquijor The Metro Siquijor Water District (MSWD) through the Bids &amp; Awards Committee (BAC) will be undertaking the here procurement of the hereunder project: Name of Project: Procurement of </t>
  </si>
  <si>
    <t xml:space="preserve"> CITY MAYOR'S OFFICE -- 1 Lot Supply, deliver and installation of Testing and Server -- Terms and Conditions: 1. The supplier shall supply, deliver, install, test and make operational the Server Infrastructure and related accessories/equipment within 60 ca</t>
  </si>
  <si>
    <t xml:space="preserve"> Republic of the Philippines Province of zamboanga Sibugay Municipality of Olutanga 7014 JUNE 3, 2020 NOTICE TO THE PUBLIC INVITIATION TO APPLY FOR ELIGIBILITY AND TO BID All interested bidders are invited to Pre-qualify and participate in sealed bidding f</t>
  </si>
  <si>
    <t xml:space="preserve"> 1.   2  - units  - Slightly Used 4x2 Toyota Hi-Lux               - 1,500,000.00                         Model: 2017 0r 2018</t>
  </si>
  <si>
    <t xml:space="preserve"> Republic of the Philippines Province of South Cotabato BIDS AND AWARDS COMMITTEE City of Koronadal  INF-ITB 20-027 INVITATION TO BID  1.	The Provincial Government of South Cotabato, through the PEO-8751 P/P-CMGP-5-02-13-030  intends to apply the sum of ₱ </t>
  </si>
  <si>
    <t xml:space="preserve"> Procurement of Construction Materials for the Fabrication of Cadaver Niches Php 329,475.00</t>
  </si>
  <si>
    <t xml:space="preserve"> Republic of the Philippines  City of Canlaon Office of the Bids and Awards Committee  INVITATION TO BID FOR the Procurement of one unit Motorcycle The Local Government of Canlaon City, through Resolution No. 148, Ordinance  51, s. 2019- Continuing Appropr</t>
  </si>
  <si>
    <t xml:space="preserve"> 1.	272 	- bags		- Portland Cement			- 285.00 2.	 36 		- lenghts	- 20mmØx 6.0 DSB			- 630.00 3.	142		- lenghts	-16mmØx 6.0 DSB			- 410.00 4.	331		- lengths	- 12mmØx6.0 DSB			- 218.00 5.	 57		- lengths	- 10mmØx6.0 DSB			- 155.00 6.	  9		-  pcs.	- Hacksaw Bl</t>
  </si>
  <si>
    <t xml:space="preserve"> Concrete of Drainage System Concrete box culvert=107 L.m RCPC= 200L.m. w/manhole</t>
  </si>
  <si>
    <t xml:space="preserve"> I. Mobilization II. CSHP III. Project Billboard IV. Masonry Works V. Roof Framing VI. Plumbing Works VII. Carpentry Works VIII. Forms and Scaffolding IX. Electrical X. Windows XI. Painting Works Labor</t>
  </si>
  <si>
    <t xml:space="preserve"> PROVINCIAL GOVERNMENT OF ISABELA Invitation to Bid for  Construction  of Slope Protection at KM 8+945 to KM 8+969, Ilagan &amp; Divilacan, Isabela  1.	The Provincial Government of Isabela, through the EDF-AB-2020 intends to apply the sum of Four Million Nine </t>
  </si>
  <si>
    <t xml:space="preserve"> CTTMO  Traffic Uniform General Office Attire (GOA) Made to Order (see attached design)   Please see attached file/document on associated components or BAC website www.davaocityportal.com (BAC posting) for the complete descriptions, terms of conditions and</t>
  </si>
  <si>
    <t xml:space="preserve"> All items and descriptions are specified in the attached PR and RFQ, and posted in the associated component of ITB in the PhilGEPS Website.</t>
  </si>
  <si>
    <t xml:space="preserve"> MUSEO DABAWENYO  1 1 Unit/s Vehicles, Brand new, 4 x 2, manual Transmission with Aircon, Four Wheels, Three (3) Doors, Single cab, Pick-up, Hilux 2.4L, 4 x 2 FX-HSPU MT w/ REAR AC Type at least 2.4L Diesel, 4-cylinder, 16 valve DOHC Variable Nozzle Turbo </t>
  </si>
  <si>
    <t xml:space="preserve"> Republic of the Philippines Province of Misamis Oriental Local Government Unit of Claveria Invitation to Bid for  Procurement for the  construction of  multi-purpose  building at Sitio Daruca, Poblacion The Local Government Unit of Claveria, through the b</t>
  </si>
  <si>
    <t xml:space="preserve"> PROVINCIAL GOVERNMENT OF ISABELA Invitation to Bid for  Construction  of Slope Protection at KM 10+860 to KM 10+990, Ilagan &amp; Divilacan, Isabela  1.	The Provincial Government of Isabela, through the EDF-AB-2020 intends to apply the sum of Nine Hundred Fiv</t>
  </si>
  <si>
    <t xml:space="preserve"> PROVINCIAL GOVERNMENT OF ISABELA Invitation to Bid for  Construction  of Nanaguan Bridge, Brgy. Nanaguan, City of Ilagan, Isabela  1.	The Provincial Government of Isabela, through the EDF-2019 Re-programing intends to apply the sum of Five Million Eight H</t>
  </si>
  <si>
    <t xml:space="preserve"> 8 CS SARDINES 8 CS NOODLES 5 CS DETERGENT BAR 2 SACKS SUGAR 10 KGS COFFEE 1 CS TOOTHPASTE 10 PACKS PLASTIC BAGS MEALS AND SNACKS CAR RENTALS</t>
  </si>
  <si>
    <t xml:space="preserve"> CMO/PSSCC  1 2 Units Airconditioner (split type) floor mounted inverter 5TR with 20ft. Pipe run installation with platform/bracket, circuit breaker, PVC drain hose, power connection with 1 year warranty of all parts and services, 5 years warranty on compr</t>
  </si>
  <si>
    <t xml:space="preserve"> *  CMO/CENTRAL 911 1 2 Unit/s RESCUE UTILITY TRAILER  Specifications: Dimensions:     Overall Length: 520 cm     Overall Width: 210 cm     Overall Height: 240 cm Chassis: Customized Steel C Channel Bar Frame, A Frame, Hor. Members Body Frame: Square Tube </t>
  </si>
  <si>
    <t xml:space="preserve"> The Bids and Awards Committee (BAC) of the BARANGAY BUENAVISTA Castilla, Sorsogon invites qualified contractor’s to bid for the project: The Procurement process of the afore-mentioned projects will be conducted by this Bids and Awards Committee (BAC) in a</t>
  </si>
  <si>
    <t xml:space="preserve"> CITY MAYOR'S OFFICE  1 1 Lot Plastic Tables and Chairs for various barangays and City Offices 3010 Piece/s  Monoblock, Original Plastic Chair, White, heavy duty, good quality      3 Months Warranty  515 Piece/s    Monoblock, Original Plastic Table, 32x32,</t>
  </si>
  <si>
    <t xml:space="preserve"> Republic of the Philippines            Province of Isabela          MUNICIPALITY OF AURORA              -o0o-      INVITATION TO BID FOR THE CONSTRUCTION OF FLOOD CONTROL STONE MASONRY AT BANNAGAO, AURORA, ISABELA 1.	The Local Government Unit of Aurora, t</t>
  </si>
  <si>
    <t xml:space="preserve"> Republic of the Philippines            Province of Isabela          MUNICIPALITY OF AURORA              -o0o-      INVITATION TO BID FOR THE CONSTRUCTION OF OPEN DRAINAGE AT KALABAZA, SAN PEDRO-SAN PABLO, SAN ANDRES, BAGONG TANZA, SAN RAFAEL AND STA. RITA</t>
  </si>
  <si>
    <t xml:space="preserve"> Excavation Gravel Fill Structural Concrete Masonry Roofing Plumbing Doors And Windows Tiles Painting Hardware Materials</t>
  </si>
  <si>
    <t xml:space="preserve"> 9 CASES SARDINES 35 CASES NOODLES 9 SACKS SUGAR 50 KGS NATIVE COFFEE 15 SACKS SALT 37 PACKS PLASTIC BAGS MEALS AND SNACK CAR RENTALS</t>
  </si>
  <si>
    <t xml:space="preserve"> 24 SACKS RICE 15 CASES NOODLES 20 PACKS PLASTIC BAGS MEALS AND SNACKS CAR RENTALS</t>
  </si>
  <si>
    <t xml:space="preserve"> DESCRIPTION: Republic of the Philippines Province of Cebu MUNICIPALITY OF MEDELLIN  DRAFT TERMS OF REFERENCE (TOR) FOR THE PROPOSED CONSULTANCY SERVICES FOR CLUP &amp; CDP FORMULATION   I.	RATIONALE/BACKGROUND Medellin is a 2nd class municipality in the Provi</t>
  </si>
  <si>
    <t xml:space="preserve"> 38 pcs Tablet, 8.0 Pie, 4-core, 32GB, 5100mAh 38 pcs Power Bank 10050mAh Lithium 2.4A/2 USB Output Powerbank 2 pcs Laptop Core i7 Core i7-9750H (2.6GHZ), 8GB, 1TB+128 M.2 SSD, 15.6FHD IPS, 4GB NO OOD, Win 10 Wifi, Cam, BT w/Trial Operating System and Anti</t>
  </si>
  <si>
    <t xml:space="preserve"> The work includes construction of concrete ground cylindrical reservoir (3, gals. capacity) with complete pipe fittings and accessories including control box with steel cover and painted as per approved plans and specs.</t>
  </si>
  <si>
    <t xml:space="preserve"> INVITATION TO BID FOR THE SUPPLY AND DELIVERY OF MUSICAL INSTRUMENTS   1.	The City of Iloilo, through the Capital Outlay intends to apply the sum of Two Million Ninety-Nine Thousand Pesos (P2,099,000.00) being the Approved Budget for the Contract (ABC) to</t>
  </si>
  <si>
    <t xml:space="preserve"> 10 SACKS SUGAR 30 CASES NOODLES 10 CASES SARDINES 150 KGS NATIVE COFFEE 20 PACKS PLASTIC BAGS MEALS AND SNACKS CAR RENTALS 500 PCS HANDSOAP</t>
  </si>
  <si>
    <t xml:space="preserve"> Republic of the Philippines Province of Agusan del Norte Municipality of Magallanes BIDS AND AWARDS COMMITTEE INVITATION TO BID The Barangay Guiasan, Municipality of Magallanes through its Bids and Awards Committee (BAC), invites potential and interested </t>
  </si>
  <si>
    <t xml:space="preserve"> Laptop  Desktop Printer External Hard drives</t>
  </si>
  <si>
    <t xml:space="preserve"> Republic of the Philippines                                                              Municipality of Tagoloan                                                      PROVINCE OF MISAMIS ORIENTAL                                                            </t>
  </si>
  <si>
    <t xml:space="preserve"> PROCUREMENT OF GROCERY ITEMS, VIAND AND VEGETABLES, MNAO OF LGU-MAPANAS, NORTHERN SAMAR</t>
  </si>
  <si>
    <t xml:space="preserve"> CEO/MOTORPOOL DIVISION &gt;&gt;   Please see attached file/document on associated components or BAC website www.davaocityportal.com (BAC posting) for the complete descriptions, terms of conditions and terms of references.   Bidding will be conducted through ope</t>
  </si>
  <si>
    <t xml:space="preserve"> Water Source (Drilling); Installation of Water Pumping System 1- (Pumping Station 1.6m x 1.6m); Installation of Ground Tank Concrete Reservoir – (3.0x3.0x3.5)M, Installation of 1 – electrical post with accessories; Installation of Pipes and Fittings</t>
  </si>
  <si>
    <t xml:space="preserve"> Barangay  Conrazon, Bansud Oriental Mindoro Concreting of 70L.m Road,width=4m,thickness=200mm (8 inch) installation of RCPC, Road shoulder Slope Protection woth 1m road shoulder bothsides</t>
  </si>
  <si>
    <t xml:space="preserve"> Invitation to Bid for ROAD CONCRETING AT POBLACION, PASACAO, CAM. SUR 1.	The Local Government Unit of Pasacao, through the Twenty Percent (20%) Local Development Fund CY 2020  intends to apply the sum of One million Four Hundred Ninety Nine Thousand Nine </t>
  </si>
  <si>
    <t xml:space="preserve"> CITY HEALTH OFFICE  1 6 Unit/s Bed, steel frame with mattress, Bed size: single, Mattress Size: 36" x 75", durable, good quality  2 60 Unit/s Bench, individual seater, made of fiber/steel, 4-seater, durable, good quality  3 10 Unit/s Dining Set, 6-seater,</t>
  </si>
  <si>
    <t xml:space="preserve"> Water Source (Drilling); Installation of Water Pumping System 1- (Pumping Station 1.6m x 1.6m) Well drilling 90m depth; Installation of Overhead Tank (Concrete) (2.5x2.5x2.5)M – 8MHT, Installation of 1 – Transformer w/complete accessories; Installation of</t>
  </si>
  <si>
    <t xml:space="preserve"> 900 SACKS OF RICE 70 CS NOODLES 35 CS SARDINES 85 PACKS SANDO BAG MEALS AND SNACK CARGO TRUCK RENTALS 15 GALS DISINFECTANTS</t>
  </si>
  <si>
    <t xml:space="preserve"> CENRO-GEN ADMIN &gt;&gt;&gt;&gt;   Please see attached file/document on associated components or BAC website www.davaocityportal.com (BAC posting) for the complete descriptions, terms of conditions and terms of references.   Bidding will be conducted through open com</t>
  </si>
  <si>
    <t xml:space="preserve"> CITY ENGINEER'S OFFICE &gt;&gt;&gt;   Please see attached file/document on associated components or BAC website www.davaocityportal.com (BAC posting) for the complete descriptions, terms of conditions and terms of references.   Bidding will be conducted through op</t>
  </si>
  <si>
    <t xml:space="preserve"> Davao City Treatment &amp; Rehabilitation Center &gt;&gt;&gt;   Please see attached file/document on associated components or BAC website www.davaocityportal.com (BAC posting) for the complete descriptions, terms of conditions and terms of references.   Bidding will b</t>
  </si>
  <si>
    <t xml:space="preserve"> 1	LOT	Supply, Delivery and Installation of Furniture and Fixtures for the Completion of 2-Storey Academic Building 2 at BPSU Abucay Campus					 		[14 UNITS] Faculty Workstations with Mobile Pedestal					 		Full fabric partition 1200mm height aluminum in p</t>
  </si>
  <si>
    <t xml:space="preserve"> Republic of the Philippines PROVINCE OF QUIRINO Cabarroguis -oOo- BIDS AND AWARDS COMMITTEE INVITATION TO BID FOR  Rehabilitation of Rizal – Villa Pascua Road Contract No. PB-CW-2020-017 							June 4, 2020 1.	The Bids and Awards Committee (BAC) of the Pr</t>
  </si>
  <si>
    <t xml:space="preserve"> Installation of Water Pumping System 1- (Pumping Station 1.6mx1.6m) Well Drilling 8”Ø 90m depth; 1-15KVA Transformer, 1-Electrical post with accessories; 1-3HP submersible pump w/accessories</t>
  </si>
  <si>
    <t xml:space="preserve"> Located at Villa Pag-asa, Bansud Oriental Mindoro Construction and Rehabilitation of Climate Resilient Roads and Bridges</t>
  </si>
  <si>
    <t xml:space="preserve"> Completion of 2 storey Academic Building. This includes, Painting works, Network Cabling, Generator Sets and Power House, Air-condition Units, Firehose Cabinets, Fire Extinguisher, Concrete Cladding and Accent Wall and Electrical Wall</t>
  </si>
  <si>
    <t xml:space="preserve"> Water Source (Drilling); Installation of Water Pumping System 1- (Pumping Station 1.6m x 1.6m); Installation of Overhead Tank (Concrete) (2.5x2.5x2.5)M – 8MHT, Installation of 1 – Transformer w/complete accessories; Installation of Pipes and Fittings</t>
  </si>
  <si>
    <t xml:space="preserve"> The Municipality of San Mariano, Isabela invite bidders to participate in this procurement, Supply and Delivery of Agroforestry Approved Budget: Php 200,000.00 Bids must be duly received on or before June 22, 2020 at 10:30 AM. Late bids shall not be accep</t>
  </si>
  <si>
    <t xml:space="preserve"> Republic of the Philippines PROVINCE OF QUIRINO Cabarroguis -oOo- BIDS AND AWARDS COMMITTEE INVITATION TO BID FOR  Improvement of Processing Center of Quirino Banana Enterprise Contract No. PB-CW-2020-019 							June 4, 2020 1.	The Bids and Awards Committ</t>
  </si>
  <si>
    <t xml:space="preserve"> Department of Education Region VI-Western Visayas Division of Cadiz City Mabini National High School INVITATION TO BID FOR THE PROCUREMENT OF MATERIALS FOR OFFICE SUPPLIES OF MNHS-SHS 2020 1.	The Mabini National High School  of Cadiz City, through the Sch</t>
  </si>
  <si>
    <t xml:space="preserve"> Republic of the Philippines                                                  PROVINCE OF MISAMIS ORIENTAL                                                         Municipality of Tagoloan                                                           INVITATION</t>
  </si>
  <si>
    <t xml:space="preserve"> 1.	 20	- Bots.		- Ambroxol 15mg/5ml, syrup 60ml		- 27.00 2.	 20	- bots		- Ambroxol 30mg/5ml, syrup 60ml		- 27.00 3.	 50	- bots		- Amoxicillin 100/ml,10ml			- 22.00 4.	200	- vial		- Ampicillin 500mg tab 100’s			- 30.00 5.	1,000	- tab		- Ascorbic Acid 500mg</t>
  </si>
  <si>
    <t xml:space="preserve"> Republic of the Philippines PROVINCE OF QUIRINO Cabarroguis -oOo- BIDS AND AWARDS COMMITTEE INVITATION TO BID FOR  Rehabilitation of Diffun – Liwayway - Sitio Pallutan Road Contract No. PB-CW-2020-018 							June 4, 2020 1.	The Bids and Awards Committee (</t>
  </si>
  <si>
    <t xml:space="preserve"> DEPARTMENT OF PUBLIC WORKS AND HIGHWAYS Contract ID:	20CSGB01 Contract Name:	CONDUCT OF GEOTECHNICAL INVESTIGATION FOR FY 2021 INFRASTRUCTURE PROJECTS  Contract Location: PROVINCE OF ANTIQUE ________________________________________ ANTIQUE DISTRICT ENGINE</t>
  </si>
  <si>
    <t xml:space="preserve"> CSSDO  1 2516 Piece/s Gift check Certificate worth P 1,000.00 (High School Students)  2 224 Piece/s Gift check Certificate worth P 700.00 (Elementary Students) * To purchase school supplies and school uniforms   Please see attached file/document on associ</t>
  </si>
  <si>
    <t xml:space="preserve"> Water Source (Drilling); Installation of Water Pumping System 1- (Submersible Pump) Installation of Steel Tank – 4000 Liter Capacity; Installation of Pipes and Fittings</t>
  </si>
  <si>
    <t xml:space="preserve"> 2nd INVITATION TO APPLY FOR ELIGIBILITY AND TO BID (IAEB)   The Municipality of Molave, Zamboanga del Sur, through its Bids and Awards Committee, invites suppliers/distributors to apply for eligibility and to bid for the rebidding of the hereunder project</t>
  </si>
  <si>
    <t xml:space="preserve"> 1.	The Department of Education – Division of Southern Leyte, through the General Appropriations Act (GAA) CY 2020 intends to apply the sum of One Million Seven Hundred Twenty-seven Thousand Five Hundred Twenty-two Pesos and Fifty-four Centavos Only (Php 1</t>
  </si>
  <si>
    <t xml:space="preserve"> INVITATION TO BID PROCUREMENT OF CONSTRUCTION MATERIALS FOR CONCREING OF MUNICIPAL ROAD AT NGILEB, ALFONSO LISTA, IFUGAO 1.	The Local Government Unit Alfonso Lista, Ifugao through the 20% Development Fund 2020 intends to apply the sum of One Million Three</t>
  </si>
  <si>
    <t xml:space="preserve"> SANGGUNIANG PANLUNGSOD 1 31,127 Liter/s Diesel 5 2 24,070 Liter/s Gasoline Period of Delivery: Third (3rd) Quarter 2020 Terms and Condition: * Gasoline Station must be along Monteverde Ave. and Ramon Magsaysay Street., Davao City All quoted prices shall b</t>
  </si>
  <si>
    <t xml:space="preserve"> Installation of Gabions and mattresses</t>
  </si>
  <si>
    <t xml:space="preserve"> Asphalt Overlay (width = 6.70m., thk. = 50mm) Application of Reflectorized Thermoplastic Pavement Markings Installation of Pavement Stud Markers</t>
  </si>
  <si>
    <t xml:space="preserve"> 1	LOT	Lecture Rooms Equipment (see attached bidding form for items included in the lot) 1	LOT	Agricultural and Biosystems Engineering Processing Equipment and Instruments (see attached bidding form for items included in the lot) 1	LOT	Agricultural and Bio</t>
  </si>
  <si>
    <t xml:space="preserve"> SANGGUNIANG PANLUNGSOD &gt;&gt;&gt;&gt;   Please see attached file/document on associated components or BAC website www.davaocityportal.com (BAC posting) for the complete descriptions, terms of conditions and terms of references.   Bidding will be conducted through o</t>
  </si>
  <si>
    <t xml:space="preserve"> Republic of the Philippines PROVINCE OF QUIRINO Cabarroguis -oOo- BIDS AND AWARDS COMMITTEE INVITATION TO BID FOR  Rehabilitation of Maria Clara-San Isidro Road Contract No. PB-CW-2020-016 							June 4, 2020 1.	The Bids and Awards Committee (BAC) of the </t>
  </si>
  <si>
    <t xml:space="preserve"> INVITATION TO BID  for  Supply and Delivery of One (1) unit Brand New 6 x 4 x 10-Wheeler, 32 ft. Truck Chassis Mounted with 32 x 8 x 8 footer Wing Van Body, with 33,000kgs. G.V.M. Rating, 420 PS, Diesel Turbo Charged Intercooled, 4 Cycle Vertical, 6 Cylin</t>
  </si>
  <si>
    <t xml:space="preserve"> SANGGUNIANG PANLUNGSOD  1 28,454 Liter/s Diesel  2 18,207 Liter/s Gasoline Period of Delivery: Third (3rd) Quarter 2020 Terms and Condition: Gasoline Station must be along Mc Arthur Highway Matina, Davao City and not more than 2.0 kilometers from City Hal</t>
  </si>
  <si>
    <t xml:space="preserve"> Asphalt Overlay (width = 13.40m., thk. = 50mm) Application of Reflectorized Thermoplastic Pavement Markings Installation of Pavement Stud Markers</t>
  </si>
  <si>
    <t xml:space="preserve"> Construction of covered court, three 3 bay only. Thus includes floor Slab (16m x 30m) and painting works (on steel, masonry and concrete)</t>
  </si>
  <si>
    <t xml:space="preserve"> Procurement of Office Supplies use for PMTO office.</t>
  </si>
  <si>
    <t xml:space="preserve"> Contract ID			:	20EG0091					 Contract Name  			:	Repair and Maintenance of Road Safety Facilities along National Roads					 Contract Location			:	K0000+000 - K0000+579.20, Puerto Princesa South Road (S00040PW) and K0000+017.50-					 				K0000+162, Puerto</t>
  </si>
  <si>
    <t xml:space="preserve"> Construction of Stone Masonry Retaining Wall Roadway Excavation - Common Surplus Excavation - Surplus Rock Excavation (Soft) Construction of Concrete Lined Canal</t>
  </si>
  <si>
    <t xml:space="preserve"> Opening with graveling (width = 6.00m., thk. = 200mm) Roadway Excavation - Common Surplus Excavation - Surplus Rock Excavation (Soft) Construction of Minor Drainage Structures</t>
  </si>
  <si>
    <t xml:space="preserve"> Republic of the Philippines PROVINCE OF QUIRINO Cabarroguis -oOo- BIDS AND AWARDS COMMITTEE INVITATION TO BID FOR  Improvement of Processing Center of Quirino Coffee Enterprise Contract No. PB-CW-2020-020 							June 4, 2020 1.	The Bids and Awards Committ</t>
  </si>
  <si>
    <t xml:space="preserve"> Republic of the Philippines Province of Cagayan Municipality of Piat -o0o- OFFICE OF THE BIDS AND AWARDS COMMITTEE (BAC) “INVITATION TO BID FOR CONSTRUCTION OF REITAINING WALL AT BAUNG, PIAT, CAGAYAN” The Local Government Unit of Piat through the CY2020 M</t>
  </si>
  <si>
    <t xml:space="preserve"> Concreting of Additional 2 lanes (2 into 4 lanes, 280mm thk.) – existing width 6.70, with additional 2 lanes total width 13.40 Roadway Excavation - Common Surplus Excavation Construction of Slope Protection (Grouted Riprap) Construction of Concrete Lined </t>
  </si>
  <si>
    <t xml:space="preserve"> Construction of covered court with stage and dressing room. This includes painting works on stage, electrical works on stage and covered court</t>
  </si>
  <si>
    <t xml:space="preserve"> Republic of the Philippines                                                              Municipality of Tagoloan                                                        PROVINCE OF MISAMIS ORIENTAL                                                          </t>
  </si>
  <si>
    <t xml:space="preserve"> Republic of the Philippines Province of Eastern Samar Municipality of Mercedes BARANGAY SUNG-AN OFFICE OF THE BIDS AND AWARDS COMMITTEE (BAC) INVITATION TO BID # 2020-002  Invitation to Bid for the Proposed Continuing Construction of Cultural Stage 1.	The</t>
  </si>
  <si>
    <t xml:space="preserve"> Construction of Multi-Purpose Building., (Municipal Gym) 3rd Phase, Including Structural Steel Works, Roofing Works, Masonry Works, Reinforced Concrete Works, Plumbing Works with Septic Vault and Electrical Works</t>
  </si>
  <si>
    <t xml:space="preserve"> Scope of Work		:	This project covers epoxy coating on cracks and protection at bridge columns</t>
  </si>
  <si>
    <t xml:space="preserve"> Completion of Multi-Purpose Building (Stage) with reinforced concrete, cement plaster finish, finishing hardware, painting masonry, structural steel (roofing), and electrical works.</t>
  </si>
  <si>
    <t xml:space="preserve"> Improvement NNCHS Gym with cement plaster finish, painting works, court wood tiles, construction of rooms w/doors and windows, waterlines, electrical works, repair of fascia frame and roof w/ reflective insulation and transformer</t>
  </si>
  <si>
    <t xml:space="preserve"> 80 SACKS RICE MEALS AND SNACKS CARGO TRUCK RENTALS REAGENTS/HYGIENE KITS</t>
  </si>
  <si>
    <t xml:space="preserve"> Construction of complete Mini Gym including electrical &amp; painting works</t>
  </si>
  <si>
    <t xml:space="preserve"> 400 PACKS RELIEF GOODS</t>
  </si>
  <si>
    <t xml:space="preserve"> Sangguniang Panlungsod  1 8818 Liters Diesel  2 9749 Liters Gasoline  Period of Delivery: Third (3rd) Quarter 2020 TERMS and CONDITION Gasoline Station must be along Mintal National Highway   Please see attached file/document on associated components or B</t>
  </si>
  <si>
    <t xml:space="preserve"> VICE MAYOR  1 20,000 Liter/s Diesel  2 9,446 Liter/s Gasoline Period of Delivery: Third (3rd) Quarter 2020 Terms and Condition: Gasoline Station must be along Mc Arthur Highway Matina, Davao City and not more than 2.0 kilometers from City Hall and SP Buil</t>
  </si>
  <si>
    <t xml:space="preserve"> Please see attached RFQ.</t>
  </si>
  <si>
    <t xml:space="preserve"> 35 SACKS RICE 50 KGS DRIED FISH 20 CS NOODLES MEALS AND SNACKS CARGO TRUCK RENTALS</t>
  </si>
  <si>
    <t xml:space="preserve"> Reblocking</t>
  </si>
  <si>
    <t xml:space="preserve"> Scope of Work		:	This project covers the Asphalt Overlay along intermittent  					sections of Mactan Circumferential Road</t>
  </si>
  <si>
    <t xml:space="preserve"> Republic of the Philippines Province of South Cotabato BIDS AND AWARDS COMMITTEE Salada Street, Poblacion Tupi, South Cotabato Tel. Fax No.: (083) 226-1045 INVITATION TO BID FOR THE SUPPLY AND DELIVERY OF ONE (1) UNIT AMBULANCE WITH COMPLETE ACCESSORIES (</t>
  </si>
  <si>
    <t xml:space="preserve"> School Forms SHS for teachers use</t>
  </si>
  <si>
    <t xml:space="preserve"> PURCHASE OF BRGY. AMBULANCE VEHICLE</t>
  </si>
  <si>
    <t xml:space="preserve"> Concreting (width = 6.10m., thk. = 230mm) Roadway Excavation - Embankment from Borrow (Common Soil) Construction of Slope Protection (Grouted Riprap) Construction of Concrete Lined Canal and Other Minor Drainage Structures Application of Reflectorized The</t>
  </si>
  <si>
    <t xml:space="preserve"> Rehabilitation of Multi-Purpose Building: plumbing fixtures, ddors, glass and glazing, toilet tiles (floor and wall), including railings and ceiling works, and complete painting works (interior and exterior) and electrical works</t>
  </si>
  <si>
    <t xml:space="preserve"> Concreting of Brgy. Hall,Brgy. Coline-Alimodian Iloilo</t>
  </si>
  <si>
    <t xml:space="preserve"> INVITATION TO BID (CW-06-2020-017) The Department of Public Works and Highways (DPWH)-Batangas IV District Engineering Office, Marawoy, Lipa City, Batangas, through its Bids and Awards Committee (BAC), invites contractors to bid for the contract listed be</t>
  </si>
  <si>
    <t xml:space="preserve"> INVITATION TO BID FOR  SUPPLY &amp; DELIVERY OF VARIOUS CONSTRUCTION MATERIALS FOR THE CONST. OF MULTI-PURPOSE HALL (RENOVATION OF BRGY. HEALTH CENTER)  BRGY. CAPULAAN, VILLASIS, PANGASINAN 1.	The Local Government of Villasis, Pangasinan, thru 20% dev’t fund,</t>
  </si>
  <si>
    <t xml:space="preserve"> Construction of complete two (2) storey multi-purpose building (Legislative Building)</t>
  </si>
  <si>
    <t xml:space="preserve"> Construction of Mini Gym,Brgy. Tugaslon,Alimodian Iloilo</t>
  </si>
  <si>
    <t xml:space="preserve"> INVITATION TO BID FOR  SUPPLY &amp; DELIVERY OF VARIOUS CONSTRUCTION MATERIALS FOR THE DEVELOPMENT OF VILLASIS ECO PARK RESORT AND EVACUATION CENTER COMPLEX CONSTRUCTION OF STEEL FENCE  BRGY. UNZAD, VILLASIS, PANGASINAN 1.	The Local Government of Villasis, Pa</t>
  </si>
  <si>
    <t xml:space="preserve"> Republic of the Philippines Province of Misamis Occidental MUNICIPALITY OF CALAMBA INVITATION TO BID FOR PROCUREMENT OF MATERIALS FOR TEMPORARY HOLDING FACILITY  	June 4, 2020 1.	The Municipality of Calamba, Misamis Occidental, through the BGCM  intends t</t>
  </si>
  <si>
    <t xml:space="preserve"> Construction of complete MPB (Barangay Health Station). Including plumbing works w/fixtures, tile works, painting works, railings and electrical works</t>
  </si>
  <si>
    <t xml:space="preserve"> Construction of MPB (Health Center) Including earthworks, reinforced concrete works, masonry works, roofing works, tile works, doors and windows, plumbing works w/septic vault and electrical works. No painting works</t>
  </si>
  <si>
    <t xml:space="preserve"> Construction of complete covered court with court slab, painting works (on steel, masonry and concrete), electrical works, movable type basketball goal w/fiber glass board and rubberized basketball court (use exterior pain)</t>
  </si>
  <si>
    <t xml:space="preserve"> 1. FB BODY VAN W/ DUAL AIRCON	……………………………………………………. 5 units Performance &amp; Safety:  	  Dimensions:				 Overall Length: 4260mm				 Overall Width: 1695mm				 Overall Height: 1895mm				 Wheelbase:2350mm				 Tread Front/Rear: 1440/1380mm				 Ground Clearance: </t>
  </si>
  <si>
    <t xml:space="preserve"> Student ID SHS for students use</t>
  </si>
  <si>
    <t xml:space="preserve"> Construction of Multi-Purpose Building (Stage and Bleacher (1-3.2m x 12m) with reinforced concrete, cement plaster finish, finishing hardware, painting masonry and electrical works</t>
  </si>
  <si>
    <t xml:space="preserve"> INVITATION TO BID FOR  SUPPLY &amp; DELIVERY OF VARIOUS CONSTRUCTION MATERIALS FOR THE CONSTRUCTION OF DRAINAGE SYSTEM   BRGY. CARAMUTAN, VILLASIS, PANGASINAN 1.	The Local Government of Villasis, Pangasinan, thru 20% devt Fund, intends to apply the sum of Thr</t>
  </si>
  <si>
    <t xml:space="preserve"> Concreting of Kawayan St. (from Sampaguita Ave. - Gumamela St.)</t>
  </si>
  <si>
    <t xml:space="preserve"> Construction of 2 Storey Building (Health Center) and Completion of Nutrition Center</t>
  </si>
  <si>
    <t xml:space="preserve"> Republic of the Philippines PROVINCE OF SIQUIJOR Capitol, Bldg., Pulangyuta, Siquijor, Siquijor INVITATION TO BID FOR Supply and Delivery of Various Medical Supplies 1.	The Province of Siquijor, through the IPHO Non-Office Bayanihan Grant to Prov. 200-502</t>
  </si>
  <si>
    <t xml:space="preserve"> Improvement of Multi-Purpose Pavement,Brgy. Ban-ag, Alimodian Iloilo</t>
  </si>
  <si>
    <t xml:space="preserve"> PHILIPPINE BIDDING DOCUMENTS (As Harmonized with Development Partners) Procurement for  CONSTRUCTION OF LOCAL ACCESS ROAD TO SANITARY LANDFILL BRGY. KALYAAT LUCBAN, QUEZON BIDDING Government of the Republic of the Philippines Fourth Edition   Preface Thes</t>
  </si>
  <si>
    <t xml:space="preserve"> INVITATION TO BID FOR  SUPPLY &amp; DELIVERY OF VARIOUS CONSTRUCTION MATERIALS FOR THE CONSTRUCTION OF MULTI-PURPOSE HALL (PHASE I)  POBLACION ZONE III, VILLASIS, PANGASINAN 1.	The Local Government of Villasis, Pangasinan, thru 20% dev’t fund, intends to appl</t>
  </si>
  <si>
    <t xml:space="preserve"> INVITATION TO BID FOR  SUPPLY &amp; DELIVERY OF VARIOUS CONSTRUCTION MATERIALS FOR THE CONCRETING OF FARM TO MARKET ROAD LIBTONG ROAD 1  BRGY. CARAMUTAN, VILLASIS, PANGASINAN 1.	The Local Government of Villasis, Pangasinan, thru TET 2016, intends to apply the</t>
  </si>
  <si>
    <t xml:space="preserve"> Construction of Structural Concretes, Roof Framing and Roofing</t>
  </si>
  <si>
    <t xml:space="preserve"> Republic of the Philippines PROVINCE OF NORTHERN SAMAR BIDS AND AWARDS COMMITTEE Catarman Contracting of Security Services (Blue Guards) for Twelve Months Province of Northern Samar NS-06-04-20 1.	The Provincial Government of Northern Samar, through the S</t>
  </si>
  <si>
    <t xml:space="preserve"> 1. The Municipal Government of Sta. Cruz, through its General Fund intends to apply the sum of One Million Nine Hundred Ninety Nine Thousand Nine Hundred Seventy-Nine Pesos and 56/100 (P1,999,979.56) being the Approved Budget for the Contract (ABC) to pay</t>
  </si>
  <si>
    <t xml:space="preserve"> Improvement of Multi-Purpose Building (Stage and Bleacher) with reinforced concrete, cement plaster finish, finishing hardware, painting masonry and electrical works</t>
  </si>
  <si>
    <t xml:space="preserve"> Construction of covered court two (2) bay only, painting works (on steel, masonry and concrete), electrical works and construction and stage (6m x 12m) w/electrical and painting works (On steel Masonry and Concrete)</t>
  </si>
  <si>
    <t xml:space="preserve"> Republic of the Philippines Province of Eastern Samar Municipality of Mercedes BARANGAY SUNG-AN OFFICE OF THE BIDS AND AWARDS COMMITTEE (BAC) INVITATION TO BID # 2020-001  Invitation to Bid for the Proposed Water Pipe Expansion 1.	The BLGU – SUNG-AN, MERC</t>
  </si>
  <si>
    <t xml:space="preserve"> INVITATION TO BID FOR  SUPPLY &amp; DELIVERY OF VARIOUS CONST. MATERIALS FOR THE DEVELOPMENT OF VILLASIS ECO PARK RESORT &amp; EVACUATION CENTER COMPLEX CONST. OF CHB FENCE, ACCESS ROAD TO RHU, RETAINING WALL, DRAINAGE SYSTEM  BRGY. UNZAD, VILLASIS, PANGASINAN 1.</t>
  </si>
  <si>
    <t xml:space="preserve"> INVITATION TO BID FOR  SUPPLY &amp; DELIVERY OF VARIOUS CONSTRUCTION MATERIALS FOR THE CONCRETING OF FARM TO MARKET ROAD CONNECTING LIBTONG ROAD 1&amp;2  BRGY. CARAMUTAN, VILLASIS, PANGASINAN 1.	The Local Government of Villasis, Pangasinan, thru TET 2016, intends</t>
  </si>
  <si>
    <t xml:space="preserve"> Concreting of Molave St. (from Lawaan St. - Kawayan St.)</t>
  </si>
  <si>
    <t xml:space="preserve"> Contract ID		:	20GM0072 Contract Name	:	Concreting of Sitio Banman, Brgy. Locotan FMR, Brgy. Locotan, Kabankalan City, Negros Occidental Location of the Contract:    	Brgy. Locotan, Kabankalan City, Negros Occidental ______________________________________</t>
  </si>
  <si>
    <t xml:space="preserve"> Rehabilitation of 7.0m x 24.0m senior citizen with concrete works, roofing sheets &amp; accessories, painting &amp; plastering and steel works</t>
  </si>
  <si>
    <t xml:space="preserve"> Improvement of MPB (Brgy. Hall) with painting works (including Site Development)</t>
  </si>
  <si>
    <t xml:space="preserve"> Concreting (width = 5.00m., thk. = 230mm) Roadway Excavation - Common Surplus Excavation - Embankment from Borrow (Common Soil) Construction of Single Barrel Box Culvert Construction of Minor Drainage Structures</t>
  </si>
  <si>
    <t xml:space="preserve"> Contract ID		:	20GM0071 Contract Name	:	Concreting of Sitio Batbat to Sitio Tis-an, Brgy. Isio FMR, Brgy. Isio, Cauayan, Negros Occidental Location of the Contract:    	Brgy. Isio Cauayan, Negros Occidental ________________________________________________</t>
  </si>
  <si>
    <t xml:space="preserve"> Concreting (width = 6.10m., thk. = 280mm) Concreting (width = 5.00m., thk. = 230mm) Roadway Excavation - Common Surplus Excavation Construction and Removal of Minor Drainage Structures</t>
  </si>
  <si>
    <t xml:space="preserve"> Republic of the Philippines DEPARTMENT OF AGRICULTURE Regional Field Office IX Zamboanga Peninsula 		 INVITATION TO BID  ITB NO. 05-0013-20 SUPPLY AND DELIVERY OF HAULING TRUCK LOT 1: TWO (2) UNITS HAULING TRUCK (ALUMINUM VAN TYPE) LOT 2: ONE (1) UNIT HAU</t>
  </si>
  <si>
    <t xml:space="preserve"> INVITATION TO BID FOR THE REBIDDING ON THE PROVISION OF LABOR, MATERIALS, EQUIPMENT AND OTHER INCIDENTALS NEEDED FOR THE IMPROVEMENT OF TAGUIPORO GRANDE DIVERSION DAM (DD) AT BRGY. TAGUIPORO GRANDE, BANGUI, ILOCOS NORTE 1.	The Department of Agriculture Re</t>
  </si>
  <si>
    <t xml:space="preserve"> Consultancy Services for the Geotechnical Investigation for Bridge &amp; Flood Control Projects</t>
  </si>
  <si>
    <t xml:space="preserve"> CONSTRUCTION OF SLOPE PROTECTION OF CAMATAGAN PUBLIC TOILET, SABANGAN FUND SOURCE: 20% PDF 2020 TYPES OF WORK TO BE DONE: Project billboard/ signboard/ occupational safety and health program/ structure excavation (common soil)/ grouted riprap (class A) CO</t>
  </si>
  <si>
    <t xml:space="preserve"> CID No. 20IC0063:  Const. of Hospital Building, Schistosomiasis Control and Research Institute, Palo, Leyte;  ABC: P16,660,000.00; 164 CD ACTIVITY	TIME	PLACE 1.  Issuance/Downloading of       Bidding Documents	June 3 – 23, 2020	Hard copies at BAC Secretar</t>
  </si>
  <si>
    <t xml:space="preserve"> Concreting (width = 5.00m., thk. = 230mm) Roadway Excavation - Common Surplus Excavation Construction of Minor Drainage Structures</t>
  </si>
  <si>
    <t xml:space="preserve"> INVITATION TO BID FOR THE REBIDDING ON THE PROVISION OF LABOR, MATERIALS, EQUIPMENT AND OTHER INCIDENTALS NEEDED FOR THE IMPROVEMENT OF BARCELONA DIVERSION DAM INTAKE STRUCTURE AND CANAL LINING AT BRGY. BARCELONA, SOLSONA, ILOCOS NORTE 1.	The Department o</t>
  </si>
  <si>
    <t xml:space="preserve"> 16-20-0	2,650	bags 		 Insecticides (100ml)	1,500	bottles 		 Fungicides (500 g)	943	packs</t>
  </si>
  <si>
    <t xml:space="preserve"> 1. 30,000 pack - Powdered Milk Drink (300 grams) (Fortified Filled Milk, With Vitamins, A, C, D, Iron and Zinc)</t>
  </si>
  <si>
    <t xml:space="preserve"> Consultancy Services for the Geotechnical Investigation for the Construction of Multi-Purpose Building</t>
  </si>
  <si>
    <t xml:space="preserve"> Republic of the Philippines Region XII Province of Cotabato Municipality of Aleosan  INVITATION TO BID FOR THE Supply and Delivery of Construction Materials for the Construction of 3 units Solar Dryer June 4, 2020 1.	The Local Government Unit of Aleosan t</t>
  </si>
  <si>
    <t xml:space="preserve"> ALBAY 3RD DISTRICT ENGINEERING OFFICE																											 Paulog, Ligao City																											 																											 INVITATION TO BID																											 																											 The DPWH - Albay 3rd District Engineering O</t>
  </si>
  <si>
    <t xml:space="preserve"> Supply of Materials for REHABILITATION OF WATER SYSTEM (CONS. OF RESERVOIR) 1.	The Barangay Can-angay  Inopacan Leyte  through the CY 2020 20% DEVELOPMENT FUND  intends to apply the sum  TWO HUNDRED TWENTY SEVEN THOUSAND  SEVEN HUNDRED FORTY FIVE PESOS . </t>
  </si>
  <si>
    <t xml:space="preserve"> INVITATION TO BID FOR THE REBIDDING ON THE PROVISION OF LABOR, MATERIALS, EQUIPMENT AND OTHER INCIDENTALS NEEDED FOR THE REHABILITATION OF SAN CRISTOBAL SMALL WATER IMPOUNDING PROJECT (SWIP) CANAL LINING AT BRGY. SAN CRISTOBAL, SARRAT, ILOCOS NORTE 1.	The</t>
  </si>
  <si>
    <t xml:space="preserve"> RENTAL OF TRANSPORT SERVICES FOR THE HAULING OF DILAPIDATED VEHICLES FROM MAKATI CITY TO CALAMBA, LAGUNA - Order of payment for Bid Docs will be available at GSD-Head Office @ 10th Floor Makati City Hall Bldg. 2.  Look for Mr. Reden Villanueva. - A  compl</t>
  </si>
  <si>
    <t xml:space="preserve"> Invitation to Rebid for the Construction of Multi-Purpose Hall 1.	The Municipal Government of Puerto Galera, through the LGU – Gender and Development (GAD) Fund Continuing Appropriation intends to apply the sum of One Million Four Hundred Ninety-Nine Thou</t>
  </si>
  <si>
    <t xml:space="preserve"> Republic of the Philippines Province of Bataan MUNICIPALITY OF ORION Bids and Awards Committee 20ITB-INF-02-00032 Invitation to Bid for Labor and Materials for the Perimeter Fence of the New Rural Health Unit at Sitio Pag-asa, Brgy. Wawa, Orion, Bataan 1.</t>
  </si>
  <si>
    <t xml:space="preserve"> PROCUREMENT OF SERVICES FOR THE ONE (1) LOT – EVENT ORGANIZING</t>
  </si>
  <si>
    <t xml:space="preserve"> Printer Consumables and I.T. Supplies/ Equipments</t>
  </si>
  <si>
    <t xml:space="preserve"> LAUNDRY SERVICES 7830 KILOS JULY - DECEMBER 2020 -------------------------------------------------------------------------------------------------------------------------- Bids received in excess of the ABC shall be automatically rejected during the bid o</t>
  </si>
  <si>
    <t xml:space="preserve"> Item No.	Unit	DESCRIPTION				Qty 						 1	Unit	Brand New Garbage Compactor				1 		6 Cylinder Diesel Engine				 		Euro 4				 		180/190 Hp				 		4x2 Manual Transmission				 		Power Steering				 		All Drum Type Hydraulic Break System				 		Front &amp; Rear Multi</t>
  </si>
  <si>
    <t xml:space="preserve"> Republic of the Philippines Cordillera Administrative Region Provincial Local Government Unit of Ifugao BIDS AND AWARDS COMMITTEE 2nd Floor COA Bldg., Capitol Compound Lagawe, Ifugao Email Ad.: bacgoodsifugao13@gmail.com INVITATION TO BID COMMON OFFICE SU</t>
  </si>
  <si>
    <t xml:space="preserve"> VARIOUS MEDICINES AND LABORATORY SUPPLIES</t>
  </si>
  <si>
    <t xml:space="preserve"> INVITATION TO BID FOR THE REBIDDING ON THE PROVISION OF LABOR, MATERIALS, EQUIPMENT AND OTHER INCIDENTALS NEEDED FOR THE REHABILITATION OF IRRIGATION CANAL OF SALBANG DIVERSION DAM (DD) AT BRGY. SALBANG, PAOAY, ILOCOS NORTE 1.	The Department of Agricultur</t>
  </si>
  <si>
    <t xml:space="preserve"> Invitation to Rebid for the Supply &amp; Delivery of Materials for the  Rehabilitation of Drainage Canal 1.	The Municipal Government of Puerto Galera, through the LGU - Gender &amp; Development (GAD) Fund Continuing Appropriation intends to apply the sum of Six H</t>
  </si>
  <si>
    <t xml:space="preserve"> INVITATION TO BID FOR THE REBIDDING ON THE PROVISION OF LABOR, MATERIALS, EQUIPMENT AND OTHER INCIDENTALS NEEDED FOR THE IMPROVEMENT OF MANUGOS SMALL SCALE IRRIGATION SYSTEM AT BRGY. PATIACAN, QUIRINO, ILOCOS SUR 1.	The Department of Agriculture Regional </t>
  </si>
  <si>
    <t xml:space="preserve"> Invitation to Rebid for the Supply &amp; Delivery of Materials for the  Rehabilitation &amp; Improvement of Children’s Youth Park 1.	The Municipal Government of Puerto Galera, through the LGU - Gender &amp; Development (GAD) Fund Continuing Appropriation intends to a</t>
  </si>
  <si>
    <t xml:space="preserve"> Republic of the Philippines DEPARTMENT OF PUBLIC WORKS AND HIGHWAYS ZAMBOANGA DEL NORTE  1ST DISTRICT ENGINEERING OFFICE REGIONAL OFFICE IX Sta. Isabel, Dipolog City INVITATION TO BID The  DPWH ZN 1st District Engineering Office , through its Bids and Awa</t>
  </si>
  <si>
    <t xml:space="preserve"> Concreting (width = 4.00m., thk. = 230mm) Roadway Excavation - Common Surplus Excavation Construction of Concrete Lined Canal and Other Minor Drainage Structures Installation of Metal Guardrails Including Concrete Post</t>
  </si>
  <si>
    <t xml:space="preserve"> Rabies Vaccine</t>
  </si>
  <si>
    <t xml:space="preserve"> SUPPLY AND DELIVERY OF SCHOOL SHOES (LEATHER) FOR DISTRIBUTION TO ALL PUBLIC ELEMENTARY AND SECONDARY SCHOOLS IN MAKATI CITY - Order of payment for Bid Docs will be available at GSD-Head Office @ 10th Floor Makati City Hall Bldg. 2.  Look for Mr. Reden Vi</t>
  </si>
  <si>
    <t xml:space="preserve"> Clearing and Grubbing Structure Excavation  Embankment (from Borrow) Structural Concrete  Reinforcing Steel Formworks and Falseworks Plumbing Works 6mm Plywood on Metal Frame Ceiling  Cement Plaster Finish  Painting Works (Masonry Painting) Painting Works</t>
  </si>
  <si>
    <t xml:space="preserve"> Opening with gravelling (width = 6.00m., thk. = 200mm) Roadway Excavation - Common Surplus Excavation Construction of Minor Drainage Structures</t>
  </si>
  <si>
    <t xml:space="preserve"> INVITATION TO BID FOR THE REBIDDING ON THE PROVISION OF LABOR, MATERIALS, EQUIPMENT AND OTHER INCIDENTALS NEEDED FOR THE REHABILITATION OF IRRIGATION CANAL OF SAN AGUSTIN DIVERSION DAM (DD) AT BRGY. SAN AGUSTIN, PAOAY, ILOCOS NORTE 1.	The Department of Ag</t>
  </si>
  <si>
    <t xml:space="preserve"> Copier Machine</t>
  </si>
  <si>
    <t xml:space="preserve"> DIETARY SERVICES 460 PAX JULY TO DECEMBER 2020 ---------------------------------------------------------------------------------------------------------------------------- Bids received in excess of the ABC shall be automatically rejected during the bid o</t>
  </si>
  <si>
    <t xml:space="preserve"> Procurement of supply and delivery of tires 4	pcs	Exterior tires 265/70 R 16 (plain) 4	pcs	Exterior tires 265/60 R 18 (efficient crip) PR# 2020-901</t>
  </si>
  <si>
    <t xml:space="preserve"> BOHOL ISLAND STATE UNIVERSITY Main Campus, Tagbilaran City INVITATION TO BID FOR PR NO. 2020-02-0267-MAIN-SUPPLY AND DELIVERY OF COSMETOLOGY EQUIPMENT FOR THE COSMETOLOGY TECHNOLOGY LABORATORY OF CTAS 1.	The Bohol Island State University – Main Campus, Ta</t>
  </si>
  <si>
    <t xml:space="preserve"> CID No. 20IC00731:  1. Repair/Maint. of DPWH Bldg, Field Office &amp; Lab. Bldg, Leyte 1 DEO, Pawing, Palo, Leyte;  2. Repair/Maint. of DENR Bldg, LRA, Gov. Center, Palo, Leyte; Total ABC: P2,940,000.00; 144 CD ACTIVITY	TIME	PLACE 1.  Issuance/Downloading of </t>
  </si>
  <si>
    <t xml:space="preserve"> Fuel (Diesel)</t>
  </si>
  <si>
    <t xml:space="preserve"> INVITATION TO BID The DPWH Isabela 4th District Engineering Office through its Bids and Awards Committee (BAC), invites contractors to submit bids for the following Contract: Procurement ID / Contract ID			: 20BH0135 Contract Name/                        </t>
  </si>
  <si>
    <t xml:space="preserve"> Construction of Water Collector System</t>
  </si>
  <si>
    <t xml:space="preserve"> I N V I T A T I O N  T O  B I D The Manila International Airport Authority, through its Bids and Awards Committee (BAC), invites interested parties to apply for eligibility and to bid for the hereunder service contract: 	 Name of Contract       :  	Replac</t>
  </si>
  <si>
    <t xml:space="preserve"> CID No. 20IC0075:  Repair/Maint. of Cavite East Drainage System, Palo, Leyte;  ABC: P4,900,000.00; 93 CD ACTIVITY	TIME	PLACE 1.  Issuance/Downloading of       Bidding Documents	June 3 – 23, 2020	Hard copies at BAC Secretariat; DPWH, Leyte 1st District Eng</t>
  </si>
  <si>
    <t xml:space="preserve"> Facilities for Engineer, Other General Requirements, Civil, Mechanical, Electrical and Sanitary/Plumbing Works, Earthwork, Plain and Reinforced Concrete Work, Finishing and Other Civil Works</t>
  </si>
  <si>
    <t xml:space="preserve"> CID No. 20IC0074:  Repair/Maint. of Paran Creek, Flood Control, Brgy. District III, Babatngon, Leyte;  ABC: P3,920,000.00; 66 CD ACTIVITY	TIME	PLACE 1.  Issuance/Downloading of       Bidding Documents	June 3 – 23, 2020	Hard copies at BAC Secretariat; DPWH</t>
  </si>
  <si>
    <t xml:space="preserve"> Republic of the Philippines City of Manila OFFICE OF THE CITY MAYOR BIDS AND AWARDS COMMITTEE INVITATION TO BID  The City Government of Manila, through the Capital Outlay FY 2019 - Continuing Appropriations, intends to apply the following amount for the f</t>
  </si>
  <si>
    <t xml:space="preserve"> JANITORIAL SERVICES 48 PAX JULY TO DECEMBER 2020 -------------------------------------------------------------------------------------------------------------------------- Bids received in excess of the ABC shall be automatically rejected during the bid o</t>
  </si>
  <si>
    <t xml:space="preserve"> SURIGAO STATE COLLEGE OF TECHNOLOGY Surigao City INVITATION TO BID FOR PRINTING OF COLLEGE YEARBOOK SY 2019-2020 INCLUDING PHOTOGRAPHY  1.	The Surigao State College of Technology, through the Corporate Budget for the Contract Approved by the Governing Boa</t>
  </si>
  <si>
    <t xml:space="preserve"> SUPPLY AND DELIVERY OF SCHOOL BAGS FOR DISTRIBUTION TO SPED AND KINDER PUPILS OF ALL PUBLIC ELEMENTARY SCHOOLS IN MAKATI CITY - Order of payment for Bid Docs will be available at GSD-Head Office @ 10th Floor Makati City Hall Bldg. 2.  Look for Mr. Reden V</t>
  </si>
  <si>
    <t xml:space="preserve"> Laptop Computer 7 unit • Processor: AMD Ryzen 5 3500U • Memory: 8 GB DDR4 • Storage: 256 GB PCIe SSD + 1 TB HDD • OS: Windows 10 Pro 64 bit • Display: 15.6 inches • Weight: Not heavier than 1.63Kg • Connectivity: Wi-Fi: IEEE 802.11a/b/g/n/ac, 2.4 GHz and </t>
  </si>
  <si>
    <t xml:space="preserve"> INVITATION TO BID FOR Procurement of FUEL for LGU use (2nd quarter 2020) 1.	The Local Government Unit of Jimenez, Misamis Occidental  through the General Fund intends to apply the sum of Seven Hundred Fifteen Thousand Four Hundred Thirty One Pesos Only ( </t>
  </si>
  <si>
    <t xml:space="preserve"> Department of Public Works and Highways Contract ID:	20NA0066 Title: 		Concreting of Brgy. Calamba FMR, Cabadbaran City, Agusan del Norte Location:		Cabadbaran City, Agusan del Norte ________________________________________________________________________</t>
  </si>
  <si>
    <t xml:space="preserve"> The Department of Public Works and Highways – Cordillera Administrative Region, through its Bids and Awards Committee (BAC) for Goods, invites suppliers to submit bids for the contract below: Contract ID No.:	20GP00062 Contract Name:	Purchase of Heavy Equ</t>
  </si>
  <si>
    <t xml:space="preserve"> Facilities for the Engineer, Other General Requirements, Earthwork, Subbase and Base Course, Surface Course, Drainage and Slope Protection Structures, Miscellaneous Structures</t>
  </si>
  <si>
    <t xml:space="preserve"> INVITATION TO BID FOR THE CONSTRUCTION OF DRAINAGE SYSTEM AT DON JUAN BAYVIEW SUBDIVISION, BRGY. SUCAT, MUNTINLUPA CITY (*RE-POSTED) 1.	The City Government of Muntinlupa, through its duly-approved Supplemental Budget for 2019 intends to apply the sum of T</t>
  </si>
  <si>
    <t xml:space="preserve"> ITEMS OF WORK INCLUDES: FORMWORKS, REINFORCING STEEL WORKS, CONCRETE WORKS, STEEL TRUSS WORKS, TINSMITHRY WORKS, MANUAL HAULING</t>
  </si>
  <si>
    <t xml:space="preserve"> INVITATION TO BID The DPWH Isabela 4th District Engineering Office through its Bids and Awards Committee (BAC), invites contractors to submit bids for the following Contract: Procurement ID / Contract ID			: 20BH0136 Contract Name/                        </t>
  </si>
  <si>
    <t xml:space="preserve"> INVITATION TO BID FOR THE REHABILITATION OF DRAINAGE SYSTEM ALONG ST. FRANCIS STREET, JPA SUBDIVISION, TUNASAN, MUNTINLUPA CITY (*RE-POSTED) 1.	The City Government of Muntinlupa, through its duly-approved Executive Budget for 2020 intends to apply the sum</t>
  </si>
  <si>
    <t xml:space="preserve"> INVITATION TO BID The DPWH Isabela 4th District Engineering Office through its Bids and Awards Committee (BAC), invites contractors to submit bids for the following Contract: Procurement ID / Contract ID			: 20BH0138 Contract Name/                        </t>
  </si>
  <si>
    <t xml:space="preserve"> Republic of the Philippines BIDS AND AWARD COMMITTEE Province of Batangas INVITATION TO BID The Provincial Government of Batangas, through its Bids and Awards Committee (BAC) invites all accredited suppliers, distributors and manufacturers to bid on the f</t>
  </si>
  <si>
    <t xml:space="preserve"> Vehicle Spare Parts</t>
  </si>
  <si>
    <t xml:space="preserve"> Items of works to be done includes: -Site preparation, clearing &amp; leveling -Excavation -Reinforcing steel -Formworks -Structural concrete (includes widening block &amp; canal) -Fabrication and installation of G.I. pipe handrails -Backfill/ embankment -Grouted</t>
  </si>
  <si>
    <t xml:space="preserve"> Road Concreting</t>
  </si>
  <si>
    <t xml:space="preserve"> The Local Government Unit of Aglipay through 20% Municipal Development Fund (MDF) CY 2020  intends to apply the sum of One Million Five Hundred Forty Seven Thousand One Hundred Sixty Seven Pesos and 68/100 (Php 1, 547,167.68) being the Approved Budget for</t>
  </si>
  <si>
    <t xml:space="preserve"> TO SUPPY AND DELIVERY OF MATERIALS FOR THE COMPLETION OF ONE STOP SHOP(TOURISM BUILDING) PART A</t>
  </si>
  <si>
    <t xml:space="preserve"> Republic of the Philippines BIDS AND AWARDS COMMITTEE Cadiz City      BID DOCUMENTS for the CONSTRUCTION OF POWERHOUSE @ CDRRMC, BRGY. ZONE 3, CADIZ CITY (1) BIDS AND AWARDS COMMITTEE  Cadiz City   INVITATION TO BID/REQUEST FOR EXPRESSION OF INTEREST The </t>
  </si>
  <si>
    <t xml:space="preserve"> CIVIL WORKS 1	Cement Portland – 40kg 2	Gravel – 3/4 inch 3	Sand – White 4	Bar Deformed – 10mm diameter x 6m 5	Bar Deformed – 12mm diameter x 6m 6	Bar Steel – 16mm 7	Wire G.I. Tie – Gauge #16 8	Bare Copper Wire – 2mm (squared) 9	Lumber Coco – 2” x 4” x 12’</t>
  </si>
  <si>
    <t xml:space="preserve"> SUPPLY AND DELIVERY OF DENTAL AND HYGIENE KITS FOR DISTRIBUTION TO ALL PUBLIC ELEMENTARY SCHOOLS IN MAKATI CITY - Order of payment for Bid Docs will be available at GSD-Head Office @ 10th Floor Makati City Hall Bldg. 2.  Look for Mr. Reden Villanueva. - A</t>
  </si>
  <si>
    <t xml:space="preserve"> INVITATION TO BID FOR  CONSTRUCTION OF FLOOD CONTROL - PANDAYAN The Municipality of San Juan, through its Bids and Awards Committee (BAC), invites contractors to submit bids for the following Contract: Contract ID		:          	20-00037						 Contract Name</t>
  </si>
  <si>
    <t xml:space="preserve"> INVITATION TO BID The DPWH Isabela 4th District Engineering Office through its Bids and Awards Committee (BAC), invites contractors to submit bids for the following Contract: Procurement ID / Contract ID			: 20BH0137 Contract Name/                        </t>
  </si>
  <si>
    <t xml:space="preserve"> SUPPLY AND DELIVERY OF RAINCOAT JACKETS WITH HOODIE FOR DISTRIBUTION TO ALL PUBLIC SECONDARY SCHOOLS IN MAKATI CITY - Order of payment for Bid Docs will be available at GSD-Head Office @ 10th Floor Makati City Hall Bldg. 2.  Look for Mr. Reden Villanueva.</t>
  </si>
  <si>
    <t xml:space="preserve"> 1. 1 unit - Brand New Ambulance Vehicle DOH Standard compliance inclusive of vehicle, accessories and consumables COLOR: White ENGINE: 2.5-3.0 (DSL) 4 CYLINDER DOHC 16V (EURO 4) DISPLACEMENT : 2,400 – 2,800CC MAX TORQUE: 420 Nm@1,400-2,000 rpm DIRECT INJE</t>
  </si>
  <si>
    <t xml:space="preserve"> SUPPLY AND DELIVERY OF RAINCOAT AND RAIN BOOT SETS FOR DISTRIBUTION TO KINDER PUPILS OF ALL PUBLIC ELEMENTARY SCHOOLS IN MAKATI CITY - Order of payment for Bid Docs will be available at GSD-Head Office @ 10th Floor Makati City Hall Bldg. 2.  Look for Mr. </t>
  </si>
  <si>
    <t xml:space="preserve"> SUPPLY AND INSTALLATION OF ELECTRO MECHANICAL GREASE DISPENSERS WITH GREASE SERVICE PACKS AT MAKATI CITY HALL BUILDING I, II UNIVERSITY OF MAKATI AND MAKATI CENTRAL POLICE STATION - Order of payment for Bid Docs will be available at GSD-Head Office @ 10th</t>
  </si>
  <si>
    <t xml:space="preserve"> ITEMS OF WORK INCLUDES: Site preparation/clearing/base preparation, concrete footpath, formworks, structural concrete, structure excavation (solid rock), structure excavation (loose rock), railings, manual hauling</t>
  </si>
  <si>
    <t xml:space="preserve"> Construction of Reception/Guardhouse Building (Phase I)</t>
  </si>
  <si>
    <t xml:space="preserve"> Renovation of MDRRMO Building</t>
  </si>
  <si>
    <t xml:space="preserve"> SECURITY SERVICES AT VARIOUS MAKATI CITY PUBLIC BUILDINGS UNDER CLUSTER I FOR 2020 - Order of payment for Bid Docs will be available at GSD-Head Office @ 10th Floor Makati City Hall Bldg. 2.  Look for Mr. Reden Villanueva. - A  complete set of Bidding Doc</t>
  </si>
  <si>
    <t xml:space="preserve"> TO SUPPLY AND DELIVERY OF MATERIALS FOR THE COMPLETION OF ONE STOP SHOP IN ITS AMENITIES (GROUND FLOOR/PARTIAL 2ND FLOOR) PART B</t>
  </si>
  <si>
    <t xml:space="preserve"> Republic of the Philippines Cordillera Administrative Region Province of Kalinga B A L B A L A N MUNICIPALITY OF BALBALAN Invitation to Apply for Eligibility and to Bid for the COMPLETION OF BUAYA BARANGAY HEALTH CLINIC, MAPITPITA,BUAYA, BALBALAN, KALINGA</t>
  </si>
  <si>
    <t xml:space="preserve"> The Barangay Battung Tuao Cagayan through its 20% Development Fund intends to apply the sum of                  Php 86,009.10 being the Approved Budget for the Contract (ABC) to payments under the contract for Construction of Barangay Outpost. Bids receiv</t>
  </si>
  <si>
    <t xml:space="preserve"> Republic of the Philippines PROVINCE OF PAMPANGA City of San Fernando INVITATION TO BID NO. 2020-17 MEDIC-BAC INVITATION TO BID FOR PURCHASE REQUEST NO. 20-0843 The Provincial Government of Pampanga (“Province”) intends to apply the following sums from th</t>
  </si>
  <si>
    <t xml:space="preserve"> ` Republic of the Philippines DEPARTMENT OF PUBLIC WORKS AND HIGHWAYS LAGUNA I  DISTRICT ENGINEERING OFFICE REGIONAL OFFICE NO. IV-A 	Santa Cruz, Laguna	            Invitation to Bid The Department of Public Works and Highways- Laguna I District Engineeri</t>
  </si>
  <si>
    <t xml:space="preserve"> SUPPLY AND DELIVERY OF VARIOUS SUPPLIES FOR BUILDING MAINTENANCE AT MAKATI CITY HALL COMPOUND - Order of payment for Bid Docs will be available at GSD-Head Office @ 10th Floor Makati City Hall Bldg. 2.  Look for Mr. Reden Villanueva. - A  complete set of </t>
  </si>
  <si>
    <t xml:space="preserve"> 1 pc – Projector (see attached specifications)            nothing follows</t>
  </si>
  <si>
    <t xml:space="preserve"> INVITATION TO BID The DPWH Isabela 4th District Engineering Office through its Bids and Awards Committee (BAC), invites contractors to submit bids for the following Contract: Procurement ID / Contract ID			: 20BH0139 Contract Name/                        </t>
  </si>
  <si>
    <t xml:space="preserve"> 2626 pcs Polo Shirt 2440 pcs T-shirt 2533 pcs Bath Soap 2533 pcs Roll on 7599 pcs Towel</t>
  </si>
  <si>
    <t xml:space="preserve"> Republika ng Pilipinas PAMAHALAANG LUNGSOD NG TACLOBAN (City Government of Tacloban) Kanhuraw Hill, Tacloban City 6500 BIDS AND AWARDS COMMITTEE INVITATION TO BID  REF #039-06-2020 (JUNE 04, 2020) PR# 2020-634 DATED 05-26-2020 PR# 2020-635 DATED 05-26-202</t>
  </si>
  <si>
    <t xml:space="preserve"> SUBSCRIPTION OF OFFICE PRODUCTIVITY SUITE WITH MAIL MIGRATION SERVICE FOR ONE (1) YEAR - Order of payment for Bid Docs will be available at GSD-Head Office @ 10th Floor Makati City Hall Bldg. 2.  Look for Mr. Reden Villanueva. - A  complete set of Bidding</t>
  </si>
  <si>
    <t xml:space="preserve"> Supply, Delivery and Installation of Submersible Pump, Pipes, Valves and Fittings and Electrical Supplies</t>
  </si>
  <si>
    <t xml:space="preserve"> Business Registration Plate Acrylic, size: Dimension 6 inches by 8 inches, thickness 2.5mm Digital UV Reverse Print</t>
  </si>
  <si>
    <t xml:space="preserve"> Concreting of Open Space</t>
  </si>
  <si>
    <t xml:space="preserve"> REPAIR AND MAINTENANCE OF MOTOR VEHICLES INCLUDING PARTS AND SUPPLY OF TIRES AND BATTERIES FOR USE BY DIFFERENT DEPARTMENTS/OFFICES OF THE CITY GOVERNMENT OF MAKATI FOR 2020 - Order of payment for Bid Docs will be available at GSD-Head Office @ 10th Floor</t>
  </si>
  <si>
    <t xml:space="preserve"> RENTAL OF MECHANICAL VENTILATORS AND BI-BAP FOR OSPITAL NG MAKATI 2020 (PEDIA AND ADULT) - Order of payment for Bid Docs will be available at GSD-Head Office @ 10th Floor Makati City Hall Bldg. 2.  Look for Mr. Reden Villanueva. - A  complete set of Biddi</t>
  </si>
  <si>
    <t xml:space="preserve"> Invitation to Bid for Installation of Streetlights  No. 2020-006 1. The Barangay Mabini Homesite, through the Annual Budget 2020(General Fund) Approved by the Sanggunian intends to apply the sum of Two Hundred Twenty Thousand Pesos  (Php 220,000.00 ) bein</t>
  </si>
  <si>
    <t xml:space="preserve"> OUTSOURCING OF LAUNDRY SERVICES FOR THE YEAR 2020 - Order of payment for Bid Docs will be available at GSD-Head Office @ 10th Floor Makati City Hall Bldg. 2.  Look for Mr. Reden Villanueva. - A  complete set of Bidding Documents will be available from day</t>
  </si>
  <si>
    <t xml:space="preserve"> INVITATION TO BID 2020-GS-01 The Department of Public Works and Highways QUEZON III DISTRICT ENGINEERING OFFICE, Catanauan, Quezon, through the FY2020 (EAO FUND) intends to apply the amount of ₱ 1,800,000.00 being the Approved Budget for the Contract (ABC</t>
  </si>
  <si>
    <t xml:space="preserve"> Invitation to Bid for Improvement Of Multi Purpose Hall  No. 2020-007 1. The Barangay Mabini Homesite, through the Annual Budget 2020(General Fund) Approved by the Sanggunian intends to apply the sum of Five Hundred Sixty Thousand Two Hundred Fifteen Peso</t>
  </si>
  <si>
    <t xml:space="preserve"> Quantity       Unit of Issue       Item Description      1                   lot               Supply of materials, labor and equipment NAME OF PROJECT/LOCATION -  Construction of temporary stall at Bauan Public Market, Bauan, Batangas CONTRACT REF. NO. –</t>
  </si>
  <si>
    <t xml:space="preserve"> Items of Work to be done includes: -Manual hauling of materials from roadside to jobsite -Site preparation, clearing &amp; leveling -Excavation includes chipping of rock/boulders and removal of existing riprap -Formworks -Fabrication and installation of G.I. </t>
  </si>
  <si>
    <t xml:space="preserve"> PREVENTIVE MAINTENANCE SERVICES FOR VARIOUS MEDICAL AND LABORATORY EQUIPMENT OF OSPITAL NG MAKATI (3 LOTS) LOT 1: PREVENTIVE MAINTENANCE OF DIFFERENT MEDICAL EQUIPMENT OF CSR-OR FOR 2020 (STEAM STERILIZER – MATACHANA) LOT 2: PREVENTIVE MAINTENANCE OF DIFF</t>
  </si>
  <si>
    <t xml:space="preserve"> Republic of the Philippines Cordillera Administrative Region Province of Kalinga B A L B A L A N MUNICIPALITY OF BALBALAN Invitation to Apply for Eligibility and to Bid for the CONTINUATION OF LIGAYAN-CUBIIL ACCESS ROAD, BALANTOY-POSWOY, BALBALAN, KALINGA</t>
  </si>
  <si>
    <t xml:space="preserve"> Fabrication of 2,250 units Artificial Coral Reef</t>
  </si>
  <si>
    <t xml:space="preserve"> REPAIR AND MAINTENANCE SERVICES FOR VARIOUS MEDICAL, DENTAL AND LABORATORY EQUIPMENT OF MAKATI HEALTH DEPARTMENT - Order of payment for Bid Docs will be available at GSD-Head Office @ 10th Floor Makati City Hall Bldg. 2.  Look for Mr. Reden Villanueva. - </t>
  </si>
  <si>
    <t xml:space="preserve"> Kindly refer to the attached Bidding Documents. Thank you.</t>
  </si>
  <si>
    <t xml:space="preserve"> INVITATION TO BID The Iligan City Government Bids and Awards Committee (BAC), through 2019 20% Development Fund intends to apply the sum of P 2,376,000.00 being the Approved Budget for the Contract (ABC) to payments under the Contract for Supply and Deliv</t>
  </si>
  <si>
    <t xml:space="preserve"> SUPPLY AND DELIVERY OF SUPPLIES AND MATERIALS FOR REPAIR AND MAINTENANCE OF DAMAGED/DILAPIDATED ROADS, STREET PAVEMENTS, SIDEWALKS, MANHOLES/COVER AND STREET LIGHTS, DECLOGGING AND DESILTING OF CANALS AND DRAINING SYSTEM, AND PUBLIC ASSISTANCE AND OTHER G</t>
  </si>
  <si>
    <t xml:space="preserve"> The Municipality of Baliwag, through its Bids and Awards Committee (BAC), invites contractors to apply for eligibility and to bid the here ender project: Name of Project	:	WIRELESS INTERNET CONNECTION FOR VARIOUS 				SCHOOL OF BALIWAG NORTH DISTRICT 	 Loc</t>
  </si>
  <si>
    <t xml:space="preserve"> INVITATION TO APPLY FOR ELIGIBILITY AND TO BID (IAEB)   The Municipality of Molave, Zamboanga del Sur, through its Bids and Awards Committee, invites suppliers/distributors to apply for eligibility and to bid for the rebidding of the hereunder project:   </t>
  </si>
  <si>
    <t xml:space="preserve"> SUPPLY AND DELIVERY OF MEDICAL SUPPLIES (3 WAY STOPCOCK WITH TUBING LUER LOCK – YANKAUER SUCTION SET) THROUGH ORDERING AGREEMENT - Order of payment for Bid Docs will be available at GSD-Head Office @ 10th Floor Makati City Hall Bldg. 2.  Look for Mr. Rede</t>
  </si>
  <si>
    <t xml:space="preserve"> INVITATION TO BID The DPWH Isabela 4th District Engineering Office through its Bids and Awards Committee (BAC), invites contractors to submit bids for the following Contract: Procurement ID / Contract ID			: 20BH0140 Contract Name/                        </t>
  </si>
  <si>
    <t xml:space="preserve"> INVITATION TO BID 1)	The DPWH- Davao City District Engineering Office through its Bids and Awards Committee (BAC), invites contractors to submit bids for the following contract; 1. Procurement ID /          Contract ID No.	:	20LB0236     Contract Name	:	C</t>
  </si>
  <si>
    <t xml:space="preserve"> ITB No. 2020-07 (SHORT OF AWARD) 1.	The SUGAR REGULATORY ADMINISTRATION, through the SRA Corporate Operating Budget 2020 intends to apply the sum of Thirteen Million Nine Hundred Thousand Pesos (₱13,900,000.00) being the total Approved Budget for the Cont</t>
  </si>
  <si>
    <t xml:space="preserve"> Soil Investigation</t>
  </si>
  <si>
    <t xml:space="preserve"> Quantity       Unit of Issue       Item Description      1                   lot               Supply of materials, labor and equipment NAME OF PROJECT/LOCATION -  Installation of transformer for waterworks system at Barangay San Agustin, Bauan, Batangas </t>
  </si>
  <si>
    <t xml:space="preserve"> SUPPLY AND DELIVERY OF MEDICAL EQUIPMENT ACCESSORIES (SOLARIS PATIENT MONITOR ACCESSORIES – FETAL MONITOR FETALGUARD LITE) - Order of payment for Bid Docs will be available at GSD-Head Office @ 10th Floor Makati City Hall Bldg. 2.  Look for Mr. Reden Vill</t>
  </si>
  <si>
    <t xml:space="preserve"> Procurement of Aircon  2 Hp (Split type including installation</t>
  </si>
  <si>
    <t xml:space="preserve"> INVITATION TO BID The Iligan City Government Bids and Awards Committee (BAC), through GENERAL FUND intends to apply the sum of  P 17,674,460.73 being the Approved Budget for the Contract (ABC) to payments under the Contract for Supply and Delivery of Dies</t>
  </si>
  <si>
    <t xml:space="preserve"> Quantity       Unit of Issue       Item Description      1                   lot               Supply of materials, labor and equipment NAME OF PROJECT/LOCATION -  Construction of road at Barangay Aplaya, Bauan, Batangas CONTRACT REF. NO. – BInfr-2020-06 </t>
  </si>
  <si>
    <t xml:space="preserve"> INVITATION TO BID FOR THE SUPPLY &amp; DELIVERY OF ICT EQUIPMENT FOR USE OF VARIOUS OFFICES (*RE-POSTED) 1.	The City Government of Muntinlupa, through its duly-approved Executive Budget for 2020 intends to apply the sum of Two Million Ninety Nine Thousand Eig</t>
  </si>
  <si>
    <t xml:space="preserve"> INVITATION TO BID FOR THE  PURCHASE OF BOOKS, GUIDES, AND INSTRUCTIONAL MATERIALS – CITY SCHOOLS DIVISION 1.	The City Government of Bacoor, Cavite, through the General Fund Year 2020 intends to apply the sum of TWO MILLION PESOS AND ZERO CENTAVO (PhP2,000</t>
  </si>
  <si>
    <t xml:space="preserve"> INVITATION TO BID FOR THE SUPPLY &amp; DELIVERY OF ONE (1) UNIT OF SERVICE VEHICLE TO BE USED BY TRAINING DIVISION OF DRRM OFFICE (*RE-POSTED) 1.	The City Government of Muntinlupa, through its duly-approved Special Trust Fund for 2018 intends to apply the sum</t>
  </si>
  <si>
    <t xml:space="preserve"> ITEMS OF WORK INCLUDES: Site preparation/clearing/base preparation, concrete footpath, formworks, structural concrete, excavation, railings, manual hauling</t>
  </si>
  <si>
    <t xml:space="preserve"> See attached main document</t>
  </si>
  <si>
    <t xml:space="preserve"> PROJECT:	CONSTRUCTION OF AGCAOILI - BALUTOC DRAINAGE CANAL				 Location : 	POBLACION, BALBALAN, KALINGA PROVINCE				 ABC:	PhP100,000.00				 FUND:	2020 PDP				 					 					 BILL OF QUANTITIES					 ITEM NO.	 DESCRIPTION	QTY	Unit	Unit Price	Amount I	GENERAL R</t>
  </si>
  <si>
    <t xml:space="preserve"> Contract ID: 20GKK0024 Contract Name: Supply and Delivery of Consumable Supplies to be used for Kyocera Printers at BAC, Supply, Cash Unit, Construction, PDS and Maintenance Section Contract Location: DPWH-MOFDEO, Gingoog City Brief Description of Goods t</t>
  </si>
  <si>
    <t xml:space="preserve"> Quantity       Unit of Issue       Item Description      1                   lot               Supply of materials, labor and equipment NAME OF PROJECT/LOCATION -  General Improvement of Bauan Public Market Phase II, Bauan, Batangas CONTRACT REF. NO. – BI</t>
  </si>
  <si>
    <t xml:space="preserve"> INVITATION TO BID FOR THE PURCHASE OF ONE (1) UNIT RP VEHICLE DUMPTRUCK The Municipality of Manapla, through the 20% MDF 2018 &amp; SB Resolution # 001 (2020)  intends to apply the sum of  Php. 2,300,000.00  being the Approved Budget for the Contract (ABC) to</t>
  </si>
  <si>
    <t xml:space="preserve"> Please see attached bid Documents</t>
  </si>
  <si>
    <t xml:space="preserve"> INVITATION TO BID FOR THE  PURCHASE OF TABLES AND CHAIRS FOR VARIOUS SCHOOLS – CITY SCHOOLS DIVISION 1.	The City Government of Bacoor, Cavite, through the General Fund Year 2020 intends to apply the sum of FOUR MILLION PESOS AND ZERO CENTAVO (PhP4,000,000</t>
  </si>
  <si>
    <t xml:space="preserve"> INVITATION TO BID FOR THE SUPPLY &amp; DELIVERY OF ONE (1) UNIT OF SERVICE VEHICLE TO BE USED BY MUNTINLUPA CITY TECHNICAL INSTITUTE (*RE-POSTED) 1.	The City Government of Muntinlupa, through its duly-approved Executive Budget for 2020 intends to apply the su</t>
  </si>
  <si>
    <t xml:space="preserve"> 23 heads Cow (2-3 yrs old) female 200-300 kls. 20 heads Carabao (2-3 yrs old) Hybrid 200-250 kls. 110 heads Goat (19 male - 91 female) 5-6 months</t>
  </si>
  <si>
    <t xml:space="preserve"> Concreting of road with a total length of 100 linear meters, width of 4 meters wide and a thickness of 0.20 meter thick. with shouldering at 0.50-meter-wide at both sides.</t>
  </si>
  <si>
    <t xml:space="preserve"> Procurement of Sanitary Landfill Services for the Disposal of the Municipality’s Residual Wastes 180 DAYS - 1 LOT</t>
  </si>
  <si>
    <t xml:space="preserve"> Kindly provide your quotations on the listed item/s below: Please see attached RFQ for more details. For quotations sent through email, please make sure that documents are scanned or photographed legibly and can be printed clearly.</t>
  </si>
  <si>
    <t xml:space="preserve"> INVITATION TO BID FOR DELIVERY OF 2 IN 1 COMPUTER MONITOR FOR GRADES I-III OF DASOL DISTRICT 1.	The MUNICIPALITY OF DASOL, PANGASINAN-BAC through the MUNICIPAL FUND intends to apply the sum of ONE MILLION ONE HUNDRED SIXTY THOUSAND PESOS (PhP 1,160,000.00</t>
  </si>
  <si>
    <t xml:space="preserve"> Contract ID: 20GKK0025 Contract Name: Supply, Delivery and Installation of Regulatory Signs along GCVR Contract Location: DPWH-MOFDEO, Gingoog City Brief Description of Goods to be procured: Fabrication and Installation of Regulatory Signs Approved Budget</t>
  </si>
  <si>
    <t xml:space="preserve"> INVITATION TO BID FOR THE  PROCUREMENT OF EXTRICATION TOOLS AND EQUIPMENT – BDRRMO 1.	The City Government of Bacoor, Cavite, through the General Fund Year 2020 intends to apply the sum of FOUR MILLION NINE HUNDRED THIRTY FIVE THOUSAND FIVE HUNDRED FIFTY T</t>
  </si>
  <si>
    <t xml:space="preserve"> INVITATION TO BID FOR THE SUPPLY AND DELIVERY OF ONE HUNDRED THIRTEEN (113) UNITS PUMP AND ENGINE SET 1.	The Department of Agriculture Regional Field Office 1 (DA RFO-1), through the GAA FY 2019 intends to apply the sum of Ten Million Two Hundred Three Th</t>
  </si>
  <si>
    <t xml:space="preserve"> SUPPLY AND DELIVERY OF 6W 4X2 DUMP TRUCK SPECIFICATION Engine: 4 cylinder,Natural aspirated,water cooled,diesel,105HP Piston Displacement: at least 3.6liter Transmission: Manual 5 speed forward/1 reverse Operation weight: at least 4 tons Dump Capacity: at</t>
  </si>
  <si>
    <t xml:space="preserve"> INVITATION TO BID FOR THE SUPPLY &amp; DELIVERY OF VARIOUS CONSTRUCTION MATERIALS FOR MAINTENANCE DIVISION NEEDED FOR VARIOUS REPAIRS IN CITY HALL AND OTHER GOVERNMENT BUILDINGS TO BE USED BY ENGINEERING DEPARTMENT 1.	The City Government of Muntinlupa, throug</t>
  </si>
  <si>
    <t xml:space="preserve"> Contract ID: 20GKK0026 Contract Name: Supply, Delivery and Replacement/Installation of Pavement Studs Contract Location: DPWH-MOFDEO, Gingoog City Brief Description of Goods to be procured: 360º Reflective Cat’s Eye Highway Glass Road Stud Approved Budget</t>
  </si>
  <si>
    <t xml:space="preserve"> Procurement of Cardiac Monitor and Cardiac Defibrillator (HFEP)</t>
  </si>
  <si>
    <t xml:space="preserve"> INVITATION TO APPLY FOR ELIGIBILITY AND TO BID The local Government Unit of Taft, through is Bid and Awards Committee (BAC). Invites suppliers to apply for eligibility, to bid for the hereunder contract: Name of Contract: Proposed Land Development of Ceme</t>
  </si>
  <si>
    <t xml:space="preserve"> 1.	The Development Bank of the Philippines, through the Corporate Budget approved by the Board for CY 2020 intends to apply the sum of Three Million One Hundred Thousand Pesos (Php3,100,000.00) being the Approved Budget for the Contract (ABC) inclusive of</t>
  </si>
  <si>
    <t xml:space="preserve"> INVITATION TO BID The Guimaras District Engineering Office, through its Bids and Awards Committee (BAC), invites contractors to submit bids for the following Contract: Contract ID:	20GE0105 Contract Name: Road Widening – at Specific Locations along Rizal </t>
  </si>
  <si>
    <t xml:space="preserve"> Contract ID: 20GKK0027 Contract Name: Supply and Delivery of Grasscutter/BrushCutter to be used by Maintenance Roadside Worker for Vegetation Control along BCIR and GCVR Contract Location: DPWH-MOFDEO, Gingoog City Brief Description of Goods to be procure</t>
  </si>
  <si>
    <t xml:space="preserve"> Please see and download attachments</t>
  </si>
  <si>
    <t xml:space="preserve"> Item I Installation of PVC Pipe Item II Mobilization</t>
  </si>
  <si>
    <t xml:space="preserve"> INVITATION TO BID FOR THE  PROCUREMENT OF VEHICLES TO BE USED FOR MITIGATION, PREPAREDNESS, RESCUE, AND EMERGENCY RESPONSE OPERATIONS – BDRRMO 1.	The City Government of Bacoor, Cavite, through the General Fund Year 2020 intends to apply the sum of TEN MIL</t>
  </si>
  <si>
    <t xml:space="preserve"> Item I Detour/Access Road Item II Structure Excavation  Item III Pre Cast Concrete Regular Pile (Type IV frunish &amp; Driven) Pier &amp; Abutment Item IV Superstructure RC works (Girder, Diaphragm, Slab, Guard Rails, Post, Wingwall Item V Embankment (Approach A </t>
  </si>
  <si>
    <t xml:space="preserve"> Procurement of Fetal Monitor (HFEP)</t>
  </si>
  <si>
    <t xml:space="preserve"> INVITATION TO BID FOR THE  PROCUREMENT OF VEHICLES TO BE USED FOR MITIGATION, PREPAREDNESS, RESCUE, AND EMERGENCY RESPONSE OPERATIONS – BDRRMO 1.	The City Government of Bacoor, Cavite, through the General Fund Year 2020 intends to apply the sum of NINE MI</t>
  </si>
  <si>
    <t xml:space="preserve"> Contract ID: 20GKK0028 Contract Name: Supply and Delivery of Asphalt Pen. Grade 60/70 to be used for Act. 122 - Cracks and Joint Sealing of Concrete Pavement along BCIR Contract Location: DPWH-MOFDEO, Gingoog City Brief Description of Goods to be procured</t>
  </si>
  <si>
    <t xml:space="preserve"> Medical Supplies</t>
  </si>
  <si>
    <t xml:space="preserve"> Republic of the Philippines CITY GOVERNMENT OF ANTIPOLO Antipolo City INVITATION TO BID For the Supply &amp; Delivery of Construction Materials The City Government of Antipolo, through the General Fund intends to apply the sum of P 1,324,200.00 being the Appr</t>
  </si>
  <si>
    <t xml:space="preserve"> Construction of pedestal/B.I Poles/ Excavation and Back filling/Installation of LED LIGHTS/Testing</t>
  </si>
  <si>
    <t xml:space="preserve"> Other General Requirements, Earthwork, Plain and Reinforced Concrete Work, Finishing and Other Civil Works, Electrical Works</t>
  </si>
  <si>
    <t xml:space="preserve"> Public Bidding of Category Laboratory Equipment</t>
  </si>
  <si>
    <t xml:space="preserve"> Contract ID: 20GKK0030 Contract Name: Supply and Delivery of Road Primer to be used for the Thermoplastic Application along BCIR Contract Location: DPWH-MOFDEO, Gingoog City Brief Description of Goods to be procured: Road Primer Approved Budget for the Co</t>
  </si>
  <si>
    <t xml:space="preserve"> INVITATION TO BID FOR THE SUPPLY &amp; DELIVERY OF COAGULATION REAGENT TIE – UP TO BE USED AT OSPITAL NG MUNTINLUPA (*RE-POSTED) 1.	The City Government of Muntinlupa, through its duly-approved Executive Budget for 2020 intends to apply the sum of Nine Hundred</t>
  </si>
  <si>
    <t xml:space="preserve"> INVITATION TO BID The Department of Public Works and Highways (DPWH), Laguna III District Engineering Office San Pablo City Region IV-A, through its Bids and Awards Committee (BAC), invites Contractors to submit bids for the following Contract: Contract I</t>
  </si>
  <si>
    <t xml:space="preserve"> INVITATION TO BID FOR THE  PROCUREMENT OF  ONE (1) SERVICE VEHICLE - HUDRD 1.	The City Government of Bacoor, Cavite, through the General Fund Year 2020 intends to apply the sum of ONE MILLION FOR HUNDRED THOUSAND PESOS AND ZERO CENTAVO (PhP1,400,000.00) b</t>
  </si>
  <si>
    <t xml:space="preserve"> Deliver Construction Materials, Site Clearing, Lay-outing, Excavation, Filling, Concrete, Forms, Scaffolding, Masonry, Fabrication of CHB#4, Trusses &amp; Roofing</t>
  </si>
  <si>
    <t xml:space="preserve"> Republic of the Philippines DEPARTMENT OF PUBLIC WORKS AND HIGHWAYS LAGUNA I  DISTRICT ENGINEERING OFFICE REGIONAL OFFICE NO. IV-A 	Santa Cruz, Laguna	            Invitation to Bid The Department of Public Works and Highways- Laguna I District Engineering</t>
  </si>
  <si>
    <t xml:space="preserve"> Supply and Delivery of the following items 270	box	Paracetamol 500mg/tab 55	box	Lagundi 600mg/tab 200	bottles	Diphenhydramine12.5mg/5 ml syr, 60ml 60	box	Ranitidine 150mg/tab 100	box	Salbutamol + Guiafenesin cap 300	bots.	Multivitamins drops 30	box	Diphen</t>
  </si>
  <si>
    <t xml:space="preserve"> Name of Contract: Construction of Flood Protection and Control Project (Phase IV) for Tanjay River IAC Classification: Small "B" for Flood Control PCAB Category "D" Duration: 270 Calendar Days Approved Budget for the Contract: Php 10,000,000.00 xxxxxxxx</t>
  </si>
  <si>
    <t xml:space="preserve"> INVITATION TO BID FOR THE CONSTRUCTION OF FISH PALA-PALA The Municipality of Manapla, through the  MDF 2020  intends to apply the sum of  Php. 2,479,610.33  being the Approved Budget for the Contract (ABC) to payments under the contract for  Construction </t>
  </si>
  <si>
    <t xml:space="preserve"> Items of Works Includes: a) Improvement of Child Development Center located at Balakbak, Kapangan -Replacement of damaged window glasses -Ceiling Works -Painting Works (3 coats) b)Improvement of Child Development Center located at Central, Kapangan -Remov</t>
  </si>
  <si>
    <t xml:space="preserve"> INVITATION TO BID The Guimaras District Engineering Office, through its Bids and Awards Committee (BAC), invites contractors to submit bids for the following Contract: Contract ID:	20GE0106 Contract Name: Construction of Concrete Road – Sta. Teresa – Espi</t>
  </si>
  <si>
    <t xml:space="preserve"> Contract ID: 20GKK0029 Contract Name: Supply and Delivery of Sand to be used for Asphalting Works along BCIR Contract Location: DPWH-MOFDEO, Gingoog City Brief Description of Goods to be procured: Sand Approved Budget for the Contract (ABC): PhP 180,000.0</t>
  </si>
  <si>
    <t xml:space="preserve"> 1.	The OFFICE OF CIVIL DEFENSE, through the OCD CY 2019 – Capital Outlay (Continuing Approprations), intends to apply the sum of Two Million Five Hundred Forty-Five Thousand, Nine Hundred Twenty Pesos (PHP 2,545,920.00) being the Approved Budget for the C</t>
  </si>
  <si>
    <t xml:space="preserve"> Bids received in excess of the ABC shall be automatically rejected at bid opening. The bidders should have completed within ten (10) years from the date of submission and receipt of bids, a contract similar to the project. The description of an eligible b</t>
  </si>
  <si>
    <t xml:space="preserve"> Republic of the Philippines DEPARTMENT OF PUBLIC WORKS AND HIGHWAYS BATANGAS II  DISTRICT ENGINEERING OFFICE REGIONAL OFFICE IV-A Kumintang Ilaya, Batangas City INVITATION TO BID For Repair/Maintenance of DOJ Building, NBI Office Building, Kumintang Ibaba</t>
  </si>
  <si>
    <t xml:space="preserve"> 1.	The Development Bank of the Philippines, through the Corporate Budget approved by the Board for CY 2020 intends to apply the sum of Two Million Three Hundred Fifty-Two Thousand Pesos &amp; 00/100 (Php2,352,000.00) (for 3 years) (at Php56,000.00 per license</t>
  </si>
  <si>
    <t xml:space="preserve"> SUPPLIES/DELIVERIES FOR THE PROCUREMENT OF DIESEL FUEL AND SPECIAL GASOLINE TO BE USED IN THE OPERATION OF HRAS, QAS, PDS AND MS FOR THE 1ST AND 2ND QUARTER OF YEAR 2020, DINAGAT ISLANDS DISTRICT ENGINEERING OFFICE 1.	The Department of Public Works and Hi</t>
  </si>
  <si>
    <t xml:space="preserve"> INVITATION TO BID FOR  COLLECTION, HAULING, TRANSPORT AND DISPOSAL OF WASTE OF CITY OF TRECE MARTIRES FOR THE MONTH OF JULY 1,2020 TO AUGUST 15,2020 1.	The City Government of Trece Martires, through the  GENERAL FUND Devt. ( 2020) approved by the Sangguni</t>
  </si>
  <si>
    <t xml:space="preserve"> 1.	The OFFICE OF CIVIL DEFENSE, through the OCD CY 2019 – Capital Outlay (Continuing Approprations), intends to apply the sum of Twelve Million, One Hundred Forty Six Thousand, Nine Hundred Sixty Seven and 54/100 Pesos (PHP12,146,967.54) being the Approve</t>
  </si>
  <si>
    <t xml:space="preserve"> Republic of the Philippines	 Department of Science and Technology PHILIPPINE SCIENCE HIGH SCHOOL – ZAMBOANGA PENINSULA REGION CAMPUS Cogon, Dipolog City INVITATION TO BID FOR THE PROCUREMENT OF SITE DEVELOPMENT (PHASE V) Design and Build APPROVED BUDGET F</t>
  </si>
  <si>
    <t xml:space="preserve"> INVITATION TO BID FOR  CONSTRUCTION OF PERIMETER FENCING OF SUNSHINEVILLE, ELEMENTARY SCHOOL, BRGY. CABUCO, TMC 1.	The City Government of Trece Martires, through the SPECIAL EDUCATION Fund ( 2020) approved by the Sangguniang Panlungsod intends to apply th</t>
  </si>
  <si>
    <t xml:space="preserve"> Procurement of Food Packs for assistance to BPAs and other similar facilities serving CICL due to Coid-19 Threat 		Food Packs:					Note: Please provide the brand you offer for each items, if applicable							 5,000	pack/sachet	Powdered Chocolate Energy Dr</t>
  </si>
  <si>
    <t xml:space="preserve"> SUPPLIES/DELIVERIES FOR THE PROCUREMENT OF VARIOUS SPARE PARTS FOR THE PREVENTIVE MAINTENANCE OF THE OFFICIAL VEHICLES OF DPWH-DIDEO, DPWH – COMPOUND, BRGY. CUARINTA, SAN JOSE, DINAGAT ISLANDS FOR THE 2ND QUARTER OF C.Y. 2020 1.	The Department of Public W</t>
  </si>
  <si>
    <t xml:space="preserve"> Procurement of Semi-Expendable Items for Assistance to BPAs and other Similar Facilities Serving CICL due to COVID-19 Threat.  7	pc	Single Bed Linen/Bed Sheet (99 x 190 + 38CM (39 x 75+15")				 7	pc	Bath Tower				 7	pc	Standard Pillow Case (20" x 26")				</t>
  </si>
  <si>
    <t xml:space="preserve"> Republic of the Philippines DEPARTMENT OF PUBLIC WORKS AND HIGHWAYS CAMARINES SUR 5TH  DISTRICT ENGINEERING OFFICE REGIONAL OFFICE V Sta. Teresita, Baao, Camarines Sur INVITATION TO BID The Department of Public Works and Highways (DPWH) Camarines Sur 5th,</t>
  </si>
  <si>
    <t xml:space="preserve"> Republic of the Philippines DEPARTMENT OF PUBLIC WORKS AND HIGHWAYS BATANGAS II  DISTRICT ENGINEERING OFFICE REGIONAL OFFICE IV-A Kumintang Ilaya, Batangas City INVITATION TO BID For Supply and Delivery of Joint Sealant for the various Roads of Batangas I</t>
  </si>
  <si>
    <t xml:space="preserve"> Republic of the Philippines PROVINCE OF BUKDINON Malaybalay City OFFICE OF THE PROVINCIAL GOVERNOR Bids and Awards Committee INVITATION TO BID FOR THE “PROCUREMENT AND INSTALLATION OF OFFICE CUBICLES FOR PROVINCIAL AND NATIONAL EXTENSION OFFICE” ITB No. 2</t>
  </si>
  <si>
    <t xml:space="preserve"> construction of covered court</t>
  </si>
  <si>
    <t xml:space="preserve"> Procurement of 14-Units Dropside Pick Up (Rescue Vehicle)</t>
  </si>
  <si>
    <t xml:space="preserve"> Republic of the Philippines DEPARTMENT OF PUBLIC WORKS and HIGHWAYS SULTAN KUDARAT 2ND DISTRICT ENGINEERING OFFICE REGION XII Lebak, Sultan Kudarat Contract ID No. : Contract Name : Contract Location : Brief Description of Goods to be procured: Quantity U</t>
  </si>
  <si>
    <t xml:space="preserve"> INVITATION TO BID FOR  CONSTRUCTION OF CREMATORIUM AT TRECE MARTIRES CITY MEMORIAL PARK AT BRGY. AGUADO, TMC 1.	The City Government of Trece Martires, through the Re-allignment  20% Devt. Fund ( 2020) approved by the Sangguniang Panlungsod intends to appl</t>
  </si>
  <si>
    <t xml:space="preserve"> INVITATION TO BID FOR  IMPROVEMENT / UPGRADING OF ELECTRICAL FACILITIES OF LUIS AGUADO NATIONAL HIGH SCHOOL, BRGY. AGUADO, TRECE MARTIRES CITY 1.	The City Government of Trece Martires, through the Special Education Fund ( 2020) approved by the Sangguniang</t>
  </si>
  <si>
    <t xml:space="preserve"> Free access on internet and free use of computers for the constituents of the barangay, which would help them to study and do their paper works easily through the help of technologies.</t>
  </si>
  <si>
    <t xml:space="preserve"> INVITATION TO BID FOR  SUPPLY AND DELIVERY OF RICE AND SANDO BAG 1.	The City Government of Trece Martires, through the TRUST  Fund intends to apply the sum of One Million Four hundred ninety nine thousand nine hundred eighty pesos only  ( Php 1,499,980.00</t>
  </si>
  <si>
    <t xml:space="preserve"> Procurement ID/Contract ID		: 	20CL0001 Contract Name	: 	Rehabilitation/Reconstruction/Upgrading of Damaged Paved Roads-  Secondary Road Olongapo-Bugallon Road K0 181 + 000 - K0181+124.70 Contract Location	: 	Cabangan, Zambales Brief Description	: 	Recons</t>
  </si>
  <si>
    <t xml:space="preserve"> Procurement ID/Contract ID		: 	20CL0041 Contract Name	: 	Widening of Permanent Bridges, Alusiis Br. (B01392LZ) along Olongapo- Bugallon Road, San Narciso, Zambales Contract Location	: 	San Narciso, Zambales Brief Description	: 	Widening of Permanent Bridg</t>
  </si>
  <si>
    <t xml:space="preserve"> INVITATION TO BID FOR  CONSTRUCTION OF BARANGAY HEALTH STATION ( BHS) AT BARANGAY CONCHU, TMC 1.	The City Government of Trece Martires, through the TRUST FUND Fund ( 2020) approved by the Sangguniang Panlungsod intends to apply the sum of ONE MILLION FOUR</t>
  </si>
  <si>
    <t xml:space="preserve"> The Department of Agriculture-RFO 3, invites interested suppliers/ bidders to submit bid proposal(s) for the hereunder requirement, to wit: LIVE ANIMALS	 	 115 head UPGRADED EWE	 - 6 to 8 months old	 - not less than 18 kg	 - with Certification from Vet on</t>
  </si>
  <si>
    <t xml:space="preserve"> Supply of Road Maintenance Materials</t>
  </si>
  <si>
    <t xml:space="preserve"> Republic of the Philippines     DEPARTMENT OF PUBLIC WORKS AND HIGHWAYS   BUKIDNON 3RD  DISTRICT ENGINEERING OFFICE REGION X Dicklum, Manolo Fortich, Bukidnon ------------------------------------------------------------------------------------------------</t>
  </si>
  <si>
    <t xml:space="preserve"> RRepublic of the Philippines Province of Ilocos Norte MUNICIPALITY OF PINILI RE-INVITATION TO BID FOR “PROVISION OF POTABLE WATER (PHASE II) AT BARANGAY PUZOL”  1.	The Municipality of Pinili, Ilocos Norte through the MDF 2020 intends to apply the sum TWO </t>
  </si>
  <si>
    <t xml:space="preserve"> CID No. 20IC0059 (2nd re-advertisement): Const. of San Miguel Integrated Transport Terminal, San Miguel, Leyte; ABC: P14,700,000.00; 186 CD ACTIVITY	TIME	PLACE 1.  Issuance/Downloading of       Bidding Documents	June 3 – 23, 2020	Hard copies at BAC Secret</t>
  </si>
  <si>
    <t xml:space="preserve"> Republic of the Philippines Province of Ilocos Norte MUNICIPALITY OF PINILI INVITATION TO BID FOR  “SUPPLY OF VARIOUS OFFICE SUPPLIES” 1.	The Municipality of Pinili, Ilocos Norte through the General Fund  intends to apply the sum FIVE HUNDRED FORTY TWO TH</t>
  </si>
  <si>
    <t xml:space="preserve"> Please see attached ITB and RFQ in Associated Component Section for Specifications</t>
  </si>
  <si>
    <t xml:space="preserve"> Republic of the Philippines Province of Batanes MUNICIPALITY OF SABTANG -oOo- BIDS AND AWARDS COMMITTEE INVITATION TO APPLY FOR ELIGIBILITY AND TO BID The LGU-Sabtang has allocated funds from 20% Development Fund (MLGU-FY2020) which is intended for the pa</t>
  </si>
  <si>
    <t xml:space="preserve"> INVITATION TO BID FOR THE  PROCUREMENT OF 1 UNIT RISOGRAPH MACHINE RHU, STA. FE, LEYTE (REBID) (BDG-2020-01R) 1.	 The Local Government Unit of Sta. Fe, Leyte, through the TRUST Fund CY 2019 intends to apply the sum of One Hundred Forty Pesos Only (Phpq140</t>
  </si>
  <si>
    <t xml:space="preserve"> Republic of the Philippines Province of Batanes MUNICIPALITY OF SABTANG -oOo- BIDS AND AWARDS COMMITTEE INVITATION TO APPLY FOR ELIGIBILITY AND TO BID The LGU-Sabtang has allocated funds from 20% Development Fund - PLGU which is intended for the payment o</t>
  </si>
  <si>
    <t xml:space="preserve"> The DPWH Nueva Ecija 1st DEO, through its Bids and Awards Committee (BAC), invites contractors to submit bids for the following contract:			 				 	20CE0207: Widening of Permanent Bridges Manicla Br. (B01968LZ) along Daang Maharlika (LZ)			 				 				 	CONT</t>
  </si>
  <si>
    <t xml:space="preserve"> Republic of the Philippines Province of Batanes MUNICIPALITY OF SABTANG -oOo- BIDS AND AWARDS COMMITTEE INVITATION TO APPLY FOR ELIGIBILITY AND TO BID The LGU-Sabtang has allocated funds from BUB - DA which is intended for the payment of the contract; Con</t>
  </si>
  <si>
    <t xml:space="preserve"> INVITATION TO BID IB-2020-085-INFRA Dredging / Deepening of Buwaya Creek and its Vicinities, (Inside Camp Aguinaldo) District III, Quezon City 1.	The Metropolitan Manila Development Authority, through the 2020 General Appropriations Act (GAA)intends to ap</t>
  </si>
  <si>
    <t xml:space="preserve"> 1.	Supply and Delivery of 2,085 bags Hybrid Yellow Corn Seeds Total ABC: Php9,382,500.00 Line Item No. 1: Supply and Delivery of 495 bags NSIC 2005 GMCn11 ABC: Php2,227,500.00 Specifications: -	Glyphosate Tolerant -	Packed at 9 kg/bag -	Germination rate: </t>
  </si>
  <si>
    <t xml:space="preserve"> Republic of the Philippines Province of Batanes MUNICIPALITY OF SABTANG -oOo- BIDS AND AWARDS COMMITTEE INVITATION TO APPLY FOR ELIGIBILITY AND TO BID The LGU-Sabtang has allocated funds from 20% Development Fund (MLGU) which is intended for the payment o</t>
  </si>
  <si>
    <t xml:space="preserve"> Republic of the Philippines Province of Batanes MUNICIPALITY OF SABTANG -oOo- BIDS AND AWARDS COMMITTEE INVITATION TO APPLY FOR ELIGIBILITY AND TO BID The LGU-Sabtang has allocated funds from DOH-HFEP 2012 which is intended for the payment of the contract</t>
  </si>
  <si>
    <t xml:space="preserve"> 1.The Local Government Unit of San Andres, Quezon through its 20% Development Fund intends to apply the sum of One Million Pesos (Php 1,000,000.00) only being the Approved Budget for the Contract (ABC) to payments under the contract for Construction of Ma</t>
  </si>
  <si>
    <t xml:space="preserve"> Municipality of Looc Invitation to Bid for Construction of Covered Court in Tabao-Ambil 1.	The Municipality of Looc, through the OM/CO Supple 2 intends to apply the sum of Php 6,500,000.00 being the Approved Budget for the Contract (ABC) to payments under</t>
  </si>
  <si>
    <t xml:space="preserve"> INVITATION TO BID IB-2020-086-INFRA Improvement / Maintenance of Blumentritt Interceptor and Vicinities, Sampaloc, District IV, Manila 1.	The Metropolitan Manila Development Authority, through the 2020 General Appropriations Act (GAA)intends to apply the </t>
  </si>
  <si>
    <t xml:space="preserve"> INVITATION TO BID IB-2020-084-INFRA Improvement of Saranai Creek (Phase II) District I, Caloocan City 1.	The Metropolitan Manila Development Authority, through the 2020 General Appropriations Act (GAA)intends to apply the sum of FourteenMillion, NineHundr</t>
  </si>
  <si>
    <t xml:space="preserve"> 1.	Supply and Delivery of 2 units Hauling Trucks ABC: Php4,000,000.00 Specifications: -	Brand New -	Displacement :2,900cc to 4,500cc -	Emission Standard; Euro IV Compliant -	Engine System: Commonrail Direct Injection Type,      4 cylinder -	Payload Capaci</t>
  </si>
  <si>
    <t xml:space="preserve"> 1.	Construction of 4 units Organic Fertilizer Production Facility Prototype C ABC: Php2,000,000.00 Scope of Works: -	Item 802 Excavation Works				: 19.10 cu.m -	Item 900 (1) Reinforced Concrete			: 14.26 cu.m -	Item 901-414 (2) Masonry Works			: 71.80 sq.</t>
  </si>
  <si>
    <t xml:space="preserve"> Republic of the Philippines Province of Batanes MUNICIPALITY OF SABTANG -oOo- BIDS AND AWARDS COMMITTEE INVITATION TO APPLY FOR ELIGIBILITY AND TO BID The LGU-Sabtang has allocated funds from 20% Development Fund – 2018 PGB which is intended for the payme</t>
  </si>
  <si>
    <t xml:space="preserve"> Repair of Existing Concrete Revetment</t>
  </si>
  <si>
    <t xml:space="preserve"> The DPWH Nueva Ecija 1st DEO, through its Bids and Awards Committee (BAC), invites contractors to submit bids for the following contract:			 				 	20CE0208: Replacement of Permanent Weak Bridges Amawinan Br. (B01981LZ) along Daang Maharlika (LZ)			 				 	</t>
  </si>
  <si>
    <t xml:space="preserve"> Republic of the Philippines Province of Batanes MUNICIPALITY OF SABTANG -oOo- BIDS AND AWARDS COMMITTEE INVITATION TO APPLY FOR ELIGIBILITY AND TO BID The LGU-Sabtang has allocated funds from 20% Development Fund-PLGU which is intended for the payment of </t>
  </si>
  <si>
    <t xml:space="preserve"> INVITATION TO BID FOR THE  PROCUREMENT OF 2 UNITS FOGGING MACHINE,  STA. FE, LEYTE (BDG-2020-02) 1.	 The Local Government Unit of Sta. Fe, Leyte, through the GENERAL Fund CY 2020 intends to apply the sum of Three Hundred Sixty Thousand Pesos Only (Phpq360</t>
  </si>
  <si>
    <t xml:space="preserve"> INVITATION TO BID IB-2020-087-INFRA Improvement of Catmon-Niugan Creek, Malabon City 1.	The Metropolitan Manila Development Authority, through the 2020 General Appropriations Act (GAA)intends to apply the sum of Two Million, ThreeHundredNinety-FiveThousan</t>
  </si>
  <si>
    <t xml:space="preserve"> INVITATION TO BID IB-2020-090-INFRA Desilting / Cleaning of Pacheco Drainage Main, Tondo, District I, Manila 1.	The Metropolitan Manila Development Authority, through the 2020 General Appropriations Act (GAA)intends to apply the sum of SixteenMillion, Nin</t>
  </si>
  <si>
    <t xml:space="preserve"> An on-wheel library that will bring educational materials to the streets that will be used  for the improvement learning of KK members.</t>
  </si>
  <si>
    <t xml:space="preserve"> 1.The Local Government Unit of San Andres, Quezon through its 20% Development Fund intends to apply the sum of One Million Pesos (Php 1,000,000.00) only being the Approved Budget for the Contract (ABC) to payments under the contract for Construction of RH</t>
  </si>
  <si>
    <t xml:space="preserve"> To improve awareness and identity, develop talents and potential, build human capital and facilitate employability.</t>
  </si>
  <si>
    <t xml:space="preserve"> INVITATION TO BID FOR THE FURNISHING OF LABOR AND MATERIALS FOR THE RIP RAPPING OF BARANGAY DANAO, TIGBAUAN, ILOILO</t>
  </si>
  <si>
    <t xml:space="preserve"> 1.The Local Government Unit of San Andres, Quezon through its 20% Development Fund intends to apply the sum of One Million Pesos (Php 1,000,000.00) only being the Approved Budget for the Contract (ABC) to payments under the contract for Construction of Ba</t>
  </si>
  <si>
    <t xml:space="preserve"> Contract ID:	20LG0119 Contract Name:			Construction of Rain Water Collector System (RWCS), Davao Oriental 2nd District Engineering Office Contract Location:	Davao Oriental Brief Description:	Construction of Rain Water Collector System Approved Budget for </t>
  </si>
  <si>
    <t xml:space="preserve"> Republic of the Philippines DEPARTMENT OF PUBLIC WORKS AND HIGHWAYS BATANGAS III DISTRICT ENGINEERING OFFICE REGIONAL OFFICE IV-A J. Gonzales St., Barangay 4, Tanauan City RE-INVITATION TO BID (CW-2020-033) The DPWH–Batangas III District Engineering Offic</t>
  </si>
  <si>
    <t xml:space="preserve"> INVITATION TO BID IB-2020-088-INFRA Rehabilitation / Bank Improvement of Estero De Magdalena Tondo, District II, Manila 1.	The Metropolitan Manila Development Authority, through the 2020 General Appropriations Act (GAA)intends to apply the sum of Twenty-T</t>
  </si>
  <si>
    <t xml:space="preserve"> The Department of Agriculture-RFO 3, invites interested suppliers/ bidders to submit bid proposal(s) for the hereunder requirement, to wit: Range Feeds, 50 kg/bag	1090 bags   - Not less than 13% Crude Protein 	  Rice Bran D1, 50 kg/bag	310 bags Corn Meal,</t>
  </si>
  <si>
    <t xml:space="preserve"> INVITATION TO BID IB-2020-089-INFRA Improvement of Casili Creek, District II, Caloocan City 1.	The Metropolitan Manila Development Authority, through the 2020 General Appropriations Act (GAA)intends to apply the sum of NineMillion, NineHundredEighty-NineT</t>
  </si>
  <si>
    <t xml:space="preserve"> The Department of Agriculture-RFO 3, invites interested suppliers/ bidders to submit bid proposal(s) for the hereunder requirement, to wit: 2 units Hauling Truck Specification: Maximum Output Power: 163.0 Horsepower @ 3,400 rpm Engine Displacement: 3,200 </t>
  </si>
  <si>
    <t xml:space="preserve"> INVITATION TO BID FOR THE SUPPLY OF THERMOPLASTIC PAINT MATERIALS The Department of Public Works and Highways Cebu 6th District Engineering Office, through its Bids and Awards Committee (BAC) for Goods, invites suppliers to submit bids for the following C</t>
  </si>
  <si>
    <t xml:space="preserve"> 1.The Local Government Unit of San Andres, Quezon through its 20% Development Fund intends to apply the sum of Two Hundred Fifty Thousand Pesos (Php 250,000.00) only being the Approved Budget for the Contract (ABC) to payments under the contract for Rehab</t>
  </si>
  <si>
    <t xml:space="preserve"> CID No. 20IC0064 (2nd re-advertisement):  Const. of San Miguel Waterworks System III, Catambag Watershed, Brgy. Caraycaray, San Miguel, Leyte;  ABC: P14,700,000.00; 279 CD ACTIVITY	TIME	PLACE 1.  Issuance/Downloading of       Bidding Documents	June 3 – 23</t>
  </si>
  <si>
    <t xml:space="preserve"> 1.	The Bureau of Fisheries and Aquatic Resources (BFAR) Regional Fisheries Office - MIMAROPA, Department of Agriculture invites interested bidders to participate in a public bidding for the above procurement project (“GOODS”) with an Approved Budget for t</t>
  </si>
  <si>
    <t xml:space="preserve"> CID No. 20IC0065 (2nd re-advertisement):  Const. of San Miguel Waterworks System Level III, Cabac-an Watershed, Brgy. Bahay, San Miguel, Leyte;  ABC: P14,700,000.00; 279 CD ACTIVITY	TIME	PLACE 1.  Issuance/Downloading of       Bidding Documents	June 3 – 2</t>
  </si>
  <si>
    <t xml:space="preserve"> CID No. 20IC0068 (2nd re-advertisement):  Const. of Ground Water Tank with PE Liner, San Miguel, Leyte;  ABC: P8,820,000.00; 216 CD ACTIVITY	TIME	PLACE 1.  Issuance/Downloading of       Bidding Documents	June 3 – 23, 2020	Hard copies at BAC Secretariat; D</t>
  </si>
  <si>
    <t xml:space="preserve"> The Department of Agriculture-RFO 3, invites interested suppliers/ bidders to submit bid proposal(s) for the hereunder requirement, to wit: 50,683 BAGS FERTILIZER  UREA (46-0-0) / GRANULAR  @ 50 KGS/BAG	 Note: 1.	Fertilizer will be delivered to the identi</t>
  </si>
  <si>
    <t xml:space="preserve"> Lot 1 - Pump and VFD Control 1 lot Vertical In-Line Centrifugal Pump and Variable Frequency Drive (VFD) Lot 2 – CI Fittings 5	pcs C.I. Sleeve Coupling 4" PVC/PVC 3	pcs C.I. Sleeve Coupling 6" PVC/PVC 1	pc C.I. Sleeve Coupling 3" PVC/PVC 1	pc C.I. Sleeve C</t>
  </si>
  <si>
    <t xml:space="preserve"> CID No. 20IC0066 (2nd re-advertisement):  Rd Rehab. &amp; Drainage Line Const. of Brgy. Rd from Maharlika Hwy to Police RO 8 Gate 2, Camp Kangleon, Campetic, Palo, Leyte;  ABC: P13,720,000.00; 105 CD ACTIVITY	TIME	PLACE 1.  Issuance/Downloading of       Biddi</t>
  </si>
  <si>
    <t xml:space="preserve"> A collaboration campaign of the SAngguniang Kabataan of Tejeros and the PAG-ASA sa Makati to promote a drug-free  barangay specifically  in the youth sector.</t>
  </si>
  <si>
    <t xml:space="preserve"> ITEM       PARTICULAR                  QTY.             UNIT I.            LAY-OUT                        3.30            SQ.M. II.           FORM WORKS               12.56            LOT III.          MASONRY WORKS         41.38           CU.M. IV.      </t>
  </si>
  <si>
    <t xml:space="preserve"> CID No. 20IC0067 (2nd re-advertisement):  Const. of Two (2) Storey School Building, EVSU, Tanauan Campus, Tanauan, Leyte;  ABC: P8,820,000.00; 140 CD ACTIVITY	TIME	PLACE 1.  Issuance/Downloading of       Bidding Documents	June 3 – 23, 2020	Hard copies at </t>
  </si>
  <si>
    <t xml:space="preserve"> CID No. 20IC0070 (2nd re-advertisement):  Const. of Covered Court, Brgy. Quilao, Tolosa, Leyte;  ABC: P2,970,000.00; 55 CD ACTIVITY	TIME	PLACE 1.  Issuance/Downloading of       Bidding Documents	June 3 – 23, 2020	Hard copies at BAC Secretariat; DPWH, Leyt</t>
  </si>
  <si>
    <t xml:space="preserve"> CID No. 20IC0069 (2nd re-advertisement):  Reconst. of Tolosa Public Market, Brgy. Telegrafo, Tolosa, Leyte;  ABC: P4,975,000.00; 120 CD ACTIVITY	TIME	PLACE 1.  Issuance/Downloading of       Bidding Documents	June 3 – 23, 2020	Hard copies at BAC Secretaria</t>
  </si>
  <si>
    <t xml:space="preserve"> Contract ID: 20PF0064 Contract Name: Rehabilitation / Restoration of Road Slip along Gov. Bado Dangwa National Road, K0347+490 - K0347+545, Pulag, Gambang, Bakun, Benguet Brief Description: Roads: Construction - Slope Protection using Structural Measures </t>
  </si>
  <si>
    <t xml:space="preserve"> 20F00059 - OO1: Ensure Safe and Reliable National Road System – Network Development Program – Road Widening – Secondary Roads, Masbate-Cataingan-Placer Road, Cataingan, Masbate (3rd Legislative District)</t>
  </si>
  <si>
    <t xml:space="preserve"> 20F00075 - OO1: Ensure Safe and Reliable National Road System – Network Development Program – Construction of By-Pass and Diversion Roads – Naga-Jct. Magarao-Canaman-Libmanan Jct. PPH Road (Skybridge), Camarines Sur, Libmanan, Camarines Sur 2nd Legislativ</t>
  </si>
  <si>
    <t xml:space="preserve"> Republic of the Philippines Department of Health WESTERN VISAYAS SANITARIUM Santa Barbara, Iloilo INVITATION TO BID FOR Procurement of Various Office Supplies,  Customized Logbooks &amp; Forms and ICT Consumables IB No. 2020-06-010-G The Western Visayas Sanit</t>
  </si>
  <si>
    <t xml:space="preserve"> 10 bags Corn Seeds (OPV), White														 5 bags Corn Seeds (Hybrid), Yellow														 10 bags Rice Seeds (Certified)														 10 bags Rice Seeds (Hybrid)														 15 bags Ammonium Sulfate														 15 bags Urea														 25 bags</t>
  </si>
  <si>
    <t xml:space="preserve"> Contract ID: 20PF0065 Contract Name: Construction/Rehabilitation of Water Supply/Septage and Sewerage/Rain Water Collector Systems CY 2020 Brief Description: Water Supply (Level 1): Construction Approved Budget for the Contract (ABC): PhP 4,086,775.00 Sou</t>
  </si>
  <si>
    <t xml:space="preserve"> Republic of the Philippines Province of Nueva Vizcaya Municipality of Bambang -oOo- INVITATION TO BID The Local Government Unit of Bambang, through the General Fund, intends to apply the sum of ONE MILLION TWO HUNDRED FORTY SIX THOUSAND SIX HUNDRED SEVENT</t>
  </si>
  <si>
    <t xml:space="preserve"> 20F00113 - Local Program – Construction/Repair/Rehabilitation/Improvement of Various Infrastructure including Local Projects – Local Roads and Bridges – Local Roads – Construction of Pasacao-Balatan Coastal Road, Brgy. Pinamasagan, San Fernando, Camarines</t>
  </si>
  <si>
    <t xml:space="preserve"> 20F00122 - OO1: Ensure Safe and Reliable National Road System – Bridge Program – Widening of Permanent Bridges – Magsaysay Br. (B00474LZ) along MT Villanueva Ave-Magsaysay Road, Naga City, Camarines Sur 3rd Legislative District</t>
  </si>
  <si>
    <t xml:space="preserve"> 20F00108 - Convergence and Special Support Program – Construction/Improvement of Access Roads Leading to Declared Tourism Destinations – Pasacao-Balatan Tourism Coastal Highway Leading to Pasacao Port to White Sand Beaches (Pasacao Section), Pasacao, Cama</t>
  </si>
  <si>
    <t xml:space="preserve"> Provision of seminar on gender sensitivity to youth to avoid discrimination across all gender and achieve gender equality.</t>
  </si>
  <si>
    <t xml:space="preserve"> 20F00123 - OO1: Ensure Safe and Reliable National Road System – Bridge Program – Widening of Permanent Bridges – Pili Airport Br. (B00418LZ) along Pili Airport Road, Pili, Camarines Sur 3rd Legislative District</t>
  </si>
  <si>
    <t xml:space="preserve"> 20F00110 - Local Program – Construction/Repair/Rehabilitation/Improvement of Various Infrastructure including Local Projects – Local Roads and Bridges – Local Roads – Construction of Pasacao-Balatan Coastal Road, Brgy. Cotmo, San Fernando, Camarines Sur (</t>
  </si>
  <si>
    <t xml:space="preserve"> Item I	-11.064 cu.m. Excavation works Item II	-87 cu.m. Embankment  Item III	-10.87 cu.m. Concrete works Item IV	-182.28 sq.m. Masonry works Item V	-97.2 sq.m. Trusses and roofing Item VI	-29.8 l.m Railings Item VII	-LS Formworks Item VIII	-128.26 sq.m. P</t>
  </si>
  <si>
    <t xml:space="preserve"> Location : Legazpi City, Albay Scope of Work : Construction of Barangay Health Station (6m x 8m), works includes Earthworks, Plain and Reinforced Concrete, Masonry Works, Doors and Windows, Roof Framing, Roofing and Tinsmithry, Plastering Works, Painting </t>
  </si>
  <si>
    <t xml:space="preserve"> Location : Daraga, Albay Scope of Work : Construction of Barangay Health Station (6m x 8m), works includes Earthworks, Plain and Reinforced Concrete, Masonry Works, Doors and Windows, Roof Framing, Roofing and Tinsmithry, Plastering Works, Painting for St</t>
  </si>
  <si>
    <t xml:space="preserve"> 12 LITER FOLIAR FERTILIZER (LIQUID) 6 BAGS COMPLETE (14-14-14) 6 BAGS UREA (46-0-0) 6 BAGS MURIATE OF POTASH (0-0-60) 60 BAGS VERMICAST 6 CAN EGGPLANT - 25g/CAN 6 CAN TOMATO - 25g/CAN 6 KG POLE SITAO 6 KG OKRA 30 SACHETS HOT PEPPER 30 SACHETS KALABASA 6 K</t>
  </si>
  <si>
    <t xml:space="preserve"> Project billboard 1.00 lot Reinforce Concrete canal Lining: Structure Excavation 270.02 cu.m Reinforced Concrete Class A w/o Forms 35.86 cu.m. Reinforced Concrete Class A w/ forms 50.63 cu.m.</t>
  </si>
  <si>
    <t xml:space="preserve"> The Zamboanga State College of Marine Sciences and Technology (ZSCMST), through its Bids and Awards Committee, is inviting PhilGeps registered suppliers to apply for eligibility and to submit bids for the items mentioned hereunder: B-010-2020-A SUPPLY AND</t>
  </si>
  <si>
    <t xml:space="preserve"> Conference Table of Sangguniang Barangay Officials</t>
  </si>
  <si>
    <t xml:space="preserve"> Republic of the Philippines Province of Bohol Municipality of Loon OFFICE OF THE BIDS AND AWARDS COMMITTEE Request for Expression of Interest CONSULTING SERVICES FOR SONAR SURVEY Contract No.: CS2020-01 1.	The Local Government Unit of Loon, Bohol, through</t>
  </si>
  <si>
    <t xml:space="preserve"> PB NO. 2020-028		 			 1.	1	lot	Proposed Installation Motorized Roll Ups Door at San Pablo City Shopping Mall and Public Market, San Pablo City. 			By: Contract 			 	Deadline for Submission of Bids: June 24, 2020 1:00 pm</t>
  </si>
  <si>
    <t xml:space="preserve"> The Zamboanga State College of Marine Sciences and Technology (ZSCMST), through its Bids and Awards Committee, is inviting PhilGeps registered suppliers to apply for eligibility and to submit bids for the items mentioned hereunder: B-031-2020 SUPPLY AND D</t>
  </si>
  <si>
    <t xml:space="preserve"> PB NO. 2020-027		 			 1.	1	lot	Proposed Construction of Stockroom for CTO / CGSO at Brgy. San Gabriel, San Pablo City. 			By: Contract 			 	Deadline for Submission of Bids: June 24, 2020 10:00 am</t>
  </si>
  <si>
    <t xml:space="preserve"> Republic of the Philippines Province of Iloilo BIDS AND AWARDS COMMITTEE INVITATION TO BID Purchase of Agricultural Machinery and Equipment Bid No. AGR-20-0478-B 1. The Iloilo Provincial Government, through the    General Fund 2020 intends to apply the su</t>
  </si>
  <si>
    <t xml:space="preserve"> The Zamboanga State College of Marine Sciences and Technology (ZSCMST), through its Bids and Awards Committee, is inviting PhilGeps registered suppliers to apply for eligibility and to submit bids for the items mentioned hereunder: B-014-2020 SUPPLY AND D</t>
  </si>
  <si>
    <t xml:space="preserve"> Republic of the Philippines DEPARTMENT OF PUBLIC WORKS AND HIGHWAYS CAMARINES SUR 1st DISTRICT ENGINEERING OFFICE REGIONAL OFFICE V Baras, Canaman, Camarines Sur INVITATION TO BID The      DPWH -Camarines Sur 1st DEO, through its Bids and Awards Committee</t>
  </si>
  <si>
    <t xml:space="preserve"> The Zamboanga State College of Marine Sciences and Technology (ZSCMST), through its Bids and Awards Committee, is inviting PhilGeps registered suppliers to apply for eligibility and to submit bids for the items mentioned hereunder: B-030-2020 SUPPLY AND D</t>
  </si>
  <si>
    <t xml:space="preserve"> May 28, 2020 RE-INVITATION TO BID  The Department of Public Works and Highways, Mindoro Occidental District Engineering Office, Mamburao, Occidental Mindoro, through its Bids and Award Committee (BAC), invites contractors to submit bids for the following </t>
  </si>
  <si>
    <t xml:space="preserve"> The Zamboanga State College of Marine Sciences and Technology (ZSCMST), through its Bids and Awards Committee, is inviting PhilGeps registered suppliers to apply for eligibility and to submit bids for the items mentioned hereunder: B-015-2020 SUPPLY AND D</t>
  </si>
  <si>
    <t xml:space="preserve"> May 28, 2020 INVITATION TO BID  The Department of Public Works and Highways, Mindoro Occidental District Engineering Office, Mamburao, Occidental Mindoro, through its Bids and Award Committee (BAC), invites contractors to submit bids for the following Con</t>
  </si>
  <si>
    <t xml:space="preserve"> The DPWH Neg. Occ. 4th District Engineering Office, Bago City, Neg. Occ., through its Bids and Awards Committee (BAC), invites contractors to submit bids for the following Contracts: 1.	Contract ID No.:       	20GN0090 	Contract Name:  	Constructions/Reha</t>
  </si>
  <si>
    <t xml:space="preserve"> INVITATION TO BID  for  Supply and Delivery of Various Spare Parts at General Services Office, Lingayen, Pangasinan (for use of 25 units Isuzu Dumptrucks) Solicitation No. PANG-2020-757 1.	The Provincial Government of Pangasinan, through the Spare Parts F</t>
  </si>
  <si>
    <t xml:space="preserve"> Republic of the Philippines Province of Iloilo BIDS AND AWARDS COMMITTEE INVITATION TO BID Purchase of Agricultural Machinery  Bid No. AGR-20-0479-B 1. The Iloilo Provincial Government, through the    General Fund 2020 intends to apply the sum of TWO HUND</t>
  </si>
  <si>
    <t xml:space="preserve"> Republic of the Philippines Province of Quezon Municipality of Macalelon Invitation to Bid for the  REHABILITATION/IMPROVEMENT OF ECOLOGICAL ACCESS ROAD Reference No. 2020-05-286-ME 										June 3, 2020 1.	The LGU-Macalelon, Quezon intends to apply the </t>
  </si>
  <si>
    <t xml:space="preserve"> INVITATION TO BID  for  Supply and Delivery of Various Medical Supplies at Bayambang District Hospital, Bayambang, Pangasinan  Solicitation No. PANG-2020-0756 1.	The Provincial Government of Pangasinan, through the Trust Fund (PR#2020-03-3014) intends to </t>
  </si>
  <si>
    <t xml:space="preserve"> Supply and Delivery of various materials for the proposed Barangay Quadrangle Stage, Brgy. Cabugao Viejo, San Enrique, Iloilo Approved Budget for the Contract P 345, 000.00 Source of Fund : 20% Development Fund</t>
  </si>
  <si>
    <t xml:space="preserve"> INVITATION TO BID  for  Supply and Delivery of Drugs and Medicines at Pangasinan Provincial Hospital, San Carlos City, Pangasinan  Solicitation No. PANG-2020-755 1.	The Provincial Government of Pangasinan, through the Trust Fund (PR#2020-03-3209) intends </t>
  </si>
  <si>
    <t xml:space="preserve"> INVITATION TO BID  for  Supply and Delivery of One (1) unit Genset, 75 KVA, Open Type with Complete Accessories and Battery at GSO, Lingayen, Pangasinan (for use at Emergency Operation Center, PDRRMO Building, LDH Compound, Lingayen, Pangasinan) Solicitat</t>
  </si>
  <si>
    <t xml:space="preserve"> 1.	The City Government of Sipalay, Province of Negros Occidental, thru the 2020 Budget Appropriation approved by the Sangguniang Panlungsod intends to apply the amount of One Million Two Hundred Eighty Thousand Pesos (P1,280,000.00) only being the Approve</t>
  </si>
  <si>
    <t xml:space="preserve"> INVITATION TO BID  for  Reconstruction of One (1) unit, Three (3) Classroom School Building at Bued East E/S, Calasiao, Pangasinan Solicitation No. PANG-2020-0750 1.	The Provincial Government of Pangasinan, through the School Board (PR#2020-02-1850) inten</t>
  </si>
  <si>
    <t xml:space="preserve"> Republic of the Philippines Province of Bukidnon MUNICIPALITY OF PANGANTUCAN TIN 099-000-631-170 OFFICE OF THE MUNICIPAL MAYOR Bids and Awards Committee (BAC) Cell # 09261024636  Email us: munpangantucanbukidnon@yahoo.com  or visit www.philgeps.net INVITA</t>
  </si>
  <si>
    <t xml:space="preserve"> INVITATION TO BID  for  Supply and Delivery of Spare Parts at General Services Office, Lingayen, Pangasinan (for use of Backhoe Hitachi No. 2010-04) Solicitation No. PANG-2020-758 1.	The Provincial Government of Pangasinan, through the Spare Parts Fund (P</t>
  </si>
  <si>
    <t xml:space="preserve"> Republic of the Philippines								 Department Of Public Works and Highways								 Negros Oriental 2nd District Engineering Office								 REGIONAL OFFFICE VII								 Cangmating, Sibulan, Negros Oriental								 (035)522 0635								 								 INVITATION</t>
  </si>
  <si>
    <t xml:space="preserve"> INVITATION TO BID  for  Supply and Delivery of Various Spare Parts at General Services Office, Lingayen, Pangasinan (for use of Backhoe EX120, 2012-07) Solicitation No. PANG-2020-0759 1.	The Provincial Government of Pangasinan, through the Spare Parts Fun</t>
  </si>
  <si>
    <t xml:space="preserve"> INVITATION TO BID  for  Construction of One (1) unit, Two (2) Classroom Second Floor at Ambonao E/S, Calasiao, Pangasinan Solicitation No. PANG-2020-0749 1.	The Provincial Government of Pangasinan, through the School Board (PR#2020-02-1852) intends to app</t>
  </si>
  <si>
    <t xml:space="preserve"> Republic of the Philippines                   Department of Health	       CENTRAL OFFICE BIDS AND AWARDS COMMITTEE  INVITATION TO BID FOR THE  PROCUREMENT OF FULL COLOR PRODUCTION PRINTER IB NO. 2020-207 1.	The Department of Health (DOH), through the Gene</t>
  </si>
  <si>
    <t xml:space="preserve"> Republic of the Philippines Province of Iloilo BIDS AND AWARDS COMMITTEE INVITATION TO BID Purchase of Agricultural Machinery  Bid No. AGR-20-0476-B 1. The Iloilo Provincial Government, through the    General Fund 2020 intends to apply the sum of TWO HUND</t>
  </si>
  <si>
    <t xml:space="preserve"> Procurement ID/Contract ID		:  20 IK 0096	     Contract Name				:  Repair/Maintenance of DPWH Building BOE Area Equipment Section II-    Main Repair Shop (Mezzanine) Building     Contract Location			:  Brgy. Maulong, Catbalogan city, Samar     Brief Descr</t>
  </si>
  <si>
    <t xml:space="preserve"> Procurement ID/Contract ID		:  20 IK 0095	     Contract Name				:  Repair/Maintenance of Drainage Canal Along Daang Maharlika     Contract Location			:  Brgy. Maulong, Catbalogan City, Samar, K0799+799-K0799+919(BS)     Brief Description	:  Drainage Canal</t>
  </si>
  <si>
    <t xml:space="preserve"> INVITATION TO BID  for  Repair/Rehabilitation of Covered Court Gymnasium at Brgy. Malico, E/S Compound, San Nicolas, Pangasinan Solicitation No. PANG-2020-0754 1.	The Provincial Government of Pangasinan, through the School Board (PR#2020-01-0778) intends </t>
  </si>
  <si>
    <t xml:space="preserve"> Procurement ID/Contract ID		:  20 IK 0093     Contract Name				:  Repair/Maintenance of Drainage Canal Along Wright-Taft-Borongan Road     Contract Location			:  Brgy. Campo 1, Paranas Samar, K0845+400-K0845+455     Brief Description	:  Drainage Canal    </t>
  </si>
  <si>
    <t xml:space="preserve"> INVITATION TO BID  for  Repair of Four (4) School Buildings at Pasibi-Bituag E/S, Urbiztondo, Pangasinan Solicitation No. PANG-2020-0752 1.	The Provincial Government of Pangasinan, through the School Board (PR#2020-02-1848) intends to apply the sum of One</t>
  </si>
  <si>
    <t xml:space="preserve"> Procurement ID/Contract ID		:  20 IK 0094	     Contract Name				:  Repair/Maintenance of Drainage Canal Along Wright-Taft-Borongan Road     Contract Location			:  Brgy. San Isidro, Paranas Samar, K0845+995-K0846+050     Brief Description	:  Drainage Canal</t>
  </si>
  <si>
    <t xml:space="preserve"> Procurement ID/Contract ID		:  20 IK 0097	     Contract Name				:  Installation of Road Safety Facilities Along National Roads within the    Jurisdiction of DPWH Samar 2nd DEO, Catbaloagn City      Contract Location			:  Various Location     Brief Descrip</t>
  </si>
  <si>
    <t xml:space="preserve"> Republic of the Philippines Province of Leyte BRGY. CULASIAN, CAPOOCAN, LEYTE -oOo- BIDS AND AWARD COMMITTEE INVITATION TO BID  FOR THE PROCUREMENT OF RESCUE VEHICLE 1.	The Brgy. Culasian Capoocan, Leyte, through the Brgy. 5% DRRM Funds for 2020 intends t</t>
  </si>
  <si>
    <t xml:space="preserve"> Please quote your lowest price on the item/s listed below: 1. VEHICLE HIRE 4x2				 ACTIVITY: QUADRANGLE GEOLOGIC MAPPING				 LOCATION: DANGCAGAN/DON CARLOS/KALILANGAN/MARAMAG/PANGANTUCAN, BUKIDNON				 PERIOD: 2020. JUNE 15-20				 PASSENGERS: 6				 2. VEHI</t>
  </si>
  <si>
    <t xml:space="preserve"> INVITATION TO BID  for  Pavement Markings at Binalonan – San Manuel Road, Binalonan &amp; San Manuel, Pangasinan Solicitation No. PANG-2020-0753 1.	The Provincial Government of Pangasinan, through the Construction, Repair &amp; Maintenance of Various Roads and Br</t>
  </si>
  <si>
    <t xml:space="preserve"> Republic of the Philippines Province of Southern Leyte Municipality of San Juan BIDS AND AWARDS COMMITTEE INVITATION TO BID 								Date:	June 2, 2020						                Contract no:    MSJ-2020-13 The LGU of the Municipality of San Juan, Southern Leyte</t>
  </si>
  <si>
    <t xml:space="preserve"> FURNISHING OF LABOR, MATERIALS AND EQUIPMENT RENTALS FOR THE CONTINUING IMPROVEMENT OF MUNICIPAL RURAL HEALTH CENTER AND BIRTHING CENTER LOCATED AT BRGY. 5, POBLACION, TIGBAUAN, ILOILO.</t>
  </si>
  <si>
    <t xml:space="preserve"> See attached documents, print Bid Notice Abstract and download ITB No. GOODS-20-102.</t>
  </si>
  <si>
    <t xml:space="preserve"> PROCUREMENT OF 1-UNIT, 4 WHEELERS, 11 FOOTER 3.0 LIT DROPSIDE BODY (BRAND NEW) VEHICLE FOR THE USE OF MENRO, TIGBAUAN, ILOILO.(Re-Bid)</t>
  </si>
  <si>
    <t xml:space="preserve"> FUSO CANTER DOUBLE CAB DROPSIDE  4M40 ENGINE  6 WHEELER  94 HORSEPOWER  2,835 CC CAPACITY  6FT BODY LENGHT DROPSIDE</t>
  </si>
  <si>
    <t xml:space="preserve"> INVITATION TO BID  for  Construction of Standard One (1) unit, Two (2) Classroom School Building at Siaosio E/S, Sual, Pangasinan Solicitation No. PANG-2020-0751 1.	The Provincial Government of Pangasinan, through the School Board (PR#2020-02-1861) intend</t>
  </si>
  <si>
    <t xml:space="preserve"> See attached documents, print Bid Notice Abstract and download ITB No. GOODS-20-101.</t>
  </si>
  <si>
    <t xml:space="preserve"> The DPWH – Bulacan First District Engineering Office, through its Bids and Awards Committee (BAC), invites contractors to submit bids for the following Contract: Contract ID: 20CC0240 Contract Name: Repair/Maintenance of Flood Control Structures along Ang</t>
  </si>
  <si>
    <t xml:space="preserve"> The DPWH – Bulacan First District Engineering Office, through its Bids and Awards Committee (BAC), invites contractors to submit bids for the following Contract: Contract ID: 20CC0238 Contract Name: Concreting of Purok 5, Camaling, brgy. Pungo FMR Contrac</t>
  </si>
  <si>
    <t xml:space="preserve"> Invitation to Bid All prospective bidders are invited to bid on the above items. The Municipality of Boac reserves the right to accept or reject any bid, to annul the bidding process, and to reject all bids at any time prior to contract award, without the</t>
  </si>
  <si>
    <t xml:space="preserve"> The DPWH – Bulacan First District Engineering Office, through its Bids and Awards Committee (BAC), invites contractors to submit bids for the following Contract: Contract ID: 20CC0235 Contract Name: Concreting of Brgy. Sto. Nino FMR Contract Location: Brg</t>
  </si>
  <si>
    <t xml:space="preserve"> The DPWH – Bulacan First District Engineering Office, through its Bids and Awards Committee (BAC), invites contractors to submit bids for the following Contract: Contract ID: 20CC0234 Contract Name: Concreting of Purok Gitna, Brgy. Manatal FMR Contract Lo</t>
  </si>
  <si>
    <t xml:space="preserve"> The DPWH – Bulacan First District Engineering Office, through its Bids and Awards Committee (BAC), invites contractors to submit bids for the following Contract: Contract ID: 20CC0239 Contract Name: Repair/Maintenance of DPWH Building DE’s Office &amp; variou</t>
  </si>
  <si>
    <t xml:space="preserve"> The DPWH – Bulacan First District Engineering Office, through its Bids and Awards Committee (BAC), invites contractors to submit bids for the following Contract: Contract ID: 20CC0236 Contract Name: Concreting of Brgy. Cupang-Bagong Barrio FMR Contract Lo</t>
  </si>
  <si>
    <t xml:space="preserve"> The DPWH – Bulacan First District Engineering Office, through its Bids and Awards Committee (BAC), invites contractors to submit bids for the following Contract: Contract ID: 20CC0243 Contract Name: Repair/Maintenance of DILG Building PNP Station Building</t>
  </si>
  <si>
    <t xml:space="preserve"> The DPWH – Bulacan First District Engineering Office, through its Bids and Awards Committee (BAC), invites contractors to submit bids for the following Contract: Contract ID: 20CC0237 Contract Name: Concreting of Purok 2 to Purok 7, brgy. Gugo FMR Contrac</t>
  </si>
  <si>
    <t xml:space="preserve"> The DPWH – Bulacan First District Engineering Office, through its Bids and Awards Committee (BAC), invites contractors to submit bids for the following Contract: Contract ID: 20CC0241 Contract Name: Repair/Maintenance of Flood Control Structures along Ang</t>
  </si>
  <si>
    <t xml:space="preserve"> INVITATION TO RE-BID The Provincial Government of Occidental Mindoro through its Bids and Awards Committee (BAC) invites all interested contractors to apply for eligibility and to bid for the following projects: Reference No.	Name of Project	Location	Brie</t>
  </si>
  <si>
    <t xml:space="preserve"> Republic of the Philippines Province of Samar Municipality of San Jose de Buan INVITATION TO BID FOR THE PURCHASE OF 1-UNIT MOBILE CLINIC 1.	The Municipal Local Government Unit of San Jose de Buan, Samar, through the LDRRMF of 2020 intends to apply the su</t>
  </si>
  <si>
    <t xml:space="preserve"> INVITATION TO BID No. NNP-2020-VI-22-01F The Municipality of Sibalom through its Bids &amp; Awards Committee (BAC), invites bidders/contractors to apply for eligibility and to bid for the hereunder project: Project           	 		:	Tires, Battery &amp; Spareparts </t>
  </si>
  <si>
    <t xml:space="preserve"> The DPWH – Bulacan First District Engineering Office, through its Bids and Awards Committee (BAC), invites contractors to submit bids for the following Contract: Contract ID: 20CC0242 Contract Name: Repair/Maintenance of DPWH Building Warehouse &amp; Repair B</t>
  </si>
  <si>
    <t xml:space="preserve"> 1. The Mindanao State University – Tawi-Tawi College of Technology and Oceanography (MSU-TCTO), through 2020 General Appropriations Act (GAA) Budget, intends to apply the sum of One Million Six Hundred Pesos and 00/100 (PhP 1,600,000.00) being the Approve</t>
  </si>
  <si>
    <t xml:space="preserve"> INVITATION TO BID FOR 20GAA0062: PROCUREMENT OF ONE (1) UNIT CORS REFERENCE STATION AND ONE (1) UNIT GNSS RTK ROVER WITH CONTROLLER FOR USE AT PLANNING &amp; DESIGN SECTION, DPWH-INFDEO, LAOAG CITY The Department of Public Works and Highways Ilocos Norte 1stD</t>
  </si>
  <si>
    <t xml:space="preserve"> Republic of the Philippines Province of Leyte Municipality of Mahaplag BARANGAY MAHAYAG Invitation to bid for the Procurement of Materials for the Construction of Barangay Pathway (Phase II) 1. The Barangay Mahayag of Mahaplag, Leyte, through the 20% EDF </t>
  </si>
  <si>
    <t xml:space="preserve"> ENGINE SPECIFICATIONS: NUMBER OF CYLINDER: 6 FUEL: DIESEL FUEL TANK CAPACITY: 200 LITERS (STEEL TANK) EMISSION COMPLIANT: EURO IV ENGINE POWER: 200-240 HP (650-720 N.M) OPERATIONAL: DRIVE FORM: 4X4 (6 WHEELERS) CYCLE TIME FOR GARBAGE LOADING: 20s-30s CYCL</t>
  </si>
  <si>
    <t xml:space="preserve"> Republic of the Philippines Province of Misamis Occidental MUNICIPALITY OF PANAON INVITATION TO BID FOR  PROCUREMENT OF MATERIALS &amp; LABOR FOR THE PROJECT INSTALLATION OF SOLAR STREET LIGHTS (Procurement of Goods) 									June 2, 2020 1.	The Municipality </t>
  </si>
  <si>
    <t xml:space="preserve"> Project Description:		 			Canal Length: 190 l.m.   Width bottom: 0.50 m		 			Depth: 0.70m                         Top: 0.70 m.		 			Type:  Reinforced 4” CHB		 					 			CONTRACT COST:		 1.	L.M.	190	STAKING, LAYOUT, EXCAVATION AND DESPOSAL OF WASTE		180,437</t>
  </si>
  <si>
    <t xml:space="preserve"> REPUBLIC OF THE PHILIPPINES CITY GOVERNMENT OF OROQUIETA BIDS AND AWARD COMMITTEE City Hall, Oroquieta City                                                                                                                       June 02, 2020                </t>
  </si>
  <si>
    <t xml:space="preserve"> Materials : 284 bags  Cement 17 cu.m. Sand 35 cu.m. Gravel 3/4 39 cu.m. Filling materials 24 pcs Coco lumber 2x6x12 5 kgs CWN #4 12 kgs Tie wire #16 10 pcs 16mm,rsb 4 pcs 16mm, plain round bar</t>
  </si>
  <si>
    <t xml:space="preserve"> 1.	The Municipality of Baliguian, now invites bids for the Civil works for the Concreting of 200meter Farm to Market Road at Sitio Tumbaga, Barangay Nonoyan, Baliguian, Zamboanga del Norte.  2.	Bidding will be conducted in accordance with relevant procedu</t>
  </si>
  <si>
    <t xml:space="preserve"> INVITATION TO BID THE BARANGAY LEPAGA THROUGH ITS BIDS AND AWARDS COMMITTEE (BAC) INVITES PHILGEPS REGISTERED SUPPLIERS TO APPLY TO BID FOR THE SUPPLY AND DELIVERY OF VARIOUS MATERIALS FOR COMPLETION OF EVACUATION CENTER. I. CONCRETE WORKS II. STEEL WORKS</t>
  </si>
  <si>
    <t xml:space="preserve"> The Local Government Unit of Science City of Muñoz, through the 2020 Development Fund, intends to apply the sum of Four Million Pesos (Php 4,000,000.00) being the Approved Budget for the Contract (ABC) to payments under the contract for Concreting of City</t>
  </si>
  <si>
    <t xml:space="preserve"> Procurement of Construction Materials and Supplies</t>
  </si>
  <si>
    <t xml:space="preserve"> Purchase and Delivery of Three (3) Units Brand New Van, Dingle, Iloilo</t>
  </si>
  <si>
    <t xml:space="preserve"> Concreting of 3.00x85.00x0.15m. Pathway</t>
  </si>
  <si>
    <t xml:space="preserve"> Form No. 	IFD-SP-PROC002-001 			BOHOL ISLAND STATE UNIVERSITY	Revision: 	00 			Main Campus	Effectivity Date: 	June 17,2019 			 C.P.G. North Avenue, Tagbilaran City, Bohol	Related Process:	BISU-SP-PROC-002 				REQUEST FOR QUOTATION	 			Contract Reference N</t>
  </si>
  <si>
    <t xml:space="preserve"> Republic of the Philippines BOHOL ISLAND STATE UNIVERSITY Main Campus, Tagbilaran City INVITATION TO BID FOR SUPPLY AND DELIVERY OF MULTIMEDIA PROJECTORS (PR NO. 2020-02-0185, 2020-02-0299, 2020-02-0152, 2020-02-0339, 2020-02-0270, 2020-02-0299, 2020-02-0</t>
  </si>
  <si>
    <t xml:space="preserve"> Republic of the Philippines BOHOL ISLAND STATE UNIVERSITY Main Campus, Tagbilaran City INVITATION TO BID FOR SUPPLY AND DELIVERY OF PHOTOCOPIERS (PR NO. 2020-02-0415, 2020-02-0242) 1.	The Bohol Island State University – Main Campus, Tagbilaran City, throu</t>
  </si>
  <si>
    <t xml:space="preserve"> INVITATION TO BID  THE BARANGAY LEPAGA , MLANG, COTABATO THROUGH ITS BIDS AND AWARDS COMMITTEE (BAC) INVITES PHILGEPS REGISTERED SUPPLIERS TO APPLY TO BID FOR THE SUPPLY AND DELIVERY OF VARIOUS MATERIALS FOR ROAD GRAVELLING OF BARANGAY LEPAGA. 200 AGGREGA</t>
  </si>
  <si>
    <t xml:space="preserve"> OFFICE ENHANCEMENT PROJECT (1ST &amp; 2ND QTR.)</t>
  </si>
  <si>
    <t xml:space="preserve"> Republic of the Philippines BOHOL ISLAND STATE UNIVERSITY Main Campus, Tagbilaran City INVITATION TO BID FOR SUPPLY AND DELIVERY OF OFFICE EQUIPMENT (PR NO. 2020-02-0311, 2020-02-0380, 2020-02-0273, 2020-01-0141) 1.	The Bohol Island State University – Mai</t>
  </si>
  <si>
    <t xml:space="preserve"> 1 consultant</t>
  </si>
  <si>
    <t xml:space="preserve"> Seguridad para sa mamamayan ng La Paz</t>
  </si>
  <si>
    <t xml:space="preserve"> The Department of Public Works and Highways-Regional Office I, through its Bids and Awards Committee (BAC) for Goods, invites suppliers to submit bids for the following Contract: Contract ID: 20GA00001 Contract Name: Supply and Delivery of Ground Penetrat</t>
  </si>
  <si>
    <t xml:space="preserve"> The Local Government Unit of Science City of Muñoz, through the 2020 Development Fund, intends to apply the sum of Five Million Five Hundred Thousand Pesos (Php 5,500,000.00) being the Approved Budget for the Contract (ABC) to payments under the contract </t>
  </si>
  <si>
    <t xml:space="preserve"> The Local Government Unit of Science City of Muñoz, through the 2020 Development Fund, intends to apply the sum of Eight Million Pesos (Php 8,000,000.00) being the Approved Budget for the Contract (ABC) to payments under the contract for Construction of M</t>
  </si>
  <si>
    <t xml:space="preserve"> DRRM Resource Modernization</t>
  </si>
  <si>
    <t xml:space="preserve"> see attached Invitation to Bid &amp; Bid Documents</t>
  </si>
  <si>
    <t xml:space="preserve"> Location: PSU Goa campus Bidding Fee: P 7,000.00 (Non-refundable) Schedule of activities: 1. Issuance and availability of Bid Documents: June 3, 2020 until 12:00 noon of June 23, 2020  (except week-ends &amp; Holidays at the BAC Secretariat Office, PSU-Goa ca</t>
  </si>
  <si>
    <t xml:space="preserve"> Bid-Opening-June 25, 2020 at 2:00 pm. at Municipal Conference Room</t>
  </si>
  <si>
    <t xml:space="preserve"> Republic of the Philippines Province of Bohol MUNICIPALITY OF GETAFE BIDS AND AWARDS COMMITTEE ________________________________________ INVITATION TO BID  ( 2nd Public Bidding ) FOR PURCHASE OF  60 HEADS  FEMALE CARABAO FOR THE USED OF INTEGRATED CARABAO </t>
  </si>
  <si>
    <t xml:space="preserve"> Issuance of Bid Documents Starts: June 3, 2020 Cost of Bid Document: Php 1,000.00 Venue of Dropping and Opening Bids: BAC Conference Room, Leyte SMED Center, Provincial Capitol Grounds, Tacloban City</t>
  </si>
  <si>
    <t xml:space="preserve"> LENGTH= 28.0 M., WIDTH= 5.0 M.,  THICKNESS= 0.20 M.</t>
  </si>
  <si>
    <t xml:space="preserve"> INVITATION TO BID FOR CIVIL WORKS June 01, 2020 1.	The Department of Public Works and Highways (DPWH), Bukidnon Second District Engineering Office, Pinamaloy, Don Carlos, Bukidnon through its Bids and Awards Committee BAC, invites contractors to submit bi</t>
  </si>
  <si>
    <t xml:space="preserve"> RE - INVITATION TO BID FOR CIVIL WORKS June 01, 2020 1.	The Department of Public Works and Highways (DPWH), Bukidnon Second District Engineering Office, Pinamaloy, Don Carlos, Bukidnon through its Bids and Awards Committee BAC, invites contractors to subm</t>
  </si>
  <si>
    <t xml:space="preserve"> BId-Opening-June 25, 2020 at 2:00 p.m. at Municipal Conference Room</t>
  </si>
  <si>
    <t xml:space="preserve"> Republic of the Philippines PROVINCE OF SURIGAO DEL SUR MUNICIPALITY OF CARRASCAL OFFICE OF MUNICIPAL BIDS AND AWARDS COMMITTEE The Local Government Unit of Carrascal invites all interested and qualified bidders for offers to supply on the Bid forms:     </t>
  </si>
  <si>
    <t xml:space="preserve"> 1. The Provincial Government of Davao Del Norte, through SB #4 CY 2019, 20% DF CY 2020, SB #1 CY 2020 and 20% AB CY 2019, intends to apply the sum of Eleven Million One Hundred Thirty Four Thousand Two Hundred Eighty Three and 93/100 Pesos (Php 11,134,283</t>
  </si>
  <si>
    <t xml:space="preserve"> PROCUREMENT OF RANDOM ACCESS MEMORY AND VARIOUS DATA STORAGE DEVICES</t>
  </si>
  <si>
    <t xml:space="preserve"> The Municipal Government of Pilar, through the General Fund intends to apply the sum of Two Million (P/2,000,000.00) Pesos being the Approved Budget for the Contract (ABC) to payment under the contract for the Construction of Riprap at Paniquian Irrigatio</t>
  </si>
  <si>
    <t xml:space="preserve"> The Local Government Unit of Science City of Muñoz, through the 2020 Development Fund, intends to apply the sum of Eight Million Pesos (Php 8,000,000.00) being the Approved Budget for the Contract (ABC) to payments under the contract for Rehabilitation of</t>
  </si>
  <si>
    <t xml:space="preserve"> Office Equipment</t>
  </si>
  <si>
    <t xml:space="preserve"> MUNICIPALITY OF HINABANGAN Hinabangan, Samar Invitation to Bid for  Construction of Water Supply System Level 3 Phase 2 (Cansolabao Sitio Arizona) 1.	The Municipal Government of Hinabangan, through the 20% Development Fund CY 2020 intends to apply the sum</t>
  </si>
  <si>
    <t xml:space="preserve"> INVITATION TO BID FOR Procurement of Office Supplies for Reproduction of Modules &amp; Other Learning Materials for the First Semester S.Y 2020- 2021 use at ESSU Main Campus (PR# 2020-OSPM-177) 1.	The EASTERN SAMAR STATE UNIVERSITY, through the FY 2020 GAA, R</t>
  </si>
  <si>
    <t xml:space="preserve"> Invitation to Bid for  Improvement and Concreting of FMR (Binubucalan to Canano) Phase 2 1.	The Municipal Government of Hinabangan, through the 20% Development Fund CY 2020 intends to apply the sum of NINE MILLION SEVEN HUNDRED EIGHT THOUSAND EIGHT HUNDRE</t>
  </si>
  <si>
    <t xml:space="preserve"> May Pera sa Basura</t>
  </si>
  <si>
    <t xml:space="preserve"> INVITATION TO BID FOR   Cluster 12 Infrastructure Projects  Kerikite, Almagro, Samar Item No.	Project Name	ABC	Duration 1.	Construction of Drainage Canal	788,000.00	90 CD 2.	Construction of Multi-Purpose Hall (Stage)	394,000.00	60 CD 1.	The LGU-Almagro, t</t>
  </si>
  <si>
    <t xml:space="preserve"> Location: PSU Goa campus Bidding Fee: P 3,000.00 (Non-refundable) Schedule of activities: 1. Issuance and availability of Bid Documents: June 3, 2020 until 12:00 noon of June 23, 2020  (except week-ends &amp; Holidays at the BAC Secretariat Office, PSU-Goa ca</t>
  </si>
  <si>
    <t xml:space="preserve"> 1.	The Municipality of Baliguian, now invites bids for the Civil works for the Concreting of 240meter Farm to Market Road at Diangas to Guimotan Section, Baliguian, Zamboanga del Norte.  2.	Bidding will be conducted in accordance with relevant procedures </t>
  </si>
  <si>
    <t xml:space="preserve"> REPUBLIC OF THE PHILIPPINES PROVINCE OF SIQUIJOR MUNICIPALITY OF SIQUIJOR INVITATION TO BID FOR Acquisition of Services for Security Guard 1.	The Local Government Unit of the Municipality of Siquijor, through the GENERAL FUND 2020 in the amount of Two Hun</t>
  </si>
  <si>
    <t xml:space="preserve"> INVITATION TO BID No. NNP-2020-VI-22-02F The Municipality of Sibalom through its Bids &amp; Awards Committee (BAC), invites bidders/contractors to apply for eligibility and to bid for the hereunder project: Project           	 		:	Brandnew Van Location			:	Si</t>
  </si>
  <si>
    <t xml:space="preserve"> Bid-Opening-June 25, 2020 at 2:00 p.m. at Municipal Conference Room</t>
  </si>
  <si>
    <t xml:space="preserve"> INVITATION TO BID FOR    Rehabilitation of Flood Control  Poblacion, Almagro, Samar 1.	The LGU-Almagro, through Annual Budget CY 2020  intends to apply the sum of  Nine Hundred Eighty Five Thousand Pesos ( Php 985,000,000.00) being the Approved Budget for</t>
  </si>
  <si>
    <t xml:space="preserve"> INVITATION TO BID FOR    Cluster 13 Infrastructure Projects Guin-ansan and Mabuhay, Almagro, Samar Item No.	Project Name/Location	ABC	Duration 1.	Rehabilitation of Concrete Pathway at Brgy. Guin-ansan	492,500.00	60 2.	Rehabilitation of Water Transmission </t>
  </si>
  <si>
    <t xml:space="preserve"> UNIT	  DESCRIPTION		QUANTITY	UNIT COST 	I. FINISHING WORKS:			 mtrs	#12 THHN WIRE 3.5mm		16	   pc (s)	10mm x 6.0 Corrugated Round Bar		180	   box (es)	#12 THHN WIRE 3.5mm2		2	   pc (s)	16mm x 6.0 Corrugated Round Bar		20	  set (s)	1 Gang Switch		9	   set </t>
  </si>
  <si>
    <t xml:space="preserve"> INVITATION TO BID FOR SUPPLY AND DELIVERY OF VARIOUS SUPPLIES FOR VARIOUS OFFICES 1.	The Bids and Awards Committee of the Local Government Unit of Santiago City through the General Fund intends to apply the sum of Fourteen Million One Hundred Eighty Four </t>
  </si>
  <si>
    <t xml:space="preserve"> Invitation to Bid for Widening of Eballe Street with Canal– at Eballe St., Josefina, Zambaonga del Sur 1.	The LGU-Municipality of Josefina, through the 20% EDF CY 2020 intends to apply the sum of TWO MILLION THREE HUNDRED SIXTY ONE THOUSAND FIVE HUNDRED S</t>
  </si>
  <si>
    <t xml:space="preserve"> Invitation to Bid for Construction of Gender Appropriate Toilet – at Poblacion, Josefina, Zambaonga del Sur 1.	The LGU-Municipality of Josefina, through the LGSF-AM 2019 intends to apply the sum of TWO MILLION TWO HUNDRED TEN THOUSAND PESOS (Php 2,210,000</t>
  </si>
  <si>
    <t xml:space="preserve"> Invitation to Bid for the Supply and Delivery of Road Safety Signages and Thermoplastic Materials for Installation along SDCR, Aras-asan Diversion Road and Payasan-Los Arcos Road (Intermittent Sections) K1296+200-K1297+200, K1283+800-K1284+800, K1302+600-</t>
  </si>
  <si>
    <t xml:space="preserve"> Other Supplies and Materials Expenses</t>
  </si>
  <si>
    <t xml:space="preserve"> Trench Excavation 2,751.00 cu.m. Distribution Line 11,460.00 L.m. Blow off assembly 13.00 set Backfill and Compaction 211.00 cu.m.</t>
  </si>
  <si>
    <t xml:space="preserve"> INVITATION TO BID FOR SUPPLY AND DELIVERY OF VARIOUS SUPPLIES FOR CITY VICE MAYOR'S OFFICE 1.	The Bids and Awards Committee of the Local Government Unit of Santiago City through the General Fund intends to apply the sum of Five Million Six Thousand Four H</t>
  </si>
  <si>
    <t xml:space="preserve"> Drugged Out Hull&amp; Frames (Kasko) 18"x24' Rough Lumber 1/4"x4x8' Marine Plywood 3/8"x4x8' marine Plywood Nylon Twine #100 Pamalong 10' Bamboo Floater 0.15 O Bamboo Floater Frame 0.08 O Propelier (Stainless) Paddle Wheel  Ehe 3/4" O x8' Stainless Bolt 3 3/8</t>
  </si>
  <si>
    <t xml:space="preserve"> Specifications can be viewed online by clicking the "Associated Components" section on this ITB. The Local Government Unit-Municipality of Malinao, Aklan through the Bids and Awards Committee, intends to apply the sum of Three Hundred Thirty Nine Thousand</t>
  </si>
  <si>
    <t xml:space="preserve"> INVITATION TO BID FOR  CY 2020 ENHANCED NATIONAL GREENING PROGRAM-HARDENING –OFF ACTIVITIES UNDER MECHANIZED AND MODERNIZED FOREST NURSERY AT BANAO, GUINOBATAN, ALBAY DENR-ENGP-MMFN-HARDENING-OFF-2020-001 1.	The Department of Environment and Natural Resou</t>
  </si>
  <si>
    <t xml:space="preserve"> Structure Excavation, Subgrade Preparation, Aggregate Sub-base Course Concrete Class ‘A’, Reinforcing Steel Bar, Embankment, Forms &amp; Scaffoldings</t>
  </si>
  <si>
    <t xml:space="preserve"> INVITATION TO BID FOR    Rehabilitation of Flood Control  Panjobjoban - 1, Almagro, Samar 1.	The LGU-Almagro, through Annual Budget  CY 2020  intends to apply the sum of  One Million Four Hundred Seventy Seven Thousand Five Hundred  Pesos ( Php 1,477,500.</t>
  </si>
  <si>
    <t xml:space="preserve"> Earthworks, Excavation for Structure, Gravel Blanket, Structural Back fill, Concrete Class ‘A’, Reinforcing Steel Bar, Form works, Masonry</t>
  </si>
  <si>
    <t xml:space="preserve"> 1.	The Municipality of Baliguian, now invites bids for the Civil works for the Concreting of 120 meter Farm to Market Road at Barangay San Jose, Baliguian, Zamboanga del Norte.  2.	Bidding will be conducted in accordance with relevant procedures for open </t>
  </si>
  <si>
    <t xml:space="preserve"> INVITATION TO BID FOR SUPPLY AND DELIVERY OF VARIOUS GROCERY ITEMS FOR DISASTER PREPAREDNESS STOCKPILE 1.	The Bids and Awards Committee of the Local Government Unit of Santiago City through the General Fund intends to apply the sum of Five Million Two Hun</t>
  </si>
  <si>
    <t xml:space="preserve"> Republic of the Philippines PROVINCE OF MARINDUQUE Capitol Boac, Marinduque OFFICE OF BIDS AND AWARDS COMMITTEE Invitation to Bid  Furnishing labor, materials and equipment rental for the Rehab./Improvement of  Waterworks System, Brgy. Bagong Silang, Sta.</t>
  </si>
  <si>
    <t xml:space="preserve"> INVITATION TO BID FOR  CY 2020 ENHANCED NATIONAL GREENING PROGRAM-HARDENING –OFF ACTIVITIES UNDER MECHANIZED AND MODERNIZED FOREST NURSERY AT SOOC, LUPI, CAMARINES SUR DENR-ENGP-MMFN-HARDENING-OFF-2020-002 1.	The Department of Environment and Natural Reso</t>
  </si>
  <si>
    <t xml:space="preserve"> Specifications can be viewed online by clicking the "Associated Components" section on this ITB. The Local Government Unit-Municipality of Malinao, Aklan through the Bids and Awards Committee, intends to apply the sum of Four Hundred Fourteen Thousand One</t>
  </si>
  <si>
    <t xml:space="preserve"> INVITATION TO BID FOR    New Construction of Level II Potable Water Supply System  Brgy. San Isidro &amp; Marasbaras, Almagro, Samar 1.	The LGU-Almagro, through AM 2019 Fund and LGU counterpart  intends to apply the sum of  Three Million Six Hundred Seventy T</t>
  </si>
  <si>
    <t xml:space="preserve"> Clearing, Excavation &amp; Backfilling Works, Filling Works, Concrete Works, Reinforcing Steel Bars, Masonry Works, Plastering Works, Floor Topping, Steel Works, Forms &amp; Scaffolds, Painting  Works, Water Proofing Works, Electrical Works</t>
  </si>
  <si>
    <t xml:space="preserve"> Republic of the Philippines PROVINCE OF MARINDUQUE Capitol Boac, Marinduque OFFICE OF BIDS AND AWARDS COMMITTEE Invitation to Bid  Furnishing labor, materials and equipment rental for the Rehabilitation/Improvement of  Brgy. Waterworks System at Balanacan</t>
  </si>
  <si>
    <t xml:space="preserve"> The Bureau of Fisheries and Aquatic Resources 6, through the FY 2020 General Appropriations Act 11465 intends to apply for the Procurement of Various IT Supplies/ Equipment, Janitorial and Electrical Supplies and Office Supplies of BFAR6 for CY 2020 with </t>
  </si>
  <si>
    <t xml:space="preserve"> UNIT	  DESCRIPTION		QUANTITY	 				 	Length = 240 m			 	Volume of Concrete  = 196.8  cu.m 			 bag	Cement		1772	 260.00  cu.m	Sand		98.4	   cu.m	Gravel		196.8	   pc (s)	16mm Diameter Bars		1100	   kg (s)	Tie Wire #16		148	   pc (s)	CocoLumber 2"x3"x12'		30	</t>
  </si>
  <si>
    <t xml:space="preserve"> 1.	The Technological University of the Philippines Manila Campus, through Fund 164 Non Fiduciary Fund per BOR Approved Income for Utilization CY 2019 intends to apply the sum of One Million Seven Hundred Twenty Thousand Pesos (Php 1,720,000.00) being the </t>
  </si>
  <si>
    <t xml:space="preserve"> I. Mobilzation II. CSHP III. Road Preparation     A. Equipment     B. Materials IV Portland Cement Concrete Pavement V. Equipment</t>
  </si>
  <si>
    <t xml:space="preserve"> Invitation to Bid for Landscaping/Development Municipal Hall Plaza– at Municipal Hall Plaza, Josefina, Zambaonga del Sur 1.	The LGU-Municipality of Josefina, through the 20% EDF CY 2020 intends to apply the sum of SIX HUNDRED THOUSAND PESOS (Php 600,000.0</t>
  </si>
  <si>
    <t xml:space="preserve"> Equipment for Fish and Cacao processing project</t>
  </si>
  <si>
    <t xml:space="preserve"> INVITATION TO BID FOR SUPPLY AND DELIVERY OF VARIOUS MEDICINES AND MEDICAL SUPPLIES FOR DISASTER PREPAREDNESS STOCKPILE 1.	The Bids and Awards Committee of the Local Government Unit of Santiago City through the General Fund intends to apply the sum of Eig</t>
  </si>
  <si>
    <t xml:space="preserve"> Republic of the Philippines PROVINCE OF LANAO DEL NORTE MUNICIPALITY OF LALA Office of the Municipal General Services                                                                                                   _____________________                  </t>
  </si>
  <si>
    <t xml:space="preserve"> Republic of the Philippines DEPARTMENT OF HEALTH DR. JOSE RIZAL MEMORIAL HOSPITAL Lawaan, Dapitan City Telefax; (065) 213-6421 Website: www.djrmh.doh.gov.ph Email: dohdjrmh@gmail.com BIDS AND AWARDS COMMITTEE INVITATION TO BID PROCUREMENT OF MOTOR VEHICLE</t>
  </si>
  <si>
    <t xml:space="preserve"> Republic of the Philippines PROVINCE OF MARINDUQUE Capitol Boac, Marinduque OFFICE OF BIDS AND AWARDS COMMITTEE Invitation to Bid  Furnishing labor, materials and equipment for the Improvement of Brgy. Waterworks System at Brgy. Pili, Boac, Marinduque  Th</t>
  </si>
  <si>
    <t xml:space="preserve"> The PHILHEALTH REGIONAL OFFICE XII, through the Corporate Operating Budget 2020 intends to apply the sum of One Million Five Hundred Twelve Thousand Nine Hundred Seventy Two and 50/100 pesos only (Php 1,512,972.50) being the Approved Budget of the Contrac</t>
  </si>
  <si>
    <t xml:space="preserve"> Portland Cement Sand Gravel 10mmoRSB Tie Wire #16 Direct Couple 7.5 Hz Power Engine Water Pump HDPE Black Pipe 1"o Foot Valve PVC 2"o Swing Valve Pipe 2"o Ball Valve Pipe 1" o Ball Valve Pipe 1" o HDPE Coupling 1"o PVC Solvent  PVC Pipe 2" o PVC Elbow 2" </t>
  </si>
  <si>
    <t xml:space="preserve"> Republic of the Philippines PROVINCE OF MARINDUQUE Capitol Boac, Marinduque OFFICE OF BIDS AND AWARDS COMMITTEE Invitation to Bid  Furnishing labor, materials and equipment rental for the Construction of Waterworks System Phase 1, Brgy. Mongpong, Sta. Cru</t>
  </si>
  <si>
    <t xml:space="preserve"> ITEM I CANOPY &amp; STRUT (2 SLIDES) ITEM II HANGING BOARD (2 UNITS) ITEM III FINISHING &amp; PAINTING WORKS</t>
  </si>
  <si>
    <t xml:space="preserve"> UNIT	  DESCRIPTION		QUANTITY 900	REINFORCED CONCRETE		 	QTY: - 13.48 cu.m		 			 	I- Materials		 bags	Portland Cement		122 cu.m	Sand		8 cu.m	Gravel 3/4		14 pcs	20mmØ x 6.0m RSB		100 kgs	G.I Tie Wire #16		25 pcs	1/4" Ordinary Plywood		10 bd.ft	2" x 3" x 12'</t>
  </si>
  <si>
    <t xml:space="preserve"> Republic of the Philippines PROVINCE OF MARINDUQUE Capitol Boac, Marinduque OFFICE OF BIDS AND AWARDS COMMITTEE Invitation to Bid  Furnishing labor, materials and equipment for the Improvement of Brgy. Waterworks System, Brgy. Lupac, Boac, Marinduque  The</t>
  </si>
  <si>
    <t xml:space="preserve"> TWO WAY RADIO</t>
  </si>
  <si>
    <t xml:space="preserve"> DECLOGGING AND DESILTING OF CANALS</t>
  </si>
  <si>
    <t xml:space="preserve"> MUNICIPALITY OF BONTOC Bontoc, Mountain Province Invitation to Bid for Cluster 06-2020 (1. Site Development of Municipal Slaughter House 2. Repair of Pakkil Stairway with Railings 3. Improvement of Baang Pathway 4. Improvement of Liwen-Navarangnan hanging</t>
  </si>
  <si>
    <t xml:space="preserve"> Purchase of Diesel, Gasoline, Kerosene and 2T</t>
  </si>
  <si>
    <t xml:space="preserve"> DISASTER RISK MITIGATION AND PREPAREDNESS</t>
  </si>
  <si>
    <t xml:space="preserve"> Cadiz City SF-GOOD-60 Standard Form Title: Request for Quotation 										_______________ 									             ______________________ ______________________ 	Please quote your lowest price on the items listed below, subject to the General Conditions on </t>
  </si>
  <si>
    <t xml:space="preserve"> INVITATION TO BID FOR SUPPLY AND DELIVERY OF TRIWHEELER FOR OFFICE USE 1.	The Bids and Awards Committee of the Local Government Unit of Santiago City through the General Fund intends to apply the sum of One Million Six Hundred Fifty Thousand Pesos (Php 1,</t>
  </si>
  <si>
    <t xml:space="preserve"> INVITATION TO BID FOR PROCUREMENT OF OFFICE SUPPLIES 1.	The Local Government Unit of Josefina, through the MOOE 2020 intends to apply the sum of THREE HUNDRED NINETY FOUR THOUSAND THREE HUNDRED SEVENTY SEVEN PESOS (394,377.00) being the Approved Budget fo</t>
  </si>
  <si>
    <t xml:space="preserve"> INVITATION TO BID FOR PROCUREMENT OF ICT OFFICE EQUIPMENT 1.	The Local Government Unit of Josefina, through the CAPITAL OUTLAY 2020 intends to apply the sum of FIVE HUNDRED ELEVEN THOUSAND FOUR HUNDRED TEN PESOS (Php 511,410.00) being the Approved Budget </t>
  </si>
  <si>
    <t xml:space="preserve"> 1.	The Bureau of Jail Management and Penology Regional Office CALABARZON (BJMPRO-CALABARZON) through the GAA2020   intends to apply the sum of Six  Million Nine Hundred Thousand Pesos (Php 6,900,000.00) being the Approved Budget for the Contract (ABC) to </t>
  </si>
  <si>
    <t xml:space="preserve"> 8.5m x 6.5m</t>
  </si>
  <si>
    <t xml:space="preserve"> MUNICIPALITY OF BONTOC Bontoc, Mountain Province Invitation to Bid for Improvement of Bontoc Ili Local Access Road INFRA 2020-10/7022459 1.	The Municipal Local Government Unit of Bontoc through the DILG-PC Fund 2019 intends to apply the sum of Two Million</t>
  </si>
  <si>
    <t xml:space="preserve"> Republic of the Philippines PROVINCE OF MARINDUQUE Capitol Boac, Marinduque OFFICE OF BIDS AND AWARDS COMMITTEE Invitation to Bid  Furnishing labor, materials and equipment for the Construction of Multi-Purpose Hall (Completion of roofing of Gasan Tennis </t>
  </si>
  <si>
    <t xml:space="preserve"> MUNICIPALITY OF BONTOC Bontoc, Mountain Province Invitation to Bid for Cluster 07-2020 (1. Improvement of Municipal Capitol Building 2. Restoration/Relocation of Chongliyan Water System 3. Completion of Chakalan Bontoc Ili Animal Bite Center 4. Fabricatio</t>
  </si>
  <si>
    <t xml:space="preserve"> INVITATION TO BID The City Vigan, through its Bids and Awards Committee (BAC), invites suppliers/manufacturers/distributors/contractors to apply for eligibility and to bid for the hereunder project: Name of Project:	Proposed Site Development and Building </t>
  </si>
  <si>
    <t xml:space="preserve"> Republic of the Philippines PROVINCE OF ZAMBOANGA SIBUGAY Municipality of Buug BIDS AND AWARDS COMMITTEE INVITATION TO BID, for the  Rehabilitation of Barangay  Road  ITB no. 02-06-2020 The local Government Unit of Buug, Zamboanga Sibugay intends to apply</t>
  </si>
  <si>
    <t xml:space="preserve"> Construction of Classroom</t>
  </si>
  <si>
    <t xml:space="preserve"> OFFICE ENHANCEMENT PROJECT / CAPITAL OUTLAY</t>
  </si>
  <si>
    <t xml:space="preserve"> I.	Tile Works Materials: 133 pieces 60x60 Unglazed Tiles 137 pieces 40x40 Unglazed Tiles 6 bags Portland Cement 34 bags 40 Kg. White Cement 4 bags Tile Grout 8 bags 25 Kg. Tile Adhesive 2 cubic meters Fine Washed Sand II.	Painting Works Materials:  21 gal</t>
  </si>
  <si>
    <t xml:space="preserve"> Republic of the Philippines Municipality of Bontoc Mountain Province Bids and Awards Committee INVITATION TO BID FOR SUPPLY AND DELIVERY OF OFFICE SUPPLIES, MATERIALS AND EQUIPMENT PB GOODS 2020-04/7022607 1.	The Municipal Government of Bontoc,Mountain Pr</t>
  </si>
  <si>
    <t xml:space="preserve"> INVITATION TO BID FOR Motor Vehicle  (Name of Project)    1.	The CITY GOVERNMENT OF ZAMBOANGA, through the SB# 01 FY 2019 intends to apply for the sum of TWO MILLION ONE HUNDRED THOUSAND PESOS (P2,100,000.00) ONLY being the Approved Budget for the Contrac</t>
  </si>
  <si>
    <t xml:space="preserve"> Earthworks Reinforced Concrete - Reinforced Concrete masonry - Masonry Works Reinforcement - Reinforcement Steel Carpentry Works - Carpentry &amp; Joinery  Roof Framing - Metal Works  Roofing - Corrugated Metal Roofing  Painting/ Vanishing  Works - Painting, </t>
  </si>
  <si>
    <t xml:space="preserve"> 1.	280		pcs.		Plastic Envelope w/ handle	 2.	2800		pcs.		Notebook (assorted)	 3.	280		pcs.		Crayola	 4.	280		pcs.		Pad Paper	 5.	560		pcs.		Pencil	 6.	560		pcs.		Ballpen	 7.	280		pcs.		Eraser	 8.	280		pcs.		Scissor</t>
  </si>
  <si>
    <t xml:space="preserve"> Brief Description: Construction of Causeway which involves project billboard/signage, safety &amp; health, temporary facility, layout and excavation, reinforcing steel bars, structural concrete, pile driving, coral rocks with coral voids filler, coral bed and</t>
  </si>
  <si>
    <t xml:space="preserve"> INVITATION TO BID The City Vigan, through its Bids and Awards Committee (BAC), invites suppliers/manufacturers/distributors/contractors to apply for eligibility and to bid for the hereunder project: Name of Project:	Electrical Power Supply Installation fo</t>
  </si>
  <si>
    <t xml:space="preserve"> INVITATION TO BID FOR Other Machinery and Equipment  (Name of Project)    1.	The CITY GOVERNMENT OF ZAMBOANGA, through the AB FY 2020 intends to apply the sum of ONE MILLION SIX HUNDRED THOUSAND PESOS (P1,600,000.00) ONLY being the Approved Budget for the</t>
  </si>
  <si>
    <t xml:space="preserve"> INVITATION TO BID FOR Other Transportation Equipment  (Name of Project)    1.	The CITY GOVERNMENT OF ZAMBOANGA, through the AB FY 2020 intends to apply the sum of FIVE MILLION FIVE HUNDRED THOUSAND PESOS (P5,500,000.00) ONLY being the Approved Budget for </t>
  </si>
  <si>
    <t xml:space="preserve"> INVITATION TO BID FOR Other Property, Plant and Equipment  (Name of Project)    1.	The CITY GOVERNMENT OF ZAMBOANGA, through the AB FY 2020 intends to apply the sum of FOUR MILLION FIVE HUNDRED THOUSAND PESOS (P4,500,000.00) ONLY being the Approved Budget</t>
  </si>
  <si>
    <t xml:space="preserve"> LGU-ALLEN, NORTHERN SAMAR                                       MUNICIPAL BIDS AND AWARDS COMMITTEE                                                         INVITATION TO BID 	The Municipal Government of Allen Northern Samar through its Bids and Awards Com</t>
  </si>
  <si>
    <t xml:space="preserve"> 1.	1		set		CCTV CAMERA</t>
  </si>
  <si>
    <t xml:space="preserve"> Brief Description: Construction of Fence  which involves project billboard/signage, safety &amp; health, temporary facility, A . Const of Fence;layout and excavation, reinforcing steel bar, structural concrete, masonry works, grille works and painting works A</t>
  </si>
  <si>
    <t xml:space="preserve"> Brief Description: Improvement of Road which involves portland cement concrete pavement, project billboard/signage, safety &amp; health, temporary facility. Amount of Bidding Documents: P2,270.00 (Sgd.) ERWIN E. BERNARDO BAC Chairperson</t>
  </si>
  <si>
    <t xml:space="preserve"> Brief Description: Construction/Rehabilitation of Drainage System which involves excavation, reinforcing steel, structural concrete, excavation and demolition of existing drainage, embankment, aggregate sub-base course,portland cement concrete pavement, p</t>
  </si>
  <si>
    <t xml:space="preserve"> INVITATION TO BID FOR Fuel, Oil and Lubricants Expenses  (Name of Project)    1.	The CITY GOVERNMENT OF ZAMBOANGA, through the General Fund intends to apply the sum of ONE MILLION TWO HUNDRED FORTY SEVEN THOUSAND EIGHT PESOS (P1,247,008.00) ONLY being the</t>
  </si>
  <si>
    <t xml:space="preserve"> Brief Description: Construction of Slope Protection with Cross Drain (Box Culvert Type) a. Box Culvert Structure; excavation and removal of obstruction, reinforcing steel bar, structural concrete, B. Slope Protection at Box Culvert Structure; excavation, </t>
  </si>
  <si>
    <t xml:space="preserve"> Brief Description: Concreting of Road which involves project billboard/signage, temporary facility, safety &amp; health, mobilization and demobilization, barricades, subgrade preparation, aggregate subbase course (compacted volume), portland cement concrete p</t>
  </si>
  <si>
    <t xml:space="preserve"> INVITATION TO BID FOR Food Supplies  (Name of Project)    1.	The CITY GOVERNMENT OF ZAMBOANGA, through the General Fund intends to apply the sum of ONE MILLION NINETY TWO THOUSAND THREE HUNDRED SIXTY PESOS (P1,092,360.00) ONLY being the Approved Budget fo</t>
  </si>
  <si>
    <t xml:space="preserve"> Brief Description: Construction of Drainage System which involves removal of portion existing old non-functioning drainage system, portion of existing road pavement and entrance pavement, structure excavation, reinforcing steel bars, structural concrete, </t>
  </si>
  <si>
    <t xml:space="preserve"> Brief Description: Construction/Rehabilitation/Improvement of Electrification, Power and Energy Structures which involves Electrical Works, Construction of Power House; layout and excavation, reinforcing steel bar, structural concrete, masonry works, stee</t>
  </si>
  <si>
    <t xml:space="preserve"> Department of Education Region VI-Western Visayas Division of Cadiz City Mabini National High School INVITATION TO BID FOR THE PROCUREMENT OF WATER DISPENSERS  1.	Mabini National High School, Division of Cadiz City, through the Schools MOOE and HRTD Fund </t>
  </si>
  <si>
    <t xml:space="preserve"> 120 SACKS OF RICE 7 CASES SARDINES 10 CASES NOODLES HYGIENE KITS 10 BOXES VITAMIN C 2 BOXES AMOXICILIN 2 BOXES MEFENAMIC  2 BOXES COTRIMOXAZOLE 2 BOXES PARACETAMOL 10 BOTTLE AMOXICILIN 10 BOTTLE PARACETAMOL 10 BOTTLE COTRIMOXAZOLE 10 BOTTLE CARBOCISTINE</t>
  </si>
  <si>
    <t xml:space="preserve"> INVITATION TO BID FOR Electrical Supplies  (Name of Project)    1.	The CITY GOVERNMENT OF ZAMBOANGA, through the General Fund intends to apply the sum of TWO MILLION ONE HUNDRED THIRTY EIGHT THOUSAND NINE HUNDRED SIXTY NINE PESOS (P2,138,969.00) ONLY bein</t>
  </si>
  <si>
    <t xml:space="preserve"> INVITATION TO BID FOR  Procurement of Goods [Supply and Installation of Close Circuit Television Security] The   City Government of Tagbilaran,   through the Appropriation Ordinance No. 19-05 for FY 2020, intends to apply the sum of Nine Hundred Eighty Th</t>
  </si>
  <si>
    <t xml:space="preserve"> Republic of the Philippines  Province of Cebu Municipality of Boljoon INVITATION TO BID FOR the purchase of Tires and batteries 1.	The Municipality of Boljoon, through the Maintenance of Vehicle 2020  in the amount of Three hundred  Fourteen  thousand Fiv</t>
  </si>
  <si>
    <t xml:space="preserve"> Continuation of Barangay Hall rehab at P-2 Camote, Brgy. Maon, Butuan City.  Labor: By Admin</t>
  </si>
  <si>
    <t xml:space="preserve"> Brief Description: Concreting of Road which involves A. Slope Protection; excavation for slope protection, reinforcing steel bar, structural concrete, rubble concrete, B. Cross Drain; excavation for cross drain, embankment, reinforcing steel bars, structu</t>
  </si>
  <si>
    <t xml:space="preserve"> Brief Description: Construction of Multi-Purpose Hall/Center which involves safety &amp; health, temporary facility, project billboard/sinage, A. Covered Court; layout and excavation, embankment/backfilling works, reinforcing steel, formworks and scaffolding,</t>
  </si>
  <si>
    <t xml:space="preserve"> Republic of the Philippines Province of Agusan del Norte BIDS AND AWARDS COMMITTEE Capitol, Butuan City Invitation to Bid for Renovation/Improvement of Boys Scout of the Philippines Building  and Facilities, Butuan City The Provincial Government of Agusan</t>
  </si>
  <si>
    <t xml:space="preserve"> Brief Description: Construction of Slope Protection which involves temporary facility, safety &amp; health, project billboard/signage, excavation, reinforcing steel bar, structural concrete, rubble concrete and concrete piles (cast-in-place). Amount of Biddin</t>
  </si>
  <si>
    <t xml:space="preserve"> Date: June 02, 2020 IB NO.: G-096-20C Description: Supply/Delivery of Drugs and Medicines End User: PHO (PR# 0591-CB-20) &amp; PHO (PR# 0617-CB-20) ABC: Lot 1: P130,025.00 Lot 2: P1,175,160.00 Sub-Total: P1,305,185.00 Lot 1: P1,200,000.00 Grand Total: P2,505,</t>
  </si>
  <si>
    <t xml:space="preserve"> 20M00078- Construciton/Rehabilitation of Water Supply/Septage and Sewerage/Rain Water Collectors in Facilities; Koronadal City (5 Units), General Santos City (3 Units), Tacurong City (1 unit), Esperanza (1 Unit), Midsayap (1 Unit), Makilala (1 Unit), Mala</t>
  </si>
  <si>
    <t xml:space="preserve"> Barangay Government of Barangobong Invitation to Bid for Rehabilitation Sangguniang Kabataan Office    1. The Barangay Gover, through the Supplemental AIP 2020 intends to apply the sum of Php 139,050.00 being the Approved Budget for the Contract (ABC) to </t>
  </si>
  <si>
    <t xml:space="preserve"> ITEM OF WORK TO BE DONE 1. OCCUPATIONAL SAFETY AND HEALTH PROGRAM 2. STRUCTURE EXCAVATION 3. EMBANKMENT 4. STONE MASONRY 5. PROJECT BILLBOARDS/SIGNAGES</t>
  </si>
  <si>
    <t xml:space="preserve"> INVITATION TO BID FOR  Procurement of Goods [Rabies Vaccine and Others] The   City Government of Tagbilaran,   through the Appropriation Ordinance No. 19-05 for FY 2020, intends to apply the sum of Two Million Seven Hundred Eighty Five Thousand Two Hundre</t>
  </si>
  <si>
    <t xml:space="preserve"> Invitation to Bid For One (1) Lot Supply, Delivery and Installation of Systems Furniture for LANDBANK Malolos Highway Office Building 1.	The LAND BANK OF THE PHILIPPINES (LANDBANK), through its Corporate Budget for the contract approved by the Board of Di</t>
  </si>
  <si>
    <t xml:space="preserve"> Republic of the Philippines Province of Iloilo Municipality of Lemery Invitation to Bid 1.	The Barangay  Almenana,  Lemery, Iloilo, through  20% Development Fund 2017, 2018 &amp; 2019 intends to apply the sum of  Five Hundred  Twenty Six Thousand  Eight Pesos</t>
  </si>
  <si>
    <t xml:space="preserve"> LABOR &amp; MATERIALS</t>
  </si>
  <si>
    <t xml:space="preserve"> Spareparts and Oil Lubricants</t>
  </si>
  <si>
    <t xml:space="preserve"> LABOR &amp; MATERIALS COMPLETE CONSTRUCTION OF BUILDING INCLUDES MASONRY/PLASTERING WORKS, INSTALLATION OF DOORS &amp; WINDOWS, TILE WORKS, ELECTRICAL, SANITARY AND PLUMBING WORKS</t>
  </si>
  <si>
    <t xml:space="preserve"> Purchase of 130 pcs Orange Sweatshirt, long sleeve w/ DPWH Logo, 130 pcs Caps Orange, Embroidered w/ DPWH Logo, 150 pcs Rain Coat with Hood and DPWH Logo, w/ Reflective Lining, 150 pcs Reflectorized Vest Orange w/ Yellow Green Reflector, 120 pairs Work Gl</t>
  </si>
  <si>
    <t xml:space="preserve"> Invitation to Bid for the  UPGRADING OF LOCAL ACCESS ROAD AT P5 GENERAL AGUINALDO, RAMON, ISABELA 1.	The LGU-RAMON, ISABELA, through the Budget for the contract approved by the Sanggunian intends to apply the sum of Php5,000,000.00 being the Approved Budg</t>
  </si>
  <si>
    <t xml:space="preserve"> 900 PCS BATH SOAP 900 PCS BAR SOAP 900PCS REAGENTS 900 PCS FACE MASK 900 PCS SHAMPOO 900 PCS TOOTHPASTE 20 PACKS SANDO BAG 75 SACKS RICE MEALS AND SNACKS</t>
  </si>
  <si>
    <t xml:space="preserve"> Purchase of 1 unit Desktop Computer, 3 units Laptop, 13 units Cellphone w/ Geotag, 8 units Bluetooth Laser Measure (165 feet), 15 units Memory Card 64GB (Micro SD), 10 pcs USB-OTG 64 GB, 10 pcs Power Bank (30,000 mah), 5 units UPS, 1200VA, Power Surge, 8-</t>
  </si>
  <si>
    <t xml:space="preserve"> 20M00079- Construction/Improvement of Various Infrastructure in Support of National Security – Construction of SK Pendatun Municipal Police Station Building, Gen. Salipada SK Pendatun, Maguindanao</t>
  </si>
  <si>
    <t xml:space="preserve"> SCOPE OF WORK 1. COMMON EARTH EXCAVATION  2. GROUTED RIPRAP 3. CLASS A REINFORCED CONCRETE</t>
  </si>
  <si>
    <t xml:space="preserve"> The detailed Bill of Materials is attached to the Bid Form.</t>
  </si>
  <si>
    <t xml:space="preserve"> Construction Materials for the Rehabilitation/Improvement of Bairan Water System</t>
  </si>
  <si>
    <t xml:space="preserve"> ITB No. 2020-09-EFS June 03, 2020 Republic of the Philippines Province of Davao Oriental CITY OF MATI INVITATION TO BID DESIGN AND BUILD PROCUREMENT FOR THE REHABILITATION (RETROFITTING – CATEGORY 3) OF EXISTING SANITARY LANDFILL FACILITY AND WASTEWATER T</t>
  </si>
  <si>
    <t xml:space="preserve"> A) REQUEST FOR QUOTATION 1. 24 gals Red Oxide Primer 2. 6 gals Paint Thinner 3. 50 pails Roofpaint, Red 4. 12 pcs Paint Brush 4” 5. 5 pcs Paint Roller 7” 6. 10 pcs Paint Brush 3” 7. 10 kg Waste Cloth Note: Delivery Period: Fifteen (15) Calendar days B) US</t>
  </si>
  <si>
    <t xml:space="preserve"> INVITATION TO BID 1.	The Department of Public Works and Highways, Tarlac 1st District Engineering Office, Parsolingan, Gerona, Tarlac intends to apply the following sum to payments of the corresponding procurement listed hereunder. Bids received in excess</t>
  </si>
  <si>
    <t xml:space="preserve"> Republic of the Philippines Province of zamboanga Sibugay Municipality of Olutanga 7014 JUNE 2, 2020 NOTICE TO THE PUBLIC INVITIATION TO APPLY FOR ELIGIBILITY AND TO BID All interested bidders are invited to Pre-qualify and participate in sealed bidding f</t>
  </si>
  <si>
    <t xml:space="preserve"> Please refer to the attached RFQ and Technical Specifications.</t>
  </si>
  <si>
    <t xml:space="preserve"> FUND SOURCE: 20% PDF 2020 TYPES OF WORK TO BE DONE: Project billboard/ signboard/ occupational safety and health program/ roadway excavation (unclassified)/ reinforcing steel bars/ structural concrete/ grouted riprap (class A)/ concrete gutter (cast in pl</t>
  </si>
  <si>
    <t xml:space="preserve"> Earthworks, Sub-base Course, Surface Course, Drainage &amp; Slope Protection Structure, Miscellaneous</t>
  </si>
  <si>
    <t xml:space="preserve"> Annual Calibration and Preventive Maintenance of Medical Equipment C.Y. 2020</t>
  </si>
  <si>
    <t xml:space="preserve"> Invitation to Bid for  INFRA 2K20-43 RENOVATION AND IMPROVEMENT OF 2- STOREY PSWD BUILDING Capitol Compound, Pagadian City June 03, 2020 1.	The Provincial Government of Zamboanga del Sur, through the Capital Outlay CY 2020 / SB No.3 CY 2020 intends to app</t>
  </si>
  <si>
    <t xml:space="preserve"> 25 BOXES NOODLES 4 RIM CELLOPHANE CAR RENT MEALS AND SNACKS 500 PCS BATH SOAP 130 KGS NATIVE COFFEE 500 PCS BAR SOAP 500 PCS TOOTHPASTE</t>
  </si>
  <si>
    <t xml:space="preserve"> Benguet First District Engineering Office La Trinidad, Benguet June 1, 2020 INVITATION TO BID The Benguet First District Engineering Office, through its Bids and Awards Committee (BAC), invites contractors to submit bids for the following Contract: Contra</t>
  </si>
  <si>
    <t xml:space="preserve"> Electrical Works</t>
  </si>
  <si>
    <t xml:space="preserve"> FUND SOURCE: 20% PDF 2020 TYPES OF WORK TO BE DONE: Project billboard/ signboard/ occupational safety and health program/ structure excavation (common soil)/ reinforcing steel  of reinforced concrete structures/ structural concrete class A/ grouted riprap</t>
  </si>
  <si>
    <t xml:space="preserve"> Republic of the Philippines                                                                               																																																											 DEPARTMENT OF PUBLIC WORKS AND HIGHWAYS																																																		</t>
  </si>
  <si>
    <t xml:space="preserve"> Location : Legazpi City, Albay Scope of Work : Asphalt Overlay of 5.249 Lane Km. Road with Reflectorized Thermoplastic Pavement Markings including Reblocking of PCCP on Intermittent Section and Construction of 1,100.00 l.m. Line Canal</t>
  </si>
  <si>
    <t xml:space="preserve"> Contract ID:	20FH0094 Contract Name:	CONSTRUCTION/REHABILITATION OF WATER SUPPLY/SEPTAGE AND SEWERAGE/RAIN WATER COLLECTORS – RAIN WATER COLLECTORS IN PUBLIC FACILITIES AT 21 SITES, PROVINCE OF CATANDUANES a.	SALVACION ELEMENTARY SCHOOL, BARAS, CATANDUANE</t>
  </si>
  <si>
    <t xml:space="preserve"> Name of Project:  	PROCUREMENT OF TENT Location of the Project:  Nunungan, Lanao del  Norte BAC ACTIVITIES	SCHEDULE 1	Advertisement/Posting of IB	June 2, 2020 – June 9, 2020 2	Issuance of Bidding Documents	June 2 – June 22, 2020 8:00 A.M. – 4:00 P.M (base</t>
  </si>
  <si>
    <t xml:space="preserve"> Contract ID:	20FH0095 Contract Name:	REPAIR/REHABILITATION/RECONSTRUCTION OF SALVACION FLOOD CONTROL, SALVACION, VIGA, CATANDUANES Contract Location:	SALVACION, VIGA, CATANDUANES Scope of Work:	REPAIR/REHABILITATION/RECONSTRUCTION OF 39 L.M. FLOOD CONTROL</t>
  </si>
  <si>
    <t xml:space="preserve"> Republic of the Philippines Province of Eastern Samar City of Borongan -0- BIDS AND AWARDS COMMITTEE ------------------------------------------------------------------------------------------ Invitation to Bid for CONSTRUCTION OF DISASTER/EVACUATION CENTE</t>
  </si>
  <si>
    <t xml:space="preserve"> Invitation to Bid for  INFRA 2K20-42 CONST. OF CAPABILITY DEVELOPMENT CENTER FOR LAW ENFORCERS &amp; DISASTER RISK REDUCTION MANAGEMENT OFFICES (RENOV./IMPROV’T. OF FORMERLY ZAMBOANGA DEL SUR SPORTS ACADEMY FOR THE PROPOSED PDRRMO) PGC, Dao, Pagadian City, Za</t>
  </si>
  <si>
    <t xml:space="preserve"> Republic of the Philippines Province of Sultan Kudarat Municipality of Sen. Ninoy Aquino BIDS AND AWARDS COMMITTEE INVITATION TO BID FOR Acquisition of One (1) Unit 4x4 Brand New Rescue Vehicle 1. The Municipal Government of Senator Ninoy Aquino, through </t>
  </si>
  <si>
    <t xml:space="preserve"> The Municipal Government of Tagana-an, through the 20% Development Fund CY 2020, intends to apply the sum of P1,000,000.00, being the Approved Budget for the Contract (ABC) to payments under the contract for Construction of Seawall at Brgy.Cawilan, Tagana</t>
  </si>
  <si>
    <t xml:space="preserve"> various hardware materials - 402,760.00</t>
  </si>
  <si>
    <t xml:space="preserve"> 56.5 SACKS OF RICE 35 BOXES NOODLES 10 PACKS PLASTIC BAGS MEALS AND SNACKS HYGIENE KITS CAR RENTALS</t>
  </si>
  <si>
    <t xml:space="preserve"> Republic of the Philippines DEPARTMENT OF PUBLIC WORKS AND HIGHWAYS CAGAYAN 2ND DISTRICT ENGINEERING OFFICE Regional Office II Abulug, Cagayan June 1, 2020 INVITATION TO BID  The Cagayan 2nd District Engineering Office, Abulug, Cagayan, through its Bids a</t>
  </si>
  <si>
    <t xml:space="preserve"> Section I. Invitation to Bid Republic of the Philippines Province of Davao Oriental Municipality of Boston Bids and Awards Committee Invitation to Bid  for the  Procurement of One (1) Unit Six Wheelers Truck Vehicle (Reconditioned) 1.	The Municipality of </t>
  </si>
  <si>
    <t xml:space="preserve"> Republic of the Philippines Province of Agusan del Norte BIDS AND AWARDS COMMITTEE Capitol, Butuan City Invitation to Bid for Construction and Installation of Elevator, Provincial Health  Office, Brgy. Libertad, Butuan City (REBID) The Provincial Governme</t>
  </si>
  <si>
    <t xml:space="preserve"> FUND SOURCE: 20% PDF 2020 TYPES OF WORK TO BE DONE: Project billboard/ signboard/ occupational safety and health program/ removal of structures and obstruction/ roadway excavation (unsuitable)/ structure excavation (soft rock)/subgrade preparation/ aggreg</t>
  </si>
  <si>
    <t xml:space="preserve"> Republic of the Philippines          City of Dumaguete Bids and Awards Committee INVITATION TO BID FOR THE PURCHASE OF 2 UNITS FULLY RECONDITIONED PASSENGER TYPE MULTICAB AND OTHER ITEMS 	The City of Dumaguete thru its BIDS AND AWARDS COMMITTEE (BAC), inv</t>
  </si>
  <si>
    <t xml:space="preserve"> The Municipal Government of Tagana-an, through the utilization of Share from National Wealth Fund CY 2020, intends to apply the sum of P1,000,000.00, being the Approved Budget for the Contract (ABC) to payments under the contract for Construction of Drain</t>
  </si>
  <si>
    <t xml:space="preserve"> A 286.83 LN.M LOCAL ACCESS ROAD SITUATED AT STO. TOMAS - STA. LUCIA MAGARAO CAMARINES SUR</t>
  </si>
  <si>
    <t xml:space="preserve"> FUND SOURCE: 20% PDF 2020 TYPES OF WORK TO BE DONE: Project billboard/ signboard/ occupational safety and health program/ roadway excavation (surplus soft rock)/ structure excavation (solid rock)/ reinforcing steel bars, grade 40 (minor tools)/ structural</t>
  </si>
  <si>
    <t xml:space="preserve"> Invitation to Bid for  INFRA 2K20-44 REPAIR/IMPROVEMENT OF COMMON BUILDING AND FACILITIES (BUILDING B) FOR RTC AND ZDSMC WARD Prov’l. Gov’t. Complex, Dao, Pagadian City, Zamboanga del Sur June 02, 2020 1.	The Provincial Government of Zamboanga del Sur, th</t>
  </si>
  <si>
    <t xml:space="preserve"> INVITATION TO BID PROCUREMENT OF POSTNATAL KIT WITH BABY BOX FOR MOTHERS FOR THE USE OF GENDER &amp; DEVELOPMENT FOCAL POINT SYSTEM – CHO (SECOND BIDDING) 	 The City Government of Navotas, through its Bids and Awards Committee, will hold a Public Bidding for </t>
  </si>
  <si>
    <t xml:space="preserve"> ITEM NO.	DESCRIPTION	QUANTITY	UNIT 			 PART A	FACILITIES FOR THE ENGINEER	 	  A.1.1 (1)	Construction of Field Office including provision of furniture for the Engineer,40 sq.m.	40.00	sq.m.  	TOTAL OF PART A	 	  PART B	OTHER GENERAL REQUIREMENTS	 	  B.4 (8)</t>
  </si>
  <si>
    <t xml:space="preserve"> Republic of the Philippines          City of Dumaguete Bids and Awards Committee INVITATION TO BID FOR THE JOB ORDER: INSTALLATION AND SUPPLY OF BRAND NEW STANDBY GENERATOR SET 	The City of Dumaguete thru its BIDS AND AWARDS COMMITTEE (BAC), invites all i</t>
  </si>
  <si>
    <t xml:space="preserve"> The Municipal Government of Tagana-an, through the 20% Development Fund CY 2020, intends to apply the sum of P2,000,000.00, being the Approved Budget for the Contract (ABC) to payments under the contract for Rehabilitation of Seawall Phase II at Brgy.Fabi</t>
  </si>
  <si>
    <t xml:space="preserve"> The Municipal Government of Tagana-an, through the utilization of Share from National Wealth Fund CY 2019, intends to apply the sum of P1,000,000.00, being the Approved Budget for the Contract (ABC) to payments under the contract for Construction of Multi</t>
  </si>
  <si>
    <t xml:space="preserve"> The Municipal Government of Tagana-an, through the utilization of Share from National Wealth Fund CY 2019, intends to apply the sum of P1,500,000.00, being the Approved Budget for the Contract (ABC) to payments under the contract for Construction of Kitch</t>
  </si>
  <si>
    <t xml:space="preserve"> Supply and delivery of construction materials and Aggregates Sub-base Course</t>
  </si>
  <si>
    <t xml:space="preserve"> Republic of the Philippines          City of Dumaguete Bids and Awards Committee INVITATION TO BID FOR THE PURCHASE OF 2 UNITS BRAND NEW THREE-WHEELED MOTORCYCLE, PICK UP TYPE AND OTHER ITEMS 	The City of Dumaguete thru its BIDS AND AWARDS COMMITTEE (BAC)</t>
  </si>
  <si>
    <t xml:space="preserve"> I N V I T A T I O N   T O   B I D 2020 - 091 June 3, 2020 1.	The Provincial Government of Tarlac through the 20% DF '20 - Infrastructure Projects intends to apply the sum of Three Million Pesos Only (PhP 3,000,000.00) being the Approved Budget for the Con</t>
  </si>
  <si>
    <t xml:space="preserve"> Republic of the Philippines Province of Nueva Vizcaya BIDS AND AWARDS COMMITTEE (BAC-Goods) BAC OFFICE, Provincial Capitol, Bayombong, Nueva Vizcaya Tel. No. 078-392-2062 	 INVITATION TO BID FOR THE SUPPLY AND DELIVERY OF PLASTIC PRODUCTS  FOR THE  PROVIN</t>
  </si>
  <si>
    <t xml:space="preserve"> Other General Requirements, Civil, Mechanical, Electrical and Sanitary/Plumbing Works, Finishing and Other Civil Works</t>
  </si>
  <si>
    <t xml:space="preserve"> INVITATION TO BID FOR  Procurement of Goods [Security Services] (REBID) The   City Government of Tagbilaran,   through the Special Education Fund (SEF) for FY 2020, intends to apply the sum of Twelve Million Eight Hundred Fifty Two Thousand Six Hundred Se</t>
  </si>
  <si>
    <t xml:space="preserve"> a. Contract ID No:	20P00040     Contract Name:	Construction / Rehabilitation of Water Supply / Septage and Sewerage / Rain Water Collector Systems – Rain Water Collectors in Public Facilities - CAR     Approved Budget for the Contract:	Php 4,086,756.90   </t>
  </si>
  <si>
    <t xml:space="preserve"> PROPOSED INSTALLATION OF FIVE UNITS STREETLIGHTS AT BRGY. STA. VERONICA, SAN PABLO CITY</t>
  </si>
  <si>
    <t xml:space="preserve"> Republic of the Philippines Province of Nueva Vizcaya BIDS AND AWARDS COMMITTEE (BAC-Goods) BAC OFFICE, Provincial Capitol, Bayombong, Nueva Vizcaya Tel. No. 078-392-2062 	 INVITATION TO BID FOR THE SUPPLY AND DELIVERY OF AGRICULTURAL MACHINERY AND SUPPLI</t>
  </si>
  <si>
    <t xml:space="preserve"> I. Excavation for Structure II. Embankment III. Reinforcing Steel IV. Structural Concrete Class A V. Form Works VI. Cement Plaster Finish VII. Masonry Units VIII. Structural Steel IX. Pre-painted Metal Sheets X. Conduits, Boxes &amp; Fittings XI. Wires and Fi</t>
  </si>
  <si>
    <t xml:space="preserve"> Republic of the Philippines  Province of Cebu Municipality of Boljoon INVITATION TO BID FOR the purchase of IT equipment 1.	The Municipality of Boljoon, through the Annual Budget 2020-Accounting IT Equipment  in the amount of One hundred thousand  pesos (</t>
  </si>
  <si>
    <t xml:space="preserve"> Republic of the Philippines Province of Occidental Mindoro Mamburao, Occidental Mindoro BIDS AND AWARDS COMMITTEE INVITATION TO BID The Provincial Government of Occidental Mindoro through its Bids and Awards Committee (BAC) invites all interested contract</t>
  </si>
  <si>
    <t xml:space="preserve"> Republic of the Philippines Province of Palawan Municipality of Busuanga INVITATION TO BID FOR SUPPLY &amp; DELIVERY OF TWO(2) UNITS 6-WHEELER DUMP TRUCK (BRAND NEW) INTENDED FOR RESIDUAL CONTAINMENT AREA(RCA) IN RELATION TO COVID-19 1.	The Municipal Governme</t>
  </si>
  <si>
    <t xml:space="preserve"> INVITATION TO BID  PROCUREMENT OF CIVIL WORKS  OF VARIOUS FACILITIES  1.	The LOCAL WATER UTILITIES ADMINISTRATION has received a Loan from the Asian Development Bank toward the cost of the Water District Development Sector Project (WDDSP), and it intends </t>
  </si>
  <si>
    <t xml:space="preserve"> INVITATION TO BID PROCUREMENT OF DUMP TRUCKS FOR THE USE OF CITY ENVIRONMENT AND NATURAL RESOURCES OFFICE (SECOND BIDDING) 	 The City Government of Navotas, through its Bids and Awards Committee, will hold a Public Bidding for the PROCUREMENT OF DUMP TRUC</t>
  </si>
  <si>
    <t xml:space="preserve"> Republic of the Philippines Province of Nueva Vizcaya BIDS AND AWARDS COMMITTEE (BAC-Goods) BAC OFFICE, Provincial Capitol, Bayombong, Nueva Vizcaya Tel. No. 078-392-2062 	 2ND INVITATION TO BID FOR THE SUPPLY AND DELIVERY OF 1 UNIT MOTORCYCLE FOR THE  PR</t>
  </si>
  <si>
    <t xml:space="preserve"> INVITATION TO BID FOR  Procurement of Goods [Fuel and Lubricants] The   City Government of Tagbilaran,   through the Appropriation Ordinance No. 19-05 for FY 2020, intends to apply the sum of Two Million Pesos only (Php2,000,000.00)being the  Approved Bud</t>
  </si>
  <si>
    <t xml:space="preserve"> The Bids and Awards Committee								 Province of Iloilo								 								      In connection with your Invitation to Bid No. PEO-20-0639 B  scheduled on June 17, 2020, I/we proposed to furnish and deliver in conformity with the terms and conditions, and s</t>
  </si>
  <si>
    <t xml:space="preserve"> I. Stone Masonry II. Cement Facing</t>
  </si>
  <si>
    <t xml:space="preserve"> 1 Lot DRESSING ROOM TILE WORKS 1 Lot DOORS AND LOCKSETS 1 Lot CEILING WORKS 1 Lot INSTALLATION OF CEILING CORNICE 1 Lot PAINTING WORKS (CEILING/WALLING OF DRESSING ROOM) 1 Lot INSTALLATION OF MIRROR (DRESSING ROOM) 1 Lot INSTALLATION OF AIRCON (DRESSING R</t>
  </si>
  <si>
    <t xml:space="preserve"> The Bids and Awards Committee								 Province of Iloilo								 								      In connection with your Invitation to Bid No. PEO-20-0618 B  scheduled on June 17, 2020, I/we proposed to furnish and deliver in conformity with the terms and conditions, and s</t>
  </si>
  <si>
    <t xml:space="preserve"> FUND SOURCE: CAPITAL OUTLAY 2020 TYPES OF WORK TO BE DONE: Project billboard/ signboard/ occupational safety and health program/ mobilization and demobilization/ clearing and grubbing/ surplus common excavation/ structure excavation/ embankment from roadw</t>
  </si>
  <si>
    <t xml:space="preserve"> Other General Requirements, Earthworks, Plain and Reinforced Concrete, Finishing and Other Civil Works, Electrical, Mechanical</t>
  </si>
  <si>
    <t xml:space="preserve"> Republic of the Philippines Province of Oriental Mindoro  MUNICIPALITY OF NAUJAN BIDS AND AWARDS COMMITTEE INVITATION TO BID SUPPLY AND DELIVERY OF 1 UNIT BRAND NEW GARBAGE DUMP TRUCK TO BE USED IN ENVIRONMENTAL MANAGEMENT PROGRAM, NAUJAN, ORIENTAL MINDOR</t>
  </si>
  <si>
    <t xml:space="preserve"> Invitation to Bid for  INFRA 2K20-40 CONSTRUCTION OF 14 LN.M. HANGING BRIDGE June 02, 2020 1.	The Provincial Government of Zamboanga del Sur, through the Capital Outlay CY 2020 / SB No.3 CY 2020 intends to apply the sum of TWO MILLION THREE HUNDRED EIGHTY</t>
  </si>
  <si>
    <t xml:space="preserve"> INVITATION TO BID IB-2020-060 The Philippine Children’s Medical Center, through PCMC Corporate Fund for CY 2020 intends to apply the sum of Sixteen Million Seven Hundred Twenty-Three Thousand One Hundred One Pesos and 12/100 (Php 16,723,101.12) being the </t>
  </si>
  <si>
    <t xml:space="preserve"> REQUEST FOR EXPRESSION OF INTEREST FOR  SUBDIVISION SURVEY OF NEW LANDS (RA 3844) 1. The DEPARTMENT OF AGRARIAN REFORM, through the GOVERNMENT APPROPRIATIONS ACT 2020 intends to apply the sum of TWO MILLION ONE HUNDRED EIGTHY EIGHT THOUSAND PESOS (Php. 2,</t>
  </si>
  <si>
    <t xml:space="preserve"> The Bids and Awards Committee								 Province of Iloilo								 								      In connection with your Invitation to Bid No. PEO-20-0638-B  scheduled on June 17, 2020, I/we proposed to furnish and deliver in conformity with the terms and conditions, and s</t>
  </si>
  <si>
    <t xml:space="preserve"> Republic of the Philippines Province of Cotabato Municipality of Mlang BIDS AND AWARDS COMMITTEE INVITATION TO BID            The Municipal Government of M’LANG intends to apply the sum of  ONE MILLION PESOS ONLY (P1,000,000.00) being the Approved Budget </t>
  </si>
  <si>
    <t xml:space="preserve"> Description	Quantity A12 300Mbps Repeater Range Extender	7 pcs Uninterruptible power supply (UPS)	7 pcs Smart TV 32"	4 pcs Printer Scan legal paper, Refill Tank System, Wifi, Mobile-Print, ADF Print, Scan and Copy with Built-in Wireless Borderless Printin</t>
  </si>
  <si>
    <t xml:space="preserve"> General Requirements, Demolition Works, Earthworks, Structural Works, Architectural Works</t>
  </si>
  <si>
    <t xml:space="preserve"> Republic of the Philippines Province of Nueva Vizcaya BIDS AND AWARDS COMMITTEE (BAC-Goods) BAC OFFICE, Provincial Capitol, Bayombong, Nueva Vizcaya Tel. No. 078-392-2062 	 2ND INVITATION TO BID FOR THE SUPPLY AND DELIVERY OF AGRICULTURAL PRODUCTS  AND MA</t>
  </si>
  <si>
    <t xml:space="preserve"> The Bids and Awards Committee								 Province of Iloilo								 								      In connection with your Invitation to Bid No. PEO-20-0628-B  scheduled on June 17, 2020, I/we proposed to furnish and deliver in conformity with the terms and conditions, and s</t>
  </si>
  <si>
    <t xml:space="preserve"> I N V I T A T I O N   T O   B I D 2020 - 092 June 3, 2020 1.	The Provincial Government of Tarlac through the 20% DF - Infra Projects intends to apply the sum of Two Million Five Hundred Thousand Pesos Only (PhP 2,500,000.00) being the Approved Budget for </t>
  </si>
  <si>
    <t xml:space="preserve"> Other General Requirements, Earthworks, Plain and Reinforced Concrete Works, Formworks and Falseworks</t>
  </si>
  <si>
    <t xml:space="preserve"> REPUBLIC OF THE PHILIPPINES DEPARTMENT OF FINANCE BUREAU OF INTERNAL REVENUE National Office, Diliman, Quezon City             May 29, 2020 INVITATION TO BID 1.	The   Bureau   of   Internal     Revenue – National Office (BIR-NO), through the General Appro</t>
  </si>
  <si>
    <t xml:space="preserve"> Project: CONSTRUCTION OF SANITARY TOILET WITH HYGIENE FACILITIES FOR PUBLIC PLACES IN BRGY. AS-IS	Description: L=12.75m W=7.55m	 Location: Barangay As-is, Laurel, Batangas ABC:PHP1,272,903.95  Project: LOCAL ACCESS ROAD IN BRGY. BALAKILONG TO MOLINETE Des</t>
  </si>
  <si>
    <t xml:space="preserve"> Furnishing of Labor, Materials and Equipment for the Construction of 1-Classroom School Building with Toilet at Candungaw High School, Candungaw, San Isidro, Bohol ABC: P1,641,302.12 Cost of Bid Documents: P5,000.00 Advertisement Period: June 2 - June 24,</t>
  </si>
  <si>
    <t xml:space="preserve"> Republic of the Philippines Province of Quezon MUNICIPALITY OF PANUKULAN * * * Invitation to Bid for IMPROVEMENT OF CANAL AND DRAINAGE CROSSING 1.	The Local Government Unit of Panukulan, Quezon  through the  20%  MDF 2020 intends to apply the sum of One M</t>
  </si>
  <si>
    <t xml:space="preserve"> Republic of the Philippines Province of Quezon MUNICIPALITY OF PANUKULAN * * * Invitation to Bid for CONSTRUCTION OF MULTI-PURPOSE BUILDING (MPB) PHASE II 1.	The Local Government Unit of Panukulan, Quezon  through the  20%  MDF 2019 intends to apply the s</t>
  </si>
  <si>
    <t xml:space="preserve"> I. DEMOLITION AND EARTHWORKS II. CARPENTRY WORKS III. WELDING WORKS IV. CONCRETE WORKS V. MASONRY WORKS VI. PAINTING WORKS VII. ELECTRICAL WORKS VIII. PLUMBING WORKS IX. MISCELLANEOUS</t>
  </si>
  <si>
    <t xml:space="preserve"> BIDS AND AWARDS COMMITTEE INVITATION TO BID 	The City Government of Valenzuela, through its Bids and Award Committee (BAC), invites interested suppliers, to apply for eligibility and to bid for the hereunder listed project to wit:      Project Reference N</t>
  </si>
  <si>
    <t xml:space="preserve"> I N V I T A T I O N   T O   B I D 2020 - 093 June 3, 2020 1.	The Provincial Government of Tarlac through the 20% DF - Infra Projects intends to apply the sum of Two Million Two Hundred Fifty Thousand Pesos Only (PhP 2,250,000.00) being the Approved Budget</t>
  </si>
  <si>
    <t xml:space="preserve"> INVITATION TO BID The Guimaras District Engineering Office, through its Bids and Awards Committee (BAC), invites contractors to submit bids for the following Contract: Contract ID:	20GE0104 Contract Name: Construction (Completion) of Multi-Purpose Buildin</t>
  </si>
  <si>
    <t xml:space="preserve"> INVITATION TO BID The Guimaras District Engineering Office, through its Bids and Awards Committee (BAC), invites contractors to submit bids for the following Contract: Contract ID: 20GE0103 Contract Name: Construction of Road Slope Protection Structure – </t>
  </si>
  <si>
    <t xml:space="preserve"> Other General Requirements, Finishing and Other Civil Works</t>
  </si>
  <si>
    <t xml:space="preserve"> Invitation to Bid for the  CONCRETING OF FARM TO MARKET ROAD AT BARANGAY SITE, PUROK 2, COGON BACACA  Kiblawan, Davao del Sur 1.The Local Government Unit of Kiblawan, through the 20% Local Government Development Fund 2020[ In the case of National Governme</t>
  </si>
  <si>
    <t xml:space="preserve"> Adding Machine tape,Ballpen Black,binder 2 ring, calculator, carbon paper long,..etc(1lot)</t>
  </si>
  <si>
    <t xml:space="preserve"> LOCAL GOVERNMENT UNIT OF LALA			Project Reference Number:  Name of the Project: Purchase of Construction Materials for Renovation/Repair and Maintenance of Building at Municipal Agriculture Office (Phase I) Location of the Project: LGU-Lala, Lanao del Nor</t>
  </si>
  <si>
    <t xml:space="preserve"> Republic of the Philippines Department of the Interior and Local Government Bureau of Jail Management and Penology National Capital Region BJMP -NCRO,5th Floor, Seneca Bldg E Rodriguez, New Manila Quezon City INVITATION TO BID   PROCUREMENT OF  1 LOT VARI</t>
  </si>
  <si>
    <t xml:space="preserve"> Furnishing of Labor, Materials and Equipment for the Construction of 2-Classroom School Building with PWD Toilets at Hanopol National High School. Hanopol, Balilihan, Bohol ABC: P2,927,757.86 Cost of Bid Documents: P5,000.00 Advertisement Period: June 2 -</t>
  </si>
  <si>
    <t xml:space="preserve"> Furnishing of Labor, Materials and Equipment for the Construction of 2-Classrooms School Building with PWD Toilets at Caimbang Elementary School, Caimbang, San Isidro, Bohol ABC: P2,809,057.62 Cost of Bid Documents: P5,000.00 Advertisement Period: June 2 </t>
  </si>
  <si>
    <t xml:space="preserve"> CONSTRUCTION OF MULTI-PURPOSE HALL (PHASE II) SITIO DAPI, BARANGAY CAGBALETE I, MAUBAN, QUEZON. 1.	The Local Government Unit of Mauban  through the 20% DEVELOPMENT FUND-8751/1-07-10-030, 2020 intends to apply the sum of One Million Four Hundred Ninety Nin</t>
  </si>
  <si>
    <t xml:space="preserve"> INVITATION TO BID SUPPLY, DELIVERY AND TESTING OF ONE (1) LOT SHORT FIREARMS  (CALIBER .45) (CI) Bid Ref. No. 2020-06 1.	The Philippine Drug Enforcement Agency (PDEA), thru its Bids and Awards Committee (BAC), intends to apply the following sum being the </t>
  </si>
  <si>
    <t xml:space="preserve"> ice bag(medium), ice bag(large),plaster,leg splint, arm splint..etc(1lot)</t>
  </si>
  <si>
    <t xml:space="preserve"> B.9	Mobilization/Demobiliazation	lot	all	10,569.30 102(2)b	Individual Removal of Trees (small 300-500mmØ)	8.00	ea	25,640.00 103(1)a	Structure Excavation (Common Soil)	54.00	cu.m.	15,948.90 506	Stone Masonry	117.00	cu.m.	576,342.00 SPL 	Project Billboard	l</t>
  </si>
  <si>
    <t xml:space="preserve"> CONSTRUCTION OF BALANGAO PATHWAY, NATONIN FUND SOURCE; 20% pdf 2020 TYPES OF WORK TO BE DONE: Project billboard/ signboard/ occupational safety and health program/ site preparation/ forms and falseworks/ concrete pathway IMPROVEMENT OF STA. ISABEL PATHWAY</t>
  </si>
  <si>
    <t xml:space="preserve"> Air Freshner,alcohol, bleach,broom,cleanser powder..etc..(1lot)</t>
  </si>
  <si>
    <t xml:space="preserve"> INVITATION TO BID Bid No. B-74-2020 1.	The Provincial Government of Negros Oriental through Responsibility Center: 4411R-016(20) / Account Code: 50203080, intends to apply the sum of Three Million Six Hundred Seventy-Five Thousand Pesos (Php 3,675,000.00)</t>
  </si>
  <si>
    <t xml:space="preserve"> June 2, 2020 1.	The Provincial Government of Davao del Sur, through its Special Bids and Awards Committee (SBAC), invites all potential bidders/contractors to apply to bid for the following project. Bids submitted in excess of the ABC shall be automatical</t>
  </si>
  <si>
    <t xml:space="preserve"> Other General Requirements, Earthworks, Surface Courses, Bridge Construction, Drainage and Slope Protection Structures</t>
  </si>
  <si>
    <t xml:space="preserve"> Lot 1 UPGRADED GOAT (BUCK) - 2 HEADS Minimum of 12 months old Minimum bodyweight not less than 20gs upon delivery Must not possess any physical defects or undesirable  characteristics Masculine in appearance and apparently healthy Pre-delivery Requirement</t>
  </si>
  <si>
    <t xml:space="preserve"> Project Description Width= 3.00 mtr. Lenght= 4.00 mtr. Height= 2.40 mtr. and other scope of work</t>
  </si>
  <si>
    <t xml:space="preserve"> SUPPLY AND DELIVERY OF DRUGS AND MEDICINES FOR INDIGENT PATIENT OF MAUBAN. The Local Government Unit of Mauban through the GENERal FUND-4411/5-02-03-070, 2020 intends to apply the sum of Nine Hundred Ninety Nine Thousand Nine Hundred Seventy Pesos (Php 99</t>
  </si>
  <si>
    <t xml:space="preserve"> INVITATION TO BID Bid No. B-77-2020  1.	The Provincial Government of Negros Oriental through Responsibility Center: 8919-04(19), intends to apply the sum of Five Million Pesos (Php 5,000,000.00) to payment under the contract “Purchase of Two (2) units Bra</t>
  </si>
  <si>
    <t xml:space="preserve"> INVITATION TO BID Bid No. B-76-2020  1.	The Provincial Government of Negros Oriental through Responsibility Center: 8919-06(19), intends to apply the sum of Three Million Pesos (Php 3,000,000.00) to payment under the contract “Purchase of One (1) unit Bra</t>
  </si>
  <si>
    <t xml:space="preserve"> INVITATION TO BID Bid No. B-75-2020  1.	The Provincial Government of Negros Oriental through Responsibility Center: 8751-01(20) / Account Code: 50203090, intends to apply the sum of Four Million One Hundred Eighty-Five Thousand Nine Hundred Ninety-Nine Pe</t>
  </si>
  <si>
    <t xml:space="preserve"> Furnishing of Labor, Materials and Equipment for the Construction of 2-Classroom School Building with PWD Toilets at Danao Technological  School, Danao, Bohol ABC: P2,754,730.83 Cost of Bid Documents: P5,000.00 Advertisement Period: June 2 - June 24, 2020</t>
  </si>
  <si>
    <t xml:space="preserve"> Republic of the Philippines			 DEPARTMENT OF SCIENCE AND TECHNOLOGY			 Regional Office No. 13, Caraga			 CSU Campus, Ampayon, Butuan City			 Telephone #: (085) 342-5345, 341-9551, Fax #: 342-5684			 			 Supply, Delivery, and Installation of 1 unit Large F</t>
  </si>
  <si>
    <t xml:space="preserve"> Portland Cement, No. 16 Tie Wire, Sand (Approved Source), Gravel (Approved Source), No. 24 x 8' Plain G.I. Sheets, 2 1/2" Umbrella Nails, 4" C.W. Nails and others</t>
  </si>
  <si>
    <t xml:space="preserve"> UNIVERSITY OF THE PHILIPPINES MANILA The Health Sciences Center 8/F PGH Central Block Bldg,  Taft Avenue, Manila INVITATION TO BID PROPOSED RE-ROOFING OF E.R. BUILDING AND REPAINTING OF ROOFING OF LEFT REAR WING QUADRANT BUILDING PHILIPPINE GENERAL HOSPIT</t>
  </si>
  <si>
    <t xml:space="preserve"> Invitation to Bid for the REPAIR OF EXISTING CANALS OF MATANG-TUBIG CIS (REBID)  MONREAL, MASBATE 1.	The National Irrigation Administration Sorsogon-Masbate IMO, Sorsogon City, through the GAA/RREIS CY 2020 intends to apply the sum of P 1,500,485.48 being</t>
  </si>
  <si>
    <t xml:space="preserve"> 1.	Supply and Delivery of Various Chemicals for Mango ABC: Php2,870,630.00 Specifications: A.	Plant Growth Regulator: -	92 bottles Paclobutrazol, 1 liter/bottle B.	Insecticides: -	46 bottles Buprofezin, 1 liter/bottle -	184 bottles Deltamethrin, 1 liter/b</t>
  </si>
  <si>
    <t xml:space="preserve"> Republic of the Philippines Province of Davao Oriental City of Mati BIDS &amp; AWARDS COMMITTEE INVITATION TO BID Procurement BY LOT of DISTRIBUTION TRANSFORMER, ELECTRIC GENERATOR SET and AUTOMATIC TRANSFER SWITCH for the Use of the Provincial DRRM Council C</t>
  </si>
  <si>
    <t xml:space="preserve"> Republic of the Philippines MUNICIPALITY OF BUENAVISTA INVITATION TO BID FOR SUPPLY AND DELIVERY OF MATERIALS FOR INSTALLATION OF SOLAR STREET LIGHTING SYSTEM 1.	The Local Government Unit of Buenavista, Marinduque through the fund from the 20% Development</t>
  </si>
  <si>
    <t xml:space="preserve"> 1.	Supply and Delivery of Various Pesticides ABC: Php918,750.00 Specifications: A.	250 bottles Cypermethrine 2.5 EC 1li/bottle B.	250 bags Carbufuran 3G (16.7kg/bag) C.	250 boxes Pre-Emergence Herbicide, Wettable Powder (1kg/box) D.	250 bottles Early-Late</t>
  </si>
  <si>
    <t xml:space="preserve"> INVITATION TO BID SUPPLY, DELIVERY AND TESTING OF ONE (1) LOT HIGH POWERED FIREARMS (CALIBER 5.56) Bid Ref. No. 2020-07 1.	The Philippine Drug Enforcement Agency (PDEA), thru its Bids and Awards Committee (BAC), intends to apply the following sum being th</t>
  </si>
  <si>
    <t xml:space="preserve"> Lot 2 IMPROVED/FREE-RANGE/NATIVE CHICKEN (ROOSTER) - 200 HEADS Age: not less than 18 weeks Minimum bodyweight of 1-1.5kgs upon delivery Must not possess physical defects or undesirable characteristics Pre-delivery Requirement: (Inter-island shipment) Test</t>
  </si>
  <si>
    <t xml:space="preserve"> DPWH – La Union First District Engineering Office Lingsat, San Fernando City, La Union INVITATION TO BID The DPWH – La Union First District Engineering Office, through its Bids and Awards Committee (BAC), invites contractors to submit bids for the followi</t>
  </si>
  <si>
    <t xml:space="preserve"> INVITATION TO BID SUPPLY AND DELIVERY OF PROTECTIVE EQUIPMENT (MODULAR VEST) (CI) Bid Ref. No. 2020-08 1.	The Philippine Drug Enforcement Agency (PDEA), thru its Bids and Awards Committee (BAC), intends to apply the following sum being the Approved Budget</t>
  </si>
  <si>
    <t xml:space="preserve"> INVITATION TO BID FOR SUPPLY/ DELIVERY OF CONSTRUCTION MATERIALS for SAN RAMON – SAN FRANCISCO RIS (REBID)  BULAN, SORSOGON 1.	The National Irrigation Administration Sorsogon-Masbate IMO, Sorsogon City, through the GAA/RRENIS CY 2020 intends to apply the </t>
  </si>
  <si>
    <t xml:space="preserve"> PARTICULARS	DATE Pre-bid Conference @ BAC Conference Room, GSO, 1st floor, New Capitol Blg, Pigcarangan, Tubod,LDN.	June 11,  2020 @ 10:00 AM Deadline for Submission of Eligibility requirements and bidding documents for  bid opening (all bids must be plac</t>
  </si>
  <si>
    <t xml:space="preserve"> INVITATION TO BID FOR  Supply and Delivery of Agricultural and Forestry Equipment for Community Based Processing Facility Establishment  1.	The Department of Agriculture Regional Field Office No. 5, through the General Appropriation Act (GAA) for CY 2020-</t>
  </si>
  <si>
    <t xml:space="preserve"> Tent</t>
  </si>
  <si>
    <t xml:space="preserve"> Lot 3 Animal Feed Chick Grower Crumble (50kgs/bag) - 160 BAGS Delivered on site:  1. Puerto Princesa City, Palawan 2. Narra, Palawan 3. Roxas, Palawan Please see attached RFQ # 20-996-3 Submit your Sign and Sealed Quotation together with your UPDATED ELIG</t>
  </si>
  <si>
    <t xml:space="preserve"> Invitation to Bid for the CONSTRUCTION OF SLOPE PROTECTION WORKS OF UMAWAS-GAID CIS (REBID)  DIMASALANG, MASBATE 1.	The National Irrigation Administration Sorsogon-Masbate IMO, Sorsogon City, through the GAA/RREIS CY 2020 intends to apply the sum of P 1,5</t>
  </si>
  <si>
    <t xml:space="preserve"> 3 pc. Accession Book 176 pcs. Ballpen (black) Fine Point (0.5) 20 pcs. Ballpen (blue) Fine Point (0.5) 15 pcs. Ballpen (red) Fine Point (0.5) 63 ream Bond Paper Short (8.5 x 11)sub.20 87 ream Bond Paper long (8.5 x 13) sub.20 61 ream Bond Paper A4,sub.20 </t>
  </si>
  <si>
    <t xml:space="preserve"> Republic of the Philippines MUNICIPALITY OF BUENAVISTA INVITATION TO BID FOR SUPPLY AND DELIVERY OF MATERIALS FOR INSTALLATION OF SOLAR POWERED HOME LIGHTING SYSTEM 1.	The Local Government Unit of Buenavista, Marinduque through the fund from the 20% Devel</t>
  </si>
  <si>
    <t xml:space="preserve"> 1.	Supply and Delivery of Various ICT Equipment Total ABC: Php1,290,000.00 Line Item No. 1: Supply and Delivery of 33 units Network Printer ABC: Php990,000.00 A.	33 units Network Printer Specs: -	Processor: 1,200 MHz -	Memory: minimum 256 MB -	Display: 2-</t>
  </si>
  <si>
    <t xml:space="preserve"> I N V I T A T I O N   T O   B I D 2020 - 094 June 3, 2020 1.	The Provincial Government of Tarlac through the 20% DF - Infra Projects intends to apply the sum of Two Million Pesos Only (PhP 2,000,000.00) being the Approved Budget for the Contract (ABC) to </t>
  </si>
  <si>
    <t xml:space="preserve"> Republic of the Philippines  Office of the Municipal Mayor BIDS AND AWARDS COMMITTEE Sual, Pangasinan Invitation to Bid for PROCUREMENT OF ONE UNIT PICK-UP VEHICLE Sual, Pangasinan 1.	The Municipal Government of Sual, Pangasinan, through the Local Fund - </t>
  </si>
  <si>
    <t xml:space="preserve"> Republic of the Philippines Province of Cagayan Municipality of Baggao INVITATION TO BID FOR THE PROCUREMENT OF GOODS The LOCAL GOVERNMENT UNIT OF BAGGAO, CAGAYAN, through the 01-011-5-02-03-070 &amp; 01-011-5-02-03-080 intends to apply the sum of Eight Hundr</t>
  </si>
  <si>
    <t xml:space="preserve"> INVITATION TO BID The Municipal Government of La Trinidad through the Bids and Awards Committee (BAC) invites contractors to bid for the hereunder project: Contract Reference No.: POW - 8751 - 2020 - ALN - 01 Name of Project: Construction of Concrete Pave</t>
  </si>
  <si>
    <t xml:space="preserve"> CONSTRUCTION OF DISTRIBUTION TANK, INSTALLATION OF PIPES &amp; TRANSHIPMENT</t>
  </si>
  <si>
    <t xml:space="preserve"> INVITATION TO BID The Municipal Government of La Trinidad through the Bids and Awards Committee (BAC) invites contractors to bid for the hereunder project: Contract Reference No.: POW - 8751 - 2020 - AMB - 01 Name of Project: Construction of Flood Control</t>
  </si>
  <si>
    <t xml:space="preserve"> PEO-2020-0166 PR2020-0399 INVITATION TO BID FOR THE PROCUREMENT OF LABOR, MATERIALS, AND EQUIPMENT FOR THE CONSTRUCTION OF 1-CLASSROOM SCHOOL BUILDING WITH PWD TOILETS AT UPPER DELA PAZ PRIMA AT DELA PAZ, CORTES, BOHOL ABC: P 1,655,580.05 COST OF BID DOCU</t>
  </si>
  <si>
    <t xml:space="preserve"> Invitation to Bid for the REPAIR/REHABILITATION OF CANALS AND CONSTRUCTION OF SIPHON OF TUBING-GABI CIS (REBID), BALENO, MASBATE 1.	The National Irrigation Administration Sorsogon-Masbate IMO, Sorsogon City, through the GAA/RREIS CY 2020 intends to apply </t>
  </si>
  <si>
    <t xml:space="preserve"> I N V I T A T I O N   T O   B I D  The Visayas State University (VSU) through its Bids and Awards Committee (BAC) invites contractors to bid for the hereunder project: Name of Project 	:  Completion of Covered Court of VSU Alangalang (INFRA-20-04) Locatio</t>
  </si>
  <si>
    <t xml:space="preserve"> INVITATION TO BID SUPPLY, DELIVERY AND TESTING OF SURVEILLANCE EQUIPMENT (BODY CAMERAS) Bid Ref. No. 2020-09 1.	The Philippine Drug Enforcement Agency (PDEA), thru its Bids and Awards Committee (BAC), intends to apply the following sum being the Approved </t>
  </si>
  <si>
    <t xml:space="preserve"> Invitation to Bid for the REPAIR/REHABILITATION OF CANALS AND CANAL STRUCTURES OF SAGAWSAWAN CIS (REBID), MOBO, MASBATE 1.	The National Irrigation Administration Sorsogon-Masbate IMO, Sorsogon City, through the GAA/RREIS CY 2020 intends to apply the sum o</t>
  </si>
  <si>
    <t xml:space="preserve"> INVITATION TO BID The Municipal Government of La Trinidad through the Bids and Awards Committee (BAC) invites contractors to bid for the hereunder project: Contract Reference No.: POW - 8751 - 2020 - BLL - 05 Name of Project: Construction of Drainage Syst</t>
  </si>
  <si>
    <t xml:space="preserve"> INVITATION TO BID SUPPLY, DELIVERY AND TESTING OF ONE (1) LOT RAMAN SPECTROMETER Bid Ref. No. 2020-10 1.	The Philippine Drug Enforcement Agency (PDEA), thru its Bids and Awards Committee (BAC), intends to apply the following sum being the Approved Budget </t>
  </si>
  <si>
    <t xml:space="preserve"> INVITATION TO BID SUPPLY, DELIVERY AND TESTING OF ONE (1) LOT AMMUNITION Bid Ref. No. 2020-11 1.	The Philippine Drug Enforcement Agency (PDEA), thru its Bids and Awards Committee (BAC), intends to apply the following sum being the Approved Budget for the </t>
  </si>
  <si>
    <t xml:space="preserve"> INVITATION TO BID FOR  Supply and Delivery of Furniture and Fixtures for Community Based Processing Facility Establishment  1.	The Department of Agriculture Regional Field Office No. 5, through the General Appropriation Act (GAA) for CY 2020-HVCDP intends</t>
  </si>
  <si>
    <t xml:space="preserve"> Contract ID: 20PL0109 Contract Name: Package 1 - A.) Repair/Maintenance of DPWH Building, ADE's Building, Lower Kalinga DEO, Tabuk City, Kalinga, B.) Repair/Maintenance of DPWH Building, Rank and File Building, Lower Kalinga DEO, Tabuk City, Kalinga, C.) </t>
  </si>
  <si>
    <t xml:space="preserve"> (see attached bidding documents in the associated component for further details)</t>
  </si>
  <si>
    <t xml:space="preserve"> INVITATION TO BID The Municipal Government of La Trinidad through the Bids and Awards Committee (BAC) invites contractors to bid for the hereunder project: Contract Reference No.: POW - 8751 - 2020 - BLL - 06 Name of Project: Improvement of Bureau of Fire</t>
  </si>
  <si>
    <t xml:space="preserve"> Lot 1 500 reams Bondpaper,long 81/2 x 13 subs. 20 50 reams Bondpaper,short 81/2 x 11 subs. 20 35 pcks Specialty Paper (mix color), long 8 1/2 x 13 30 pcks. Photopaper (Glossy) A4 5 rolls Satin Ribbon (Royal Blue) #16 50mm 15 pcks Laminating Film,long 8 1/</t>
  </si>
  <si>
    <t xml:space="preserve"> INVITATION TO BID SUPPLY, DELIVERY AND INSTALLATION OF ONE (1) LOT AIRCONDITIONING UNITS Bid Ref. No. 2020-12 1.	The Philippine Drug Enforcement Agency (PDEA), thru its Bids and Awards Committee (BAC), intends to apply the following sum being the Approved</t>
  </si>
  <si>
    <t xml:space="preserve"> Contract ID: 20PL0110 Contract Name: Repair and Maintenance of Road Safety Facilities Contract Location: Bulanao-Paracelis Road, Tabuk City, Kalinga Brief Description: Construction of 388 m Concrete Barrier Approved Budget for the Contract (ABC): PhP 3,95</t>
  </si>
  <si>
    <t xml:space="preserve"> Republic of the Philippines  Office of the Municipal Mayor BIDS AND AWARDS COMMITTEE Sual, Pangasinan Invitation to Bid for PROCUREMENT OF ONE UNIT BUS Sual, Pangasinan 1.	The Municipal Government of Sual, Pangasinan, through the Local Fund - 2020 intends</t>
  </si>
  <si>
    <t xml:space="preserve"> INVITATION TO BID Procurement of Foodstuff of H.E. and N.T.S.B. for 2nd Semester 2020 1.	The DSWD Field Office IV-A (CALABARZON), through the Direct Release Fund 2020 intends to apply the sum of Fourteen Million Forty-Seven Thousand Three Hundred Twenty-F</t>
  </si>
  <si>
    <t xml:space="preserve"> Republic of the Philippines							 DEPARTMENT OF PUBLIC WORKS AND HIGHWAYS							 PANGASINAN IV							 DISTRICT ENGINEERING OFFICE							 REGIONAL OFFICE I							 Tuliao, Sta. Barbara, Pangasinan							 Name of Procuring Entity: PANGASINAN IV DISTRICT ENG</t>
  </si>
  <si>
    <t xml:space="preserve"> Republic of the Philippines Province of Leyte BRGY. POBLACION ZONE 1, CAPOOCAN, LEYTE Invitation to Bid for  Construction of Tanod Outpost 1.	The Brgy. Poblacion Zone , Capoocan, Leyte  through the 20% Development Fund of 2019 and 2020, intends to apply t</t>
  </si>
  <si>
    <t xml:space="preserve"> 8 rolls Haspi/Arlen Paper 20 gal. White glue(3.75L) 1 pcs. Gun Tucker (Heavy Duty) 2 cans Rugby (3.75L) 55 pcs. Chipboard/Binding Board 100 pcs. Binding Clip (1 inch) 3 pcs. Heavy Duty Cutter 2 pcs. Cuttng Mat (12"Wx18"L)</t>
  </si>
  <si>
    <t xml:space="preserve"> INVITATION TO BID  Supply and Delivery of Lot 1- 1-unit Light Cargo Truck, 6 wheelers &amp; Lot 2- 1-unit Light Cargo Truck 4 or 6 Wheelers for the Implementation 1.	The Department of Agriculture Regional Field Office No. 5, through the General Appropriation </t>
  </si>
  <si>
    <t xml:space="preserve"> Republic of the Philippines DEPARTMENT OF PUBLIC WORKS AND HIGHWAYS LA UNION SECOND DISTRICT ENGINEERING OFFICE REGIONAL OFFICE I Natividad, Naguilian, La Union INVITATION TO BID The Department of Public Works and Highways LA UNION SECOND DISTRICT ENGINEE</t>
  </si>
  <si>
    <t xml:space="preserve"> Republic of the Philippines NATIONAL FOOD AUTHORITY Eastern Visayas Regional Office Pawing, Palo, Leyte INVITATION TO BID    PROCUREMENT OF I.T. EQUIPMENT (BRAND NEW AND NOT CLONED)  FOR NFA EASTERN VISAYAS REGIONAL OFFICE (REGION VIII) Project Reference </t>
  </si>
  <si>
    <t xml:space="preserve"> Contract ID: 20PL0111 Contract Name: Concreting of Brgy. Lower Taloctoc FMR, Brgy. Lower Taloctoc, Tanudan, Kalinga Contract Location: Tanudan, Kalinga Brief Description: Construction of 900m x 5.0m x 0.20m thk PCCP Approved Budget for the Contract (ABC):</t>
  </si>
  <si>
    <t xml:space="preserve"> Contract ID: 20PL0108 Contract Name: Construction/Rehabilitation of Water Supply/Septage and Sewerage/Rain Water Collectors in Public Facilities Contract Location: Various School Sites/Barangay/Military Camp (Rizal, Tabuk City and Pinukpuk, Kalinga) Brief</t>
  </si>
  <si>
    <t xml:space="preserve"> 1500 pcs. RFID Card 13.56 MHG 7 box pannel Color Ribbon (YMCKKOK)</t>
  </si>
  <si>
    <t xml:space="preserve"> INVITATION TO BID SUPPLY AND DELIVERY OF PROTECTIVE EQUIPMENT (MODULAR VEST) (REGULAR GAA) Bid Ref. No. 2020-17 1.	The Philippine Drug Enforcement Agency (PDEA), thru its Bids and Awards Committee (BAC), intends to apply the following sum being the Approv</t>
  </si>
  <si>
    <t xml:space="preserve"> INVITATION TO BID SUPPLY AND DELIVERY OF ONE (1) LOT VARIOUS INKS Bid Ref. No. 2020-14 1.	The Philippine Drug Enforcement Agency (PDEA), thru its Bids and Awards Committee (BAC), intends to apply the following sum being the Approved Budget for the Contrac</t>
  </si>
  <si>
    <t xml:space="preserve"> INVITATION TO BID The Municipal Government of La Trinidad through the Bids and Awards Committee (BAC) invites contractors to bid for the hereunder project: Contract Reference No.: POW - 8751 - 2020 - BNG - 02 Name of Project: Completion of Multi-purpose B</t>
  </si>
  <si>
    <t xml:space="preserve"> LOT 1 SUBSCRIPTION OF PROFESSIONAL MAGAZINES AND JOURNALS Post Paid Subscription: COMPUTER AND OFFICE SYSTEM MANAGEMENT 2 isuue Philippine Information Technology Journal 7 isuue Office Pro 2 isuue Phil. Computing Journal HRST 12 isuue Asian Hotel and Cate</t>
  </si>
  <si>
    <t xml:space="preserve"> INVITATION TO BID FOR 20GM0007 – PROCUREMENT OF FUEL FOR THE USE OF DPWH CUTTER SUCTION DREDGE SDS 18- 1 (XD450) FOR THE DREDGING OF RIO GRANDE DE MINDANAO, BUCANA, BRGY. MOTHER KALANGANAN, COTABATO CITY 1. The Department of Public Works and Highways Regi</t>
  </si>
  <si>
    <t xml:space="preserve"> INVITATION TO BID The Municipal Government of La Trinidad through the Bids and Awards Committee (BAC) invites contractors to bid for the hereunder project: Contract Reference No.: POW - 8751 - 2020 - BNG - 01 Name of Project: Construction of FMR at Sitio </t>
  </si>
  <si>
    <t xml:space="preserve"> INVITATION TO BID The Municipal Government of La Trinidad through the Bids and Awards Committee (BAC) invites contractors to bid for the hereunder project: Contract Reference No.: POW - 8751 - 2020 - PBN - 04 Name of Project: Construction of Drainage Cana</t>
  </si>
  <si>
    <t xml:space="preserve"> INVITATION TO BID The Municipal Government of La Trinidad through the Bids and Awards Committee (BAC) invites contractors to bid for the hereunder project: Contract Reference No.: POW - 8751 - 2020 - BKL - 03 Name of Project: Completion of Linusod Multi-p</t>
  </si>
  <si>
    <t xml:space="preserve"> Improvement of Janiuay Public Market (Construction of Comfort Room Building), Janiuay Public Market, Janiuay, Iloilo Item No.	DESCRIPTION	Qty.	Unit I	Project Billboard	1	Lot II	Lay-Out, Staking and Enclosure	1	Lot III	Earthworks (Excavation &amp; Filling)	33.</t>
  </si>
  <si>
    <t xml:space="preserve"> INVITATION TO BID SUPPLY, DELIVERY AND TESTING OF ONE (1) LOT SHORT FIREARMS  (CALIBER .45) (REGULAR GAA) Bid Ref. No. 2020-16 1.	The Philippine Drug Enforcement Agency (PDEA), thru its Bids and Awards Committee (BAC), intends to apply the following sum b</t>
  </si>
  <si>
    <t xml:space="preserve"> INVITATION FOR NEGOTIATED PROCUREMENT BAC-NP NO. 2020-04 	The Research Institute for Tropical Medicine (RITM) through its Bids and Awards Committee (BAC) invites technically, legally and financially capable PHILGEPS-registered suppliers/manufacturers to a</t>
  </si>
  <si>
    <t xml:space="preserve"> INVITATION TO BID The Municipal Government of La Trinidad through the Bids and Awards Committee (BAC) invites contractors to bid for the hereunder project: Contract Reference No.: POW - 8751 - 2020 - BLL - 07 Name of Projec: Improvement of Compac at BSU B</t>
  </si>
  <si>
    <t xml:space="preserve"> INVITATION TO BID The Municipal Government of La Trinidad through the Bids and Awards Committee (BAC) invites contractors to bid for the hereunder project: Contract Reference No.: POW - 8751 - 2020 - PCO - 03 Name of Project: Improvement of Vehicular Brid</t>
  </si>
  <si>
    <t xml:space="preserve"> INVITATION TO BID The Municipal Government of La Trinidad through the Bids and Awards Committee (BAC) invites contractors to bid for the hereunder project: Contract Reference No.: POW - 8751 - 2020 - PBN - 05 Name of Project: Concreting of Lower Western B</t>
  </si>
  <si>
    <t xml:space="preserve"> INVITATION TO BID The Municipal Government of La Trinidad through the Bids and Awards Committee (BAC) invites contractors to bid for the hereunder project: Contract Reference No.: POW - 8751 - 2020 - CRZ - 01 Name of Project: Rehabilitation of Drainage Ca</t>
  </si>
  <si>
    <t xml:space="preserve"> I N V I T A T I O N   T O   B I D 2020 - 098 June 3, 2020 1.	The Provincial Government of Tarlac through the SEF-D. Construction/Improvement Kusina ng Kalinga (Centralized Kitchen) intends to apply the sum of One Million Eight Hundred Eighty-Nine Thousand</t>
  </si>
  <si>
    <t xml:space="preserve"> I N V I T A T I O N   T O   B I D 2020 - 099 June 3, 2020 1.	The Provincial Government of Tarlac through the SEF - D. Construction/Improvement Kusina ng Kalinga (Centralized Kitchen) intends to apply the sum of One Million Eight Hundred Seventy-Nine Thous</t>
  </si>
  <si>
    <t xml:space="preserve"> I N V I T A T I O N   T O   B I D 2020 - 095 June 3, 2020 1.	The Provincial Government of Tarlac through the 20% DF - Infra Projects intends to apply the sum of One Million Five Hundred Thousand Pesos Only (PhP 1,500,000.00) being the Approved Budget for </t>
  </si>
  <si>
    <t xml:space="preserve"> INVITATION TO BID FOR  Supply and Delivery of Various Agricultural Equipment 1.	The Department of Agriculture Regional Field Office No. 5, through the General Appropriation Act (GAA) for CY 2020-Corn Program intends to apply the sum of Twenty Million Eigh</t>
  </si>
  <si>
    <t xml:space="preserve"> I N V I T A T I O N   T O   B I D 2020 - 096 June 3, 2020 1.	The Provincial Government of Tarlac through the 20% DF - Infra Projects intends to apply the sum of One Million Five Hundred Thousand Pesos Only (PhP 1,500,000.00) being the Approved Budget for </t>
  </si>
  <si>
    <t xml:space="preserve"> I N V I T A T I O N   T O   B I D 2020 - 101 June 3, 2020 1.	The Provincial Government of Tarlac through the PGO - Other Land Improvements intends to apply the sum of One Million Two Hundred Ninety-Seven Thousand Thirty-Four Pesos and 97/100 (PhP 1,297,03</t>
  </si>
  <si>
    <t xml:space="preserve"> Main Document</t>
  </si>
  <si>
    <t xml:space="preserve"> LPG 11KGS., 10 TANKS. TO BE DELIVERED EVERY 20 DAYS.</t>
  </si>
  <si>
    <t xml:space="preserve"> Procurement of Consulting Services for the Consumer Insights Survey of Target Markets 1.	The Department of Tourism (DOT), through the General Appropriations Act 2020 intends to apply the sum of Twenty Million Philippine Pesos (PhP20,000,000.00) being the </t>
  </si>
  <si>
    <t xml:space="preserve"> Twelve (12) Security Guard Personnel: To secure, protect, and safeguard assets, properties, premises, and personnel of BFAR-NMC, Panabo City for the period July 1, 2020 to December 31, 2020. Terms and Conditions: I. That the Agency shall provide licensed </t>
  </si>
  <si>
    <t xml:space="preserve"> Contract ID:	20LG0117 Contract Name:			Repair/Maintenance of DENR Building PENRO Nursery House, Dahican, Mati, Davao Oriental Contract Location:	Mati, Davao Oriental Brief Description:	Repair/ Maintenance of Public Building Approved Budget for the Contrac</t>
  </si>
  <si>
    <t xml:space="preserve"> INVITATION TO BID The Municipal Government of La Trinidad through the Bids and Awards Committee (BAC) invites contractors to bid for the hereunder project: Contract Reference No.: POW - 8751 - 2020 - WNL - 04 Name of Project: Construction of Comfort Room </t>
  </si>
  <si>
    <t xml:space="preserve"> I N V I T A T I O N   T O   B I D 2020 - 097 June 3, 2020 1.	The Provincial Government of Tarlac through the SEF-D. Construction/Improvement Kusina ng Kalinga (Centralized Kitchen) intends to apply the sum of One Million Nine Hundred Sixty Thousand Four H</t>
  </si>
  <si>
    <t xml:space="preserve"> I N V I T A T I O N   T O   B I D 2020 - 100 June 3, 2020 1.	The Provincial Government of Tarlac through the PGO - Capital Outlay - Other Structures intends to apply the sum of Two Million Five Hundred Seventy-Two Thousand Two Hundred Ninety Pesos and 63/</t>
  </si>
  <si>
    <t xml:space="preserve"> Contract ID:	20LG0116 Contract Name:			Repair/Maintenance of DPWH Building BOE-Bilawan Building, Mati, Davao Oriental Contract Location:	Mati, Davao Oriental Brief Description:	Repair/ Maintenance of Public Building Approved Budget for the Contract (ABC):</t>
  </si>
  <si>
    <t xml:space="preserve"> Contract ID:	20LG0118 Contract Name:			Repair/Maintenance of DPWH Building Engineer's Quarter, Brgy. Matiao, Mati, Davao Oriental Contract Location:	Mati, Davao Oriental Brief Description:	Repair/ Maintenance of Public Building Approved Budget for the Con</t>
  </si>
  <si>
    <t xml:space="preserve"> Municipality of Looc Invitation to Bid for Construction of One Classroom in Brgy. Tabao-Ambil 1.	The Municipality of Looc, through the CCO intends to apply the sum of Php 1,150,000.00 being the Approved Budget for the Contract (ABC) to payments under the </t>
  </si>
  <si>
    <t xml:space="preserve"> Republic of the Philippines Province of Nueva Vizcaya BIDS AND AWARDS COMMITTEE (BAC-GOODS) BAC OFFICE, Provincial Capitol, Bayombong, Nueva Vizcaya Tel. No. (078) 392-2650 	 2ND INVITATION TO BID FOR THE SUPPLY AND DELIVERY OF ONE (1) UNIT PHARMACY BIOME</t>
  </si>
  <si>
    <t xml:space="preserve"> 0.17 month Construction Safety and Health Program 1 lot removal of structures and obstructions 9 cu.m. structural excavation 11.85 cu.m. concrete class A 247363 kgs reinforcing steel 1 ls formworks and falseworks 9.96 sq.m. doors and windows 58.32 sq.m. m</t>
  </si>
  <si>
    <t xml:space="preserve"> I N V I T A T I O N   T O   B I D 2020 - 102 June 3, 2020 1.	The Provincial Government of Tarlac through the 20% DF - Purchase of Garbage Compactor Truck for the transport of treated infectious wastes of TPH and 4 District Hospitals; PGO - Other Transport</t>
  </si>
  <si>
    <t xml:space="preserve"> 0.83 month Construction Safety and Health Program 24 sq.m. clearing and grubbing 580.85 cu.m. excavation 90 cu.m. backfill 2.40 sq.m. aggregate base course 97 cu.m. stone masonry 21.47 cu.m. concrete cl;ass a 811.49 kgs reinforcing steel 6 sets dugwell 6 </t>
  </si>
  <si>
    <t xml:space="preserve"> 0.30 month Construction Safety and Health Program 1 lot removal of structures and obstructions 32 cu.m. structural excavation 29.13 cu.m. concrete class A 4,139.43 kgs reinforcing steel 1 ls formworks and falseworks 14 sq.m. doors and windows 342.88 sq.m.</t>
  </si>
  <si>
    <t xml:space="preserve"> Republic of the Philippines MINDANAO STATE UNIVERSITY General Santos City INVITATION TO BID FOR THE PROCUREMENT OF MICROBIOLOGY ANALYTICAL LAB/DA-ACEF EQUIPMENT 1.	The Mindanao State University – General Santos City (MSU-GSC), through the Special Trust Fu</t>
  </si>
  <si>
    <t xml:space="preserve"> INVITATION TO BID The Department of Public Works and Highways, Iloilo 2nd District Engineering Office through its Bids and Awards Committee (BAC), invites contractors to submit bids for the following Contracts: Procurement ID/Contract ID No.:   20GG0175 C</t>
  </si>
  <si>
    <t xml:space="preserve"> Republic of the Philippines Province of Nueva Vizcaya BIDS AND AWARDS COMMITTEE (BAC-GOODS) BAC OFFICE, Provincial Capitol, Bayombong, Nueva Vizcaya Tel. No. (078) 392-2650 	 2ND INVITATION TO BID FOR THE SUPPLY AND DELIVERY OF ONE (1) UNIT CAUTERY MACHIN</t>
  </si>
  <si>
    <t xml:space="preserve"> Republic of the Philippines Region XII Province of Cotabato BIDS AND AWARDS COMMITTEE Amas, Kidapawan City INVITATION TO BID FOR Supply &amp; Delivery of Rubber Seedlings for distribution to farmers provincewide. (PB-20-077) 1.	The Provincial Government of Co</t>
  </si>
  <si>
    <t xml:space="preserve"> INVITATION TO BID FOR    Supply and Delivery of Tablet Pro for IQAO  (BulSU-BAC-G-2020-22) The BULACAN STATE UNIVERSITY (BulSU), through its Bids and Awards Committee (BAC) for Goods, Supplies, and Services, invites suppliers/manufacturers/distributors to</t>
  </si>
  <si>
    <t xml:space="preserve"> barangay cabatuhan purok5 would like to implement their farm to market road under GAD PLAN 2020 MATERIALS : 135 PORTLAND CEMENT 8 CU.M WASHED SAND 15 CU.M  CRUSHED GRAVEL G.I. 6PCS 2"X6"X10" MATWOOD 8 KGS 3" CWN 20PCS 12MM X 6 DSB MATERIALS 79,800.00 LABO</t>
  </si>
  <si>
    <t xml:space="preserve"> Republic of the Philippines Region XII Province of Cotabato BIDS AND AWARDS COMMITTEE Amas, Kidapawan City INVITATION TO BID FOR Supply &amp; Delivery of Cacao &amp; Coffee Seedlings for distribution to farmers provincewide. (PB-20-159) The Provincial Government </t>
  </si>
  <si>
    <t xml:space="preserve"> Republic of the Philippines Province of Nueva Vizcaya BIDS AND AWARDS COMMITTEE (BAC-Goods) BAC OFFICE, Provincial Capitol, Bayombong, Nueva Vizcaya Tel. No. 078-392-2062 	 INVITATION TO BID FOR THE SUPPLY AND DELIVERY OF 2 UNITS AIR-CONDITIONER (FLOOR MO</t>
  </si>
  <si>
    <t xml:space="preserve"> Republic of the Philippines Province of Nueva Vizcaya BIDS AND AWARDS COMMITTEE (BAC-Goods) BAC OFFICE, Provincial Capitol, Bayombong, Nueva Vizcaya Tel. No. 078-392-2062 	 INVITATION TO BID FOR THE SUPPLY AND DELIVERY OF VETERINARY MEDICAL SUPPLIES (VACU</t>
  </si>
  <si>
    <t xml:space="preserve"> Republic of the Philippines Region XII Province of Cotabato BIDS AND AWARDS COMMITTEE Amas, Kidapawan City INVITATION TO BID FOR Supply &amp; Delivery of Oil Palm Seedlings for distribution to farmers provincewide. (PB-20-160) 1.	The Provincial Government of </t>
  </si>
  <si>
    <t xml:space="preserve"> Republic of the Philippines Region XII Province of Cotabato BIDS AND AWARDS COMMITTEE Amas, Kidapawan City INVITATION TO BID FOR Supply of Diesel Fuel for various equipment/vehicle use to transport relief goods related to COVID-19 mitigation to different </t>
  </si>
  <si>
    <t xml:space="preserve"> Republic of the Philippines Region XII Province of Cotabato BIDS AND AWARDS COMMITTEE Amas, Kidapawan City INVITATION TO BID FOR Supply &amp; Delivery of Livestock (Large Ruminants) for distribution to qualified beneficiaries provincewide. (PB-20-277) 1.	The </t>
  </si>
  <si>
    <t xml:space="preserve"> Republic of the Philippines Region XII Province of Cotabato BIDS AND AWARDS COMMITTEE Amas, Kidapawan City INVITATION TO BID FOR Supply &amp; Delivery of Goats for distribution to qualified beneficiaries provincewide. (PB-20-276) 1.	The Provincial Government </t>
  </si>
  <si>
    <t xml:space="preserve"> Republic of the Philippines Province of Nueva Vizcaya Municipality of Bambang -oOo- INVITATION TO BID The Local Government Unit of Bambang, through the Barangay IRA and Barangay Development Assistance Fund, intends to apply the sum of NINE HUNDRED SIXTY T</t>
  </si>
  <si>
    <t xml:space="preserve"> Republic of the Philippines Province of Nueva Vizcaya Municipality of Bambang -oOo- INVITATION TO BID The Local Government Unit of Bambang, through the 20% Development Fund 2017-2020, intends to apply the sum of ONE MILLION THREE HUNDRED FIFTY THOUSAND PE</t>
  </si>
  <si>
    <t xml:space="preserve"> Contract ID: 20GPF0008 Contract Name: Supply and Delivery of Asphalt and Aggregates for Use of Maintenance Section of DPWH- Benguet 2nd DEO in Patching, Crack and Joint Sealing of Concrete Pavement along National Roads Contract Location: DPWH-BSDEO, Natub</t>
  </si>
  <si>
    <t xml:space="preserve"> Republic of the Philippines Province of Nueva Vizcaya BIDS AND AWARDS COMMITTEE (BAC-Goods) BAC OFFICE, Provincial Capitol, Bayombong, Nueva Vizcaya Tel. No. 078-392-2062 	 2ND INVITATION TO BID FOR THE 1,429 PAX MEALS &amp; SNACKS, ETC. FOR THE  SANGGUNIANG </t>
  </si>
  <si>
    <t xml:space="preserve"> Republic of the Philippines Province of Nueva Vizcaya BIDS AND AWARDS COMMITTEE (BAC-Goods) BAC OFFICE, Provincial Capitol, Bayombong, Nueva Vizcaya Tel. No. 078-392-2062 	 INVITATION TO BID FOR THE SUPPLY AND DELIVERY OF GROCERY ITEMS FOR STOCKPILE (SARD</t>
  </si>
  <si>
    <t xml:space="preserve"> Republic of the Philippines Region XII Province of Cotabato BIDS AND AWARDS COMMITTEE Amas, Kidapawan City INVITATION TO BID FOR Supply &amp; Delivery of Food Processing Equipment to be given to Coffee and Cacao qualified planters in the Province of Cotabato.</t>
  </si>
  <si>
    <t xml:space="preserve"> Republic of the Philippines Province of Nueva Vizcaya BIDS AND AWARDS COMMITTEE (BAC-Goods) BAC OFFICE, Provincial Capitol, Bayombong, Nueva Vizcaya Tel. No. 078-392-2062 	 INVITATION TO BID FOR THE SUPPLY AND DELIVERY OF 4 UNITS BIOMETRIC MACHINE FOR THE</t>
  </si>
  <si>
    <t xml:space="preserve"> INVITATION TO BID (for the Procurement of Goods)           1.	The City Government of Puerto Princesa (CGPP), through its General Appropriations Ordinance No. 1-2019 (General Fund FY 2020) intends to apply the sum, corresponds as the Approved Budget for th</t>
  </si>
  <si>
    <t xml:space="preserve"> The Bids and Awards Committee								 Province of Iloilo								 								      In connection with your Invitation to Bid No. PEO-20-0543 B  scheduled on June 26, 2020, I/we proposed to furnish and deliver in conformity with the terms and conditions, and s</t>
  </si>
  <si>
    <t xml:space="preserve"> The Bids and Awards Committee								 Province of Iloilo								 								      In connection with your Invitation to Bid No. PEO-20-0545 B scheduled on June 26, 2020, I/we proposed to furnish and deliver in conformity with the terms and conditions, and sp</t>
  </si>
  <si>
    <t xml:space="preserve"> SEE ATTACH FILE</t>
  </si>
  <si>
    <t xml:space="preserve"> 1. Ceiling mounted speaker 6W/100V COM Black 6w - Red 3w-White.................................................185 pcs. 2. horn speaker 30w/100v COM Black 15w - Green 30w................................................................31 pcs. 3. Amplifier </t>
  </si>
  <si>
    <t xml:space="preserve"> Republic of the Philippines DEPARTMENT OF AGRICULTURE Regional Field Office IX Zamboanga Peninsula 		 INVITATION TO BID  ITB NO. 05-0011-20 INSTALLATION OF SOLAR POWERED IRRIGATION SYSTEM 1.	 The Department of Agriculture, Region IX, through the General A</t>
  </si>
  <si>
    <t xml:space="preserve"> The Bids and Awards Committee								 Province of Iloilo								 								      In connection with your Invitation to Bid No. PEO-20-0501 B  scheduled on June 26, 2020, I/we proposed to furnish and deliver in conformity with the terms and conditions, and s</t>
  </si>
  <si>
    <t xml:space="preserve"> Republic of the Philippines DEPARTMENT OF AGRICULTURE Regional Field Office IX Zamboanga Peninsula 		 INVITATION TO BID  ITB NO. 05-0012-20 INSTALLATION OF SOLAR POWERED IRRIGATION SYSTEM 1.	 The Department of Agriculture, Region IX, through the General A</t>
  </si>
  <si>
    <t xml:space="preserve"> L-300 VAN			 2.2L 4-INLINE 16 VALVE DOHC INTERCOOLED TURBO CHARGE	---------------		   1 UNIT (VGT) DI-DIESEL (EURO 4 (4N14)			 POWER 99.25/3500RPM			 FUEL SYSTEM ELECTRONIC COMMON RAIL DIRECT INJECTION			 PERFORMANCE 5 SPEED MANUAL			 MAXGROSS VEHICLE WEI</t>
  </si>
  <si>
    <t xml:space="preserve"> Procurement of &amp; Installation of Canopy for sixteen (16) Service Vehicles (PR No. 20-02-059 dated 2/28/2020), EMD, DPWH, Region V, Legazpi City</t>
  </si>
  <si>
    <t xml:space="preserve"> INVITATION TO APPLY FOR ELIGIBILITY AND TO BID The local Government Unit of Taft, through is Bid and Awards Committee (BAC). Invites suppliers to apply for eligibility, to bid for the hereunder contract: Name of Contract: REDEVELOPMENT OF JUAN SULSE MEMOR</t>
  </si>
  <si>
    <t xml:space="preserve"> Republic of the Philippines Province of Cebu Municipality of Cordova BIDS AND AWARDS COMMITTEE (BAC) (032-236-6171) INVITATION TO BID  The Municipality of Cordova, through its Bids and Awards Committee (BAC) intends to apply  the sum of Two Million Pesos </t>
  </si>
  <si>
    <t xml:space="preserve"> Procurement of Nine (9) sets Materials Testing, Thirty three (33) pcs. Clerical Mesh Chair, Mobile Pedestal, etc. for use in the QAHD, Laboratory Office (PR No. 20-03-072 dated 3/9/2020), QAHD, DPWH, Region V, Legazpi City</t>
  </si>
  <si>
    <t xml:space="preserve"> The Bids and Awards Committee								 Province of Iloilo								 								      In connection with your Invitation to Bid No. PEO-20-0597-B scheduled on June 26, 2020, I/we proposed to furnish and deliver in conformity with the terms and conditions, and sp</t>
  </si>
  <si>
    <t xml:space="preserve"> INVITATION TO BID FOR THE Supply and Delivery of  Diorite (PR-2020-8751-0099) 1.	The City Government of Mandaue, through the Annual Budget of 2020 – General Fund – 875150213030 Approved by the Sanggunian intends to apply the sum of Two Million Sixty-One T</t>
  </si>
  <si>
    <t xml:space="preserve"> Republic of the Philippines Province of Cebu Municipality of Cordova BIDS AND AWARDS COMMITTEE (BAC) (032-236-6171) INVITATION TO BID  The Municipality of Cordova, through its Bids and Awards Committee (BAC) intends to apply  the sum of One Million Pesos </t>
  </si>
  <si>
    <t xml:space="preserve"> The Bids and Awards Committee								 Province of Iloilo								 								      In connection with your Invitation to Bid No. PEO-20-0547-B scheduled on June 26, 2020, I/we proposed to furnish and deliver in conformity with the terms and conditions, and sp</t>
  </si>
  <si>
    <t xml:space="preserve"> Republic of the Philippines City of Gapan Province of Nueva Ecija -------------------------------------------------------------------------- Invitation to Bid for the Construction of Farm to Market Road 1.	The City Government of Gapan, through the 20% Dev</t>
  </si>
  <si>
    <t xml:space="preserve"> Republic of the Philippines Province of Ilocos Sur Municipality of Cervantes Invitation to Bid for the Concreting of Davies Street 1.	The Municipal Government of Cervantes, through the 	RA 7171 intends to apply the sum of FOUR MILLION PESOS (Php4, 000,000</t>
  </si>
  <si>
    <t xml:space="preserve"> Republic of the Philippines Province of Batangas MUNICIPALITY OF LOBO Invitation to Bid for the SUPPLY OF MATERIALS, LABOR AND EQUIPMENT FOR THE INSTALLATION OF STREET LIGHTING SYSTEM (SOLAR) AT MARKET SITE, BARANGAY POBLACION, LOBO, BATANGAS Contract ID </t>
  </si>
  <si>
    <t xml:space="preserve"> Invitation to Bid for the Improvement of Maluko Public Market 1.	The Local Government Unit of Manolo Fortich, through the 20% Local Development Fund intends to apply the sum of THREE MILLION PESOS (PhP 3,000,000.00) being the Approved Budget for the Contr</t>
  </si>
  <si>
    <t xml:space="preserve"> Republic of the Philippines Province of Ilocos Sur Municipality of Cervantes Invitation to Bid for the Fencing of Municipal Tree Park at Cayus 1.	The Municipal Government of Cervantes, through the 20% Development Fund intends to apply the sum of ONE MILLI</t>
  </si>
  <si>
    <t xml:space="preserve"> Republic of the Philippines Province of Batangas MUNICIPALITY OF LOBO Invitation to Bid for the SUPPLY OF MATERIALS, LABOR AND EQUIPMENT FOR THE CONSTRUCTION OF ADDITIONAL STRUCTURES OF NEW PUBLIC MARKET SITE (SITE FOR STP AND PARKING AREA) AT BARANGAY PO</t>
  </si>
  <si>
    <t xml:space="preserve"> INVITATION TO BID FOR THE Procurement of 20 units of Laptop  1. The Department of Agriculture-Regional Field Office 7, through the GAA 2020 intends to apply the sum of Nine Hundred Ninety Thousand Pesos (₱ 990,000.00) being the Approved Budget for the Con</t>
  </si>
  <si>
    <t xml:space="preserve"> Republic of the Philippines Province of Quezon Municipality of Pagbilao BIDS AND AWARDS COMMITTEE Invitation to Bid for CONCRETING OF ROAD 1.	The Municipal Government of Pagbilao, through the 20% MDF Supplemental Budge No. 1- CY 2020 intends to apply the </t>
  </si>
  <si>
    <t xml:space="preserve"> Republic of the Philippines Province of Pangasinan Municipality of Bugallon OFFICE OF THE BIDS AND AWARDS COMMITTEE INVITATION TO BID The Municipality of Bugallon, Pangasinan, through its Bids and Awards Committee (BAC), invites contractors to bid for her</t>
  </si>
  <si>
    <t xml:space="preserve"> Republic of the Philippines Province of Batangas MUNICIPALITY OF LOBO Invitation to Bid for the SUPPLY OF MATERIALS, LABOR AND EQUIPMENT FOR LOBO PUBLIC MARKET SEWAGE TREATMENT PLANT AND FACILITY AT BARANGAY POBLACION, LOBO, BATANGAS Contract ID No. 20-MD</t>
  </si>
  <si>
    <t xml:space="preserve"> 600 reams Bond Paper, long, subs. 20														 350 reams Bond Paper, short, subs. 20														 30 reams Mimeo Paper, long, subs. 20														 20 box Gel Pen, black														 5 box Gel Pen, blue														 14 box Gel Pen Ink Refill, blac</t>
  </si>
  <si>
    <t xml:space="preserve"> Republic of the Philippines Province of Quezon Municipality of Pagbilao BIDS AND AWARDS COMMITTEE Invitation to Bid for CONSTRUCTION OF FLOOD CONTROL ( RIP-RAPPING ) 1.	The Municipal Government of Pagbilao, through the 20% MDF Supplemental Budge No. 1- CY</t>
  </si>
  <si>
    <t xml:space="preserve"> Republic of the Philippines Province of Quezon Municipality of Pagbilao BIDS AND AWARDS COMMITTEE Invitation to Bid for CONSTRUCTION OF PUBLIC / GOVERNMENT INFRASTRUCTURES ( CONSTRUCTION OF THIRD LAGOON) 1.	The Municipal Government of Pagbilao, through th</t>
  </si>
  <si>
    <t xml:space="preserve"> INVITATION TO BID FOR THE Procurement of 6 units of Branded Desktop Computer (with complete accessories) 1. The Department of Agriculture-Regional Field Office 7, through the GAA 2020 intends to apply the sum of Five Hundred Ten Thousand Pesos (₱ 510,000.</t>
  </si>
  <si>
    <t xml:space="preserve"> INVITATION TO BID FOR THE SUPPLY, DELIVERY, INSTALLATION AND COMMISSIONING OF ONE (1) UNIT FULLY AUTOMATED BLOOD CULTURE SYSTEM 1.	The Eversley Childs Sanitarium and General Hospital, through HFEP 2020 GAA, intends to apply the sum of Four Million Five Hu</t>
  </si>
  <si>
    <t xml:space="preserve"> Republic of the Philippines Province of Batangas MUNICIPALITY OF LOBO Invitation to Bid for the SUPPLY OF MATERIALS, LABOR AND EQUIPMENT FOR THE CONSTRUCTION OF LOBO PUBLIC MARKET FENCE AT BARANGAY POBLACION, LOBO, BATANGAS Contract ID No. 20-MDF-004 1.Th</t>
  </si>
  <si>
    <t xml:space="preserve"> Republic of the Philippines Province of Quezon Municipality of Pagbilao BIDS AND AWARDS COMMITTEE Invitation to Bid for REHABILITATION/IMPROVEMENT OF SOLAR LIGHTS 1.	The Municipal Government of Pagbilao, through the Supplemental Budget No. 1- CY 2020 inte</t>
  </si>
  <si>
    <t xml:space="preserve"> Republic of the Philippines Province of Quezon Municipality of Pagbilao BIDS AND AWARDS COMMITTEE Invitation to Bid for CONSTRUCTION OF ADDITIONAL CEMETERY VAULT 1.	The Municipal Government of Pagbilao, through the Supplemental Budget No. 1- CY 2020 inten</t>
  </si>
  <si>
    <t xml:space="preserve"> Republic of the Philippines Province of Quezon Municipality of Pagbilao BIDS AND AWARDS COMMITTEE Invitation to Bid for INSTALLATION OF TWENTY TWO (22) UNITS SOLAR LIGHTS 1.	The Municipal Government of Pagbilao, through the 20% MDF Supplemental Budge No. </t>
  </si>
  <si>
    <t xml:space="preserve"> PROCUREMENT OF OFFICE AND JANITORIAL SUPPLIES FOR THE 1ST AND 2ND QUARTERS OF CY 2020 1.	The OCCIDENTAL MINDORO STATE COLLEGE (OMSC), through the General Fund/Special Trust Fund intends to apply the sum of One Million Six Hundred Twenty-One Thousand Eight</t>
  </si>
  <si>
    <t xml:space="preserve"> INVITATION TO BID FOR THE Construction of Kabuntalan Municipal Fire Station PB-Infra 2020-06-002 1. The Bureau of Fire Protection-BARMM, through the Special Account Government Fund intends to apply the sum of Seven Million Three Hundred Twenty Thousand Ni</t>
  </si>
  <si>
    <t xml:space="preserve"> INVITATION TO BID FOR THE Construction of Maguing Municipal Fire Station PB-Infra 2020-06-001 1. The Bureau of Fire Protection-BARMM, through the Special Account Government Fund intends to apply the sum of Seven Million Three Hundred Twenty Thousand Nine </t>
  </si>
  <si>
    <t xml:space="preserve"> Republic of the Philippines Province of Quezon Municipality of Pagbilao BIDS AND AWARDS COMMITTEE Invitation to Bid for IMPROVEMENT OF WATER SYSTEM 1.	The Municipal Government of Pagbilao, through the Supplemental Budget No. 1  CY- 2020 intends to apply t</t>
  </si>
  <si>
    <t xml:space="preserve"> Republic of the Philippines Province of Quezon Municipality of Pagbilao BIDS AND AWARDS COMMITTEE Invitation to Bid for IMPROVEMENT OF MUNICIPAL COVERED COURT 1.	The Municipal Government of Pagbilao, through the Supplemental Budget No. 1  CY- 2020 intends</t>
  </si>
  <si>
    <t xml:space="preserve"> PB NO. 2020-025		 			 1.	1	lot	Proposed Concreting of Road at Brgy. San Joaquin, San Pablo City. 			By: Contract 			 	Deadline for Submission of Bids: June 23, 2020 10:00 am</t>
  </si>
  <si>
    <t xml:space="preserve"> Republic of the Philippines Province of Iloilo  Municipality of Pototan BIDS AND AWARDS COMMITTEE INVITATION TO BID 1.	The Municipality of Pototan, through the Gen Fund‘‘ intends to apply the sum of (4,000,000.00) being the Approved Budget for the Contrac</t>
  </si>
  <si>
    <t xml:space="preserve"> Republic of the Philippines Province of Quezon Municipality of Pagbilao BIDS AND AWARDS COMMITTEE Invitation to Bid for CONSTRUCTION OF WATER IMPOUNDING FACILITIES 1.	The Municipal Government of Pagbilao, through the 20 % MDF Supplemental Budget No. 1  CY</t>
  </si>
  <si>
    <t xml:space="preserve"> Prospective bidders should possess a valid PCAB license applicable to the contract, have completed a similar contract with a value of at least 50% of the ABC. The BAC will use non-discretionary pass/fail criteria in the eligibility check/screening as well</t>
  </si>
  <si>
    <t xml:space="preserve"> PB NO. 2020-026		 			 1.	1	lot	Proposed Construction of Fence at Cresencia Drusila Senior High School, Brgy. San Roque, San Pablo City. 			By: Contract 			 	Deadline for Submission of Bids: June 23, 2020 1:00 pm</t>
  </si>
  <si>
    <t xml:space="preserve"> INVITATION TO BID FOR THE SUPPLY, DELIVERY, INSTALLATION AND COMMISSIONING OF ONE (1) UNIT FULLY AUTOMATED SYSTEM FOR BACTERIAL IDENTIFICATION AND ANTIMICROBIAL SUSCEPTIBILITY TESTING 1.	The Eversley Childs Sanitarium and General Hospital, through HFEP 20</t>
  </si>
  <si>
    <t xml:space="preserve"> Republic of the Philippines Province of Quezon Municipality of Pagbilao BIDS AND AWARDS COMMITTEE Invitation to Bid for CONSTRUCTION OF WATER SYSTEM 1.	The Municipal Government of Pagbilao, through the Supplemental Budget No. 1  CY- 2020 intends to apply </t>
  </si>
  <si>
    <t xml:space="preserve"> I. PORTLAND CEMENT CONCRETE PAVEMENT                -     20.025   CU.M.</t>
  </si>
  <si>
    <t xml:space="preserve"> Bicol Regional Training &amp; Teaching Hospital Legazpi City INVITATION TO BID FOR  PROVISION OF SECURITY SERVICES (IB NO. 05-2020) 1.	The Bicol Regional Training and Teaching Hospital (BRTTH), through the  2020 Hospital Income intends to apply the sum of Fou</t>
  </si>
  <si>
    <t xml:space="preserve"> Republic of the Philippines Province of Quezon Municipality of Pagbilao BIDS AND AWARDS COMMITTEE Invitation to Bid for CONSTRUCTION OF COVERED LINE CANAL 1.	The Municipal Government of Pagbilao, through the Supplemental Budget No. 1  CY- 2020 intends to </t>
  </si>
  <si>
    <t xml:space="preserve"> INVITATION TO BID May 29, 2020 1. The DPWH–Biliran District Engineering Office, through its Bids and Awards Committee (BAC), invites contractors to submit bids for the following Contract: 1.	Procurement ID/Contract ID	:  20IA0089							 Contract Name    	</t>
  </si>
  <si>
    <t xml:space="preserve"> INVITATION TO BID The DPWH Bukidnon 1st District Engineering Office, Malaybalay City, through its Bids and Awards Committee (BAC), invites contractors to submit bids for the following Contracts:   			 8	Contract ID 	:	20KA0142 	Contract Name 	:	Constructi</t>
  </si>
  <si>
    <t xml:space="preserve"> (DOWNLOAD ATTACHMENT) Prospective bidders should have completed a similar contract with a value of at least 50% of the ABC. The BAC will use non-discretionary pass/fail criteria in the eligibility check/screening as well as the preliminary examination of </t>
  </si>
  <si>
    <t xml:space="preserve"> REPUBLIC OF THE PHILIPPINES DEPARTMENT OF PUBLIC WORKS AND HIGHWAYS CAMARINES SUR 3RD DISTRICT ENGINEERING OFFICE REGIONAL OFFICE V BARAS, CANAMAN INVITATION TO BID The DPWH – Camarines Sur 3rd District Engineering Office, through its Bids and Awards Comm</t>
  </si>
  <si>
    <t xml:space="preserve"> Supply and delivery of various materials for the Proposed Improvement of Brgy. Hall, Brgy. Imbang Pequeno, San Enrique, Iloilo. Approved Budget for the Contract: Php. 80,900.00 Source of Fund: 20% Development Fund</t>
  </si>
  <si>
    <t xml:space="preserve"> Republic of the Philippines PROVINCE OF SOUTHERN LEYTE Maasin City Invitation to Bid for the Procurement of Furniture &amp; Fixture  Contract ID # 2020-06-23-302PG 1.	The Provincial Government of Southern Leyte through the PASSO Furniture &amp; Fixture Expenses i</t>
  </si>
  <si>
    <t xml:space="preserve"> Republic of the Philippines PROVINCE OF SOUTHERN LEYTE Maasin City Invitation to Bid for the Procurement of Catering Services, Office Supplies and PPE    Contract ID # 2020-06-23-310PG 1.	The Provincial Government of Southern Leyte through the PAGSO Other</t>
  </si>
  <si>
    <t xml:space="preserve"> Republic of the Philippines PROVINCE OF SOUTHERN LEYTE Maasin City Invitation to Bid for the Procurement of Hauling Services  Contract ID # 2020-06-23-304PG 1.	The Provincial Government of Southern Leyte through the PGO Rent Expenses intend to apply for a</t>
  </si>
  <si>
    <t xml:space="preserve"> Republic of the Philippines DEPARTMENT OF PUBLIC WORKS AND HIGHWAYS BATANGAS III DISTRICT ENGINEERING OFFICE REGIONAL OFFICE IV-A J. Gonzales St., Barangay 4, Tanauan City INVITATION TO BID (CW-2020-031) The DPWH–Batangas III District Engineering Office, </t>
  </si>
  <si>
    <t xml:space="preserve"> Republic of the Philippines DEPARTMENT OF PUBLIC WORKS AND HIGHWAYS  MINDORO OCCIDENTAL DISTRICT ENGINEERING OFFICE Regional Office IV-B Mamburao, Occidental Mindoro NOTICE OF ELIGIBILITY May 21, 2020 MS. ROWENA SARREAL SANTOS TERMS CONCRETE TESTING # 19 </t>
  </si>
  <si>
    <t xml:space="preserve"> Department of Public Works and Highways Contract ID : 20MH0101 Contract Name : Application of Pavement Markings of National Roads along Isulan- Jct. Dukay-Bagumbayan-Sen. Ninoy Aquino-Kalamansig Road, K1824+270 - K1825+900, K1830+600 -K1831+650, K1837+000</t>
  </si>
  <si>
    <t xml:space="preserve"> Department of Public Works and Highways Contract ID : 20MH0102 Contract Name : Application of Pavement Markings of National Roads along Awang- Upi-Lebak-Kalamansig-Palimbang Road, K2007+000 - K2009+000, K2012+000 -K2013+500, K2028+800 -K2030+800, K2042+80</t>
  </si>
  <si>
    <t xml:space="preserve"> Republic of the Philippines PROVINCE OF SOUTHERN LEYTE Maasin City Invitation to Bid for the Procurement of Various Medical Supplies  Contract ID # 2020-06-23-311PG 1.	The Provincial Government of Southern Leyte through the PBCH Other Maintenance and Oper</t>
  </si>
  <si>
    <t xml:space="preserve"> Republic of the Philippines PROVINCE OF SOUTHERN LEYTE Maasin City Invitation to Bid for the Procurement of Various Veterinary Drugs and Biologics   Contract ID # 2020-06-23-319PG 1.	The Provincial Government of Southern Leyte through the PVET Other Suppl</t>
  </si>
  <si>
    <t xml:space="preserve"> Republic of the Philippines Office of the Municipal Mayor BIDS AND AWARDS COMMITTEE Sual, Pangasinan Invitation to Bid for PROCUREMENT OF TRAINING SUPPLIES AND EQUIPMENT (Sual, Pangasinan) 1.	The Municipal Government of Sual, Pangasinan, through the 2020 </t>
  </si>
  <si>
    <t xml:space="preserve"> Republic of the Philippines PROVINCE OF SOUTHERN LEYTE Maasin City Invitation to Bid for the Procurement of Poultry Nets and Nylon   Contract ID # 2020-06-23-318PG 1.	The Provincial Government of Southern Leyte through the PVET Other Supplies and Material</t>
  </si>
  <si>
    <t xml:space="preserve"> Republic of the Philippines PROVINCE OF SOUTHERN LEYTE Maasin City Invitation to Bid for the Procurement of Various IT Supplies  Contract ID # 2020-06-23-325PG 1.	The Provincial Government of Southern Leyte through the PEO ADMIN – Other Supplies and Mater</t>
  </si>
  <si>
    <t xml:space="preserve"> Republic of the Philippines PROVINCE OF SOUTHERN LEYTE Maasin City Invitation to Bid for the Procurement of Polybags  Contract ID # 2020-06-23-323PG 1.	The Provincial Government of Southern Leyte through the PAGSO– Agricultural and Marine Supplies Expense</t>
  </si>
  <si>
    <t xml:space="preserve"> Republic of the Philippines PROVINCE OF SOUTHERN LEYTE Maasin City Invitation to Bid for the Procurement of Artificial Insemination Materials and Supplies   Contract ID # 2020-06-23-316PG 1.	The Provincial Government of Southern Leyte through the PVET Oth</t>
  </si>
  <si>
    <t xml:space="preserve"> INVITATION TO BID FOR PROCUREMENT OF DPWH SECURITY SERVICES OF TWENTY FOUR (24) SECURITY PERSONNEL FOR DEPLOYMENT AT DPWH REGIONAL OFFICE IX (15 SECURITY GUARDS), ISABELA CITY DEO (3 SECURITY GUARDS), ZAMBOANGA DEL SUR 1ST DEO (3 SECURITY GUARDS) AND ZAMB</t>
  </si>
  <si>
    <t xml:space="preserve"> Republic of the Philippines PROVINCE OF SOUTHERN LEYTE Maasin City Invitation to Bid for the Procurement of Tires  Contract ID # 2020-06-23-154PG 1.	The Provincial Government of Southern Leyte through the ADH– Repair and Maintenance- Transportation Equipm</t>
  </si>
  <si>
    <t xml:space="preserve"> Republic of the Philippines Office of the Municipal Mayor BIDS AND AWARDS COMMITTEE Sual, Pangasinan Invitation to Bid for PROCUREMENT OF SMART TV &amp; DESKTOP (Sual National High School) 1.	The Municipal Government of Sual, Pangasinan, through the Special E</t>
  </si>
  <si>
    <t xml:space="preserve"> Republic of the Philippines PROVINCE OF SOUTHERN LEYTE Maasin City Invitation to Bid for the Procurement of Various Housekeeping, UPS and Visitor’s Chairs    Contract ID # 2020-06-23-315PG 1.	The Provincial Government of Southern Leyte through the PTO Oth</t>
  </si>
  <si>
    <t xml:space="preserve"> Republic of the Philippines PROVINCE OF SOUTHERN LEYTE Maasin City Invitation to Bid for the Procurement of Tubeless Tire  Contract ID # 2020-06-23-321PG 1.	The Provincial Government of Southern Leyte through the HCH– Repair and Maintenance- Transportatio</t>
  </si>
  <si>
    <t xml:space="preserve"> Republic of the Philippines PROVINCE OF SOUTHERN LEYTE Maasin City Invitation to Bid for the Procurement of Other Supplies and Materials   Contract ID # 2020-06-23-317PG 1.	The Provincial Government of Southern Leyte through the PVET Other Supplies and Ma</t>
  </si>
  <si>
    <t xml:space="preserve"> Republic of the Philippines Department of Science and Technology PHILIPPINE SCIENCE HIGH SCHOOL – ZAMBOANGA PENINSULA REGION CAMPUS Cogon, Dipolog City       INVITATION TO BID FOR THE PROCUREMENT OF ICT EQUIPMENT APPROVED BUDGET FOR THE CONTRACT: ₱ 4,000,</t>
  </si>
  <si>
    <t xml:space="preserve"> Republic of the Philippines PROVINCE OF SOUTHERN LEYTE Maasin City Invitation to Bid for the Procurement of Various Vegetable Seeds  Contract ID # 2020-06-23-322PG 1.	The Provincial Government of Southern Leyte through the PAGSO– Agricultural and Marine S</t>
  </si>
  <si>
    <t xml:space="preserve"> Republic of the Philippines PROVINCE OF SOUTHERN LEYTE Maasin City Invitation to Bid for the Procurement of Various Laboratory Reagent Supplies  Contract ID # 2020-06-23-320PG 1.	The Provincial Government of Southern Leyte through the SDH Medical, Dental </t>
  </si>
  <si>
    <t xml:space="preserve"> Republic of the Philippines PROVINCE OF SOUTHERN LEYTE Maasin City Invitation to Bid for the Procurement of Various Medical Equipment   Contract ID # 2020-06-23-312PG 1.	The Provincial Government of Southern Leyte through the PDH Other Maintenance and Ope</t>
  </si>
  <si>
    <t xml:space="preserve"> CONSTRUCTION OF 90 LN.M. SLOPE PROTECTION ALONG RIVER BANKS</t>
  </si>
  <si>
    <t xml:space="preserve"> Republic of the Philippines Department of Science and Technology PHILIPPINE SCIENCE HIGH SCHOOL – ZAMBOANGA PENINSULA REGION CAMPUS Cogon, Dipolog City INVITATION TO BID FOR THE PROCUREMENT OF TECHNICAL AND SCIENTIFIC EQUIPMENT (Supply, Delivery and Insta</t>
  </si>
  <si>
    <t xml:space="preserve"> PROJECT NAME: Improvement along JFMR LLPB – Lanas – Pusong Road PROJECT LOCATION:  Loo, Buguias, Benguet DURATION:  42 CD (Including mobilization and Curing) PROJECT Cost:  PHP 200,000.00 SOURCE OF FUND: 20% MDF CY 2020 ITEM NO.	DESCRIPTION							 QTY  	 </t>
  </si>
  <si>
    <t xml:space="preserve"> IMPROVEMENT OF DAY CARE CENTER Barangay Lower Dimorok Molave, Zamboanga del Sur 1.32 cu.m. - Construction of Roof Beam 496.71 kgs - Steel Trusses 58.94 sq.m. - Installation of Roof 9.00 units - Installation of 8 units Jalousie Windows and 1 unit Door 43.5</t>
  </si>
  <si>
    <t xml:space="preserve"> VEHICLE (Ambulance)		 Engine Specification:		  model 1GD-FTV- 2.8 Diesel M/T		 Engine tech 4 cylinders, in line type		 Type 16 valve DOHC		 Displacement 2,755 cc		 Maximum output 176/3400		 Maximum tourque 420/1400-2600		 Bore and stroke 92.0 x 103.6		 Co</t>
  </si>
  <si>
    <t xml:space="preserve"> CONSTRUCTION OF 140 LN.M. FLOOD CONTROL</t>
  </si>
  <si>
    <t xml:space="preserve"> PROJECT NAME: Fencing of Bangao National High School PROJECT LOCATION:  Bangao, Buguias, Benguet DURATION:  45 CD (Including mobilization and Curing) PROJECT Cost:  PHP 500,000.00 SOURCE OF FUND: SEF CY 2020 ITEM NO.	DESCRIPTION							 QTY  	   	UNIT 102	</t>
  </si>
  <si>
    <t xml:space="preserve"> REHABILITATION OF BARANGAY ROAD Brgy. Lower Dimorok Molave, Zamboanga del Sur Graveling and Reshaping of Road 404.00 cu.m - Hauling of Material and Reshaping</t>
  </si>
  <si>
    <t xml:space="preserve"> CONSTRUCTION OF 4X120X0.15 ACCESS ROAD</t>
  </si>
  <si>
    <t xml:space="preserve"> Earthworks	39.30	cu.m. Reinforcing Steel Bar	5,844.85	kgs. Structural Concrete	48.00	cu.m. Metal/Steel Works	1.00	lot Masonry Works w/ Plaster	205.80	sq.m. Doors &amp; Windows	18.84	sq.m. Ceiling (Interior 2nd Floor)	98.00	sq.m. Electrical Works	1.00	lot Plum</t>
  </si>
  <si>
    <t xml:space="preserve"> CONSTRUCTION OF 3X155 LN.M. ROAD</t>
  </si>
  <si>
    <t xml:space="preserve"> QTY     UNIT       SIZE              DESCRIPTION 20       ROLLS     75MM X 60     SDR 13.5 22       ROLLS     63MM X 60     SDR 13.5 25       ROLLS     50MM X 60     SDR 13.5</t>
  </si>
  <si>
    <t xml:space="preserve"> Section I. Invitation to Bid INVITATION TO BID  DA8-Goods-2020-38 (PR No.QRF URSULA 20-05-08-0006) 1.	The Department of Agriculture-Regional Field Office No. 8, through the QRF URSULA ASA 2020 intends to apply the sum of Four Million Six Hundred Twenty Th</t>
  </si>
  <si>
    <t xml:space="preserve"> Section I. Invitation to Bid INVITATION TO BID  DA8-Goods-2020-39 (PR No. RICE 20-04-16-0660) 1.	The Department of Agriculture-Regional Field Office No. 8, through the RICE 2020-C.O intends to apply the sum of One Million One Hundred Thousand Pesos Only (</t>
  </si>
  <si>
    <t xml:space="preserve"> INVITATION TO BID The Provincial Government of Bulacan (PGB), through its Bids and Awards Committee (BAC), invites contractors to apply for eligibility and to bid for hereunder projects: NO.	PROJECT TITLE	ABC	CONTRACT DURATION	SOURCE OF FUND GOODS-061820-</t>
  </si>
  <si>
    <t xml:space="preserve"> Section I. Invitation to Bid INVITATION TO BID  DA8-Goods-2020-36 (PR No. CORN 20-05-20-0161) 1.	The Department of Agriculture-Regional Field Office No. 8, through the CORN 2020 intends to apply the sum of Three Million Eight Hundred Ninety-Five Thousand </t>
  </si>
  <si>
    <t xml:space="preserve"> Republic of the Philippines DEPARTMENT OF PUBLIC WORKS AND HIGHWAYS BATANGAS III DISTRICT ENGINEERING OFFICE REGIONAL OFFICE IV-A J. Gonzales St., Barangay 4, Tanauan City RE-INVITATION TO BID (CW-2020-032) The DPWH–Batangas III District Engineering Offic</t>
  </si>
  <si>
    <t xml:space="preserve"> Section I. Invitation to Bid INVITATION TO BID  DA8-Goods-2020-37 (PR No. CORN 20-02-14-0126) 1.	The Department of Agriculture-Regional Field Office No. 8, through the CORN 2020 intends to apply the sum of Six Million Four Hundred Sixty-Two Thousand Five </t>
  </si>
  <si>
    <t xml:space="preserve"> Department of Public Works and Highways (DPWH) Contract ID: 20G00097 Contract Name: Construction of Revetment Wall along Cangaranan River at Cangaranan Bridge (Abutment A), Bugasong, Antique Location of the Contract: Bugasong, Antique --------------------</t>
  </si>
  <si>
    <t xml:space="preserve"> Please see attached documents.</t>
  </si>
  <si>
    <t xml:space="preserve"> Republic of the Philippines Province of Surigao del Sur Municipality of Tago ----oo0oo---- Invitation to Bid Supply and Delivery of Floor Mounted Air conditioner (Including Installation) Project ID No. TAG-SDS-052-2020 The Local Government Unit of Tago, S</t>
  </si>
  <si>
    <t xml:space="preserve"> Republic of the Philippines Province of Eastern Samar City of Borongan -0- BIDS AND AWARDS COMMITTEE ------------------------------------------------------------------------------------------ Invitation to Bid for ROAD OPENING (SAN GREGORIO – BANUYO PHASE</t>
  </si>
  <si>
    <t xml:space="preserve"> Republic of the Philippines Province of Quezon Municipality of Pagbilao COMMITTEE ON BIDS AND AWARDS INVITATION TO BID FOR SUPPLY AND DELIVERY OF MEALS &amp; SNACKS  1.	The Local Government Unit of Pagbilao, through the Approved Budget by the Sanggunian – GOP</t>
  </si>
  <si>
    <t xml:space="preserve"> Republic of the Philippines  Province of Quezon Municipality of Polillo BARANGAY POBLACION INVITATION TO BID FOR: CONSTRUCTION OF BARANGAY STAGE – POBLACION BARANGAY POBLACION, POLILLO, QUEZON 1.	The Barangay Poblacion, through the Approved Budget (Annual</t>
  </si>
  <si>
    <t xml:space="preserve"> Republic of the Philippines PROVINCE OF ZAMBOANGA SIBUGAY Municipality of Mabuhay OFFICE OF THE BAC CHAIRMAN                         INVITATION TO BID FOR THE COMPLETION OF SERGIO OSMEÑA ST. (GOING MABUHAY CENTRAL ELEMENTARY SCHOOL) Identification No. LGU</t>
  </si>
  <si>
    <t xml:space="preserve"> INVITATION TO BID FOR THE  CONSTRUCTION OF PROPOSED HALFWAY HOUSE FOR FORMER REBEL &amp; MILITIA NG BAYAN (BGY. IRAWAN, PUERTO PRINCESA CITY) 1.	The Provincial Government of Palawan, through its Trust Fund (Fund Code B2 TF-Due to Ngas-DILG-Halfway House) acco</t>
  </si>
  <si>
    <t xml:space="preserve"> PR No. 2020-02-001 Procurement of Security Services for Day and Night Shift of DPWH-Ifugao Second District Engineering Office Main Office,Potia Sub-Office &amp; Banaue Satellite Office/Resthouse for 9 months</t>
  </si>
  <si>
    <t xml:space="preserve"> Republic of the Philippines PROVINCE OF BILIRAN Municipality of Naval – 6560 Project Reference Number: ITB No. 20-25           INVITATION TO BID FOR THE SUPPLY AND DELIVERY OF ONE (1) UNIT AMBULANCE 	1.	The Provincial Government of Biliran under General F</t>
  </si>
  <si>
    <t xml:space="preserve"> Republic of the Philippines Province of Quezon Municipality of Pagbilao COMMITTEE ON BIDS AND AWARDS INVITATION TO BID FOR SUPPLY AND DELIVERY OF DISASTER KIT &amp; FIRST AID BAG 1.	The Local Government Unit of Pagbilao, through the Approved Budget by the San</t>
  </si>
  <si>
    <t xml:space="preserve"> Improvement of Council of Women Building including extension of Multi-Purpose Hall. Painting works, electrical works, tile works and plumbing works</t>
  </si>
  <si>
    <t xml:space="preserve"> Republic of the Philippines Province of Eastern Samar City of Borongan -0- BIDS AND AWARDS COMMITTEE ------------------------------------------------------------------------------------------ Invitation to Bid for ROAD CONCRETING AT BARANGAY AMANTACOP, BO</t>
  </si>
  <si>
    <t xml:space="preserve"> Republic of the Philippines Province of Quezon Municipality of Pagbilao COMMITTEE ON BIDS AND AWARDS INVITATION TO BID FOR SUPPLY AND DELIVERY OF TEMPORARY SHELTER 1.	The Local Government Unit of Pagbilao, through the Approved Budget by the Sanggunian – G</t>
  </si>
  <si>
    <t xml:space="preserve"> Completion of Structural Concrete from ground to second floor level w/ metal deck; Provision of 2 unit cistern; Provision of roof framing and roofing; Provision of exterior and interior CHB walling and partitions; Provision for Acoustical Ceiling; Provisi</t>
  </si>
  <si>
    <t xml:space="preserve"> Construction of complete 13.5m x 12.0m 2 storey brgy. Hall with concrete works, aluminum doors and window, ceiling (acoustical and Spandrel type), painting works, plumbing works, tilework’s, roofing works, metal railings, steelworks, electrical works, air</t>
  </si>
  <si>
    <t xml:space="preserve"> Completion of Mawab Public Market (Wet Section) Phase 2; Construction of Mawab Public Market (Dry Section) Phase 1</t>
  </si>
  <si>
    <t xml:space="preserve"> The Department of Public Works and Highways Ilocos Norte Second District Engineering Office , through its Bids and Awards Committee (BAC) for Goods, invites suppliers to submit bids for the following Contract: Contract ID: 20GAB0004 Contract Name/Location</t>
  </si>
  <si>
    <t xml:space="preserve"> Clearing &amp; Grubbing	1.00	lot Removal of Existing Concrete Pavement	250.00	sq.m. Roadway Excavation	364.00	cu.m. Excavation for Structure	90.36	cu.m. Sub-Grade Preparation	516.80	sq.m. Aggregate Base Course	51.68	cu.m. PCCP (T=0.20m)	516.80	sq.m. Stone Mas</t>
  </si>
  <si>
    <t xml:space="preserve"> Construction of complete mini gym including electrical and painting works and Construction of complete 1 STY – 1CL type 1 with CR including plumbing fixtures, plumbing works, electrical works, painting works &amp; blackboard</t>
  </si>
  <si>
    <t xml:space="preserve"> Improvement of Multi-Purpose Building with cement plaster finish, painting works, court wood tiles, construction of rooms w/ doors and window, waterlines, electrical works, repair of fascia frame and roof w/reflective insulation and transformer</t>
  </si>
  <si>
    <t xml:space="preserve"> FUND SOURCE: 20%q PDF 2018 TYPES OF WORK TO BE DONE: Project billboard/ signboard/ occupational safety and health program/ removal of slide/ roadway excavation (unclassified)/ structural excavation (manual excavation common soil)/ reinforcing steel bars (</t>
  </si>
  <si>
    <t xml:space="preserve"> INVITATION TO BID The Provincial Government of Bulacan (PGB), through its Bids and Awards Committee (BAC), invites contractors to apply for eligibility and to bid for hereunder projects: NO.	PROJECT TITLE	ABC	CONTRACT DURATION	SOURCE OF FUND GOODS-062220-</t>
  </si>
  <si>
    <t xml:space="preserve"> Completion of Structural Concrete; Provision of interior masonry works; Completion of Steel roof framing and roofing; Plastering of exterior and interior walls; Provision of glass doors, windows and wall partition; Provision for acoustical ceiling; Provis</t>
  </si>
  <si>
    <t xml:space="preserve"> Construction of ten (10) bay bleacher, with softscape and movable hanger goal</t>
  </si>
  <si>
    <t xml:space="preserve"> Construction of complete Mini Gym including electrical and painting works</t>
  </si>
  <si>
    <t xml:space="preserve"> Construction of Three bay mini gym with roofing , painting works, concrete slab, and electrical</t>
  </si>
  <si>
    <t xml:space="preserve"> Construction of covered court w/court slab and construction of 7 bay standard bleacher, including electrical works, movable basketball goal w/fiber glass board and thermoplastic paint on covered court</t>
  </si>
  <si>
    <t xml:space="preserve"> Rehabilitation of MPB (GYM), with ceiling (acoustical), painting, concrete and masonry works</t>
  </si>
  <si>
    <t xml:space="preserve"> Concreting (with = 6.10m., thk. = 230mm) Roadway Excavation - Common Surplus Excavation</t>
  </si>
  <si>
    <t xml:space="preserve"> Purchase of Medical, dental and laboratory supplies for Rural Health Unit and Annual Circumcision</t>
  </si>
  <si>
    <t xml:space="preserve"> The Local Government Unit of Tangcal, Lanao del Norte invites contractors to submit bids for the Supply and Delivery of 2-Units Brand New Emergency Rescue Vehicle to be delivered within 30 Calendar Days from the effective date stated in the Notice to Proc</t>
  </si>
  <si>
    <t xml:space="preserve"> Construction of Stage and Bleacher. Including painting works, tile works (on stage, ceiling works (on stage), electrical works (on stage), and movable basketball goal w/fiber glass board</t>
  </si>
  <si>
    <t xml:space="preserve"> Project Reference Number: 20-012 Name of Project: Bidding of Supply and Delivery of Office Supplies for the use of PANTAWID Staff for 2020 Location of the Project: Region XII and Marawi City    INVITATION TO APPLY FOR ELIGIBILITY AND TO BID The Department</t>
  </si>
  <si>
    <t xml:space="preserve"> Concreting (with = 6.10m., thk. = 230mm) Roadway Excavation - Common Surplus Excavation Application of Reflectorized Thermoplastic Pavement Markings</t>
  </si>
  <si>
    <t xml:space="preserve"> B.9	Mobilization/Demobiliazation	Lot	all	10,576.00 103(1)a	Structure Excavation (Common Soil)	12	cu.m.	3,564.00 105(1)	Subgrade Preparation (Common Material)	800	sq.m.	14,800.00 201	Aggregate Base Coarse (100mm thk.)	85	cu.m.	119,595.00 311(1)a	PVC Paveme</t>
  </si>
  <si>
    <t xml:space="preserve"> Concreting (width = 6.10m., thk. = 230mm) Roadway Excavation - Common Surplus Excavation Application of Reflectorized Thermoplastic Pavement Markings</t>
  </si>
  <si>
    <t xml:space="preserve"> Concreting (with = 6.10m., thk. = 230mm) Roadway Excavation - Common Surplus Excavation Construction of Minor Drainage Structures Application of Reflectorized Thermoplastic Pavement Markings</t>
  </si>
  <si>
    <t xml:space="preserve"> Concreting (with = 6.10m., thk. = 230mm) Roadway Excavation - Common Surplus Excavation - Surplus Soft Rock Excavation Construction of Concrete Lined Canal and Other Minor Drainage Structures Application of Reflectorized Thermoplastic Pavement Markings</t>
  </si>
  <si>
    <t xml:space="preserve"> Concreting (with = 6.10m., thk. = 230mm) Roadway Excavation - Common Surplus Excavation Construction of Concrete Lined Canal and Other Minor Drainage Structures Application of Reflectorized Thermoplastic Pavement Markings Installation of Metal Guardrails </t>
  </si>
  <si>
    <t xml:space="preserve"> Supply and delivery of various office and janitorial supplies and materials (2nd Qtr)</t>
  </si>
  <si>
    <t xml:space="preserve"> Edge Lines Markings; Center Lines Markings; Sub-Center Lines Markings</t>
  </si>
  <si>
    <t xml:space="preserve"> Edge Lines Markings; Center Lines Markings (W); Center Lined Markings (Y); Sub-Center Lines Markings</t>
  </si>
  <si>
    <t xml:space="preserve"> Please see attached PR for Description</t>
  </si>
  <si>
    <t xml:space="preserve"> INVITATION TO BID June 02, 2020 The DPWH Tacloban City District Engineering Office, New Bus Terminal, Brgy. Abucay, Tacloban City, through its Bids and Awards Committee (BAC), invites contractors to submit bids for the following Contract: I.    Contract I</t>
  </si>
  <si>
    <t xml:space="preserve"> 1.	The Municipality of Guinayangan, Quezon through the 2020 C.O. (Supplemental) intends to apply the sum of Four Million Seven Hundred Fifty Thousand Pesos                  (P 4,750,000.00) being the Approved Budget for the Contract (ABC) to payments unde</t>
  </si>
  <si>
    <t xml:space="preserve"> Concreting (with = 6.10m., thk. = 230mm) Roadway Excavation - Embankment from Borrow (Common Soil) Construction of Grouted Riprap Slope Protection Construction of Minor Drainage Structures Application of Reflectorized Thermoplastic Pavement Markings</t>
  </si>
  <si>
    <t xml:space="preserve"> -o0o- Invitation to Bid The LGU Alangalang, through its Bids and Awards Committee (BAC), invites prospective bidders to apply for eligibility and to bid for the hereunder project: Name of Project   	: CONSTRUCTION OF FARM TO MARKET ROAD AT BRGY. SAN ISISD</t>
  </si>
  <si>
    <t xml:space="preserve"> The Local Government Unit of Tangcal, Lanao del Norte invites contractors to submit bids for the Construction of Poblacion Multi-Purpose Building for 96 Calendar Days. NOTE: Download attached document(s) for more details</t>
  </si>
  <si>
    <t xml:space="preserve"> Concreting (width=6.10m., thk. = 230mm) Roadway Excavation - Common Surplus Excavation Construction of Concrete Lined Canal and Other Minor Drainage Structures Application of Reflectorized Thermoplastic Pavement Markings</t>
  </si>
  <si>
    <t xml:space="preserve"> Republic of the Philippines Province of Masbate MUNICIPALITY OF CATAINGAN BARANGAY OSMENA   			                                                                                                 JUNE 2, 2020 INVITATION TO APPLY FOR ELIGIBILITY AND TO BID The</t>
  </si>
  <si>
    <t xml:space="preserve"> Concreting (width=6.10m., thk. = 230mm) Roadway Excavation - Common Surplus Excavation Removal and Relocation of Utilities (Electric Post) Construction of Double Barrel Box Culvert Construction of Minor Drainage Structures Application of Reflectorized The</t>
  </si>
  <si>
    <t xml:space="preserve"> CONCRETING OF BARANGAY ROAD</t>
  </si>
  <si>
    <t xml:space="preserve"> Supply of gasoline and diesel fuel, additives and lubricants 2nd Qtr</t>
  </si>
  <si>
    <t xml:space="preserve"> Construction of Mechanized Building (6.0m x 17.0m) with Embankment, Site Development, Painting, Railings, Finishing and Electrical Works</t>
  </si>
  <si>
    <t xml:space="preserve"> Graveling (width=6.00m., thk. = 200mm) Roadway Excavation - Surplus Common Excavation - Surplus Rock Excavation (Soft) - Surplus Rock Excavation (Hard) Construction of Minor Drainage Structures</t>
  </si>
  <si>
    <t xml:space="preserve"> Construction of complete Social Hall (14x30) including plumbing works, painting works and electrical works with site development of the project location</t>
  </si>
  <si>
    <t xml:space="preserve"> Concreting (width=6.10m., thk. = 230mm) Roadway Excavation - Surplus Common Excavation - Surplus Rock Excavation Construction of Concrete Line Canal Application of Reflectorized Thermoplastic Pavement Markings</t>
  </si>
  <si>
    <t xml:space="preserve"> Republic of the Philippines Province of Bohol MUNICIPALITY OF TUBIGON INVITATION TO BID FOR Rental of Equipment for the Road Opening of Bunacan Road Sitio Tawid  (Buenos to Bunacan)   1. The Local Government Unit of Tubigon, Bohol, through the General Fun</t>
  </si>
  <si>
    <t xml:space="preserve"> Concreting (width=6.10m., thk. = 230mm) Roadway Excavation - Common Surplus Excavation Construction of Minor Drainage Structures Application of Reflectorized Thermoplastic Pavement Markings</t>
  </si>
  <si>
    <t xml:space="preserve"> 1	209	BAGS	PORTLAND CEMENT (TYPEL) 2	10	CU.M	WASHED SAND 3	18	CU.M	SCREENED GRAVEL 4	55	KLS	#16 TIE WIRE 5	38	LENGTH	16MMΦ REBARS 6	40	LENGTH	12MMΦ REBARS 7	80	LENGTH	10MMΦ REBARS 8	30	PCS	2”X6”X10’ COCO LUMBER 9	40	PCS	2”X4”X10’ COCO LUMBER 10	20	PCS	2”X</t>
  </si>
  <si>
    <t xml:space="preserve"> Located at Poblacion, Anini-y, Antique</t>
  </si>
  <si>
    <t xml:space="preserve"> Concreting of 42.3M X 4M Road at Purok 1, Brgy. Matacong</t>
  </si>
  <si>
    <t xml:space="preserve"> Concreting of 100M X 4M Farm to Market Road</t>
  </si>
  <si>
    <t xml:space="preserve"> 1	Extra Gasoline	ltrs	 3,500.00  			 2	Regular Gasoline	ltrs	 5,800.00  			 3	Diesel Fuel	ltrs	 97,000.00  			 4	2T Oil	ltrs	 88.00  			 5	Brake Fluid	ltrs	 66.00  			 6	Motor Oil	ltrs	 196.00  			 7	Engine Oil #40	ltrs	 52.00  			 8	Coolant	ltrs	 41.00  </t>
  </si>
  <si>
    <t xml:space="preserve"> Construction of Two (2) Storey Multi-Purpose Building (15.15m x 16.60m) with Site Development (Softscape), Fire Protection System including the installation of Air-conditioning System, Railings (Ramp), Painting and Finishing Works</t>
  </si>
  <si>
    <t xml:space="preserve"> Construction of Public Market and Terminal Complex, Brgy. Kingking (Poblacion), Pantukan, Twelve (12) F1/C1 and Seven (7) F2/C1</t>
  </si>
  <si>
    <t xml:space="preserve"> B.9	Mobilization/Demobiliazation	lot	all	19,012.15 102(2)b	Roadway Excavation(Surplus Common)	31.05	cu.m.	5,433.75 105(1)	Subgrade Preparation (Common Material)	778.00	sq.m.	14,004.00 201	Aggregate Base Coarse (100mm thk.)	77.80	cu.m.	146,030.60 311(1)a	P</t>
  </si>
  <si>
    <t xml:space="preserve"> Installation of Automatic Fire System, Addressable Fire Detection and Alarm System, Intercom System, Cable Television and Telephone Data System at Municipal Hospital (ONC) at Municipal Compound, Brgy. Sto. Domingo II, Capas, Tarlac</t>
  </si>
  <si>
    <t xml:space="preserve"> Republic of the Philippines PROVINCE OF LEYTE Municipality of Alangalang -o0o- Invitation to Bid The LGU Alangalang, through its Bids and Awards Committee (BAC), invites prospective bidders to apply for eligibility and to bid for the hereunder project: Na</t>
  </si>
  <si>
    <t xml:space="preserve"> Located at Anini-y RHU, Poblacion, Anini-y, Antique</t>
  </si>
  <si>
    <t xml:space="preserve"> INVITATION TO BID  Purchase &amp; Delivery of Drugs &amp; Medicines for GMCH  June 2, 2020 1.	The Provincial Government of Sarangani, through the Trust Fund Philhealth Collection intends to apply the sum of Two Million Forty Nine Thousand Five Hundred Thee Pesos </t>
  </si>
  <si>
    <t xml:space="preserve"> Republic of the Philippines Province of Quezon Municipality of Pagbilao COMMITTEE ON BIDS AND AWARDS INVITATION TO BID FOR SUPPLY AND DELIVERY OF SUPPLIES &amp; MATERIALS  1.	The Local Government Unit of Pagbilao, through the Approved Budget by the Sanggunian</t>
  </si>
  <si>
    <t xml:space="preserve"> MAIN DOCUMENT ;SEE ATTACH FILE</t>
  </si>
  <si>
    <t xml:space="preserve"> INVITATION FOR NEGOTIATED PROCUREMENT  Petroleum, Oil and Lubricants 1.	In view of two (2) failed public biddings, the Department of Budget and Management-Bids and Awards Committee (DBM-BAC) invites interested bidders to participate in the negotiation for</t>
  </si>
  <si>
    <t xml:space="preserve"> Concreting of 101M x 4m Road at Purok 1, Brgy. Matacong</t>
  </si>
  <si>
    <t xml:space="preserve"> Concreting of 73.5M x 4M  Access Road at Brgy. Mampurog</t>
  </si>
  <si>
    <t xml:space="preserve"> IMPROVEMENT OF CASSAG, BACARRI ROAD, PARACELIS FUND SOURCE: 20% PDF 2020 TYPES OF WORK TO BE DONE: Project billboard/ signboard/ occupational safety and health program/ structure excavation/ subgrade preparation/ aggregate subbase course/ PCC pavement (pl</t>
  </si>
  <si>
    <t xml:space="preserve"> Newspaper Publication of Ordinances Enacted by Sangguniang Bayan</t>
  </si>
  <si>
    <t xml:space="preserve"> Republic of the Philippines Province of Quezon Municipality of Pagbilao COMMITTEE ON BIDS AND AWARDS INVITATION TO BID FOR SUPPLY AND DELIVERY OF CONTAINER VAN 1.	The Local Government Unit of Pagbilao, through the Approved Budget by the Sanggunian – GOP, </t>
  </si>
  <si>
    <t xml:space="preserve"> Republic of the Philippines PROVINCE OF SOUTHERN LEYTE Maasin City Invitation to Bid for the Procurement of One (1) Unit Photocopier and Air Conditioning Unit    Contract ID # 2020-06-23-326PG 1.	The Provincial Government of Southern Leyte through the PAS</t>
  </si>
  <si>
    <t xml:space="preserve"> Removal of Existing Concrete Pavement	786.00 Excavation for Structure	23.13 Sub-Grade Preparation	1,310.00 Aggregate Base Course	131.00 PCCP (T=0.20m)	1,310.00 Reinforcing Steel Bar	1,068.20 Structural Concrete	7.52 Stone Masonry	60.45 Construction Safety</t>
  </si>
  <si>
    <t xml:space="preserve"> INVITATION TO BID The DPWH Zamboanga del Sur 2nd District Engineering Office, Poblacion, Guipos, Zamboanga del Sur, through its Bids and Awards Committee (BAC), invites contractors to submit bids for the following Contract: Contract ID	:	20JG0074 Contract</t>
  </si>
  <si>
    <t xml:space="preserve"> Scope of Work		:	Repair of Flood Control Structure</t>
  </si>
  <si>
    <t xml:space="preserve"> Republic of the Philippines PROVINCE OF SOUTHERN LEYTE Maasin City Invitation to Bid for the Procurement of It Equipment, Appliances, Office Equipment, Furniture and Fixture and Medical Training Equipment    Contract ID # 2020-06-23-327PG 1.	The Provincia</t>
  </si>
  <si>
    <t xml:space="preserve"> Republic of the Philippines Province of Davao Oriental City of Mati BIDS &amp; AWARDS COMMITTEE INVITATION TO BID (REBID) Procurement of One (1) Unit BRAND NEW 4x2 SUV Vehicle for the Use of the Provincial Government of Davao Oriental SOURCE OF FUND: OLF [199</t>
  </si>
  <si>
    <t xml:space="preserve"> FUND SOURCE: 20% PDF 2020 TYPES OF WORK TO BE DONE: Project billboard/ signboard/ occupational safety and health program/ metal structure</t>
  </si>
  <si>
    <t xml:space="preserve"> Republic of the Philippines Province of Davao Oriental City of Mati BIDS &amp; AWARDS COMMITTEE INVITATION TO BID (REBID) Procurement of One (1) Unit BRAND NEW 4x4 SUV Vehicle for the Use of the Provincial Government of Davao Oriental SOURCE OF FUND: GENERAL </t>
  </si>
  <si>
    <t xml:space="preserve"> Please see attached Bid Docs for details</t>
  </si>
  <si>
    <t xml:space="preserve"> Concreting of road with CHB canal w/concrete cover</t>
  </si>
  <si>
    <t xml:space="preserve"> Republic of the Philippines Province of Quezon MUNICIPALITY OF POLILLO ***** INVITATION TO BID FOR  SUPPLY, DELIVERY AND INSTALLATION OF BRAND NEW GENERATING SET WITH WIRING AND ACCESSORIES  1.	The Municipality of Polillo, through the Continuing Fund 2019</t>
  </si>
  <si>
    <t xml:space="preserve"> Republic of the Philippines Province of Davao de Oro MUNICIPALITY OF MONTEVISTA BIDS AND AWARDS COMMITTEE 		 Reference No:  CB-2020-015 INVITATION TO BID FOR DRUGS AND MEDICINES 1. 	The Municipality of  Montevista, Compostela Valley Province, through its </t>
  </si>
  <si>
    <t xml:space="preserve"> Concreting of road</t>
  </si>
  <si>
    <t xml:space="preserve"> 20HN0113 -Construction/Rehabilitation of Water Supply/Septage and  Sewerage/Rain Water Collectors - Rain Water Collectors in Public Facilities namely: (a) Opao ES; (b) Casili ES; (c) Leonard Wood ES; (d) Maguikay HS; (e) Subangdaku Tech Voc. HS, Mandaue C</t>
  </si>
  <si>
    <t xml:space="preserve"> INVITATION TO BID  PROCUREMENT OF PPSC FY2020 PUBLICATIONS                                                                                                                                              PPSC BAC IB NO.004 (G) 2020 1.	The Philippine Public Sa</t>
  </si>
  <si>
    <t xml:space="preserve"> Concreting of pathway &amp; construction of canal w/ cover</t>
  </si>
  <si>
    <t xml:space="preserve"> Republic of the Philippines Province of Quezon Municipality of Pagbilao COMMITTEE ON BIDS AND AWARDS INVITATION TO BID FOR SUPPLY AND DELIVERY OF MOTOR CYCLE  1.	The Local Government Unit of Pagbilao, through the Approved Budget by the Sanggunian – GOP, S</t>
  </si>
  <si>
    <t xml:space="preserve"> Republic of the Philippines Province of Agusan del Sur Municipality of Trento BIDS &amp; AWARDS COMMITTEE INVITATION TO BID  FOR THE ESTABLISHMENT OF ORGANIC TRADING POST 1.	The Municipality of Trento, through the PLGU Fund intends to apply the sum of One Mil</t>
  </si>
  <si>
    <t xml:space="preserve"> INVITATION TO BID The DPWH Davao Occidental District Engineering Office, Buhangin, Malita, Davao Occidental, through its Bids and Awards Committee (BAC), invites contractors to submit bids for the following Contract: Procurement ID / Contract ID	:	20LE012</t>
  </si>
  <si>
    <t xml:space="preserve"> Concreting of road with CHB canal</t>
  </si>
  <si>
    <t xml:space="preserve"> Concreting of road &amp; construction of CHB canal</t>
  </si>
  <si>
    <t xml:space="preserve"> Concreting of road w/ CHB sidings and CHB canal w/ concrete cover</t>
  </si>
  <si>
    <t xml:space="preserve"> ITB No. 2020 – 70 June 2, 2020 Republic of the Philippines Province of Davao Oriental CITY OF MATI INVITATION TO BID PROCUREMENT OF DIESEL (Land Development of Balai Maganahay at Brgy. Dawan) Name of Project 1.	The City Government of Mati, through the 20%</t>
  </si>
  <si>
    <t xml:space="preserve"> INVITATION TO BID FOR  Purchase of Mini Fire Truck 1.	The Municipal Government of Hinabangan, through the General Fund CY 2016 (Continuing Appropriation 2016) intends to apply the sum of FOUR MILLION PESOS ONLY (PhP4,000,000.00) being the Approved Budget </t>
  </si>
  <si>
    <t xml:space="preserve"> Cluster V -1. Supply and Delivery of Oil and Lubricants for use of Heavy Equipment, Service Vehicles, Grass Cutter and Chainsaw assigned at DPWH Palawan 2nd District Engineering Office 2. Supply and Delivery of Diesel Fuel and Unleaded for use of Heavy Eq</t>
  </si>
  <si>
    <t xml:space="preserve"> GOODS Thermoplastic Marking (white)     700/bags Thermoplastic Marking (yellow)    200/bags Glass Beads                                  50/bags Primer (16ltrs. per pail)                 30/pails</t>
  </si>
  <si>
    <t xml:space="preserve"> SCOOP OF WORK. 1.WIDENING AND EARTHFILL AT LOW PORTION OF THE ROAD 2. SPOT GRAVELLING OF THE REHABILITATE STREET 3.COMPACTION AT EARTHFILLED PORTION OF THE ROAD 1.WIDENING OF ROAD A,RENTALS(OPRRATED) B.MATERIALS TOTAL COST 100,000.00</t>
  </si>
  <si>
    <t xml:space="preserve"> Republic of the Philippines Province of Quezon Municipality of Pagbilao COMMITTEE ON BIDS AND AWARDS INVITATION TO BID FOR SUPPLY AND DELIVERY OF FERTILIZER, VEGETABLE SEEDS AND OTHER SUPPLIES &amp; MATERIALS  1.	The Local Government Unit of Pagbilao, through</t>
  </si>
  <si>
    <t xml:space="preserve"> INVITATION TO BID FOR THE PROCUREMENT OF VARIOUS IT EQUIPMENT AND ACCESSORIES FOR BUSINESS ONE-STOP SHOP CENTER (BOSS CENTER),  CITY OF ALAMINOS, PANGASINAN 1.	The CITY GOVERNMENT OF ALAMINOS, PANGASINAN, through its Special Purpose Appropriation intends </t>
  </si>
  <si>
    <t xml:space="preserve"> Republic of the Philippines	 PROVINCE OF IFUGAO	 Municipality of Asipulo	 BIDS AND AWARDS COMMITTEE	 INVITATION TO BID	 	 INFRASTRUCTURE PROJECTS	 	 The Municipal Government of Asipulo, through the Municipal Development Fund/ Mun. Cal. Fund of 2020 intend</t>
  </si>
  <si>
    <t xml:space="preserve"> I. Mobilization; II. General Requirements; III. Surface Preparation; IV. Application of Trup-Flex (1 Tennis/2 Volleyball/2 Basketball Court)</t>
  </si>
  <si>
    <t xml:space="preserve"> I. Mobilization; II. General Requirements; III. Project Enclosure; IV. Repainting Marikina Sport Center Logo; V. Surface Preparation; VI. Scaffolding; VII. Painting Works</t>
  </si>
  <si>
    <t xml:space="preserve"> Concreting of road construction of slope protection (grouted riprap)&amp; construction of canal w/ cover</t>
  </si>
  <si>
    <t xml:space="preserve"> Invitation to Bid The LGU Alangalang, through its Bids and Awards Committee (BAC), invites prospective bidders to apply for eligibility and to bid for the hereunder project: Name of Project   	:  ROAD OPENING TO  SITIO  CALBAYUGAY BRGY. CABADSAN, ALANGALA</t>
  </si>
  <si>
    <t xml:space="preserve"> Scope of Work		:	Rehabilitation of Multi-Purpose Building</t>
  </si>
  <si>
    <t xml:space="preserve"> Roadway Excavation	1,140.00	cu.m. Excavation for Structure	111.00	cu.m. Sub-Grade Preparation	2,000.00	sq.m. Aggregate Base Course	200.00	cu.m. PCCP (T=0.15m)	2,000.00	sq.m. Stone Masonry	245.00	cu.m. Construction Safety &amp; Health	3.00	mos. Project Billboa</t>
  </si>
  <si>
    <t xml:space="preserve"> Activities					      Schedule 1. Issuance of Bid Document				June 01 – June 15, 2020 2. Pre-bid Conference						June 17, 2020 (10:00 a.m.) 3. Opening of Bids.						June 22, 2020 (2:00 p.m.) 4. Bid Evaluation						June 25, 2020 5. Post-qualification						J</t>
  </si>
  <si>
    <t xml:space="preserve"> INVITATION TO BID # 20-06-10 Supply and Delivery of Foodstuff Requirements of Residential Care Facilities (RCFs) of the Department of Social Welfare and Development – National Capital Region (DSWD-NCR) for the period of August 1, 2020 to December 31, 2020</t>
  </si>
  <si>
    <t xml:space="preserve"> Republic of the Philippines DEPARTMENT OF PUBLIC WORKS AND HIGHWAYS DAVAO DEL NORTE DISTRICT ENGINEERING OFFICE Region XI Tagum City TERMS OF REFERENCE CONSULTANCY SERVICES FOR GEOTECHNICAL,  GEOLOGICAL SURVEYS/ INVESTIGATIONS &amp; STRUCTURAL ANALYSIS &amp; DESI</t>
  </si>
  <si>
    <t xml:space="preserve"> Construction of canal w/ concrete cover</t>
  </si>
  <si>
    <t xml:space="preserve"> Concreting of road w/ cover &amp; construction of canal w/ concrete cover</t>
  </si>
  <si>
    <t xml:space="preserve"> CONSTRUCTION OF TAPPO FOOTPATH, BANAWEL, NATONIN FUND SOURCE: 20% PDF 2020 TYPES OF WORK TO BE DONE: Project billboard/ signboard/ occupational safety and health program/ site preparation/ forms and falseworks/ concrete pathway 100mm thick CONSTRUCTION OF</t>
  </si>
  <si>
    <t xml:space="preserve"> Republic of the Philippines Province of Pangasinan MUNICIPALITY OF MANAOAG -o0o- INVITATION TO BID The LGU Manaoag, Pangasinan, through its Bids and Awards Committee (BAC), invites all interested Phil-GEPS registered suppliers/manufacturers/distributors/c</t>
  </si>
  <si>
    <t xml:space="preserve"> Republic of the Philippines Province of Agusan del Sur Municipality of Trento BIDS &amp; AWARDS COMMITTEE INVITATION TO BID FOR  Supplying of Fuel, Oil and Gasoline for Heavy Equipment and Various Vehicle 1.	The Local Government Unit of Trento through the Gen</t>
  </si>
  <si>
    <t xml:space="preserve"> Installation and Rectification of Road Sign</t>
  </si>
  <si>
    <t xml:space="preserve"> Construction of riprap &amp; laying of RCCP &amp; road embankment</t>
  </si>
  <si>
    <t xml:space="preserve"> Invitation to Bid for the Procurement of Various Equipment, Instruments and Furnitures for TANJAY WATER DISTRICT</t>
  </si>
  <si>
    <t xml:space="preserve"> Republic of the Philippines Province of Quezon Municipality of Pagbilao COMMITTEE ON BIDS AND AWARDS INVITATION TO BID FOR PARCELLARY SURVEY OF BUKAL-ANTIPOLO-TUKALAN ROAD 1.	The Local Government Unit of Pagbilao, through the Approved Budget by the Sanggu</t>
  </si>
  <si>
    <t xml:space="preserve"> IITEM NO.	QTY	UNIT	ARTICLES	UNIT	TOTAL 				PRICE	 PR NO. 20-05-550			 1	1	UNIT	Electric Mixer, 220 volts, heavy duty, stainless steel bowl, with hook &amp; paddle mixer, 1 year warranty parts and services	20,111.93	20,111.93 PR NO. 20-05-551			 1	1	UNIT	Chest</t>
  </si>
  <si>
    <t xml:space="preserve"> Construction of Waiting Shed &amp; Concrete Benches</t>
  </si>
  <si>
    <t xml:space="preserve"> Republic of the Philippines Province of zamboanga Sibugay Municipality of Olutanga 7014 JUNE 1, 2020 NOTICE TO THE PUBLIC INVITIATION TO APPLY FOR ELIGIBILITY AND TO BID All interested bidders are invited to Pre-qualify and participate in sealed bidding f</t>
  </si>
  <si>
    <t xml:space="preserve"> INVITATION TO BID FOR THE CONSTRUCTION OF SLOPE PROTECTION, CROSS DRAINAGE, RAIL GUARD AND CONCRETE SLAB AT NARRA ST., BRGY. SAN JOSE, CITY OF ALAMINOS, PANGASINAN 1.	The CITY GOVERNMENT OF ALAMINOS, PANGASINAN through its Development Fund (DF) intends to</t>
  </si>
  <si>
    <t xml:space="preserve"> Construction of Covered Court</t>
  </si>
  <si>
    <t xml:space="preserve"> Backfilling, riprapping and perimeter fence</t>
  </si>
  <si>
    <t xml:space="preserve"> Replacement of door and window &amp; plumbing fixture, installation of tiles &amp; repainting</t>
  </si>
  <si>
    <t xml:space="preserve"> INVITATION TO BID FOR THE PROVISION OF LABOR, MATERIALS, EQUIPMENT RENTALS AND OTHER INCIDENTALS NEEDED FOR THE REHABILITATION AND ENHANCEMENT OF DUPLEX ROOFING AT DA-INREC, DINGRAS, ILOCOS NORTE 1.	The Department of Agriculture Regional Field Office 1 (D</t>
  </si>
  <si>
    <t xml:space="preserve"> INVITATION TO BID FOR  Purchase of Rescue Ambulance 1.	The Municipal Government of Hinabangan, through the DRRM Fund CY 2020 intends to apply the sum of TWO MILLION THREE HUNDRED THOUSAND PESOS ONLY (PhP2,300,000.00) being the Approved Budget for the Cont</t>
  </si>
  <si>
    <t xml:space="preserve"> Construction of Two storey building (extension)</t>
  </si>
  <si>
    <t xml:space="preserve"> Construction of Waiting Shed and Concrete Benches,</t>
  </si>
  <si>
    <t xml:space="preserve"> INVITATION TO APPLY FOR ELIGIBILITY AND TO BID The local Government Unit of Taft, through is Bid and Awards Committee (BAC). Invites suppliers to apply for eligibility, to bid for the hereunder contract: Name of Contract: Construction of 2nd Floor of RHU </t>
  </si>
  <si>
    <t xml:space="preserve"> UNIT	  DESCRIPTION		QUANTITY 105	Subgrade Preparation		 	A = 537.8m x 4m		 	Qty.= 2796.6 sq.m		 I- Equipment Rental:			 	 Road Grader  for 10 hours		1 	 Road Roller   for 10 hours		1 			 II- Labor:			 	 Foreman  for 1.25 day(s)		1 	 Laborers  for 1.25 day</t>
  </si>
  <si>
    <t xml:space="preserve"> Republic of the Philippines Province of Apayao PROVINCIAL GOVERNMENT CENTER San Isidro Sur, Luna, Apayao INVITATION TO BID FOR THE SUPPLY AND DELIVERY OF ONE(1) UNIT SERVICE VEHICLE 1.	The Provincial Government of Apayao, through the General/Supplemental </t>
  </si>
  <si>
    <t xml:space="preserve"> INVITATION TO BID FOR THE PROVISION OF LABOR, MATERIALS, EQUIPMENT RENTALS AND OTHER INCIDENTALS NEEDED FOR THE RECONSTRUCTION/ENHANCEMENT OF PIGGERY FENCE AT DA-PREC, SUAL, PANGASINAN 1.	The Department of Agriculture Regional Field Office 1 (DA RFO-1), t</t>
  </si>
  <si>
    <t xml:space="preserve"> Scope of Work		:	Conduct of Appraisal Services</t>
  </si>
  <si>
    <t xml:space="preserve"> Construction of riprap &amp; plastering concreting of creek flooring &amp; const. of steel railing</t>
  </si>
  <si>
    <t xml:space="preserve"> Construction of riprap, concreting of pathway &amp; stair, construction of railing &amp; installation of light</t>
  </si>
  <si>
    <t xml:space="preserve"> Installation of Streetlights</t>
  </si>
  <si>
    <t xml:space="preserve"> 1.	The LOCAL WATER UTILITIES ADMINISTRATIONhas receiveda Loan from the Asian Development Banktoward the cost of the Water District Development Sector Project, and it intends to apply part of the proceeds of this loan to payments under the contract for the</t>
  </si>
  <si>
    <t xml:space="preserve"> Construction of grouted riprap</t>
  </si>
  <si>
    <t xml:space="preserve"> SITE WORKS CONCRETE WORKS REINFORCING STEEL BARS FORMWORKS &amp; SCAFFOLDING: TWO (2) USE MASONRY WORKS STEEL WORKS ROOFING WORKS CEILING WORKS (INTERIOR &amp; EXTERIOR) DOORS AND WINDOWS PLUMBING WORKS TILE WORKS ELECTRICAL WORKS PAINTING WORKS PROJECT SIGNAGE</t>
  </si>
  <si>
    <t xml:space="preserve"> CONSTRUCTION OF MALUMA SITIO SANGAYAN - ALVANIZ HANGING BRIDGE (PHASE II) , BARANGAY CUYAPIAO , PATNONGON, ANTIQUE</t>
  </si>
  <si>
    <t xml:space="preserve"> Removal of Existing Concrete Subgrade and Base Course Preperation Portland Cement Concrete Pavement - PCCP Project Signage</t>
  </si>
  <si>
    <t xml:space="preserve"> Riprapping, concreting of road &amp; construction of stair</t>
  </si>
  <si>
    <t xml:space="preserve"> 1	Brass Water Meter ½”	700	pcs. 2	Brass Water Meter ¾”	100	pcs. 3	Brass Water Meter 1”	50	pcs.</t>
  </si>
  <si>
    <t xml:space="preserve"> Demolition of structure, construction of steel fence &amp; laying of tiles</t>
  </si>
  <si>
    <t xml:space="preserve"> 1.	The Local Government Unit (LGU) of the Municipality of Caluya, Antique, through the Supplemental Budget No.5, S.2019, intends to apply the sum of Three Million Forty Four Thousand Three Hundred Forty Three Pesos and 75/100 (Php 3,044,343.75) only being</t>
  </si>
  <si>
    <t xml:space="preserve"> Road widening (2-4 Lanes) including Slope Protection and Drainage</t>
  </si>
  <si>
    <t xml:space="preserve"> INVITATION TO BID The Department of Public Works and Highways - Pampanga 1st District Engineering Office, through its Bids and Awards Committee (BAC), invites contractors to submit bids for the following Contract: 1.	 Procurement ID/Contract ID	:	20CG0026</t>
  </si>
  <si>
    <t xml:space="preserve"> I. Road Clearing II. Hauling of Surface Materials (GUIZO) III. Spreading of Surface Materials (GUIZO) IV. Installation of Pipe Culvert 1.20 w/ Riprap and grouted (4 station) EQUIPMENT REQUIRED: 1-UNIT GRADER 1-UNIT ROAD ROLLER 1-UNIT BACKHOE 1-UNIT DUMP T</t>
  </si>
  <si>
    <t xml:space="preserve"> Construction of Gravel Road/ Construction of Concrete Road, ROW Acquisition</t>
  </si>
  <si>
    <t xml:space="preserve"> Source of Funds: 20% BARANGAY IRA MATERIAL COST   1 cu.m. River boulders 6"Ø   31 bags Portland Cement   1.6 m° Washed Sand   3.3 m° River Gravel 1"Ø   13 length 16mmØ Reinforcing Steel Bars   6 length 12mmØ Reinforcing Steel Bars   12 lenght 10mmØ Reinfo</t>
  </si>
  <si>
    <t xml:space="preserve"> REMOVAL OF STRUCTURES AND OBSTRUCTIONS SUBGRADE PREPARATION AGGRAGATE BASE COURSE PCC PAVEMENT, PLAIN (14 Days Curing) Structural Concrete Warning &amp; Hazard signs Including Bollards Health and Safety Billboard (4' x 8' Tarpaulin on 2" x 3" Wooden Frame)</t>
  </si>
  <si>
    <t xml:space="preserve"> Include VAT and delivery charges</t>
  </si>
  <si>
    <t xml:space="preserve"> Please give us a call at 924-6101 local 1063/1067</t>
  </si>
  <si>
    <t xml:space="preserve"> https://drive.google.com/file/d/1YgPwD_L2G1JTBLN1equXfy0qg69Ednwr/view</t>
  </si>
  <si>
    <t xml:space="preserve"> BIDDERS MUST DOWNLOAD ELECTRONIC COPY OF BIDDING DOCUMENTS IN THE LINK BELOW:</t>
  </si>
  <si>
    <t xml:space="preserve"> Bid documents will be available to prospective bidders who  purchase the bidding documents  from the office of the Municipal Treasurer of the Local Government Unit of Mapet</t>
  </si>
  <si>
    <t xml:space="preserve"> Prospective Bidders should have experience in undertaking a similar project within the last 2 years with an amount of at least 50% of the proposed project for bidding. The Eligibility Check/Screening as well as the Preliminary Examination of Bids shall use non-discretionary  “pass/fail” criteria. Post-qualification of the lowest calculated bid shall be conducted.</t>
  </si>
  <si>
    <t xml:space="preserve"> Total Book  Titles= 123</t>
  </si>
  <si>
    <t xml:space="preserve"> Delivery of materials and other scope of the project.</t>
  </si>
  <si>
    <t xml:space="preserve"> For further information, please refer to:</t>
  </si>
  <si>
    <t xml:space="preserve"> https://tinyurl.com/y7torzad</t>
  </si>
  <si>
    <t xml:space="preserve"> https://tinyurl.com/y9kquwte</t>
  </si>
  <si>
    <t xml:space="preserve"> Requirements:</t>
  </si>
  <si>
    <t xml:space="preserve"> SUPPLIER MUST SUBMIT LOCAL BUSINESS PERMIT AT ILIGAN CITY</t>
  </si>
  <si>
    <t xml:space="preserve"> please look for the school property custodian in securing papers or documents</t>
  </si>
  <si>
    <t xml:space="preserve"> https://tinyurl.com/ycdp93dl</t>
  </si>
  <si>
    <t xml:space="preserve"> For Smoother and faster transaction, please look for the school property custodian</t>
  </si>
  <si>
    <t xml:space="preserve"> https://tinyurl.com/y9vtyhgp</t>
  </si>
  <si>
    <t xml:space="preserve"> Please download ITB &amp; Biddocs in the Associated Components for reference.</t>
  </si>
  <si>
    <t xml:space="preserve"> https://tinyurl.com/y7jehjwk</t>
  </si>
  <si>
    <t xml:space="preserve"> Please download ITB  &amp; Biddocs in the Associated Components for reference.</t>
  </si>
  <si>
    <t xml:space="preserve"> NOTE: THIS IS A REBIDDING FOR ALL ITEMS UNDER LOTS 1-3 &amp; 7 ON THIS PURCHASE REQUEST..</t>
  </si>
  <si>
    <t xml:space="preserve"> NOTE: WEAR FACE MASK AND OBSERVED SOCIAL DISTANCING DURING THE OPENING OF BIDS.</t>
  </si>
  <si>
    <t xml:space="preserve"> Opening of Best Offers will be on June 29, 2020, 2:00PM at BWD Board Room National Highway Cogon, Balingasag Misamis Oriental.</t>
  </si>
  <si>
    <t xml:space="preserve"> Warranty : 6 months from receipt of payment </t>
  </si>
  <si>
    <t xml:space="preserve"> Medicine and Medical Supplies Rack, 1st bay double side, 7 levels, H1.8mx W 6.870m x L900mm, Wire Mesh racking, Beige Color, Powder Coated, 100Kg Load capacity per level	9	unit</t>
  </si>
  <si>
    <t xml:space="preserve"> https://tinyurl.com/ycfwyjuj</t>
  </si>
  <si>
    <t xml:space="preserve"> https://tinyurl.com/ya2v4zt2</t>
  </si>
  <si>
    <t xml:space="preserve"> https://tinyurl.com/yczckkom</t>
  </si>
  <si>
    <t xml:space="preserve"> https://tinyurl.com/y77bob4w</t>
  </si>
  <si>
    <t xml:space="preserve"> https://tinyurl.com/y7lz84y5</t>
  </si>
  <si>
    <t xml:space="preserve"> https://tinyurl.com/yc5wbpqh</t>
  </si>
  <si>
    <t xml:space="preserve"> https://tinyurl.com/yabcpbbg</t>
  </si>
  <si>
    <t xml:space="preserve"> https://tinyurl.com/y6vspqcx</t>
  </si>
  <si>
    <t xml:space="preserve"> https://tinyurl.com/yccc44kx</t>
  </si>
  <si>
    <t xml:space="preserve"> https://tinyurl.com/yav4kvp7</t>
  </si>
  <si>
    <t xml:space="preserve"> https://tinyurl.com/y6unp4hn</t>
  </si>
  <si>
    <t xml:space="preserve"> INSTRUCTIONS/TERMS AND CONDITIONS:								</t>
  </si>
  <si>
    <t xml:space="preserve"> SOURCE OF FUND:   MOOE</t>
  </si>
  <si>
    <t xml:space="preserve"> 1. Submission of Letter of Intent (LOI) - June 17 - 18, 2020 @ 8:00am to 5:00pm</t>
  </si>
  <si>
    <t xml:space="preserve"> You may see the Municipal Engineer, Municipality of Caibiran</t>
  </si>
  <si>
    <t xml:space="preserve"> Other information</t>
  </si>
  <si>
    <t xml:space="preserve"> Republic of the Philippines</t>
  </si>
  <si>
    <t xml:space="preserve"> Other Information</t>
  </si>
  <si>
    <t xml:space="preserve"> Glen L. Pardillo</t>
  </si>
  <si>
    <t xml:space="preserve"> To Our Supplier, Bid Documents are Available at BAC Secretariat</t>
  </si>
  <si>
    <t xml:space="preserve"> COPY AND PASTE IN THE BROWSER THE LINK BELOW TO VIEW RFQ OR CANVASS: </t>
  </si>
  <si>
    <t xml:space="preserve"> Submit your quotation together with your PhilGEPS Cert</t>
  </si>
  <si>
    <t xml:space="preserve"> 1.	Request for Quotation (RFQ) form can be obtained at 110th Contracting Office, AFPPS Canvass Contracting Committee Secretariat, 53rd Engineer Brigade, PA, Camp Lapulapu, Cebu City. Submission of Sealed price quotation will be at designated price quotation box located on same address and will be opened on date/time as indicated.</t>
  </si>
  <si>
    <t xml:space="preserve"> Item No.	Description	Qty.	Unit</t>
  </si>
  <si>
    <t xml:space="preserve"> REMINDERS:</t>
  </si>
  <si>
    <t xml:space="preserve"> COPY AND PASTE IN THE BROWSER THE LINK BELOW TO VIEW THE BIDDING DOCUMENTS; </t>
  </si>
  <si>
    <t xml:space="preserve"> Deadline of submission is on or before June  24, 2020 @ 1:00pm</t>
  </si>
  <si>
    <t xml:space="preserve"> Note: Please see the uploaded file at associated components.</t>
  </si>
  <si>
    <t xml:space="preserve"> https://drive.google.com/file/d/1kWCy44emoOsRAXIMs7Ne_qbkbTLjLvZu/view?usp=drivesdk</t>
  </si>
  <si>
    <t xml:space="preserve"> Bidders must submit along with their quotations the certified true copies of the following documents:</t>
  </si>
  <si>
    <t xml:space="preserve"> COPY AND PASTE IN THE BROWSER THE LINK BELOW TO VIEW BIDDING DOCUMENTS; </t>
  </si>
  <si>
    <t xml:space="preserve"> BID DOCS PhP 500.00</t>
  </si>
  <si>
    <t xml:space="preserve"> KINDLY DOWNLOAD BID DOCUMENTS ON THE ASSOCIATED COMPONENT.</t>
  </si>
  <si>
    <t xml:space="preserve"> For further information, please contact Ms. JOCELYN A.</t>
  </si>
  <si>
    <t xml:space="preserve"> Kindly download bid documents on the associated component.</t>
  </si>
  <si>
    <t xml:space="preserve"> For more details please coordinate or contact the Local BAC Secretariat at SSS Bacolod East Branch, East One Atrium Bldg., Burgos Ext., Brgy. Villamonte, Bacolod City, at Tel. No. (034) 441-6599 or at Visayas West 1 Division at Tel. Nos. (034) 709-0880/709-0413-17 at local 208 and 210 and SSS Dumaguete Branch at Tel Nos. (035)225-6810; 225-4340</t>
  </si>
  <si>
    <t xml:space="preserve"> PLEASE SEE ATTACHED FILE</t>
  </si>
  <si>
    <t xml:space="preserve"> 1.  Submission of Letter of Intent and Application of Eligibility				June 16, 2020 - June 23, 2020		</t>
  </si>
  <si>
    <t xml:space="preserve"> Please download the Bid Document in the Associated Component.</t>
  </si>
  <si>
    <t xml:space="preserve"> 2.	A set of technical specifications for the above items are provided in Attachment/s # 1.  All items listed under the purchasers’ specifications must be complied on a pass-fail basis.  Failure to meet any one of the requirements may result to rejection.</t>
  </si>
  <si>
    <t xml:space="preserve"> Visit BAC Office and Bring the following requirements when acquiring prescribe Quotation Form and other inquiries:</t>
  </si>
  <si>
    <t xml:space="preserve"> Please DOWNLOAD attached file/s for Specifications.</t>
  </si>
  <si>
    <t xml:space="preserve"> Submission of proposals will be done through email.</t>
  </si>
  <si>
    <t xml:space="preserve"> Qualifications:</t>
  </si>
  <si>
    <t xml:space="preserve"> For more details, please contact MSWDO Gudelia I. Castaños with her mobile number 09196390854.</t>
  </si>
  <si>
    <t xml:space="preserve"> The National Forensic Science Training Institute (NFSTI) is a Constitutive Unit (CU) of the PPSC located in Camp Vicente Lim Brgy. Mayapa Canlubang Laguna.</t>
  </si>
  <si>
    <t xml:space="preserve"> https://drive.google.com/file/d/1ohktBYBTai9oJUKwWwBm3g56Iet9u4oa/view?usp=drivesdk</t>
  </si>
  <si>
    <t xml:space="preserve"> WASHABLE FACE MASK - 3,415</t>
  </si>
  <si>
    <t xml:space="preserve"> You may see the Vice Mayor, Municipality of Caibiran</t>
  </si>
  <si>
    <t xml:space="preserve"> NOTE: THIS IS A REBIDDING FOR THE SAID ITEM UNDER LOT 3 ONLY IN THIS PURCHASE REQUEST.</t>
  </si>
  <si>
    <t xml:space="preserve"> Qualification:</t>
  </si>
  <si>
    <t xml:space="preserve"> 1.		DIESOLINE		1	Lot</t>
  </si>
  <si>
    <t xml:space="preserve"> You may see the Supply Officer, Municipality of Caibiran</t>
  </si>
  <si>
    <t xml:space="preserve"> BID DOCUMENT IS AVAILABLE AT ENGINEERING OFFICE, BAC SECRETARIAT.</t>
  </si>
  <si>
    <t xml:space="preserve"> Mr. Wilbert Newton T. Pollisco</t>
  </si>
  <si>
    <t xml:space="preserve"> BID DOCUMENT IS AVAILABLE AT ENGINEERING OFFICE, BAC SECRETARIAT</t>
  </si>
  <si>
    <t xml:space="preserve"> Area of Delivery: Quezon City</t>
  </si>
  <si>
    <t xml:space="preserve"> copy this link to gogle drive to download bidding documents:</t>
  </si>
  <si>
    <t xml:space="preserve"> Suppliers are required to submit their quotation/written proposal with the following documents on or before JUNE 23, 2020 9:00 AM at BAC Office, this LGU, to wit:</t>
  </si>
  <si>
    <t xml:space="preserve"> 1.	All interested bidders/suppliers may now submit Eligibility Documents and other documents.</t>
  </si>
  <si>
    <t xml:space="preserve"> Please download document in associate components</t>
  </si>
  <si>
    <t xml:space="preserve"> Please see attached file for quotation</t>
  </si>
  <si>
    <t xml:space="preserve"> Travelling Rice Mill</t>
  </si>
  <si>
    <t xml:space="preserve"> Other Information:</t>
  </si>
  <si>
    <t xml:space="preserve"> For inquiries, please call:</t>
  </si>
  <si>
    <t xml:space="preserve"> 2020 20% DF</t>
  </si>
  <si>
    <t xml:space="preserve"> https://drive.google.com/file/d/1dAjSpCezvEkmCXnpMcHYLKSt5-yDYjqe/view?usp=drivesdk</t>
  </si>
  <si>
    <t xml:space="preserve"> Place of Delivery:Sipalay City, Negros Occidental</t>
  </si>
  <si>
    <t xml:space="preserve"> For Inquiry:</t>
  </si>
  <si>
    <t xml:space="preserve"> For the official use of PENRO-Quezon</t>
  </si>
  <si>
    <t xml:space="preserve"> https://drive.google.com/file/d/1ZpmEg1-w_OX2xGCe0KeseWNoFBg9bQmk/view?usp=drivesdk</t>
  </si>
  <si>
    <t xml:space="preserve"> Please refer to the attached Request for Quotation (RFQ) for complete and detailed specifications. For queries, please call at 317-1768 local 519/532/784 and look for Mr. Joemar D. Sajona.</t>
  </si>
  <si>
    <t xml:space="preserve"> INCLUDES INSTALLATION AND CABLING</t>
  </si>
  <si>
    <t xml:space="preserve"> https://drive.google.com/file/d/1rCAJX4EWRIg9GuEuoxhjxu7n5hgJV-4m/view?usp=drivesdk</t>
  </si>
  <si>
    <t xml:space="preserve"> 1. Issuance of Bidding Documents	:	June 16, 2020 to July 07, 2020</t>
  </si>
  <si>
    <t xml:space="preserve"> Instruction for Suppliers on how to View/Download the document;</t>
  </si>
  <si>
    <t xml:space="preserve"> https://drive.google.com/file/d/19IxS2V13Afb_GQ_3ONVkajUc1ryw34X2/view?usp=drivesdk</t>
  </si>
  <si>
    <t xml:space="preserve"> Schedule of BAC Activities:</t>
  </si>
  <si>
    <t xml:space="preserve"> Norman B. Casiple</t>
  </si>
  <si>
    <t xml:space="preserve"> PLEASE SEE ATTACHED FILE.</t>
  </si>
  <si>
    <t xml:space="preserve"> https://drive.google.com/file/d/1ECC1x9E53mC3EuwZNpFyJGyj2dScAqnJ/view?usp=drivesdk</t>
  </si>
  <si>
    <t xml:space="preserve"> Norman B.Casiple</t>
  </si>
  <si>
    <t xml:space="preserve"> INVITATION TO BID FOR  PURCHASE OF LAPTOP FOR SANGGUNIANG BAYAN OFFICE – Poblacion Occidental, Valencia, Bohol</t>
  </si>
  <si>
    <t xml:space="preserve"> 1 	1	Lot	20 Units DIGTAL VHF Base Radio </t>
  </si>
  <si>
    <t xml:space="preserve"> please call To: 0998-247-0239 &amp; 0906-256-9238 for other details . . .</t>
  </si>
  <si>
    <t xml:space="preserve"> SEE ASSOCIATED COMPONENTS</t>
  </si>
  <si>
    <t xml:space="preserve"> Mail the following eligibility and requirements:</t>
  </si>
  <si>
    <t xml:space="preserve"> please call To: 0998-247-0239  &amp;  0906-256-9238  for other details</t>
  </si>
  <si>
    <t xml:space="preserve"> Interested supplier's please submit certificate of philgeps registration, mayor's permit &amp; tax clearance</t>
  </si>
  <si>
    <t xml:space="preserve"> MATERIALS</t>
  </si>
  <si>
    <t xml:space="preserve"> For more information, please see or contact the BAC Members of Brgy. Sta. Elena, Magallanes, Sorsogon.</t>
  </si>
  <si>
    <t xml:space="preserve"> please call to: 0998-247-0239  &amp;  0906-256-9238  for other details . . .</t>
  </si>
  <si>
    <t xml:space="preserve"> https://drive.google.com/file/d/1Se4C4Dn_JWsx8kTY-PbAv7Fy41U_LC5l/view?usp=drivesdk</t>
  </si>
  <si>
    <t xml:space="preserve"> 9.	For further information, please refer to:</t>
  </si>
  <si>
    <t xml:space="preserve"> ONLY SUPPLIERS FROM BACOLOD CITY WILL BE SHORT LISTED.</t>
  </si>
  <si>
    <t xml:space="preserve"> DOWNLOAD RFQ &amp; MEMO @ THE ASSOCIATED COMPONENTS. SUBMIT BOTH DOCS</t>
  </si>
  <si>
    <t xml:space="preserve"> CONTACT 4354619</t>
  </si>
  <si>
    <t xml:space="preserve"> please call To: 0998-247-0239  &amp;  0906-256-9238  for other details . . . .</t>
  </si>
  <si>
    <t xml:space="preserve"> SUBMIT QUOTATION ON OR BEFORE JUNE 19, 2020 - 10:00AM AT BAC OFFICE</t>
  </si>
  <si>
    <t xml:space="preserve"> https://drive.google.com/file/d/1x7SOPF9QcpNCipvjqhH459nUGq6EkWsC/view?usp=drivesdk</t>
  </si>
  <si>
    <t xml:space="preserve"> please call To 0998-247-0239 n &amp; 0906-256-9238  for other details . . . .</t>
  </si>
  <si>
    <t xml:space="preserve"> INVITATION TO BID</t>
  </si>
  <si>
    <t xml:space="preserve"> Please see attached RFQ No. 20-0543 Shopping B for complete list of Items.</t>
  </si>
  <si>
    <t xml:space="preserve"> Interested supplier's please submit certificate of philgeps registration, mayor's permit &amp; tax clearance.</t>
  </si>
  <si>
    <t xml:space="preserve"> Negotiated.</t>
  </si>
  <si>
    <t xml:space="preserve"> ONLY SUPPLIERS FROM BACOLOD WILL BE SHORT LISTED.</t>
  </si>
  <si>
    <t xml:space="preserve"> Please see attached RFQ No. 20-0545 NP-SV for complete list of Items and Specifications/Description including Photo of the required Statue.</t>
  </si>
  <si>
    <t xml:space="preserve"> Pre-bid Conference will be done through teleconference. Any interested bidder you could contact the Head BAC Secretariat or email us.</t>
  </si>
  <si>
    <t xml:space="preserve"> please call To:  0998-247-0239  &amp;  0906-256-9238  for other details . . .</t>
  </si>
  <si>
    <t xml:space="preserve"> https://drive.google.com/file/d/1kQt4ro205WQ4i_pSQZQcgWFm0diL2N89/view?usp=drivesdk</t>
  </si>
  <si>
    <t xml:space="preserve"> Instruction for Suppliers on how to View/Download Documents:</t>
  </si>
  <si>
    <t xml:space="preserve"> please call To:  0998-247-0239  &amp; 0906-256-9238  for other details . . .</t>
  </si>
  <si>
    <t xml:space="preserve"> please call To:  0998-247-0239  &amp;  0906-256-9238  for other details . . . .</t>
  </si>
  <si>
    <t xml:space="preserve"> For inquiries you may contact:</t>
  </si>
  <si>
    <t xml:space="preserve"> All quotation must be submitted in a sealed envelope directly to LPGH&amp;STC, address to Ms. Cecille P. Manipon, BAC Chairman or email, together with the following requirements;</t>
  </si>
  <si>
    <t xml:space="preserve"> LCRB</t>
  </si>
  <si>
    <t xml:space="preserve"> For more Information and details please contact the BAC Secretariat Mrs. Juna Carla Tabian at (033) 511-8790.</t>
  </si>
  <si>
    <t xml:space="preserve"> For Particulars, please coordinate with the BAC of this office from June 15 to 17, 2020. The Deadline for submission of the accomplished application forms will be on June 18, 2020 at 10:00 A.M. and shall be opened at 2:00 P.M. on the same date. QUOTATION THRU MAIL / FAX WILL NOT BE ACCEPTED.</t>
  </si>
  <si>
    <t xml:space="preserve"> 1. BIDDERS ARE ADVISED TO DOWNLOAD ALL ASSOCIATED COMPONENTS</t>
  </si>
  <si>
    <t xml:space="preserve"> BID DOCS PhP 10,000.00</t>
  </si>
  <si>
    <t xml:space="preserve"> SUPPLIERS/ BIDDERS MUST DOWNLOAD THE ATTACHED DOCUMENT IN ASSOCIATED COMPONENT SECTION.</t>
  </si>
  <si>
    <t xml:space="preserve"> 1.Suppliers/Bidders must download the attached Document/RFQ in the associated component section.</t>
  </si>
  <si>
    <t xml:space="preserve"> INQUIRE AT BAC OFFICE, TAMBULIG, MUNICIPAL HALL, TAMBULIG, ZAMBOANGA DLE SUR</t>
  </si>
  <si>
    <t xml:space="preserve"> https://tinyurl.com/y924w9pf</t>
  </si>
  <si>
    <t xml:space="preserve"> https://drive.google.com/file/d/1ES3gMDHG4BaII6JGhFiyH99HWH2VIU3C/view?usp=drivesdk</t>
  </si>
  <si>
    <t xml:space="preserve"> Please contact et.malong@philrice.gov.ph/emilymalong95@gmail.com</t>
  </si>
  <si>
    <t xml:space="preserve"> BID DOCS PhP. 5,000.00</t>
  </si>
  <si>
    <t xml:space="preserve"> RFQ# 109CO – 06 – 2020 – 087 is ready and available at 109th CO, AFPPS, Camp Elias Angeles, San Jose, Pili, Camarines Sur</t>
  </si>
  <si>
    <t xml:space="preserve"> Source of Fund: Bayanihan Grant to Cities and Municipalities</t>
  </si>
  <si>
    <t xml:space="preserve"> For inquiry, you may contact us at Telefax no. 527-9757 or email us at bacsecretariat@customs.gov.ph.</t>
  </si>
  <si>
    <t xml:space="preserve"> copy this link to google drive to downlaod bidding documents:</t>
  </si>
  <si>
    <t xml:space="preserve"> For more Information and details pls. contact the BAC Secretariat at (033) 511-8790.</t>
  </si>
  <si>
    <t xml:space="preserve"> Interested bidders may download attached documents located in the Associated Component Section.</t>
  </si>
  <si>
    <t xml:space="preserve"> PLEASE SEE ATTACHED RFQ FOR MORE DETAILS.</t>
  </si>
  <si>
    <t xml:space="preserve"> RFQ# 109CO – 06 – 2020 – 088 is ready and available at 109th CO, AFPPS, Camp Elias Angeles, San Jose, Pili, Camarines Sur</t>
  </si>
  <si>
    <t xml:space="preserve"> please submit your quotations at the Department of Agrarian Reform Provincial Office, San Fermin, Cauayan City, Isabela on or before the closing date</t>
  </si>
  <si>
    <t xml:space="preserve"> Bidders/Suppliers Must Download the Attached Document in the Associated Component Section </t>
  </si>
  <si>
    <t xml:space="preserve"> For more information, please see or contact the BAC Members of Brgy. Binisitahan Norte, Magallanes, Sorsogon.</t>
  </si>
  <si>
    <t xml:space="preserve"> For information inquire at BAC Secretariat of Atimonan, Quezon.</t>
  </si>
  <si>
    <t xml:space="preserve"> Please download the document at the associated components.</t>
  </si>
  <si>
    <t xml:space="preserve"> For inquiries, please contact Mr. Allan de Vera, Procurement, GSD at tel no. 8293-3683.</t>
  </si>
  <si>
    <t xml:space="preserve"> Interested Bidders may download attached documents located in the Associated Components Section.</t>
  </si>
  <si>
    <t xml:space="preserve"> Please copy the link below and print for a copy of Bidding Document.</t>
  </si>
  <si>
    <t xml:space="preserve"> Interested suppliers must be willing to deliver in advance. Payment will be issued upon the release of allocated budget</t>
  </si>
  <si>
    <t xml:space="preserve"> RFQ# 109CO – 06 – 2020 – 089 is ready and available at 109th CO, AFPPS, Camp Elias Angeles, San Jose, Pili, Camarines Sur</t>
  </si>
  <si>
    <t xml:space="preserve"> Reminder:</t>
  </si>
  <si>
    <t xml:space="preserve"> 3.)	20	bxs	IV Cannula g-22</t>
  </si>
  <si>
    <t xml:space="preserve"> For the Request for Price Quotation look for Jen at BAC Office.</t>
  </si>
  <si>
    <t xml:space="preserve"> PR0033-20 – TOURISM ANNEX (Lights Enhancement Phase III)</t>
  </si>
  <si>
    <t xml:space="preserve"> Please look for the school property custodian in securing such documents and informations</t>
  </si>
  <si>
    <t xml:space="preserve"> &gt; 4 Pcs TIRES</t>
  </si>
  <si>
    <t xml:space="preserve"> Kindly download RFQ documents on the associated component.</t>
  </si>
  <si>
    <t xml:space="preserve"> 1.)	5	kits	Triglycerides 5x100ml</t>
  </si>
  <si>
    <t xml:space="preserve"> Please download the complete bidding documents using the link below:</t>
  </si>
  <si>
    <t xml:space="preserve"> Please see attached bidding documents for more details.</t>
  </si>
  <si>
    <t xml:space="preserve"> Bidders must download the attached document in the associated components section.</t>
  </si>
  <si>
    <t xml:space="preserve"> Please download the complete Bidding Documents using the link below:</t>
  </si>
  <si>
    <t xml:space="preserve"> For the Request for Price Quotation Look for Jen at BAC Office.</t>
  </si>
  <si>
    <t xml:space="preserve"> &gt; 456 Bags NP COMPOUND (Multi-Functional Fertilizer)</t>
  </si>
  <si>
    <t xml:space="preserve"> VI. Please submit quotation before closing time"</t>
  </si>
  <si>
    <t xml:space="preserve"> The Vicente Sotto Memorial Medical Center reserves the right to accept or reject any bid, to annul the bidding process, and to reject all bids at any time prior to contract award, without thereby incurring any liability to the affected bidder or bidders.									</t>
  </si>
  <si>
    <t xml:space="preserve"> I. CONSTRUCTION OF REINFORCED CONCRETE GROUND RESERVOIR (3x3x3)m CONCRETE WORKS</t>
  </si>
  <si>
    <t xml:space="preserve"> CONCRETE WORKS</t>
  </si>
  <si>
    <t xml:space="preserve"> Please download the complete bidding documents using he link below:</t>
  </si>
  <si>
    <t xml:space="preserve"> Please submit your quotations to the General Services Office of the Local Government Unit of Dupax del Norte.</t>
  </si>
  <si>
    <t xml:space="preserve"> The deadline of Submission and opening of the RFQ are as follows:	</t>
  </si>
  <si>
    <t xml:space="preserve"> https://drive.google.com/file/d/1x93sa1W8kByeJXmqtPS1qHBql1_J2v2I/view?usp=drivesdk</t>
  </si>
  <si>
    <t xml:space="preserve"> For more Information and details please contact the BAC Secretariat, LGU Tigbauan at (033) 511-8790</t>
  </si>
  <si>
    <t xml:space="preserve"> pls attached the following documents</t>
  </si>
  <si>
    <t xml:space="preserve"> https://drive.google.com/file/d/1Jw2ZuWkmwUF_SWnYQr43J12iboPh1IZ0/view?usp=drivesdk</t>
  </si>
  <si>
    <t xml:space="preserve"> This is subject to the availability of supplies at the PS-DBM.</t>
  </si>
  <si>
    <t xml:space="preserve"> Please see attached RPQ and PR in the initiated components.</t>
  </si>
  <si>
    <t xml:space="preserve"> https://drive.google.com/file/d/1GkLTa0K0iU2O6aoP1WuAqJahuVHrUKMq/view?usp=drivesdk</t>
  </si>
  <si>
    <t xml:space="preserve"> • Complete Project Title: Supply, Delivery, Installation, Test and Commissioning of Various Diesel Gensets and Associated Electrical Equipment and Balance of Plant for the Electrification of Seven (7) New Areas in Bohol under the Off-Grid Electrification Project</t>
  </si>
  <si>
    <t xml:space="preserve"> Availability of Bid Documents:  June 15 – June 18, 2020; 8:00AM-5:00PM; Monday Through Friday</t>
  </si>
  <si>
    <t xml:space="preserve"> For the use of OG2, 2ID, PA</t>
  </si>
  <si>
    <t xml:space="preserve"> INTERESTED PARTIES MAY COORDINATE WITH barillajc@sss.gov.ph ON OR BEFORE 6/19/2020</t>
  </si>
  <si>
    <t xml:space="preserve"> Very Important Instruction:</t>
  </si>
  <si>
    <t xml:space="preserve"> • Similar Contracts: On-site overhauling / rebuilding / repair works of diesel engines for diesel power plants</t>
  </si>
  <si>
    <t xml:space="preserve"> https://drive.google.com/file/d/11pOgrjSN9vx66UVLHeBCFgw14stR7TyS/view?usp=drivesdk</t>
  </si>
  <si>
    <t xml:space="preserve"> • Similar Contracts: Supply and delivery of various Personnel Protective Equipment (PPE) and/or any two (2) similar items under this contract</t>
  </si>
  <si>
    <t xml:space="preserve"> https://drive.google.com/file/d/1RfNwpgZ4nKhWLJ_7F-T1c_T5kgX7xDRQ/view?usp=drivesdk</t>
  </si>
  <si>
    <t xml:space="preserve"> BID DOCUMENT IS AVAILABLE AT THE BAC OFFICE DURING OFFICE HOUR.</t>
  </si>
  <si>
    <t xml:space="preserve"> Please refer to the attached RFQ and TOR for further details of the project</t>
  </si>
  <si>
    <t xml:space="preserve"> https://drive.google.com/file/d/1LpN7m14i915AqJLNSjx--RfwuCohZek3/view?usp=drivesdk</t>
  </si>
  <si>
    <t xml:space="preserve"> https://drive.google.com/file/d/1Bxk0GmdiYY1lZOjG2wOrTR2W_FqKGWR4/view?usp=drivesdk</t>
  </si>
  <si>
    <t xml:space="preserve"> https://drive.google.com/file/d/1BQEfmd8lTG7H_tryADUuaWGI4n4iVOMQ/view?usp=drivesdk</t>
  </si>
  <si>
    <t xml:space="preserve"> https://drive.google.com/file/d/1kMLEozAXgkW1orBOSvNNjdbnKL_7mAPz/view?usp=drivesdk</t>
  </si>
  <si>
    <t xml:space="preserve"> https://drive.google.com/file/d/1N8xk1GpL3fuS3teIClj2RFRLWaP7R_Hn/view?usp=drivesdk</t>
  </si>
  <si>
    <t xml:space="preserve"> For other inquiries/concerns about the term of reference (TOR) please contact end-user Ms. Ruby De Guzman / Mr. Ramon Jaurigue / Ms. Mercy Dio (REMB-BEMD) at Trunk Line 479-29-00. SUPPLIER/BIDDER is required to upon submission of offer in the SEALED ENVELOPE attach the following documents; Mayor’s/Business Permit, PhilGEPS Registration Number and Omnibus Sworn Statement. Please submit your quotation to the BAC-Secretariat Ms. Jaymee Deogracias (BAC-Office) 3rd Floor DOE Main Building, Energy Center, Rizal Drive, Bonifacio Global City, Taguig City trunk line 479-2900 loc. 383 or email to: antonio.bautista@doe.gov.ph</t>
  </si>
  <si>
    <t xml:space="preserve"> please submit your quotation addressed to the BAC Chairperson</t>
  </si>
  <si>
    <t xml:space="preserve"> Project Title : CONSTRUCTION OF SEAWALL WITH DRAINAGE CANAL &amp; EMBANKMENT</t>
  </si>
  <si>
    <t xml:space="preserve"> Project Title : ROAD CONCRETING (NEAR MALABOG CREEK, HAMORAON)</t>
  </si>
  <si>
    <t xml:space="preserve"> Prospective supplier must be registered at the Philippine Government Electronic Procurement System (PhilGEPS). You may visit the PhilGEPS website at www.philgeps.gov.ph to register". The Request for Quotation Form can also be downloaded from www.fo4b.dswd.gov.ph</t>
  </si>
  <si>
    <t xml:space="preserve"> Same date and venue.</t>
  </si>
  <si>
    <t xml:space="preserve"> Please inquire at the Office of the BAC Secretariat for more details</t>
  </si>
  <si>
    <t xml:space="preserve"> The original schedule receipt of bid is still on June 16, 2020, 2:00 pm. For the copy of rfq; please copy this link: https://drive.google.com/file/d/16nonoN73l6YMGLtyW9iUNo6opRsXpc1T/view?usp=drivesdk.</t>
  </si>
  <si>
    <t xml:space="preserve"> ABC is Two Million Five Hundred Thousand Pesos Only (Php.2,500,000.00).</t>
  </si>
  <si>
    <t xml:space="preserve"> The receipt of bid/rfq is still on scheduled original receipt of bid, June 16, 2020; 2:00 p.m. For the copy of RFQ; please follow this link: https://drive.google.com/file/d/1RqUlGGHgDLCiPVThSFSbvJnrtOUz5-Lm/view?usp=drivesdk.</t>
  </si>
  <si>
    <t xml:space="preserve"> The original deadline of receipt of bid is still push through on June 16, 2020; 10:00 AM as scheduled. This was late advertised due to technical error. For the copy of ITB; please follow this link: https://drive.google.com/file/d/1-2iQIqdiAHzdWVc808GZtMKu8J2PLgG-/view?usp=drivesdk</t>
  </si>
  <si>
    <t xml:space="preserve"> Please contact Jessica A. Cebrian- School Principal of NORCACES (0946-330-8617)</t>
  </si>
  <si>
    <t xml:space="preserve"> 1. All prospective suppliers must first submit photocopies of Class “A” Documents, and other</t>
  </si>
  <si>
    <t xml:space="preserve"> Please submit your quotation and legal documents until 20 JUNE 2020 thru email at christian_serrano@tpb.gov.ph / bac_sec@tpb.gov.ph, subject to the Terms and Conditions attached herewith, stating the shortest time of delivery, duly signed by your representative to the Procurement and General Services Division, Administrative Department, 4th Floor, Legaspi Towers 300, Roxas Blvd., Manila.</t>
  </si>
  <si>
    <t xml:space="preserve"> All interested bidders/suppliers must submit their request for quotation form (filled up) at the BAC Office 3rd floor Municipal Hall, Abatan, Buguias, Benguet starting June 16, 2020 from 9:00 PM- 4:00 PM.</t>
  </si>
  <si>
    <t xml:space="preserve"> NOTE: Please call ATI IV-A for more details</t>
  </si>
  <si>
    <t xml:space="preserve"> All interested bidders must purchase bid document at Municipal Treasury Office together with the letter of intent before going to the BAC Office, 3rd floor, Municipal Bldg. Abatan, Buguias, Benguet from June 16, 2020 starting 2:00 PM - 4:00 PM.</t>
  </si>
  <si>
    <t xml:space="preserve"> Inquire at the Office of the Provincial Engineer for details.</t>
  </si>
  <si>
    <t xml:space="preserve"> You may download bidding documents using the link below:</t>
  </si>
  <si>
    <t xml:space="preserve"> https://drive.google.com/file/d/1Yp0QgKRraZJM2r81-Sj0ffMoCvfq5ys4/view?usp=drivesdk</t>
  </si>
  <si>
    <t xml:space="preserve"> BID TENDER							</t>
  </si>
  <si>
    <t xml:space="preserve"> 8o							</t>
  </si>
  <si>
    <t xml:space="preserve"> Activity	Date &amp; Time	Venue</t>
  </si>
  <si>
    <t xml:space="preserve"> BID TENDER											</t>
  </si>
  <si>
    <t xml:space="preserve"> 1. Submission of canvass on or before June 24, 2020 @ 2:00 P.M.</t>
  </si>
  <si>
    <t xml:space="preserve"> BID TENDER												</t>
  </si>
  <si>
    <t xml:space="preserve"> The Works consists of Installation of PV MODULE, POLYCRYSTALLINE, Submersible Multi-stage Centrifugal Solar Pump w/ casing including controller w/ data module, motor and pump and control units with cabling and accessories and water pumping system and drilling of 60m. dept. max (including 4” ø Gi pipe casing and 2” ø Discharge Pipe).</t>
  </si>
  <si>
    <t xml:space="preserve"> The Works consists of Installation of 30% Shade net (green) Cover for 37.50 ln.m x 7.0m wide Greenhouse.</t>
  </si>
  <si>
    <t xml:space="preserve"> The Works consists of Construction of 1 unit elevated concrete water tank (L-22.5m x W-2.5 x H-2.0m) with water line (Pipes and fittings).</t>
  </si>
  <si>
    <t xml:space="preserve"> The Works consists of Construction of 193.00 ln.m  4” THK (2 layers) CHB  Canal lining with concrete column and stiffener spaced at every 5.0m.</t>
  </si>
  <si>
    <t xml:space="preserve"> The Works consists of Construction of 196 ln.m  4” THK CHB 2 layers Canal lining with concrete column and stiffener spaced at every 5.0m.</t>
  </si>
  <si>
    <t xml:space="preserve"> A business tax will be levied to the winning Supplier/Contractor based on the total contract cost pursuant to Chapter 2. Article I. Section 11 in relation to Chapter 2. Article 1. Section 7 (a) to (h) of the Revised Revenue Code of Nabunturan 2016.</t>
  </si>
  <si>
    <t xml:space="preserve"> The Works consists of Excavate the slope for the construction of stone masonry besides the temporary building at NVPH and construct Extension of Stone masonry for Slope Protection.</t>
  </si>
  <si>
    <t xml:space="preserve"> The Works consists of Installation of Water Pipe line (1-1/2 2” øGi Pipe, s40) with 8 row distribution line (32mm ø x 65m HDPE Pipe, sdr 17) w/ drippers.</t>
  </si>
  <si>
    <t xml:space="preserve"> ***Please see attached Request for Quotation...</t>
  </si>
  <si>
    <t xml:space="preserve"> Purpose:  for use in various washing/cleaning of vehicle engine and equipment spareparts/repair works at TOEMD and this office. </t>
  </si>
  <si>
    <t xml:space="preserve"> Please print attached file for your quotation</t>
  </si>
  <si>
    <t xml:space="preserve"> The Works consists of Construction of 122.0ln.m (3 layer) 4” THK CHB Canal lining with concrete column and stiffener spaced at every 5.om.</t>
  </si>
  <si>
    <t xml:space="preserve"> Interested Bidder may purchase Bidding Documents in the amount of 500.00 pesos at the BAC Secretariat, Treasurer's Office, Municipal Hall Building.</t>
  </si>
  <si>
    <t xml:space="preserve"> 1.	All prospective suppliers must first submit photocopies of Class “A” Documents, and other Requirements together with the “Original’s” for the conduct of Business Inspection to determine their eligibility prior transacting business with PNPC. </t>
  </si>
  <si>
    <t xml:space="preserve"> For more information, please see or contact the BAC Members of LGU Magallanes, Sorsogon.</t>
  </si>
  <si>
    <t xml:space="preserve"> All particulars relative to Preliminary Examination of Bids, Bid Security, Performance Security, Evaluation of Bids, Post-Qualification and Award of Contract shall be governed by the pertinent provisions of R.A 9184 and its Revised Implementing Rules and Regulations (Revised IRR). Prospective bidders should have completed a similar contract within the last five (5) years with a value of at least 50% of the ABC. The BAC will use non-discretionary “pass/fail” criteria in the screening of Technical Proposal as well as the Preliminary Examination of Bids. The BAC will conduct post-qualification of the Lowest Calculated Bid.</t>
  </si>
  <si>
    <t xml:space="preserve"> PLEASE DOWNLOAD BID DOCUMENTS</t>
  </si>
  <si>
    <t xml:space="preserve"> For More Info.Please Contact:</t>
  </si>
  <si>
    <t xml:space="preserve"> Terms and Conditions:</t>
  </si>
  <si>
    <t xml:space="preserve"> For More Info. Please Contact:</t>
  </si>
  <si>
    <t xml:space="preserve"> Last day of submission of quotation is on June 18, 2020 9:00am.</t>
  </si>
  <si>
    <t xml:space="preserve"> PLS SEE ATTACHED TOR (S1-BIM20-011)</t>
  </si>
  <si>
    <t xml:space="preserve"> Purpose: to be used by the Water Service Connection Installation Section (WSCIS) of the Customer Service Division.</t>
  </si>
  <si>
    <t xml:space="preserve"> PLS SEE ATTACHED TOR (S1-CTL20-004)</t>
  </si>
  <si>
    <t xml:space="preserve"> PLS SEE ATTACHED TOR (PR#S1-MNR20-012)</t>
  </si>
  <si>
    <t xml:space="preserve"> PLS SEE ATTACHED TOR (PR#S1-PLB20-013)</t>
  </si>
  <si>
    <t xml:space="preserve"> PLS SEE ATTACHED TOR (PR#S1-VDP20-010)</t>
  </si>
  <si>
    <t xml:space="preserve"> https://drive.google.com/file/d/1pTbpr-g-SQcqTRe7y7dej9R7cQk1nxiY/view?usp=drivesdk</t>
  </si>
  <si>
    <t xml:space="preserve"> Please see the details/ items on the attached file in associated components.</t>
  </si>
  <si>
    <t xml:space="preserve"> https://drive.google.com/file/d/1plAsgpaah__uSh-nVFAGz8ju6xKxcvXg/view?usp=drivesdk</t>
  </si>
  <si>
    <t xml:space="preserve"> https://drive.google.com/file/d/1K3RYiYKr_QQ8BMsDbIt9gMi0cNYl5uFr/view?usp=drivesdk</t>
  </si>
  <si>
    <t xml:space="preserve"> The Schedule of BAC Activities is as follows:</t>
  </si>
  <si>
    <t xml:space="preserve"> Activity	Date and Time	Venue</t>
  </si>
  <si>
    <t xml:space="preserve"> Alexander G. Diez</t>
  </si>
  <si>
    <t xml:space="preserve"> 1.	Interested supplier/bidder/services should submit their quotation in an official Request for Quotation Form. ( forms are available at Taysan NHS Property Officer)</t>
  </si>
  <si>
    <t xml:space="preserve"> You may see the LCE, Municipality of Caibiran, Biliran</t>
  </si>
  <si>
    <t xml:space="preserve"> Bidders must download documents in the associated components section.</t>
  </si>
  <si>
    <t xml:space="preserve"> none</t>
  </si>
  <si>
    <t xml:space="preserve"> Contact admin</t>
  </si>
  <si>
    <t xml:space="preserve"> PICK UP</t>
  </si>
  <si>
    <t xml:space="preserve"> None</t>
  </si>
  <si>
    <t xml:space="preserve"> GENERAL INSTRUCTIONS TO BIDDERS:							</t>
  </si>
  <si>
    <t xml:space="preserve"> Copy and paste the link below in the URL to download Bidding documents attached.</t>
  </si>
  <si>
    <t xml:space="preserve"> Please see attached PDF for more information.</t>
  </si>
  <si>
    <t xml:space="preserve"> Please see attached PDF files for more information.</t>
  </si>
  <si>
    <t xml:space="preserve"> Please contact the school head of Mahaba ES - Mrs. Arlinda B. Dalogdog (09108792338)</t>
  </si>
  <si>
    <t xml:space="preserve"> Kindly address your Quotation to Engr. Carmela Valencia (BAC Chairperson)</t>
  </si>
  <si>
    <t xml:space="preserve"> The Bidder must quote to all items</t>
  </si>
  <si>
    <t xml:space="preserve"> Date of posting - June 15-22, 2020</t>
  </si>
  <si>
    <t xml:space="preserve"> Date of posting- June 15-22, 2019</t>
  </si>
  <si>
    <t xml:space="preserve"> Please look for BAC Secretary/TWG for bidding documents/clarification, failure of submitting necessary documents will be subjected to disqualification.</t>
  </si>
  <si>
    <t xml:space="preserve"> https://drive.google.com/file/d/1rhK8g2MEt1qyy6Sts6_EyhNdIddPw-Ze/view?usp=drivesdk</t>
  </si>
  <si>
    <t xml:space="preserve"> The participating Security Agency is preferably within the Province of Quezon</t>
  </si>
  <si>
    <t xml:space="preserve"> The participating agency is preferably within Quezon Province</t>
  </si>
  <si>
    <t xml:space="preserve"> https://drive.google.com/file/d/12J50AeeXdmh3OVPCCZ2vRStPXZd0jw4B/view?usp=drivesdk</t>
  </si>
  <si>
    <t xml:space="preserve"> All quotations must be in the prescribed canvass form and suppliers or its duly authorized representative shall personally submit the same to the City Procurement Office, City Government of Antipolo.</t>
  </si>
  <si>
    <t xml:space="preserve"> https://drive.google.com/file/d/1tsIbxG-H9tmSxVV8L4uld-GilMxZb-Vk/view?usp=drivesdk</t>
  </si>
  <si>
    <t xml:space="preserve"> The National Irrigation Administration (NIA), Regional Irrigation Office No.7, through the Small Irrigation Project 2020 intends to apply the sum of One Million One Hundred Eighty-Three Thousand Eight Hundred Pesos &amp; 00/100 (P 1,183,800.00) being the Approved Budget for Contract (ABC) to payment under contract for FURNISHING OF CONSTRUCTION MATERIALS OF CAROL-AN DAGYANGAW SIP, Ayungon, Negros Oriental with Contract No. NOSO-Goods-SIP-04-2020. Bids received in excess of the ABC shall be automatically rejected at bid opening.</t>
  </si>
  <si>
    <t xml:space="preserve"> The National Irrigation Administration (NIA), Regional Irrigation Office No.7, through the Small Irrigation Project 2019 intends to apply the sum of One Million Four Hundred One Thousand Nine Hundred Pesos &amp; 00/100 (P 1,401,900.00) being the Approved Budget for Contract (ABC) to payment under contract for FURNISHING OF CONSTRUCTION MATERIALS OF CAROL-AN DAGYANGAW SIP (CY 2019), Ayungon, Negros Oriental with Contract No. NOSO-Goods-SIP-05-2020. Bids received in excess of the ABC shall be automatically rejected at bid opening.</t>
  </si>
  <si>
    <t xml:space="preserve"> Instruction for Suppliers on how to View/Download the document:</t>
  </si>
  <si>
    <t xml:space="preserve"> please go to link https://drive.google.com/file/d/1NLo-qSzuKBpH9VMgq9x7Y-GJq5jHG9nY/view?usp=drivesdk for a copy of the Bidding Documents</t>
  </si>
  <si>
    <t xml:space="preserve"> Created By: Jomel Anatalio</t>
  </si>
  <si>
    <t xml:space="preserve"> ttps://drive.google.com/file/d/1Hk98lTI3c7OfiiupxKhsnVQ5lG-MJQyL/view?usp=drivesdk</t>
  </si>
  <si>
    <t xml:space="preserve"> 10. For further information, please refer to:</t>
  </si>
  <si>
    <t xml:space="preserve"> Please submit your quotation on or before June 17, 2020 at Procurement Office, Isabela State University Matusalem, Roxas, Isabela.</t>
  </si>
  <si>
    <t xml:space="preserve"> Annex “A”</t>
  </si>
  <si>
    <t xml:space="preserve"> https://drive.google.com/file/d/1NqpeKt5RU-Rt4thG993dsKfe3boMpL7m/view?usp=drivesdk</t>
  </si>
  <si>
    <t xml:space="preserve"> For further information, please contact</t>
  </si>
  <si>
    <t xml:space="preserve"> Please submit your Quotation together with:</t>
  </si>
  <si>
    <t xml:space="preserve"> Inquire at the Office of the Provincial Agriculturist for details.</t>
  </si>
  <si>
    <t xml:space="preserve"> Criteria: Pass or Fail </t>
  </si>
  <si>
    <t xml:space="preserve"> https://drive.google.com/file/d/1EO_yu8YXQXYAXaPcECLPZIxmoiyKxY-5/view?usp=drivesdk</t>
  </si>
  <si>
    <t xml:space="preserve"> Section III. Bid Data Sheet</t>
  </si>
  <si>
    <t xml:space="preserve"> https://drive.google.com/file/d/1JoRzaZ1KWW2e3cDnBcPneHII3Gv8q3rz/view?usp=drivesdk</t>
  </si>
  <si>
    <t xml:space="preserve"> https://drive.google.com/file/d/15Do5M3IAxb1_lr-59XBX-DtIjmkZoomu/view?usp=drivesdk</t>
  </si>
  <si>
    <t xml:space="preserve"> https://drive.google.com/file/d/1uGPCRtagOka6ak5i_nUH1ySjvDM21eBN/view?usp=drivesdk</t>
  </si>
  <si>
    <t xml:space="preserve"> https://drive.google.com/file/d/1kJC_ti7gxM5npTTjJ_wK-WfFE7SBcs2j/view?usp=drivesdk</t>
  </si>
  <si>
    <t xml:space="preserve"> 1. RFQ must be submitted in sealed or open quotation</t>
  </si>
  <si>
    <t xml:space="preserve"> for inquiries please contact Ms. Anabel Alis Basas School BAC Secretariat @09500981535</t>
  </si>
  <si>
    <t xml:space="preserve"> FOR INQUIRIES PLEASE CONTACT MS. ANABEL ALIS BASAS, BAC SECRETARIAT@09500981535</t>
  </si>
  <si>
    <t xml:space="preserve"> Procurement of Anti-flu vaccines for the Oplan Bantay-Kalusugan : Immunization Program 2020</t>
  </si>
  <si>
    <t xml:space="preserve"> For inquiries please contact Ms. Anabel Alis Basas BAC Secretariat @09500981535</t>
  </si>
  <si>
    <t xml:space="preserve"> If unable to download associated components (RFQs, etc.), send email request to the above email address.</t>
  </si>
  <si>
    <t xml:space="preserve"> FOR INQUIRIES PLEASE CONTACT MS. ANABEL ALIS BASAS BAC SECRETTARIAT @09500981535</t>
  </si>
  <si>
    <t xml:space="preserve"> FOR INQUIRIES PLEASE CONTACT MS. ANABEL ALIS BASAS SCHOOL BAC SECRETARIAT@09500981535</t>
  </si>
  <si>
    <t xml:space="preserve"> Procurement of Janitorial Supplies for Barangay Magallanes use :</t>
  </si>
  <si>
    <t xml:space="preserve"> FOR INQUIRIES PLEASE CONTACT MS. ANABEL ALIS BASAS BAC SCERATARIAT@09500981535</t>
  </si>
  <si>
    <t xml:space="preserve"> Procurement of Barangay ID Printer colored for Barangay Magallanes use :</t>
  </si>
  <si>
    <t xml:space="preserve"> Procurement of Cooling fans for Barangay Magallanes use :</t>
  </si>
  <si>
    <t xml:space="preserve"> Procurement of Waste Segregation program para sa Barangay Magallanes :</t>
  </si>
  <si>
    <t xml:space="preserve"> Procurement of Supplies and Materials for Barangay Traffic Enforcers: </t>
  </si>
  <si>
    <t xml:space="preserve"> Procurement of Motor vehicle for Barangay Peace and Order :</t>
  </si>
  <si>
    <t xml:space="preserve"> Procurement of Medical Equipment for Barangay Clinic use :</t>
  </si>
  <si>
    <t xml:space="preserve"> Procurement of Office Equipment for Barangay Use :</t>
  </si>
  <si>
    <t xml:space="preserve"> DENNIS S. BESA </t>
  </si>
  <si>
    <t xml:space="preserve"> https://drive.google.com/file/d/16S9zQkvbzpL6YDQSLmIHaZFS8GnQoIuK/view?usp=drivesdk</t>
  </si>
  <si>
    <t xml:space="preserve"> 1.	Quotation must be your single best offer.</t>
  </si>
  <si>
    <t xml:space="preserve"> https://drive.google.com/file/d/1xOAzBaSofinmytC1ZBrVN-42ks4Ut6ws/view?usp=drivesdk </t>
  </si>
  <si>
    <t xml:space="preserve"> https://drive.google.com/file/d/151M_JuA6ROuJUobYPJp3qqG_ypt1N54i/view?usp=drivesdk</t>
  </si>
  <si>
    <t xml:space="preserve"> Please see attach RFQ</t>
  </si>
  <si>
    <t xml:space="preserve"> Buyer: J.S. Medina</t>
  </si>
  <si>
    <t xml:space="preserve"> Please see attached quotation sheet and Terms of Reference</t>
  </si>
  <si>
    <t xml:space="preserve"> Buyer: N.B. Camama</t>
  </si>
  <si>
    <t xml:space="preserve"> Bidders are required to read the instructions:</t>
  </si>
  <si>
    <t xml:space="preserve"> Buyer: A.S. Dizon</t>
  </si>
  <si>
    <t xml:space="preserve"> Please see attached RFQ for more details.</t>
  </si>
  <si>
    <t xml:space="preserve"> OTHER INFORMATION</t>
  </si>
  <si>
    <t xml:space="preserve"> 3 units split type aircondition with installation</t>
  </si>
  <si>
    <t xml:space="preserve"> https://drive.google.com/file/d/1q9NOJh5yuy00xjRdnxbPMShONmv55_cJ/view?usp=drivesdk</t>
  </si>
  <si>
    <t xml:space="preserve"> For inquiries you may contact the BAC Secretariat at (082) 227-4073/2463 local 1142 or 0923-7216533/0917-3156929/0999-8878095(call only) local 1142</t>
  </si>
  <si>
    <t xml:space="preserve"> https://drive.google.com/file/d/1Pq5d7vAi_EzFsPKs3HS4YhqajZAScNWm/view?usp=drivesdk</t>
  </si>
  <si>
    <t xml:space="preserve"> https://drive.google.com/file/d/1eJqRrgxhlI1if8_K-b_FwtO5ZuQK0mpS/view?usp=drivesdk</t>
  </si>
  <si>
    <t xml:space="preserve"> https://drive.google.com/file/d/1ib9RS0GvD0NYftGCxgO1KQWDibnRWBY7/view?usp=drivesdk</t>
  </si>
  <si>
    <t xml:space="preserve"> BIDDING DATE: JULY 6, 2020 @ 9:00 A.M.</t>
  </si>
  <si>
    <t xml:space="preserve"> https://drive.google.com/file/d/1iHh2YA4ElsX1RNutOeTO76No7063l9UW/view?usp=drivesdk</t>
  </si>
  <si>
    <t xml:space="preserve"> Please see the BAC for further information and clarification</t>
  </si>
  <si>
    <t xml:space="preserve"> Bidder's must download the attached document in the associated component section.</t>
  </si>
  <si>
    <t xml:space="preserve"> Bidding document 500.00 Non-refundable</t>
  </si>
  <si>
    <t xml:space="preserve"> LOI - 06/19/2020</t>
  </si>
  <si>
    <t xml:space="preserve"> letter of intent - 06/19/2020</t>
  </si>
  <si>
    <t xml:space="preserve"> NOTE: BUDGET AMOUNT IS INCLUSIVE OF VAT</t>
  </si>
  <si>
    <t xml:space="preserve"> For more information contact Mr. Jaime C. Ogrimen  CP#09095464597. Items must be delivered to Lawaan National School of Craftsmanship and Home Industries (LNSCH), Lawaan, Eastern Samar</t>
  </si>
  <si>
    <t xml:space="preserve"> Deadline for submission of bids will be on JUNE 23, 2020, 10:00 A.M. at the Supply Office, Town Hall, Poblacion, Kibungan, Benguet.</t>
  </si>
  <si>
    <t xml:space="preserve"> https://drive.google.com/file/d/18VIttbt_AMpdOiU9AD8Bny4ewuYbeLVD/view?usp=drivesdk</t>
  </si>
  <si>
    <t xml:space="preserve"> Bid Opening Date: June 22, 2020</t>
  </si>
  <si>
    <t xml:space="preserve"> Note: Please bring any prof that your are safe in COVID-19 Pandamic.</t>
  </si>
  <si>
    <t xml:space="preserve"> SIR/MADAM:						</t>
  </si>
  <si>
    <t xml:space="preserve"> There will be no pre-bid conference</t>
  </si>
  <si>
    <t xml:space="preserve"> Please be informed that the Bid Documents can’t be downloaded from the website. Prospective bidders are requested to acquire the documents directly and personally from the BAC Secretariat upon payment at the Municipal Treasury Office a corresponding fee of Php500.00 for the said project.</t>
  </si>
  <si>
    <t xml:space="preserve"> Pls. See Attached RFQ Files...</t>
  </si>
  <si>
    <t xml:space="preserve"> Bidding Activities	Schedule / Venue</t>
  </si>
  <si>
    <t xml:space="preserve"> Suppliers/Bidders must download the attached supporting documents at the associated component section.</t>
  </si>
  <si>
    <t xml:space="preserve"> Please bring any prof that you are safe of COVID-19 Pandamic.</t>
  </si>
  <si>
    <t xml:space="preserve"> Please download BID DOCUMENT in the Associated Component</t>
  </si>
  <si>
    <t xml:space="preserve"> - Bulk Density, loose (g/cc) : 1.0</t>
  </si>
  <si>
    <t xml:space="preserve"> A. Bill of materials: VAT included: (delivered @ Site)																		</t>
  </si>
  <si>
    <t xml:space="preserve"> Suppliers/bidders must download the attached documents in the associated component section.</t>
  </si>
  <si>
    <t xml:space="preserve"> Brand names of all items must be indicated in the bid</t>
  </si>
  <si>
    <t xml:space="preserve"> This Posting is done on behalf of unregistered procuring entity (Brgy. Napnapan)</t>
  </si>
  <si>
    <t xml:space="preserve"> The Municipal Government of Liliw, Laguna reserves the right to reject any or all bids, to declare the bidding a failure or waive any or all information and to award such bids to the supplier whose bid is considered most advantageous to the government.</t>
  </si>
  <si>
    <t xml:space="preserve"> Please see attached associated components,</t>
  </si>
  <si>
    <t xml:space="preserve"> 1.) 13 Units CACAO GRINDER</t>
  </si>
  <si>
    <t xml:space="preserve"> SEE ATTACHED RFQ</t>
  </si>
  <si>
    <t xml:space="preserve"> Please see attached associated components.</t>
  </si>
  <si>
    <t xml:space="preserve"> NO STATUTORY BENEFITS SHALL BE CHARGED AS FREE</t>
  </si>
  <si>
    <t xml:space="preserve"> The winning bidder will deliver the item at ATI-RTC XII, San Felipe, Tantangan, South Cotabato.</t>
  </si>
  <si>
    <t xml:space="preserve"> Rebid.</t>
  </si>
  <si>
    <t xml:space="preserve"> Brand names of all items must be indicated in the bid.</t>
  </si>
  <si>
    <t xml:space="preserve"> The winning bidder will deliver the items at ATI-RTC XII, San Felipe, Tantangan, South Cotabato.</t>
  </si>
  <si>
    <t xml:space="preserve"> Please download attached Request For Quotation (RFQ)  for your reference.</t>
  </si>
  <si>
    <t xml:space="preserve"> Pre-bid conference will be held on June 18, 2020 at Siniloan Water District Office, Bibiana Bldg., E. Castro St., Brgy. Bagumbarangay, Siniloan, Laguna</t>
  </si>
  <si>
    <t xml:space="preserve"> Bid documents shall be available for issuance at the PNOC-Procurement Division at the G/F of the PNOC Building from 9:00 AM – 3:00 PM.</t>
  </si>
  <si>
    <t xml:space="preserve"> https://drive.google.com/file/d/13hztPT5VHfT3SGLd7q4KN5p2hpBMyCAN/view?usp=drivesdk</t>
  </si>
  <si>
    <t xml:space="preserve"> https://drive.google.com/file/d/1PkaNyMy5EDTKNbSGscYObHDnuycUOAfg/view?usp=drivesdk</t>
  </si>
  <si>
    <t xml:space="preserve"> The schedule of opening of bid will be on June 29, 2020 at exactly 2 o'clock in the afternoon at the BAC Office c/o Budget Office LGU Dauis, Bohol.</t>
  </si>
  <si>
    <t xml:space="preserve"> Interested bidders may obtain further information from Barangay Government of Barangay Tagpopongan through the Bids and Awards Committee Secretariat and inspect the Bidding Documents at the address given below during office hours.</t>
  </si>
  <si>
    <t xml:space="preserve"> BIDDING DATE:  JULY 6, 2020 @ 9:00 A.M.</t>
  </si>
  <si>
    <t xml:space="preserve"> BIDDERS MUST DOWNLOAD THE ATTACHED DOCUMENT IN THE ASSOCIATED COMPONENT SECTION</t>
  </si>
  <si>
    <t xml:space="preserve"> The winning bidder will deliver the items at ATI Learning Site in Datu Abdullah Sangki and Sultan sa Barongis Maguindanao.</t>
  </si>
  <si>
    <t xml:space="preserve"> https://www.philgeps.gov.ph/GEPSNONPILOT/Tender/CreateNoticeStep2UI.aspx?RefID=7041741</t>
  </si>
  <si>
    <t xml:space="preserve"> Suppliers/Bidders must download the attached supporting documents at the associated component section</t>
  </si>
  <si>
    <t xml:space="preserve"> https://www.philgeps.gov.ph/GEPSNONPILOT/Tender/CreateNoticeStep2UI.aspx?RefID=7041774</t>
  </si>
  <si>
    <t xml:space="preserve"> https://www.philgeps.gov.ph/GEPSNONPILOT/Tender/CreateNoticeStep2UI.aspx?RefID=7041768</t>
  </si>
  <si>
    <t xml:space="preserve"> The BAC is conducting the public bidding for this Contract in accordance with the 2016 Revised IRR of RA 9184.</t>
  </si>
  <si>
    <t xml:space="preserve"> Deadline for submission of bids will be on June 23, 2020, 10:00 A.M. at the Supply Office, Town Hall, Poblacion, Kibungan, Benguet.</t>
  </si>
  <si>
    <t xml:space="preserve"> https://www.philgeps.gov.ph/GEPSNONPILOT/Tender/CreateNoticeStep2UI.aspx?RefID=7041752</t>
  </si>
  <si>
    <t xml:space="preserve"> Bidding Documents may be purchased by the Interested Bidders on June 17-18, 2020 from 8:00 A.M to 5:00 P.M. and upon payment of non - refundable fee of Five Hundred Pesos (Php 500.00).</t>
  </si>
  <si>
    <t xml:space="preserve"> Date of Advertisement:  June 12-19, 2020</t>
  </si>
  <si>
    <t xml:space="preserve"> The ERC, for the 1st extension of this opportunity, now invites suppliers</t>
  </si>
  <si>
    <t xml:space="preserve"> https://www.philgeps.gov.ph/GEPSNONPILOT/Tender/CreateNoticeStep2UI.aspx?RefID=7041955</t>
  </si>
  <si>
    <t xml:space="preserve"> https://www.philgeps.gov.ph/GEPSNONPILOT/Tender/CreateNoticeStep2UI.aspx?RefID=7041944</t>
  </si>
  <si>
    <t xml:space="preserve"> https://www.philgeps.gov.ph/GEPSNONPILOT/Tender/CreateNoticeStep2UI.aspx?RefID=7041962</t>
  </si>
  <si>
    <t xml:space="preserve"> https://www.philgeps.gov.ph/GEPSNONPILOT/Tender/CreateNoticeStep2UI.aspx?RefID=7041977</t>
  </si>
  <si>
    <t xml:space="preserve"> Fund 164</t>
  </si>
  <si>
    <t xml:space="preserve"> https://www.philgeps.gov.ph/GEPSNONPILOT/Tender/CreateNoticeStep2UI.aspx?RefID=7041983</t>
  </si>
  <si>
    <t xml:space="preserve"> Fund 101</t>
  </si>
  <si>
    <t xml:space="preserve"> https://www.philgeps.gov.ph/GEPSNONPILOT/Tender/CreateNoticeStep2UI.aspx?RefID=7041994</t>
  </si>
  <si>
    <t xml:space="preserve"> https://www.philgeps.gov.ph/GEPSNONPILOT/Tender/CreateNoticeStep2UI.aspx?RefID=7042018</t>
  </si>
  <si>
    <t xml:space="preserve"> https://www.philgeps.gov.ph/GEPSNONPILOT/Tender/CreateNoticeStep2UI.aspx?RefID=7042004</t>
  </si>
  <si>
    <t xml:space="preserve"> Fund:101</t>
  </si>
  <si>
    <t xml:space="preserve"> https://www.philgeps.gov.ph/GEPSNONPILOT/Tender/CreateNoticeStep2UI.aspx?RefID=7042029</t>
  </si>
  <si>
    <t xml:space="preserve"> https://drive.google.com/file/d/1RJIdB07Yb0n-SJnluD8UILNFBh5BrS64/view?usp=drivesdk</t>
  </si>
  <si>
    <t xml:space="preserve"> https://drive.google.com/file/d/1rtF9SIXSwzP0YsAaGEKkv1--lvEgWll3/view?usp=drivesdk</t>
  </si>
  <si>
    <t xml:space="preserve"> https://www.philgeps.gov.ph/GEPSNONPILOT/Tender/CreateNoticeStep2UI.aspx?RefID=7042093</t>
  </si>
  <si>
    <t xml:space="preserve"> https://www.philgeps.gov.ph/GEPSNONPILOT/Tender/CreateNoticeStep2UI.aspx?RefID=7042071</t>
  </si>
  <si>
    <t xml:space="preserve"> Please download the attached Invitation to Bid, Bidding Documents, Terms of Reference and Eligibility Checklist in the associated component.</t>
  </si>
  <si>
    <t xml:space="preserve"> https://www.philgeps.gov.ph/GEPSNONPILOT/Tender/CreateNoticeStep2UI.aspx?RefID=7042047</t>
  </si>
  <si>
    <t xml:space="preserve"> https://www.philgeps.gov.ph/GEPSNONPILOT/Tender/CreateNoticeStep2UI.aspx?RefID=7042059</t>
  </si>
  <si>
    <t xml:space="preserve"> For more information kindly contact:</t>
  </si>
  <si>
    <t xml:space="preserve"> Alfredo M. Maduay</t>
  </si>
  <si>
    <t xml:space="preserve"> https://www.philgeps.gov.ph/GEPSNONPILOT/Tender/CreateNoticeStep2UI.aspx?RefID=7042131</t>
  </si>
  <si>
    <t xml:space="preserve"> https://www.philgeps.gov.ph/GEPSNONPILOT/Tender/CreateNoticeStep2UI.aspx?RefID=7042106</t>
  </si>
  <si>
    <t xml:space="preserve"> https://www.philgeps.gov.ph/GEPSNONPILOT/Tender/CreateNoticeStep2UI.aspx?RefID=7042118</t>
  </si>
  <si>
    <t xml:space="preserve"> https://www.philgeps.gov.ph/GEPSNONPILOT/Tender/CreateNoticeStep2UI.aspx?RefID=7042152</t>
  </si>
  <si>
    <t xml:space="preserve"> https://www.philgeps.gov.ph/GEPSNONPILOT/Tender/CreateNoticeStep2UI.aspx?RefID=7042187</t>
  </si>
  <si>
    <t xml:space="preserve"> https://www.philgeps.gov.ph/GEPSNONPILOT/Tender/CreateNoticeStep2UI.aspx?RefID=7042168</t>
  </si>
  <si>
    <t xml:space="preserve"> For further information please contact the BAC Secratariat</t>
  </si>
  <si>
    <t xml:space="preserve"> https://www.philgeps.gov.ph/GEPSNONPILOT/Tender/CreateNoticeStep2UI.aspx?RefID=7042289</t>
  </si>
  <si>
    <t xml:space="preserve"> Please submit sealed quotation.</t>
  </si>
  <si>
    <t xml:space="preserve"> https://www.philgeps.gov.ph/GEPSNONPILOT/Tender/CreateNoticeStep2UI.aspx?RefID=7042331</t>
  </si>
  <si>
    <t xml:space="preserve"> All suppliers must submit their quotation together with the following:</t>
  </si>
  <si>
    <t xml:space="preserve"> 1. SUBMERSIBLE MOTOR* : PLEASE SEE ATTACHED SPECIFICATION (ABC: PHP 80,000.00) </t>
  </si>
  <si>
    <t xml:space="preserve"> The office suggested to interested suppliers to come to office for any clarifications on the sizing of the acrylic dividers. Please look for Jose Urville Don Maliper for the assistance.</t>
  </si>
  <si>
    <t xml:space="preserve"> ITB</t>
  </si>
  <si>
    <t xml:space="preserve"> https://drive.google.com/file/d/1qweY_HTi67b9bNX8y0S33wJqFwwz_ney/view?usp=drivesdk</t>
  </si>
  <si>
    <t xml:space="preserve"> 1. SUBMERSIBLE PUMP : PLEASE SEE ATTACHED SPECIFICATION (ABC: PHP 50,000.00) </t>
  </si>
  <si>
    <t xml:space="preserve"> Also  available in DPWH Website</t>
  </si>
  <si>
    <t xml:space="preserve"> For further information please see attached bidding document or contact BAC Secretariat</t>
  </si>
  <si>
    <t xml:space="preserve"> Quezon City</t>
  </si>
  <si>
    <t xml:space="preserve"> fax or email your quotation</t>
  </si>
  <si>
    <t xml:space="preserve"> https://drive.google.com/file/d/14aMNNxWyiBL7yy41pceB-BhXlNkoDzHy/view?usp=drivesdk</t>
  </si>
  <si>
    <t xml:space="preserve"> Buyer: K.C. Lacatan</t>
  </si>
  <si>
    <t xml:space="preserve"> For further information please see attached bidding documents or contact BAC Secretariat</t>
  </si>
  <si>
    <t xml:space="preserve"> 1. SUBMERSIBLE MOTOR* : PLEASE SEE ATTACHED SPECIFICATION (ABC: PHP 400,000.00) </t>
  </si>
  <si>
    <t xml:space="preserve"> https://drive.google.com/file/d/1A0X7XPnMovaaOtYBxCRIqMeHR8v1GKAX/view?usp=drivesdk</t>
  </si>
  <si>
    <t xml:space="preserve"> 1. SUBMERSIBLE CABLE ROUND : PLEASE SEE ATTACHED SPECIFICATION (ABC: PHP 500,000.00) </t>
  </si>
  <si>
    <t xml:space="preserve"> 1. SUBMERSIBLE PUMP : PLEASE SEE ATTACHED SPECIFICATION (ABC: PHP 400,000.00) </t>
  </si>
  <si>
    <t xml:space="preserve"> 3,000 liters deisel fuel</t>
  </si>
  <si>
    <t xml:space="preserve"> ITB </t>
  </si>
  <si>
    <t xml:space="preserve"> Please refer to the attached RFQ for other details and specifications</t>
  </si>
  <si>
    <t xml:space="preserve"> Project Description:</t>
  </si>
  <si>
    <t xml:space="preserve"> For further information, Please refer to:</t>
  </si>
  <si>
    <t xml:space="preserve"> Contact Person:</t>
  </si>
  <si>
    <t xml:space="preserve"> Project Title: Supply of Tissue Paper, Paper Towel and Facial Tissue</t>
  </si>
  <si>
    <t xml:space="preserve"> Please download Bid documents online thru the associated component under the Bid Notice Abstract</t>
  </si>
  <si>
    <t xml:space="preserve"> All quotations will be collated and checked a day after the 7 days posting. Note that all price quotation shall be ERROR-FREE and TAX INCLUSIVE. Please ensure that submitted quotation contains COMPLETE, CORRECT, AND SPECIFIC DESCRIPTION of items being requested/quoted and ATTACH AVAILABLE SPECIFICATIONS/BROCHURES/PAMPHLET for reference. FAILURE TO COMPLY ABOVEMENTIONED CONDITIONS WILL BE GROUNDS FOR DISQUALIFICATION. Please address your quotation to the BAC chairman, Roberto Estrella. If you cannot submit personally, you may send your quotation through email at bacsecretariat@baliwagwd.com</t>
  </si>
  <si>
    <t xml:space="preserve"> 1. VARIABLE FREQUENCY DRIVE (VFD)* : PLEASE SEE ATTACHED SPECIFICATION (ABC: PHP 700,000.00) </t>
  </si>
  <si>
    <t xml:space="preserve"> Please download complete Bid Documents for your reference.</t>
  </si>
  <si>
    <t xml:space="preserve"> POTENTIAL SUPPLIER MUST BE WITHIN THE LOCALITIES OR NEARBY TOWNS ONLY.</t>
  </si>
  <si>
    <t xml:space="preserve"> Please refer to the attached RFQ and TOR for other details and specifications</t>
  </si>
  <si>
    <t xml:space="preserve"> Warranty : 6 months from receipt of materials</t>
  </si>
  <si>
    <t xml:space="preserve"> I	EARTHWORKS		</t>
  </si>
  <si>
    <t xml:space="preserve"> quotation shall be submitted via email (lbphobac@mail.landbank.com) not later than June 17,2020, 3:00PM</t>
  </si>
  <si>
    <t xml:space="preserve"> Interested bidders may obtain further information from Palawan 2nd District Engineering Office (BAC Secretariat) and inspect the Bidding Documents at the address given below during 8:00am to 5:00pm.</t>
  </si>
  <si>
    <t xml:space="preserve"> 1.	Advertisement /Posting of Invitation to Bid/Request for Express of Interest-June 12- 22, 2020 - PhilGEPS, GSO</t>
  </si>
  <si>
    <t xml:space="preserve"> quotation shall be submitted via email (lbphobac@mail.landbank.com) not later than June 24,2020, 3:00PM</t>
  </si>
  <si>
    <t xml:space="preserve"> The BAC is conducting the public bidding for this contract in accordance with RA 9184 and its Implementing Rules and Regulations (IRR).</t>
  </si>
  <si>
    <t xml:space="preserve"> https://drive.google.com/file/d/10u_N8hIxX-lq9AUSPKVsv3Wiaahojg_b/view?usp=drivesdk</t>
  </si>
  <si>
    <t xml:space="preserve"> Pre-Eligibility Conference : June 19, 2020 @ 9:00AM</t>
  </si>
  <si>
    <t xml:space="preserve"> https://drive.google.com/file/d/1efI4v3IaBO2rCsXGz1pKEYfxwOwGfJcr/view?usp=drivesdk</t>
  </si>
  <si>
    <t xml:space="preserve"> https://www.philgeps.gov.ph/GEPSNONPILOT/Tender/CreateNoticeStep2UI.aspx?RefID=7043090</t>
  </si>
  <si>
    <t xml:space="preserve"> https://www.philgeps.gov.ph/GEPSNONPILOT/Tender/CreateNoticeStep2UI.aspx?RefID=7043100</t>
  </si>
  <si>
    <t xml:space="preserve"> Pre-Eligibility Conference : June 22, 2020 @ 9:00AM</t>
  </si>
  <si>
    <t xml:space="preserve"> Please see attached and download Request For Quotation # 20-1097-1.</t>
  </si>
  <si>
    <t xml:space="preserve"> Also available at DPWH website.</t>
  </si>
  <si>
    <t xml:space="preserve"> Special Condition:</t>
  </si>
  <si>
    <t xml:space="preserve"> https://www.philgeps.gov.ph/GEPSNONPILOT/Tender/CreateNoticeStep2UI.aspx?RefID=7043105</t>
  </si>
  <si>
    <t xml:space="preserve"> https://drive.google.com/file/d/1J5ayj-CJ4QxAxeZycKR5XBr7_TAlyeLW/view?usp=drivesdk</t>
  </si>
  <si>
    <t xml:space="preserve"> https://drive.google.com/file/d/1slXCfEJIO1uGVISJwq7JVMxJb2QPRwrr/view?usp=drivesdk</t>
  </si>
  <si>
    <t xml:space="preserve"> Please submit the following:</t>
  </si>
  <si>
    <t xml:space="preserve"> ADDITIONAL INSTRUCTION TO BIDDERS:</t>
  </si>
  <si>
    <t xml:space="preserve"> Please download attached Request For Quotation (RFQ) for your reference</t>
  </si>
  <si>
    <t xml:space="preserve"> To download the bidding document, please visit this link - https://drive.google.com/file/d/10o__TqAyBh90YUFZd4LLTEcYomyYE-Vj/view?usp=drivesdk</t>
  </si>
  <si>
    <t xml:space="preserve"> Please download attached Request For Quotation (RFQ) for your reference.</t>
  </si>
  <si>
    <t xml:space="preserve"> The BAC shall issue bidding documents upon payment of Five Thousand Pesos Only (Php5,000.00) to the disbursing/ collecting officer of the LGU.</t>
  </si>
  <si>
    <t xml:space="preserve"> Prospective bidder may seek further information through BAC Office @ 469-9056.</t>
  </si>
  <si>
    <t xml:space="preserve"> Prospective bidders may seek further information through BAC Office @ 469-9056.</t>
  </si>
  <si>
    <t xml:space="preserve"> 1. Issuance of Bidding Documents</t>
  </si>
  <si>
    <t xml:space="preserve"> June 10, 2020</t>
  </si>
  <si>
    <t xml:space="preserve"> .   For further information, please refer to:</t>
  </si>
  <si>
    <t xml:space="preserve"> CONSTRUCTION SUPPLIES</t>
  </si>
  <si>
    <t xml:space="preserve"> Please contact to Mr. Reno C. Salazar the BAC Secretary with CP # 09459852914 or you may call to Ms. Ma. Teresa L. Minguyez the BAC Chairperson. Thanks and God Bless us all.</t>
  </si>
  <si>
    <t xml:space="preserve"> Bid Opening shall be on June 26, 2020, 09:30 AM at the Conference Room, Office of the Mayor,  2/f Municipal Hall Building, Municipal Compound, Brgy. Poblacion, Calintaan, Occ. Mindoro.</t>
  </si>
  <si>
    <t xml:space="preserve"> To support COVID-19 related programs and projects</t>
  </si>
  <si>
    <t xml:space="preserve"> https://drive.google.com/file/d/1yWjzUO4QIi_2hG618xavU0cCjLxFOJUe/view?usp=drivesdk 20CN0151 PLAN PART 1</t>
  </si>
  <si>
    <t xml:space="preserve"> https://drive.google.com/file/d/1fFNaHjAj2yIrYCCgS3uQTekGNyfLsTiK/view?usp=drivesdk</t>
  </si>
  <si>
    <t xml:space="preserve"> Conduct of Community Service</t>
  </si>
  <si>
    <t xml:space="preserve"> Barangay Government Unit										</t>
  </si>
  <si>
    <t xml:space="preserve"> https://drive.google.com/file/d/1RLl-6TGTcRePDl8DTIIDDeiuTyOMYziY/view?usp=drivesdk 20CN0152 PLAN</t>
  </si>
  <si>
    <t xml:space="preserve"> The Department of Public Works and Highways - Mountain Province First District Engineering Office, through the PRE-DETAILED ENGINEERING (PDE) intends to apply the sum of Php2,331,606.86,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</si>
  <si>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https://drive.google.com/file/d/1TUwXkF-iQ-DLD50aXTfMz4Wussvrs3WV/view?usp=drivesdk 20CN0150 PLAN</t>
  </si>
  <si>
    <t xml:space="preserve"> To support the Government in the Conduct of Check Point at National Highway and other related COVID-19 Activities</t>
  </si>
  <si>
    <t xml:space="preserve"> https://drive.google.com/file/d/1YNx-FehQTk_V0JNsX4JFfsaiZjPyA0da/view?usp=drivesdk</t>
  </si>
  <si>
    <t xml:space="preserve"> Cost of Bid Docs: Php 10,000.00</t>
  </si>
  <si>
    <t xml:space="preserve"> For use in the Office of the Municipal Accountant.</t>
  </si>
  <si>
    <t xml:space="preserve"> BAC ACTIVITY DATES:</t>
  </si>
  <si>
    <t xml:space="preserve"> https://drive.google.com/file/d/1pBpBkqo1apwxQUeTkN2XYKcLyRuDvJBU/view?usp=drivesdk</t>
  </si>
  <si>
    <t xml:space="preserve"> Please visit BAC office</t>
  </si>
  <si>
    <t xml:space="preserve"> Submission of Bids June 11, 2020 until July 8, 2020 @12noon</t>
  </si>
  <si>
    <t xml:space="preserve"> It may also be downloaded free of charge for the website of the Philippine Ports Authority at www.ppa.com.ph</t>
  </si>
  <si>
    <t xml:space="preserve"> Venue: Barangay Hall, Capsay, Aroroy, Masbate</t>
  </si>
  <si>
    <t xml:space="preserve"> please call to: 0998-247-0239  &amp; 0906-256-9238  for other details</t>
  </si>
  <si>
    <t xml:space="preserve"> please call To: 0998-247-0239  &amp;  0906-256-9238  for other details . . .</t>
  </si>
  <si>
    <t xml:space="preserve"> Submission of Bids June 11, 2020 until June 19, 2020 @ 12noon</t>
  </si>
  <si>
    <t xml:space="preserve"> Deadline of Submission of QUOTATION JUNE 17 2020 10:00AM</t>
  </si>
  <si>
    <t xml:space="preserve"> Bid Opening shall be on June 19, 2020, 09:30 AM at the Conference Room, Office of the Mayor,  2/f Municipal Hall Building, Municipal Compound, Brgy. Poblacion, Calintaan, Occ. Mindoro.</t>
  </si>
  <si>
    <t xml:space="preserve"> Cost of Documents: Php 1,000.00</t>
  </si>
  <si>
    <t xml:space="preserve"> For more Details on the Procurement Please call Dr. Estela B. Tuse- Municipal Health Officer of Bindoy thru- 09177954200</t>
  </si>
  <si>
    <t xml:space="preserve"> Bidders are required to read the instructions and fill ALL the blanks in typewritten form or written legibly in permanent ink.</t>
  </si>
  <si>
    <t xml:space="preserve"> Fund Source - 20% EDF Current</t>
  </si>
  <si>
    <t xml:space="preserve"> Submission of Quotation June 11, 2020 until June 19, 2020 @12noon</t>
  </si>
  <si>
    <t xml:space="preserve"> For copies of the bidding documents and technical specifications, kindly click the associated components.</t>
  </si>
  <si>
    <t xml:space="preserve"> Tax, delivery and other incidental expenses must be included in the quotation.</t>
  </si>
  <si>
    <t xml:space="preserve"> CO - MAyor's Office</t>
  </si>
  <si>
    <t xml:space="preserve"> The winning bidder will deliver the item at ATI-RTC 12 Training Complex, San Felipe, Tantangan, South Cotabato.</t>
  </si>
  <si>
    <t xml:space="preserve"> Please indicate if quotation includes installation service and warranty coverage.</t>
  </si>
  <si>
    <t xml:space="preserve"> 1.	Request for Proposal	:	June 11, 2020</t>
  </si>
  <si>
    <t xml:space="preserve"> FOR INQUIRY PROCEED TO BARANGAY HALL OF BACAO TAYSAN BATANGAS</t>
  </si>
  <si>
    <t xml:space="preserve"> 1.	Request for Expression of Interest	:	June 11, 2020 to June 18, 2020</t>
  </si>
  <si>
    <t xml:space="preserve"> Funding Source - 20% EDF Current</t>
  </si>
  <si>
    <t xml:space="preserve"> Please see attached file</t>
  </si>
  <si>
    <t xml:space="preserve"> 20% EDF CY 2020</t>
  </si>
  <si>
    <t xml:space="preserve"> CO-Mayor's Office</t>
  </si>
  <si>
    <t xml:space="preserve"> For more information, please see or contact the BAC Members of LGU-Magallanes, Sorsogon.</t>
  </si>
  <si>
    <t xml:space="preserve"> TECHNICAL SPECIFICATION</t>
  </si>
  <si>
    <t xml:space="preserve"> BIDDERS MUST DOWNLOAD THE ATTACHED DOCUMENTS IN THE ASSOCIATED COMPONENT SECTION.</t>
  </si>
  <si>
    <t xml:space="preserve"> Bidders must download the attached document in the associated component section.</t>
  </si>
  <si>
    <t xml:space="preserve"> Please contact the BAC Secretariat at the Municipal Budget Office, 2nd floor Municipal Building, LGU-Talisay Camarines Norte</t>
  </si>
  <si>
    <t xml:space="preserve"> FOR INQUIRY PLEAS PROCEED TO BRGY. MAPULO</t>
  </si>
  <si>
    <t xml:space="preserve"> BIDDING DOCUMENTS AVAILABLE AT ENGINEERING'S OFFICE, SAN AGUSTIN, SAN SIMON, PAMPANGA</t>
  </si>
  <si>
    <t xml:space="preserve"> Venue: Training &amp; Production Center, Lanang, Aroroy, Masbate</t>
  </si>
  <si>
    <t xml:space="preserve"> schedule of BAC Activities </t>
  </si>
  <si>
    <t xml:space="preserve"> 1. ISSUANCE OF BID DOCUMENTS - JUNE 10, 2020- JUNE 25, 2020</t>
  </si>
  <si>
    <t xml:space="preserve"> For more details you may call/visit BAC Secretariat @ LGU POLANCO, Polanco, Z. N.</t>
  </si>
  <si>
    <t xml:space="preserve"> for more information just contact barangay secretariat of Barangay 8 Poblacion Tigbauan, Iloilo</t>
  </si>
  <si>
    <t xml:space="preserve"> Bid Documents can also be downloaded at www.fo4b.dswd.gov.ph (Invitation to Bid)</t>
  </si>
  <si>
    <t xml:space="preserve"> The Department of Public Works and Highways - Mountain Province First District Engineering Office, through the PRE-DETAILED ENGINEERING (PDE) intends to apply the sum of Php3,682,655.14, inclusive of 5% contingency being the Approved Budget for the Contract (ABC) to payments under the contract for the Geotechnical Investigation for Slope Protection Projects along Various Road Sections in Mountain Province for FY 2020  Bids received in excess of the ABC shall be automatically rejected at the opening of the Financial Proposals.</t>
  </si>
  <si>
    <t xml:space="preserve"> PLS SEE ATTACHED TOR (PR#S1-BRS20-013)</t>
  </si>
  <si>
    <t xml:space="preserve"> https://drive.google.com/file/d/1LR6_7q1qoe8mfgLpx1CLoa26Hx2xdew_/view?usp=drivesdk</t>
  </si>
  <si>
    <t xml:space="preserve"> for more information just contact barangay secretariat of Barangay Baguingin , Tigbauan, Iloilo</t>
  </si>
  <si>
    <t xml:space="preserve"> BAC ACTIVITIES AND SCHEDULE</t>
  </si>
  <si>
    <t xml:space="preserve"> https://drive.google.com/file/d/1lc2mocFNnhy3ak3Sl9SStldVPW0nQp4d/view?usp=drivesdk</t>
  </si>
  <si>
    <t xml:space="preserve"> Buyer: J.F. Ramos</t>
  </si>
  <si>
    <t xml:space="preserve"> The winning bidder will deliver the Chicks at ATI-RTC XII, San Felipe, Tantangan, South Cotabato.</t>
  </si>
  <si>
    <t xml:space="preserve"> Buyer: N.R. Abarquez</t>
  </si>
  <si>
    <t xml:space="preserve"> MOOE 2020</t>
  </si>
  <si>
    <t xml:space="preserve"> • Similar Contracts - Lease of Modular Diesel Generating Sets or Operation and Maintenance (O &amp; M) of Diesel Generating Sets</t>
  </si>
  <si>
    <t xml:space="preserve"> Opening of BIDs is on June 30, 2020 at the Municipal Session Hall, Municipal Building, Pagsanghan, Samar</t>
  </si>
  <si>
    <t xml:space="preserve"> Issuance of bidding documents at BAC Office on June 11 to June 19, 2020 at 10:00 a.m.</t>
  </si>
  <si>
    <t xml:space="preserve"> https://drive.google.com/file/d/1LbjJ49ooBfp0PmAYYGOwxB5SoqqP3hF2/view?usp=drivesdk</t>
  </si>
  <si>
    <t xml:space="preserve"> https://drive.google.com/file/d/1EdoGFeNBrsPxz8ItZl_FugaQPV7Yb1aL/view?usp=drivesdk</t>
  </si>
  <si>
    <t xml:space="preserve"> COPY AND PASTE IN THE BROWSER THE LINK BELOW TO VIEW RFQ OR CANVASS; </t>
  </si>
  <si>
    <t xml:space="preserve"> Annual Budget (LCPC) CY 2020</t>
  </si>
  <si>
    <t xml:space="preserve"> The winning bidder will deliver the Animal Feeds  at ATI-RTC XII, San Felipe, Tantangan, south Cotabato.</t>
  </si>
  <si>
    <t xml:space="preserve"> BIDDERS MUST DOWNLOAD THE ATTACHED DOCUMENTS IN THE ASSOCIATED COMPONENT SECTION</t>
  </si>
  <si>
    <t xml:space="preserve"> COPY AND PASTE IN BROWSER THE LINK BELOW TO VIEW RFQ OR CANVASS: </t>
  </si>
  <si>
    <t xml:space="preserve"> • Similar Contracts: Lease of Modular Diesel Generating Sets or Operation and Maintenance (O &amp; M) of Diesel Generating Sets </t>
  </si>
  <si>
    <t xml:space="preserve"> Bidder must have 3 years(minimum experience) in completing sub projects in the local government unit of Barbaza. All equipments to be utilized such as excavator, dump trucks, wheel loader and transit mixers are owned by the contractor.</t>
  </si>
  <si>
    <t xml:space="preserve"> For any inquiries for the Pre-Bid via Zoom Meeting Conference and availability of Bidding Documents, please contact the BAC Secretariat thru 09127876414.</t>
  </si>
  <si>
    <t xml:space="preserve"> COPY AND PASTE IN BROWSER THE LINK BELOW TO VIEW RFQ OR CANVASS:</t>
  </si>
  <si>
    <t xml:space="preserve"> https://drive.google.com/file/d/1BrsjpXY8GDHXHGAOZdrwyTR40K5wv_vR/view?usp=drivesdk</t>
  </si>
  <si>
    <t xml:space="preserve"> Please contact:</t>
  </si>
  <si>
    <t xml:space="preserve"> INQUIRE AT BAC OFFICE, MUNICIPAL HALL, TAMBULIG, ZAMBOANGA DEL SUR</t>
  </si>
  <si>
    <t xml:space="preserve"> TO BE EVALUATED PER LOT</t>
  </si>
  <si>
    <t xml:space="preserve"> The package will include complete accessories, fittings and installation.</t>
  </si>
  <si>
    <t xml:space="preserve"> During submission of Letter of Intent (LOI), kindly bring original copies of PCAB License, Mayor’s Business Permit and Department of Trade and Industry (DTI) Business Name Registration, authorization from the Authorized Managing Officer (AMO) is not allowed.</t>
  </si>
  <si>
    <t xml:space="preserve"> https://drive.google.com/file/d/1ZAseh7mEfcEXR1zYbve9zxJvF2MspaM0/view?usp=drivesdk</t>
  </si>
  <si>
    <t xml:space="preserve"> https://drive.google.com/file/d/1R6BSJ-S-plq9rXac-Sjg7jXc0yMkUbLI/view?usp=drivesdk</t>
  </si>
  <si>
    <t xml:space="preserve"> TO BE EVALUATED PER LOT.</t>
  </si>
  <si>
    <t xml:space="preserve"> https://drive.google.com/file/d/1dMDtO5W452JrkiEPcPRwLQ16qI_SpWTK/view?usp=drivesdk</t>
  </si>
  <si>
    <t xml:space="preserve"> DOWNLOAD RFQ &amp; MEMO @ THE ASSOCIATED COMPONENTS. BOTH DOCS SHALL BE SUBMITTED</t>
  </si>
  <si>
    <t xml:space="preserve"> 20% LDF CY 2020</t>
  </si>
  <si>
    <t xml:space="preserve"> https://drive.google.com/file/d/19WOIURr1s2YQB2aL2GnZtntXEGwbre0S/view?usp=drivesdk</t>
  </si>
  <si>
    <t xml:space="preserve"> https://drive.google.com/file/d/1S6AMxFSt3QsXNHdNXda-dolkWuFZ3IkS/view?usp=drivesdk</t>
  </si>
  <si>
    <t xml:space="preserve"> The winning bidder will deliver the piglets at a designated area/place identified by the Office.</t>
  </si>
  <si>
    <t xml:space="preserve"> PLS SEE ATTACHED TOR (PR#S1-BAT20-010)</t>
  </si>
  <si>
    <t xml:space="preserve"> https://drive.google.com/file/d/1DxYmysjvVmF2bRdJ-Mff4_KKzTU97TmU/view?usp=drivesdk</t>
  </si>
  <si>
    <t xml:space="preserve"> https://drive.google.com/file/d/1nb6vK_XpIbFLjZ0sPR_RoHGLfwhqMLdZ/view?usp=drivesdk</t>
  </si>
  <si>
    <t xml:space="preserve"> Please see attached files @ Other Information</t>
  </si>
  <si>
    <t xml:space="preserve"> by administration</t>
  </si>
  <si>
    <t xml:space="preserve"> The closing date shall be on the 3rd day after the date published in the Philgeps website</t>
  </si>
  <si>
    <t xml:space="preserve"> 1.  Issuance of Bid Documents	June 10, 2020	</t>
  </si>
  <si>
    <t xml:space="preserve"> Department of Public Works and Highways (DPWH)</t>
  </si>
  <si>
    <t xml:space="preserve"> Please see attached file @ Other Information</t>
  </si>
  <si>
    <t xml:space="preserve"> https://drive.google.com/file/d/1natSq5oHrkLRGY3nwxcoA52BFQu_sF4W/view?usp=drivesdk</t>
  </si>
  <si>
    <t xml:space="preserve"> A COMPLETE SET OF BIDDING DOCUMENTS MAY BE AVAILABLE ON JUNE 16, 2020 AT THE ADDRESS BELOW.</t>
  </si>
  <si>
    <t xml:space="preserve"> Please see Associated Component attached.</t>
  </si>
  <si>
    <t xml:space="preserve"> PERCY M. BORRO</t>
  </si>
  <si>
    <t xml:space="preserve"> Bidding Documents:.</t>
  </si>
  <si>
    <t xml:space="preserve"> Bidding Documents:</t>
  </si>
  <si>
    <t xml:space="preserve"> PLS SEE ATTACHED TOR (PR#S1-CAT20-020)</t>
  </si>
  <si>
    <t xml:space="preserve"> 1.) 2 Units 0.75HP AIR CONDITIONER</t>
  </si>
  <si>
    <t xml:space="preserve"> ACTIVITIES SCHEDULE:</t>
  </si>
  <si>
    <t xml:space="preserve"> LGSF-Assistance to the Municipalities</t>
  </si>
  <si>
    <t xml:space="preserve"> https://drive.google.com/file/d/1A-NqeEKFWLBKq_UAla1rxxRYt1fNA7Xg/view?usp=drivesdk</t>
  </si>
  <si>
    <t xml:space="preserve"> Note:								</t>
  </si>
  <si>
    <t xml:space="preserve"> 1.)	54	bags	Portland Cement</t>
  </si>
  <si>
    <t xml:space="preserve"> https://drive.google.com/file/d/1I2Sz3lqoO4q3NgExZ24uiwZ1ya-qd9JA/view?usp=drivesdk</t>
  </si>
  <si>
    <t xml:space="preserve"> 1.)	74	bags	Portland Cement</t>
  </si>
  <si>
    <t xml:space="preserve"> 1.)	2	rolls	No. 60 Layout String (nylon)</t>
  </si>
  <si>
    <t xml:space="preserve"> The winning bidder will deliver the Feeds at a designated place/area of the project.</t>
  </si>
  <si>
    <t xml:space="preserve"> 1.)	4	length	G.I Pipe 4”</t>
  </si>
  <si>
    <t xml:space="preserve"> &gt; 2,500 Pcs RED PEANUT WITH SHELL</t>
  </si>
  <si>
    <t xml:space="preserve"> copy this link to google drive to download bidding documents:</t>
  </si>
  <si>
    <t xml:space="preserve"> &gt; 200 Pcs Toilet Bowl (Ceramic)</t>
  </si>
  <si>
    <t xml:space="preserve"> Bidding Documents Alternative download link: https://drive.google.com/file/d/1XsWua7wbTgiQ-sgsFQQhdLei4NtbT_sR/view?usp=drivesdk</t>
  </si>
  <si>
    <t xml:space="preserve"> https://drive.google.com/file/d/1R29bMEfT6IxSI5X66-X0ITwmFk-F9c11/view?usp=drivesdk</t>
  </si>
  <si>
    <t xml:space="preserve"> Bidding Documents Alternative download link: https://drive.google.com/file/d/1Gam4Wf_ul6EYbrAY6_YAKr-23MnHAIBZ/view?usp=drivesdk</t>
  </si>
  <si>
    <t xml:space="preserve"> copy this link to google drive to download bidding documetns:</t>
  </si>
  <si>
    <t xml:space="preserve"> Opening of Quotation shall be on June 18, 2020, 2:00 P.M. at the PPA Conference Room, PMO-Zamboanga del Norte, Port Area, Dapitan City.</t>
  </si>
  <si>
    <t xml:space="preserve"> Bidding Documents Alternative download link: https://drive.google.com/file/d/1_hyJZrAB5KiulXemQ_YiLwTU8-e21kWl/view?usp=drivesdk</t>
  </si>
  <si>
    <t xml:space="preserve"> Bidding Documents Alternative download link: https://drive.google.com/file/d/1R1KsVkeRtLq43z7LHa3_xPdoGp6NAnL6/view?usp=drivesdk</t>
  </si>
  <si>
    <t xml:space="preserve"> https://drive.google.com/file/d/1YdvmE-V1ktAOilC8WI5n6JpK8fkdzW2C/view?usp=drivesdk</t>
  </si>
  <si>
    <t xml:space="preserve"> https://drive.google.com/file/d/1-F5KnwELbvu9rXLWyfAUBmNS72XRa3H6/view?usp=drivesdk</t>
  </si>
  <si>
    <t xml:space="preserve"> https://drive.google.com/file/d/1dkDZzdF7-eHDn7NpenptZR__i0u5GBoz/view?usp=drivesdk</t>
  </si>
  <si>
    <t xml:space="preserve"> https://drive.google.com/file/d/1aI_Qbp3u0EZ4sYHemoe6lO3QAkrg6GHM/view?usp=drivesdk</t>
  </si>
  <si>
    <t xml:space="preserve"> https://drive.google.com/file/d/1_9LA1RNjnIzxMu4dYVYyjyDsiykoEP-D/view?usp=drivesdk</t>
  </si>
  <si>
    <t xml:space="preserve"> https://drive.google.com/file/d/1jYQqoSxvzQSmNCf6TUzC_hBEb_AjQVee/view?usp=drivesdk</t>
  </si>
  <si>
    <t xml:space="preserve"> https://drive.google.com/file/d/1iKMzCISt_k5OuQga6Url8TB5N8oxibHa/view?usp=drivesdk</t>
  </si>
  <si>
    <t xml:space="preserve"> ITEM NO.	ITEM &amp; DESCRIPTION	UNIT	QTY</t>
  </si>
  <si>
    <t xml:space="preserve"> The Schedule of BAC activities is as follows:</t>
  </si>
  <si>
    <t xml:space="preserve"> • Complete Project Title: Supply, Delivery, Installation and Test of Split Type Metal Enclosure (STME) and Other Accessories Needed for the Reinforcement of the Buckle Anomaly and Damaged Flange Connection of Ilijan Natural Gas Pipeline</t>
  </si>
  <si>
    <t xml:space="preserve"> • Similar Contracts: Dry docking and Ship repair</t>
  </si>
  <si>
    <t xml:space="preserve"> Interested bidders must download the bidding documents found in the associated components.</t>
  </si>
  <si>
    <t xml:space="preserve"> Repair and Rehabilitation</t>
  </si>
  <si>
    <t xml:space="preserve"> BIDDERS MUST DOWNLOAD THE ATTACHED DOCUMENT IN THE ASSOCIATED COMPONENT</t>
  </si>
  <si>
    <t xml:space="preserve"> The Municipal Government of Rizal, Occidental Mindoro reserves the right to reject any and all bids, declare a failure of bidding, or not award the contract at any time prior to contract award in accordance with Section 41 of RA 9184 and its IRR, without thereby incurring any liability to the affected bidder or bidders.</t>
  </si>
  <si>
    <t xml:space="preserve"> LABOR COST NOT INCLUDED</t>
  </si>
  <si>
    <t xml:space="preserve"> The significant times and deadlines of procurement activities are shown below:</t>
  </si>
  <si>
    <t xml:space="preserve"> https://drive.google.com/file/d/1ZHHAbRTyg10HwBBhYLTCc7sTSK5VhI9O/view?usp=drivesdk</t>
  </si>
  <si>
    <t xml:space="preserve"> Improvement and Istallation of 2 pcs Culvert Purok 3, Nupolan, Josefina, ZDS</t>
  </si>
  <si>
    <t xml:space="preserve"> PHILIPPINE BIDDING DOCUMENT</t>
  </si>
  <si>
    <t xml:space="preserve"> https://drive.google.com/file/d/1J3S1xwpjJ2DndBVmJyKlKpzzdIg1UBX7/view?usp=drivesdk</t>
  </si>
  <si>
    <t xml:space="preserve"> Please send your Quotations thru sealed bid addressed to the Regional Bids and Awards Committee Area IV-B c/o RBAC Secretariat, Landbank San Pablo Branch (2nd floor), Colago Avenue Brgy. I-A San Pablo City, Laguna</t>
  </si>
  <si>
    <t xml:space="preserve"> 1.Suppliers/Bidders must download the attached Bid Document in the associated component section.</t>
  </si>
  <si>
    <t xml:space="preserve"> Province of Iloilo</t>
  </si>
  <si>
    <t xml:space="preserve"> Check associated components</t>
  </si>
  <si>
    <t xml:space="preserve"> Check associated components.</t>
  </si>
  <si>
    <t xml:space="preserve"> BID TENDER								</t>
  </si>
  <si>
    <t xml:space="preserve"> Coverall, Disposable	100	pc.</t>
  </si>
  <si>
    <t xml:space="preserve"> 049-501-6490-101</t>
  </si>
  <si>
    <t xml:space="preserve"> 0495016490101</t>
  </si>
  <si>
    <t xml:space="preserve"> Please inquire at the Office of the BAC Secretariat for more details...</t>
  </si>
  <si>
    <t xml:space="preserve"> Diluent 20 Liters	9	Box</t>
  </si>
  <si>
    <t xml:space="preserve"> Bidding Document Fee:     PhP5,000.00</t>
  </si>
  <si>
    <t xml:space="preserve"> Bid Document Fee:     PhP5,000.00</t>
  </si>
  <si>
    <t xml:space="preserve"> You can also download the items and specifications at our official website: www.cebucity.gov.ph under For</t>
  </si>
  <si>
    <t xml:space="preserve"> 1.	Notice of Procurement	:	June 10, 2020</t>
  </si>
  <si>
    <t xml:space="preserve"> Please see the attached in he associated components</t>
  </si>
  <si>
    <t xml:space="preserve"> 1              Earthworks:</t>
  </si>
  <si>
    <t xml:space="preserve"> 1	2	set	BIOSYSTEMS GLUCOSE REAGENT - A15	</t>
  </si>
  <si>
    <t xml:space="preserve"> I          Demolition                                                          1.00           L.S.</t>
  </si>
  <si>
    <t xml:space="preserve"> Please see the attached in the associated components</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</si>
  <si>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</si>
  <si>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1. 	Water Purification Tablets 17.5 g	20,000	Tablets	40,000.00	Within 30 Calendar Days from receipt of the NTP	DOH – WV CHD</t>
  </si>
  <si>
    <t xml:space="preserve"> BAC Resolution No. 2020-025 dated May 2020 re: Resolution Implementing Safety Measures during BAC Meetings including Online Bid Submission, Videoconferencing and other Procurement Procedures relative to the Control and Prevention of Corona Virus Disease 2019 (COVID-19), opening of bids is on June 22, 2020 (MONDAY) at 2:00PM or 48-hours after the deadline of submission.</t>
  </si>
  <si>
    <t xml:space="preserve"> Bidder must download the attached document in Associated Components.</t>
  </si>
  <si>
    <t xml:space="preserve"> 1.	Cryovials, 2ml Graduated self standing tube with cap, sterile	50	Packs	55,000.00	Within 30 Calendar Days from receipt of the NTP	DOH – WV CHD</t>
  </si>
  <si>
    <t xml:space="preserve"> 1.	TB Kits in Children (HRZE)	1100	Kits	1,474,396.00	Within 30 Calendar Days from receipt of the NTP	DOH – WV CHD</t>
  </si>
  <si>
    <t xml:space="preserve"> Item Lists:</t>
  </si>
  <si>
    <t xml:space="preserve"> You may see the Brgy. Chairman of Brgy. Palanay, Municipality of Caibiran</t>
  </si>
  <si>
    <t xml:space="preserve"> For more information,please see or contact the BAC Members of Brgy. Salvacion, Magallanes, Sorsogon.</t>
  </si>
  <si>
    <t xml:space="preserve"> Deadline of submission is on or before June  19, 2020 @ 1:00 pm</t>
  </si>
  <si>
    <t xml:space="preserve"> https://drive.google.com/file/d/1Op9CkAkOnfzy89C13fTlKPO9NV_ZeUft/view?usp=drivesdk</t>
  </si>
  <si>
    <t xml:space="preserve"> https://drive.google.com/file/d/1SvMGBAETTzEufjkL-ej7OpNVQkqfvl2C/view?usp=drivesdk</t>
  </si>
  <si>
    <t xml:space="preserve"> https://drive.google.com/file/d/1FGR-ud2VF4o7uVSs2fh31Jm51bn38rhW/view?usp=drivesdk</t>
  </si>
  <si>
    <t xml:space="preserve"> Please see personally the head of the BAC secretariat for the availability of the bid document upon payment of the non-refundable amount of P 5,000.00 to the Cashier.</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</si>
  <si>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</si>
  <si>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https://drive.google.com/file/d/1quhMtRnAqfR3qqTMHVuidO5x2LUU_8bd/view?usp=drivesdk</t>
  </si>
  <si>
    <t xml:space="preserve"> Note: Upon submission, please attach the followng requirements.</t>
  </si>
  <si>
    <t xml:space="preserve"> For more information, please see or contact the BAC Members of Behia, magallanes, Sorsogon.</t>
  </si>
  <si>
    <t xml:space="preserve"> Bidding Date: July 1, 2020, 2:00PM at the Municipal Conference Hall, Galimuyod, Ilocos Sur</t>
  </si>
  <si>
    <t xml:space="preserve"> https://drive.google.com/file/d/1GVO6X0sUJ3-83eE1dBiKZbHo6y6DFEKL/view?usp=drivesdk</t>
  </si>
  <si>
    <t xml:space="preserve"> ALL INTERESTED BIDDERS ARE REQUIRED TO SUBMIT THEIR COMPLETE ELIGIBILITY REQUIREMENTS TO THE BAC FOR EVALUATION DURING THE PRE-BID CONFERENCE ON JUNE 17, 2020 9:00A.M. AT THE BAC SECRETARIAT OFFICE, 2ND FLOOR, CITY HALL OF DASMARIÑAS, CAVITE. BIDDERS WHO SHALL FAIL TO ATTEND THE PRE-BID SHALL NOT BE ALLOWED TO JOIN THE BIDDING FOR THE AFORESAID PROJECT. </t>
  </si>
  <si>
    <t xml:space="preserve"> A complete set of Bidding Documents will be provided by PNBAC Secretariat to the interested Bidders upon payment of a non-refundable fee in the amount of FIVE THOUSAND PESOS (P5,000.00) only at CRB, CPMU, Philippine Navy Finance Center (PNFC), Naval Station Jose Francisco, Fort Bonifacio, Taguig City.</t>
  </si>
  <si>
    <t xml:space="preserve"> Delivery at job site.</t>
  </si>
  <si>
    <t xml:space="preserve"> June 11, 2020 - Issuance of Bidding Documents</t>
  </si>
  <si>
    <t xml:space="preserve"> Bidding Docs Php500.00</t>
  </si>
  <si>
    <t xml:space="preserve"> 1	Mobile Corn Mill	1	unit</t>
  </si>
  <si>
    <t xml:space="preserve"> BIDDERS MUST BE FROM WITHIN SALUG ZAMBOANGA DEL NORTE AND MUST HAVE A PHYSICAL ADDRESS WITH IN THE SAID MUNICIPALITY.</t>
  </si>
  <si>
    <t xml:space="preserve"> BDRRMF 2020</t>
  </si>
  <si>
    <t xml:space="preserve"> Bidders shall pay the BAC a non-refundable fee of Php5,000.00 for the Bidding Documents, upon securing hard copies of the Documents. Bidders that download the Documents from the DPWH/PhilGEPS website shall pay the fee upon submission of their bids. </t>
  </si>
  <si>
    <t xml:space="preserve"> 1	Mobile Rice Mill	1	unit</t>
  </si>
  <si>
    <t xml:space="preserve"> Capital Outlay</t>
  </si>
  <si>
    <t xml:space="preserve"> Bid opening will be June 26, 2020, 10:30AM at DENR-PENRO Conference Hall, Bulanao, Tabuk City, Kalinga.</t>
  </si>
  <si>
    <t xml:space="preserve"> please see attached bidding documents</t>
  </si>
  <si>
    <t xml:space="preserve"> 20% EDF CY 2020 Projects</t>
  </si>
  <si>
    <t xml:space="preserve"> Downloads available at the Associated Components/Bid Supplements pages.</t>
  </si>
  <si>
    <t xml:space="preserve"> https://drive.google.com/file/d/14zbyzg3OaNugYfTyZh4gfUC2N0C1w-ls/view?usp=drivesdk</t>
  </si>
  <si>
    <t xml:space="preserve"> 468 bags   40 kgs Portland Cement</t>
  </si>
  <si>
    <t xml:space="preserve"> 1 2 units Motorcycle (preferably YAMAHA AEROX 155)</t>
  </si>
  <si>
    <t xml:space="preserve"> 1 pcs Submersible pump</t>
  </si>
  <si>
    <t xml:space="preserve"> Delivery of Materials for the Improvement of Multi Purpose Building</t>
  </si>
  <si>
    <t xml:space="preserve"> 1 1 lot Training Package (for 150 pax x 12 session)</t>
  </si>
  <si>
    <t xml:space="preserve"> Materials for Improvement of Day Care Center</t>
  </si>
  <si>
    <t xml:space="preserve"> 1          17         pcs        Whole bamboo, 4"- 6" dia. 40ft long</t>
  </si>
  <si>
    <t xml:space="preserve"> 1. Issuance of Bid Documents June 10 to June 22, 2020 5:00 PM</t>
  </si>
  <si>
    <t xml:space="preserve"> NOTE: To all Suppliers,</t>
  </si>
  <si>
    <t xml:space="preserve"> Bid opening will be on June 26, 2020, 10:30AM at DENR-PENRO Conference Hall, Bulanao, Tabuk City, Kalinga.</t>
  </si>
  <si>
    <t xml:space="preserve"> 1. Letter of Intent of Contractor must be signed original with PhilGEPS Certificate of Registration (Platinum Category) and Valid PCAB License and Registration.</t>
  </si>
  <si>
    <t xml:space="preserve"> Suppliers are required to submit their quotation/written proposal with the following documents on or before JUNE 17, 2020 9:00 AM at BAC Office, this LGU, to wit:</t>
  </si>
  <si>
    <t xml:space="preserve"> This procurement is done by lot.</t>
  </si>
  <si>
    <t xml:space="preserve"> PLS SEE ATTACHED TOR (PR#S1-CDP20-009)</t>
  </si>
  <si>
    <t xml:space="preserve"> A complete set of Bidding Documents will be provided by PNBAC Secretariat to the interested Bidders upon payment of a non-refundable fee in the amount of  TEN THOUSAND PESOS (P10,000.00) only at CRB, CPMU, Philippine Navy Finance Center (PNFC), Naval Station Jose Francisco, Fort Bonifacio, Taguig City.</t>
  </si>
  <si>
    <t xml:space="preserve"> ELIGIBILITY CHECK REQUIREMENTS FOR THE PROCUREMENT OF INFRASTRUCTURE PROJECT</t>
  </si>
  <si>
    <t xml:space="preserve"> Opening of bids June 29, 2020 @ 2:00 PM at Dap-ay di Tubo Poblacion Tubo abra.</t>
  </si>
  <si>
    <t xml:space="preserve"> BID DOCS: https://drive.google.com/file/d/1sXVE5o4Zi-e_qKfkFgbbdJJU0q3j_A2Y/view?usp=drivesdk</t>
  </si>
  <si>
    <t xml:space="preserve"> Opening of bids June 29, 2020 @2:00 PM at Dap-ay di Tubo Poblacion Tubo Abra</t>
  </si>
  <si>
    <t xml:space="preserve"> PLS SEE ATTACHED TOR (PR#S1-MMG20-008)</t>
  </si>
  <si>
    <t xml:space="preserve"> COPY AND PASTE IN THE BROWSER THE LINK BELOW TO VIEW THE BIDDING DOCUMENTS: </t>
  </si>
  <si>
    <t xml:space="preserve"> Opening of bids June 29, 2020 @ 4:00 PM at Dap-ay di Tubo Poblacion, Tubo Abra.</t>
  </si>
  <si>
    <t xml:space="preserve"> 1.	Disinfectants (surfaces)	220	Bottles	319,000.00	Within 30 Calendar Days from receipt of the NTP	DOH – WV CHD</t>
  </si>
  <si>
    <t xml:space="preserve"> 1. Date of First Publication: JUNE 10, 2020</t>
  </si>
  <si>
    <t xml:space="preserve"> https://drive.google.com/file/d/1fjI6SwKQAp5cnWbFQuD83AgleZJujMnS/view?usp=drivesdk</t>
  </si>
  <si>
    <t xml:space="preserve"> Please contact et.malong@philrice.gov.ph or emilymalong95@gmail.com</t>
  </si>
  <si>
    <t xml:space="preserve"> Annual Budget CY 2020</t>
  </si>
  <si>
    <t xml:space="preserve"> 1.	N95 Mask (20’s/Box)	180	Boxes	547,200.00	Within 30 Calendar Days from receipt of the NTP	DOH – WV CHD</t>
  </si>
  <si>
    <t xml:space="preserve"> DONA D. SALMOS, RN, MAN </t>
  </si>
  <si>
    <t xml:space="preserve"> Please click the Associated Components for the Checklist of Requirements. Thank you.</t>
  </si>
  <si>
    <t xml:space="preserve"> https://drive.google.com/file/d/18EYaZx4AkRMBmFKmaDGIQVRdnkX7uwBb/view?usp=drivesdk</t>
  </si>
  <si>
    <t xml:space="preserve"> https://drive.google.com/file/d/1seyLDLyFdWepxQJh0_nhdyQV9XPuaDnH/view?usp=drivesdk</t>
  </si>
  <si>
    <t xml:space="preserve"> PLS SEE ATTACHED TOR (PR#S1-BRS20-020)</t>
  </si>
  <si>
    <t xml:space="preserve"> The Schedule of BAC activities are as follows:						</t>
  </si>
  <si>
    <t xml:space="preserve"> https://drive.google.com/file/d/1yhLAza5HzFkH3346cyKJqGsY-pWdVOeF/view?usp=drivesdk</t>
  </si>
  <si>
    <t xml:space="preserve"> https://drive.google.com/file/d/1LCVXNTKkD1yVOgg5jIEO2ulmb2YOnzd_/view?usp=drivesdk</t>
  </si>
  <si>
    <t xml:space="preserve"> https://drive.google.com/file/d/1RVwUva7R4YzKwafK4FBrWzYR3xi9_j7A/view?usp=drivesdk</t>
  </si>
  <si>
    <t xml:space="preserve"> https://drive.google.com/file/d/1K3CqprhmqlPKmqcIIrrcpj3_HtGNyfPt/view?usp=drivesdk</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</si>
  <si>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t>
  </si>
  <si>
    <t xml:space="preserve"> Please contact the Procurement Unit for your terms and conditions.</t>
  </si>
  <si>
    <t xml:space="preserve"> Please see attached at Associated Components</t>
  </si>
  <si>
    <t xml:space="preserve"> https://drive.google.com/file/d/1MkJfAxZeCnFsKJn5A75b5pr7-UhTXJ9S/view?usp=drivesdk</t>
  </si>
  <si>
    <t xml:space="preserve"> https://drive.google.com/file/d/14IOK5E1NAtOk5fsbeBXBQXI6KM-YdADA/view?usp=drivesdk</t>
  </si>
  <si>
    <t xml:space="preserve"> Purpose: To upgrade the present ICT System Infrastructure of the College for  Web Applications, Relational Databases, Storage and Cloud Applications</t>
  </si>
  <si>
    <t xml:space="preserve"> by Administration</t>
  </si>
  <si>
    <t xml:space="preserve"> 1	Bidders are required to read the instructions  and fill ALL the blanks in typewritten form or written legibly in permanent ink.						</t>
  </si>
  <si>
    <t xml:space="preserve"> PLS SEE ATTACHED TOR (PR#S1-CAT20-019)</t>
  </si>
  <si>
    <t xml:space="preserve"> Purpose: To upgrade, expand the College Network Infrastructure (Local Area Networks, Wifi Connectivity) to Gigabit Network.</t>
  </si>
  <si>
    <t xml:space="preserve"> https://drive.google.com/file/d/1wEjKxqq5Ti3cKJsP4tL5FW-4u1-kLd71/view?usp=drivesdk</t>
  </si>
  <si>
    <t xml:space="preserve"> ELIGIBILITY AND TECHNICAL COMPONENTS:</t>
  </si>
  <si>
    <t xml:space="preserve"> PLS SEE ATTACHED TOR (PR#S1-MRN20-005)</t>
  </si>
  <si>
    <t xml:space="preserve"> Deadline for submission of bids will be on JUNE 30, 2020, 10:00 A.M. at the Supply Office, Town Hall, Poblacion, Kibungan, Benguet.</t>
  </si>
  <si>
    <t xml:space="preserve"> https://drive.google.com/file/d/1ATUYDG3WdIN10jYCLRAE1_mYvnXVsUps/view?usp=drivesdk</t>
  </si>
  <si>
    <t xml:space="preserve"> Please see attached Bidding Documents for more details.</t>
  </si>
  <si>
    <t xml:space="preserve"> Please check links below to download Plan.</t>
  </si>
  <si>
    <t xml:space="preserve"> Please check link below to download Plan.</t>
  </si>
  <si>
    <t xml:space="preserve"> https://tinyurl.com/ycknztec</t>
  </si>
  <si>
    <t xml:space="preserve"> https://tinyurl.com/yct3f77n</t>
  </si>
  <si>
    <t xml:space="preserve"> https://tinyurl.com/yct2njqh</t>
  </si>
  <si>
    <t xml:space="preserve"> The Local Government Unit of Natividad through the 20% MDF CY 2020 intends to apply the sum of Five Hundred Thousand Pesos &amp; 00/100 Centavos Only (Php 500,000.00) being the Approved Budget for the Contract (ABC) to payments under the contract for the LAND DEVELOPMENT OF THE SOCIALIZED HOUSING PROJECT at Barangay San Maximo, Natividad, Pangasinan. Bids received in excess of the ABC shall be automatically rejected at bid opening.</t>
  </si>
  <si>
    <t xml:space="preserve"> Bidders must download the attached document in the associated component.</t>
  </si>
  <si>
    <t xml:space="preserve"> 1.	The Municipal Government of Sabangan, through the 2018 Special Education Fund intends to apply the sum of One million four hundred ninety five thousand seven hundred two pesos and thirty one centavos (Php. 1,495,702.31) being the Approved Budget for the Contract (ABC) to payments under the contract for Construction of Capinitan Elementary School, Phase 1. Bids received in excess of the ABC shall be automatically rejected at bid opening.</t>
  </si>
  <si>
    <t xml:space="preserve"> Please Contact Jaren D. Ducay, BAC Secretariat at 09956498330</t>
  </si>
  <si>
    <t xml:space="preserve"> Bidding will be conducted through open competitive bidding procedures using a nondiscretionary “pass/fail” criterion as specified in the 2016 Revised Implementing Rules and Regulations (IRR) of Republic Act (RA) 9184, otherwise known as the “Government Procurement Reform Act”. Bidding is restricted to Filipino citizens/sole proprietorships, partnerships, or organizations with at least sixty percent (60%) interest or outstanding capital stock belonging to citizens of the Philippines, and to citizens or organizations of a country, the laws or regulations of which grant similar rights or privileges to Filipino citizens, pursuant to RA 5183. </t>
  </si>
  <si>
    <t xml:space="preserve"> https://tinyurl.com/ybzv3x6r</t>
  </si>
  <si>
    <t xml:space="preserve"> 1.	The Municipal Government of Sabangan, through the 20% 2020 MDF &amp; 20% 2018 MDF intends to apply the sum of Two million one hundred fifteen thousand four hundred nineteen pesos and twenty-one centavos (Php. 2,115,419.21) being the Approved Budget for the Contract (ABC) to payments under the contract for CLUSTER C10-2020 (1. Improvement of Gayang school ground, 2. Continuation of Bisibisan water works, 3. Improvement of Supang elementary school drainage canal and improvement of Supang ES drainage canal, Supang, 4. Rehab. of Lagan flood control key wall, 5. Roofing of Lengey gym stage, 6. Repair of Bisibisan hanging bridge, Supang, 7. Completion of Legleg, Bun-ayan multi-purpose building, 8. Riprapping of washout barangay road at sitio Labbay, Bun-ayan, 9. Completion of Camatagan-Gayang waiting shed, 10. Completion of Supang senior citizens building). Bids received in excess of the ABC shall be automatically rejected at bid opening.</t>
  </si>
  <si>
    <t xml:space="preserve"> https://drive.google.com/file/d/1bBvAO53k7aa11RkleDDoaeBPRNG3nbjd/view?usp=drivesdk</t>
  </si>
  <si>
    <t xml:space="preserve"> 1.	The Municipal Government of Sabangan, through the 2020 MDF &amp; 2020 MDRRMF intends to apply the sum of Four million one hundred eighty-seven thousand eight hundred thirty-five pesos and fifteen centavos (Php. 4,187,835.15) being the Approved Budget for the Contract (ABC) to payments under the contract for CLUSTER B9-2020 (1. Water impounding system for fire hydrant, Busa, 2. Improvement of Capinitan Barangay Hall, 3. Construction of Bao-angan waiting shed, 4. Construction of Namatec Multi-Purpose Water Impounding System, Namatec, 5. Construction of Camatagan Multi-Purpose Water Impounding system, 6. Improvement of Tiguing Tourism Facilities-Camatagan, 7. Rehab. of Pingad-Camatagan pathway, 8. Construction of Bun-ayan multi-purpose water impounding system, 9. Construction of Ambango multi-purpose water impounding system, Data). Bids received in excess of the ABC shall be automatically rejected at bid opening.</t>
  </si>
  <si>
    <t xml:space="preserve"> 1.	The Municipal Government of Sabangan, through the 20% 2017, 2018, 2019 &amp; 2020 MDF, 2020 MDRRMF &amp; 2018 SEF intends to apply the sum of Two million nine hundred twenty-one thousand eight hundred seven pesos and sixty-five centavos (Php. 2,921,807.65) being the Approved Budget for the Contract (ABC) to payments under the contract for CLUSTER D31-2020 (1. Improvement of Cabogbogan pathway, Bun-ayan, 2. Improvement of Namatec drainage, 3. Improvement of Tambingan pathway near school, 4. Improvement of drainage, Data, 5. Construction of Balaan pathway, Busa, 6. Rehabilitation/Improvement of Namatec clinic, 7. Rehabilitation of Busa drainage, 8. Repair of Gayang health center, 9. Improvement of Camatagan-Gayang pathway, 10. Installation of railings Calalasan/Guinawang, Poblacion, 11. Improvement of Sabangan NHS ground, 12. Fencing of Tiging retaining wall, 13. Improvement of Losad footbridge, 14. Improvement of Dagdag footbridge pathway, Supang, 15. Completion of the Municipal youth center/residential care facility, 16. Rehab. of Malaslasa, Napua domestic water system, 17. Rehab. of Paliwak, Tambingan hanging bridge, 18. Covering of drainage, Poblacion, 19. Improvement of railings, Calalasan/Guinawang, Poblacion, 20. Improvement of Losad drainage, 21. Repair of Calalasan-Lalagim chico river canal, Poblacion, 22. Improvement of Calalasan Tribal Hall, 23. Rehab. of Lingabo, Gayang hanging bridge, 24. Improvement and construction of main Madepdepas pathway from up to down with railings on some parts, 25. Rehabilitation of Pitang pathway, Bao-angan, 26. Repair of drainage at Sitio Legleg, Bun-ayan, 27. Construction of pathway, Namatec, 28. Construction of pathway, Bao-angan, 29. Construction of Dontog drainage canal, Pingad, 30. Rehabilitation of BHS drainage canal, Data, 31. Rehabilitation of Pingad water works). Bids received in excess of the ABC shall be automatically rejected at bid opening.</t>
  </si>
  <si>
    <t xml:space="preserve"> Please see attachment</t>
  </si>
  <si>
    <t xml:space="preserve"> -All interested PCAB Licensed Contractors are advised to inquire at the Municipal Engineering Office for verification of plans, specifications, items of work and other matters pertaining to this procurement.</t>
  </si>
  <si>
    <t xml:space="preserve"> MR. MOHAMADSUAIB  B. ESMAEL, BAC-B, Chairperson</t>
  </si>
  <si>
    <t xml:space="preserve"> https://drive.google.com/file/d/1s-dkgcEbx5vQWaD9RJPBPC-QiN2GAcFB/view?usp=drivesdk</t>
  </si>
  <si>
    <t xml:space="preserve"> NO CRIMINAL RECORDS</t>
  </si>
  <si>
    <t xml:space="preserve"> The Municipality of San Jose reserves the right to accept or reject any bid, to annual biding process and to reject all bids at any time prior to the contract award, without hereby any liability to the affected bidder or bidders.</t>
  </si>
  <si>
    <t xml:space="preserve"> Please inquire at the Office of the BAC Secretariat for more details.</t>
  </si>
  <si>
    <t xml:space="preserve"> CREATED BY BAC CHAIRMAN</t>
  </si>
  <si>
    <t xml:space="preserve"> 20CE0209: Construction of Multi-Purpose Building, Brgy. Abar 1st, City of San Jose, Nueva Ecija; Invitation to Bid including Plans and other Supporting Docs</t>
  </si>
  <si>
    <t xml:space="preserve"> All bidders must download the attached document in the associated component section.</t>
  </si>
  <si>
    <t xml:space="preserve"> ITB, Bidding Documents and RFQ can be download in the Associated Components.</t>
  </si>
  <si>
    <t xml:space="preserve"> Source of Funds: CY-2020</t>
  </si>
  <si>
    <t xml:space="preserve"> Kindly download the attached file in the associated component section</t>
  </si>
  <si>
    <t xml:space="preserve"> https://drive.google.com/file/d/1DRRK_RQ99FSwXwZkG7v1vFak0S8G9-cL/view?usp=drivesdk</t>
  </si>
  <si>
    <t xml:space="preserve"> CONTACT 09300410683</t>
  </si>
  <si>
    <t xml:space="preserve"> 1.) LETTER OF INTENT ADDRESS TO THE REGIONAL DIRECTOR, ALLAN L. POQUITA, Ph.D. AND ATTENTION TO THE BAC CHAIRPERSON, ATTY. KIM LAURIS M. LABASAN</t>
  </si>
  <si>
    <t xml:space="preserve"> Also available in DPWH Website</t>
  </si>
  <si>
    <t xml:space="preserve"> See Associated Components</t>
  </si>
  <si>
    <t xml:space="preserve"> The Local Government Unit of Ibajay through the 20% IRA CY 2020 intends to apply the sum of Seven Hundred Seventy Five Thousand Seven Hundred Fifteen Pesos &amp; 54/100 Only (Php 775,715.54) being the Approved Budget for the Contract (ABC) to payments under the contract for the IMPROVEMENT OF OTHER PUBLIC STRUCTURE BUILDING &amp; FACILITIES at Poblacion, Ibajay, Aklan. Bids received in excess of the ABC shall be automatically rejected at bid opening.</t>
  </si>
  <si>
    <t xml:space="preserve"> https://drive.google.com/file/d/1WJT-6qPbAkn5JIs72S5Csorxnfy9LAUI/view?usp=drivesdk</t>
  </si>
  <si>
    <t xml:space="preserve"> Pre-Bid Conference: June 17, 2020 @ 2:00 PM</t>
  </si>
  <si>
    <t xml:space="preserve"> Please check similar information posted in the website of the procuring entity</t>
  </si>
  <si>
    <t xml:space="preserve"> https://drive.google.com/file/d/16JMlHxV2smZBGFTm65hJ_49lBdfxoQy7/view?usp=drivesdk</t>
  </si>
  <si>
    <t xml:space="preserve"> https://drive.google.com/file/d/1iWq224rkR4SjxB0X2jjAExjz3CukkqwL/view?usp=drivesdk</t>
  </si>
  <si>
    <t xml:space="preserve"> https://drive.google.com/file/d/1PHqgZ3FumEkCA_K3fjjrtNUR_Fcche1I/view?usp=drivesdk</t>
  </si>
  <si>
    <t xml:space="preserve"> https://drive.google.com/file/d/1SOnrWVKA26lr-RlvgFVVEZDEnnNcSx9o/view?usp=drivesdk</t>
  </si>
  <si>
    <t xml:space="preserve"> https://drive.google.com/file/d/1Rc2R5AxRKd5AbWQor_YWuy0NsH5XsfwG/view?usp=drivesdk</t>
  </si>
  <si>
    <t xml:space="preserve"> Oxygen Tanks 2000 lbs	80	cylinder</t>
  </si>
  <si>
    <t xml:space="preserve"> ITB 2020-06-032 (GOODS)</t>
  </si>
  <si>
    <t xml:space="preserve"> PISTON STD	2	set</t>
  </si>
  <si>
    <t xml:space="preserve"> Rescue Ropes for basic rope rescue skills is for the National Fire Training Institute (NFTI) a Constitutive Unit (CU) of the PPSC located in Camp Vicente Lim Canlubang Laguna.</t>
  </si>
  <si>
    <t xml:space="preserve"> https://drive.google.com/file/d/1d-VUOP3uzvucMY6-Lsi62u2rHwSwuq2v/view?usp=drivesdk</t>
  </si>
  <si>
    <t xml:space="preserve"> https://drive.google.com/file/d/1xdHCgdjL-Tgp1FjS-kLFzGa_0xspkdZW/view?usp=drivesdk</t>
  </si>
  <si>
    <t xml:space="preserve"> Prospective Bidders should have experience in undertaking a similar project within the last 2 years with an amount of atleast 50% of the proposed project for bidding. The Eligibility Check/ Screening as well as the Preliminary Examination of Bids shall use non-discretionary "pass/fail" criteria. Post-qualification of the Lowest calculated bid shall be conducted.												</t>
  </si>
  <si>
    <t xml:space="preserve"> https://drive.google.com/file/d/177jImNvXjEfHSculFALszGJ7NwZDfL9t/view?usp=drivesdk</t>
  </si>
  <si>
    <t xml:space="preserve"> https://drive.google.com/file/d/1vibp7emFBTd_F98h7OInThtcJgQ5ETVH/view?usp=drivesdk</t>
  </si>
  <si>
    <t xml:space="preserve"> FOR MORE INFORMATION PLEASE CONTACT ARLAINE DE VERA, BAC SECRETARIAT AT (075)-955-5862 OR EMAIL AT arlainemdevera@yahoo.com</t>
  </si>
  <si>
    <t xml:space="preserve"> 1	Lanzones	4,000	pcs</t>
  </si>
  <si>
    <t xml:space="preserve"> The BAC is conducting the public bidding for this Contract in accordance with Republic Act NO. 9184 and its implementing Rules and Regulations (IRR).</t>
  </si>
  <si>
    <t xml:space="preserve"> PLS SEE ATTACHED TOR (PR#S1-PMG20-001)</t>
  </si>
  <si>
    <t xml:space="preserve"> Contact Person</t>
  </si>
  <si>
    <t xml:space="preserve"> https://drive.google.com/file/d/1AWH3Uhry6j9DQwxu96emcJIaRHGVcvyR/view?usp=drivesdk</t>
  </si>
  <si>
    <t xml:space="preserve"> Bid Documents will be available only to prospective bidders upon payment of a non-refundable amount of Five Hundred Pesos (PhP. 500.00) to the Office of the Barangay Treasurer Cashier.</t>
  </si>
  <si>
    <t xml:space="preserve"> Please see personally the head of the BAC secretariat for the availability of the bid document upon payment of the non-refundable amount of P 500.00 to the Treasurer.</t>
  </si>
  <si>
    <t xml:space="preserve"> ITEM	QUANTITY 	UNIT	DESCRIPTION</t>
  </si>
  <si>
    <t xml:space="preserve"> 1. Please download ITB and bidding documents in the associated component</t>
  </si>
  <si>
    <t xml:space="preserve"> The complete schedule of activities is listed, as follows:</t>
  </si>
  <si>
    <t xml:space="preserve"> FOR MORE INFO AND CLARIFICATION, PLEASE SEE BAC SECRETARIAT OF BRGY. BUNTAY COUNCIL AT BRGY. BUNTAY HALL, BRGY. BUNTAY, DULAG LEYTE FROM MONDAY TO FRIDAY (8:00 A.M. TO 5:00 P.M.)</t>
  </si>
  <si>
    <t xml:space="preserve"> Bidding is on June 17, 2020 at ten o'clock in the morning at the 3F Rural Health Unit.</t>
  </si>
  <si>
    <t xml:space="preserve"> Please download P.B.D. in the associated components.</t>
  </si>
  <si>
    <t xml:space="preserve"> PLS SEE ATTACHED TOR (PR#S1-CAT20-003)</t>
  </si>
  <si>
    <t xml:space="preserve"> Please see attached files</t>
  </si>
  <si>
    <t xml:space="preserve"> 1.Please download ITB and bidding documents in the associated component</t>
  </si>
  <si>
    <t xml:space="preserve"> ATTACHED POW</t>
  </si>
  <si>
    <t xml:space="preserve"> Please Contact:</t>
  </si>
  <si>
    <t xml:space="preserve"> contact BAC Secretariat for requirements</t>
  </si>
  <si>
    <t xml:space="preserve"> FIRST ENVELOPE (ELIGIBILITY &amp; TECHNICAL COMPONENTS) </t>
  </si>
  <si>
    <t xml:space="preserve"> Fund: External</t>
  </si>
  <si>
    <t xml:space="preserve"> PLS. SEE ATTACHED PDF DOCUMENTS.</t>
  </si>
  <si>
    <t xml:space="preserve"> 1. Pre-bid Conference - June 16, 2020 @ 10:00AM at ASSCAT Conference Room</t>
  </si>
  <si>
    <t xml:space="preserve"> 1	Complete Fertilizer	1,000	sacks</t>
  </si>
  <si>
    <t xml:space="preserve"> BAC Secretariat</t>
  </si>
  <si>
    <t xml:space="preserve"> 1	unit	Solar Marine Brush Bottom Inflatable Rubber Boat 2-6 person 0.9mm PVC</t>
  </si>
  <si>
    <t xml:space="preserve"> Issuance of Bid Documents Starts: June 9, 2020</t>
  </si>
  <si>
    <t xml:space="preserve"> The lot(s) and reference is/are: Package 1</t>
  </si>
  <si>
    <t xml:space="preserve"> Allowed to attend during the Pre-bid:</t>
  </si>
  <si>
    <t xml:space="preserve"> The unit of measurement to be used is person.</t>
  </si>
  <si>
    <t xml:space="preserve"> contact BAC Secretariat for specs &amp; requirements</t>
  </si>
  <si>
    <t xml:space="preserve"> 4	units	Outdoor Hiking Rechargeable LED Worklight</t>
  </si>
  <si>
    <t xml:space="preserve"> https://drive.google.com/file/d/1McCM1t7c9npFpGFiIJm3ga8Du6bowvC3/view?usp=drivesdk</t>
  </si>
  <si>
    <t xml:space="preserve"> PR No. TF-LDRRMF S. 2019 20-016</t>
  </si>
  <si>
    <t xml:space="preserve"> OPENING OF BID WILL BE ON JULY 29, 2020 AT EXACTLY 10:00 A.M. LATE BID WILL NOT BE ACCEPTED</t>
  </si>
  <si>
    <t xml:space="preserve"> Bid Docs Fee P/5,000.00</t>
  </si>
  <si>
    <t xml:space="preserve"> A copy of your legal requirements (CPR, Mayor's/Business Permit, Platinum Philgeps Certificate, Business Tax/ITR, Sec, Tax Clearance and Omnibus Sworn Statement ) is also required to be submitted along with your quotation / proposal.</t>
  </si>
  <si>
    <t xml:space="preserve"> Bid Docs Fee P/1,000.00</t>
  </si>
  <si>
    <t xml:space="preserve"> https://drive.google.com/file/d/1dQebZNQJXB98B3W1ASAWeXdSASDU8n2g/view?usp=drivesdk</t>
  </si>
  <si>
    <t xml:space="preserve"> Wok		5	pcs</t>
  </si>
  <si>
    <t xml:space="preserve"> Bidders shall pay the BAC a non-refundable fee of Php10,000.00 for the Bidding Documents, upon securing hard copies of the Documents. Bidders that download the Documents from the DPWH/PhilGEPS website shall pay the fee upon submission of their bids. </t>
  </si>
  <si>
    <t xml:space="preserve"> PLEASE SEE FILE ON ASSOCIATED COMPONENT</t>
  </si>
  <si>
    <t xml:space="preserve"> For more information, please notify Ms Rinafe Cajegas - Brgy Secretary of Lower Bag-ong Tudela, Josefina, Zamboanga del Sur thru 11 digit no. 09367364378.</t>
  </si>
  <si>
    <t xml:space="preserve"> For more details, please contact the Municipal Engineer Jopson D. Baones with his Mobile No. 09399029802.</t>
  </si>
  <si>
    <t xml:space="preserve"> Pleace click the Associated Components for the Checklist of Requirements. Thank you.</t>
  </si>
  <si>
    <t xml:space="preserve"> Bidding Documents</t>
  </si>
  <si>
    <t xml:space="preserve"> All interested bidders/suppliers must submit their request for quotation form (filled up) at the BAC Office 3rd floor Municipal Hall, Abatan, Buguias, Benguet starting June 16, 2020 from 2:00 PM- 5:00 PM.</t>
  </si>
  <si>
    <t xml:space="preserve"> Schedule of Bidding Activities:</t>
  </si>
  <si>
    <t xml:space="preserve"> Created by: Madel Arquillo</t>
  </si>
  <si>
    <t xml:space="preserve"> https://drive.google.com/file/d/13hpph7h6NpmJRxkccu16dPcnB_Sp_goD/view?usp=drivesdk</t>
  </si>
  <si>
    <t xml:space="preserve"> The Municipal Government of Kabayan, through its Bids and Awards Committee (BAC), invites registered suppliers/dealers/manufacturers/distributors/proprietors to submit their express of interest to supply for the supplies of the the above project.</t>
  </si>
  <si>
    <t xml:space="preserve"> https://drive.google.com/file/d/1xUfEQ6tOrc7Gg9_VAsGA8B8n0ueM48hO/view?usp=drivesdk</t>
  </si>
  <si>
    <t xml:space="preserve"> https://drive.google.com/file/d/1IEXqIK6SkGwxbQHyzqNqncOTJAhmuGhH/view?usp=drivesdk</t>
  </si>
  <si>
    <t xml:space="preserve"> https://drive.google.com/file/d/1aMy22VyW9l76Qh244LBZrWa2LRgxTKvd/view?usp=drivesdk</t>
  </si>
  <si>
    <t xml:space="preserve"> https://drive.google.com/file/d/1SgPposmKsPeRCCCnziEkOdmpVM77nUnt/view?usp=drivesdk</t>
  </si>
  <si>
    <t xml:space="preserve"> https://drive.google.com/file/d/12Yi9PrWt1-S80m5Yc2hlxFzJigOPugil/view?usp=drivesdk</t>
  </si>
  <si>
    <t xml:space="preserve"> https://drive.google.com/file/d/1IqynqVKDofCOaPIBUFg1MiPP3JXvS51h/view?usp=drivesdk</t>
  </si>
  <si>
    <t xml:space="preserve"> https://drive.google.com/file/d/1CmL8c3Q8kz_M62RUnsEmBG6yn-9_CZxo/view?usp=drivesdk</t>
  </si>
  <si>
    <t xml:space="preserve"> Please see attached Notice of Negotiated Procurement for more details.</t>
  </si>
  <si>
    <t xml:space="preserve"> 1.	The Ilocos Sur Polytechnic State College, through the Corporate Budget for the contract approved by the Governing Board (GAA 2020) intends to apply the sum of Fifteen Million Pesos and 0/100 (Php 15,000,000.00) being the Approved Budget for the Contract (ABC) to payments under the contract for Repair and Renovation of Administration Building / 2020-03-INFR. Bids received in excess of the ABC shall be automatically rejected at bid opening.</t>
  </si>
  <si>
    <t xml:space="preserve"> https://drive.google.com/file/d/1BbuZ1dY32IOl50aq0DO247OSqlhtCLIF/view?usp=drivesdk</t>
  </si>
  <si>
    <t xml:space="preserve"> 1.	The Ilocos Sur Polytechnic State College, through the Corporate Budget for the contract approved by the Governing Board (GAA 2020) intends to apply the sum of Nine Million Nine Hundred Ninety-Nine Thousand Nine Hundred Ninety-Eight Pesos and 64/100 (Php 9,999,998.64) being the Approved Budget for the Contract (ABC) to payments under the contract for Continuation of the Repair and Renovation of Research Office / FTC (Phase II) / 2020-04-INFR. Bids received in excess of the ABC shall be automatically rejected at bid opening.</t>
  </si>
  <si>
    <t xml:space="preserve"> https://drive.google.com/file/d/1TYfBVuQ0-zcqt8Pgctifc2N4aWSJp6na/view?usp=drivesdk</t>
  </si>
  <si>
    <t xml:space="preserve"> 1.	The Ilocos Sur Polytechnic State College, through the Corporate Budget for the contract approved by the Governing Board (GAA 2020) intends to apply the sum of Fourteen Million Nine Hundred Ninety-Nine Thousand Nine Hundred Ninety-Six Pesos and 21/100 (Php 14,999.996.21) being the Approved Budget for the Contract (ABC) to payments under the contract for Repair and Renovation of Administration Building / 2020-01-INFR. Bids received in excess of the ABC shall be automatically rejected at bid opening.</t>
  </si>
  <si>
    <t xml:space="preserve"> INVITATION TO BID FOR PMMA MESS FOODSTUFFS </t>
  </si>
  <si>
    <t xml:space="preserve"> Please be informed that the bid documents cannot be downloaded from the website. It is non – electronic. </t>
  </si>
  <si>
    <t xml:space="preserve"> 1.	The Ilocos Sur Polytechnic State College, through the Corporate Budget for the contract approved by the Governing Board (GAA 2020) intends to apply the sum of Twenty-One Million Nine Hundred Ninety-Nine Thousand Nine Hundred Ninety-Six Pesos and 92/100 (Php 21,999,996.92) or by Lots as presented below being the Approved Budget for the Contract (ABC) to payments under the contract for Upgrading of Power System / 2020-02-INFR. Bids received in excess of the ABC shall be automatically rejected at bid opening.</t>
  </si>
  <si>
    <t xml:space="preserve"> https://drive.google.com/file/d/1dmT-3P--7Grp-hCyNjr_KuJs67b8ouw5/view?usp=drivesdk</t>
  </si>
  <si>
    <t xml:space="preserve"> INVITATION TO BID FOR THE ACQUISITION OF 55 UNITS LAPTOPS FOR CY 2020</t>
  </si>
  <si>
    <t xml:space="preserve"> BAC 2020-I01 PLANS PROJECT 1 PAGES 1 TO 50</t>
  </si>
  <si>
    <t xml:space="preserve"> Executive Tables &amp; Chairs		11	sets</t>
  </si>
  <si>
    <t xml:space="preserve"> Diesel		6,170.91	liters</t>
  </si>
  <si>
    <t xml:space="preserve"> Battery, 21 ah		2	pcs</t>
  </si>
  <si>
    <t xml:space="preserve"> BAC Schedule of Activities;</t>
  </si>
  <si>
    <t xml:space="preserve"> A complete set of Bidding Documents may be acquired by interested bidders on JUNE 8, 2020 to JUNE 29, 2020 from 8:00AM to 5:00PM at the Office of the Bids and Awards Committee, 3rd Floor, Provincial Capitol, Bontoc, Mountain Province upon payment of the applicable fee for the Bidding Documents, pursuant to the latest Guidelines issued by the GPPB, in the amount of Twenty Five Thousand Pesos Only (Php25,000.00) at the Cashier’s Office, Provincial Capitol, Bontoc, Mountain Province.</t>
  </si>
  <si>
    <t xml:space="preserve"> please see file on associated component</t>
  </si>
  <si>
    <t xml:space="preserve"> PROJECT LOCATION: MMTS OFFICE-KUMINTANG ST., MINTAL, TUGBOK DIST., DAVAO CITY</t>
  </si>
  <si>
    <t xml:space="preserve"> Please see file on associated component</t>
  </si>
  <si>
    <t xml:space="preserve"> VICKY R. DURANA, MPA</t>
  </si>
  <si>
    <t xml:space="preserve"> LGSF-SALINTUBIG</t>
  </si>
  <si>
    <t xml:space="preserve"> Diesel/Fuel		39,337.47	liters</t>
  </si>
  <si>
    <t xml:space="preserve"> 1.   A complete set of Bidding Documents may be purchased by interested Bidders from the address below starting on June 08, 2020 and upon payment of a nonrefundable fee for the Bidding Documents in the amount of Five Hundred Pesos (P500.00) at the Municipal Treasury Office, Amdalao, Guinaang, Pasil, Kalinga.   					</t>
  </si>
  <si>
    <t xml:space="preserve"> Please similar information posted in the website of the procuring entity</t>
  </si>
  <si>
    <t xml:space="preserve"> 6. The National Irrigation Administration (NIA), Regional Irrigation Office No.7, will hold a Pre-Bid Conference on June 16, 2020, 2:00 PM at NIA Regional Office 7 Conference Room, Dao District, Tagbilaran City, which shall be open to prospective bidders.</t>
  </si>
  <si>
    <t xml:space="preserve"> Please download Request For Quotation (RFQ) form/or Terms Of Reference (TOR), completely fill-out and submit either through any of the following:</t>
  </si>
  <si>
    <t xml:space="preserve"> ITB20-06-025</t>
  </si>
  <si>
    <t xml:space="preserve"> COPY AND PASTE IN THE BROWSER THE LINK BELOW TO VIEW BIDDING DOCUMENTS: </t>
  </si>
  <si>
    <t xml:space="preserve"> Also available at the DPWH Website</t>
  </si>
  <si>
    <t xml:space="preserve"> Suppliers/Bidders must download attached documents in the associated components</t>
  </si>
  <si>
    <t xml:space="preserve"> Issuance of Bid Documents : 8:00AM - 5:00PM June 8, 2020 to 8:00AM - 10:00AM, July 1, 2020</t>
  </si>
  <si>
    <t xml:space="preserve"> INQUIRE AT BAC OFFICE</t>
  </si>
  <si>
    <t xml:space="preserve"> INQUIRE AT BAC OFFICE,  MUNICIPAL HALL, TAMBULIG, ZAMBOANGA DEL SUR</t>
  </si>
  <si>
    <t xml:space="preserve"> Bidders must download the attached documents in the associated component section.</t>
  </si>
  <si>
    <t xml:space="preserve"> https://drive.google.com/file/d/1ly1QOiTBUkLiSFtnpMt5vikObDPQZlRa/view?usp=drivesdk</t>
  </si>
  <si>
    <t xml:space="preserve"> Please copy the link below and print for a copy of Bidding Document</t>
  </si>
  <si>
    <t xml:space="preserve"> See Attached ITB and BID Docs</t>
  </si>
  <si>
    <t xml:space="preserve"> BID DOCS IS AVAILABLE AT TREASURES OFFICE AT PhP500.00 ONLY. AND IS AVAILABLE BEFORE THE BIDDING TIME. BIDDING DATE IS SEEN AT THE INFORMATION GIVEN</t>
  </si>
  <si>
    <t xml:space="preserve"> PLEASE CHECK SIMILAR INFORMATION POSTED IN THE PROCURING ENTITY'S WEBSITE</t>
  </si>
  <si>
    <t xml:space="preserve"> All inquiries shall be directed to Dr. Rolando O. Borrinaga, Chairman, Bids and Awards Committee, UP Manila – School of Health Sciences, Palo, Leyte.</t>
  </si>
  <si>
    <t xml:space="preserve"> NA</t>
  </si>
  <si>
    <t xml:space="preserve"> Please see similar information posted at the website of the procuring entity</t>
  </si>
  <si>
    <t xml:space="preserve"> PLEASE CHECK SIMILAR INFORMATION POSTED AT THE PROCURING ENTITY'S WEBSITE</t>
  </si>
  <si>
    <t xml:space="preserve"> Please check similar information posted at the website of the procuring entity</t>
  </si>
  <si>
    <t xml:space="preserve"> A complete set of Bidding Documents may be acquired by interested Bidders or his duly authorized representative from the BAC Secretariat for the period June 8, 2020 to June 17, 2020 upon payment of a nonrefundable fee for the Bidding Documents, pursuant to the latest Guidelines issued by the GPPB, in the amount stated above to the Barangay Treasurer. The method of payment shall be in CASH. Bidding documents shall be received personally by the prospective Bidder or his duly authorized representative.</t>
  </si>
  <si>
    <t xml:space="preserve"> (i)   Allow full inspection by the Fund of all bid documentation and related records;  </t>
  </si>
  <si>
    <t xml:space="preserve"> Contact Person: Atty. JESSICA S. SAPALO</t>
  </si>
  <si>
    <t xml:space="preserve"> Inquire at the Office of Quezon Medical Center for details.</t>
  </si>
  <si>
    <t xml:space="preserve"> https://drive.google.com/file/d/1J4FomXtqMFpF3vmbdR0RB691HGAwGG-m/view?usp=drivesdk</t>
  </si>
  <si>
    <t xml:space="preserve"> https://drive.google.com/file/d/1C1JbT2K_ZFfTyJAqzHe_AxZXYP6puhPq/view?usp=drivesdk</t>
  </si>
  <si>
    <t xml:space="preserve"> PROCUREMENT ACTIVITIES	DATE	TIME (BFAR8 Ground floor Biometric Clock)	VENUE</t>
  </si>
  <si>
    <t xml:space="preserve"> https://drive.google.com/file/d/1DVZ_Hogoe_5t8VePEWyKCsIbEx3liPnS/view?usp=drivesdk</t>
  </si>
  <si>
    <t xml:space="preserve"> ITB20-06-024</t>
  </si>
  <si>
    <t xml:space="preserve"> Submit LOI</t>
  </si>
  <si>
    <t xml:space="preserve"> The Works consists of Concreting of 262.00m long x 2.50m wide x 0.15m thick PCCP FTMR.</t>
  </si>
  <si>
    <t xml:space="preserve"> The Works consists of Concreting of 337.00m long x 2.50m wide x 0.15m thick PCCP FTMR.</t>
  </si>
  <si>
    <t xml:space="preserve"> Bidders must download attached main document in the associated component section.</t>
  </si>
  <si>
    <t xml:space="preserve"> Bid Opening</t>
  </si>
  <si>
    <t xml:space="preserve"> INVITATION TO APPLY FOR ELIGIBILITY AND TO BID</t>
  </si>
  <si>
    <t xml:space="preserve"> opening of bids June 29, 2020 @ 9:00 AM at Dap-ay di Tubo Poblacion, Tubo Abra.</t>
  </si>
  <si>
    <t xml:space="preserve"> The Works consists of Concreting of 301.00m long x 3.00m wide x 0.15m thick PCCP FTMR.</t>
  </si>
  <si>
    <t xml:space="preserve"> The Works consists of Provision of 8 rolls 63mmøx100m HDPE Pipe, sdr 17 (800Ln.m) and 3 units Plastic Tank (2Cu.m. capacity) w/ 2x2 m concrete platform w/6 distribution line each tank using (32mmøx100m HDPE pipe, sdr 17).</t>
  </si>
  <si>
    <t xml:space="preserve"> The Works consists of Construction of 210.00 ln.m. 4” THK CHB (3 layers and 2 layers) canal lining with concrete stiffener and column space at every 5.00m with 1 unit concrete crossing.</t>
  </si>
  <si>
    <t xml:space="preserve"> TERMS OF REFERENCE</t>
  </si>
  <si>
    <t xml:space="preserve"> The complete schedule of BAC activities is listed as follows:</t>
  </si>
  <si>
    <t xml:space="preserve"> The Works consists of Concreting of 175.50ln.m. x 3.0m wide x 0.15m thick PCCP FTMR.</t>
  </si>
  <si>
    <t xml:space="preserve"> The Works consists of Construction of 380ln.m. 4” THK CHB 3 layers canal lining with concrete stiffener and column space at every 5.00m with 1 unit concrete crossing.</t>
  </si>
  <si>
    <t xml:space="preserve"> The Works consists of Construction of 175.5ln.m.(77.0cu.m.) Rubble Masonry Protection Wall bothsides and 6.0ln.m (17.10cu.m.) Rubble Masonry Dam with 6 units Baffle Board Construction of 6.0ln.m Concrete Topping and concreted cut of wall.</t>
  </si>
  <si>
    <t xml:space="preserve"> FOR 2ND BIDDING</t>
  </si>
  <si>
    <t xml:space="preserve"> Bid docs php 500.00</t>
  </si>
  <si>
    <t xml:space="preserve"> The Works consists of Construction of 450.0 ln.m 4”THK CHB (4 layers and 2 layers) canal lining with concrete column and stiffener space at every 5.00m @ layers and 3.0m @4 layers.</t>
  </si>
  <si>
    <t xml:space="preserve"> BRGY. BULAJO HALL CAVINTI, LAGUNA</t>
  </si>
  <si>
    <t xml:space="preserve"> PHILIPPINE BIDDING DOCUMENTS</t>
  </si>
  <si>
    <t xml:space="preserve"> For inquiries proceed to BAC - Office LGU, Zarraga for more information</t>
  </si>
  <si>
    <t xml:space="preserve"> docs are also uploaded in dpwh website</t>
  </si>
  <si>
    <t xml:space="preserve"> - All interested PCAB Licensed Contractors are advised to inquire at the Municipal Engineering Office for verification of plans, specifications, items of work and other matters pertaining to this procurement.</t>
  </si>
  <si>
    <t xml:space="preserve"> For any concern please contact Mrs. Mary Grace Y. Guay the BAC Member</t>
  </si>
  <si>
    <t xml:space="preserve"> 1ST POSTING...</t>
  </si>
  <si>
    <t xml:space="preserve"> docs are also uploaded in dpwh websute</t>
  </si>
  <si>
    <t xml:space="preserve"> Pre-Bid will be on June 15, 2020 @ 10:00 A.M. @ Bids &amp; Awards Committee Office</t>
  </si>
  <si>
    <t xml:space="preserve"> The BAC is conducting the public bidding for this Contracts in accordance with RA 9184 and its Revised Implementing Rules and Regulations. Bids received in excess of the ABC of each lot shall be automatically rejected at bid opening. Awarding of Contract will be per Lot.</t>
  </si>
  <si>
    <t xml:space="preserve"> Opening of Bids: June 29, 2020</t>
  </si>
  <si>
    <t xml:space="preserve"> https://drive.google.com/file/d/1bZftxOkpgrzZQXcMlXdg38oM3eGru3b2/view?usp=drivesdk</t>
  </si>
  <si>
    <t xml:space="preserve"> LENGTH - 54.00M</t>
  </si>
  <si>
    <t xml:space="preserve"> https://drive.google.com/file/d/1PLxuBx1YHE-1DUm0qpnWoyilqCwJRkSW/view?usp=drivesdk</t>
  </si>
  <si>
    <t xml:space="preserve"> https://drive.google.com/file/d/1vm3qQ9e4vStCh4Gq5lRhic2Qj5kDgoM1/view?usp=drivesdk</t>
  </si>
  <si>
    <t xml:space="preserve"> https://drive.google.com/file/d/1UKXrKbafgP2Wq23KqRGBnxSI52Z5uSSh/view?usp=drivesdk</t>
  </si>
  <si>
    <t xml:space="preserve"> https://drive.google.com/file/d/17V9aM3xv7esb_1wMjFq3MA8XY7V9ewuA/view?usp=drivesdk</t>
  </si>
  <si>
    <t xml:space="preserve"> https://drive.google.com/file/d/1hY2vDR2LS4154DCY7RvZru5gTWrCoBK5/view?usp=drivesdk</t>
  </si>
  <si>
    <t xml:space="preserve"> Bidders shall pay the BAC a non-refundable fee of Php1,000.00 for the Bidding Documents, upon securing hard copies of the Documents. Bidders that download the Documents from the DPWH/PhilGEPS website shall pay the fee upon submission of their bids. </t>
  </si>
  <si>
    <t xml:space="preserve"> Concreting of Alley  Road</t>
  </si>
  <si>
    <t xml:space="preserve"> https://drive.google.com/file/d/1oDtsXF5LnKTOKjM7e7yycEPvbPMECI_O/view?usp=drivesdk</t>
  </si>
  <si>
    <t xml:space="preserve"> https://drive.google.com/file/d/1WntopyQeeN3PwJiDb7w29nzqlrD2AExj/view?usp=drivesdk</t>
  </si>
  <si>
    <t xml:space="preserve"> https://drive.google.com/file/d/1O6flKjJoKvSKIinjczPINtfLaZjvhEMv/view?usp=drivesdk</t>
  </si>
  <si>
    <t xml:space="preserve"> https://drive.google.com/file/d/1sc7igchuTuKhWoBVT0IUSztifyuv5adb/view?usp=drivesdk</t>
  </si>
  <si>
    <t xml:space="preserve"> https://drive.google.com/file/d/1gyCECrRrgzBlu4iti6eS374Y1IUwp5Bx/view?usp=drivesdk</t>
  </si>
  <si>
    <t xml:space="preserve"> https://drive.google.com/file/d/1T-qL-cneGB9r50KuVHuCcPmdRSSwUd0J/view?usp=drivesdk</t>
  </si>
  <si>
    <t xml:space="preserve"> https://drive.google.com/file/d/1B8I7dQGtetDtdeELgoCf3a5am0r1THut/view?usp=drivesdk</t>
  </si>
  <si>
    <t xml:space="preserve"> https://drive.google.com/file/d/1mOyIfM6g01hfp-ejTPt0g8RzgOaBxnI1/view?usp=drivesdk</t>
  </si>
  <si>
    <t xml:space="preserve"> https://drive.google.com/file/d/1-hNAwTnEyxjQgFd6HOPfUKXQ9wODFoF3/view?usp=drivesdk</t>
  </si>
  <si>
    <t xml:space="preserve"> https://drive.google.com/file/d/1LjZYU4SvLoec5NzalJ8AtfUZnzEjOIYW/view?usp=drivesdk</t>
  </si>
  <si>
    <t xml:space="preserve"> LOT AWARD</t>
  </si>
  <si>
    <t xml:space="preserve"> LOT AWARD, </t>
  </si>
  <si>
    <t xml:space="preserve"> DELIVERY POINT: SPUG MOD WAREHOUSE, KUMINTANG ST., MINTAL, TUGBOK DIST., DAVAO CITY</t>
  </si>
  <si>
    <t xml:space="preserve"> ISSUANCE OF BIDDING DOCUMENTS: June 5, 2020- June 23, 2020</t>
  </si>
  <si>
    <t xml:space="preserve"> 1. Submission of canvass on or before June 17, 2020 @ 2:00 P.M.</t>
  </si>
  <si>
    <t xml:space="preserve"> https://drive.google.com/file/d/1Hqs4cwxoeYCvEOgPEO5M0CngleA59stA/view?usp=drivesdk</t>
  </si>
  <si>
    <t xml:space="preserve"> Bidding will be conducted through open competitive bidding procedures using a non-discretionary “pass/fail” criterion as specified in the Implementing Rules and Regulations (IRR) of Republic Act (RA) 9184, otherwise known as the “Government Procurement Reform Act”.</t>
  </si>
  <si>
    <t xml:space="preserve"> Special Conditions:</t>
  </si>
  <si>
    <t xml:space="preserve"> No responsive bid received.</t>
  </si>
  <si>
    <t xml:space="preserve"> BID OPENING: JUNE 24,2020  @ 2:OO PM BAC OFFICE, MUNICIPAL HALL, STA.MARCELA, APAYAO.</t>
  </si>
  <si>
    <t xml:space="preserve"> The Schedule of the bidding Activities is as follows</t>
  </si>
  <si>
    <t xml:space="preserve"> A complete set of Bidding Documents may be acquired by interested bidders on JUNE 5, 2020 to JUNE 25, 2020 from 8:00AM to 5:00PM at the Office of the Bids and Awards Committee, 3rd Floor, Provincial Capitol, Bontoc, Mountain Province upon payment of the applicable fee for the Bidding Documents, pursuant to the latest Guidelines issued by the GPPB, in the amount of One Thousand Pesos Only (Php1,000.00) at the Cashier’s Office, Provincial Capitol, Bontoc, Mountain Province.</t>
  </si>
  <si>
    <t xml:space="preserve"> A complete set of Bidding Documents may be acquired by interested bidders on JUNE 5, 2020 to JUNE 29,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</si>
  <si>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June 5 - 22, 2020</t>
  </si>
  <si>
    <t xml:space="preserve"> https://drive.google.com/file/d/1IMHwY_zEdh682r34f7Wa0jRfnebKtkrq/view?usp=drivesdk</t>
  </si>
  <si>
    <t xml:space="preserve"> Issuance of Bidding Documents:  June 5, 2020 until 1:30 p.m. of June 25, 2020</t>
  </si>
  <si>
    <t xml:space="preserve"> BAC Activity Schedule:</t>
  </si>
  <si>
    <t xml:space="preserve"> NONE</t>
  </si>
  <si>
    <t xml:space="preserve"> 1.  Submission of Letter of Intent and Application of Eligibility			June 05, 2020	-	June 12, 2020</t>
  </si>
  <si>
    <t xml:space="preserve"> Availability of Bid Documents:  June 5–24, 2020; 8:00 AM-5:00 PM; Monday through Friday</t>
  </si>
  <si>
    <t xml:space="preserve"> A complete set of Bidding Documents will be provided by PNBAC Secretariat to the interested Bidders upon payment of a non-refundable fee in the amount of TWENTY FIVE THOUSAND PESOS (P25,000.00) only at CRB, CPMU, Philippine Navy Finance Center (PNFC), Naval Station Jose Francisco, Fort Bonifacio, Taguig City.</t>
  </si>
  <si>
    <t xml:space="preserve"> Deadline for submission of bids will be on June 29, 2020, 10:00 A.M. at the Supply Office, Town Hall, Poblacion, Kibungan, Benguet.</t>
  </si>
  <si>
    <t xml:space="preserve"> FOR MITSUBISHI MG330 MOTOR GRADER (N1-51P)</t>
  </si>
  <si>
    <t xml:space="preserve"> https://drive.google.com/file/d/1QvDFzoRIoLSNW_evBLpf0Uo-2Ey8oGk_/view?usp=sharing</t>
  </si>
  <si>
    <t xml:space="preserve"> https://drive.google.com/file/d/16pF-pV-vOMvDEVBWqjPMw6s9VMq3gvuU/view?usp=sharing</t>
  </si>
  <si>
    <t xml:space="preserve"> https://drive.google.com/file/d/1IQ-q30-l9xWg1ZV23YWDN5pqUnKnRjZx/view?usp=drivesdk</t>
  </si>
  <si>
    <t xml:space="preserve"> https://drive.google.com/file/d/1oYf-DdCvVNjcXRdLVwd-arQVEmbVtcgt/view?usp=drivesdk</t>
  </si>
  <si>
    <t xml:space="preserve"> https://drive.google.com/file/d/1UhFhffARy4zZ532shPLm0V7kVRsSVHhO/view?usp=drivesdk</t>
  </si>
  <si>
    <t xml:space="preserve"> https://drive.google.com/file/d/12jy0DKSdEdB-v2Kh5aJk64TAJNTG9a76/view?usp=drivesdk</t>
  </si>
  <si>
    <t xml:space="preserve"> https://drive.google.com/file/d/1lgDq32L_EwLoYplI3b0L_-1INi1BnJ0g/view?usp=drivesdk</t>
  </si>
  <si>
    <t xml:space="preserve"> https://drive.google.com/file/d/1JogRaxv3PPjo1-bShiSsmZIEIZwYLxwi/view?usp=drivesdk</t>
  </si>
  <si>
    <t xml:space="preserve"> https://drive.google.com/file/d/1Z1g129X4mZx2HG9CyJnnYjjyu_hA1oII/view?usp=drivesdk</t>
  </si>
  <si>
    <t xml:space="preserve"> For Shortlisted Bidder only</t>
  </si>
  <si>
    <t xml:space="preserve"> Bid Documents and TOR are also downloadable in the DPWH Website</t>
  </si>
  <si>
    <t xml:space="preserve"> https://drive.google.com/file/d/1GmSLYxojsTfuWDYd7hu-9jLU9dNg3880/view?usp=drivesdk</t>
  </si>
  <si>
    <t xml:space="preserve"> https://drive.google.com/file/d/1SjmqTHNnPxkNh3tY4XZ1za-8eokZ7ckw/view?usp=drivesdk</t>
  </si>
  <si>
    <t xml:space="preserve"> BAC Office, LGU-Leon B. Postigo, Z.N.</t>
  </si>
  <si>
    <t xml:space="preserve"> https://drive.google.com/file/d/1fnP6zgGnxyYgrmC-p2uHNMzpVEgQp_XU/view?usp=drivesdk</t>
  </si>
  <si>
    <t xml:space="preserve"> https://drive.google.com/file/d/1GkX-2mvcxXeJMrW9zfrHkrMOFoYQSYQa/view?usp=drivesdk</t>
  </si>
  <si>
    <t xml:space="preserve"> bidding date on June 24, 2020,at Brgy hall, Brgy. Ulay-Bugang, Alimodian Iloilo at 10:00 am</t>
  </si>
  <si>
    <t xml:space="preserve"> bidding date on June 24, 2020 at Brgy. Hall, Brgy. Balabago, Alimodian Iloilo at 10:00 am</t>
  </si>
  <si>
    <t xml:space="preserve"> Unit	Item Description	Qty.</t>
  </si>
  <si>
    <t xml:space="preserve"> https://drive.google.com/file/d/12T1BJOYTc0OaZXYg0qPwUkZxg4JlwAT6/view?usp=drivesdk</t>
  </si>
  <si>
    <t xml:space="preserve"> https://drive.google.com/file/d/16srS2I4GbvnRiAhyL4kwm32tFqCdfRql/view?usp=drivesdk</t>
  </si>
  <si>
    <t xml:space="preserve"> https://drive.google.com/file/d/1MlnZfVrGILARHCPPYYy0HT0BrX6tHg3E/view?usp=drivesdk</t>
  </si>
  <si>
    <t xml:space="preserve"> Unit	           Item Description	                                                         Qty.</t>
  </si>
  <si>
    <t xml:space="preserve"> Multi-purpose vehicle</t>
  </si>
  <si>
    <t xml:space="preserve"> unit	Fire Truck Forward FTR Single Cab                         1</t>
  </si>
  <si>
    <t xml:space="preserve"> https://drive.google.com/file/d/10Mi-9TLXscsTErj0fAVSXEltJcfVdFIo/view?usp=drivesdk</t>
  </si>
  <si>
    <t xml:space="preserve"> https://drive.google.com/file/d/1uLSno730_z6fs780MMv39iCUc0MTuvsx/view?usp=drivesdk</t>
  </si>
  <si>
    <t xml:space="preserve"> https://drive.google.com/file/d/1HA65KZFMFtqAYAgUNBMBusdZPBmD-txE/view?usp=drivesdk</t>
  </si>
  <si>
    <t xml:space="preserve"> https://drive.google.com/file/d/1PPrp2Ax4iNIKmNrfCfNHd-CnsnKhTfLA/view?usp=drivesdk</t>
  </si>
  <si>
    <t xml:space="preserve"> https://drive.google.com/file/d/18cWmcgIFsM3VezwxaNwiqx_ouYujScx5/view?usp=drivesdk</t>
  </si>
  <si>
    <t xml:space="preserve"> https://drive.google.com/file/d/1KdwAYfVlaogRw2BN7Waz9d2xqFP-sT_5/view?usp=drivesdk</t>
  </si>
  <si>
    <t xml:space="preserve"> https://drive.google.com/file/d/1MdoGbLT8SXm9dp1wU-km4W2kwYcYVnPy/view?usp=drivesdk</t>
  </si>
  <si>
    <t xml:space="preserve"> https://drive.google.com/file/d/1gKzLN6ARj4WtqAOzPvJh6VOQoQaL4ovE/view?usp=drivesdk</t>
  </si>
  <si>
    <t xml:space="preserve"> Unit	Item Description</t>
  </si>
  <si>
    <t xml:space="preserve"> please click this link to download bidding documents</t>
  </si>
  <si>
    <t xml:space="preserve"> https://drive.google.com/file/d/1a8CATjit8vTW0uVvFV9a3vJQWFUaVGxs/view?usp=drivesdk</t>
  </si>
  <si>
    <t xml:space="preserve"> please clickt this link to download bidding documents</t>
  </si>
  <si>
    <t xml:space="preserve"> https://drive.google.com/file/d/1gkF-npvBXtCFkeDuogIy1m3TtJvj39-T/view?usp=drivesdk</t>
  </si>
  <si>
    <t xml:space="preserve"> Also available at the DPWH Website.</t>
  </si>
  <si>
    <t xml:space="preserve"> Please copy the link below, save and print for a coy of Bidding document.</t>
  </si>
  <si>
    <t xml:space="preserve"> Bidders must download the associated component/s.</t>
  </si>
  <si>
    <t xml:space="preserve"> BAC ACTIVITIES</t>
  </si>
  <si>
    <t xml:space="preserve"> ISSUANCE OF BIDDING DOCUMENTS: June 4, 2020-June 23, 2020</t>
  </si>
  <si>
    <t xml:space="preserve"> ISSUANCE OF BIDDING DOCUMENTS: June 4, 2020- June 23, 2020</t>
  </si>
  <si>
    <t xml:space="preserve"> ISSUANCE OF BIDDING DOCUMENTS: June 4, 2020- June 23, 2020 </t>
  </si>
  <si>
    <t xml:space="preserve"> Cost of Documents: P1,000.00</t>
  </si>
  <si>
    <t xml:space="preserve"> Please contact Mr. Reno C. Salazar the BAC Secrewtary with CP # 09459852914 or you may call Ms. Ma. Teresa L. Minguez the BAC Chairperson. Thanks and God Bless us all.</t>
  </si>
  <si>
    <t xml:space="preserve"> https://drive.google.com/file/d/1mKvW1VeZ3BLOAMagdjY7jmbRTppHL_0j/view?usp=drivesdk</t>
  </si>
  <si>
    <t xml:space="preserve"> Bidding Documents may be purchased by the Interested Bidders on June 10-11, 2020 from 8:00 A.M to 5:00 P.M. and upon payment of non - refundable fee of Four Thousand Pesos (Php 4,000.00 ).</t>
  </si>
  <si>
    <t xml:space="preserve"> Bidding Documents may be purchased by the Interested Bidders on June 10-11, 2020 from 8:00 A.M to 5:00 P.M. and upon payment of non - refundable fee of Four Thousand Pesos (Php 4,000.00).</t>
  </si>
  <si>
    <t xml:space="preserve"> Bidding Documents may be purchased by the Interested Bidders on June 10-11, 2020 from 8:00 A.M to 5:00 P.M. and upon payment of non - refundable fee of Five Hundred Pesos (Php 500.00).</t>
  </si>
  <si>
    <t xml:space="preserve"> QTY/UNIT/ITEM DESCRIPTION</t>
  </si>
  <si>
    <t xml:space="preserve"> Bidding Documents may be purchased by the Interested Bidders on June 10-11, 2020 from 8:00 A.M to 5:00 P.M. and upon payment of non - refundable fee of One Thousand Pesos (Php 1,000.00).</t>
  </si>
  <si>
    <t xml:space="preserve"> Any requests for additional information concerning this bidding shall be directed to the following:</t>
  </si>
  <si>
    <t xml:space="preserve"> Bidding Documents may be purchased by the Interested Bidders on June 10-11, 2020 from 8:00 A.M to 5:00 P.M. and upon payment of non - refundable fee of One Thousand Five Hundred Pesos (Php 1,500.00).</t>
  </si>
  <si>
    <t xml:space="preserve"> 1. Submission of letter of Intent  June 4-11,2020</t>
  </si>
  <si>
    <t xml:space="preserve"> 1. Issuance of Bidding Documents	:	June 04, 2020 to June 23, 2020</t>
  </si>
  <si>
    <t xml:space="preserve"> Bidding Documents may be purchased by the Interested Bidders on June 10-11, 2020 from 8:00 A.M to 5:00 P.M. and upon payment of non - refundable fee of Two Thousand Pesos (Php 2,000.00 ).</t>
  </si>
  <si>
    <t xml:space="preserve"> bidding date,June 25, 2020 at Brgy. Hall,Brgy. Coline-Alimodian Iloilo at 10am</t>
  </si>
  <si>
    <t xml:space="preserve"> bidding date will be on June 25, 2020,at 10am at Brgy. Hall,Brgy. Tugaslon,Alimodian Iloilo</t>
  </si>
  <si>
    <t xml:space="preserve"> ALL INTERESTED BIDDERS ARE REQUIRED TO SUBMIT THEIR COMPLETE ELIGIBILITY REQUIREMENTS TO THE BAC FOR EVALUATION DURING THE PRE-BID CONFERENCE ON JUNE 11, 2020 8:00A.M. AT THE BAC SECRETARIAT OFFICE, 2ND FLOOR, CITY HALL OF DASMARIÑAS, CAVITE. BIDDERS WHO SHALL FAIL TO ATTEND THE PRE-BID SHALL NOT BE ALLOWED TO JOIN THE BIDDING FOR THE AFORESAID PROJECT. </t>
  </si>
  <si>
    <t xml:space="preserve"> bidding date on June 25, 2020 at Brgy. Hall,Brgy. Ban-ag.Alimodian Iloilo</t>
  </si>
  <si>
    <t xml:space="preserve"> 1. Issuance and Availability of Bid Documents - June 4, 2020	at ASSCAT Procurement Office</t>
  </si>
  <si>
    <t xml:space="preserve"> https://www.philgeps.gov.ph/GEPSNONPILOT/Tender/CreateNoticeStep2UI.aspx?RefID=7025434</t>
  </si>
  <si>
    <t xml:space="preserve"> https://www.philgeps.gov.ph/GEPSNONPILOT/Tender/CreateNoticeStep2UI.aspx?RefID=7025592</t>
  </si>
  <si>
    <t xml:space="preserve"> A complete set of Bidding Documents may be acquired by interested bidders on JUNE 4,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</si>
  <si>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https://drive.google.com/file/d/1e8yAZDRTLAdrEGpPAc8FwF6dFDqZYhd1/view?usp=drivesdk</t>
  </si>
  <si>
    <t xml:space="preserve"> 1. Pre-Bid Conference: June 15, 2020, 2:00PM at the Municipal Conference Hall, Galimuyod, Ilocos Sur</t>
  </si>
  <si>
    <t xml:space="preserve"> Issuance and Availability of Bid Documents - June 4, 2020 at ASSCAT Procurement Office</t>
  </si>
  <si>
    <t xml:space="preserve"> Item No.	Description</t>
  </si>
  <si>
    <t xml:space="preserve"> https://www.philgeps.gov.ph/GEPSNONPILOT/Tender/CreateNoticeStep2UI.aspx?RefID=7025613</t>
  </si>
  <si>
    <t xml:space="preserve"> Issuance of bidding documents at BAC Office on June 4 to June 19, 2020 at 10:00 a.m.</t>
  </si>
  <si>
    <t xml:space="preserve"> Schedule of Activities:</t>
  </si>
  <si>
    <t xml:space="preserve"> https://drive.google.com/file/d/1J9ohZri2GjisVi7eEQ6w0SOuavvaTHym/view?usp=drivesdk </t>
  </si>
  <si>
    <t xml:space="preserve"> https://www.philgeps.gov.ph/GEPSNONPILOT/Tender/CreateNoticeStep2UI.aspx?RefID=7025779</t>
  </si>
  <si>
    <t xml:space="preserve"> Please copy the LINK below for the PLAN</t>
  </si>
  <si>
    <t xml:space="preserve"> Bidders must download documents int associated component section</t>
  </si>
  <si>
    <t xml:space="preserve"> Technical Specification of Project No. 1</t>
  </si>
  <si>
    <t xml:space="preserve"> Technical Specification of Project Number 4:</t>
  </si>
  <si>
    <t xml:space="preserve"> Technical Specification of Project Number 3:</t>
  </si>
  <si>
    <t xml:space="preserve"> N/A</t>
  </si>
  <si>
    <t xml:space="preserve"> Technical Specification of Project Number 7:</t>
  </si>
  <si>
    <t xml:space="preserve"> Technical Specification of Project Number 5:</t>
  </si>
  <si>
    <t xml:space="preserve"> Technical Specification of Project Number 6:</t>
  </si>
  <si>
    <t xml:space="preserve"> Technical Specification of Project Number 8:</t>
  </si>
  <si>
    <t xml:space="preserve"> SUPPLIERS/ BIDDERS MUST DOWNLOAD THE ATTACHED DOCUMENT IN ASSOCIATED COMPONENT SECTION</t>
  </si>
  <si>
    <t xml:space="preserve"> Stock 	Unit	Item Description			QTY.</t>
  </si>
  <si>
    <t xml:space="preserve"> FOR BID DOCS:</t>
  </si>
  <si>
    <t xml:space="preserve"> The Local Government Unit of Pilar, through the General Fund/Supplemental Budget intends to apply the sum of One Million, Two Hundred Seventy Thousand Pesos (P1,270,000.00)  being the Approved Budget for the Contract (ABC) to payment under the contract for the Procurement of Sanitary Landfill Services for the Disposal of the Municipality’s Residual Wastes. Bids received in excess of the ABC shall be automatically rejected at bid opening.</t>
  </si>
  <si>
    <t xml:space="preserve"> SUPPLY AND DELIVERY OF 6W 4X2 DUMP TRUCK</t>
  </si>
  <si>
    <t xml:space="preserve"> 3 drums bituminous tack coat</t>
  </si>
  <si>
    <t xml:space="preserve"> Project Description	: Construction</t>
  </si>
  <si>
    <t xml:space="preserve"> Project Description	: Completion</t>
  </si>
  <si>
    <t xml:space="preserve"> For further information on this project procurement, interested consultants may contact the Bids and Awards Committee Secretariat through Mr. Marl Philippe Y. Cachero at (02) 8921 0565 or you may send an email to marlcachero7@gmail.com</t>
  </si>
  <si>
    <t xml:space="preserve"> Project Description	: Rehabilitation/Reconstruction</t>
  </si>
  <si>
    <t xml:space="preserve"> Project Description	: Concreting</t>
  </si>
  <si>
    <t xml:space="preserve"> Technical Specification of Project Number 9:</t>
  </si>
  <si>
    <t xml:space="preserve"> Project Description	: Construction/Development</t>
  </si>
  <si>
    <t xml:space="preserve"> Technical Specification of Project Number 13:</t>
  </si>
  <si>
    <t xml:space="preserve"> Technical Specification of Project Number 10:</t>
  </si>
  <si>
    <t xml:space="preserve"> Technical Specification of Project Number 12:</t>
  </si>
  <si>
    <t xml:space="preserve"> Project Description	: Construction/Establishment</t>
  </si>
  <si>
    <t xml:space="preserve"> Please copy the link below and paste it on new tab:</t>
  </si>
  <si>
    <t xml:space="preserve"> https://drive.google.com/file/d/1kP71C170dMayXCS4U5k2wa-hcoFm957t/view?usp=drivesdk</t>
  </si>
  <si>
    <t xml:space="preserve"> a.	Construction/Establishment of Emergency Operation	   	  2,000,000.00</t>
  </si>
  <si>
    <t xml:space="preserve"> Technical Specification of Project Number 11:</t>
  </si>
  <si>
    <t xml:space="preserve"> Technical Specification of Project Number 17:</t>
  </si>
  <si>
    <t xml:space="preserve"> https://drive.google.com/file/d/1pTemR_3CTZCmnATeCFA3meoKBRMIjvZ6/view?usp=drivesdk</t>
  </si>
  <si>
    <t xml:space="preserve"> Project Description	: Rehabilitation</t>
  </si>
  <si>
    <t xml:space="preserve"> https://drive.google.com/file/d/1CvAlpMtZgzEv-bCWgUNZyPD8v76rJxUg/view?usp=drivesdk</t>
  </si>
  <si>
    <t xml:space="preserve"> Technical Specification of Project Number 16:</t>
  </si>
  <si>
    <t xml:space="preserve"> Technical Specification of Project Number 19:</t>
  </si>
  <si>
    <t xml:space="preserve"> Technical Specification of Project Number 24:</t>
  </si>
  <si>
    <t xml:space="preserve"> Technical Specification of Project Number 14:</t>
  </si>
  <si>
    <t xml:space="preserve"> Technical Specification of Project Number 22:</t>
  </si>
  <si>
    <t xml:space="preserve"> Technical Specification of Project Number 18:</t>
  </si>
  <si>
    <t xml:space="preserve"> a.	Reblocking of Bolos-Guruyan Road	  		2,500,000.00</t>
  </si>
  <si>
    <t xml:space="preserve"> Technical Specification of Project Number 15:</t>
  </si>
  <si>
    <t xml:space="preserve"> 20CE0207: Widening of Permanent Bridges Manicla Br. (B01968LZ) along Daang Maharlika (LZ); Invitation to Bid including Plans and other Supporting Docs</t>
  </si>
  <si>
    <t xml:space="preserve"> Technical Specification of Project Number 23:</t>
  </si>
  <si>
    <t xml:space="preserve"> a.	Construction of Shoulder &amp; Concrete Line Canal at   		9,000,000.00</t>
  </si>
  <si>
    <t xml:space="preserve"> Technical Specification of Project Number 21:</t>
  </si>
  <si>
    <t xml:space="preserve"> Technical Specification of Project Number 26:</t>
  </si>
  <si>
    <t xml:space="preserve"> Technical Specification of Project Number 20:</t>
  </si>
  <si>
    <t xml:space="preserve"> a.	Construction of Waste Water Treatment Facility at	   	2,000,000.00</t>
  </si>
  <si>
    <t xml:space="preserve"> Technical Specification of Project Number 27:</t>
  </si>
  <si>
    <t xml:space="preserve"> a.	Development of Water Source and Construction	   	2,000,000.00</t>
  </si>
  <si>
    <t xml:space="preserve"> Technical Specification of Project Number 25:</t>
  </si>
  <si>
    <t xml:space="preserve"> 20CE0208: Replacement of Permanent Weak Bridges Amawinan Br. (B01981LZ) along Daang Maharlika (LZ); Invitation to Bid including Plans and other Supporting Docs</t>
  </si>
  <si>
    <t xml:space="preserve"> a.	Rehabilitation/Improvement of Salvador R. Encinas  	   	1,800,000.00</t>
  </si>
  <si>
    <t xml:space="preserve"> a.	Rehabilitation of Municipal Main Drainage System	   	2,000,000.00</t>
  </si>
  <si>
    <t xml:space="preserve"> for more information just contact barangay secretariat of Barangay Danao Tigbauan, Iloilo</t>
  </si>
  <si>
    <t xml:space="preserve"> a.	Concreting of Bical Farm to Market Road		   	 2,000,000.00</t>
  </si>
  <si>
    <t xml:space="preserve"> a.	Improvt. of Potable Water System at Brgy. Patag, Irosin  	   2,000,000.00</t>
  </si>
  <si>
    <t xml:space="preserve"> https://drive.google.com/file/d/1NbRmC4n6o7aI6w3PmKBOoB00XwU5t8Eq/view?usp=drivesdk</t>
  </si>
  <si>
    <t xml:space="preserve"> https://drive.google.com/file/d/1UgQtD5vlUjUAH6wKf27158WuFJAvQKdK/view?usp=drivesdk</t>
  </si>
  <si>
    <t xml:space="preserve"> https://drive.google.com/file/d/1lSoMVnTGZ3Wr9-T_LnYDf-m0DYM_UM8J/view?usp=drivesdk</t>
  </si>
  <si>
    <t xml:space="preserve"> https://drive.google.com/file/d/175QWC9-nTEYDwoZpZuZXGH_2UgIAJ76v/view?usp=drivesdk</t>
  </si>
  <si>
    <t xml:space="preserve"> https://drive.google.com/file/d/1j-PPg2Vo1G4kOzmQndHzi2MW9dt03XZI/view?usp=drivesdk</t>
  </si>
  <si>
    <t xml:space="preserve"> https://drive.google.com/file/d/1wYQhWmVsmfOlLRdGLuxM8QKYpH8fNs1K/view?usp=drivesdk</t>
  </si>
  <si>
    <t xml:space="preserve"> Prospective bidders are encouraged to attend the prebid conference as scheduled.</t>
  </si>
  <si>
    <t xml:space="preserve"> https://drive.google.com/file/d/1-XoZdxODBUV0mlTESOFfKRBRbAlieBGJ/view?usp=drivesdk</t>
  </si>
  <si>
    <t xml:space="preserve"> SB - 7 UNITS LAPTOP</t>
  </si>
  <si>
    <t xml:space="preserve"> Cost of Bid Docs: Php 5,000.00</t>
  </si>
  <si>
    <t xml:space="preserve"> Purpose: For Equipment and Fixtures for the Research Workshop Room</t>
  </si>
  <si>
    <t xml:space="preserve"> Purpose: For the Graduation S.Y. 2019-2020							</t>
  </si>
  <si>
    <t xml:space="preserve"> Purpose: (1) For the Office of the Board of of Secretary; (2) For stacking of inactive documents; (3) VPAF office filing; (4) For BAC Office Use</t>
  </si>
  <si>
    <t xml:space="preserve"> https://drive.google.com/file/d/11z4Qfb_ROYuE1oqJyvMTI1DQ7D-jBX4s/view?usp=drivesdk</t>
  </si>
  <si>
    <t xml:space="preserve"> Purpose: For ZPFIC use.</t>
  </si>
  <si>
    <t xml:space="preserve"> https://drive.google.com/file/d/1g4E1xRgbWEIJbzOl73SteU7W4UGfoJc9/view?usp=drivesdk</t>
  </si>
  <si>
    <t xml:space="preserve"> Purpose: For Guidance and Counseling Office Use.</t>
  </si>
  <si>
    <t xml:space="preserve"> https://drive.google.com/file/d/1VL2PvzzGcW7Z0X-avdRVosYWfJg_VMNn/view?usp=drivesdk</t>
  </si>
  <si>
    <t xml:space="preserve"> **Please see the DESCRIPTION about the complete CONTRACT LOCATION</t>
  </si>
  <si>
    <t xml:space="preserve"> https://drive.google.com/file/d/1YctlKqliOhW_8e6MwyUbqoN1y7rOovs0/view?usp=drivesdk</t>
  </si>
  <si>
    <t xml:space="preserve"> https://drive.google.com/file/d/1k1O8GPGrszJ1klAejdPYMcDPYhgTX9Bd/view?usp=drivesdk</t>
  </si>
  <si>
    <t xml:space="preserve"> https://drive.google.com/file/d/1gnWtNauqhgZ9dlm786PaWyepzy_OSVVP/view?usp=drivesdk</t>
  </si>
  <si>
    <t xml:space="preserve"> The Bid documents shall be available at the Bids and Awards Committee Office, LGU-Tigbauan, </t>
  </si>
  <si>
    <t xml:space="preserve"> https://drive.google.com/file/d/13sFvC4znEQH2PRwM890GyorClrfrqiD1/view?usp=drivesdk</t>
  </si>
  <si>
    <t xml:space="preserve"> https://drive.google.com/file/d/1HTya46nw7KSxIaN5ySWnK9058rViMUKP/view?usp=drivesdk</t>
  </si>
  <si>
    <t xml:space="preserve"> Bidding Documents may be secured from the BAC Secretariat, Office of the Municipal Treasurer – Supply Section upon payment to the MTO Cashier of a non-refundable amount of ₱ 1,000.00. </t>
  </si>
  <si>
    <t xml:space="preserve"> https://drive.google.com/file/d/1H4hLnYZh5KUFKTXWD4VU7K0MY0NqVyw_/view?usp=drivesdk</t>
  </si>
  <si>
    <t xml:space="preserve"> https://drive.google.com/file/d/1QfowKbetXFe9Nuhb32Tk-n_Yv2oMgcYt/view?usp=drivesdk</t>
  </si>
  <si>
    <t xml:space="preserve"> https://drive.google.com/file/d/1fdbmIt5_K9PQfH1SEgq-9B7xBI9Z78YC/view?usp=drivesdk</t>
  </si>
  <si>
    <t xml:space="preserve"> https://drive.google.com/file/d/1_0e8zCvTibFecjqGdtw2SJ7lU0CR6cgY/view?usp=drivesdk</t>
  </si>
  <si>
    <t xml:space="preserve"> https://drive.google.com/file/d/1yye37HbbRwECdDc1NfVbaCD6tUxY3rQ4/view?usp=drivesdk</t>
  </si>
  <si>
    <t xml:space="preserve"> https://drive.google.com/file/d/1feuGTdsY3Ugw_QR0cOIxhVg3vyM9ghKK/view?usp=drivesdk</t>
  </si>
  <si>
    <t xml:space="preserve"> https://drive.google.com/file/d/1RAh0RPwHKwhIOtpyQr-3_jvmILkO6cp0/view?usp=drivesdk</t>
  </si>
  <si>
    <t xml:space="preserve"> https://drive.google.com/file/d/1MofJagNSYZ3UTJ6s3lx25jDA9tDybINs/view?usp=drivesdk</t>
  </si>
  <si>
    <t xml:space="preserve"> This project was post already and was repost due to changes on the program of works.</t>
  </si>
  <si>
    <t xml:space="preserve"> BIDDERS ARE REQUIRED TO SUBMIT LETTER OF INTENT TO BAC SECRETARIAT UPON PURCHASE OF BID DOCUMENTS.</t>
  </si>
  <si>
    <t xml:space="preserve"> Please Download the Associated Components.</t>
  </si>
  <si>
    <t xml:space="preserve"> Pre- Bid : June 9,2020 - 10:00am</t>
  </si>
  <si>
    <t xml:space="preserve"> - other information may be discussed during pre-bid conference..</t>
  </si>
  <si>
    <t xml:space="preserve"> https://drive.google.com/file/d/1LOmFKcNv7nfNnfa-C9FwOnQqAEfY2Efl/view?usp=drivesdk</t>
  </si>
  <si>
    <t xml:space="preserve"> https://drive.google.com/file/d/1_twp0Xf5d_LbAnOH6F0EB7OeQBE8OrLT/view?usp=drivesdk</t>
  </si>
  <si>
    <t xml:space="preserve"> https://drive.google.com/file/d/1NKaOkBfgfFExHKqMOcDTNkyT14NBXpFf/view?usp=drivesdk</t>
  </si>
  <si>
    <t xml:space="preserve"> https://drive.google.com/file/d/1xw9E9qQYN4uAtACQJwIIYv1wm0B4lyKS/view?usp=drivesdk</t>
  </si>
  <si>
    <t xml:space="preserve"> Bid Documents must be secured from the BAC Secretariat, Leyte SMED Center, Provincial Capitol Grounds, Tacloban City</t>
  </si>
  <si>
    <t xml:space="preserve"> - other information may be discussed during pre-bid conference.</t>
  </si>
  <si>
    <t xml:space="preserve"> For further information please see attached bidding document or contact BAC Secretariat.</t>
  </si>
  <si>
    <t xml:space="preserve"> NOTE: Please copy the link below and paste to the web browser for the attached set of Bidding Documents.</t>
  </si>
  <si>
    <t xml:space="preserve"> Note:</t>
  </si>
  <si>
    <t xml:space="preserve"> https://drive.google.com/file/d/1dVPG--C_BkBaJjmxT4ZhVYTCAHHQDrbM/view?usp=drivesdk</t>
  </si>
  <si>
    <t xml:space="preserve"> Bidders must download the attached document in the component section.</t>
  </si>
  <si>
    <t xml:space="preserve"> for queries, you may email MS. KIM STO. TOMAS  at kimjoyangeles@yahoo.com</t>
  </si>
  <si>
    <t xml:space="preserve"> DESCRIPTION - ROAD CONCRETING</t>
  </si>
  <si>
    <t xml:space="preserve"> For inquiries, please contact Mr. Geomar R. Ogoy, Procurement at tel no. 8293-3683.</t>
  </si>
  <si>
    <t xml:space="preserve"> A complete set of Bidding Documents may be acquired by interested bidders on JUNE 3, 2020 to JUNE 23, 2020 from 8:00AM to 5:00PM at the Office of the Bids and Awards Committee, 3rd Floor, Provincial Capitol, Bontoc, Mountain Province upon payment of the applicable fee for the Bidding Documents, pursuant to the latest Guidelines issued by the GPPB, in the amount of One Thousand Pesos Only (Php1,000.00) at the Cashier’s Office, Provincial Capitol, Bontoc, Mountain Province.</t>
  </si>
  <si>
    <t xml:space="preserve"> Cost of Bid Docs: Php 50,000.00</t>
  </si>
  <si>
    <t xml:space="preserve"> A complete set of Bidding Documents may be acquired by interested bidders on JUNE 3,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</si>
  <si>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SALE/ISSUANCE OF BIDDING DOCUMENTS FROM JUNE 3, 2020-JUNE 18, 2020 UNTIL 5PM</t>
  </si>
  <si>
    <t xml:space="preserve"> The BAC is conducting the public bidding for this Contract in accordance with RA 9184 and its Implementing Rules and Regulations (IRR).</t>
  </si>
  <si>
    <t xml:space="preserve"> INVITATION TO BID FOR </t>
  </si>
  <si>
    <t xml:space="preserve"> PLEASE DOWNLOAD INVITATION TO BID</t>
  </si>
  <si>
    <t xml:space="preserve"> 1			FACILITIES FOR THE ENGINEERS:</t>
  </si>
  <si>
    <t xml:space="preserve"> 1. Issuance of Bidding Documents- June 3, 2020 - June 22, 2020</t>
  </si>
  <si>
    <t xml:space="preserve"> 1	70	box	Amlodipine 10mg/tab 100's 	</t>
  </si>
  <si>
    <t xml:space="preserve"> LOT I – DISTRIBUTION TRANSFORMER</t>
  </si>
  <si>
    <t xml:space="preserve"> https://drive.google.com/file/d/1Yy4XLObl2KJJV-qKReUHOW7HVZPLzZPq/view?usp=drivesdk</t>
  </si>
  <si>
    <t xml:space="preserve"> https://drive.google.com/file/d/1t-of3J9KeiS2x2z4DoPLWKcWOA0NeD4f/view?usp=drivesdk</t>
  </si>
  <si>
    <t xml:space="preserve"> https://drive.google.com/file/d/1PYq9pYfrYebDM3vOOvUSscJDUQT1dxjF/view?usp=drivesdk</t>
  </si>
  <si>
    <t xml:space="preserve"> https://drive.google.com/file/d/1ARYtNquux_DYRuQ8QnpNcVQeEgbGK7_M/view?usp=drivesdk</t>
  </si>
  <si>
    <t xml:space="preserve"> https://drive.google.com/file/d/1pwd3ZxU6BbnYo7DE-xDWJeJW-lZN8oyw/view?usp=drivesdk</t>
  </si>
  <si>
    <t xml:space="preserve"> A complete set of Bidding Documents will be provided by PNBAC Secretariat to the interested Bidders upon payment of a non-refundable fee in the amount of FIFTY THOUSAND PESOS (P50,000.00) only at CRB, CPMU, Philippine Navy Finance Center (PNFC), Naval Station Jose Francisco, Fort Bonifacio, Taguig City.</t>
  </si>
  <si>
    <t xml:space="preserve"> Schedule of Bidding Activities: </t>
  </si>
  <si>
    <t xml:space="preserve"> https://drive.google.com/file/d/1n-kSkToFYU4f7620bUtyA5Oq0n7vSQgn/view?usp=sharing</t>
  </si>
  <si>
    <t xml:space="preserve"> https://drive.google.com/file/d/1IVHZrNqgbGiWBxAjbDZ18m1Ffx9GynfC/view?usp=sharing</t>
  </si>
  <si>
    <t xml:space="preserve"> Make:Elf</t>
  </si>
  <si>
    <t xml:space="preserve"> 4.4C Mini Dumptruck (4cbm)</t>
  </si>
  <si>
    <t xml:space="preserve"> ALL INTERESTED BIDDERS ARE REQUIRED TO SUBMIT THEIR COMPLETE ELIGIBILITY REQUIREMENTS TO THE BAC FOR EVALUATION DURING THE PRE-BID CONFERENCE ON JUNE 9, 2020 8:00A.M. AT THE BAC SECRETARIAT OFFICE, 2ND FLOOR, CITY HALL OF DASMARIÑAS, CAVITE. BIDDERS WHO SHALL FAIL TO ATTEND THE PRE-BID SHALL NOT BE ALLOWED TO JOIN THE BIDDING FOR THE AFORESAID PROJECT. </t>
  </si>
  <si>
    <t xml:space="preserve"> Pre-Bid Conference - June 10, 2020 @ 2:00 PM</t>
  </si>
  <si>
    <t xml:space="preserve"> Submit all bid documents personally to the BAC Secretariat at the Municipal Engineering Office, Municipal Building, Cervantes, Ilocos Sur.</t>
  </si>
  <si>
    <t xml:space="preserve"> the contract duration and other matters related to this project will be taken up during the Pre-Bid Conference which </t>
  </si>
  <si>
    <t xml:space="preserve"> FOR MORE INFORMATION AND CLARIFICATION, PLEASE CONTACT BAC SECRETARIAT OF BRGY. CAMITOC COUNCIL LOCATED AT BRGY. CAMITOC HALL, BRGY. CAMITOC, DULAG LEYTE FROM MONDAY TO FRIDAY (8:00 A.M. TO 5:00 P.M.)</t>
  </si>
  <si>
    <t xml:space="preserve"> Cost of Bid Documents: Php5,000.00</t>
  </si>
  <si>
    <t xml:space="preserve"> Issuance of bid documents - June 2-22, 2020</t>
  </si>
  <si>
    <t xml:space="preserve"> https://drive.google.com/file/d/1CI_JTmpQHyvE2Nx3E91CPVElE7pA4hrr/view?usp=drivesdk</t>
  </si>
  <si>
    <t xml:space="preserve"> All interested bidders must purchase bid document at Municipal Treasury Office together with the letter of intent before going to the BAC Office, 3rd floor, Municipal Bldg. Abatan, Buguias, Benguet from June 9, 2020 starting 2:00 PM - 4:00 PM.</t>
  </si>
  <si>
    <t xml:space="preserve"> https://drive.google.com/file/d/1ghusHQ_gi0E7pvv8uEgaM6kHZhCecLFh/view?usp=drivesdk</t>
  </si>
  <si>
    <t xml:space="preserve"> https://drive.google.com/file/d/1w9a8VcnptlPW1HjNql6BZnenasXJ7IaD/view?usp=drivesdk</t>
  </si>
  <si>
    <t xml:space="preserve"> 1. Pre-Bid Conference: June 10, 2020, 2:00PM at the Municipal Conference Hall, Galimuyod, Ilocos Sur.</t>
  </si>
  <si>
    <t xml:space="preserve"> You may also download Invitation to Bid and BOQ at the DPWH Website.</t>
  </si>
  <si>
    <t xml:space="preserve"> 1. Pre-Bid Conference: June 10, 2020, 2:00PM at the Municipal Conference Hall, Galimuyod, Ilocos Sur</t>
  </si>
  <si>
    <t xml:space="preserve"> Motor Vehicle</t>
  </si>
  <si>
    <t xml:space="preserve"> A complete set of Bidding Documents may be acquired by interested bidders on JUNE 2, 2020 to JUNE 23, 2020 from 8:00AM to 5:00PM at the Office of the Bids and Awards Committee, 3rd Floor, Provincial Capitol, Bontoc, Mountain Province upon payment of the applicable fee for the Bidding Documents, pursuant to the latest Guidelines issued by the GPPB, in the amount of Five Thousand Pesos Only (Php5,000.00) at the Cashier’s Office, Provincial Capitol, Bontoc, Mountain Province.</t>
  </si>
  <si>
    <t xml:space="preserve"> WATERCRAFTS</t>
  </si>
  <si>
    <t xml:space="preserve"> https://drive.google.com/file/d/1h_HRLZipij6GJJrY0wDAZw7puRi9On3K/view?usp=sharing</t>
  </si>
  <si>
    <t xml:space="preserve"> Cost of Bid Documents: Php10,000.00</t>
  </si>
  <si>
    <t xml:space="preserve"> MOTOR VEHICLE</t>
  </si>
  <si>
    <t xml:space="preserve"> Please see attached ITB and Bid Documents</t>
  </si>
  <si>
    <t xml:space="preserve"> https://drive.google.com/file/d/185efU_WtGSuYRAgKDJLpbOIydfbvuy9a/view?usp=sharing</t>
  </si>
  <si>
    <t xml:space="preserve"> See Municipal Engineer's Office for details</t>
  </si>
  <si>
    <t xml:space="preserve"> Pls. see Municipal Engineer's Office for details.</t>
  </si>
  <si>
    <t xml:space="preserve"> BIDDER MUST BE DOWNLOAD THE ATTACHED DOCUMENT IN THE ASSOCIATED COMPONENT</t>
  </si>
  <si>
    <t xml:space="preserve"> 1. Pre-Bid Conference: January 10, 2020, 2:00PM at the Municipal Conference Hall, Galimuyod, Ilocos Sur</t>
  </si>
  <si>
    <t xml:space="preserve"> BID DOCS: https://drive.google.com/file/d/1476Nuu3FLMgbnQhkCw4q9im_ZkWtT7sq/view?usp=drivesdk</t>
  </si>
  <si>
    <t xml:space="preserve"> 1. Issuance of Bidding Documents	:	June 02, 2020 to June 22, 2020</t>
  </si>
  <si>
    <t xml:space="preserve"> &gt; 1 Unit BRAND NEW 4x2 SUV VEHICLE</t>
  </si>
  <si>
    <t xml:space="preserve"> &gt; 1 Unit BRAND NEW 4x4 SUV VEHICLE</t>
  </si>
  <si>
    <t xml:space="preserve"> Delivery Point: SPUG-MOD Warehouse, Zamboanga City</t>
  </si>
  <si>
    <t xml:space="preserve"> Delivery Point: Plantsite / JOLO DPP, Sulu Province</t>
  </si>
  <si>
    <t xml:space="preserve"> Pre bid:  June 08, 2020 2:00 P.M.</t>
  </si>
  <si>
    <t xml:space="preserve"> https://drive.google.com/file/d/1kQEmBnc23z4A7vIzxefI4Y2xq1WSE9f_/view?usp=drivesdk</t>
  </si>
  <si>
    <t xml:space="preserve"> Delivery Point: Plantsite / Sitangkai DPP, Tawi-Tawi</t>
  </si>
  <si>
    <t xml:space="preserve"> https://drive.google.com/file/d/1KnwiKo9JkHRbOW6LXTvG5YmEBxoEcTN-/view?usp=drivesdk</t>
  </si>
  <si>
    <t xml:space="preserve"> 1.	Request for Expression of Interest	:	June 02, 2020 to June 08, 2020</t>
  </si>
  <si>
    <t xml:space="preserve"> https://drive.google.com/file/d/1XNPNdZzc085usA9J34xI4mjPQAb70L2S/view?usp=drivesdk</t>
  </si>
  <si>
    <t xml:space="preserve"> FOR MORE INFORMATION, PLEASE CONTACT BRGY. CHAIRMAN OR VISIT BARANGAY POTOL, DAPITAN CITY.</t>
  </si>
  <si>
    <t>Jimmy Lamayra Gonzales</t>
  </si>
  <si>
    <t>Ana Gutierrez Palenzuela</t>
  </si>
  <si>
    <t>ROMMEL G. GRAGASIN</t>
  </si>
  <si>
    <t>Rosevie Tallera Bartolome</t>
  </si>
  <si>
    <t>Nathaniel G Echano</t>
  </si>
  <si>
    <t>JAZERA DINOPOL OYAO</t>
  </si>
  <si>
    <t>Marife Aglosolos</t>
  </si>
  <si>
    <t>MARLYN BARREZA SUMAYA</t>
  </si>
  <si>
    <t>Penarando Surquia</t>
  </si>
  <si>
    <t>Riza Joy Barnizo Pele-in</t>
  </si>
  <si>
    <t>Korina Sibulo Tronqued</t>
  </si>
  <si>
    <t>Genevieve Nuñez</t>
  </si>
  <si>
    <t>Marlone Dagle Alejado</t>
  </si>
  <si>
    <t>Harold C. Duremdes</t>
  </si>
  <si>
    <t>Ellen M Reyes</t>
  </si>
  <si>
    <t>Sherrymine C. Lazaga</t>
  </si>
  <si>
    <t>Edmundo Jr M Abueg</t>
  </si>
  <si>
    <t>Mark J. Arceo</t>
  </si>
  <si>
    <t>Frenzel Ray Kitan Tomas</t>
  </si>
  <si>
    <t>ALLAN JAY DE LIMA NAPIZA</t>
  </si>
  <si>
    <t>Thelma P. Landicho</t>
  </si>
  <si>
    <t>Roderick D Domasig</t>
  </si>
  <si>
    <t>Axel R. Mangila</t>
  </si>
  <si>
    <t>Daniel Apilado Suyat</t>
  </si>
  <si>
    <t>Manuel Jesus Dufourt Roxas III</t>
  </si>
  <si>
    <t>Amelia P. Santos</t>
  </si>
  <si>
    <t>Zandro A. Samarista</t>
  </si>
  <si>
    <t>Ronelio N Hernandez</t>
  </si>
  <si>
    <t>Gemma Pugong Luglug</t>
  </si>
  <si>
    <t>Sheila Marie S Chua</t>
  </si>
  <si>
    <t>Nelzar Borres Arsenio</t>
  </si>
  <si>
    <t>Veronica CV Esguerra</t>
  </si>
  <si>
    <t>Erick Sombrio Dalumpines</t>
  </si>
  <si>
    <t>SALMA QUIBAYEN PADILLA</t>
  </si>
  <si>
    <t>Rodelio Jr. Abordo Vera</t>
  </si>
  <si>
    <t>Roxanne C. Pimentel</t>
  </si>
  <si>
    <t>Castor Gracilla Verdeblanco</t>
  </si>
  <si>
    <t>Arthur Molenilla Balmadrid</t>
  </si>
  <si>
    <t>MARY ANNE C LADO</t>
  </si>
  <si>
    <t>Fatnuhalda Abarrondo Samparani</t>
  </si>
  <si>
    <t>Angelika A. Paladan</t>
  </si>
  <si>
    <t>Ramer B. Panes</t>
  </si>
  <si>
    <t>April  Ponce  Espino</t>
  </si>
  <si>
    <t>M.A Cueva</t>
  </si>
  <si>
    <t>Jasmin Macaspag Dacaynos</t>
  </si>
  <si>
    <t>Ian Herodito Sy Gutierrez</t>
  </si>
  <si>
    <t>Dionesia B. Lagas</t>
  </si>
  <si>
    <t>Manny Maturan Da-ang</t>
  </si>
  <si>
    <t>RONALD S LANGBAN</t>
  </si>
  <si>
    <t>Meshele  Lecias  Cadangan</t>
  </si>
  <si>
    <t>Katherine V Veracruz</t>
  </si>
  <si>
    <t>Nerichelle R Bobis</t>
  </si>
  <si>
    <t>RANDELYN MAGLASANG BISQUERA</t>
  </si>
  <si>
    <t>Irma Danganan Lugue</t>
  </si>
  <si>
    <t>Ma. Loribel Gonzales Celda</t>
  </si>
  <si>
    <t>Amadel A Gonzales</t>
  </si>
  <si>
    <t>Fe P Sagre</t>
  </si>
  <si>
    <t>Joel R Perez</t>
  </si>
  <si>
    <t>ANNE LORELIE DE LEON LAURETA</t>
  </si>
  <si>
    <t>Atila S. Barre</t>
  </si>
  <si>
    <t>Kristine Salve Estipona Hao</t>
  </si>
  <si>
    <t>ANECITA A. SESPEÑE</t>
  </si>
  <si>
    <t>Kelly Sajo</t>
  </si>
  <si>
    <t>Ireneo Lanterno</t>
  </si>
  <si>
    <t>Jed D Panes</t>
  </si>
  <si>
    <t>Maylen Asuncion</t>
  </si>
  <si>
    <t>Ramon Jr. Paras Dela Cruz</t>
  </si>
  <si>
    <t>Jovellen G. Diaz</t>
  </si>
  <si>
    <t>Christel June Napoles</t>
  </si>
  <si>
    <t>Bernadette Baua</t>
  </si>
  <si>
    <t>Marilou Seno Villanueva</t>
  </si>
  <si>
    <t>Jenalyn Julaton Acosta</t>
  </si>
  <si>
    <t>dipolog water bac</t>
  </si>
  <si>
    <t>Cayylord D. Niala</t>
  </si>
  <si>
    <t>Liza C Dorado</t>
  </si>
  <si>
    <t>Ryan Saguyod Apolonio</t>
  </si>
  <si>
    <t>Cyrene T Palparan</t>
  </si>
  <si>
    <t>Jomar Feliciano Doncillo</t>
  </si>
  <si>
    <t>Rommel T Reamico</t>
  </si>
  <si>
    <t>Patria Pailan Guizano</t>
  </si>
  <si>
    <t>Joseph R. Sermonia</t>
  </si>
  <si>
    <t>Michael Rey Villaluz Biado</t>
  </si>
  <si>
    <t>Christian Ian Caligagan Villarin</t>
  </si>
  <si>
    <t>Engimer A. Ludovice</t>
  </si>
  <si>
    <t>Glory Vi A. Mesina</t>
  </si>
  <si>
    <t>Bazil Nacman Cabria</t>
  </si>
  <si>
    <t>BIENVENIDA PAMAN DULCERO</t>
  </si>
  <si>
    <t>Rowena B. Quierez</t>
  </si>
  <si>
    <t>Rosario Fe Quizon Arevalo</t>
  </si>
  <si>
    <t>Roland Dayuno Morales</t>
  </si>
  <si>
    <t>Rosine Salcedo Gonzalez</t>
  </si>
  <si>
    <t>Rosa Katherine J. Angeles</t>
  </si>
  <si>
    <t>ROEL B CADAGAT</t>
  </si>
  <si>
    <t>Mark Joseph Justimbaste Calinao</t>
  </si>
  <si>
    <t>Marino E Martinquilla</t>
  </si>
  <si>
    <t>Sittie Aisah T. Balindong</t>
  </si>
  <si>
    <t>Lydia Yumang Vinculado</t>
  </si>
  <si>
    <t>MUSLIMIN S. PAMIKIRIN</t>
  </si>
  <si>
    <t>Jose Marlowe Torrefranca Echem</t>
  </si>
  <si>
    <t>Michael Angelo J. Paras</t>
  </si>
  <si>
    <t>Olive V Ferreras</t>
  </si>
  <si>
    <t>Eduardo D. Fernandez</t>
  </si>
  <si>
    <t>Perry Origenes Bague</t>
  </si>
  <si>
    <t>Jevic Gadon Daguno</t>
  </si>
  <si>
    <t>Leonor F.  Santos</t>
  </si>
  <si>
    <t>Lea Marie  P.  Gulloy</t>
  </si>
  <si>
    <t>Mariel De Vera Mohammad-Sali</t>
  </si>
  <si>
    <t>Haydee Asparin Espinosa</t>
  </si>
  <si>
    <t>Joseph Cañas Hernani</t>
  </si>
  <si>
    <t>11/03/2020</t>
  </si>
  <si>
    <t>27/04/2020</t>
  </si>
  <si>
    <t>13/03/2020</t>
  </si>
  <si>
    <t>26/05/2020</t>
  </si>
  <si>
    <t>01/06/2020</t>
  </si>
  <si>
    <t>30/05/2020</t>
  </si>
  <si>
    <t>03/03/2020</t>
  </si>
  <si>
    <t>29/05/2020</t>
  </si>
  <si>
    <t>20/05/2020</t>
  </si>
  <si>
    <t>19/03/2020</t>
  </si>
  <si>
    <t>17/05/2020</t>
  </si>
  <si>
    <t>18/05/2020</t>
  </si>
  <si>
    <t>17/03/2020</t>
  </si>
  <si>
    <t>08/05/2020</t>
  </si>
  <si>
    <t>21/01/2020</t>
  </si>
  <si>
    <t>05/05/2020</t>
  </si>
  <si>
    <t>13/02/2020</t>
  </si>
  <si>
    <t>12/02/2020</t>
  </si>
  <si>
    <t>27/05/2020</t>
  </si>
  <si>
    <t>24/01/2020</t>
  </si>
  <si>
    <t>31/05/2020</t>
  </si>
  <si>
    <t>24/05/2020</t>
  </si>
  <si>
    <t>18/03/2020</t>
  </si>
  <si>
    <t>25/05/2020</t>
  </si>
  <si>
    <t>13/04/2020</t>
  </si>
  <si>
    <t>16/03/2020</t>
  </si>
  <si>
    <t>28/05/2020</t>
  </si>
  <si>
    <t>24/03/2020</t>
  </si>
  <si>
    <t>28/04/2020</t>
  </si>
  <si>
    <t>19/08/2019</t>
  </si>
  <si>
    <t>06/05/2020</t>
  </si>
  <si>
    <t>21/05/2020</t>
  </si>
  <si>
    <t>27/11/2019</t>
  </si>
  <si>
    <t>22/10/2019</t>
  </si>
  <si>
    <t>28/10/2019</t>
  </si>
  <si>
    <t>07/02/2019</t>
  </si>
  <si>
    <t>06/11/2019</t>
  </si>
  <si>
    <t>17/10/2019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</si>
</sst>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0744"/>
  <sheetViews>
    <sheetView tabSelected="1" workbookViewId="0"/>
  </sheetViews>
  <sheetFormatPr defaultRowHeight="15"/>
  <sheetData>
    <row r="1" spans="1:2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c r="A2">
        <f>HYPERLINK("https://www.philgeps.gov.ph/GEPSNONPILOT/Tender/SplashBidNoticeAbstractUI.aspx?menuIndex=3&amp;refID=6931796&amp;Result=3","6931796")</f>
        <v>0</v>
      </c>
      <c r="B2" t="s">
        <v>24</v>
      </c>
      <c r="C2" t="s">
        <v>2679</v>
      </c>
      <c r="D2" t="s">
        <v>12988</v>
      </c>
      <c r="E2" t="s">
        <v>13089</v>
      </c>
      <c r="F2" t="s">
        <v>22436</v>
      </c>
      <c r="G2" t="s">
        <v>22443</v>
      </c>
      <c r="H2" t="s">
        <v>22452</v>
      </c>
      <c r="I2" t="s">
        <v>22456</v>
      </c>
      <c r="J2" t="s">
        <v>22582</v>
      </c>
      <c r="K2" t="s">
        <v>29329</v>
      </c>
      <c r="M2" t="s">
        <v>29594</v>
      </c>
      <c r="N2" t="s">
        <v>32524</v>
      </c>
      <c r="O2" t="s">
        <v>32525</v>
      </c>
      <c r="P2">
        <v>0</v>
      </c>
      <c r="Q2">
        <v>25</v>
      </c>
      <c r="R2" t="s">
        <v>32526</v>
      </c>
      <c r="S2" t="s">
        <v>32547</v>
      </c>
      <c r="T2" t="s">
        <v>33153</v>
      </c>
      <c r="U2" t="s">
        <v>33621</v>
      </c>
      <c r="V2" t="s">
        <v>42420</v>
      </c>
      <c r="W2" t="s">
        <v>29594</v>
      </c>
      <c r="X2" t="s">
        <v>43775</v>
      </c>
    </row>
    <row r="3" spans="1:24">
      <c r="A3">
        <f>HYPERLINK("https://www.philgeps.gov.ph/GEPSNONPILOT/Tender/SplashBidNoticeAbstractUI.aspx?menuIndex=3&amp;refID=6976569&amp;Result=3","6976569")</f>
        <v>0</v>
      </c>
      <c r="B3" t="s">
        <v>25</v>
      </c>
      <c r="C3" t="s">
        <v>2680</v>
      </c>
      <c r="D3" t="s">
        <v>12989</v>
      </c>
      <c r="E3" t="s">
        <v>13090</v>
      </c>
      <c r="F3" t="s">
        <v>22436</v>
      </c>
      <c r="G3" t="s">
        <v>22443</v>
      </c>
      <c r="H3" t="s">
        <v>22452</v>
      </c>
      <c r="I3" t="s">
        <v>3827</v>
      </c>
      <c r="J3" t="s">
        <v>22583</v>
      </c>
      <c r="K3" t="s">
        <v>29330</v>
      </c>
      <c r="M3" t="s">
        <v>29595</v>
      </c>
      <c r="N3" t="s">
        <v>32524</v>
      </c>
      <c r="O3" t="s">
        <v>32525</v>
      </c>
      <c r="P3">
        <v>0</v>
      </c>
      <c r="Q3">
        <v>1</v>
      </c>
      <c r="R3" t="s">
        <v>32526</v>
      </c>
      <c r="S3" t="s">
        <v>32547</v>
      </c>
      <c r="T3" t="s">
        <v>33154</v>
      </c>
      <c r="U3" t="s">
        <v>33622</v>
      </c>
      <c r="W3" t="s">
        <v>29595</v>
      </c>
      <c r="X3" t="s">
        <v>43776</v>
      </c>
    </row>
    <row r="4" spans="1:24">
      <c r="A4">
        <f>HYPERLINK("https://www.philgeps.gov.ph/GEPSNONPILOT/Tender/SplashBidNoticeAbstractUI.aspx?menuIndex=3&amp;refID=6936918&amp;Result=3","6936918")</f>
        <v>0</v>
      </c>
      <c r="B4" t="s">
        <v>26</v>
      </c>
      <c r="C4" t="s">
        <v>2681</v>
      </c>
      <c r="D4" t="s">
        <v>12990</v>
      </c>
      <c r="E4" t="s">
        <v>13091</v>
      </c>
      <c r="F4" t="s">
        <v>22436</v>
      </c>
      <c r="G4" t="s">
        <v>22444</v>
      </c>
      <c r="H4" t="s">
        <v>22452</v>
      </c>
      <c r="I4" t="s">
        <v>2981</v>
      </c>
      <c r="J4" t="s">
        <v>22584</v>
      </c>
      <c r="K4" t="s">
        <v>29331</v>
      </c>
      <c r="M4" t="s">
        <v>29596</v>
      </c>
      <c r="N4" t="s">
        <v>32524</v>
      </c>
      <c r="O4" t="s">
        <v>32525</v>
      </c>
      <c r="P4">
        <v>0</v>
      </c>
      <c r="Q4">
        <v>1</v>
      </c>
      <c r="R4" t="s">
        <v>32526</v>
      </c>
      <c r="S4" t="s">
        <v>32547</v>
      </c>
      <c r="T4" t="s">
        <v>33155</v>
      </c>
      <c r="U4" t="s">
        <v>33623</v>
      </c>
      <c r="W4" t="s">
        <v>29596</v>
      </c>
      <c r="X4" t="s">
        <v>43777</v>
      </c>
    </row>
    <row r="5" spans="1:24">
      <c r="A5">
        <f>HYPERLINK("https://www.philgeps.gov.ph/GEPSNONPILOT/Tender/SplashBidNoticeAbstractUI.aspx?menuIndex=3&amp;refID=7031707&amp;Result=3","7031707")</f>
        <v>0</v>
      </c>
      <c r="B5" t="s">
        <v>27</v>
      </c>
      <c r="C5" t="s">
        <v>2682</v>
      </c>
      <c r="D5" t="s">
        <v>12991</v>
      </c>
      <c r="E5" t="s">
        <v>13092</v>
      </c>
      <c r="F5" t="s">
        <v>22436</v>
      </c>
      <c r="G5" t="s">
        <v>22444</v>
      </c>
      <c r="H5" t="s">
        <v>22453</v>
      </c>
      <c r="I5" t="s">
        <v>22457</v>
      </c>
      <c r="J5" t="s">
        <v>22585</v>
      </c>
      <c r="K5" t="s">
        <v>29332</v>
      </c>
      <c r="M5" t="s">
        <v>29597</v>
      </c>
      <c r="N5" t="s">
        <v>32524</v>
      </c>
      <c r="O5" t="s">
        <v>32525</v>
      </c>
      <c r="P5">
        <v>0</v>
      </c>
      <c r="Q5">
        <v>1</v>
      </c>
      <c r="R5" t="s">
        <v>32526</v>
      </c>
      <c r="S5" t="s">
        <v>32547</v>
      </c>
      <c r="T5" t="s">
        <v>33156</v>
      </c>
      <c r="U5" t="s">
        <v>33624</v>
      </c>
      <c r="W5" t="s">
        <v>29597</v>
      </c>
      <c r="X5" t="s">
        <v>32537</v>
      </c>
    </row>
    <row r="6" spans="1:24">
      <c r="A6">
        <f>HYPERLINK("https://www.philgeps.gov.ph/GEPSNONPILOT/Tender/SplashBidNoticeAbstractUI.aspx?menuIndex=3&amp;refID=7027208&amp;Result=3","7027208")</f>
        <v>0</v>
      </c>
      <c r="B6" t="s">
        <v>28</v>
      </c>
      <c r="C6" t="s">
        <v>2683</v>
      </c>
      <c r="D6" t="s">
        <v>12992</v>
      </c>
      <c r="E6" t="s">
        <v>13093</v>
      </c>
      <c r="F6" t="s">
        <v>22436</v>
      </c>
      <c r="G6" t="s">
        <v>22444</v>
      </c>
      <c r="H6" t="s">
        <v>22452</v>
      </c>
      <c r="I6" t="s">
        <v>22458</v>
      </c>
      <c r="J6" t="s">
        <v>22586</v>
      </c>
      <c r="K6" t="s">
        <v>29333</v>
      </c>
      <c r="M6" t="s">
        <v>29598</v>
      </c>
      <c r="N6" t="s">
        <v>32524</v>
      </c>
      <c r="O6" t="s">
        <v>32525</v>
      </c>
      <c r="P6">
        <v>0</v>
      </c>
      <c r="Q6">
        <v>32</v>
      </c>
      <c r="R6" t="s">
        <v>32526</v>
      </c>
      <c r="S6" t="s">
        <v>32547</v>
      </c>
      <c r="T6" t="s">
        <v>33157</v>
      </c>
      <c r="U6" t="s">
        <v>33625</v>
      </c>
      <c r="V6" t="s">
        <v>42421</v>
      </c>
      <c r="W6" t="s">
        <v>29598</v>
      </c>
      <c r="X6" t="s">
        <v>32538</v>
      </c>
    </row>
    <row r="7" spans="1:24">
      <c r="A7">
        <f>HYPERLINK("https://www.philgeps.gov.ph/GEPSNONPILOT/Tender/SplashBidNoticeAbstractUI.aspx?menuIndex=3&amp;refID=7031606&amp;Result=3","7031606")</f>
        <v>0</v>
      </c>
      <c r="B7" t="s">
        <v>29</v>
      </c>
      <c r="C7" t="s">
        <v>2684</v>
      </c>
      <c r="D7" t="s">
        <v>12993</v>
      </c>
      <c r="E7" t="s">
        <v>13094</v>
      </c>
      <c r="F7" t="s">
        <v>22436</v>
      </c>
      <c r="G7" t="s">
        <v>22444</v>
      </c>
      <c r="H7" t="s">
        <v>22453</v>
      </c>
      <c r="I7" t="s">
        <v>22459</v>
      </c>
      <c r="J7" t="s">
        <v>22587</v>
      </c>
      <c r="K7" t="s">
        <v>29334</v>
      </c>
      <c r="M7" t="s">
        <v>29599</v>
      </c>
      <c r="N7" t="s">
        <v>32524</v>
      </c>
      <c r="O7" t="s">
        <v>32525</v>
      </c>
      <c r="P7">
        <v>0</v>
      </c>
      <c r="Q7">
        <v>0</v>
      </c>
      <c r="R7" t="s">
        <v>32526</v>
      </c>
      <c r="S7" t="s">
        <v>32547</v>
      </c>
      <c r="T7" t="s">
        <v>33158</v>
      </c>
      <c r="U7" t="s">
        <v>33626</v>
      </c>
      <c r="V7" t="s">
        <v>42422</v>
      </c>
      <c r="W7" t="s">
        <v>29599</v>
      </c>
      <c r="X7" t="s">
        <v>32537</v>
      </c>
    </row>
    <row r="8" spans="1:24">
      <c r="A8">
        <f>HYPERLINK("https://www.philgeps.gov.ph/GEPSNONPILOT/Tender/SplashBidNoticeAbstractUI.aspx?menuIndex=3&amp;refID=7029553&amp;Result=3","7029553")</f>
        <v>0</v>
      </c>
      <c r="B8" t="s">
        <v>30</v>
      </c>
      <c r="C8" t="s">
        <v>2685</v>
      </c>
      <c r="D8" t="s">
        <v>12994</v>
      </c>
      <c r="E8" t="s">
        <v>13095</v>
      </c>
      <c r="F8" t="s">
        <v>22436</v>
      </c>
      <c r="G8" t="s">
        <v>22444</v>
      </c>
      <c r="H8" t="s">
        <v>22454</v>
      </c>
      <c r="I8" t="s">
        <v>7738</v>
      </c>
      <c r="J8" t="s">
        <v>22588</v>
      </c>
      <c r="K8" t="s">
        <v>29335</v>
      </c>
      <c r="M8" t="s">
        <v>29600</v>
      </c>
      <c r="N8" t="s">
        <v>32524</v>
      </c>
      <c r="O8" t="s">
        <v>32525</v>
      </c>
      <c r="P8">
        <v>0</v>
      </c>
      <c r="Q8">
        <v>0</v>
      </c>
      <c r="R8" t="s">
        <v>32526</v>
      </c>
      <c r="S8" t="s">
        <v>32547</v>
      </c>
      <c r="T8" t="s">
        <v>33159</v>
      </c>
      <c r="U8" t="s">
        <v>33627</v>
      </c>
      <c r="W8" t="s">
        <v>29600</v>
      </c>
      <c r="X8" t="s">
        <v>32538</v>
      </c>
    </row>
    <row r="9" spans="1:24">
      <c r="A9">
        <f>HYPERLINK("https://www.philgeps.gov.ph/GEPSNONPILOT/Tender/SplashBidNoticeAbstractUI.aspx?menuIndex=3&amp;refID=7011502&amp;Result=3","7011502")</f>
        <v>0</v>
      </c>
      <c r="B9" t="s">
        <v>31</v>
      </c>
      <c r="C9" t="s">
        <v>2686</v>
      </c>
      <c r="D9" t="s">
        <v>12995</v>
      </c>
      <c r="E9" t="s">
        <v>13096</v>
      </c>
      <c r="F9" t="s">
        <v>22437</v>
      </c>
      <c r="G9" t="s">
        <v>22445</v>
      </c>
      <c r="H9" t="s">
        <v>22452</v>
      </c>
      <c r="I9" t="s">
        <v>22460</v>
      </c>
      <c r="J9" t="s">
        <v>22589</v>
      </c>
      <c r="K9" t="s">
        <v>29336</v>
      </c>
      <c r="M9" t="s">
        <v>29601</v>
      </c>
      <c r="N9" t="s">
        <v>32524</v>
      </c>
      <c r="O9" t="s">
        <v>32525</v>
      </c>
      <c r="P9">
        <v>0</v>
      </c>
      <c r="Q9">
        <v>2</v>
      </c>
      <c r="R9" t="s">
        <v>32526</v>
      </c>
      <c r="S9" t="s">
        <v>32547</v>
      </c>
      <c r="T9" t="s">
        <v>33153</v>
      </c>
      <c r="U9" t="s">
        <v>33628</v>
      </c>
      <c r="W9" t="s">
        <v>29601</v>
      </c>
      <c r="X9" t="s">
        <v>43778</v>
      </c>
    </row>
    <row r="10" spans="1:24">
      <c r="A10">
        <f>HYPERLINK("https://www.philgeps.gov.ph/GEPSNONPILOT/Tender/SplashBidNoticeAbstractUI.aspx?menuIndex=3&amp;refID=7033075&amp;Result=3","7033075")</f>
        <v>0</v>
      </c>
      <c r="B10" t="s">
        <v>32</v>
      </c>
      <c r="C10" t="s">
        <v>2687</v>
      </c>
      <c r="E10" t="s">
        <v>13097</v>
      </c>
      <c r="F10" t="s">
        <v>22436</v>
      </c>
      <c r="G10" t="s">
        <v>22443</v>
      </c>
      <c r="H10" t="s">
        <v>22452</v>
      </c>
      <c r="I10" t="s">
        <v>12358</v>
      </c>
      <c r="J10" t="s">
        <v>22590</v>
      </c>
      <c r="K10" t="s">
        <v>29337</v>
      </c>
      <c r="M10" t="s">
        <v>29602</v>
      </c>
      <c r="N10" t="s">
        <v>32524</v>
      </c>
      <c r="O10" t="s">
        <v>32525</v>
      </c>
      <c r="P10">
        <v>0</v>
      </c>
      <c r="Q10">
        <v>0</v>
      </c>
      <c r="R10" t="s">
        <v>32526</v>
      </c>
      <c r="S10" t="s">
        <v>32547</v>
      </c>
      <c r="T10" t="s">
        <v>33155</v>
      </c>
      <c r="U10" t="s">
        <v>33629</v>
      </c>
      <c r="W10" t="s">
        <v>29602</v>
      </c>
      <c r="X10" t="s">
        <v>32534</v>
      </c>
    </row>
    <row r="11" spans="1:24">
      <c r="A11">
        <f>HYPERLINK("https://www.philgeps.gov.ph/GEPSNONPILOT/Tender/SplashBidNoticeAbstractUI.aspx?menuIndex=3&amp;refID=7033060&amp;Result=3","7033060")</f>
        <v>0</v>
      </c>
      <c r="B11" t="s">
        <v>32</v>
      </c>
      <c r="C11" t="s">
        <v>2688</v>
      </c>
      <c r="E11" t="s">
        <v>13098</v>
      </c>
      <c r="F11" t="s">
        <v>22436</v>
      </c>
      <c r="G11" t="s">
        <v>22443</v>
      </c>
      <c r="H11" t="s">
        <v>22452</v>
      </c>
      <c r="I11" t="s">
        <v>12358</v>
      </c>
      <c r="J11" t="s">
        <v>22591</v>
      </c>
      <c r="K11" t="s">
        <v>29337</v>
      </c>
      <c r="M11" t="s">
        <v>29602</v>
      </c>
      <c r="N11" t="s">
        <v>32524</v>
      </c>
      <c r="O11" t="s">
        <v>32525</v>
      </c>
      <c r="P11">
        <v>0</v>
      </c>
      <c r="Q11">
        <v>1</v>
      </c>
      <c r="R11" t="s">
        <v>32526</v>
      </c>
      <c r="S11" t="s">
        <v>32547</v>
      </c>
      <c r="T11" t="s">
        <v>33155</v>
      </c>
      <c r="U11" t="s">
        <v>33629</v>
      </c>
      <c r="W11" t="s">
        <v>29602</v>
      </c>
      <c r="X11" t="s">
        <v>32534</v>
      </c>
    </row>
    <row r="12" spans="1:24">
      <c r="A12">
        <f>HYPERLINK("https://www.philgeps.gov.ph/GEPSNONPILOT/Tender/SplashBidNoticeAbstractUI.aspx?menuIndex=3&amp;refID=7033000&amp;Result=3","7033000")</f>
        <v>0</v>
      </c>
      <c r="B12" t="s">
        <v>33</v>
      </c>
      <c r="C12" t="s">
        <v>2689</v>
      </c>
      <c r="E12" t="s">
        <v>13099</v>
      </c>
      <c r="F12" t="s">
        <v>22436</v>
      </c>
      <c r="G12" t="s">
        <v>22443</v>
      </c>
      <c r="H12" t="s">
        <v>22452</v>
      </c>
      <c r="I12" t="s">
        <v>22461</v>
      </c>
      <c r="J12" t="s">
        <v>22592</v>
      </c>
      <c r="K12" t="s">
        <v>29338</v>
      </c>
      <c r="M12" t="s">
        <v>29603</v>
      </c>
      <c r="N12" t="s">
        <v>32524</v>
      </c>
      <c r="O12" t="s">
        <v>32525</v>
      </c>
      <c r="P12">
        <v>0</v>
      </c>
      <c r="Q12">
        <v>1</v>
      </c>
      <c r="R12" t="s">
        <v>32526</v>
      </c>
      <c r="S12" t="s">
        <v>32547</v>
      </c>
      <c r="T12" t="s">
        <v>33154</v>
      </c>
      <c r="U12" t="s">
        <v>33630</v>
      </c>
      <c r="W12" t="s">
        <v>29603</v>
      </c>
      <c r="X12" t="s">
        <v>32534</v>
      </c>
    </row>
    <row r="13" spans="1:24">
      <c r="A13">
        <f>HYPERLINK("https://www.philgeps.gov.ph/GEPSNONPILOT/Tender/SplashBidNoticeAbstractUI.aspx?menuIndex=3&amp;refID=6991554-2&amp;Result=3","6991554-2")</f>
        <v>0</v>
      </c>
      <c r="B13" t="s">
        <v>34</v>
      </c>
      <c r="C13" t="s">
        <v>2690</v>
      </c>
      <c r="D13" t="s">
        <v>12996</v>
      </c>
      <c r="E13" t="s">
        <v>13100</v>
      </c>
      <c r="F13" t="s">
        <v>22436</v>
      </c>
      <c r="G13" t="s">
        <v>22444</v>
      </c>
      <c r="H13" t="s">
        <v>22455</v>
      </c>
      <c r="I13" t="s">
        <v>22455</v>
      </c>
      <c r="J13" t="s">
        <v>22593</v>
      </c>
      <c r="K13" t="s">
        <v>29339</v>
      </c>
      <c r="M13" t="s">
        <v>29604</v>
      </c>
      <c r="N13" t="s">
        <v>32524</v>
      </c>
      <c r="O13" t="s">
        <v>32525</v>
      </c>
      <c r="P13">
        <v>0</v>
      </c>
      <c r="Q13">
        <v>1</v>
      </c>
      <c r="R13" t="s">
        <v>32526</v>
      </c>
      <c r="S13" t="s">
        <v>32547</v>
      </c>
      <c r="T13" t="s">
        <v>33157</v>
      </c>
      <c r="U13" t="s">
        <v>33631</v>
      </c>
      <c r="W13" t="s">
        <v>29604</v>
      </c>
      <c r="X13" t="s">
        <v>32527</v>
      </c>
    </row>
    <row r="14" spans="1:24">
      <c r="A14">
        <f>HYPERLINK("https://www.philgeps.gov.ph/GEPSNONPILOT/Tender/SplashBidNoticeAbstractUI.aspx?menuIndex=3&amp;refID=7032957&amp;Result=3","7032957")</f>
        <v>0</v>
      </c>
      <c r="B14" t="s">
        <v>32</v>
      </c>
      <c r="C14" t="s">
        <v>2691</v>
      </c>
      <c r="E14" t="s">
        <v>13101</v>
      </c>
      <c r="F14" t="s">
        <v>22436</v>
      </c>
      <c r="G14" t="s">
        <v>22443</v>
      </c>
      <c r="H14" t="s">
        <v>22452</v>
      </c>
      <c r="I14" t="s">
        <v>12358</v>
      </c>
      <c r="J14" t="s">
        <v>22594</v>
      </c>
      <c r="K14" t="s">
        <v>29337</v>
      </c>
      <c r="M14" t="s">
        <v>29602</v>
      </c>
      <c r="N14" t="s">
        <v>32524</v>
      </c>
      <c r="O14" t="s">
        <v>32525</v>
      </c>
      <c r="P14">
        <v>0</v>
      </c>
      <c r="Q14">
        <v>0</v>
      </c>
      <c r="R14" t="s">
        <v>32526</v>
      </c>
      <c r="S14" t="s">
        <v>32547</v>
      </c>
      <c r="T14" t="s">
        <v>33155</v>
      </c>
      <c r="U14" t="s">
        <v>33629</v>
      </c>
      <c r="W14" t="s">
        <v>29602</v>
      </c>
      <c r="X14" t="s">
        <v>32534</v>
      </c>
    </row>
    <row r="15" spans="1:24">
      <c r="A15">
        <f>HYPERLINK("https://www.philgeps.gov.ph/GEPSNONPILOT/Tender/SplashBidNoticeAbstractUI.aspx?menuIndex=3&amp;refID=7032692&amp;Result=3","7032692")</f>
        <v>0</v>
      </c>
      <c r="B15" t="s">
        <v>35</v>
      </c>
      <c r="C15" t="s">
        <v>2692</v>
      </c>
      <c r="D15" t="s">
        <v>12997</v>
      </c>
      <c r="E15" t="s">
        <v>13102</v>
      </c>
      <c r="F15" t="s">
        <v>22436</v>
      </c>
      <c r="G15" t="s">
        <v>22444</v>
      </c>
      <c r="H15" t="s">
        <v>22454</v>
      </c>
      <c r="I15" t="s">
        <v>7738</v>
      </c>
      <c r="J15" t="s">
        <v>22595</v>
      </c>
      <c r="K15" t="s">
        <v>29335</v>
      </c>
      <c r="M15" t="s">
        <v>29605</v>
      </c>
      <c r="N15" t="s">
        <v>32524</v>
      </c>
      <c r="O15" t="s">
        <v>32525</v>
      </c>
      <c r="P15">
        <v>0</v>
      </c>
      <c r="Q15">
        <v>0</v>
      </c>
      <c r="R15" t="s">
        <v>32526</v>
      </c>
      <c r="S15" t="s">
        <v>32547</v>
      </c>
      <c r="T15" t="s">
        <v>33160</v>
      </c>
      <c r="U15" t="s">
        <v>33632</v>
      </c>
      <c r="W15" t="s">
        <v>29605</v>
      </c>
      <c r="X15" t="s">
        <v>32535</v>
      </c>
    </row>
    <row r="16" spans="1:24">
      <c r="A16">
        <f>HYPERLINK("https://www.philgeps.gov.ph/GEPSNONPILOT/Tender/SplashBidNoticeAbstractUI.aspx?menuIndex=3&amp;refID=7033275&amp;Result=3","7033275")</f>
        <v>0</v>
      </c>
      <c r="B16" t="s">
        <v>33</v>
      </c>
      <c r="C16" t="s">
        <v>2693</v>
      </c>
      <c r="E16" t="s">
        <v>13103</v>
      </c>
      <c r="F16" t="s">
        <v>22436</v>
      </c>
      <c r="G16" t="s">
        <v>22443</v>
      </c>
      <c r="H16" t="s">
        <v>22452</v>
      </c>
      <c r="I16" t="s">
        <v>22460</v>
      </c>
      <c r="J16" t="s">
        <v>22596</v>
      </c>
      <c r="K16" t="s">
        <v>29338</v>
      </c>
      <c r="M16" t="s">
        <v>29603</v>
      </c>
      <c r="N16" t="s">
        <v>32524</v>
      </c>
      <c r="O16" t="s">
        <v>32525</v>
      </c>
      <c r="P16">
        <v>0</v>
      </c>
      <c r="Q16">
        <v>0</v>
      </c>
      <c r="R16" t="s">
        <v>32526</v>
      </c>
      <c r="S16" t="s">
        <v>32547</v>
      </c>
      <c r="T16" t="s">
        <v>33154</v>
      </c>
      <c r="U16" t="s">
        <v>33633</v>
      </c>
      <c r="W16" t="s">
        <v>29603</v>
      </c>
      <c r="X16" t="s">
        <v>32534</v>
      </c>
    </row>
    <row r="17" spans="1:24">
      <c r="A17">
        <f>HYPERLINK("https://www.philgeps.gov.ph/GEPSNONPILOT/Tender/SplashBidNoticeAbstractUI.aspx?menuIndex=3&amp;refID=7032711&amp;Result=3","7032711")</f>
        <v>0</v>
      </c>
      <c r="B17" t="s">
        <v>36</v>
      </c>
      <c r="C17" t="s">
        <v>2694</v>
      </c>
      <c r="D17" t="s">
        <v>12998</v>
      </c>
      <c r="E17" t="s">
        <v>2694</v>
      </c>
      <c r="F17" t="s">
        <v>22436</v>
      </c>
      <c r="G17" t="s">
        <v>22446</v>
      </c>
      <c r="H17" t="s">
        <v>22452</v>
      </c>
      <c r="I17" t="s">
        <v>6421</v>
      </c>
      <c r="J17" t="s">
        <v>22597</v>
      </c>
      <c r="K17" t="s">
        <v>29335</v>
      </c>
      <c r="M17" t="s">
        <v>29606</v>
      </c>
      <c r="N17" t="s">
        <v>32524</v>
      </c>
      <c r="O17" t="s">
        <v>32525</v>
      </c>
      <c r="P17">
        <v>0</v>
      </c>
      <c r="Q17">
        <v>1</v>
      </c>
      <c r="R17" t="s">
        <v>32526</v>
      </c>
      <c r="S17" t="s">
        <v>32547</v>
      </c>
      <c r="T17" t="s">
        <v>33161</v>
      </c>
      <c r="U17" t="s">
        <v>33634</v>
      </c>
      <c r="W17" t="s">
        <v>29606</v>
      </c>
      <c r="X17" t="s">
        <v>32535</v>
      </c>
    </row>
    <row r="18" spans="1:24">
      <c r="A18">
        <f>HYPERLINK("https://www.philgeps.gov.ph/GEPSNONPILOT/Tender/SplashBidNoticeAbstractUI.aspx?menuIndex=3&amp;refID=7033048&amp;Result=3","7033048")</f>
        <v>0</v>
      </c>
      <c r="B18" t="s">
        <v>32</v>
      </c>
      <c r="C18" t="s">
        <v>2695</v>
      </c>
      <c r="E18" t="s">
        <v>13104</v>
      </c>
      <c r="F18" t="s">
        <v>22436</v>
      </c>
      <c r="G18" t="s">
        <v>22443</v>
      </c>
      <c r="H18" t="s">
        <v>22452</v>
      </c>
      <c r="I18" t="s">
        <v>22460</v>
      </c>
      <c r="J18" t="s">
        <v>22598</v>
      </c>
      <c r="K18" t="s">
        <v>29337</v>
      </c>
      <c r="M18" t="s">
        <v>29602</v>
      </c>
      <c r="N18" t="s">
        <v>32524</v>
      </c>
      <c r="O18" t="s">
        <v>32525</v>
      </c>
      <c r="P18">
        <v>0</v>
      </c>
      <c r="Q18">
        <v>2</v>
      </c>
      <c r="R18" t="s">
        <v>32526</v>
      </c>
      <c r="S18" t="s">
        <v>32547</v>
      </c>
      <c r="T18" t="s">
        <v>33155</v>
      </c>
      <c r="U18" t="s">
        <v>33629</v>
      </c>
      <c r="W18" t="s">
        <v>29602</v>
      </c>
      <c r="X18" t="s">
        <v>32534</v>
      </c>
    </row>
    <row r="19" spans="1:24">
      <c r="A19">
        <f>HYPERLINK("https://www.philgeps.gov.ph/GEPSNONPILOT/Tender/SplashBidNoticeAbstractUI.aspx?menuIndex=3&amp;refID=7019778&amp;Result=3","7019778")</f>
        <v>0</v>
      </c>
      <c r="B19" t="s">
        <v>37</v>
      </c>
      <c r="C19" t="s">
        <v>2696</v>
      </c>
      <c r="D19" t="s">
        <v>12999</v>
      </c>
      <c r="E19" t="s">
        <v>13105</v>
      </c>
      <c r="F19" t="s">
        <v>22436</v>
      </c>
      <c r="G19" t="s">
        <v>22447</v>
      </c>
      <c r="H19" t="s">
        <v>22454</v>
      </c>
      <c r="I19" t="s">
        <v>7738</v>
      </c>
      <c r="J19" t="s">
        <v>22599</v>
      </c>
      <c r="K19" t="s">
        <v>29329</v>
      </c>
      <c r="M19" t="s">
        <v>29607</v>
      </c>
      <c r="N19" t="s">
        <v>32524</v>
      </c>
      <c r="O19" t="s">
        <v>32525</v>
      </c>
      <c r="P19">
        <v>0</v>
      </c>
      <c r="Q19">
        <v>0</v>
      </c>
      <c r="R19" t="s">
        <v>32526</v>
      </c>
      <c r="S19" t="s">
        <v>32547</v>
      </c>
      <c r="T19" t="s">
        <v>33162</v>
      </c>
      <c r="U19" t="s">
        <v>33635</v>
      </c>
      <c r="W19" t="s">
        <v>29607</v>
      </c>
      <c r="X19" t="s">
        <v>43779</v>
      </c>
    </row>
    <row r="20" spans="1:24">
      <c r="A20">
        <f>HYPERLINK("https://www.philgeps.gov.ph/GEPSNONPILOT/Tender/SplashBidNoticeAbstractUI.aspx?menuIndex=3&amp;refID=7037544&amp;Result=3","7037544")</f>
        <v>0</v>
      </c>
      <c r="B20" t="s">
        <v>38</v>
      </c>
      <c r="C20" t="s">
        <v>2697</v>
      </c>
      <c r="D20" t="s">
        <v>13000</v>
      </c>
      <c r="E20" t="s">
        <v>13106</v>
      </c>
      <c r="F20" t="s">
        <v>22436</v>
      </c>
      <c r="G20" t="s">
        <v>22444</v>
      </c>
      <c r="H20" t="s">
        <v>22452</v>
      </c>
      <c r="I20" t="s">
        <v>6421</v>
      </c>
      <c r="J20" t="s">
        <v>22600</v>
      </c>
      <c r="K20" t="s">
        <v>29330</v>
      </c>
      <c r="M20" t="s">
        <v>29608</v>
      </c>
      <c r="N20" t="s">
        <v>32524</v>
      </c>
      <c r="O20" t="s">
        <v>32525</v>
      </c>
      <c r="P20">
        <v>0</v>
      </c>
      <c r="Q20">
        <v>1</v>
      </c>
      <c r="R20" t="s">
        <v>32526</v>
      </c>
      <c r="S20" t="s">
        <v>32547</v>
      </c>
      <c r="T20" t="s">
        <v>33163</v>
      </c>
      <c r="U20" t="s">
        <v>33636</v>
      </c>
      <c r="W20" t="s">
        <v>29608</v>
      </c>
      <c r="X20" t="s">
        <v>32533</v>
      </c>
    </row>
    <row r="21" spans="1:24">
      <c r="A21">
        <f>HYPERLINK("https://www.philgeps.gov.ph/GEPSNONPILOT/Tender/SplashBidNoticeAbstractUI.aspx?menuIndex=3&amp;refID=7037321&amp;Result=3","7037321")</f>
        <v>0</v>
      </c>
      <c r="B21" t="s">
        <v>32</v>
      </c>
      <c r="C21" t="s">
        <v>2698</v>
      </c>
      <c r="E21" t="s">
        <v>13107</v>
      </c>
      <c r="F21" t="s">
        <v>22436</v>
      </c>
      <c r="G21" t="s">
        <v>22443</v>
      </c>
      <c r="H21" t="s">
        <v>22452</v>
      </c>
      <c r="I21" t="s">
        <v>22462</v>
      </c>
      <c r="J21" t="s">
        <v>22601</v>
      </c>
      <c r="K21" t="s">
        <v>29338</v>
      </c>
      <c r="M21" t="s">
        <v>29609</v>
      </c>
      <c r="N21" t="s">
        <v>32524</v>
      </c>
      <c r="O21" t="s">
        <v>32525</v>
      </c>
      <c r="P21">
        <v>0</v>
      </c>
      <c r="Q21">
        <v>0</v>
      </c>
      <c r="R21" t="s">
        <v>32526</v>
      </c>
      <c r="S21" t="s">
        <v>32547</v>
      </c>
      <c r="T21" t="s">
        <v>33155</v>
      </c>
      <c r="U21" t="s">
        <v>33629</v>
      </c>
      <c r="W21" t="s">
        <v>29609</v>
      </c>
      <c r="X21" t="s">
        <v>32533</v>
      </c>
    </row>
    <row r="22" spans="1:24">
      <c r="A22">
        <f>HYPERLINK("https://www.philgeps.gov.ph/GEPSNONPILOT/Tender/SplashBidNoticeAbstractUI.aspx?menuIndex=3&amp;refID=7029514&amp;Result=3","7029514")</f>
        <v>0</v>
      </c>
      <c r="B22" t="s">
        <v>30</v>
      </c>
      <c r="C22" t="s">
        <v>2699</v>
      </c>
      <c r="D22" t="s">
        <v>12994</v>
      </c>
      <c r="E22" t="s">
        <v>13108</v>
      </c>
      <c r="F22" t="s">
        <v>22436</v>
      </c>
      <c r="G22" t="s">
        <v>22444</v>
      </c>
      <c r="H22" t="s">
        <v>22454</v>
      </c>
      <c r="I22" t="s">
        <v>7738</v>
      </c>
      <c r="J22" t="s">
        <v>22602</v>
      </c>
      <c r="K22" t="s">
        <v>29335</v>
      </c>
      <c r="M22" t="s">
        <v>29600</v>
      </c>
      <c r="N22" t="s">
        <v>32524</v>
      </c>
      <c r="O22" t="s">
        <v>32525</v>
      </c>
      <c r="P22">
        <v>0</v>
      </c>
      <c r="Q22">
        <v>0</v>
      </c>
      <c r="R22" t="s">
        <v>32526</v>
      </c>
      <c r="S22" t="s">
        <v>32547</v>
      </c>
      <c r="T22" t="s">
        <v>33159</v>
      </c>
      <c r="U22" t="s">
        <v>33637</v>
      </c>
      <c r="W22" t="s">
        <v>29600</v>
      </c>
      <c r="X22" t="s">
        <v>32538</v>
      </c>
    </row>
    <row r="23" spans="1:24">
      <c r="A23">
        <f>HYPERLINK("https://www.philgeps.gov.ph/GEPSNONPILOT/Tender/SplashBidNoticeAbstractUI.aspx?menuIndex=3&amp;refID=7037529&amp;Result=3","7037529")</f>
        <v>0</v>
      </c>
      <c r="B23" t="s">
        <v>39</v>
      </c>
      <c r="C23" t="s">
        <v>2700</v>
      </c>
      <c r="E23" t="s">
        <v>13109</v>
      </c>
      <c r="F23" t="s">
        <v>22436</v>
      </c>
      <c r="G23" t="s">
        <v>22444</v>
      </c>
      <c r="H23" t="s">
        <v>22452</v>
      </c>
      <c r="I23" t="s">
        <v>22463</v>
      </c>
      <c r="J23" t="s">
        <v>22603</v>
      </c>
      <c r="K23" t="s">
        <v>29338</v>
      </c>
      <c r="M23" t="s">
        <v>29610</v>
      </c>
      <c r="N23" t="s">
        <v>32524</v>
      </c>
      <c r="O23" t="s">
        <v>32525</v>
      </c>
      <c r="P23">
        <v>0</v>
      </c>
      <c r="Q23">
        <v>3</v>
      </c>
      <c r="R23" t="s">
        <v>32526</v>
      </c>
      <c r="S23" t="s">
        <v>32547</v>
      </c>
      <c r="T23" t="s">
        <v>33164</v>
      </c>
      <c r="U23" t="s">
        <v>33638</v>
      </c>
      <c r="W23" t="s">
        <v>29610</v>
      </c>
      <c r="X23" t="s">
        <v>32533</v>
      </c>
    </row>
    <row r="24" spans="1:24">
      <c r="A24">
        <f>HYPERLINK("https://www.philgeps.gov.ph/GEPSNONPILOT/Tender/SplashBidNoticeAbstractUI.aspx?menuIndex=3&amp;refID=7036632&amp;Result=3","7036632")</f>
        <v>0</v>
      </c>
      <c r="B24" t="s">
        <v>40</v>
      </c>
      <c r="C24" t="s">
        <v>2701</v>
      </c>
      <c r="D24" t="s">
        <v>13001</v>
      </c>
      <c r="E24" t="s">
        <v>13110</v>
      </c>
      <c r="F24" t="s">
        <v>22436</v>
      </c>
      <c r="G24" t="s">
        <v>22444</v>
      </c>
      <c r="H24" t="s">
        <v>22452</v>
      </c>
      <c r="I24" t="s">
        <v>22464</v>
      </c>
      <c r="J24" t="s">
        <v>22604</v>
      </c>
      <c r="K24" t="s">
        <v>29335</v>
      </c>
      <c r="M24" t="s">
        <v>29611</v>
      </c>
      <c r="N24" t="s">
        <v>32524</v>
      </c>
      <c r="O24" t="s">
        <v>32525</v>
      </c>
      <c r="P24">
        <v>0</v>
      </c>
      <c r="Q24">
        <v>4</v>
      </c>
      <c r="R24" t="s">
        <v>32526</v>
      </c>
      <c r="S24" t="s">
        <v>32547</v>
      </c>
      <c r="T24" t="s">
        <v>33165</v>
      </c>
      <c r="U24" t="s">
        <v>33639</v>
      </c>
      <c r="V24" t="s">
        <v>42423</v>
      </c>
      <c r="W24" t="s">
        <v>29611</v>
      </c>
      <c r="X24" t="s">
        <v>32533</v>
      </c>
    </row>
    <row r="25" spans="1:24">
      <c r="A25">
        <f>HYPERLINK("https://www.philgeps.gov.ph/GEPSNONPILOT/Tender/SplashBidNoticeAbstractUI.aspx?menuIndex=3&amp;refID=7029527&amp;Result=3","7029527")</f>
        <v>0</v>
      </c>
      <c r="B25" t="s">
        <v>30</v>
      </c>
      <c r="C25" t="s">
        <v>2702</v>
      </c>
      <c r="D25" t="s">
        <v>12994</v>
      </c>
      <c r="E25" t="s">
        <v>13111</v>
      </c>
      <c r="F25" t="s">
        <v>22436</v>
      </c>
      <c r="G25" t="s">
        <v>22444</v>
      </c>
      <c r="H25" t="s">
        <v>22454</v>
      </c>
      <c r="I25" t="s">
        <v>7738</v>
      </c>
      <c r="J25" t="s">
        <v>22605</v>
      </c>
      <c r="K25" t="s">
        <v>29335</v>
      </c>
      <c r="M25" t="s">
        <v>29600</v>
      </c>
      <c r="N25" t="s">
        <v>32524</v>
      </c>
      <c r="O25" t="s">
        <v>32525</v>
      </c>
      <c r="P25">
        <v>0</v>
      </c>
      <c r="Q25">
        <v>0</v>
      </c>
      <c r="R25" t="s">
        <v>32526</v>
      </c>
      <c r="S25" t="s">
        <v>32547</v>
      </c>
      <c r="T25" t="s">
        <v>33159</v>
      </c>
      <c r="U25" t="s">
        <v>33640</v>
      </c>
      <c r="W25" t="s">
        <v>29600</v>
      </c>
      <c r="X25" t="s">
        <v>32538</v>
      </c>
    </row>
    <row r="26" spans="1:24">
      <c r="A26">
        <f>HYPERLINK("https://www.philgeps.gov.ph/GEPSNONPILOT/Tender/SplashBidNoticeAbstractUI.aspx?menuIndex=3&amp;refID=7036451&amp;Result=3","7036451")</f>
        <v>0</v>
      </c>
      <c r="B26" t="s">
        <v>41</v>
      </c>
      <c r="C26" t="s">
        <v>2703</v>
      </c>
      <c r="D26" t="s">
        <v>13002</v>
      </c>
      <c r="E26" t="s">
        <v>13112</v>
      </c>
      <c r="F26" t="s">
        <v>22436</v>
      </c>
      <c r="G26" t="s">
        <v>22444</v>
      </c>
      <c r="H26" t="s">
        <v>22452</v>
      </c>
      <c r="I26" t="s">
        <v>22456</v>
      </c>
      <c r="J26" t="s">
        <v>22606</v>
      </c>
      <c r="K26" t="s">
        <v>29335</v>
      </c>
      <c r="M26" t="s">
        <v>29612</v>
      </c>
      <c r="N26" t="s">
        <v>32524</v>
      </c>
      <c r="O26" t="s">
        <v>32525</v>
      </c>
      <c r="P26">
        <v>0</v>
      </c>
      <c r="Q26">
        <v>0</v>
      </c>
      <c r="R26" t="s">
        <v>32526</v>
      </c>
      <c r="S26" t="s">
        <v>32547</v>
      </c>
      <c r="T26" t="s">
        <v>33166</v>
      </c>
      <c r="U26" t="s">
        <v>33641</v>
      </c>
      <c r="V26" t="s">
        <v>42424</v>
      </c>
      <c r="W26" t="s">
        <v>29612</v>
      </c>
      <c r="X26" t="s">
        <v>32533</v>
      </c>
    </row>
    <row r="27" spans="1:24">
      <c r="A27">
        <f>HYPERLINK("https://www.philgeps.gov.ph/GEPSNONPILOT/Tender/SplashBidNoticeAbstractUI.aspx?menuIndex=3&amp;refID=7029544&amp;Result=3","7029544")</f>
        <v>0</v>
      </c>
      <c r="B27" t="s">
        <v>30</v>
      </c>
      <c r="C27" t="s">
        <v>2704</v>
      </c>
      <c r="D27" t="s">
        <v>12994</v>
      </c>
      <c r="E27" t="s">
        <v>13113</v>
      </c>
      <c r="F27" t="s">
        <v>22436</v>
      </c>
      <c r="G27" t="s">
        <v>22444</v>
      </c>
      <c r="H27" t="s">
        <v>22454</v>
      </c>
      <c r="I27" t="s">
        <v>7738</v>
      </c>
      <c r="J27" t="s">
        <v>22588</v>
      </c>
      <c r="K27" t="s">
        <v>29335</v>
      </c>
      <c r="M27" t="s">
        <v>29600</v>
      </c>
      <c r="N27" t="s">
        <v>32524</v>
      </c>
      <c r="O27" t="s">
        <v>32525</v>
      </c>
      <c r="P27">
        <v>0</v>
      </c>
      <c r="Q27">
        <v>0</v>
      </c>
      <c r="R27" t="s">
        <v>32526</v>
      </c>
      <c r="S27" t="s">
        <v>32547</v>
      </c>
      <c r="T27" t="s">
        <v>33159</v>
      </c>
      <c r="U27" t="s">
        <v>33642</v>
      </c>
      <c r="W27" t="s">
        <v>29600</v>
      </c>
      <c r="X27" t="s">
        <v>32538</v>
      </c>
    </row>
    <row r="28" spans="1:24">
      <c r="A28">
        <f>HYPERLINK("https://www.philgeps.gov.ph/GEPSNONPILOT/Tender/SplashBidNoticeAbstractUI.aspx?menuIndex=3&amp;refID=7038277&amp;Result=3","7038277")</f>
        <v>0</v>
      </c>
      <c r="B28" t="s">
        <v>42</v>
      </c>
      <c r="C28" t="s">
        <v>2705</v>
      </c>
      <c r="D28" t="s">
        <v>13000</v>
      </c>
      <c r="E28" t="s">
        <v>13114</v>
      </c>
      <c r="F28" t="s">
        <v>22436</v>
      </c>
      <c r="G28" t="s">
        <v>22443</v>
      </c>
      <c r="H28" t="s">
        <v>22452</v>
      </c>
      <c r="I28" t="s">
        <v>2981</v>
      </c>
      <c r="J28" t="s">
        <v>22607</v>
      </c>
      <c r="K28" t="s">
        <v>29340</v>
      </c>
      <c r="M28" t="s">
        <v>29613</v>
      </c>
      <c r="N28" t="s">
        <v>32524</v>
      </c>
      <c r="O28" t="s">
        <v>32525</v>
      </c>
      <c r="P28">
        <v>0</v>
      </c>
      <c r="Q28">
        <v>0</v>
      </c>
      <c r="R28" t="s">
        <v>32526</v>
      </c>
      <c r="S28" t="s">
        <v>32547</v>
      </c>
      <c r="T28" t="s">
        <v>33167</v>
      </c>
      <c r="U28" t="s">
        <v>33643</v>
      </c>
      <c r="W28" t="s">
        <v>29613</v>
      </c>
      <c r="X28" t="s">
        <v>32532</v>
      </c>
    </row>
    <row r="29" spans="1:24">
      <c r="A29">
        <f>HYPERLINK("https://www.philgeps.gov.ph/GEPSNONPILOT/Tender/SplashBidNoticeAbstractUI.aspx?menuIndex=3&amp;refID=7036696&amp;Result=3","7036696")</f>
        <v>0</v>
      </c>
      <c r="B29" t="s">
        <v>40</v>
      </c>
      <c r="C29" t="s">
        <v>2706</v>
      </c>
      <c r="D29" t="s">
        <v>13001</v>
      </c>
      <c r="E29" t="s">
        <v>13115</v>
      </c>
      <c r="F29" t="s">
        <v>22436</v>
      </c>
      <c r="G29" t="s">
        <v>22444</v>
      </c>
      <c r="H29" t="s">
        <v>22452</v>
      </c>
      <c r="I29" t="s">
        <v>3529</v>
      </c>
      <c r="J29" t="s">
        <v>22608</v>
      </c>
      <c r="K29" t="s">
        <v>29335</v>
      </c>
      <c r="M29" t="s">
        <v>29611</v>
      </c>
      <c r="N29" t="s">
        <v>32524</v>
      </c>
      <c r="O29" t="s">
        <v>32525</v>
      </c>
      <c r="P29">
        <v>0</v>
      </c>
      <c r="Q29">
        <v>2</v>
      </c>
      <c r="R29" t="s">
        <v>32526</v>
      </c>
      <c r="S29" t="s">
        <v>32547</v>
      </c>
      <c r="T29" t="s">
        <v>33165</v>
      </c>
      <c r="U29" t="s">
        <v>33644</v>
      </c>
      <c r="V29" t="s">
        <v>42423</v>
      </c>
      <c r="W29" t="s">
        <v>29611</v>
      </c>
      <c r="X29" t="s">
        <v>32533</v>
      </c>
    </row>
    <row r="30" spans="1:24">
      <c r="A30">
        <f>HYPERLINK("https://www.philgeps.gov.ph/GEPSNONPILOT/Tender/SplashBidNoticeAbstractUI.aspx?menuIndex=3&amp;refID=7035927&amp;Result=3","7035927")</f>
        <v>0</v>
      </c>
      <c r="B30" t="s">
        <v>43</v>
      </c>
      <c r="C30" t="s">
        <v>2707</v>
      </c>
      <c r="D30" t="s">
        <v>13003</v>
      </c>
      <c r="E30" t="s">
        <v>13116</v>
      </c>
      <c r="F30" t="s">
        <v>22436</v>
      </c>
      <c r="G30" t="s">
        <v>22444</v>
      </c>
      <c r="H30" t="s">
        <v>22454</v>
      </c>
      <c r="I30" t="s">
        <v>7738</v>
      </c>
      <c r="J30" t="s">
        <v>22609</v>
      </c>
      <c r="K30" t="s">
        <v>29335</v>
      </c>
      <c r="M30" t="s">
        <v>29614</v>
      </c>
      <c r="N30" t="s">
        <v>32524</v>
      </c>
      <c r="O30" t="s">
        <v>32525</v>
      </c>
      <c r="P30">
        <v>0</v>
      </c>
      <c r="Q30">
        <v>0</v>
      </c>
      <c r="R30" t="s">
        <v>32526</v>
      </c>
      <c r="S30" t="s">
        <v>32547</v>
      </c>
      <c r="T30" t="s">
        <v>33168</v>
      </c>
      <c r="U30" t="s">
        <v>33645</v>
      </c>
      <c r="W30" t="s">
        <v>29614</v>
      </c>
      <c r="X30" t="s">
        <v>32533</v>
      </c>
    </row>
    <row r="31" spans="1:24">
      <c r="A31">
        <f>HYPERLINK("https://www.philgeps.gov.ph/GEPSNONPILOT/Tender/SplashBidNoticeAbstractUI.aspx?menuIndex=3&amp;refID=7037617&amp;Result=3","7037617")</f>
        <v>0</v>
      </c>
      <c r="B31" t="s">
        <v>39</v>
      </c>
      <c r="C31" t="s">
        <v>2708</v>
      </c>
      <c r="E31" t="s">
        <v>13117</v>
      </c>
      <c r="F31" t="s">
        <v>22436</v>
      </c>
      <c r="G31" t="s">
        <v>22444</v>
      </c>
      <c r="H31" t="s">
        <v>22452</v>
      </c>
      <c r="I31" t="s">
        <v>22463</v>
      </c>
      <c r="J31" t="s">
        <v>22610</v>
      </c>
      <c r="K31" t="s">
        <v>29338</v>
      </c>
      <c r="M31" t="s">
        <v>29610</v>
      </c>
      <c r="N31" t="s">
        <v>32524</v>
      </c>
      <c r="O31" t="s">
        <v>32525</v>
      </c>
      <c r="P31">
        <v>0</v>
      </c>
      <c r="Q31">
        <v>5</v>
      </c>
      <c r="R31" t="s">
        <v>32526</v>
      </c>
      <c r="S31" t="s">
        <v>32547</v>
      </c>
      <c r="T31" t="s">
        <v>33164</v>
      </c>
      <c r="U31" t="s">
        <v>33646</v>
      </c>
      <c r="W31" t="s">
        <v>29610</v>
      </c>
      <c r="X31" t="s">
        <v>32533</v>
      </c>
    </row>
    <row r="32" spans="1:24">
      <c r="A32">
        <f>HYPERLINK("https://www.philgeps.gov.ph/GEPSNONPILOT/Tender/SplashBidNoticeAbstractUI.aspx?menuIndex=3&amp;refID=7038159&amp;Result=3","7038159")</f>
        <v>0</v>
      </c>
      <c r="B32" t="s">
        <v>44</v>
      </c>
      <c r="C32" t="s">
        <v>2709</v>
      </c>
      <c r="D32" t="s">
        <v>13004</v>
      </c>
      <c r="E32" t="s">
        <v>13118</v>
      </c>
      <c r="F32" t="s">
        <v>22436</v>
      </c>
      <c r="G32" t="s">
        <v>22443</v>
      </c>
      <c r="H32" t="s">
        <v>22452</v>
      </c>
      <c r="I32" t="s">
        <v>22460</v>
      </c>
      <c r="J32" t="s">
        <v>22611</v>
      </c>
      <c r="K32" t="s">
        <v>29341</v>
      </c>
      <c r="M32" t="s">
        <v>29615</v>
      </c>
      <c r="N32" t="s">
        <v>32524</v>
      </c>
      <c r="O32" t="s">
        <v>32525</v>
      </c>
      <c r="P32">
        <v>0</v>
      </c>
      <c r="Q32">
        <v>0</v>
      </c>
      <c r="R32" t="s">
        <v>32526</v>
      </c>
      <c r="S32" t="s">
        <v>32547</v>
      </c>
      <c r="T32" t="s">
        <v>33167</v>
      </c>
      <c r="U32" t="s">
        <v>33647</v>
      </c>
      <c r="W32" t="s">
        <v>29615</v>
      </c>
      <c r="X32" t="s">
        <v>32532</v>
      </c>
    </row>
    <row r="33" spans="1:24">
      <c r="A33">
        <f>HYPERLINK("https://www.philgeps.gov.ph/GEPSNONPILOT/Tender/SplashBidNoticeAbstractUI.aspx?menuIndex=3&amp;refID=7035975&amp;Result=3","7035975")</f>
        <v>0</v>
      </c>
      <c r="B33" t="s">
        <v>43</v>
      </c>
      <c r="C33" t="s">
        <v>2710</v>
      </c>
      <c r="D33" t="s">
        <v>13003</v>
      </c>
      <c r="E33" t="s">
        <v>13119</v>
      </c>
      <c r="F33" t="s">
        <v>22436</v>
      </c>
      <c r="G33" t="s">
        <v>22444</v>
      </c>
      <c r="H33" t="s">
        <v>22454</v>
      </c>
      <c r="I33" t="s">
        <v>7738</v>
      </c>
      <c r="J33" t="s">
        <v>22612</v>
      </c>
      <c r="K33" t="s">
        <v>29342</v>
      </c>
      <c r="M33" t="s">
        <v>29614</v>
      </c>
      <c r="N33" t="s">
        <v>32524</v>
      </c>
      <c r="O33" t="s">
        <v>32525</v>
      </c>
      <c r="P33">
        <v>0</v>
      </c>
      <c r="Q33">
        <v>0</v>
      </c>
      <c r="R33" t="s">
        <v>32526</v>
      </c>
      <c r="S33" t="s">
        <v>32547</v>
      </c>
      <c r="T33" t="s">
        <v>33168</v>
      </c>
      <c r="U33" t="s">
        <v>33648</v>
      </c>
      <c r="W33" t="s">
        <v>29614</v>
      </c>
      <c r="X33" t="s">
        <v>32533</v>
      </c>
    </row>
    <row r="34" spans="1:24">
      <c r="A34">
        <f>HYPERLINK("https://www.philgeps.gov.ph/GEPSNONPILOT/Tender/SplashBidNoticeAbstractUI.aspx?menuIndex=3&amp;refID=7034263&amp;Result=3","7034263")</f>
        <v>0</v>
      </c>
      <c r="B34" t="s">
        <v>33</v>
      </c>
      <c r="C34" t="s">
        <v>2711</v>
      </c>
      <c r="D34" t="s">
        <v>13004</v>
      </c>
      <c r="E34" t="s">
        <v>13120</v>
      </c>
      <c r="F34" t="s">
        <v>22436</v>
      </c>
      <c r="G34" t="s">
        <v>22443</v>
      </c>
      <c r="H34" t="s">
        <v>22452</v>
      </c>
      <c r="I34" t="s">
        <v>3027</v>
      </c>
      <c r="J34" t="s">
        <v>22613</v>
      </c>
      <c r="K34" t="s">
        <v>29338</v>
      </c>
      <c r="M34" t="s">
        <v>29603</v>
      </c>
      <c r="N34" t="s">
        <v>32524</v>
      </c>
      <c r="O34" t="s">
        <v>32525</v>
      </c>
      <c r="P34">
        <v>0</v>
      </c>
      <c r="Q34">
        <v>0</v>
      </c>
      <c r="R34" t="s">
        <v>32526</v>
      </c>
      <c r="S34" t="s">
        <v>32547</v>
      </c>
      <c r="T34" t="s">
        <v>33154</v>
      </c>
      <c r="U34" t="s">
        <v>33649</v>
      </c>
      <c r="W34" t="s">
        <v>29603</v>
      </c>
      <c r="X34" t="s">
        <v>32534</v>
      </c>
    </row>
    <row r="35" spans="1:24">
      <c r="A35">
        <f>HYPERLINK("https://www.philgeps.gov.ph/GEPSNONPILOT/Tender/SplashBidNoticeAbstractUI.aspx?menuIndex=3&amp;refID=7037564&amp;Result=3","7037564")</f>
        <v>0</v>
      </c>
      <c r="B35" t="s">
        <v>39</v>
      </c>
      <c r="C35" t="s">
        <v>2712</v>
      </c>
      <c r="E35" t="s">
        <v>13121</v>
      </c>
      <c r="F35" t="s">
        <v>22436</v>
      </c>
      <c r="G35" t="s">
        <v>22444</v>
      </c>
      <c r="H35" t="s">
        <v>22452</v>
      </c>
      <c r="I35" t="s">
        <v>22463</v>
      </c>
      <c r="J35" t="s">
        <v>22614</v>
      </c>
      <c r="K35" t="s">
        <v>29338</v>
      </c>
      <c r="M35" t="s">
        <v>29610</v>
      </c>
      <c r="N35" t="s">
        <v>32524</v>
      </c>
      <c r="O35" t="s">
        <v>32525</v>
      </c>
      <c r="P35">
        <v>0</v>
      </c>
      <c r="Q35">
        <v>2</v>
      </c>
      <c r="R35" t="s">
        <v>32526</v>
      </c>
      <c r="S35" t="s">
        <v>32547</v>
      </c>
      <c r="T35" t="s">
        <v>33164</v>
      </c>
      <c r="U35" t="s">
        <v>33650</v>
      </c>
      <c r="W35" t="s">
        <v>29610</v>
      </c>
      <c r="X35" t="s">
        <v>32533</v>
      </c>
    </row>
    <row r="36" spans="1:24">
      <c r="A36">
        <f>HYPERLINK("https://www.philgeps.gov.ph/GEPSNONPILOT/Tender/SplashBidNoticeAbstractUI.aspx?menuIndex=3&amp;refID=7033782&amp;Result=3","7033782")</f>
        <v>0</v>
      </c>
      <c r="B36" t="s">
        <v>45</v>
      </c>
      <c r="C36" t="s">
        <v>2713</v>
      </c>
      <c r="D36" t="s">
        <v>13005</v>
      </c>
      <c r="E36" t="s">
        <v>13122</v>
      </c>
      <c r="F36" t="s">
        <v>22436</v>
      </c>
      <c r="G36" t="s">
        <v>22445</v>
      </c>
      <c r="H36" t="s">
        <v>22452</v>
      </c>
      <c r="I36" t="s">
        <v>22456</v>
      </c>
      <c r="J36" t="s">
        <v>22615</v>
      </c>
      <c r="K36" t="s">
        <v>29331</v>
      </c>
      <c r="M36" t="s">
        <v>29616</v>
      </c>
      <c r="N36" t="s">
        <v>32524</v>
      </c>
      <c r="O36" t="s">
        <v>32525</v>
      </c>
      <c r="P36">
        <v>0</v>
      </c>
      <c r="Q36">
        <v>0</v>
      </c>
      <c r="R36" t="s">
        <v>32526</v>
      </c>
      <c r="S36" t="s">
        <v>32547</v>
      </c>
      <c r="T36" t="s">
        <v>33169</v>
      </c>
      <c r="U36" t="s">
        <v>33651</v>
      </c>
      <c r="W36" t="s">
        <v>29616</v>
      </c>
      <c r="X36" t="s">
        <v>32534</v>
      </c>
    </row>
    <row r="37" spans="1:24">
      <c r="A37">
        <f>HYPERLINK("https://www.philgeps.gov.ph/GEPSNONPILOT/Tender/SplashBidNoticeAbstractUI.aspx?menuIndex=3&amp;refID=7037300&amp;Result=3","7037300")</f>
        <v>0</v>
      </c>
      <c r="B37" t="s">
        <v>32</v>
      </c>
      <c r="C37" t="s">
        <v>2714</v>
      </c>
      <c r="E37" t="s">
        <v>13123</v>
      </c>
      <c r="F37" t="s">
        <v>22436</v>
      </c>
      <c r="G37" t="s">
        <v>22443</v>
      </c>
      <c r="H37" t="s">
        <v>22452</v>
      </c>
      <c r="I37" t="s">
        <v>22465</v>
      </c>
      <c r="J37" t="s">
        <v>22616</v>
      </c>
      <c r="K37" t="s">
        <v>29338</v>
      </c>
      <c r="M37" t="s">
        <v>29609</v>
      </c>
      <c r="N37" t="s">
        <v>32524</v>
      </c>
      <c r="O37" t="s">
        <v>32525</v>
      </c>
      <c r="P37">
        <v>0</v>
      </c>
      <c r="Q37">
        <v>0</v>
      </c>
      <c r="R37" t="s">
        <v>32526</v>
      </c>
      <c r="S37" t="s">
        <v>32547</v>
      </c>
      <c r="T37" t="s">
        <v>33155</v>
      </c>
      <c r="U37" t="s">
        <v>33629</v>
      </c>
      <c r="W37" t="s">
        <v>29609</v>
      </c>
      <c r="X37" t="s">
        <v>32533</v>
      </c>
    </row>
    <row r="38" spans="1:24">
      <c r="A38">
        <f>HYPERLINK("https://www.philgeps.gov.ph/GEPSNONPILOT/Tender/SplashBidNoticeAbstractUI.aspx?menuIndex=3&amp;refID=7035492&amp;Result=3","7035492")</f>
        <v>0</v>
      </c>
      <c r="B38" t="s">
        <v>46</v>
      </c>
      <c r="C38" t="s">
        <v>2715</v>
      </c>
      <c r="D38" t="s">
        <v>13006</v>
      </c>
      <c r="E38" t="s">
        <v>13124</v>
      </c>
      <c r="F38" t="s">
        <v>22436</v>
      </c>
      <c r="G38" t="s">
        <v>22443</v>
      </c>
      <c r="H38" t="s">
        <v>22452</v>
      </c>
      <c r="I38" t="s">
        <v>22460</v>
      </c>
      <c r="J38" t="s">
        <v>22617</v>
      </c>
      <c r="K38" t="s">
        <v>29330</v>
      </c>
      <c r="M38" t="s">
        <v>29617</v>
      </c>
      <c r="N38" t="s">
        <v>32524</v>
      </c>
      <c r="O38" t="s">
        <v>32525</v>
      </c>
      <c r="P38">
        <v>0</v>
      </c>
      <c r="Q38">
        <v>0</v>
      </c>
      <c r="R38" t="s">
        <v>32526</v>
      </c>
      <c r="S38" t="s">
        <v>32547</v>
      </c>
      <c r="T38" t="s">
        <v>33161</v>
      </c>
      <c r="U38" t="s">
        <v>33652</v>
      </c>
      <c r="W38" t="s">
        <v>29617</v>
      </c>
      <c r="X38" t="s">
        <v>32533</v>
      </c>
    </row>
    <row r="39" spans="1:24">
      <c r="A39">
        <f>HYPERLINK("https://www.philgeps.gov.ph/GEPSNONPILOT/Tender/SplashBidNoticeAbstractUI.aspx?menuIndex=3&amp;refID=7037588&amp;Result=3","7037588")</f>
        <v>0</v>
      </c>
      <c r="B39" t="s">
        <v>39</v>
      </c>
      <c r="C39" t="s">
        <v>2716</v>
      </c>
      <c r="E39" t="s">
        <v>13125</v>
      </c>
      <c r="F39" t="s">
        <v>22436</v>
      </c>
      <c r="G39" t="s">
        <v>22444</v>
      </c>
      <c r="H39" t="s">
        <v>22452</v>
      </c>
      <c r="I39" t="s">
        <v>22463</v>
      </c>
      <c r="J39" t="s">
        <v>22618</v>
      </c>
      <c r="K39" t="s">
        <v>29338</v>
      </c>
      <c r="M39" t="s">
        <v>29610</v>
      </c>
      <c r="N39" t="s">
        <v>32524</v>
      </c>
      <c r="O39" t="s">
        <v>32525</v>
      </c>
      <c r="P39">
        <v>0</v>
      </c>
      <c r="Q39">
        <v>12</v>
      </c>
      <c r="R39" t="s">
        <v>32526</v>
      </c>
      <c r="S39" t="s">
        <v>32547</v>
      </c>
      <c r="T39" t="s">
        <v>33164</v>
      </c>
      <c r="U39" t="s">
        <v>33653</v>
      </c>
      <c r="W39" t="s">
        <v>29610</v>
      </c>
      <c r="X39" t="s">
        <v>32533</v>
      </c>
    </row>
    <row r="40" spans="1:24">
      <c r="A40">
        <f>HYPERLINK("https://www.philgeps.gov.ph/GEPSNONPILOT/Tender/SplashBidNoticeAbstractUI.aspx?menuIndex=3&amp;refID=7033525&amp;Result=3","7033525")</f>
        <v>0</v>
      </c>
      <c r="B40" t="s">
        <v>33</v>
      </c>
      <c r="C40" t="s">
        <v>2717</v>
      </c>
      <c r="E40" t="s">
        <v>13126</v>
      </c>
      <c r="F40" t="s">
        <v>22436</v>
      </c>
      <c r="G40" t="s">
        <v>22443</v>
      </c>
      <c r="H40" t="s">
        <v>22452</v>
      </c>
      <c r="I40" t="s">
        <v>22466</v>
      </c>
      <c r="J40" t="s">
        <v>22619</v>
      </c>
      <c r="K40" t="s">
        <v>29338</v>
      </c>
      <c r="M40" t="s">
        <v>29603</v>
      </c>
      <c r="N40" t="s">
        <v>32524</v>
      </c>
      <c r="O40" t="s">
        <v>32525</v>
      </c>
      <c r="P40">
        <v>0</v>
      </c>
      <c r="Q40">
        <v>0</v>
      </c>
      <c r="R40" t="s">
        <v>32526</v>
      </c>
      <c r="S40" t="s">
        <v>32547</v>
      </c>
      <c r="T40" t="s">
        <v>33154</v>
      </c>
      <c r="U40" t="s">
        <v>33654</v>
      </c>
      <c r="W40" t="s">
        <v>29603</v>
      </c>
      <c r="X40" t="s">
        <v>32534</v>
      </c>
    </row>
    <row r="41" spans="1:24">
      <c r="A41">
        <f>HYPERLINK("https://www.philgeps.gov.ph/GEPSNONPILOT/Tender/SplashBidNoticeAbstractUI.aspx?menuIndex=3&amp;refID=7033286&amp;Result=3","7033286")</f>
        <v>0</v>
      </c>
      <c r="B41" t="s">
        <v>47</v>
      </c>
      <c r="C41" t="s">
        <v>2718</v>
      </c>
      <c r="D41" t="s">
        <v>12988</v>
      </c>
      <c r="E41" t="s">
        <v>13127</v>
      </c>
      <c r="F41" t="s">
        <v>22436</v>
      </c>
      <c r="G41" t="s">
        <v>22443</v>
      </c>
      <c r="H41" t="s">
        <v>22452</v>
      </c>
      <c r="I41" t="s">
        <v>22467</v>
      </c>
      <c r="J41" t="s">
        <v>22620</v>
      </c>
      <c r="K41" t="s">
        <v>29338</v>
      </c>
      <c r="M41" t="s">
        <v>29618</v>
      </c>
      <c r="N41" t="s">
        <v>32524</v>
      </c>
      <c r="O41" t="s">
        <v>32525</v>
      </c>
      <c r="P41">
        <v>0</v>
      </c>
      <c r="Q41">
        <v>0</v>
      </c>
      <c r="R41" t="s">
        <v>32526</v>
      </c>
      <c r="S41" t="s">
        <v>32547</v>
      </c>
      <c r="T41" t="s">
        <v>33167</v>
      </c>
      <c r="U41" t="s">
        <v>33655</v>
      </c>
      <c r="W41" t="s">
        <v>29618</v>
      </c>
      <c r="X41" t="s">
        <v>32534</v>
      </c>
    </row>
    <row r="42" spans="1:24">
      <c r="A42">
        <f>HYPERLINK("https://www.philgeps.gov.ph/GEPSNONPILOT/Tender/SplashBidNoticeAbstractUI.aspx?menuIndex=3&amp;refID=7038451&amp;Result=3","7038451")</f>
        <v>0</v>
      </c>
      <c r="B42" t="s">
        <v>48</v>
      </c>
      <c r="C42" t="s">
        <v>2719</v>
      </c>
      <c r="D42" t="s">
        <v>13007</v>
      </c>
      <c r="E42" t="s">
        <v>13128</v>
      </c>
      <c r="F42" t="s">
        <v>22436</v>
      </c>
      <c r="G42" t="s">
        <v>22443</v>
      </c>
      <c r="H42" t="s">
        <v>22452</v>
      </c>
      <c r="I42" t="s">
        <v>22468</v>
      </c>
      <c r="J42" t="s">
        <v>22621</v>
      </c>
      <c r="K42" t="s">
        <v>29338</v>
      </c>
      <c r="M42" t="s">
        <v>29619</v>
      </c>
      <c r="N42" t="s">
        <v>32524</v>
      </c>
      <c r="O42" t="s">
        <v>32525</v>
      </c>
      <c r="P42">
        <v>0</v>
      </c>
      <c r="Q42">
        <v>1</v>
      </c>
      <c r="R42" t="s">
        <v>32526</v>
      </c>
      <c r="S42" t="s">
        <v>32547</v>
      </c>
      <c r="T42" t="s">
        <v>33169</v>
      </c>
      <c r="U42" t="s">
        <v>33656</v>
      </c>
      <c r="W42" t="s">
        <v>29619</v>
      </c>
      <c r="X42" t="s">
        <v>32532</v>
      </c>
    </row>
    <row r="43" spans="1:24">
      <c r="A43">
        <f>HYPERLINK("https://www.philgeps.gov.ph/GEPSNONPILOT/Tender/SplashBidNoticeAbstractUI.aspx?menuIndex=3&amp;refID=7038518&amp;Result=3","7038518")</f>
        <v>0</v>
      </c>
      <c r="B43" t="s">
        <v>32</v>
      </c>
      <c r="C43" t="s">
        <v>2720</v>
      </c>
      <c r="E43" t="s">
        <v>13129</v>
      </c>
      <c r="F43" t="s">
        <v>22436</v>
      </c>
      <c r="G43" t="s">
        <v>22443</v>
      </c>
      <c r="H43" t="s">
        <v>22452</v>
      </c>
      <c r="I43" t="s">
        <v>22469</v>
      </c>
      <c r="J43" t="s">
        <v>22622</v>
      </c>
      <c r="K43" t="s">
        <v>29336</v>
      </c>
      <c r="M43" t="s">
        <v>29609</v>
      </c>
      <c r="N43" t="s">
        <v>32524</v>
      </c>
      <c r="O43" t="s">
        <v>32525</v>
      </c>
      <c r="P43">
        <v>0</v>
      </c>
      <c r="Q43">
        <v>7</v>
      </c>
      <c r="R43" t="s">
        <v>32526</v>
      </c>
      <c r="S43" t="s">
        <v>32547</v>
      </c>
      <c r="T43" t="s">
        <v>33155</v>
      </c>
      <c r="U43" t="s">
        <v>33657</v>
      </c>
      <c r="W43" t="s">
        <v>29609</v>
      </c>
      <c r="X43" t="s">
        <v>32532</v>
      </c>
    </row>
    <row r="44" spans="1:24">
      <c r="A44">
        <f>HYPERLINK("https://www.philgeps.gov.ph/GEPSNONPILOT/Tender/SplashBidNoticeAbstractUI.aspx?menuIndex=3&amp;refID=7038572&amp;Result=3","7038572")</f>
        <v>0</v>
      </c>
      <c r="B44" t="s">
        <v>32</v>
      </c>
      <c r="C44" t="s">
        <v>2721</v>
      </c>
      <c r="E44" t="s">
        <v>13130</v>
      </c>
      <c r="F44" t="s">
        <v>22436</v>
      </c>
      <c r="G44" t="s">
        <v>22443</v>
      </c>
      <c r="H44" t="s">
        <v>22452</v>
      </c>
      <c r="I44" t="s">
        <v>3027</v>
      </c>
      <c r="J44" t="s">
        <v>22623</v>
      </c>
      <c r="K44" t="s">
        <v>29338</v>
      </c>
      <c r="M44" t="s">
        <v>29620</v>
      </c>
      <c r="N44" t="s">
        <v>32524</v>
      </c>
      <c r="O44" t="s">
        <v>32525</v>
      </c>
      <c r="P44">
        <v>0</v>
      </c>
      <c r="Q44">
        <v>0</v>
      </c>
      <c r="R44" t="s">
        <v>32526</v>
      </c>
      <c r="S44" t="s">
        <v>32547</v>
      </c>
      <c r="T44" t="s">
        <v>33155</v>
      </c>
      <c r="U44" t="s">
        <v>33657</v>
      </c>
      <c r="W44" t="s">
        <v>29620</v>
      </c>
      <c r="X44" t="s">
        <v>32532</v>
      </c>
    </row>
    <row r="45" spans="1:24">
      <c r="A45">
        <f>HYPERLINK("https://www.philgeps.gov.ph/GEPSNONPILOT/Tender/SplashBidNoticeAbstractUI.aspx?menuIndex=3&amp;refID=7038526&amp;Result=3","7038526")</f>
        <v>0</v>
      </c>
      <c r="B45" t="s">
        <v>49</v>
      </c>
      <c r="C45" t="s">
        <v>2722</v>
      </c>
      <c r="D45" t="s">
        <v>13006</v>
      </c>
      <c r="E45" t="s">
        <v>13131</v>
      </c>
      <c r="F45" t="s">
        <v>22436</v>
      </c>
      <c r="G45" t="s">
        <v>22444</v>
      </c>
      <c r="H45" t="s">
        <v>22454</v>
      </c>
      <c r="I45" t="s">
        <v>7738</v>
      </c>
      <c r="J45" t="s">
        <v>22624</v>
      </c>
      <c r="K45" t="s">
        <v>29334</v>
      </c>
      <c r="M45" t="s">
        <v>29621</v>
      </c>
      <c r="N45" t="s">
        <v>32524</v>
      </c>
      <c r="O45" t="s">
        <v>32525</v>
      </c>
      <c r="P45">
        <v>0</v>
      </c>
      <c r="Q45">
        <v>0</v>
      </c>
      <c r="R45" t="s">
        <v>32526</v>
      </c>
      <c r="S45" t="s">
        <v>32547</v>
      </c>
      <c r="T45" t="s">
        <v>33170</v>
      </c>
      <c r="U45" t="s">
        <v>33658</v>
      </c>
      <c r="V45" t="s">
        <v>42425</v>
      </c>
      <c r="W45" t="s">
        <v>29621</v>
      </c>
      <c r="X45" t="s">
        <v>32532</v>
      </c>
    </row>
    <row r="46" spans="1:24">
      <c r="A46">
        <f>HYPERLINK("https://www.philgeps.gov.ph/GEPSNONPILOT/Tender/SplashBidNoticeAbstractUI.aspx?menuIndex=3&amp;refID=7039208&amp;Result=3","7039208")</f>
        <v>0</v>
      </c>
      <c r="B46" t="s">
        <v>50</v>
      </c>
      <c r="C46" t="s">
        <v>2723</v>
      </c>
      <c r="D46" t="s">
        <v>13008</v>
      </c>
      <c r="E46" t="s">
        <v>13132</v>
      </c>
      <c r="F46" t="s">
        <v>22436</v>
      </c>
      <c r="G46" t="s">
        <v>22444</v>
      </c>
      <c r="H46" t="s">
        <v>22454</v>
      </c>
      <c r="I46" t="s">
        <v>7738</v>
      </c>
      <c r="J46" t="s">
        <v>22625</v>
      </c>
      <c r="K46" t="s">
        <v>29343</v>
      </c>
      <c r="M46" t="s">
        <v>29622</v>
      </c>
      <c r="N46" t="s">
        <v>32524</v>
      </c>
      <c r="O46" t="s">
        <v>32525</v>
      </c>
      <c r="P46">
        <v>0</v>
      </c>
      <c r="Q46">
        <v>0</v>
      </c>
      <c r="R46" t="s">
        <v>32526</v>
      </c>
      <c r="S46" t="s">
        <v>32547</v>
      </c>
      <c r="T46" t="s">
        <v>33166</v>
      </c>
      <c r="U46" t="s">
        <v>33659</v>
      </c>
      <c r="W46" t="s">
        <v>29622</v>
      </c>
      <c r="X46" t="s">
        <v>32532</v>
      </c>
    </row>
    <row r="47" spans="1:24">
      <c r="A47">
        <f>HYPERLINK("https://www.philgeps.gov.ph/GEPSNONPILOT/Tender/SplashBidNoticeAbstractUI.aspx?menuIndex=3&amp;refID=7038569&amp;Result=3","7038569")</f>
        <v>0</v>
      </c>
      <c r="B47" t="s">
        <v>51</v>
      </c>
      <c r="C47" t="s">
        <v>2724</v>
      </c>
      <c r="D47" t="s">
        <v>13009</v>
      </c>
      <c r="E47" t="s">
        <v>13133</v>
      </c>
      <c r="F47" t="s">
        <v>22436</v>
      </c>
      <c r="G47" t="s">
        <v>22444</v>
      </c>
      <c r="H47" t="s">
        <v>22454</v>
      </c>
      <c r="I47" t="s">
        <v>7738</v>
      </c>
      <c r="J47" t="s">
        <v>22616</v>
      </c>
      <c r="K47" t="s">
        <v>29342</v>
      </c>
      <c r="M47" t="s">
        <v>29623</v>
      </c>
      <c r="N47" t="s">
        <v>32524</v>
      </c>
      <c r="O47" t="s">
        <v>32525</v>
      </c>
      <c r="P47">
        <v>0</v>
      </c>
      <c r="Q47">
        <v>0</v>
      </c>
      <c r="R47" t="s">
        <v>32526</v>
      </c>
      <c r="S47" t="s">
        <v>32547</v>
      </c>
      <c r="T47" t="s">
        <v>33168</v>
      </c>
      <c r="U47" t="s">
        <v>33660</v>
      </c>
      <c r="W47" t="s">
        <v>29623</v>
      </c>
      <c r="X47" t="s">
        <v>32532</v>
      </c>
    </row>
    <row r="48" spans="1:24">
      <c r="A48">
        <f>HYPERLINK("https://www.philgeps.gov.ph/GEPSNONPILOT/Tender/SplashBidNoticeAbstractUI.aspx?menuIndex=3&amp;refID=7039164&amp;Result=3","7039164")</f>
        <v>0</v>
      </c>
      <c r="B48" t="s">
        <v>52</v>
      </c>
      <c r="C48" t="s">
        <v>2725</v>
      </c>
      <c r="D48" t="s">
        <v>13000</v>
      </c>
      <c r="E48" t="s">
        <v>13134</v>
      </c>
      <c r="F48" t="s">
        <v>22436</v>
      </c>
      <c r="G48" t="s">
        <v>22444</v>
      </c>
      <c r="H48" t="s">
        <v>22454</v>
      </c>
      <c r="I48" t="s">
        <v>6387</v>
      </c>
      <c r="J48" t="s">
        <v>22626</v>
      </c>
      <c r="K48" t="s">
        <v>29344</v>
      </c>
      <c r="M48" t="s">
        <v>29624</v>
      </c>
      <c r="N48" t="s">
        <v>32524</v>
      </c>
      <c r="O48" t="s">
        <v>32525</v>
      </c>
      <c r="P48">
        <v>0</v>
      </c>
      <c r="Q48">
        <v>0</v>
      </c>
      <c r="R48" t="s">
        <v>32526</v>
      </c>
      <c r="S48" t="s">
        <v>32547</v>
      </c>
      <c r="T48" t="s">
        <v>33171</v>
      </c>
      <c r="U48" t="s">
        <v>33661</v>
      </c>
      <c r="W48" t="s">
        <v>29624</v>
      </c>
      <c r="X48" t="s">
        <v>32532</v>
      </c>
    </row>
    <row r="49" spans="1:24">
      <c r="A49">
        <f>HYPERLINK("https://www.philgeps.gov.ph/GEPSNONPILOT/Tender/SplashBidNoticeAbstractUI.aspx?menuIndex=3&amp;refID=7039153&amp;Result=3","7039153")</f>
        <v>0</v>
      </c>
      <c r="B49" t="s">
        <v>50</v>
      </c>
      <c r="C49" t="s">
        <v>2726</v>
      </c>
      <c r="D49" t="s">
        <v>13008</v>
      </c>
      <c r="E49" t="s">
        <v>13135</v>
      </c>
      <c r="F49" t="s">
        <v>22436</v>
      </c>
      <c r="G49" t="s">
        <v>22444</v>
      </c>
      <c r="H49" t="s">
        <v>22454</v>
      </c>
      <c r="I49" t="s">
        <v>7738</v>
      </c>
      <c r="J49" t="s">
        <v>22627</v>
      </c>
      <c r="K49" t="s">
        <v>29334</v>
      </c>
      <c r="M49" t="s">
        <v>29622</v>
      </c>
      <c r="N49" t="s">
        <v>32524</v>
      </c>
      <c r="O49" t="s">
        <v>32525</v>
      </c>
      <c r="P49">
        <v>0</v>
      </c>
      <c r="Q49">
        <v>0</v>
      </c>
      <c r="R49" t="s">
        <v>32526</v>
      </c>
      <c r="S49" t="s">
        <v>32547</v>
      </c>
      <c r="T49" t="s">
        <v>33166</v>
      </c>
      <c r="U49" t="s">
        <v>33662</v>
      </c>
      <c r="W49" t="s">
        <v>29622</v>
      </c>
      <c r="X49" t="s">
        <v>32532</v>
      </c>
    </row>
    <row r="50" spans="1:24">
      <c r="A50">
        <f>HYPERLINK("https://www.philgeps.gov.ph/GEPSNONPILOT/Tender/SplashBidNoticeAbstractUI.aspx?menuIndex=3&amp;refID=7039228&amp;Result=3","7039228")</f>
        <v>0</v>
      </c>
      <c r="B50" t="s">
        <v>50</v>
      </c>
      <c r="C50" t="s">
        <v>2727</v>
      </c>
      <c r="D50" t="s">
        <v>13008</v>
      </c>
      <c r="E50" t="s">
        <v>13136</v>
      </c>
      <c r="F50" t="s">
        <v>22436</v>
      </c>
      <c r="G50" t="s">
        <v>22444</v>
      </c>
      <c r="H50" t="s">
        <v>22454</v>
      </c>
      <c r="I50" t="s">
        <v>7738</v>
      </c>
      <c r="J50" t="s">
        <v>22628</v>
      </c>
      <c r="K50" t="s">
        <v>29344</v>
      </c>
      <c r="M50" t="s">
        <v>29622</v>
      </c>
      <c r="N50" t="s">
        <v>32524</v>
      </c>
      <c r="O50" t="s">
        <v>32525</v>
      </c>
      <c r="P50">
        <v>0</v>
      </c>
      <c r="Q50">
        <v>0</v>
      </c>
      <c r="R50" t="s">
        <v>32526</v>
      </c>
      <c r="S50" t="s">
        <v>32547</v>
      </c>
      <c r="T50" t="s">
        <v>33166</v>
      </c>
      <c r="U50" t="s">
        <v>33663</v>
      </c>
      <c r="W50" t="s">
        <v>29622</v>
      </c>
      <c r="X50" t="s">
        <v>32532</v>
      </c>
    </row>
    <row r="51" spans="1:24">
      <c r="A51">
        <f>HYPERLINK("https://www.philgeps.gov.ph/GEPSNONPILOT/Tender/SplashBidNoticeAbstractUI.aspx?menuIndex=3&amp;refID=7039030&amp;Result=3","7039030")</f>
        <v>0</v>
      </c>
      <c r="B51" t="s">
        <v>53</v>
      </c>
      <c r="C51" t="s">
        <v>2728</v>
      </c>
      <c r="D51" t="s">
        <v>13010</v>
      </c>
      <c r="E51" t="s">
        <v>13137</v>
      </c>
      <c r="F51" t="s">
        <v>22436</v>
      </c>
      <c r="G51" t="s">
        <v>22446</v>
      </c>
      <c r="H51" t="s">
        <v>22452</v>
      </c>
      <c r="I51" t="s">
        <v>2993</v>
      </c>
      <c r="J51" t="s">
        <v>22629</v>
      </c>
      <c r="K51" t="s">
        <v>29340</v>
      </c>
      <c r="M51" t="s">
        <v>29625</v>
      </c>
      <c r="N51" t="s">
        <v>32524</v>
      </c>
      <c r="O51" t="s">
        <v>32525</v>
      </c>
      <c r="P51">
        <v>0</v>
      </c>
      <c r="Q51">
        <v>0</v>
      </c>
      <c r="R51" t="s">
        <v>32526</v>
      </c>
      <c r="S51" t="s">
        <v>32547</v>
      </c>
      <c r="T51" t="s">
        <v>33172</v>
      </c>
      <c r="U51" t="s">
        <v>33664</v>
      </c>
      <c r="W51" t="s">
        <v>29625</v>
      </c>
      <c r="X51" t="s">
        <v>32532</v>
      </c>
    </row>
    <row r="52" spans="1:24">
      <c r="A52">
        <f>HYPERLINK("https://www.philgeps.gov.ph/GEPSNONPILOT/Tender/SplashBidNoticeAbstractUI.aspx?menuIndex=3&amp;refID=7039525&amp;Result=3","7039525")</f>
        <v>0</v>
      </c>
      <c r="B52" t="s">
        <v>50</v>
      </c>
      <c r="C52" t="s">
        <v>2729</v>
      </c>
      <c r="E52" t="s">
        <v>13138</v>
      </c>
      <c r="F52" t="s">
        <v>22436</v>
      </c>
      <c r="G52" t="s">
        <v>22444</v>
      </c>
      <c r="H52" t="s">
        <v>22454</v>
      </c>
      <c r="I52" t="s">
        <v>7738</v>
      </c>
      <c r="J52" t="s">
        <v>22630</v>
      </c>
      <c r="K52" t="s">
        <v>29333</v>
      </c>
      <c r="M52" t="s">
        <v>29622</v>
      </c>
      <c r="N52" t="s">
        <v>32524</v>
      </c>
      <c r="O52" t="s">
        <v>32525</v>
      </c>
      <c r="P52">
        <v>0</v>
      </c>
      <c r="Q52">
        <v>1</v>
      </c>
      <c r="R52" t="s">
        <v>32526</v>
      </c>
      <c r="S52" t="s">
        <v>32547</v>
      </c>
      <c r="T52" t="s">
        <v>33166</v>
      </c>
      <c r="U52" t="s">
        <v>33665</v>
      </c>
      <c r="W52" t="s">
        <v>29622</v>
      </c>
      <c r="X52" t="s">
        <v>32532</v>
      </c>
    </row>
    <row r="53" spans="1:24">
      <c r="A53">
        <f>HYPERLINK("https://www.philgeps.gov.ph/GEPSNONPILOT/Tender/SplashBidNoticeAbstractUI.aspx?menuIndex=3&amp;refID=7039175&amp;Result=3","7039175")</f>
        <v>0</v>
      </c>
      <c r="B53" t="s">
        <v>50</v>
      </c>
      <c r="C53" t="s">
        <v>2730</v>
      </c>
      <c r="D53" t="s">
        <v>13008</v>
      </c>
      <c r="E53" t="s">
        <v>13139</v>
      </c>
      <c r="F53" t="s">
        <v>22436</v>
      </c>
      <c r="G53" t="s">
        <v>22444</v>
      </c>
      <c r="H53" t="s">
        <v>22454</v>
      </c>
      <c r="I53" t="s">
        <v>7738</v>
      </c>
      <c r="J53" t="s">
        <v>22631</v>
      </c>
      <c r="K53" t="s">
        <v>29344</v>
      </c>
      <c r="M53" t="s">
        <v>29622</v>
      </c>
      <c r="N53" t="s">
        <v>32524</v>
      </c>
      <c r="O53" t="s">
        <v>32525</v>
      </c>
      <c r="P53">
        <v>0</v>
      </c>
      <c r="Q53">
        <v>0</v>
      </c>
      <c r="R53" t="s">
        <v>32526</v>
      </c>
      <c r="S53" t="s">
        <v>32547</v>
      </c>
      <c r="T53" t="s">
        <v>33166</v>
      </c>
      <c r="U53" t="s">
        <v>33666</v>
      </c>
      <c r="W53" t="s">
        <v>29622</v>
      </c>
      <c r="X53" t="s">
        <v>32532</v>
      </c>
    </row>
    <row r="54" spans="1:24">
      <c r="A54">
        <f>HYPERLINK("https://www.philgeps.gov.ph/GEPSNONPILOT/Tender/SplashBidNoticeAbstractUI.aspx?menuIndex=3&amp;refID=7039177&amp;Result=3","7039177")</f>
        <v>0</v>
      </c>
      <c r="B54" t="s">
        <v>52</v>
      </c>
      <c r="C54" t="s">
        <v>2731</v>
      </c>
      <c r="D54" t="s">
        <v>13000</v>
      </c>
      <c r="E54" t="s">
        <v>13140</v>
      </c>
      <c r="F54" t="s">
        <v>22436</v>
      </c>
      <c r="G54" t="s">
        <v>22444</v>
      </c>
      <c r="H54" t="s">
        <v>22454</v>
      </c>
      <c r="I54" t="s">
        <v>6387</v>
      </c>
      <c r="J54" t="s">
        <v>22632</v>
      </c>
      <c r="K54" t="s">
        <v>29344</v>
      </c>
      <c r="M54" t="s">
        <v>29624</v>
      </c>
      <c r="N54" t="s">
        <v>32524</v>
      </c>
      <c r="O54" t="s">
        <v>32525</v>
      </c>
      <c r="P54">
        <v>0</v>
      </c>
      <c r="Q54">
        <v>1</v>
      </c>
      <c r="R54" t="s">
        <v>32526</v>
      </c>
      <c r="S54" t="s">
        <v>32547</v>
      </c>
      <c r="T54" t="s">
        <v>33171</v>
      </c>
      <c r="U54" t="s">
        <v>33661</v>
      </c>
      <c r="W54" t="s">
        <v>29624</v>
      </c>
      <c r="X54" t="s">
        <v>32532</v>
      </c>
    </row>
    <row r="55" spans="1:24">
      <c r="A55">
        <f>HYPERLINK("https://www.philgeps.gov.ph/GEPSNONPILOT/Tender/SplashBidNoticeAbstractUI.aspx?menuIndex=3&amp;refID=7039492&amp;Result=3","7039492")</f>
        <v>0</v>
      </c>
      <c r="B55" t="s">
        <v>50</v>
      </c>
      <c r="C55" t="s">
        <v>2732</v>
      </c>
      <c r="D55" t="s">
        <v>13008</v>
      </c>
      <c r="E55" t="s">
        <v>13141</v>
      </c>
      <c r="F55" t="s">
        <v>22436</v>
      </c>
      <c r="G55" t="s">
        <v>22444</v>
      </c>
      <c r="H55" t="s">
        <v>22454</v>
      </c>
      <c r="I55" t="s">
        <v>7738</v>
      </c>
      <c r="J55" t="s">
        <v>22633</v>
      </c>
      <c r="K55" t="s">
        <v>29345</v>
      </c>
      <c r="M55" t="s">
        <v>29622</v>
      </c>
      <c r="N55" t="s">
        <v>32524</v>
      </c>
      <c r="O55" t="s">
        <v>32525</v>
      </c>
      <c r="P55">
        <v>0</v>
      </c>
      <c r="Q55">
        <v>0</v>
      </c>
      <c r="R55" t="s">
        <v>32526</v>
      </c>
      <c r="S55" t="s">
        <v>32547</v>
      </c>
      <c r="T55" t="s">
        <v>33166</v>
      </c>
      <c r="U55" t="s">
        <v>33667</v>
      </c>
      <c r="W55" t="s">
        <v>29622</v>
      </c>
      <c r="X55" t="s">
        <v>32532</v>
      </c>
    </row>
    <row r="56" spans="1:24">
      <c r="A56">
        <f>HYPERLINK("https://www.philgeps.gov.ph/GEPSNONPILOT/Tender/SplashBidNoticeAbstractUI.aspx?menuIndex=3&amp;refID=7038925&amp;Result=3","7038925")</f>
        <v>0</v>
      </c>
      <c r="B56" t="s">
        <v>54</v>
      </c>
      <c r="C56" t="s">
        <v>2733</v>
      </c>
      <c r="D56" t="s">
        <v>13011</v>
      </c>
      <c r="E56" t="s">
        <v>13142</v>
      </c>
      <c r="F56" t="s">
        <v>22436</v>
      </c>
      <c r="G56" t="s">
        <v>22444</v>
      </c>
      <c r="H56" t="s">
        <v>22452</v>
      </c>
      <c r="I56" t="s">
        <v>22470</v>
      </c>
      <c r="J56" t="s">
        <v>22634</v>
      </c>
      <c r="K56" t="s">
        <v>29335</v>
      </c>
      <c r="M56" t="s">
        <v>29626</v>
      </c>
      <c r="N56" t="s">
        <v>32524</v>
      </c>
      <c r="O56" t="s">
        <v>32525</v>
      </c>
      <c r="P56">
        <v>0</v>
      </c>
      <c r="Q56">
        <v>5</v>
      </c>
      <c r="R56" t="s">
        <v>32526</v>
      </c>
      <c r="S56" t="s">
        <v>32547</v>
      </c>
      <c r="T56" t="s">
        <v>33165</v>
      </c>
      <c r="U56" t="s">
        <v>33668</v>
      </c>
      <c r="V56" t="s">
        <v>42426</v>
      </c>
      <c r="W56" t="s">
        <v>29626</v>
      </c>
      <c r="X56" t="s">
        <v>32532</v>
      </c>
    </row>
    <row r="57" spans="1:24">
      <c r="A57">
        <f>HYPERLINK("https://www.philgeps.gov.ph/GEPSNONPILOT/Tender/SplashBidNoticeAbstractUI.aspx?menuIndex=3&amp;refID=7039185&amp;Result=3","7039185")</f>
        <v>0</v>
      </c>
      <c r="B57" t="s">
        <v>52</v>
      </c>
      <c r="C57" t="s">
        <v>2734</v>
      </c>
      <c r="D57" t="s">
        <v>13000</v>
      </c>
      <c r="E57" t="s">
        <v>13143</v>
      </c>
      <c r="F57" t="s">
        <v>22436</v>
      </c>
      <c r="G57" t="s">
        <v>22444</v>
      </c>
      <c r="H57" t="s">
        <v>22454</v>
      </c>
      <c r="I57" t="s">
        <v>6387</v>
      </c>
      <c r="J57" t="s">
        <v>22635</v>
      </c>
      <c r="K57" t="s">
        <v>29344</v>
      </c>
      <c r="M57" t="s">
        <v>29624</v>
      </c>
      <c r="N57" t="s">
        <v>32524</v>
      </c>
      <c r="O57" t="s">
        <v>32525</v>
      </c>
      <c r="P57">
        <v>0</v>
      </c>
      <c r="Q57">
        <v>0</v>
      </c>
      <c r="R57" t="s">
        <v>32526</v>
      </c>
      <c r="S57" t="s">
        <v>32547</v>
      </c>
      <c r="T57" t="s">
        <v>33171</v>
      </c>
      <c r="U57" t="s">
        <v>33661</v>
      </c>
      <c r="W57" t="s">
        <v>29624</v>
      </c>
      <c r="X57" t="s">
        <v>32532</v>
      </c>
    </row>
    <row r="58" spans="1:24">
      <c r="A58">
        <f>HYPERLINK("https://www.philgeps.gov.ph/GEPSNONPILOT/Tender/SplashBidNoticeAbstractUI.aspx?menuIndex=3&amp;refID=7039190&amp;Result=3","7039190")</f>
        <v>0</v>
      </c>
      <c r="B58" t="s">
        <v>50</v>
      </c>
      <c r="C58" t="s">
        <v>2735</v>
      </c>
      <c r="D58" t="s">
        <v>13008</v>
      </c>
      <c r="E58" t="s">
        <v>13144</v>
      </c>
      <c r="F58" t="s">
        <v>22436</v>
      </c>
      <c r="G58" t="s">
        <v>22444</v>
      </c>
      <c r="H58" t="s">
        <v>22454</v>
      </c>
      <c r="I58" t="s">
        <v>7738</v>
      </c>
      <c r="J58" t="s">
        <v>22636</v>
      </c>
      <c r="K58" t="s">
        <v>29334</v>
      </c>
      <c r="M58" t="s">
        <v>29622</v>
      </c>
      <c r="N58" t="s">
        <v>32524</v>
      </c>
      <c r="O58" t="s">
        <v>32525</v>
      </c>
      <c r="P58">
        <v>0</v>
      </c>
      <c r="Q58">
        <v>0</v>
      </c>
      <c r="R58" t="s">
        <v>32526</v>
      </c>
      <c r="S58" t="s">
        <v>32547</v>
      </c>
      <c r="T58" t="s">
        <v>33166</v>
      </c>
      <c r="U58" t="s">
        <v>33669</v>
      </c>
      <c r="W58" t="s">
        <v>29622</v>
      </c>
      <c r="X58" t="s">
        <v>32532</v>
      </c>
    </row>
    <row r="59" spans="1:24">
      <c r="A59">
        <f>HYPERLINK("https://www.philgeps.gov.ph/GEPSNONPILOT/Tender/SplashBidNoticeAbstractUI.aspx?menuIndex=3&amp;refID=7039567&amp;Result=3","7039567")</f>
        <v>0</v>
      </c>
      <c r="B59" t="s">
        <v>50</v>
      </c>
      <c r="C59" t="s">
        <v>2736</v>
      </c>
      <c r="D59" t="s">
        <v>13008</v>
      </c>
      <c r="E59" t="s">
        <v>13145</v>
      </c>
      <c r="F59" t="s">
        <v>22436</v>
      </c>
      <c r="G59" t="s">
        <v>22444</v>
      </c>
      <c r="H59" t="s">
        <v>22454</v>
      </c>
      <c r="I59" t="s">
        <v>7738</v>
      </c>
      <c r="J59" t="s">
        <v>22637</v>
      </c>
      <c r="K59" t="s">
        <v>29346</v>
      </c>
      <c r="M59" t="s">
        <v>29622</v>
      </c>
      <c r="N59" t="s">
        <v>32524</v>
      </c>
      <c r="O59" t="s">
        <v>32525</v>
      </c>
      <c r="P59">
        <v>0</v>
      </c>
      <c r="Q59">
        <v>0</v>
      </c>
      <c r="R59" t="s">
        <v>32526</v>
      </c>
      <c r="S59" t="s">
        <v>32547</v>
      </c>
      <c r="T59" t="s">
        <v>33166</v>
      </c>
      <c r="U59" t="s">
        <v>33670</v>
      </c>
      <c r="W59" t="s">
        <v>29622</v>
      </c>
      <c r="X59" t="s">
        <v>32532</v>
      </c>
    </row>
    <row r="60" spans="1:24">
      <c r="A60">
        <f>HYPERLINK("https://www.philgeps.gov.ph/GEPSNONPILOT/Tender/SplashBidNoticeAbstractUI.aspx?menuIndex=3&amp;refID=7039435&amp;Result=3","7039435")</f>
        <v>0</v>
      </c>
      <c r="B60" t="s">
        <v>50</v>
      </c>
      <c r="C60" t="s">
        <v>2737</v>
      </c>
      <c r="D60" t="s">
        <v>13008</v>
      </c>
      <c r="E60" t="s">
        <v>13146</v>
      </c>
      <c r="F60" t="s">
        <v>22436</v>
      </c>
      <c r="G60" t="s">
        <v>22444</v>
      </c>
      <c r="H60" t="s">
        <v>22454</v>
      </c>
      <c r="I60" t="s">
        <v>7738</v>
      </c>
      <c r="J60" t="s">
        <v>22638</v>
      </c>
      <c r="K60" t="s">
        <v>29335</v>
      </c>
      <c r="M60" t="s">
        <v>29622</v>
      </c>
      <c r="N60" t="s">
        <v>32524</v>
      </c>
      <c r="O60" t="s">
        <v>32525</v>
      </c>
      <c r="P60">
        <v>0</v>
      </c>
      <c r="Q60">
        <v>0</v>
      </c>
      <c r="R60" t="s">
        <v>32526</v>
      </c>
      <c r="S60" t="s">
        <v>32547</v>
      </c>
      <c r="T60" t="s">
        <v>33166</v>
      </c>
      <c r="U60" t="s">
        <v>33671</v>
      </c>
      <c r="W60" t="s">
        <v>29622</v>
      </c>
      <c r="X60" t="s">
        <v>32532</v>
      </c>
    </row>
    <row r="61" spans="1:24">
      <c r="A61">
        <f>HYPERLINK("https://www.philgeps.gov.ph/GEPSNONPILOT/Tender/SplashBidNoticeAbstractUI.aspx?menuIndex=3&amp;refID=7039253&amp;Result=3","7039253")</f>
        <v>0</v>
      </c>
      <c r="B61" t="s">
        <v>50</v>
      </c>
      <c r="C61" t="s">
        <v>2738</v>
      </c>
      <c r="D61" t="s">
        <v>13008</v>
      </c>
      <c r="E61" t="s">
        <v>13147</v>
      </c>
      <c r="F61" t="s">
        <v>22436</v>
      </c>
      <c r="G61" t="s">
        <v>22444</v>
      </c>
      <c r="H61" t="s">
        <v>22454</v>
      </c>
      <c r="I61" t="s">
        <v>7738</v>
      </c>
      <c r="J61" t="s">
        <v>22639</v>
      </c>
      <c r="K61" t="s">
        <v>29334</v>
      </c>
      <c r="M61" t="s">
        <v>29622</v>
      </c>
      <c r="N61" t="s">
        <v>32524</v>
      </c>
      <c r="O61" t="s">
        <v>32525</v>
      </c>
      <c r="P61">
        <v>0</v>
      </c>
      <c r="Q61">
        <v>0</v>
      </c>
      <c r="R61" t="s">
        <v>32526</v>
      </c>
      <c r="S61" t="s">
        <v>32547</v>
      </c>
      <c r="T61" t="s">
        <v>33166</v>
      </c>
      <c r="U61" t="s">
        <v>33672</v>
      </c>
      <c r="W61" t="s">
        <v>29622</v>
      </c>
      <c r="X61" t="s">
        <v>32532</v>
      </c>
    </row>
    <row r="62" spans="1:24">
      <c r="A62">
        <f>HYPERLINK("https://www.philgeps.gov.ph/GEPSNONPILOT/Tender/SplashBidNoticeAbstractUI.aspx?menuIndex=3&amp;refID=7039606&amp;Result=3","7039606")</f>
        <v>0</v>
      </c>
      <c r="B62" t="s">
        <v>55</v>
      </c>
      <c r="C62" t="s">
        <v>2739</v>
      </c>
      <c r="D62" t="s">
        <v>12999</v>
      </c>
      <c r="E62" t="s">
        <v>13148</v>
      </c>
      <c r="F62" t="s">
        <v>22436</v>
      </c>
      <c r="G62" t="s">
        <v>22444</v>
      </c>
      <c r="H62" t="s">
        <v>22454</v>
      </c>
      <c r="I62" t="s">
        <v>7738</v>
      </c>
      <c r="J62" t="s">
        <v>22640</v>
      </c>
      <c r="K62" t="s">
        <v>29329</v>
      </c>
      <c r="M62" t="s">
        <v>29627</v>
      </c>
      <c r="N62" t="s">
        <v>32524</v>
      </c>
      <c r="O62" t="s">
        <v>32525</v>
      </c>
      <c r="P62">
        <v>0</v>
      </c>
      <c r="Q62">
        <v>0</v>
      </c>
      <c r="R62" t="s">
        <v>32526</v>
      </c>
      <c r="S62" t="s">
        <v>32547</v>
      </c>
      <c r="T62" t="s">
        <v>33173</v>
      </c>
      <c r="U62" t="s">
        <v>33673</v>
      </c>
      <c r="V62" t="s">
        <v>42427</v>
      </c>
      <c r="W62" t="s">
        <v>29627</v>
      </c>
      <c r="X62" t="s">
        <v>32532</v>
      </c>
    </row>
    <row r="63" spans="1:24">
      <c r="A63">
        <f>HYPERLINK("https://www.philgeps.gov.ph/GEPSNONPILOT/Tender/SplashBidNoticeAbstractUI.aspx?menuIndex=3&amp;refID=7040009&amp;Result=3","7040009")</f>
        <v>0</v>
      </c>
      <c r="B63" t="s">
        <v>56</v>
      </c>
      <c r="C63" t="s">
        <v>2740</v>
      </c>
      <c r="D63" t="s">
        <v>13012</v>
      </c>
      <c r="E63" t="s">
        <v>13149</v>
      </c>
      <c r="F63" t="s">
        <v>22436</v>
      </c>
      <c r="G63" t="s">
        <v>22444</v>
      </c>
      <c r="H63" t="s">
        <v>22452</v>
      </c>
      <c r="I63" t="s">
        <v>22467</v>
      </c>
      <c r="J63" t="s">
        <v>22641</v>
      </c>
      <c r="K63" t="s">
        <v>29336</v>
      </c>
      <c r="M63" t="s">
        <v>29628</v>
      </c>
      <c r="N63" t="s">
        <v>32524</v>
      </c>
      <c r="O63" t="s">
        <v>32525</v>
      </c>
      <c r="P63">
        <v>0</v>
      </c>
      <c r="Q63">
        <v>0</v>
      </c>
      <c r="R63" t="s">
        <v>32526</v>
      </c>
      <c r="S63" t="s">
        <v>32547</v>
      </c>
      <c r="T63" t="s">
        <v>33174</v>
      </c>
      <c r="U63" t="s">
        <v>33674</v>
      </c>
      <c r="V63" t="s">
        <v>42428</v>
      </c>
      <c r="W63" t="s">
        <v>29628</v>
      </c>
      <c r="X63" t="s">
        <v>32532</v>
      </c>
    </row>
    <row r="64" spans="1:24">
      <c r="A64">
        <f>HYPERLINK("https://www.philgeps.gov.ph/GEPSNONPILOT/Tender/SplashBidNoticeAbstractUI.aspx?menuIndex=3&amp;refID=7039688&amp;Result=3","7039688")</f>
        <v>0</v>
      </c>
      <c r="B64" t="s">
        <v>50</v>
      </c>
      <c r="C64" t="s">
        <v>2741</v>
      </c>
      <c r="D64" t="s">
        <v>13008</v>
      </c>
      <c r="E64" t="s">
        <v>13150</v>
      </c>
      <c r="F64" t="s">
        <v>22436</v>
      </c>
      <c r="G64" t="s">
        <v>22444</v>
      </c>
      <c r="H64" t="s">
        <v>22454</v>
      </c>
      <c r="I64" t="s">
        <v>7738</v>
      </c>
      <c r="J64" t="s">
        <v>22642</v>
      </c>
      <c r="K64" t="s">
        <v>29347</v>
      </c>
      <c r="M64" t="s">
        <v>29622</v>
      </c>
      <c r="N64" t="s">
        <v>32524</v>
      </c>
      <c r="O64" t="s">
        <v>32525</v>
      </c>
      <c r="P64">
        <v>0</v>
      </c>
      <c r="Q64">
        <v>0</v>
      </c>
      <c r="R64" t="s">
        <v>32526</v>
      </c>
      <c r="S64" t="s">
        <v>32547</v>
      </c>
      <c r="T64" t="s">
        <v>33166</v>
      </c>
      <c r="U64" t="s">
        <v>33675</v>
      </c>
      <c r="W64" t="s">
        <v>29622</v>
      </c>
      <c r="X64" t="s">
        <v>32532</v>
      </c>
    </row>
    <row r="65" spans="1:24">
      <c r="A65">
        <f>HYPERLINK("https://www.philgeps.gov.ph/GEPSNONPILOT/Tender/SplashBidNoticeAbstractUI.aspx?menuIndex=3&amp;refID=7041488&amp;Result=3","7041488")</f>
        <v>0</v>
      </c>
      <c r="B65" t="s">
        <v>57</v>
      </c>
      <c r="C65" t="s">
        <v>2742</v>
      </c>
      <c r="D65" t="s">
        <v>13013</v>
      </c>
      <c r="E65" t="s">
        <v>13151</v>
      </c>
      <c r="F65" t="s">
        <v>22436</v>
      </c>
      <c r="G65" t="s">
        <v>22446</v>
      </c>
      <c r="H65" t="s">
        <v>22452</v>
      </c>
      <c r="I65" t="s">
        <v>3529</v>
      </c>
      <c r="J65" t="s">
        <v>22643</v>
      </c>
      <c r="K65" t="s">
        <v>29331</v>
      </c>
      <c r="M65" t="s">
        <v>29629</v>
      </c>
      <c r="N65" t="s">
        <v>32524</v>
      </c>
      <c r="O65" t="s">
        <v>32525</v>
      </c>
      <c r="P65">
        <v>0</v>
      </c>
      <c r="Q65">
        <v>0</v>
      </c>
      <c r="R65" t="s">
        <v>32526</v>
      </c>
      <c r="S65" t="s">
        <v>32547</v>
      </c>
      <c r="T65" t="s">
        <v>33167</v>
      </c>
      <c r="U65" t="s">
        <v>33676</v>
      </c>
      <c r="V65" t="s">
        <v>42429</v>
      </c>
      <c r="W65" t="s">
        <v>29629</v>
      </c>
      <c r="X65" t="s">
        <v>32531</v>
      </c>
    </row>
    <row r="66" spans="1:24">
      <c r="A66">
        <f>HYPERLINK("https://www.philgeps.gov.ph/GEPSNONPILOT/Tender/SplashBidNoticeAbstractUI.aspx?menuIndex=3&amp;refID=7041416&amp;Result=3","7041416")</f>
        <v>0</v>
      </c>
      <c r="B66" t="s">
        <v>58</v>
      </c>
      <c r="C66" t="s">
        <v>2743</v>
      </c>
      <c r="D66" t="s">
        <v>13014</v>
      </c>
      <c r="E66" t="s">
        <v>13152</v>
      </c>
      <c r="F66" t="s">
        <v>22436</v>
      </c>
      <c r="G66" t="s">
        <v>22444</v>
      </c>
      <c r="H66" t="s">
        <v>22452</v>
      </c>
      <c r="I66" t="s">
        <v>3529</v>
      </c>
      <c r="J66" t="s">
        <v>22644</v>
      </c>
      <c r="K66" t="s">
        <v>29341</v>
      </c>
      <c r="M66" t="s">
        <v>29630</v>
      </c>
      <c r="N66" t="s">
        <v>32524</v>
      </c>
      <c r="O66" t="s">
        <v>32525</v>
      </c>
      <c r="P66">
        <v>0</v>
      </c>
      <c r="Q66">
        <v>0</v>
      </c>
      <c r="R66" t="s">
        <v>32526</v>
      </c>
      <c r="S66" t="s">
        <v>32547</v>
      </c>
      <c r="T66" t="s">
        <v>33175</v>
      </c>
      <c r="U66" t="s">
        <v>33677</v>
      </c>
      <c r="W66" t="s">
        <v>29630</v>
      </c>
      <c r="X66" t="s">
        <v>32531</v>
      </c>
    </row>
    <row r="67" spans="1:24">
      <c r="A67">
        <f>HYPERLINK("https://www.philgeps.gov.ph/GEPSNONPILOT/Tender/SplashBidNoticeAbstractUI.aspx?menuIndex=3&amp;refID=7041332&amp;Result=3","7041332")</f>
        <v>0</v>
      </c>
      <c r="B67" t="s">
        <v>58</v>
      </c>
      <c r="C67" t="s">
        <v>2744</v>
      </c>
      <c r="D67" t="s">
        <v>13014</v>
      </c>
      <c r="E67" t="s">
        <v>13153</v>
      </c>
      <c r="F67" t="s">
        <v>22436</v>
      </c>
      <c r="G67" t="s">
        <v>22444</v>
      </c>
      <c r="H67" t="s">
        <v>22454</v>
      </c>
      <c r="I67" t="s">
        <v>7738</v>
      </c>
      <c r="J67" t="s">
        <v>22645</v>
      </c>
      <c r="K67" t="s">
        <v>29348</v>
      </c>
      <c r="M67" t="s">
        <v>29630</v>
      </c>
      <c r="N67" t="s">
        <v>32524</v>
      </c>
      <c r="O67" t="s">
        <v>32525</v>
      </c>
      <c r="P67">
        <v>0</v>
      </c>
      <c r="Q67">
        <v>0</v>
      </c>
      <c r="R67" t="s">
        <v>32526</v>
      </c>
      <c r="S67" t="s">
        <v>32547</v>
      </c>
      <c r="T67" t="s">
        <v>33175</v>
      </c>
      <c r="U67" t="s">
        <v>33678</v>
      </c>
      <c r="W67" t="s">
        <v>29630</v>
      </c>
      <c r="X67" t="s">
        <v>32531</v>
      </c>
    </row>
    <row r="68" spans="1:24">
      <c r="A68">
        <f>HYPERLINK("https://www.philgeps.gov.ph/GEPSNONPILOT/Tender/SplashBidNoticeAbstractUI.aspx?menuIndex=3&amp;refID=7039457&amp;Result=3","7039457")</f>
        <v>0</v>
      </c>
      <c r="B68" t="s">
        <v>50</v>
      </c>
      <c r="C68" t="s">
        <v>2745</v>
      </c>
      <c r="D68" t="s">
        <v>13008</v>
      </c>
      <c r="E68" t="s">
        <v>13154</v>
      </c>
      <c r="F68" t="s">
        <v>22436</v>
      </c>
      <c r="G68" t="s">
        <v>22444</v>
      </c>
      <c r="H68" t="s">
        <v>22454</v>
      </c>
      <c r="I68" t="s">
        <v>7738</v>
      </c>
      <c r="J68" t="s">
        <v>22646</v>
      </c>
      <c r="K68" t="s">
        <v>29335</v>
      </c>
      <c r="M68" t="s">
        <v>29622</v>
      </c>
      <c r="N68" t="s">
        <v>32524</v>
      </c>
      <c r="O68" t="s">
        <v>32525</v>
      </c>
      <c r="P68">
        <v>0</v>
      </c>
      <c r="Q68">
        <v>0</v>
      </c>
      <c r="R68" t="s">
        <v>32526</v>
      </c>
      <c r="S68" t="s">
        <v>32547</v>
      </c>
      <c r="T68" t="s">
        <v>33166</v>
      </c>
      <c r="U68" t="s">
        <v>33679</v>
      </c>
      <c r="W68" t="s">
        <v>29622</v>
      </c>
      <c r="X68" t="s">
        <v>32532</v>
      </c>
    </row>
    <row r="69" spans="1:24">
      <c r="A69">
        <f>HYPERLINK("https://www.philgeps.gov.ph/GEPSNONPILOT/Tender/SplashBidNoticeAbstractUI.aspx?menuIndex=3&amp;refID=7039652&amp;Result=3","7039652")</f>
        <v>0</v>
      </c>
      <c r="B69" t="s">
        <v>50</v>
      </c>
      <c r="C69" t="s">
        <v>2746</v>
      </c>
      <c r="D69" t="s">
        <v>13008</v>
      </c>
      <c r="E69" t="s">
        <v>13155</v>
      </c>
      <c r="F69" t="s">
        <v>22436</v>
      </c>
      <c r="G69" t="s">
        <v>22444</v>
      </c>
      <c r="H69" t="s">
        <v>22454</v>
      </c>
      <c r="I69" t="s">
        <v>7738</v>
      </c>
      <c r="J69" t="s">
        <v>22647</v>
      </c>
      <c r="K69" t="s">
        <v>29344</v>
      </c>
      <c r="M69" t="s">
        <v>29622</v>
      </c>
      <c r="N69" t="s">
        <v>32524</v>
      </c>
      <c r="O69" t="s">
        <v>32525</v>
      </c>
      <c r="P69">
        <v>0</v>
      </c>
      <c r="Q69">
        <v>0</v>
      </c>
      <c r="R69" t="s">
        <v>32526</v>
      </c>
      <c r="S69" t="s">
        <v>32547</v>
      </c>
      <c r="T69" t="s">
        <v>33166</v>
      </c>
      <c r="U69" t="s">
        <v>33680</v>
      </c>
      <c r="W69" t="s">
        <v>29622</v>
      </c>
      <c r="X69" t="s">
        <v>32532</v>
      </c>
    </row>
    <row r="70" spans="1:24">
      <c r="A70">
        <f>HYPERLINK("https://www.philgeps.gov.ph/GEPSNONPILOT/Tender/SplashBidNoticeAbstractUI.aspx?menuIndex=3&amp;refID=7041277&amp;Result=3","7041277")</f>
        <v>0</v>
      </c>
      <c r="B70" t="s">
        <v>57</v>
      </c>
      <c r="C70" t="s">
        <v>2747</v>
      </c>
      <c r="D70" t="s">
        <v>13013</v>
      </c>
      <c r="E70" t="s">
        <v>13156</v>
      </c>
      <c r="F70" t="s">
        <v>22436</v>
      </c>
      <c r="G70" t="s">
        <v>22446</v>
      </c>
      <c r="H70" t="s">
        <v>22452</v>
      </c>
      <c r="I70" t="s">
        <v>3529</v>
      </c>
      <c r="J70" t="s">
        <v>22648</v>
      </c>
      <c r="K70" t="s">
        <v>29331</v>
      </c>
      <c r="M70" t="s">
        <v>29629</v>
      </c>
      <c r="N70" t="s">
        <v>32524</v>
      </c>
      <c r="O70" t="s">
        <v>32525</v>
      </c>
      <c r="P70">
        <v>0</v>
      </c>
      <c r="Q70">
        <v>0</v>
      </c>
      <c r="R70" t="s">
        <v>32526</v>
      </c>
      <c r="S70" t="s">
        <v>32547</v>
      </c>
      <c r="T70" t="s">
        <v>33167</v>
      </c>
      <c r="U70" t="s">
        <v>33681</v>
      </c>
      <c r="V70" t="s">
        <v>42430</v>
      </c>
      <c r="W70" t="s">
        <v>29629</v>
      </c>
      <c r="X70" t="s">
        <v>32531</v>
      </c>
    </row>
    <row r="71" spans="1:24">
      <c r="A71">
        <f>HYPERLINK("https://www.philgeps.gov.ph/GEPSNONPILOT/Tender/SplashBidNoticeAbstractUI.aspx?menuIndex=3&amp;refID=7041469&amp;Result=3","7041469")</f>
        <v>0</v>
      </c>
      <c r="B71" t="s">
        <v>58</v>
      </c>
      <c r="C71" t="s">
        <v>2748</v>
      </c>
      <c r="D71" t="s">
        <v>13014</v>
      </c>
      <c r="E71" t="s">
        <v>13157</v>
      </c>
      <c r="F71" t="s">
        <v>22436</v>
      </c>
      <c r="G71" t="s">
        <v>22444</v>
      </c>
      <c r="H71" t="s">
        <v>22454</v>
      </c>
      <c r="I71" t="s">
        <v>7738</v>
      </c>
      <c r="J71" t="s">
        <v>22649</v>
      </c>
      <c r="K71" t="s">
        <v>29349</v>
      </c>
      <c r="M71" t="s">
        <v>29630</v>
      </c>
      <c r="N71" t="s">
        <v>32524</v>
      </c>
      <c r="O71" t="s">
        <v>32525</v>
      </c>
      <c r="P71">
        <v>0</v>
      </c>
      <c r="Q71">
        <v>0</v>
      </c>
      <c r="R71" t="s">
        <v>32526</v>
      </c>
      <c r="S71" t="s">
        <v>32547</v>
      </c>
      <c r="T71" t="s">
        <v>33175</v>
      </c>
      <c r="U71" t="s">
        <v>33682</v>
      </c>
      <c r="W71" t="s">
        <v>29630</v>
      </c>
      <c r="X71" t="s">
        <v>32531</v>
      </c>
    </row>
    <row r="72" spans="1:24">
      <c r="A72">
        <f>HYPERLINK("https://www.philgeps.gov.ph/GEPSNONPILOT/Tender/SplashBidNoticeAbstractUI.aspx?menuIndex=3&amp;refID=7041197&amp;Result=3","7041197")</f>
        <v>0</v>
      </c>
      <c r="B72" t="s">
        <v>59</v>
      </c>
      <c r="C72" t="s">
        <v>2749</v>
      </c>
      <c r="D72" t="s">
        <v>13004</v>
      </c>
      <c r="E72" t="s">
        <v>13158</v>
      </c>
      <c r="F72" t="s">
        <v>22436</v>
      </c>
      <c r="G72" t="s">
        <v>22443</v>
      </c>
      <c r="H72" t="s">
        <v>22452</v>
      </c>
      <c r="I72" t="s">
        <v>12358</v>
      </c>
      <c r="J72" t="s">
        <v>22650</v>
      </c>
      <c r="K72" t="s">
        <v>29338</v>
      </c>
      <c r="L72" t="s">
        <v>59</v>
      </c>
      <c r="M72" t="s">
        <v>29631</v>
      </c>
      <c r="N72" t="s">
        <v>32524</v>
      </c>
      <c r="O72" t="s">
        <v>32525</v>
      </c>
      <c r="P72">
        <v>0</v>
      </c>
      <c r="Q72">
        <v>0</v>
      </c>
      <c r="R72" t="s">
        <v>32526</v>
      </c>
      <c r="S72" t="s">
        <v>32547</v>
      </c>
      <c r="T72" t="s">
        <v>33167</v>
      </c>
      <c r="U72" t="s">
        <v>33683</v>
      </c>
      <c r="W72" t="s">
        <v>29631</v>
      </c>
      <c r="X72" t="s">
        <v>32531</v>
      </c>
    </row>
    <row r="73" spans="1:24">
      <c r="A73">
        <f>HYPERLINK("https://www.philgeps.gov.ph/GEPSNONPILOT/Tender/SplashBidNoticeAbstractUI.aspx?menuIndex=3&amp;refID=7041154&amp;Result=3","7041154")</f>
        <v>0</v>
      </c>
      <c r="B73" t="s">
        <v>59</v>
      </c>
      <c r="C73" t="s">
        <v>2750</v>
      </c>
      <c r="D73" t="s">
        <v>13004</v>
      </c>
      <c r="E73" t="s">
        <v>13159</v>
      </c>
      <c r="F73" t="s">
        <v>22436</v>
      </c>
      <c r="G73" t="s">
        <v>22443</v>
      </c>
      <c r="H73" t="s">
        <v>22452</v>
      </c>
      <c r="I73" t="s">
        <v>3827</v>
      </c>
      <c r="J73" t="s">
        <v>22651</v>
      </c>
      <c r="K73" t="s">
        <v>29338</v>
      </c>
      <c r="L73" t="s">
        <v>59</v>
      </c>
      <c r="M73" t="s">
        <v>29631</v>
      </c>
      <c r="N73" t="s">
        <v>32524</v>
      </c>
      <c r="O73" t="s">
        <v>32525</v>
      </c>
      <c r="P73">
        <v>0</v>
      </c>
      <c r="Q73">
        <v>5</v>
      </c>
      <c r="R73" t="s">
        <v>32526</v>
      </c>
      <c r="S73" t="s">
        <v>32547</v>
      </c>
      <c r="T73" t="s">
        <v>33167</v>
      </c>
      <c r="U73" t="s">
        <v>33684</v>
      </c>
      <c r="W73" t="s">
        <v>29631</v>
      </c>
      <c r="X73" t="s">
        <v>32531</v>
      </c>
    </row>
    <row r="74" spans="1:24">
      <c r="A74">
        <f>HYPERLINK("https://www.philgeps.gov.ph/GEPSNONPILOT/Tender/SplashBidNoticeAbstractUI.aspx?menuIndex=3&amp;refID=7039616&amp;Result=3","7039616")</f>
        <v>0</v>
      </c>
      <c r="B74" t="s">
        <v>50</v>
      </c>
      <c r="C74" t="s">
        <v>2751</v>
      </c>
      <c r="D74" t="s">
        <v>13008</v>
      </c>
      <c r="E74" t="s">
        <v>13160</v>
      </c>
      <c r="F74" t="s">
        <v>22436</v>
      </c>
      <c r="G74" t="s">
        <v>22444</v>
      </c>
      <c r="H74" t="s">
        <v>22454</v>
      </c>
      <c r="I74" t="s">
        <v>7738</v>
      </c>
      <c r="J74" t="s">
        <v>22652</v>
      </c>
      <c r="K74" t="s">
        <v>29344</v>
      </c>
      <c r="M74" t="s">
        <v>29622</v>
      </c>
      <c r="N74" t="s">
        <v>32524</v>
      </c>
      <c r="O74" t="s">
        <v>32525</v>
      </c>
      <c r="P74">
        <v>0</v>
      </c>
      <c r="Q74">
        <v>0</v>
      </c>
      <c r="R74" t="s">
        <v>32526</v>
      </c>
      <c r="S74" t="s">
        <v>32547</v>
      </c>
      <c r="T74" t="s">
        <v>33166</v>
      </c>
      <c r="U74" t="s">
        <v>33685</v>
      </c>
      <c r="W74" t="s">
        <v>29622</v>
      </c>
      <c r="X74" t="s">
        <v>32532</v>
      </c>
    </row>
    <row r="75" spans="1:24">
      <c r="A75">
        <f>HYPERLINK("https://www.philgeps.gov.ph/GEPSNONPILOT/Tender/SplashBidNoticeAbstractUI.aspx?menuIndex=3&amp;refID=7040043&amp;Result=3","7040043")</f>
        <v>0</v>
      </c>
      <c r="B75" t="s">
        <v>56</v>
      </c>
      <c r="C75" t="s">
        <v>2752</v>
      </c>
      <c r="D75" t="s">
        <v>13012</v>
      </c>
      <c r="E75" t="s">
        <v>13161</v>
      </c>
      <c r="F75" t="s">
        <v>22436</v>
      </c>
      <c r="G75" t="s">
        <v>22444</v>
      </c>
      <c r="H75" t="s">
        <v>22452</v>
      </c>
      <c r="I75" t="s">
        <v>22467</v>
      </c>
      <c r="J75" t="s">
        <v>22653</v>
      </c>
      <c r="K75" t="s">
        <v>29336</v>
      </c>
      <c r="M75" t="s">
        <v>29628</v>
      </c>
      <c r="N75" t="s">
        <v>32524</v>
      </c>
      <c r="O75" t="s">
        <v>32525</v>
      </c>
      <c r="P75">
        <v>0</v>
      </c>
      <c r="Q75">
        <v>0</v>
      </c>
      <c r="R75" t="s">
        <v>32526</v>
      </c>
      <c r="S75" t="s">
        <v>32547</v>
      </c>
      <c r="T75" t="s">
        <v>33176</v>
      </c>
      <c r="U75" t="s">
        <v>33686</v>
      </c>
      <c r="V75" t="s">
        <v>42428</v>
      </c>
      <c r="W75" t="s">
        <v>29628</v>
      </c>
      <c r="X75" t="s">
        <v>32532</v>
      </c>
    </row>
    <row r="76" spans="1:24">
      <c r="A76">
        <f>HYPERLINK("https://www.philgeps.gov.ph/GEPSNONPILOT/Tender/SplashBidNoticeAbstractUI.aspx?menuIndex=3&amp;refID=7041103&amp;Result=3","7041103")</f>
        <v>0</v>
      </c>
      <c r="B76" t="s">
        <v>60</v>
      </c>
      <c r="C76" t="s">
        <v>2753</v>
      </c>
      <c r="D76" t="s">
        <v>13015</v>
      </c>
      <c r="E76" t="s">
        <v>13162</v>
      </c>
      <c r="F76" t="s">
        <v>22436</v>
      </c>
      <c r="G76" t="s">
        <v>22445</v>
      </c>
      <c r="H76" t="s">
        <v>22452</v>
      </c>
      <c r="I76" t="s">
        <v>22471</v>
      </c>
      <c r="J76" t="s">
        <v>22654</v>
      </c>
      <c r="K76" t="s">
        <v>29335</v>
      </c>
      <c r="M76" t="s">
        <v>29632</v>
      </c>
      <c r="N76" t="s">
        <v>32524</v>
      </c>
      <c r="O76" t="s">
        <v>32525</v>
      </c>
      <c r="P76">
        <v>0</v>
      </c>
      <c r="Q76">
        <v>11</v>
      </c>
      <c r="R76" t="s">
        <v>32526</v>
      </c>
      <c r="S76" t="s">
        <v>32547</v>
      </c>
      <c r="T76" t="s">
        <v>33177</v>
      </c>
      <c r="U76" t="s">
        <v>33687</v>
      </c>
      <c r="V76" t="s">
        <v>42431</v>
      </c>
      <c r="W76" t="s">
        <v>29632</v>
      </c>
      <c r="X76" t="s">
        <v>32531</v>
      </c>
    </row>
    <row r="77" spans="1:24">
      <c r="A77">
        <f>HYPERLINK("https://www.philgeps.gov.ph/GEPSNONPILOT/Tender/SplashBidNoticeAbstractUI.aspx?menuIndex=3&amp;refID=7041508&amp;Result=3","7041508")</f>
        <v>0</v>
      </c>
      <c r="B77" t="s">
        <v>61</v>
      </c>
      <c r="C77" t="s">
        <v>2754</v>
      </c>
      <c r="D77" t="s">
        <v>13011</v>
      </c>
      <c r="E77" t="s">
        <v>13163</v>
      </c>
      <c r="F77" t="s">
        <v>22436</v>
      </c>
      <c r="G77" t="s">
        <v>22446</v>
      </c>
      <c r="H77" t="s">
        <v>22452</v>
      </c>
      <c r="I77" t="s">
        <v>22460</v>
      </c>
      <c r="J77" t="s">
        <v>22655</v>
      </c>
      <c r="K77" t="s">
        <v>29329</v>
      </c>
      <c r="M77" t="s">
        <v>29633</v>
      </c>
      <c r="N77" t="s">
        <v>32524</v>
      </c>
      <c r="O77" t="s">
        <v>32525</v>
      </c>
      <c r="P77">
        <v>0</v>
      </c>
      <c r="Q77">
        <v>3</v>
      </c>
      <c r="R77" t="s">
        <v>32526</v>
      </c>
      <c r="S77" t="s">
        <v>32547</v>
      </c>
      <c r="T77" t="s">
        <v>33178</v>
      </c>
      <c r="U77" t="s">
        <v>33688</v>
      </c>
      <c r="W77" t="s">
        <v>29633</v>
      </c>
      <c r="X77" t="s">
        <v>32531</v>
      </c>
    </row>
    <row r="78" spans="1:24">
      <c r="A78">
        <f>HYPERLINK("https://www.philgeps.gov.ph/GEPSNONPILOT/Tender/SplashBidNoticeAbstractUI.aspx?menuIndex=3&amp;refID=7041175&amp;Result=3","7041175")</f>
        <v>0</v>
      </c>
      <c r="B78" t="s">
        <v>59</v>
      </c>
      <c r="C78" t="s">
        <v>2755</v>
      </c>
      <c r="D78" t="s">
        <v>13004</v>
      </c>
      <c r="E78" t="s">
        <v>13164</v>
      </c>
      <c r="F78" t="s">
        <v>22436</v>
      </c>
      <c r="G78" t="s">
        <v>22443</v>
      </c>
      <c r="H78" t="s">
        <v>22452</v>
      </c>
      <c r="I78" t="s">
        <v>12358</v>
      </c>
      <c r="J78" t="s">
        <v>22656</v>
      </c>
      <c r="K78" t="s">
        <v>29338</v>
      </c>
      <c r="L78" t="s">
        <v>59</v>
      </c>
      <c r="M78" t="s">
        <v>29631</v>
      </c>
      <c r="N78" t="s">
        <v>32524</v>
      </c>
      <c r="O78" t="s">
        <v>32525</v>
      </c>
      <c r="P78">
        <v>0</v>
      </c>
      <c r="Q78">
        <v>0</v>
      </c>
      <c r="R78" t="s">
        <v>32526</v>
      </c>
      <c r="S78" t="s">
        <v>32547</v>
      </c>
      <c r="T78" t="s">
        <v>33167</v>
      </c>
      <c r="U78" t="s">
        <v>33689</v>
      </c>
      <c r="W78" t="s">
        <v>29631</v>
      </c>
      <c r="X78" t="s">
        <v>32531</v>
      </c>
    </row>
    <row r="79" spans="1:24">
      <c r="A79">
        <f>HYPERLINK("https://www.philgeps.gov.ph/GEPSNONPILOT/Tender/SplashBidNoticeAbstractUI.aspx?menuIndex=3&amp;refID=7040310&amp;Result=3","7040310")</f>
        <v>0</v>
      </c>
      <c r="B79" t="s">
        <v>62</v>
      </c>
      <c r="C79" t="s">
        <v>2756</v>
      </c>
      <c r="D79" t="s">
        <v>12998</v>
      </c>
      <c r="E79" t="s">
        <v>13165</v>
      </c>
      <c r="F79" t="s">
        <v>22436</v>
      </c>
      <c r="G79" t="s">
        <v>22444</v>
      </c>
      <c r="H79" t="s">
        <v>22452</v>
      </c>
      <c r="I79" t="s">
        <v>2981</v>
      </c>
      <c r="J79" t="s">
        <v>22657</v>
      </c>
      <c r="K79" t="s">
        <v>29336</v>
      </c>
      <c r="M79" t="s">
        <v>29634</v>
      </c>
      <c r="N79" t="s">
        <v>32524</v>
      </c>
      <c r="O79" t="s">
        <v>32525</v>
      </c>
      <c r="P79">
        <v>0</v>
      </c>
      <c r="Q79">
        <v>0</v>
      </c>
      <c r="R79" t="s">
        <v>32526</v>
      </c>
      <c r="S79" t="s">
        <v>32547</v>
      </c>
      <c r="T79" t="s">
        <v>33163</v>
      </c>
      <c r="U79" t="s">
        <v>33690</v>
      </c>
      <c r="W79" t="s">
        <v>29634</v>
      </c>
      <c r="X79" t="s">
        <v>32532</v>
      </c>
    </row>
    <row r="80" spans="1:24">
      <c r="A80">
        <f>HYPERLINK("https://www.philgeps.gov.ph/GEPSNONPILOT/Tender/SplashBidNoticeAbstractUI.aspx?menuIndex=3&amp;refID=7041010&amp;Result=3","7041010")</f>
        <v>0</v>
      </c>
      <c r="B80" t="s">
        <v>63</v>
      </c>
      <c r="C80" t="s">
        <v>2757</v>
      </c>
      <c r="D80" t="s">
        <v>13009</v>
      </c>
      <c r="E80" t="s">
        <v>13166</v>
      </c>
      <c r="F80" t="s">
        <v>22436</v>
      </c>
      <c r="G80" t="s">
        <v>22444</v>
      </c>
      <c r="H80" t="s">
        <v>22455</v>
      </c>
      <c r="I80" t="s">
        <v>22455</v>
      </c>
      <c r="J80" t="s">
        <v>22658</v>
      </c>
      <c r="K80" t="s">
        <v>29350</v>
      </c>
      <c r="M80" t="s">
        <v>29635</v>
      </c>
      <c r="N80" t="s">
        <v>32524</v>
      </c>
      <c r="O80" t="s">
        <v>32525</v>
      </c>
      <c r="P80">
        <v>0</v>
      </c>
      <c r="Q80">
        <v>1</v>
      </c>
      <c r="R80" t="s">
        <v>32526</v>
      </c>
      <c r="S80" t="s">
        <v>32547</v>
      </c>
      <c r="T80" t="s">
        <v>33179</v>
      </c>
      <c r="U80" t="s">
        <v>33691</v>
      </c>
      <c r="W80" t="s">
        <v>29635</v>
      </c>
      <c r="X80" t="s">
        <v>32531</v>
      </c>
    </row>
    <row r="81" spans="1:24">
      <c r="A81">
        <f>HYPERLINK("https://www.philgeps.gov.ph/GEPSNONPILOT/Tender/SplashBidNoticeAbstractUI.aspx?menuIndex=3&amp;refID=7041511&amp;Result=3","7041511")</f>
        <v>0</v>
      </c>
      <c r="B81" t="s">
        <v>32</v>
      </c>
      <c r="C81" t="s">
        <v>2758</v>
      </c>
      <c r="E81" t="s">
        <v>13167</v>
      </c>
      <c r="F81" t="s">
        <v>22436</v>
      </c>
      <c r="G81" t="s">
        <v>22443</v>
      </c>
      <c r="H81" t="s">
        <v>22452</v>
      </c>
      <c r="I81" t="s">
        <v>22463</v>
      </c>
      <c r="J81" t="s">
        <v>22659</v>
      </c>
      <c r="K81" t="s">
        <v>29338</v>
      </c>
      <c r="M81" t="s">
        <v>29609</v>
      </c>
      <c r="N81" t="s">
        <v>32524</v>
      </c>
      <c r="O81" t="s">
        <v>32525</v>
      </c>
      <c r="P81">
        <v>0</v>
      </c>
      <c r="Q81">
        <v>3</v>
      </c>
      <c r="R81" t="s">
        <v>32526</v>
      </c>
      <c r="S81" t="s">
        <v>32547</v>
      </c>
      <c r="T81" t="s">
        <v>33180</v>
      </c>
      <c r="U81" t="s">
        <v>33629</v>
      </c>
      <c r="W81" t="s">
        <v>29609</v>
      </c>
      <c r="X81" t="s">
        <v>32531</v>
      </c>
    </row>
    <row r="82" spans="1:24">
      <c r="A82">
        <f>HYPERLINK("https://www.philgeps.gov.ph/GEPSNONPILOT/Tender/SplashBidNoticeAbstractUI.aspx?menuIndex=3&amp;refID=7041059&amp;Result=3","7041059")</f>
        <v>0</v>
      </c>
      <c r="B82" t="s">
        <v>64</v>
      </c>
      <c r="C82" t="s">
        <v>2759</v>
      </c>
      <c r="D82" t="s">
        <v>13016</v>
      </c>
      <c r="E82" t="s">
        <v>13168</v>
      </c>
      <c r="F82" t="s">
        <v>22436</v>
      </c>
      <c r="G82" t="s">
        <v>22446</v>
      </c>
      <c r="H82" t="s">
        <v>22452</v>
      </c>
      <c r="I82" t="s">
        <v>22465</v>
      </c>
      <c r="J82" t="s">
        <v>22660</v>
      </c>
      <c r="K82" t="s">
        <v>29335</v>
      </c>
      <c r="M82" t="s">
        <v>29636</v>
      </c>
      <c r="N82" t="s">
        <v>32524</v>
      </c>
      <c r="O82" t="s">
        <v>32525</v>
      </c>
      <c r="P82">
        <v>0</v>
      </c>
      <c r="Q82">
        <v>0</v>
      </c>
      <c r="R82" t="s">
        <v>32526</v>
      </c>
      <c r="S82" t="s">
        <v>32547</v>
      </c>
      <c r="T82" t="s">
        <v>33181</v>
      </c>
      <c r="U82" t="s">
        <v>33692</v>
      </c>
      <c r="V82" t="s">
        <v>42432</v>
      </c>
      <c r="W82" t="s">
        <v>29636</v>
      </c>
      <c r="X82" t="s">
        <v>32531</v>
      </c>
    </row>
    <row r="83" spans="1:24">
      <c r="A83">
        <f>HYPERLINK("https://www.philgeps.gov.ph/GEPSNONPILOT/Tender/SplashBidNoticeAbstractUI.aspx?menuIndex=3&amp;refID=7041819&amp;Result=3","7041819")</f>
        <v>0</v>
      </c>
      <c r="B83" t="s">
        <v>65</v>
      </c>
      <c r="C83" t="s">
        <v>2760</v>
      </c>
      <c r="D83" t="s">
        <v>13017</v>
      </c>
      <c r="E83" t="s">
        <v>2760</v>
      </c>
      <c r="F83" t="s">
        <v>22436</v>
      </c>
      <c r="G83" t="s">
        <v>22446</v>
      </c>
      <c r="H83" t="s">
        <v>22452</v>
      </c>
      <c r="I83" t="s">
        <v>3529</v>
      </c>
      <c r="J83" t="s">
        <v>22661</v>
      </c>
      <c r="K83" t="s">
        <v>29336</v>
      </c>
      <c r="M83" t="s">
        <v>29637</v>
      </c>
      <c r="N83" t="s">
        <v>32524</v>
      </c>
      <c r="O83" t="s">
        <v>32525</v>
      </c>
      <c r="P83">
        <v>0</v>
      </c>
      <c r="Q83">
        <v>5</v>
      </c>
      <c r="R83" t="s">
        <v>32526</v>
      </c>
      <c r="S83" t="s">
        <v>32547</v>
      </c>
      <c r="T83" t="s">
        <v>33161</v>
      </c>
      <c r="U83" t="s">
        <v>33693</v>
      </c>
      <c r="V83" t="s">
        <v>42433</v>
      </c>
      <c r="W83" t="s">
        <v>29637</v>
      </c>
      <c r="X83" t="s">
        <v>32531</v>
      </c>
    </row>
    <row r="84" spans="1:24">
      <c r="A84">
        <f>HYPERLINK("https://www.philgeps.gov.ph/GEPSNONPILOT/Tender/SplashBidNoticeAbstractUI.aspx?menuIndex=3&amp;refID=7041589&amp;Result=3","7041589")</f>
        <v>0</v>
      </c>
      <c r="B84" t="s">
        <v>58</v>
      </c>
      <c r="C84" t="s">
        <v>2761</v>
      </c>
      <c r="D84" t="s">
        <v>13014</v>
      </c>
      <c r="E84" t="s">
        <v>13169</v>
      </c>
      <c r="F84" t="s">
        <v>22436</v>
      </c>
      <c r="G84" t="s">
        <v>22444</v>
      </c>
      <c r="H84" t="s">
        <v>22454</v>
      </c>
      <c r="I84" t="s">
        <v>7738</v>
      </c>
      <c r="J84" t="s">
        <v>22662</v>
      </c>
      <c r="K84" t="s">
        <v>29351</v>
      </c>
      <c r="M84" t="s">
        <v>29630</v>
      </c>
      <c r="N84" t="s">
        <v>32524</v>
      </c>
      <c r="O84" t="s">
        <v>32525</v>
      </c>
      <c r="P84">
        <v>0</v>
      </c>
      <c r="Q84">
        <v>0</v>
      </c>
      <c r="R84" t="s">
        <v>32526</v>
      </c>
      <c r="S84" t="s">
        <v>32547</v>
      </c>
      <c r="T84" t="s">
        <v>33175</v>
      </c>
      <c r="U84" t="s">
        <v>33694</v>
      </c>
      <c r="W84" t="s">
        <v>29630</v>
      </c>
      <c r="X84" t="s">
        <v>32531</v>
      </c>
    </row>
    <row r="85" spans="1:24">
      <c r="A85">
        <f>HYPERLINK("https://www.philgeps.gov.ph/GEPSNONPILOT/Tender/SplashBidNoticeAbstractUI.aspx?menuIndex=3&amp;refID=7041711&amp;Result=3","7041711")</f>
        <v>0</v>
      </c>
      <c r="B85" t="s">
        <v>57</v>
      </c>
      <c r="C85" t="s">
        <v>2762</v>
      </c>
      <c r="D85" t="s">
        <v>13013</v>
      </c>
      <c r="E85" t="s">
        <v>13170</v>
      </c>
      <c r="F85" t="s">
        <v>22436</v>
      </c>
      <c r="G85" t="s">
        <v>22446</v>
      </c>
      <c r="H85" t="s">
        <v>22452</v>
      </c>
      <c r="I85" t="s">
        <v>3529</v>
      </c>
      <c r="J85" t="s">
        <v>22663</v>
      </c>
      <c r="K85" t="s">
        <v>29331</v>
      </c>
      <c r="M85" t="s">
        <v>29629</v>
      </c>
      <c r="N85" t="s">
        <v>32524</v>
      </c>
      <c r="O85" t="s">
        <v>32525</v>
      </c>
      <c r="P85">
        <v>0</v>
      </c>
      <c r="Q85">
        <v>0</v>
      </c>
      <c r="R85" t="s">
        <v>32526</v>
      </c>
      <c r="S85" t="s">
        <v>32547</v>
      </c>
      <c r="T85" t="s">
        <v>33167</v>
      </c>
      <c r="U85" t="s">
        <v>33695</v>
      </c>
      <c r="V85" t="s">
        <v>42434</v>
      </c>
      <c r="W85" t="s">
        <v>29629</v>
      </c>
      <c r="X85" t="s">
        <v>32531</v>
      </c>
    </row>
    <row r="86" spans="1:24">
      <c r="A86">
        <f>HYPERLINK("https://www.philgeps.gov.ph/GEPSNONPILOT/Tender/SplashBidNoticeAbstractUI.aspx?menuIndex=3&amp;refID=7041806&amp;Result=3","7041806")</f>
        <v>0</v>
      </c>
      <c r="B86" t="s">
        <v>65</v>
      </c>
      <c r="C86" t="s">
        <v>2763</v>
      </c>
      <c r="D86" t="s">
        <v>13017</v>
      </c>
      <c r="E86" t="s">
        <v>2763</v>
      </c>
      <c r="F86" t="s">
        <v>22436</v>
      </c>
      <c r="G86" t="s">
        <v>22446</v>
      </c>
      <c r="H86" t="s">
        <v>22452</v>
      </c>
      <c r="I86" t="s">
        <v>22472</v>
      </c>
      <c r="J86" t="s">
        <v>22664</v>
      </c>
      <c r="K86" t="s">
        <v>29336</v>
      </c>
      <c r="M86" t="s">
        <v>29637</v>
      </c>
      <c r="N86" t="s">
        <v>32524</v>
      </c>
      <c r="O86" t="s">
        <v>32525</v>
      </c>
      <c r="P86">
        <v>0</v>
      </c>
      <c r="Q86">
        <v>6</v>
      </c>
      <c r="R86" t="s">
        <v>32526</v>
      </c>
      <c r="S86" t="s">
        <v>32547</v>
      </c>
      <c r="T86" t="s">
        <v>33161</v>
      </c>
      <c r="U86" t="s">
        <v>33696</v>
      </c>
      <c r="V86" t="s">
        <v>42435</v>
      </c>
      <c r="W86" t="s">
        <v>29637</v>
      </c>
      <c r="X86" t="s">
        <v>32531</v>
      </c>
    </row>
    <row r="87" spans="1:24">
      <c r="A87">
        <f>HYPERLINK("https://www.philgeps.gov.ph/GEPSNONPILOT/Tender/SplashBidNoticeAbstractUI.aspx?menuIndex=3&amp;refID=7041644&amp;Result=3","7041644")</f>
        <v>0</v>
      </c>
      <c r="B87" t="s">
        <v>66</v>
      </c>
      <c r="C87" t="s">
        <v>2764</v>
      </c>
      <c r="D87" t="s">
        <v>13018</v>
      </c>
      <c r="E87" t="s">
        <v>13171</v>
      </c>
      <c r="F87" t="s">
        <v>22436</v>
      </c>
      <c r="G87" t="s">
        <v>22444</v>
      </c>
      <c r="H87" t="s">
        <v>22452</v>
      </c>
      <c r="I87" t="s">
        <v>22473</v>
      </c>
      <c r="J87" t="s">
        <v>22665</v>
      </c>
      <c r="K87" t="s">
        <v>29335</v>
      </c>
      <c r="M87" t="s">
        <v>29638</v>
      </c>
      <c r="N87" t="s">
        <v>32524</v>
      </c>
      <c r="O87" t="s">
        <v>32525</v>
      </c>
      <c r="P87">
        <v>0</v>
      </c>
      <c r="Q87">
        <v>0</v>
      </c>
      <c r="R87" t="s">
        <v>32526</v>
      </c>
      <c r="S87" t="s">
        <v>32547</v>
      </c>
      <c r="T87" t="s">
        <v>33182</v>
      </c>
      <c r="U87" t="s">
        <v>33697</v>
      </c>
      <c r="W87" t="s">
        <v>29638</v>
      </c>
      <c r="X87" t="s">
        <v>32531</v>
      </c>
    </row>
    <row r="88" spans="1:24">
      <c r="A88">
        <f>HYPERLINK("https://www.philgeps.gov.ph/GEPSNONPILOT/Tender/SplashBidNoticeAbstractUI.aspx?menuIndex=3&amp;refID=7041787&amp;Result=3","7041787")</f>
        <v>0</v>
      </c>
      <c r="B88" t="s">
        <v>58</v>
      </c>
      <c r="C88" t="s">
        <v>2765</v>
      </c>
      <c r="D88" t="s">
        <v>13014</v>
      </c>
      <c r="E88" t="s">
        <v>13172</v>
      </c>
      <c r="F88" t="s">
        <v>22436</v>
      </c>
      <c r="G88" t="s">
        <v>22444</v>
      </c>
      <c r="H88" t="s">
        <v>22454</v>
      </c>
      <c r="I88" t="s">
        <v>7738</v>
      </c>
      <c r="J88" t="s">
        <v>22666</v>
      </c>
      <c r="K88" t="s">
        <v>29352</v>
      </c>
      <c r="M88" t="s">
        <v>29630</v>
      </c>
      <c r="N88" t="s">
        <v>32524</v>
      </c>
      <c r="O88" t="s">
        <v>32525</v>
      </c>
      <c r="P88">
        <v>0</v>
      </c>
      <c r="Q88">
        <v>0</v>
      </c>
      <c r="R88" t="s">
        <v>32526</v>
      </c>
      <c r="S88" t="s">
        <v>32547</v>
      </c>
      <c r="T88" t="s">
        <v>33175</v>
      </c>
      <c r="U88" t="s">
        <v>33698</v>
      </c>
      <c r="W88" t="s">
        <v>29630</v>
      </c>
      <c r="X88" t="s">
        <v>32531</v>
      </c>
    </row>
    <row r="89" spans="1:24">
      <c r="A89">
        <f>HYPERLINK("https://www.philgeps.gov.ph/GEPSNONPILOT/Tender/SplashBidNoticeAbstractUI.aspx?menuIndex=3&amp;refID=7041553&amp;Result=3","7041553")</f>
        <v>0</v>
      </c>
      <c r="B89" t="s">
        <v>67</v>
      </c>
      <c r="C89" t="s">
        <v>2766</v>
      </c>
      <c r="D89" t="s">
        <v>12990</v>
      </c>
      <c r="E89" t="s">
        <v>13173</v>
      </c>
      <c r="F89" t="s">
        <v>22436</v>
      </c>
      <c r="G89" t="s">
        <v>22443</v>
      </c>
      <c r="H89" t="s">
        <v>22452</v>
      </c>
      <c r="I89" t="s">
        <v>2962</v>
      </c>
      <c r="J89" t="s">
        <v>22667</v>
      </c>
      <c r="K89" t="s">
        <v>29338</v>
      </c>
      <c r="M89" t="s">
        <v>29639</v>
      </c>
      <c r="N89" t="s">
        <v>32524</v>
      </c>
      <c r="O89" t="s">
        <v>32525</v>
      </c>
      <c r="P89">
        <v>0</v>
      </c>
      <c r="Q89">
        <v>0</v>
      </c>
      <c r="R89" t="s">
        <v>32526</v>
      </c>
      <c r="S89" t="s">
        <v>32547</v>
      </c>
      <c r="T89" t="s">
        <v>33183</v>
      </c>
      <c r="U89" t="s">
        <v>33699</v>
      </c>
      <c r="W89" t="s">
        <v>29639</v>
      </c>
      <c r="X89" t="s">
        <v>32531</v>
      </c>
    </row>
    <row r="90" spans="1:24">
      <c r="A90">
        <f>HYPERLINK("https://www.philgeps.gov.ph/GEPSNONPILOT/Tender/SplashBidNoticeAbstractUI.aspx?menuIndex=3&amp;refID=7041831&amp;Result=3","7041831")</f>
        <v>0</v>
      </c>
      <c r="B90" t="s">
        <v>57</v>
      </c>
      <c r="C90" t="s">
        <v>2767</v>
      </c>
      <c r="D90" t="s">
        <v>13013</v>
      </c>
      <c r="E90" t="s">
        <v>13174</v>
      </c>
      <c r="F90" t="s">
        <v>22436</v>
      </c>
      <c r="G90" t="s">
        <v>22446</v>
      </c>
      <c r="H90" t="s">
        <v>22452</v>
      </c>
      <c r="I90" t="s">
        <v>6387</v>
      </c>
      <c r="J90" t="s">
        <v>22648</v>
      </c>
      <c r="K90" t="s">
        <v>29331</v>
      </c>
      <c r="M90" t="s">
        <v>29629</v>
      </c>
      <c r="N90" t="s">
        <v>32524</v>
      </c>
      <c r="O90" t="s">
        <v>32525</v>
      </c>
      <c r="P90">
        <v>0</v>
      </c>
      <c r="Q90">
        <v>0</v>
      </c>
      <c r="R90" t="s">
        <v>32526</v>
      </c>
      <c r="S90" t="s">
        <v>32547</v>
      </c>
      <c r="T90" t="s">
        <v>33167</v>
      </c>
      <c r="U90" t="s">
        <v>33700</v>
      </c>
      <c r="V90" t="s">
        <v>42436</v>
      </c>
      <c r="W90" t="s">
        <v>29629</v>
      </c>
      <c r="X90" t="s">
        <v>32531</v>
      </c>
    </row>
    <row r="91" spans="1:24">
      <c r="A91">
        <f>HYPERLINK("https://www.philgeps.gov.ph/GEPSNONPILOT/Tender/SplashBidNoticeAbstractUI.aspx?menuIndex=3&amp;refID=7041996&amp;Result=3","7041996")</f>
        <v>0</v>
      </c>
      <c r="B91" t="s">
        <v>68</v>
      </c>
      <c r="C91" t="s">
        <v>2768</v>
      </c>
      <c r="D91" t="s">
        <v>13013</v>
      </c>
      <c r="E91" t="s">
        <v>13175</v>
      </c>
      <c r="F91" t="s">
        <v>22436</v>
      </c>
      <c r="G91" t="s">
        <v>22447</v>
      </c>
      <c r="H91" t="s">
        <v>22452</v>
      </c>
      <c r="I91" t="s">
        <v>22474</v>
      </c>
      <c r="J91" t="s">
        <v>22668</v>
      </c>
      <c r="K91" t="s">
        <v>29335</v>
      </c>
      <c r="L91" t="s">
        <v>68</v>
      </c>
      <c r="M91" t="s">
        <v>29640</v>
      </c>
      <c r="N91" t="s">
        <v>32524</v>
      </c>
      <c r="O91" t="s">
        <v>32525</v>
      </c>
      <c r="P91">
        <v>0</v>
      </c>
      <c r="Q91">
        <v>8</v>
      </c>
      <c r="R91" t="s">
        <v>32526</v>
      </c>
      <c r="S91" t="s">
        <v>32547</v>
      </c>
      <c r="T91" t="s">
        <v>33184</v>
      </c>
      <c r="U91" t="s">
        <v>33701</v>
      </c>
      <c r="V91" t="s">
        <v>42437</v>
      </c>
      <c r="W91" t="s">
        <v>29640</v>
      </c>
      <c r="X91" t="s">
        <v>32531</v>
      </c>
    </row>
    <row r="92" spans="1:24">
      <c r="A92">
        <f>HYPERLINK("https://www.philgeps.gov.ph/GEPSNONPILOT/Tender/SplashBidNoticeAbstractUI.aspx?menuIndex=3&amp;refID=7042042&amp;Result=3","7042042")</f>
        <v>0</v>
      </c>
      <c r="B92" t="s">
        <v>68</v>
      </c>
      <c r="C92" t="s">
        <v>2769</v>
      </c>
      <c r="D92" t="s">
        <v>13013</v>
      </c>
      <c r="E92" t="s">
        <v>13176</v>
      </c>
      <c r="F92" t="s">
        <v>22436</v>
      </c>
      <c r="G92" t="s">
        <v>22447</v>
      </c>
      <c r="H92" t="s">
        <v>22452</v>
      </c>
      <c r="I92" t="s">
        <v>22474</v>
      </c>
      <c r="J92" t="s">
        <v>22669</v>
      </c>
      <c r="K92" t="s">
        <v>29333</v>
      </c>
      <c r="L92" t="s">
        <v>68</v>
      </c>
      <c r="M92" t="s">
        <v>29640</v>
      </c>
      <c r="N92" t="s">
        <v>32524</v>
      </c>
      <c r="O92" t="s">
        <v>32525</v>
      </c>
      <c r="P92">
        <v>0</v>
      </c>
      <c r="Q92">
        <v>4</v>
      </c>
      <c r="R92" t="s">
        <v>32526</v>
      </c>
      <c r="S92" t="s">
        <v>32547</v>
      </c>
      <c r="T92" t="s">
        <v>33184</v>
      </c>
      <c r="U92" t="s">
        <v>33702</v>
      </c>
      <c r="V92" t="s">
        <v>42437</v>
      </c>
      <c r="W92" t="s">
        <v>29640</v>
      </c>
      <c r="X92" t="s">
        <v>32531</v>
      </c>
    </row>
    <row r="93" spans="1:24">
      <c r="A93">
        <f>HYPERLINK("https://www.philgeps.gov.ph/GEPSNONPILOT/Tender/SplashBidNoticeAbstractUI.aspx?menuIndex=3&amp;refID=7041568&amp;Result=3","7041568")</f>
        <v>0</v>
      </c>
      <c r="B93" t="s">
        <v>33</v>
      </c>
      <c r="C93" t="s">
        <v>2770</v>
      </c>
      <c r="E93" t="s">
        <v>13177</v>
      </c>
      <c r="F93" t="s">
        <v>22436</v>
      </c>
      <c r="G93" t="s">
        <v>22443</v>
      </c>
      <c r="H93" t="s">
        <v>22452</v>
      </c>
      <c r="I93" t="s">
        <v>22475</v>
      </c>
      <c r="J93" t="s">
        <v>22670</v>
      </c>
      <c r="K93" t="s">
        <v>29338</v>
      </c>
      <c r="M93" t="s">
        <v>29603</v>
      </c>
      <c r="N93" t="s">
        <v>32524</v>
      </c>
      <c r="O93" t="s">
        <v>32525</v>
      </c>
      <c r="P93">
        <v>0</v>
      </c>
      <c r="Q93">
        <v>1</v>
      </c>
      <c r="R93" t="s">
        <v>32526</v>
      </c>
      <c r="S93" t="s">
        <v>32547</v>
      </c>
      <c r="T93" t="s">
        <v>33154</v>
      </c>
      <c r="U93" t="s">
        <v>33703</v>
      </c>
      <c r="W93" t="s">
        <v>29603</v>
      </c>
      <c r="X93" t="s">
        <v>32531</v>
      </c>
    </row>
    <row r="94" spans="1:24">
      <c r="A94">
        <f>HYPERLINK("https://www.philgeps.gov.ph/GEPSNONPILOT/Tender/SplashBidNoticeAbstractUI.aspx?menuIndex=3&amp;refID=7042007&amp;Result=3","7042007")</f>
        <v>0</v>
      </c>
      <c r="B94" t="s">
        <v>57</v>
      </c>
      <c r="C94" t="s">
        <v>2771</v>
      </c>
      <c r="D94" t="s">
        <v>13013</v>
      </c>
      <c r="E94" t="s">
        <v>13178</v>
      </c>
      <c r="F94" t="s">
        <v>22436</v>
      </c>
      <c r="G94" t="s">
        <v>22446</v>
      </c>
      <c r="H94" t="s">
        <v>22452</v>
      </c>
      <c r="I94" t="s">
        <v>3529</v>
      </c>
      <c r="J94" t="s">
        <v>22671</v>
      </c>
      <c r="K94" t="s">
        <v>29331</v>
      </c>
      <c r="M94" t="s">
        <v>29629</v>
      </c>
      <c r="N94" t="s">
        <v>32524</v>
      </c>
      <c r="O94" t="s">
        <v>32525</v>
      </c>
      <c r="P94">
        <v>0</v>
      </c>
      <c r="Q94">
        <v>0</v>
      </c>
      <c r="R94" t="s">
        <v>32526</v>
      </c>
      <c r="S94" t="s">
        <v>32547</v>
      </c>
      <c r="T94" t="s">
        <v>33167</v>
      </c>
      <c r="U94" t="s">
        <v>33704</v>
      </c>
      <c r="V94" t="s">
        <v>42438</v>
      </c>
      <c r="W94" t="s">
        <v>29629</v>
      </c>
      <c r="X94" t="s">
        <v>32531</v>
      </c>
    </row>
    <row r="95" spans="1:24">
      <c r="A95">
        <f>HYPERLINK("https://www.philgeps.gov.ph/GEPSNONPILOT/Tender/SplashBidNoticeAbstractUI.aspx?menuIndex=3&amp;refID=7041935&amp;Result=3","7041935")</f>
        <v>0</v>
      </c>
      <c r="B95" t="s">
        <v>68</v>
      </c>
      <c r="C95" t="s">
        <v>2772</v>
      </c>
      <c r="D95" t="s">
        <v>13013</v>
      </c>
      <c r="E95" t="s">
        <v>13179</v>
      </c>
      <c r="F95" t="s">
        <v>22436</v>
      </c>
      <c r="G95" t="s">
        <v>22444</v>
      </c>
      <c r="H95" t="s">
        <v>22452</v>
      </c>
      <c r="I95" t="s">
        <v>22476</v>
      </c>
      <c r="J95" t="s">
        <v>22672</v>
      </c>
      <c r="K95" t="s">
        <v>29335</v>
      </c>
      <c r="L95" t="s">
        <v>68</v>
      </c>
      <c r="M95" t="s">
        <v>29640</v>
      </c>
      <c r="N95" t="s">
        <v>32524</v>
      </c>
      <c r="O95" t="s">
        <v>32525</v>
      </c>
      <c r="P95">
        <v>0</v>
      </c>
      <c r="Q95">
        <v>0</v>
      </c>
      <c r="R95" t="s">
        <v>32526</v>
      </c>
      <c r="S95" t="s">
        <v>32547</v>
      </c>
      <c r="T95" t="s">
        <v>33184</v>
      </c>
      <c r="U95" t="s">
        <v>33705</v>
      </c>
      <c r="V95" t="s">
        <v>42437</v>
      </c>
      <c r="W95" t="s">
        <v>29640</v>
      </c>
      <c r="X95" t="s">
        <v>32531</v>
      </c>
    </row>
    <row r="96" spans="1:24">
      <c r="A96">
        <f>HYPERLINK("https://www.philgeps.gov.ph/GEPSNONPILOT/Tender/SplashBidNoticeAbstractUI.aspx?menuIndex=3&amp;refID=7041950&amp;Result=3","7041950")</f>
        <v>0</v>
      </c>
      <c r="B96" t="s">
        <v>68</v>
      </c>
      <c r="C96" t="s">
        <v>2773</v>
      </c>
      <c r="D96" t="s">
        <v>13013</v>
      </c>
      <c r="E96" t="s">
        <v>13180</v>
      </c>
      <c r="F96" t="s">
        <v>22436</v>
      </c>
      <c r="G96" t="s">
        <v>22444</v>
      </c>
      <c r="H96" t="s">
        <v>22452</v>
      </c>
      <c r="I96" t="s">
        <v>22477</v>
      </c>
      <c r="J96" t="s">
        <v>22673</v>
      </c>
      <c r="K96" t="s">
        <v>29331</v>
      </c>
      <c r="L96" t="s">
        <v>68</v>
      </c>
      <c r="M96" t="s">
        <v>29640</v>
      </c>
      <c r="N96" t="s">
        <v>32524</v>
      </c>
      <c r="O96" t="s">
        <v>32525</v>
      </c>
      <c r="P96">
        <v>0</v>
      </c>
      <c r="Q96">
        <v>1</v>
      </c>
      <c r="R96" t="s">
        <v>32526</v>
      </c>
      <c r="S96" t="s">
        <v>32547</v>
      </c>
      <c r="T96" t="s">
        <v>33184</v>
      </c>
      <c r="U96" t="s">
        <v>33706</v>
      </c>
      <c r="V96" t="s">
        <v>42437</v>
      </c>
      <c r="W96" t="s">
        <v>29640</v>
      </c>
      <c r="X96" t="s">
        <v>32531</v>
      </c>
    </row>
    <row r="97" spans="1:24">
      <c r="A97">
        <f>HYPERLINK("https://www.philgeps.gov.ph/GEPSNONPILOT/Tender/SplashBidNoticeAbstractUI.aspx?menuIndex=3&amp;refID=7041804&amp;Result=3","7041804")</f>
        <v>0</v>
      </c>
      <c r="B97" t="s">
        <v>69</v>
      </c>
      <c r="C97" t="s">
        <v>2774</v>
      </c>
      <c r="D97" t="s">
        <v>12988</v>
      </c>
      <c r="E97" t="s">
        <v>13181</v>
      </c>
      <c r="F97" t="s">
        <v>22436</v>
      </c>
      <c r="G97" t="s">
        <v>22443</v>
      </c>
      <c r="H97" t="s">
        <v>22452</v>
      </c>
      <c r="I97" t="s">
        <v>12358</v>
      </c>
      <c r="J97" t="s">
        <v>22674</v>
      </c>
      <c r="K97" t="s">
        <v>29335</v>
      </c>
      <c r="M97" t="s">
        <v>29641</v>
      </c>
      <c r="N97" t="s">
        <v>32524</v>
      </c>
      <c r="O97" t="s">
        <v>32525</v>
      </c>
      <c r="P97">
        <v>0</v>
      </c>
      <c r="Q97">
        <v>2</v>
      </c>
      <c r="R97" t="s">
        <v>32526</v>
      </c>
      <c r="S97" t="s">
        <v>32547</v>
      </c>
      <c r="T97" t="s">
        <v>33154</v>
      </c>
      <c r="U97" t="s">
        <v>33707</v>
      </c>
      <c r="W97" t="s">
        <v>29641</v>
      </c>
      <c r="X97" t="s">
        <v>32531</v>
      </c>
    </row>
    <row r="98" spans="1:24">
      <c r="A98">
        <f>HYPERLINK("https://www.philgeps.gov.ph/GEPSNONPILOT/Tender/SplashBidNoticeAbstractUI.aspx?menuIndex=3&amp;refID=7041583&amp;Result=3","7041583")</f>
        <v>0</v>
      </c>
      <c r="B98" t="s">
        <v>70</v>
      </c>
      <c r="C98" t="s">
        <v>2775</v>
      </c>
      <c r="D98" t="s">
        <v>13007</v>
      </c>
      <c r="E98" t="s">
        <v>13182</v>
      </c>
      <c r="F98" t="s">
        <v>22436</v>
      </c>
      <c r="G98" t="s">
        <v>22446</v>
      </c>
      <c r="H98" t="s">
        <v>22452</v>
      </c>
      <c r="I98" t="s">
        <v>22478</v>
      </c>
      <c r="J98" t="s">
        <v>22675</v>
      </c>
      <c r="K98" t="s">
        <v>29338</v>
      </c>
      <c r="M98" t="s">
        <v>29642</v>
      </c>
      <c r="N98" t="s">
        <v>32524</v>
      </c>
      <c r="O98" t="s">
        <v>32525</v>
      </c>
      <c r="P98">
        <v>0</v>
      </c>
      <c r="Q98">
        <v>0</v>
      </c>
      <c r="R98" t="s">
        <v>32526</v>
      </c>
      <c r="S98" t="s">
        <v>32547</v>
      </c>
      <c r="T98" t="s">
        <v>33185</v>
      </c>
      <c r="U98" t="s">
        <v>33708</v>
      </c>
      <c r="W98" t="s">
        <v>29642</v>
      </c>
      <c r="X98" t="s">
        <v>32531</v>
      </c>
    </row>
    <row r="99" spans="1:24">
      <c r="A99">
        <f>HYPERLINK("https://www.philgeps.gov.ph/GEPSNONPILOT/Tender/SplashBidNoticeAbstractUI.aspx?menuIndex=3&amp;refID=7042066&amp;Result=3","7042066")</f>
        <v>0</v>
      </c>
      <c r="B99" t="s">
        <v>58</v>
      </c>
      <c r="C99" t="s">
        <v>2776</v>
      </c>
      <c r="D99" t="s">
        <v>13014</v>
      </c>
      <c r="E99" t="s">
        <v>13183</v>
      </c>
      <c r="F99" t="s">
        <v>22436</v>
      </c>
      <c r="G99" t="s">
        <v>22444</v>
      </c>
      <c r="H99" t="s">
        <v>22454</v>
      </c>
      <c r="I99" t="s">
        <v>7738</v>
      </c>
      <c r="J99" t="s">
        <v>22676</v>
      </c>
      <c r="K99" t="s">
        <v>29331</v>
      </c>
      <c r="M99" t="s">
        <v>29630</v>
      </c>
      <c r="N99" t="s">
        <v>32524</v>
      </c>
      <c r="O99" t="s">
        <v>32525</v>
      </c>
      <c r="P99">
        <v>0</v>
      </c>
      <c r="Q99">
        <v>0</v>
      </c>
      <c r="R99" t="s">
        <v>32526</v>
      </c>
      <c r="S99" t="s">
        <v>32547</v>
      </c>
      <c r="T99" t="s">
        <v>33175</v>
      </c>
      <c r="U99" t="s">
        <v>33709</v>
      </c>
      <c r="W99" t="s">
        <v>29630</v>
      </c>
      <c r="X99" t="s">
        <v>32531</v>
      </c>
    </row>
    <row r="100" spans="1:24">
      <c r="A100">
        <f>HYPERLINK("https://www.philgeps.gov.ph/GEPSNONPILOT/Tender/SplashBidNoticeAbstractUI.aspx?menuIndex=3&amp;refID=7042021&amp;Result=3","7042021")</f>
        <v>0</v>
      </c>
      <c r="B100" t="s">
        <v>68</v>
      </c>
      <c r="C100" t="s">
        <v>2777</v>
      </c>
      <c r="D100" t="s">
        <v>13013</v>
      </c>
      <c r="E100" t="s">
        <v>13184</v>
      </c>
      <c r="F100" t="s">
        <v>22436</v>
      </c>
      <c r="G100" t="s">
        <v>22447</v>
      </c>
      <c r="H100" t="s">
        <v>22452</v>
      </c>
      <c r="I100" t="s">
        <v>22479</v>
      </c>
      <c r="J100" t="s">
        <v>22677</v>
      </c>
      <c r="K100" t="s">
        <v>29333</v>
      </c>
      <c r="L100" t="s">
        <v>68</v>
      </c>
      <c r="M100" t="s">
        <v>29640</v>
      </c>
      <c r="N100" t="s">
        <v>32524</v>
      </c>
      <c r="O100" t="s">
        <v>32525</v>
      </c>
      <c r="P100">
        <v>0</v>
      </c>
      <c r="Q100">
        <v>3</v>
      </c>
      <c r="R100" t="s">
        <v>32526</v>
      </c>
      <c r="S100" t="s">
        <v>32547</v>
      </c>
      <c r="T100" t="s">
        <v>33184</v>
      </c>
      <c r="U100" t="s">
        <v>33710</v>
      </c>
      <c r="V100" t="s">
        <v>42437</v>
      </c>
      <c r="W100" t="s">
        <v>29640</v>
      </c>
      <c r="X100" t="s">
        <v>32531</v>
      </c>
    </row>
    <row r="101" spans="1:24">
      <c r="A101">
        <f>HYPERLINK("https://www.philgeps.gov.ph/GEPSNONPILOT/Tender/SplashBidNoticeAbstractUI.aspx?menuIndex=3&amp;refID=7041969&amp;Result=3","7041969")</f>
        <v>0</v>
      </c>
      <c r="B101" t="s">
        <v>68</v>
      </c>
      <c r="C101" t="s">
        <v>2778</v>
      </c>
      <c r="D101" t="s">
        <v>13013</v>
      </c>
      <c r="E101" t="s">
        <v>13185</v>
      </c>
      <c r="F101" t="s">
        <v>22436</v>
      </c>
      <c r="G101" t="s">
        <v>22444</v>
      </c>
      <c r="H101" t="s">
        <v>22452</v>
      </c>
      <c r="I101" t="s">
        <v>6421</v>
      </c>
      <c r="J101" t="s">
        <v>22678</v>
      </c>
      <c r="K101" t="s">
        <v>29331</v>
      </c>
      <c r="L101" t="s">
        <v>68</v>
      </c>
      <c r="M101" t="s">
        <v>29640</v>
      </c>
      <c r="N101" t="s">
        <v>32524</v>
      </c>
      <c r="O101" t="s">
        <v>32525</v>
      </c>
      <c r="P101">
        <v>0</v>
      </c>
      <c r="Q101">
        <v>1</v>
      </c>
      <c r="R101" t="s">
        <v>32526</v>
      </c>
      <c r="S101" t="s">
        <v>32547</v>
      </c>
      <c r="T101" t="s">
        <v>33184</v>
      </c>
      <c r="U101" t="s">
        <v>33711</v>
      </c>
      <c r="V101" t="s">
        <v>42439</v>
      </c>
      <c r="W101" t="s">
        <v>29640</v>
      </c>
      <c r="X101" t="s">
        <v>32531</v>
      </c>
    </row>
    <row r="102" spans="1:24">
      <c r="A102">
        <f>HYPERLINK("https://www.philgeps.gov.ph/GEPSNONPILOT/Tender/SplashBidNoticeAbstractUI.aspx?menuIndex=3&amp;refID=7042051&amp;Result=3","7042051")</f>
        <v>0</v>
      </c>
      <c r="B102" t="s">
        <v>71</v>
      </c>
      <c r="C102" t="s">
        <v>2779</v>
      </c>
      <c r="D102" t="s">
        <v>13007</v>
      </c>
      <c r="E102" t="s">
        <v>13186</v>
      </c>
      <c r="F102" t="s">
        <v>22436</v>
      </c>
      <c r="G102" t="s">
        <v>22444</v>
      </c>
      <c r="H102" t="s">
        <v>22452</v>
      </c>
      <c r="I102" t="s">
        <v>22480</v>
      </c>
      <c r="J102" t="s">
        <v>22679</v>
      </c>
      <c r="K102" t="s">
        <v>29338</v>
      </c>
      <c r="M102" t="s">
        <v>29643</v>
      </c>
      <c r="N102" t="s">
        <v>32524</v>
      </c>
      <c r="O102" t="s">
        <v>32525</v>
      </c>
      <c r="P102">
        <v>0</v>
      </c>
      <c r="Q102">
        <v>0</v>
      </c>
      <c r="R102" t="s">
        <v>32526</v>
      </c>
      <c r="S102" t="s">
        <v>32547</v>
      </c>
      <c r="T102" t="s">
        <v>33186</v>
      </c>
      <c r="U102" t="s">
        <v>33712</v>
      </c>
      <c r="V102" t="s">
        <v>42440</v>
      </c>
      <c r="W102" t="s">
        <v>29643</v>
      </c>
      <c r="X102" t="s">
        <v>32531</v>
      </c>
    </row>
    <row r="103" spans="1:24">
      <c r="A103">
        <f>HYPERLINK("https://www.philgeps.gov.ph/GEPSNONPILOT/Tender/SplashBidNoticeAbstractUI.aspx?menuIndex=3&amp;refID=7041729&amp;Result=3","7041729")</f>
        <v>0</v>
      </c>
      <c r="B103" t="s">
        <v>72</v>
      </c>
      <c r="C103" t="s">
        <v>2780</v>
      </c>
      <c r="D103" t="s">
        <v>13019</v>
      </c>
      <c r="E103" t="s">
        <v>13187</v>
      </c>
      <c r="F103" t="s">
        <v>22436</v>
      </c>
      <c r="G103" t="s">
        <v>22444</v>
      </c>
      <c r="H103" t="s">
        <v>22454</v>
      </c>
      <c r="I103" t="s">
        <v>7738</v>
      </c>
      <c r="J103" t="s">
        <v>22680</v>
      </c>
      <c r="K103" t="s">
        <v>29329</v>
      </c>
      <c r="M103" t="s">
        <v>29644</v>
      </c>
      <c r="N103" t="s">
        <v>32524</v>
      </c>
      <c r="O103" t="s">
        <v>32525</v>
      </c>
      <c r="P103">
        <v>0</v>
      </c>
      <c r="Q103">
        <v>1</v>
      </c>
      <c r="R103" t="s">
        <v>32526</v>
      </c>
      <c r="S103" t="s">
        <v>32547</v>
      </c>
      <c r="T103" t="s">
        <v>33187</v>
      </c>
      <c r="U103" t="s">
        <v>33713</v>
      </c>
      <c r="W103" t="s">
        <v>29644</v>
      </c>
      <c r="X103" t="s">
        <v>32531</v>
      </c>
    </row>
    <row r="104" spans="1:24">
      <c r="A104">
        <f>HYPERLINK("https://www.philgeps.gov.ph/GEPSNONPILOT/Tender/SplashBidNoticeAbstractUI.aspx?menuIndex=3&amp;refID=7042282&amp;Result=3","7042282")</f>
        <v>0</v>
      </c>
      <c r="B104" t="s">
        <v>71</v>
      </c>
      <c r="C104" t="s">
        <v>2781</v>
      </c>
      <c r="D104" t="s">
        <v>13007</v>
      </c>
      <c r="E104" t="s">
        <v>13188</v>
      </c>
      <c r="F104" t="s">
        <v>22436</v>
      </c>
      <c r="G104" t="s">
        <v>22444</v>
      </c>
      <c r="H104" t="s">
        <v>22452</v>
      </c>
      <c r="I104" t="s">
        <v>22481</v>
      </c>
      <c r="J104" t="s">
        <v>22681</v>
      </c>
      <c r="K104" t="s">
        <v>29338</v>
      </c>
      <c r="M104" t="s">
        <v>29643</v>
      </c>
      <c r="N104" t="s">
        <v>32524</v>
      </c>
      <c r="O104" t="s">
        <v>32525</v>
      </c>
      <c r="P104">
        <v>0</v>
      </c>
      <c r="Q104">
        <v>0</v>
      </c>
      <c r="R104" t="s">
        <v>32526</v>
      </c>
      <c r="S104" t="s">
        <v>32547</v>
      </c>
      <c r="T104" t="s">
        <v>33186</v>
      </c>
      <c r="U104" t="s">
        <v>33714</v>
      </c>
      <c r="V104" t="s">
        <v>42441</v>
      </c>
      <c r="W104" t="s">
        <v>29643</v>
      </c>
      <c r="X104" t="s">
        <v>32531</v>
      </c>
    </row>
    <row r="105" spans="1:24">
      <c r="A105">
        <f>HYPERLINK("https://www.philgeps.gov.ph/GEPSNONPILOT/Tender/SplashBidNoticeAbstractUI.aspx?menuIndex=3&amp;refID=7042075&amp;Result=3","7042075")</f>
        <v>0</v>
      </c>
      <c r="B105" t="s">
        <v>73</v>
      </c>
      <c r="C105" t="s">
        <v>2782</v>
      </c>
      <c r="D105" t="s">
        <v>13004</v>
      </c>
      <c r="E105" t="s">
        <v>13189</v>
      </c>
      <c r="F105" t="s">
        <v>22436</v>
      </c>
      <c r="G105" t="s">
        <v>22447</v>
      </c>
      <c r="H105" t="s">
        <v>22452</v>
      </c>
      <c r="I105" t="s">
        <v>3381</v>
      </c>
      <c r="J105" t="s">
        <v>22682</v>
      </c>
      <c r="K105" t="s">
        <v>29335</v>
      </c>
      <c r="M105" t="s">
        <v>29645</v>
      </c>
      <c r="N105" t="s">
        <v>32524</v>
      </c>
      <c r="O105" t="s">
        <v>32525</v>
      </c>
      <c r="P105">
        <v>0</v>
      </c>
      <c r="Q105">
        <v>0</v>
      </c>
      <c r="R105" t="s">
        <v>32526</v>
      </c>
      <c r="S105" t="s">
        <v>32547</v>
      </c>
      <c r="T105" t="s">
        <v>33188</v>
      </c>
      <c r="U105" t="s">
        <v>33715</v>
      </c>
      <c r="V105" t="s">
        <v>42442</v>
      </c>
      <c r="W105" t="s">
        <v>29645</v>
      </c>
      <c r="X105" t="s">
        <v>32531</v>
      </c>
    </row>
    <row r="106" spans="1:24">
      <c r="A106">
        <f>HYPERLINK("https://www.philgeps.gov.ph/GEPSNONPILOT/Tender/SplashBidNoticeAbstractUI.aspx?menuIndex=3&amp;refID=7042292&amp;Result=3","7042292")</f>
        <v>0</v>
      </c>
      <c r="B106" t="s">
        <v>74</v>
      </c>
      <c r="C106" t="s">
        <v>2783</v>
      </c>
      <c r="D106" t="s">
        <v>13020</v>
      </c>
      <c r="E106" t="s">
        <v>13190</v>
      </c>
      <c r="F106" t="s">
        <v>22436</v>
      </c>
      <c r="G106" t="s">
        <v>22444</v>
      </c>
      <c r="H106" t="s">
        <v>22452</v>
      </c>
      <c r="I106" t="s">
        <v>22457</v>
      </c>
      <c r="J106" t="s">
        <v>22683</v>
      </c>
      <c r="K106" t="s">
        <v>29353</v>
      </c>
      <c r="M106" t="s">
        <v>29646</v>
      </c>
      <c r="N106" t="s">
        <v>32524</v>
      </c>
      <c r="O106" t="s">
        <v>32525</v>
      </c>
      <c r="P106">
        <v>0</v>
      </c>
      <c r="Q106">
        <v>1</v>
      </c>
      <c r="R106" t="s">
        <v>32526</v>
      </c>
      <c r="S106" t="s">
        <v>32547</v>
      </c>
      <c r="T106" t="s">
        <v>33156</v>
      </c>
      <c r="U106" t="s">
        <v>33716</v>
      </c>
      <c r="W106" t="s">
        <v>29646</v>
      </c>
      <c r="X106" t="s">
        <v>32531</v>
      </c>
    </row>
    <row r="107" spans="1:24">
      <c r="A107">
        <f>HYPERLINK("https://www.philgeps.gov.ph/GEPSNONPILOT/Tender/SplashBidNoticeAbstractUI.aspx?menuIndex=3&amp;refID=7042105&amp;Result=3","7042105")</f>
        <v>0</v>
      </c>
      <c r="B107" t="s">
        <v>71</v>
      </c>
      <c r="C107" t="s">
        <v>2784</v>
      </c>
      <c r="D107" t="s">
        <v>13007</v>
      </c>
      <c r="E107" t="s">
        <v>13191</v>
      </c>
      <c r="F107" t="s">
        <v>22436</v>
      </c>
      <c r="G107" t="s">
        <v>22444</v>
      </c>
      <c r="H107" t="s">
        <v>22452</v>
      </c>
      <c r="I107" t="s">
        <v>22465</v>
      </c>
      <c r="J107" t="s">
        <v>22684</v>
      </c>
      <c r="K107" t="s">
        <v>29338</v>
      </c>
      <c r="M107" t="s">
        <v>29643</v>
      </c>
      <c r="N107" t="s">
        <v>32524</v>
      </c>
      <c r="O107" t="s">
        <v>32525</v>
      </c>
      <c r="P107">
        <v>0</v>
      </c>
      <c r="Q107">
        <v>0</v>
      </c>
      <c r="R107" t="s">
        <v>32526</v>
      </c>
      <c r="S107" t="s">
        <v>32547</v>
      </c>
      <c r="T107" t="s">
        <v>33186</v>
      </c>
      <c r="U107" t="s">
        <v>33717</v>
      </c>
      <c r="V107" t="s">
        <v>42441</v>
      </c>
      <c r="W107" t="s">
        <v>29643</v>
      </c>
      <c r="X107" t="s">
        <v>32531</v>
      </c>
    </row>
    <row r="108" spans="1:24">
      <c r="A108">
        <f>HYPERLINK("https://www.philgeps.gov.ph/GEPSNONPILOT/Tender/SplashBidNoticeAbstractUI.aspx?menuIndex=3&amp;refID=7042090&amp;Result=3","7042090")</f>
        <v>0</v>
      </c>
      <c r="B108" t="s">
        <v>71</v>
      </c>
      <c r="C108" t="s">
        <v>2785</v>
      </c>
      <c r="D108" t="s">
        <v>13007</v>
      </c>
      <c r="E108" t="s">
        <v>13192</v>
      </c>
      <c r="F108" t="s">
        <v>22436</v>
      </c>
      <c r="G108" t="s">
        <v>22444</v>
      </c>
      <c r="H108" t="s">
        <v>22452</v>
      </c>
      <c r="I108" t="s">
        <v>22466</v>
      </c>
      <c r="J108" t="s">
        <v>22685</v>
      </c>
      <c r="K108" t="s">
        <v>29338</v>
      </c>
      <c r="M108" t="s">
        <v>29643</v>
      </c>
      <c r="N108" t="s">
        <v>32524</v>
      </c>
      <c r="O108" t="s">
        <v>32525</v>
      </c>
      <c r="P108">
        <v>0</v>
      </c>
      <c r="Q108">
        <v>0</v>
      </c>
      <c r="R108" t="s">
        <v>32526</v>
      </c>
      <c r="S108" t="s">
        <v>32547</v>
      </c>
      <c r="T108" t="s">
        <v>33186</v>
      </c>
      <c r="U108" t="s">
        <v>33718</v>
      </c>
      <c r="V108" t="s">
        <v>42441</v>
      </c>
      <c r="W108" t="s">
        <v>29643</v>
      </c>
      <c r="X108" t="s">
        <v>32531</v>
      </c>
    </row>
    <row r="109" spans="1:24">
      <c r="A109">
        <f>HYPERLINK("https://www.philgeps.gov.ph/GEPSNONPILOT/Tender/SplashBidNoticeAbstractUI.aspx?menuIndex=3&amp;refID=7042252&amp;Result=3","7042252")</f>
        <v>0</v>
      </c>
      <c r="B109" t="s">
        <v>75</v>
      </c>
      <c r="C109" t="s">
        <v>2786</v>
      </c>
      <c r="D109" t="s">
        <v>13021</v>
      </c>
      <c r="E109" t="s">
        <v>13193</v>
      </c>
      <c r="F109" t="s">
        <v>22436</v>
      </c>
      <c r="G109" t="s">
        <v>22443</v>
      </c>
      <c r="H109" t="s">
        <v>22452</v>
      </c>
      <c r="I109" t="s">
        <v>22482</v>
      </c>
      <c r="J109" t="s">
        <v>22686</v>
      </c>
      <c r="K109" t="s">
        <v>29335</v>
      </c>
      <c r="M109" t="s">
        <v>29647</v>
      </c>
      <c r="N109" t="s">
        <v>32524</v>
      </c>
      <c r="O109" t="s">
        <v>32525</v>
      </c>
      <c r="P109">
        <v>0</v>
      </c>
      <c r="Q109">
        <v>2</v>
      </c>
      <c r="R109" t="s">
        <v>32526</v>
      </c>
      <c r="S109" t="s">
        <v>32547</v>
      </c>
      <c r="T109" t="s">
        <v>33167</v>
      </c>
      <c r="U109" t="s">
        <v>33719</v>
      </c>
      <c r="W109" t="s">
        <v>29647</v>
      </c>
      <c r="X109" t="s">
        <v>32531</v>
      </c>
    </row>
    <row r="110" spans="1:24">
      <c r="A110">
        <f>HYPERLINK("https://www.philgeps.gov.ph/GEPSNONPILOT/Tender/SplashBidNoticeAbstractUI.aspx?menuIndex=3&amp;refID=7042069&amp;Result=3","7042069")</f>
        <v>0</v>
      </c>
      <c r="B110" t="s">
        <v>71</v>
      </c>
      <c r="C110" t="s">
        <v>2787</v>
      </c>
      <c r="D110" t="s">
        <v>13007</v>
      </c>
      <c r="E110" t="s">
        <v>13194</v>
      </c>
      <c r="F110" t="s">
        <v>22436</v>
      </c>
      <c r="G110" t="s">
        <v>22444</v>
      </c>
      <c r="H110" t="s">
        <v>22452</v>
      </c>
      <c r="I110" t="s">
        <v>3027</v>
      </c>
      <c r="J110" t="s">
        <v>22687</v>
      </c>
      <c r="K110" t="s">
        <v>29338</v>
      </c>
      <c r="M110" t="s">
        <v>29643</v>
      </c>
      <c r="N110" t="s">
        <v>32524</v>
      </c>
      <c r="O110" t="s">
        <v>32525</v>
      </c>
      <c r="P110">
        <v>0</v>
      </c>
      <c r="Q110">
        <v>0</v>
      </c>
      <c r="R110" t="s">
        <v>32526</v>
      </c>
      <c r="S110" t="s">
        <v>32547</v>
      </c>
      <c r="T110" t="s">
        <v>33186</v>
      </c>
      <c r="U110" t="s">
        <v>33720</v>
      </c>
      <c r="V110" t="s">
        <v>42441</v>
      </c>
      <c r="W110" t="s">
        <v>29643</v>
      </c>
      <c r="X110" t="s">
        <v>32531</v>
      </c>
    </row>
    <row r="111" spans="1:24">
      <c r="A111">
        <f>HYPERLINK("https://www.philgeps.gov.ph/GEPSNONPILOT/Tender/SplashBidNoticeAbstractUI.aspx?menuIndex=3&amp;refID=7042246&amp;Result=3","7042246")</f>
        <v>0</v>
      </c>
      <c r="B111" t="s">
        <v>68</v>
      </c>
      <c r="C111" t="s">
        <v>2788</v>
      </c>
      <c r="D111" t="s">
        <v>13013</v>
      </c>
      <c r="E111" t="s">
        <v>13195</v>
      </c>
      <c r="F111" t="s">
        <v>22436</v>
      </c>
      <c r="G111" t="s">
        <v>22444</v>
      </c>
      <c r="H111" t="s">
        <v>22454</v>
      </c>
      <c r="I111" t="s">
        <v>7738</v>
      </c>
      <c r="J111" t="s">
        <v>22688</v>
      </c>
      <c r="K111" t="s">
        <v>29354</v>
      </c>
      <c r="L111" t="s">
        <v>68</v>
      </c>
      <c r="M111" t="s">
        <v>29640</v>
      </c>
      <c r="N111" t="s">
        <v>32524</v>
      </c>
      <c r="O111" t="s">
        <v>32525</v>
      </c>
      <c r="P111">
        <v>0</v>
      </c>
      <c r="Q111">
        <v>1</v>
      </c>
      <c r="R111" t="s">
        <v>32526</v>
      </c>
      <c r="S111" t="s">
        <v>32547</v>
      </c>
      <c r="T111" t="s">
        <v>33189</v>
      </c>
      <c r="U111" t="s">
        <v>33721</v>
      </c>
      <c r="V111" t="s">
        <v>42437</v>
      </c>
      <c r="W111" t="s">
        <v>29640</v>
      </c>
      <c r="X111" t="s">
        <v>32531</v>
      </c>
    </row>
    <row r="112" spans="1:24">
      <c r="A112">
        <f>HYPERLINK("https://www.philgeps.gov.ph/GEPSNONPILOT/Tender/SplashBidNoticeAbstractUI.aspx?menuIndex=3&amp;refID=7042216&amp;Result=3","7042216")</f>
        <v>0</v>
      </c>
      <c r="B112" t="s">
        <v>58</v>
      </c>
      <c r="C112" t="s">
        <v>2789</v>
      </c>
      <c r="D112" t="s">
        <v>13014</v>
      </c>
      <c r="E112" t="s">
        <v>13196</v>
      </c>
      <c r="F112" t="s">
        <v>22436</v>
      </c>
      <c r="G112" t="s">
        <v>22444</v>
      </c>
      <c r="H112" t="s">
        <v>22454</v>
      </c>
      <c r="I112" t="s">
        <v>7738</v>
      </c>
      <c r="J112" t="s">
        <v>22689</v>
      </c>
      <c r="K112" t="s">
        <v>29355</v>
      </c>
      <c r="M112" t="s">
        <v>29630</v>
      </c>
      <c r="N112" t="s">
        <v>32524</v>
      </c>
      <c r="O112" t="s">
        <v>32525</v>
      </c>
      <c r="P112">
        <v>0</v>
      </c>
      <c r="Q112">
        <v>0</v>
      </c>
      <c r="R112" t="s">
        <v>32526</v>
      </c>
      <c r="S112" t="s">
        <v>32547</v>
      </c>
      <c r="T112" t="s">
        <v>33175</v>
      </c>
      <c r="U112" t="s">
        <v>33722</v>
      </c>
      <c r="W112" t="s">
        <v>29630</v>
      </c>
      <c r="X112" t="s">
        <v>32531</v>
      </c>
    </row>
    <row r="113" spans="1:24">
      <c r="A113">
        <f>HYPERLINK("https://www.philgeps.gov.ph/GEPSNONPILOT/Tender/SplashBidNoticeAbstractUI.aspx?menuIndex=3&amp;refID=7042265&amp;Result=3","7042265")</f>
        <v>0</v>
      </c>
      <c r="B113" t="s">
        <v>71</v>
      </c>
      <c r="C113" t="s">
        <v>2790</v>
      </c>
      <c r="D113" t="s">
        <v>13007</v>
      </c>
      <c r="E113" t="s">
        <v>13197</v>
      </c>
      <c r="F113" t="s">
        <v>22436</v>
      </c>
      <c r="G113" t="s">
        <v>22444</v>
      </c>
      <c r="H113" t="s">
        <v>22452</v>
      </c>
      <c r="I113" t="s">
        <v>22480</v>
      </c>
      <c r="J113" t="s">
        <v>22690</v>
      </c>
      <c r="K113" t="s">
        <v>29338</v>
      </c>
      <c r="M113" t="s">
        <v>29643</v>
      </c>
      <c r="N113" t="s">
        <v>32524</v>
      </c>
      <c r="O113" t="s">
        <v>32525</v>
      </c>
      <c r="P113">
        <v>0</v>
      </c>
      <c r="Q113">
        <v>0</v>
      </c>
      <c r="R113" t="s">
        <v>32526</v>
      </c>
      <c r="S113" t="s">
        <v>32547</v>
      </c>
      <c r="T113" t="s">
        <v>33186</v>
      </c>
      <c r="U113" t="s">
        <v>33723</v>
      </c>
      <c r="V113" t="s">
        <v>42441</v>
      </c>
      <c r="W113" t="s">
        <v>29643</v>
      </c>
      <c r="X113" t="s">
        <v>32531</v>
      </c>
    </row>
    <row r="114" spans="1:24">
      <c r="A114">
        <f>HYPERLINK("https://www.philgeps.gov.ph/GEPSNONPILOT/Tender/SplashBidNoticeAbstractUI.aspx?menuIndex=3&amp;refID=7042095&amp;Result=3","7042095")</f>
        <v>0</v>
      </c>
      <c r="B114" t="s">
        <v>68</v>
      </c>
      <c r="C114" t="s">
        <v>2791</v>
      </c>
      <c r="D114" t="s">
        <v>13013</v>
      </c>
      <c r="E114" t="s">
        <v>13198</v>
      </c>
      <c r="F114" t="s">
        <v>22436</v>
      </c>
      <c r="G114" t="s">
        <v>22447</v>
      </c>
      <c r="H114" t="s">
        <v>22452</v>
      </c>
      <c r="I114" t="s">
        <v>22456</v>
      </c>
      <c r="J114" t="s">
        <v>22691</v>
      </c>
      <c r="K114" t="s">
        <v>29331</v>
      </c>
      <c r="L114" t="s">
        <v>68</v>
      </c>
      <c r="M114" t="s">
        <v>29640</v>
      </c>
      <c r="N114" t="s">
        <v>32524</v>
      </c>
      <c r="O114" t="s">
        <v>32525</v>
      </c>
      <c r="P114">
        <v>0</v>
      </c>
      <c r="Q114">
        <v>1</v>
      </c>
      <c r="R114" t="s">
        <v>32526</v>
      </c>
      <c r="S114" t="s">
        <v>32547</v>
      </c>
      <c r="T114" t="s">
        <v>33184</v>
      </c>
      <c r="U114" t="s">
        <v>33724</v>
      </c>
      <c r="V114" t="s">
        <v>42437</v>
      </c>
      <c r="W114" t="s">
        <v>29640</v>
      </c>
      <c r="X114" t="s">
        <v>32531</v>
      </c>
    </row>
    <row r="115" spans="1:24">
      <c r="A115">
        <f>HYPERLINK("https://www.philgeps.gov.ph/GEPSNONPILOT/Tender/SplashBidNoticeAbstractUI.aspx?menuIndex=3&amp;refID=7042188&amp;Result=3","7042188")</f>
        <v>0</v>
      </c>
      <c r="B115" t="s">
        <v>71</v>
      </c>
      <c r="C115" t="s">
        <v>2792</v>
      </c>
      <c r="D115" t="s">
        <v>13007</v>
      </c>
      <c r="E115" t="s">
        <v>13199</v>
      </c>
      <c r="F115" t="s">
        <v>22436</v>
      </c>
      <c r="G115" t="s">
        <v>22444</v>
      </c>
      <c r="H115" t="s">
        <v>22452</v>
      </c>
      <c r="I115" t="s">
        <v>22469</v>
      </c>
      <c r="J115" t="s">
        <v>22692</v>
      </c>
      <c r="K115" t="s">
        <v>29338</v>
      </c>
      <c r="M115" t="s">
        <v>29643</v>
      </c>
      <c r="N115" t="s">
        <v>32524</v>
      </c>
      <c r="O115" t="s">
        <v>32525</v>
      </c>
      <c r="P115">
        <v>0</v>
      </c>
      <c r="Q115">
        <v>0</v>
      </c>
      <c r="R115" t="s">
        <v>32526</v>
      </c>
      <c r="S115" t="s">
        <v>32547</v>
      </c>
      <c r="T115" t="s">
        <v>33186</v>
      </c>
      <c r="U115" t="s">
        <v>33725</v>
      </c>
      <c r="V115" t="s">
        <v>42441</v>
      </c>
      <c r="W115" t="s">
        <v>29643</v>
      </c>
      <c r="X115" t="s">
        <v>32531</v>
      </c>
    </row>
    <row r="116" spans="1:24">
      <c r="A116">
        <f>HYPERLINK("https://www.philgeps.gov.ph/GEPSNONPILOT/Tender/SplashBidNoticeAbstractUI.aspx?menuIndex=3&amp;refID=7042211&amp;Result=3","7042211")</f>
        <v>0</v>
      </c>
      <c r="B116" t="s">
        <v>71</v>
      </c>
      <c r="C116" t="s">
        <v>2793</v>
      </c>
      <c r="D116" t="s">
        <v>13007</v>
      </c>
      <c r="E116" t="s">
        <v>13200</v>
      </c>
      <c r="F116" t="s">
        <v>22436</v>
      </c>
      <c r="G116" t="s">
        <v>22444</v>
      </c>
      <c r="H116" t="s">
        <v>22452</v>
      </c>
      <c r="I116" t="s">
        <v>22483</v>
      </c>
      <c r="J116" t="s">
        <v>22693</v>
      </c>
      <c r="K116" t="s">
        <v>29338</v>
      </c>
      <c r="M116" t="s">
        <v>29643</v>
      </c>
      <c r="N116" t="s">
        <v>32524</v>
      </c>
      <c r="O116" t="s">
        <v>32525</v>
      </c>
      <c r="P116">
        <v>0</v>
      </c>
      <c r="Q116">
        <v>1</v>
      </c>
      <c r="R116" t="s">
        <v>32526</v>
      </c>
      <c r="S116" t="s">
        <v>32547</v>
      </c>
      <c r="T116" t="s">
        <v>33186</v>
      </c>
      <c r="U116" t="s">
        <v>33726</v>
      </c>
      <c r="V116" t="s">
        <v>42441</v>
      </c>
      <c r="W116" t="s">
        <v>29643</v>
      </c>
      <c r="X116" t="s">
        <v>32531</v>
      </c>
    </row>
    <row r="117" spans="1:24">
      <c r="A117">
        <f>HYPERLINK("https://www.philgeps.gov.ph/GEPSNONPILOT/Tender/SplashBidNoticeAbstractUI.aspx?menuIndex=3&amp;refID=7042167&amp;Result=3","7042167")</f>
        <v>0</v>
      </c>
      <c r="B117" t="s">
        <v>68</v>
      </c>
      <c r="C117" t="s">
        <v>2794</v>
      </c>
      <c r="D117" t="s">
        <v>13013</v>
      </c>
      <c r="E117" t="s">
        <v>13201</v>
      </c>
      <c r="F117" t="s">
        <v>22436</v>
      </c>
      <c r="G117" t="s">
        <v>22447</v>
      </c>
      <c r="H117" t="s">
        <v>22452</v>
      </c>
      <c r="I117" t="s">
        <v>22477</v>
      </c>
      <c r="J117" t="s">
        <v>22694</v>
      </c>
      <c r="K117" t="s">
        <v>29331</v>
      </c>
      <c r="L117" t="s">
        <v>68</v>
      </c>
      <c r="M117" t="s">
        <v>29640</v>
      </c>
      <c r="N117" t="s">
        <v>32524</v>
      </c>
      <c r="O117" t="s">
        <v>32525</v>
      </c>
      <c r="P117">
        <v>0</v>
      </c>
      <c r="Q117">
        <v>0</v>
      </c>
      <c r="R117" t="s">
        <v>32526</v>
      </c>
      <c r="S117" t="s">
        <v>32547</v>
      </c>
      <c r="T117" t="s">
        <v>33184</v>
      </c>
      <c r="U117" t="s">
        <v>33727</v>
      </c>
      <c r="V117" t="s">
        <v>42437</v>
      </c>
      <c r="W117" t="s">
        <v>29640</v>
      </c>
      <c r="X117" t="s">
        <v>32531</v>
      </c>
    </row>
    <row r="118" spans="1:24">
      <c r="A118">
        <f>HYPERLINK("https://www.philgeps.gov.ph/GEPSNONPILOT/Tender/SplashBidNoticeAbstractUI.aspx?menuIndex=3&amp;refID=7042228&amp;Result=3","7042228")</f>
        <v>0</v>
      </c>
      <c r="B118" t="s">
        <v>76</v>
      </c>
      <c r="C118" t="s">
        <v>2795</v>
      </c>
      <c r="D118" t="s">
        <v>13022</v>
      </c>
      <c r="E118" t="s">
        <v>13202</v>
      </c>
      <c r="F118" t="s">
        <v>22436</v>
      </c>
      <c r="G118" t="s">
        <v>22443</v>
      </c>
      <c r="H118" t="s">
        <v>22452</v>
      </c>
      <c r="I118" t="s">
        <v>22465</v>
      </c>
      <c r="J118" t="s">
        <v>22695</v>
      </c>
      <c r="K118" t="s">
        <v>29356</v>
      </c>
      <c r="M118" t="s">
        <v>29648</v>
      </c>
      <c r="N118" t="s">
        <v>32524</v>
      </c>
      <c r="O118" t="s">
        <v>32525</v>
      </c>
      <c r="P118">
        <v>0</v>
      </c>
      <c r="Q118">
        <v>0</v>
      </c>
      <c r="R118" t="s">
        <v>32526</v>
      </c>
      <c r="S118" t="s">
        <v>32547</v>
      </c>
      <c r="T118" t="s">
        <v>33154</v>
      </c>
      <c r="U118" t="s">
        <v>33728</v>
      </c>
      <c r="W118" t="s">
        <v>29648</v>
      </c>
      <c r="X118" t="s">
        <v>32531</v>
      </c>
    </row>
    <row r="119" spans="1:24">
      <c r="A119">
        <f>HYPERLINK("https://www.philgeps.gov.ph/GEPSNONPILOT/Tender/SplashBidNoticeAbstractUI.aspx?menuIndex=3&amp;refID=7042119&amp;Result=3","7042119")</f>
        <v>0</v>
      </c>
      <c r="B119" t="s">
        <v>71</v>
      </c>
      <c r="C119" t="s">
        <v>2796</v>
      </c>
      <c r="D119" t="s">
        <v>13007</v>
      </c>
      <c r="E119" t="s">
        <v>13203</v>
      </c>
      <c r="F119" t="s">
        <v>22436</v>
      </c>
      <c r="G119" t="s">
        <v>22444</v>
      </c>
      <c r="H119" t="s">
        <v>22452</v>
      </c>
      <c r="I119" t="s">
        <v>22469</v>
      </c>
      <c r="J119" t="s">
        <v>22696</v>
      </c>
      <c r="K119" t="s">
        <v>29338</v>
      </c>
      <c r="M119" t="s">
        <v>29643</v>
      </c>
      <c r="N119" t="s">
        <v>32524</v>
      </c>
      <c r="O119" t="s">
        <v>32525</v>
      </c>
      <c r="P119">
        <v>0</v>
      </c>
      <c r="Q119">
        <v>0</v>
      </c>
      <c r="R119" t="s">
        <v>32526</v>
      </c>
      <c r="S119" t="s">
        <v>32547</v>
      </c>
      <c r="T119" t="s">
        <v>33186</v>
      </c>
      <c r="U119" t="s">
        <v>33729</v>
      </c>
      <c r="V119" t="s">
        <v>42441</v>
      </c>
      <c r="W119" t="s">
        <v>29643</v>
      </c>
      <c r="X119" t="s">
        <v>32531</v>
      </c>
    </row>
    <row r="120" spans="1:24">
      <c r="A120">
        <f>HYPERLINK("https://www.philgeps.gov.ph/GEPSNONPILOT/Tender/SplashBidNoticeAbstractUI.aspx?menuIndex=3&amp;refID=7042301&amp;Result=3","7042301")</f>
        <v>0</v>
      </c>
      <c r="B120" t="s">
        <v>77</v>
      </c>
      <c r="C120" t="s">
        <v>2797</v>
      </c>
      <c r="D120" t="s">
        <v>13001</v>
      </c>
      <c r="E120" t="s">
        <v>13204</v>
      </c>
      <c r="F120" t="s">
        <v>22436</v>
      </c>
      <c r="G120" t="s">
        <v>22443</v>
      </c>
      <c r="H120" t="s">
        <v>22452</v>
      </c>
      <c r="I120" t="s">
        <v>22484</v>
      </c>
      <c r="J120" t="s">
        <v>22697</v>
      </c>
      <c r="K120" t="s">
        <v>29338</v>
      </c>
      <c r="L120" t="s">
        <v>77</v>
      </c>
      <c r="M120" t="s">
        <v>29649</v>
      </c>
      <c r="N120" t="s">
        <v>32524</v>
      </c>
      <c r="O120" t="s">
        <v>32525</v>
      </c>
      <c r="P120">
        <v>0</v>
      </c>
      <c r="Q120">
        <v>3</v>
      </c>
      <c r="R120" t="s">
        <v>32526</v>
      </c>
      <c r="S120" t="s">
        <v>32547</v>
      </c>
      <c r="T120" t="s">
        <v>33169</v>
      </c>
      <c r="U120" t="s">
        <v>33730</v>
      </c>
      <c r="W120" t="s">
        <v>29649</v>
      </c>
      <c r="X120" t="s">
        <v>32531</v>
      </c>
    </row>
    <row r="121" spans="1:24">
      <c r="A121">
        <f>HYPERLINK("https://www.philgeps.gov.ph/GEPSNONPILOT/Tender/SplashBidNoticeAbstractUI.aspx?menuIndex=3&amp;refID=7042129&amp;Result=3","7042129")</f>
        <v>0</v>
      </c>
      <c r="B121" t="s">
        <v>68</v>
      </c>
      <c r="C121" t="s">
        <v>2798</v>
      </c>
      <c r="D121" t="s">
        <v>13013</v>
      </c>
      <c r="E121" t="s">
        <v>13205</v>
      </c>
      <c r="F121" t="s">
        <v>22436</v>
      </c>
      <c r="G121" t="s">
        <v>22447</v>
      </c>
      <c r="H121" t="s">
        <v>22452</v>
      </c>
      <c r="I121" t="s">
        <v>22474</v>
      </c>
      <c r="J121" t="s">
        <v>22698</v>
      </c>
      <c r="K121" t="s">
        <v>29333</v>
      </c>
      <c r="L121" t="s">
        <v>68</v>
      </c>
      <c r="M121" t="s">
        <v>29640</v>
      </c>
      <c r="N121" t="s">
        <v>32524</v>
      </c>
      <c r="O121" t="s">
        <v>32525</v>
      </c>
      <c r="P121">
        <v>0</v>
      </c>
      <c r="Q121">
        <v>5</v>
      </c>
      <c r="R121" t="s">
        <v>32526</v>
      </c>
      <c r="S121" t="s">
        <v>32547</v>
      </c>
      <c r="T121" t="s">
        <v>33184</v>
      </c>
      <c r="U121" t="s">
        <v>33731</v>
      </c>
      <c r="V121" t="s">
        <v>42437</v>
      </c>
      <c r="W121" t="s">
        <v>29640</v>
      </c>
      <c r="X121" t="s">
        <v>32531</v>
      </c>
    </row>
    <row r="122" spans="1:24">
      <c r="A122">
        <f>HYPERLINK("https://www.philgeps.gov.ph/GEPSNONPILOT/Tender/SplashBidNoticeAbstractUI.aspx?menuIndex=3&amp;refID=7042314&amp;Result=3","7042314")</f>
        <v>0</v>
      </c>
      <c r="B122" t="s">
        <v>76</v>
      </c>
      <c r="C122" t="s">
        <v>2799</v>
      </c>
      <c r="D122" t="s">
        <v>13022</v>
      </c>
      <c r="E122" t="s">
        <v>13206</v>
      </c>
      <c r="F122" t="s">
        <v>22436</v>
      </c>
      <c r="G122" t="s">
        <v>22443</v>
      </c>
      <c r="H122" t="s">
        <v>22452</v>
      </c>
      <c r="I122" t="s">
        <v>22465</v>
      </c>
      <c r="J122" t="s">
        <v>22699</v>
      </c>
      <c r="K122" t="s">
        <v>29356</v>
      </c>
      <c r="M122" t="s">
        <v>29648</v>
      </c>
      <c r="N122" t="s">
        <v>32524</v>
      </c>
      <c r="O122" t="s">
        <v>32525</v>
      </c>
      <c r="P122">
        <v>0</v>
      </c>
      <c r="Q122">
        <v>0</v>
      </c>
      <c r="R122" t="s">
        <v>32526</v>
      </c>
      <c r="S122" t="s">
        <v>32547</v>
      </c>
      <c r="T122" t="s">
        <v>33154</v>
      </c>
      <c r="U122" t="s">
        <v>33728</v>
      </c>
      <c r="W122" t="s">
        <v>29648</v>
      </c>
      <c r="X122" t="s">
        <v>32531</v>
      </c>
    </row>
    <row r="123" spans="1:24">
      <c r="A123">
        <f>HYPERLINK("https://www.philgeps.gov.ph/GEPSNONPILOT/Tender/SplashBidNoticeAbstractUI.aspx?menuIndex=3&amp;refID=7042145&amp;Result=3","7042145")</f>
        <v>0</v>
      </c>
      <c r="B123" t="s">
        <v>71</v>
      </c>
      <c r="C123" t="s">
        <v>2800</v>
      </c>
      <c r="D123" t="s">
        <v>13007</v>
      </c>
      <c r="E123" t="s">
        <v>13207</v>
      </c>
      <c r="F123" t="s">
        <v>22436</v>
      </c>
      <c r="G123" t="s">
        <v>22444</v>
      </c>
      <c r="H123" t="s">
        <v>22452</v>
      </c>
      <c r="I123" t="s">
        <v>22469</v>
      </c>
      <c r="J123" t="s">
        <v>22700</v>
      </c>
      <c r="K123" t="s">
        <v>29338</v>
      </c>
      <c r="M123" t="s">
        <v>29643</v>
      </c>
      <c r="N123" t="s">
        <v>32524</v>
      </c>
      <c r="O123" t="s">
        <v>32525</v>
      </c>
      <c r="P123">
        <v>0</v>
      </c>
      <c r="Q123">
        <v>0</v>
      </c>
      <c r="R123" t="s">
        <v>32526</v>
      </c>
      <c r="S123" t="s">
        <v>32547</v>
      </c>
      <c r="T123" t="s">
        <v>33186</v>
      </c>
      <c r="U123" t="s">
        <v>33732</v>
      </c>
      <c r="V123" t="s">
        <v>42441</v>
      </c>
      <c r="W123" t="s">
        <v>29643</v>
      </c>
      <c r="X123" t="s">
        <v>32531</v>
      </c>
    </row>
    <row r="124" spans="1:24">
      <c r="A124">
        <f>HYPERLINK("https://www.philgeps.gov.ph/GEPSNONPILOT/Tender/SplashBidNoticeAbstractUI.aspx?menuIndex=3&amp;refID=7042877&amp;Result=3","7042877")</f>
        <v>0</v>
      </c>
      <c r="B124" t="s">
        <v>78</v>
      </c>
      <c r="C124" t="s">
        <v>2801</v>
      </c>
      <c r="E124" t="s">
        <v>13208</v>
      </c>
      <c r="F124" t="s">
        <v>22436</v>
      </c>
      <c r="G124" t="s">
        <v>22444</v>
      </c>
      <c r="H124" t="s">
        <v>22454</v>
      </c>
      <c r="I124" t="s">
        <v>7738</v>
      </c>
      <c r="J124" t="s">
        <v>22701</v>
      </c>
      <c r="K124" t="s">
        <v>29338</v>
      </c>
      <c r="M124" t="s">
        <v>29650</v>
      </c>
      <c r="N124" t="s">
        <v>32524</v>
      </c>
      <c r="O124" t="s">
        <v>32525</v>
      </c>
      <c r="P124">
        <v>0</v>
      </c>
      <c r="Q124">
        <v>0</v>
      </c>
      <c r="R124" t="s">
        <v>32526</v>
      </c>
      <c r="S124" t="s">
        <v>32547</v>
      </c>
      <c r="T124" t="s">
        <v>33182</v>
      </c>
      <c r="U124" t="s">
        <v>33733</v>
      </c>
      <c r="W124" t="s">
        <v>29650</v>
      </c>
      <c r="X124" t="s">
        <v>32531</v>
      </c>
    </row>
    <row r="125" spans="1:24">
      <c r="A125">
        <f>HYPERLINK("https://www.philgeps.gov.ph/GEPSNONPILOT/Tender/SplashBidNoticeAbstractUI.aspx?menuIndex=3&amp;refID=7042328&amp;Result=3","7042328")</f>
        <v>0</v>
      </c>
      <c r="B125" t="s">
        <v>77</v>
      </c>
      <c r="C125" t="s">
        <v>2802</v>
      </c>
      <c r="D125" t="s">
        <v>13001</v>
      </c>
      <c r="E125" t="s">
        <v>13209</v>
      </c>
      <c r="F125" t="s">
        <v>22436</v>
      </c>
      <c r="G125" t="s">
        <v>22445</v>
      </c>
      <c r="H125" t="s">
        <v>22452</v>
      </c>
      <c r="I125" t="s">
        <v>22460</v>
      </c>
      <c r="J125" t="s">
        <v>22702</v>
      </c>
      <c r="K125" t="s">
        <v>29338</v>
      </c>
      <c r="L125" t="s">
        <v>77</v>
      </c>
      <c r="M125" t="s">
        <v>29649</v>
      </c>
      <c r="N125" t="s">
        <v>32524</v>
      </c>
      <c r="O125" t="s">
        <v>32525</v>
      </c>
      <c r="P125">
        <v>0</v>
      </c>
      <c r="Q125">
        <v>2</v>
      </c>
      <c r="R125" t="s">
        <v>32526</v>
      </c>
      <c r="S125" t="s">
        <v>32547</v>
      </c>
      <c r="T125" t="s">
        <v>33169</v>
      </c>
      <c r="U125" t="s">
        <v>33730</v>
      </c>
      <c r="W125" t="s">
        <v>29649</v>
      </c>
      <c r="X125" t="s">
        <v>32531</v>
      </c>
    </row>
    <row r="126" spans="1:24">
      <c r="A126">
        <f>HYPERLINK("https://www.philgeps.gov.ph/GEPSNONPILOT/Tender/SplashBidNoticeAbstractUI.aspx?menuIndex=3&amp;refID=7042691&amp;Result=3","7042691")</f>
        <v>0</v>
      </c>
      <c r="B126" t="s">
        <v>79</v>
      </c>
      <c r="C126" t="s">
        <v>2803</v>
      </c>
      <c r="D126" t="s">
        <v>13023</v>
      </c>
      <c r="E126" t="s">
        <v>13210</v>
      </c>
      <c r="F126" t="s">
        <v>22436</v>
      </c>
      <c r="G126" t="s">
        <v>22446</v>
      </c>
      <c r="H126" t="s">
        <v>22452</v>
      </c>
      <c r="I126" t="s">
        <v>22460</v>
      </c>
      <c r="J126" t="s">
        <v>22703</v>
      </c>
      <c r="K126" t="s">
        <v>29341</v>
      </c>
      <c r="M126" t="s">
        <v>29651</v>
      </c>
      <c r="N126" t="s">
        <v>32524</v>
      </c>
      <c r="O126" t="s">
        <v>32525</v>
      </c>
      <c r="P126">
        <v>0</v>
      </c>
      <c r="Q126">
        <v>2</v>
      </c>
      <c r="R126" t="s">
        <v>32526</v>
      </c>
      <c r="S126" t="s">
        <v>32547</v>
      </c>
      <c r="T126" t="s">
        <v>33190</v>
      </c>
      <c r="U126" t="s">
        <v>33734</v>
      </c>
      <c r="W126" t="s">
        <v>43666</v>
      </c>
      <c r="X126" t="s">
        <v>32531</v>
      </c>
    </row>
    <row r="127" spans="1:24">
      <c r="A127">
        <f>HYPERLINK("https://www.philgeps.gov.ph/GEPSNONPILOT/Tender/SplashBidNoticeAbstractUI.aspx?menuIndex=3&amp;refID=7042306&amp;Result=3","7042306")</f>
        <v>0</v>
      </c>
      <c r="B127" t="s">
        <v>71</v>
      </c>
      <c r="C127" t="s">
        <v>2804</v>
      </c>
      <c r="D127" t="s">
        <v>13007</v>
      </c>
      <c r="E127" t="s">
        <v>13211</v>
      </c>
      <c r="F127" t="s">
        <v>22436</v>
      </c>
      <c r="G127" t="s">
        <v>22444</v>
      </c>
      <c r="H127" t="s">
        <v>22452</v>
      </c>
      <c r="I127" t="s">
        <v>11896</v>
      </c>
      <c r="J127" t="s">
        <v>22616</v>
      </c>
      <c r="K127" t="s">
        <v>29338</v>
      </c>
      <c r="M127" t="s">
        <v>29643</v>
      </c>
      <c r="N127" t="s">
        <v>32524</v>
      </c>
      <c r="O127" t="s">
        <v>32525</v>
      </c>
      <c r="P127">
        <v>0</v>
      </c>
      <c r="Q127">
        <v>0</v>
      </c>
      <c r="R127" t="s">
        <v>32526</v>
      </c>
      <c r="S127" t="s">
        <v>32547</v>
      </c>
      <c r="T127" t="s">
        <v>33186</v>
      </c>
      <c r="U127" t="s">
        <v>33735</v>
      </c>
      <c r="V127" t="s">
        <v>42441</v>
      </c>
      <c r="W127" t="s">
        <v>29643</v>
      </c>
      <c r="X127" t="s">
        <v>32531</v>
      </c>
    </row>
    <row r="128" spans="1:24">
      <c r="A128">
        <f>HYPERLINK("https://www.philgeps.gov.ph/GEPSNONPILOT/Tender/SplashBidNoticeAbstractUI.aspx?menuIndex=3&amp;refID=7042755&amp;Result=3","7042755")</f>
        <v>0</v>
      </c>
      <c r="B128" t="s">
        <v>80</v>
      </c>
      <c r="C128" t="s">
        <v>2805</v>
      </c>
      <c r="D128" t="s">
        <v>13007</v>
      </c>
      <c r="E128" t="s">
        <v>13212</v>
      </c>
      <c r="F128" t="s">
        <v>22436</v>
      </c>
      <c r="G128" t="s">
        <v>22446</v>
      </c>
      <c r="H128" t="s">
        <v>22452</v>
      </c>
      <c r="I128" t="s">
        <v>22471</v>
      </c>
      <c r="J128" t="s">
        <v>22704</v>
      </c>
      <c r="K128" t="s">
        <v>29341</v>
      </c>
      <c r="M128" t="s">
        <v>29652</v>
      </c>
      <c r="N128" t="s">
        <v>32524</v>
      </c>
      <c r="O128" t="s">
        <v>32525</v>
      </c>
      <c r="P128">
        <v>0</v>
      </c>
      <c r="Q128">
        <v>6</v>
      </c>
      <c r="R128" t="s">
        <v>32526</v>
      </c>
      <c r="S128" t="s">
        <v>32547</v>
      </c>
      <c r="T128" t="s">
        <v>33153</v>
      </c>
      <c r="U128" t="s">
        <v>33736</v>
      </c>
      <c r="W128" t="s">
        <v>29652</v>
      </c>
      <c r="X128" t="s">
        <v>32531</v>
      </c>
    </row>
    <row r="129" spans="1:24">
      <c r="A129">
        <f>HYPERLINK("https://www.philgeps.gov.ph/GEPSNONPILOT/Tender/SplashBidNoticeAbstractUI.aspx?menuIndex=3&amp;refID=7042675&amp;Result=3","7042675")</f>
        <v>0</v>
      </c>
      <c r="B129" t="s">
        <v>73</v>
      </c>
      <c r="C129" t="s">
        <v>2806</v>
      </c>
      <c r="D129" t="s">
        <v>13004</v>
      </c>
      <c r="E129" t="s">
        <v>13213</v>
      </c>
      <c r="F129" t="s">
        <v>22436</v>
      </c>
      <c r="G129" t="s">
        <v>22447</v>
      </c>
      <c r="H129" t="s">
        <v>22452</v>
      </c>
      <c r="I129" t="s">
        <v>22471</v>
      </c>
      <c r="J129" t="s">
        <v>22705</v>
      </c>
      <c r="K129" t="s">
        <v>29335</v>
      </c>
      <c r="M129" t="s">
        <v>29645</v>
      </c>
      <c r="N129" t="s">
        <v>32524</v>
      </c>
      <c r="O129" t="s">
        <v>32525</v>
      </c>
      <c r="P129">
        <v>0</v>
      </c>
      <c r="Q129">
        <v>7</v>
      </c>
      <c r="R129" t="s">
        <v>32526</v>
      </c>
      <c r="S129" t="s">
        <v>32547</v>
      </c>
      <c r="T129" t="s">
        <v>33191</v>
      </c>
      <c r="U129" t="s">
        <v>33737</v>
      </c>
      <c r="V129" t="s">
        <v>42443</v>
      </c>
      <c r="W129" t="s">
        <v>29645</v>
      </c>
      <c r="X129" t="s">
        <v>32531</v>
      </c>
    </row>
    <row r="130" spans="1:24">
      <c r="A130">
        <f>HYPERLINK("https://www.philgeps.gov.ph/GEPSNONPILOT/Tender/SplashBidNoticeAbstractUI.aspx?menuIndex=3&amp;refID=7042733&amp;Result=3","7042733")</f>
        <v>0</v>
      </c>
      <c r="B130" t="s">
        <v>81</v>
      </c>
      <c r="C130" t="s">
        <v>2807</v>
      </c>
      <c r="D130" t="s">
        <v>13010</v>
      </c>
      <c r="E130" t="s">
        <v>13214</v>
      </c>
      <c r="F130" t="s">
        <v>22436</v>
      </c>
      <c r="G130" t="s">
        <v>22443</v>
      </c>
      <c r="H130" t="s">
        <v>22452</v>
      </c>
      <c r="I130" t="s">
        <v>11896</v>
      </c>
      <c r="J130" t="s">
        <v>22706</v>
      </c>
      <c r="K130" t="s">
        <v>29341</v>
      </c>
      <c r="M130" t="s">
        <v>29653</v>
      </c>
      <c r="N130" t="s">
        <v>32524</v>
      </c>
      <c r="O130" t="s">
        <v>32525</v>
      </c>
      <c r="P130">
        <v>0</v>
      </c>
      <c r="Q130">
        <v>0</v>
      </c>
      <c r="R130" t="s">
        <v>32526</v>
      </c>
      <c r="S130" t="s">
        <v>32547</v>
      </c>
      <c r="T130" t="s">
        <v>33154</v>
      </c>
      <c r="U130" t="s">
        <v>33738</v>
      </c>
      <c r="W130" t="s">
        <v>29653</v>
      </c>
      <c r="X130" t="s">
        <v>32531</v>
      </c>
    </row>
    <row r="131" spans="1:24">
      <c r="A131">
        <f>HYPERLINK("https://www.philgeps.gov.ph/GEPSNONPILOT/Tender/SplashBidNoticeAbstractUI.aspx?menuIndex=3&amp;refID=7042338&amp;Result=3","7042338")</f>
        <v>0</v>
      </c>
      <c r="B131" t="s">
        <v>71</v>
      </c>
      <c r="C131" t="s">
        <v>2808</v>
      </c>
      <c r="D131" t="s">
        <v>13007</v>
      </c>
      <c r="E131" t="s">
        <v>13215</v>
      </c>
      <c r="F131" t="s">
        <v>22436</v>
      </c>
      <c r="G131" t="s">
        <v>22444</v>
      </c>
      <c r="H131" t="s">
        <v>22452</v>
      </c>
      <c r="I131" t="s">
        <v>22468</v>
      </c>
      <c r="J131" t="s">
        <v>22707</v>
      </c>
      <c r="K131" t="s">
        <v>29338</v>
      </c>
      <c r="M131" t="s">
        <v>29643</v>
      </c>
      <c r="N131" t="s">
        <v>32524</v>
      </c>
      <c r="O131" t="s">
        <v>32525</v>
      </c>
      <c r="P131">
        <v>0</v>
      </c>
      <c r="Q131">
        <v>0</v>
      </c>
      <c r="R131" t="s">
        <v>32526</v>
      </c>
      <c r="S131" t="s">
        <v>32547</v>
      </c>
      <c r="T131" t="s">
        <v>33186</v>
      </c>
      <c r="U131" t="s">
        <v>33739</v>
      </c>
      <c r="V131" t="s">
        <v>42441</v>
      </c>
      <c r="W131" t="s">
        <v>29643</v>
      </c>
      <c r="X131" t="s">
        <v>32531</v>
      </c>
    </row>
    <row r="132" spans="1:24">
      <c r="A132">
        <f>HYPERLINK("https://www.philgeps.gov.ph/GEPSNONPILOT/Tender/SplashBidNoticeAbstractUI.aspx?menuIndex=3&amp;refID=7042975&amp;Result=3","7042975")</f>
        <v>0</v>
      </c>
      <c r="B132" t="s">
        <v>50</v>
      </c>
      <c r="C132" t="s">
        <v>2809</v>
      </c>
      <c r="D132" t="s">
        <v>13008</v>
      </c>
      <c r="E132" t="s">
        <v>13216</v>
      </c>
      <c r="F132" t="s">
        <v>22436</v>
      </c>
      <c r="G132" t="s">
        <v>22444</v>
      </c>
      <c r="H132" t="s">
        <v>22452</v>
      </c>
      <c r="I132" t="s">
        <v>2962</v>
      </c>
      <c r="J132" t="s">
        <v>22708</v>
      </c>
      <c r="K132" t="s">
        <v>29335</v>
      </c>
      <c r="M132" t="s">
        <v>29622</v>
      </c>
      <c r="N132" t="s">
        <v>32524</v>
      </c>
      <c r="O132" t="s">
        <v>32525</v>
      </c>
      <c r="P132">
        <v>0</v>
      </c>
      <c r="Q132">
        <v>0</v>
      </c>
      <c r="R132" t="s">
        <v>32526</v>
      </c>
      <c r="S132" t="s">
        <v>32547</v>
      </c>
      <c r="T132" t="s">
        <v>33166</v>
      </c>
      <c r="U132" t="s">
        <v>33740</v>
      </c>
      <c r="W132" t="s">
        <v>29622</v>
      </c>
      <c r="X132" t="s">
        <v>32531</v>
      </c>
    </row>
    <row r="133" spans="1:24">
      <c r="A133">
        <f>HYPERLINK("https://www.philgeps.gov.ph/GEPSNONPILOT/Tender/SplashBidNoticeAbstractUI.aspx?menuIndex=3&amp;refID=7042858&amp;Result=3","7042858")</f>
        <v>0</v>
      </c>
      <c r="B133" t="s">
        <v>82</v>
      </c>
      <c r="C133" t="s">
        <v>2810</v>
      </c>
      <c r="D133" t="s">
        <v>13024</v>
      </c>
      <c r="E133" t="s">
        <v>13217</v>
      </c>
      <c r="F133" t="s">
        <v>22436</v>
      </c>
      <c r="G133" t="s">
        <v>22444</v>
      </c>
      <c r="H133" t="s">
        <v>22452</v>
      </c>
      <c r="I133" t="s">
        <v>22482</v>
      </c>
      <c r="J133" t="s">
        <v>22709</v>
      </c>
      <c r="K133" t="s">
        <v>29336</v>
      </c>
      <c r="M133" t="s">
        <v>29654</v>
      </c>
      <c r="N133" t="s">
        <v>32524</v>
      </c>
      <c r="O133" t="s">
        <v>32525</v>
      </c>
      <c r="P133">
        <v>0</v>
      </c>
      <c r="Q133">
        <v>5</v>
      </c>
      <c r="R133" t="s">
        <v>32526</v>
      </c>
      <c r="S133" t="s">
        <v>32547</v>
      </c>
      <c r="T133" t="s">
        <v>33192</v>
      </c>
      <c r="U133" t="s">
        <v>33741</v>
      </c>
      <c r="V133" t="s">
        <v>42444</v>
      </c>
      <c r="W133" t="s">
        <v>29654</v>
      </c>
      <c r="X133" t="s">
        <v>32531</v>
      </c>
    </row>
    <row r="134" spans="1:24">
      <c r="A134">
        <f>HYPERLINK("https://www.philgeps.gov.ph/GEPSNONPILOT/Tender/SplashBidNoticeAbstractUI.aspx?menuIndex=3&amp;refID=7042948&amp;Result=3","7042948")</f>
        <v>0</v>
      </c>
      <c r="B134" t="s">
        <v>83</v>
      </c>
      <c r="C134" t="s">
        <v>2811</v>
      </c>
      <c r="D134" t="s">
        <v>12988</v>
      </c>
      <c r="E134" t="s">
        <v>13218</v>
      </c>
      <c r="F134" t="s">
        <v>22436</v>
      </c>
      <c r="G134" t="s">
        <v>22443</v>
      </c>
      <c r="H134" t="s">
        <v>22452</v>
      </c>
      <c r="I134" t="s">
        <v>3027</v>
      </c>
      <c r="J134" t="s">
        <v>22710</v>
      </c>
      <c r="K134" t="s">
        <v>29338</v>
      </c>
      <c r="M134" t="s">
        <v>29655</v>
      </c>
      <c r="N134" t="s">
        <v>32524</v>
      </c>
      <c r="O134" t="s">
        <v>32525</v>
      </c>
      <c r="P134">
        <v>0</v>
      </c>
      <c r="Q134">
        <v>1</v>
      </c>
      <c r="R134" t="s">
        <v>32526</v>
      </c>
      <c r="S134" t="s">
        <v>32547</v>
      </c>
      <c r="T134" t="s">
        <v>33167</v>
      </c>
      <c r="U134" t="s">
        <v>33742</v>
      </c>
      <c r="W134" t="s">
        <v>29655</v>
      </c>
      <c r="X134" t="s">
        <v>32531</v>
      </c>
    </row>
    <row r="135" spans="1:24">
      <c r="A135">
        <f>HYPERLINK("https://www.philgeps.gov.ph/GEPSNONPILOT/Tender/SplashBidNoticeAbstractUI.aspx?menuIndex=3&amp;refID=7043002&amp;Result=3","7043002")</f>
        <v>0</v>
      </c>
      <c r="B135" t="s">
        <v>57</v>
      </c>
      <c r="C135" t="s">
        <v>2812</v>
      </c>
      <c r="D135" t="s">
        <v>13013</v>
      </c>
      <c r="E135" t="s">
        <v>13219</v>
      </c>
      <c r="F135" t="s">
        <v>22436</v>
      </c>
      <c r="G135" t="s">
        <v>22446</v>
      </c>
      <c r="H135" t="s">
        <v>22452</v>
      </c>
      <c r="I135" t="s">
        <v>3529</v>
      </c>
      <c r="J135" t="s">
        <v>22643</v>
      </c>
      <c r="K135" t="s">
        <v>29331</v>
      </c>
      <c r="M135" t="s">
        <v>29629</v>
      </c>
      <c r="N135" t="s">
        <v>32524</v>
      </c>
      <c r="O135" t="s">
        <v>32525</v>
      </c>
      <c r="P135">
        <v>0</v>
      </c>
      <c r="Q135">
        <v>0</v>
      </c>
      <c r="R135" t="s">
        <v>32526</v>
      </c>
      <c r="S135" t="s">
        <v>32547</v>
      </c>
      <c r="T135" t="s">
        <v>33167</v>
      </c>
      <c r="U135" t="s">
        <v>33676</v>
      </c>
      <c r="V135" t="s">
        <v>42445</v>
      </c>
      <c r="W135" t="s">
        <v>29629</v>
      </c>
      <c r="X135" t="s">
        <v>32531</v>
      </c>
    </row>
    <row r="136" spans="1:24">
      <c r="A136">
        <f>HYPERLINK("https://www.philgeps.gov.ph/GEPSNONPILOT/Tender/SplashBidNoticeAbstractUI.aspx?menuIndex=3&amp;refID=7042427&amp;Result=3","7042427")</f>
        <v>0</v>
      </c>
      <c r="B136" t="s">
        <v>74</v>
      </c>
      <c r="C136" t="s">
        <v>2813</v>
      </c>
      <c r="D136" t="s">
        <v>13020</v>
      </c>
      <c r="E136" t="s">
        <v>13220</v>
      </c>
      <c r="F136" t="s">
        <v>22436</v>
      </c>
      <c r="G136" t="s">
        <v>22444</v>
      </c>
      <c r="H136" t="s">
        <v>22452</v>
      </c>
      <c r="I136" t="s">
        <v>5194</v>
      </c>
      <c r="J136" t="s">
        <v>22711</v>
      </c>
      <c r="K136" t="s">
        <v>29341</v>
      </c>
      <c r="M136" t="s">
        <v>29646</v>
      </c>
      <c r="N136" t="s">
        <v>32524</v>
      </c>
      <c r="O136" t="s">
        <v>32525</v>
      </c>
      <c r="P136">
        <v>0</v>
      </c>
      <c r="Q136">
        <v>1</v>
      </c>
      <c r="R136" t="s">
        <v>32526</v>
      </c>
      <c r="S136" t="s">
        <v>32547</v>
      </c>
      <c r="T136" t="s">
        <v>33165</v>
      </c>
      <c r="U136" t="s">
        <v>33743</v>
      </c>
      <c r="W136" t="s">
        <v>29646</v>
      </c>
      <c r="X136" t="s">
        <v>32531</v>
      </c>
    </row>
    <row r="137" spans="1:24">
      <c r="A137">
        <f>HYPERLINK("https://www.philgeps.gov.ph/GEPSNONPILOT/Tender/SplashBidNoticeAbstractUI.aspx?menuIndex=3&amp;refID=7042896&amp;Result=3","7042896")</f>
        <v>0</v>
      </c>
      <c r="B137" t="s">
        <v>50</v>
      </c>
      <c r="C137" t="s">
        <v>2814</v>
      </c>
      <c r="D137" t="s">
        <v>13008</v>
      </c>
      <c r="E137" t="s">
        <v>13221</v>
      </c>
      <c r="F137" t="s">
        <v>22436</v>
      </c>
      <c r="G137" t="s">
        <v>22444</v>
      </c>
      <c r="H137" t="s">
        <v>22452</v>
      </c>
      <c r="I137" t="s">
        <v>12358</v>
      </c>
      <c r="J137" t="s">
        <v>22712</v>
      </c>
      <c r="K137" t="s">
        <v>29335</v>
      </c>
      <c r="M137" t="s">
        <v>29622</v>
      </c>
      <c r="N137" t="s">
        <v>32524</v>
      </c>
      <c r="O137" t="s">
        <v>32525</v>
      </c>
      <c r="P137">
        <v>0</v>
      </c>
      <c r="Q137">
        <v>0</v>
      </c>
      <c r="R137" t="s">
        <v>32526</v>
      </c>
      <c r="S137" t="s">
        <v>32547</v>
      </c>
      <c r="T137" t="s">
        <v>33166</v>
      </c>
      <c r="U137" t="s">
        <v>33744</v>
      </c>
      <c r="W137" t="s">
        <v>29622</v>
      </c>
      <c r="X137" t="s">
        <v>32531</v>
      </c>
    </row>
    <row r="138" spans="1:24">
      <c r="A138">
        <f>HYPERLINK("https://www.philgeps.gov.ph/GEPSNONPILOT/Tender/SplashBidNoticeAbstractUI.aspx?menuIndex=3&amp;refID=7042920&amp;Result=3","7042920")</f>
        <v>0</v>
      </c>
      <c r="B138" t="s">
        <v>80</v>
      </c>
      <c r="C138" t="s">
        <v>2815</v>
      </c>
      <c r="D138" t="s">
        <v>13007</v>
      </c>
      <c r="E138" t="s">
        <v>13222</v>
      </c>
      <c r="F138" t="s">
        <v>22436</v>
      </c>
      <c r="G138" t="s">
        <v>22446</v>
      </c>
      <c r="H138" t="s">
        <v>22452</v>
      </c>
      <c r="I138" t="s">
        <v>3529</v>
      </c>
      <c r="J138" t="s">
        <v>22713</v>
      </c>
      <c r="K138" t="s">
        <v>29341</v>
      </c>
      <c r="M138" t="s">
        <v>29652</v>
      </c>
      <c r="N138" t="s">
        <v>32524</v>
      </c>
      <c r="O138" t="s">
        <v>32525</v>
      </c>
      <c r="P138">
        <v>0</v>
      </c>
      <c r="Q138">
        <v>0</v>
      </c>
      <c r="R138" t="s">
        <v>32526</v>
      </c>
      <c r="S138" t="s">
        <v>32547</v>
      </c>
      <c r="T138" t="s">
        <v>33153</v>
      </c>
      <c r="U138" t="s">
        <v>33745</v>
      </c>
      <c r="W138" t="s">
        <v>29652</v>
      </c>
      <c r="X138" t="s">
        <v>32531</v>
      </c>
    </row>
    <row r="139" spans="1:24">
      <c r="A139">
        <f>HYPERLINK("https://www.philgeps.gov.ph/GEPSNONPILOT/Tender/SplashBidNoticeAbstractUI.aspx?menuIndex=3&amp;refID=7043017&amp;Result=3","7043017")</f>
        <v>0</v>
      </c>
      <c r="B139" t="s">
        <v>57</v>
      </c>
      <c r="C139" t="s">
        <v>2816</v>
      </c>
      <c r="D139" t="s">
        <v>13013</v>
      </c>
      <c r="E139" t="s">
        <v>13223</v>
      </c>
      <c r="F139" t="s">
        <v>22436</v>
      </c>
      <c r="G139" t="s">
        <v>22446</v>
      </c>
      <c r="H139" t="s">
        <v>22452</v>
      </c>
      <c r="I139" t="s">
        <v>22467</v>
      </c>
      <c r="J139" t="s">
        <v>22640</v>
      </c>
      <c r="K139" t="s">
        <v>29331</v>
      </c>
      <c r="M139" t="s">
        <v>29629</v>
      </c>
      <c r="N139" t="s">
        <v>32524</v>
      </c>
      <c r="O139" t="s">
        <v>32525</v>
      </c>
      <c r="P139">
        <v>0</v>
      </c>
      <c r="Q139">
        <v>0</v>
      </c>
      <c r="R139" t="s">
        <v>32526</v>
      </c>
      <c r="S139" t="s">
        <v>32547</v>
      </c>
      <c r="T139" t="s">
        <v>33167</v>
      </c>
      <c r="U139" t="s">
        <v>33746</v>
      </c>
      <c r="V139" t="s">
        <v>42446</v>
      </c>
      <c r="W139" t="s">
        <v>29629</v>
      </c>
      <c r="X139" t="s">
        <v>32531</v>
      </c>
    </row>
    <row r="140" spans="1:24">
      <c r="A140">
        <f>HYPERLINK("https://www.philgeps.gov.ph/GEPSNONPILOT/Tender/SplashBidNoticeAbstractUI.aspx?menuIndex=3&amp;refID=7043022&amp;Result=3","7043022")</f>
        <v>0</v>
      </c>
      <c r="B140" t="s">
        <v>50</v>
      </c>
      <c r="C140" t="s">
        <v>2817</v>
      </c>
      <c r="D140" t="s">
        <v>13008</v>
      </c>
      <c r="E140" t="s">
        <v>13224</v>
      </c>
      <c r="F140" t="s">
        <v>22436</v>
      </c>
      <c r="G140" t="s">
        <v>22444</v>
      </c>
      <c r="H140" t="s">
        <v>22452</v>
      </c>
      <c r="I140" t="s">
        <v>3027</v>
      </c>
      <c r="J140" t="s">
        <v>22714</v>
      </c>
      <c r="K140" t="s">
        <v>29335</v>
      </c>
      <c r="M140" t="s">
        <v>29622</v>
      </c>
      <c r="N140" t="s">
        <v>32524</v>
      </c>
      <c r="O140" t="s">
        <v>32525</v>
      </c>
      <c r="P140">
        <v>0</v>
      </c>
      <c r="Q140">
        <v>0</v>
      </c>
      <c r="R140" t="s">
        <v>32526</v>
      </c>
      <c r="S140" t="s">
        <v>32547</v>
      </c>
      <c r="T140" t="s">
        <v>33166</v>
      </c>
      <c r="U140" t="s">
        <v>33747</v>
      </c>
      <c r="W140" t="s">
        <v>29622</v>
      </c>
      <c r="X140" t="s">
        <v>32531</v>
      </c>
    </row>
    <row r="141" spans="1:24">
      <c r="A141">
        <f>HYPERLINK("https://www.philgeps.gov.ph/GEPSNONPILOT/Tender/SplashBidNoticeAbstractUI.aspx?menuIndex=3&amp;refID=7042342&amp;Result=3","7042342")</f>
        <v>0</v>
      </c>
      <c r="B141" t="s">
        <v>84</v>
      </c>
      <c r="C141" t="s">
        <v>2818</v>
      </c>
      <c r="D141" t="s">
        <v>12988</v>
      </c>
      <c r="E141" t="s">
        <v>13225</v>
      </c>
      <c r="F141" t="s">
        <v>22436</v>
      </c>
      <c r="G141" t="s">
        <v>22446</v>
      </c>
      <c r="H141" t="s">
        <v>22452</v>
      </c>
      <c r="I141" t="s">
        <v>22460</v>
      </c>
      <c r="J141" t="s">
        <v>22715</v>
      </c>
      <c r="K141" t="s">
        <v>29341</v>
      </c>
      <c r="M141" t="s">
        <v>29656</v>
      </c>
      <c r="N141" t="s">
        <v>32524</v>
      </c>
      <c r="O141" t="s">
        <v>32525</v>
      </c>
      <c r="P141">
        <v>0</v>
      </c>
      <c r="Q141">
        <v>8</v>
      </c>
      <c r="R141" t="s">
        <v>32526</v>
      </c>
      <c r="S141" t="s">
        <v>32547</v>
      </c>
      <c r="T141" t="s">
        <v>33183</v>
      </c>
      <c r="U141" t="s">
        <v>33748</v>
      </c>
      <c r="W141" t="s">
        <v>29656</v>
      </c>
      <c r="X141" t="s">
        <v>32531</v>
      </c>
    </row>
    <row r="142" spans="1:24">
      <c r="A142">
        <f>HYPERLINK("https://www.philgeps.gov.ph/GEPSNONPILOT/Tender/SplashBidNoticeAbstractUI.aspx?menuIndex=3&amp;refID=7043026&amp;Result=3","7043026")</f>
        <v>0</v>
      </c>
      <c r="B142" t="s">
        <v>57</v>
      </c>
      <c r="C142" t="s">
        <v>2819</v>
      </c>
      <c r="D142" t="s">
        <v>13013</v>
      </c>
      <c r="E142" t="s">
        <v>13226</v>
      </c>
      <c r="F142" t="s">
        <v>22436</v>
      </c>
      <c r="G142" t="s">
        <v>22446</v>
      </c>
      <c r="H142" t="s">
        <v>22452</v>
      </c>
      <c r="I142" t="s">
        <v>22467</v>
      </c>
      <c r="J142" t="s">
        <v>22640</v>
      </c>
      <c r="K142" t="s">
        <v>29331</v>
      </c>
      <c r="M142" t="s">
        <v>29629</v>
      </c>
      <c r="N142" t="s">
        <v>32524</v>
      </c>
      <c r="O142" t="s">
        <v>32525</v>
      </c>
      <c r="P142">
        <v>0</v>
      </c>
      <c r="Q142">
        <v>0</v>
      </c>
      <c r="R142" t="s">
        <v>32526</v>
      </c>
      <c r="S142" t="s">
        <v>32547</v>
      </c>
      <c r="T142" t="s">
        <v>33167</v>
      </c>
      <c r="U142" t="s">
        <v>33746</v>
      </c>
      <c r="V142" t="s">
        <v>42447</v>
      </c>
      <c r="W142" t="s">
        <v>29629</v>
      </c>
      <c r="X142" t="s">
        <v>32531</v>
      </c>
    </row>
    <row r="143" spans="1:24">
      <c r="A143">
        <f>HYPERLINK("https://www.philgeps.gov.ph/GEPSNONPILOT/Tender/SplashBidNoticeAbstractUI.aspx?menuIndex=3&amp;refID=7043083&amp;Result=3","7043083")</f>
        <v>0</v>
      </c>
      <c r="B143" t="s">
        <v>57</v>
      </c>
      <c r="C143" t="s">
        <v>2820</v>
      </c>
      <c r="D143" t="s">
        <v>13013</v>
      </c>
      <c r="E143" t="s">
        <v>13227</v>
      </c>
      <c r="F143" t="s">
        <v>22436</v>
      </c>
      <c r="G143" t="s">
        <v>22446</v>
      </c>
      <c r="H143" t="s">
        <v>22452</v>
      </c>
      <c r="I143" t="s">
        <v>3529</v>
      </c>
      <c r="J143" t="s">
        <v>22716</v>
      </c>
      <c r="K143" t="s">
        <v>29331</v>
      </c>
      <c r="M143" t="s">
        <v>29629</v>
      </c>
      <c r="N143" t="s">
        <v>32524</v>
      </c>
      <c r="O143" t="s">
        <v>32525</v>
      </c>
      <c r="P143">
        <v>0</v>
      </c>
      <c r="Q143">
        <v>0</v>
      </c>
      <c r="R143" t="s">
        <v>32526</v>
      </c>
      <c r="S143" t="s">
        <v>32547</v>
      </c>
      <c r="T143" t="s">
        <v>33167</v>
      </c>
      <c r="U143" t="s">
        <v>33749</v>
      </c>
      <c r="V143" t="s">
        <v>42448</v>
      </c>
      <c r="W143" t="s">
        <v>29629</v>
      </c>
      <c r="X143" t="s">
        <v>32531</v>
      </c>
    </row>
    <row r="144" spans="1:24">
      <c r="A144">
        <f>HYPERLINK("https://www.philgeps.gov.ph/GEPSNONPILOT/Tender/SplashBidNoticeAbstractUI.aspx?menuIndex=3&amp;refID=7043049&amp;Result=3","7043049")</f>
        <v>0</v>
      </c>
      <c r="B144" t="s">
        <v>57</v>
      </c>
      <c r="C144" t="s">
        <v>2821</v>
      </c>
      <c r="D144" t="s">
        <v>13013</v>
      </c>
      <c r="E144" t="s">
        <v>13228</v>
      </c>
      <c r="F144" t="s">
        <v>22436</v>
      </c>
      <c r="G144" t="s">
        <v>22446</v>
      </c>
      <c r="H144" t="s">
        <v>22452</v>
      </c>
      <c r="I144" t="s">
        <v>3529</v>
      </c>
      <c r="J144" t="s">
        <v>22717</v>
      </c>
      <c r="K144" t="s">
        <v>29331</v>
      </c>
      <c r="M144" t="s">
        <v>29629</v>
      </c>
      <c r="N144" t="s">
        <v>32524</v>
      </c>
      <c r="O144" t="s">
        <v>32525</v>
      </c>
      <c r="P144">
        <v>0</v>
      </c>
      <c r="Q144">
        <v>0</v>
      </c>
      <c r="R144" t="s">
        <v>32526</v>
      </c>
      <c r="S144" t="s">
        <v>32547</v>
      </c>
      <c r="T144" t="s">
        <v>33167</v>
      </c>
      <c r="U144" t="s">
        <v>33750</v>
      </c>
      <c r="V144" t="s">
        <v>42449</v>
      </c>
      <c r="W144" t="s">
        <v>29629</v>
      </c>
      <c r="X144" t="s">
        <v>32531</v>
      </c>
    </row>
    <row r="145" spans="1:24">
      <c r="A145">
        <f>HYPERLINK("https://www.philgeps.gov.ph/GEPSNONPILOT/Tender/SplashBidNoticeAbstractUI.aspx?menuIndex=3&amp;refID=7043046&amp;Result=3","7043046")</f>
        <v>0</v>
      </c>
      <c r="B145" t="s">
        <v>57</v>
      </c>
      <c r="C145" t="s">
        <v>2822</v>
      </c>
      <c r="D145" t="s">
        <v>13013</v>
      </c>
      <c r="E145" t="s">
        <v>13229</v>
      </c>
      <c r="F145" t="s">
        <v>22436</v>
      </c>
      <c r="G145" t="s">
        <v>22446</v>
      </c>
      <c r="H145" t="s">
        <v>22452</v>
      </c>
      <c r="I145" t="s">
        <v>3529</v>
      </c>
      <c r="J145" t="s">
        <v>22718</v>
      </c>
      <c r="K145" t="s">
        <v>29331</v>
      </c>
      <c r="M145" t="s">
        <v>29629</v>
      </c>
      <c r="N145" t="s">
        <v>32524</v>
      </c>
      <c r="O145" t="s">
        <v>32525</v>
      </c>
      <c r="P145">
        <v>0</v>
      </c>
      <c r="Q145">
        <v>0</v>
      </c>
      <c r="R145" t="s">
        <v>32526</v>
      </c>
      <c r="S145" t="s">
        <v>32547</v>
      </c>
      <c r="T145" t="s">
        <v>33167</v>
      </c>
      <c r="U145" t="s">
        <v>33751</v>
      </c>
      <c r="V145" t="s">
        <v>42450</v>
      </c>
      <c r="W145" t="s">
        <v>29629</v>
      </c>
      <c r="X145" t="s">
        <v>32531</v>
      </c>
    </row>
    <row r="146" spans="1:24">
      <c r="A146">
        <f>HYPERLINK("https://www.philgeps.gov.ph/GEPSNONPILOT/Tender/SplashBidNoticeAbstractUI.aspx?menuIndex=3&amp;refID=7043072&amp;Result=3","7043072")</f>
        <v>0</v>
      </c>
      <c r="B146" t="s">
        <v>85</v>
      </c>
      <c r="C146" t="s">
        <v>2823</v>
      </c>
      <c r="D146" t="s">
        <v>13007</v>
      </c>
      <c r="E146" t="s">
        <v>13230</v>
      </c>
      <c r="F146" t="s">
        <v>22436</v>
      </c>
      <c r="G146" t="s">
        <v>22443</v>
      </c>
      <c r="H146" t="s">
        <v>22452</v>
      </c>
      <c r="I146" t="s">
        <v>5194</v>
      </c>
      <c r="J146" t="s">
        <v>22719</v>
      </c>
      <c r="K146" t="s">
        <v>29331</v>
      </c>
      <c r="M146" t="s">
        <v>29657</v>
      </c>
      <c r="N146" t="s">
        <v>32524</v>
      </c>
      <c r="O146" t="s">
        <v>32525</v>
      </c>
      <c r="P146">
        <v>0</v>
      </c>
      <c r="Q146">
        <v>2</v>
      </c>
      <c r="R146" t="s">
        <v>32526</v>
      </c>
      <c r="S146" t="s">
        <v>32547</v>
      </c>
      <c r="T146" t="s">
        <v>33193</v>
      </c>
      <c r="U146" t="s">
        <v>33752</v>
      </c>
      <c r="W146" t="s">
        <v>29657</v>
      </c>
      <c r="X146" t="s">
        <v>32531</v>
      </c>
    </row>
    <row r="147" spans="1:24">
      <c r="A147">
        <f>HYPERLINK("https://www.philgeps.gov.ph/GEPSNONPILOT/Tender/SplashBidNoticeAbstractUI.aspx?menuIndex=3&amp;refID=7043036&amp;Result=3","7043036")</f>
        <v>0</v>
      </c>
      <c r="B147" t="s">
        <v>57</v>
      </c>
      <c r="C147" t="s">
        <v>2824</v>
      </c>
      <c r="D147" t="s">
        <v>13013</v>
      </c>
      <c r="E147" t="s">
        <v>13231</v>
      </c>
      <c r="F147" t="s">
        <v>22436</v>
      </c>
      <c r="G147" t="s">
        <v>22446</v>
      </c>
      <c r="H147" t="s">
        <v>22452</v>
      </c>
      <c r="I147" t="s">
        <v>3529</v>
      </c>
      <c r="J147" t="s">
        <v>22720</v>
      </c>
      <c r="K147" t="s">
        <v>29331</v>
      </c>
      <c r="M147" t="s">
        <v>29629</v>
      </c>
      <c r="N147" t="s">
        <v>32524</v>
      </c>
      <c r="O147" t="s">
        <v>32525</v>
      </c>
      <c r="P147">
        <v>0</v>
      </c>
      <c r="Q147">
        <v>0</v>
      </c>
      <c r="R147" t="s">
        <v>32526</v>
      </c>
      <c r="S147" t="s">
        <v>32547</v>
      </c>
      <c r="T147" t="s">
        <v>33167</v>
      </c>
      <c r="U147" t="s">
        <v>33753</v>
      </c>
      <c r="V147" t="s">
        <v>42451</v>
      </c>
      <c r="W147" t="s">
        <v>29629</v>
      </c>
      <c r="X147" t="s">
        <v>32531</v>
      </c>
    </row>
    <row r="148" spans="1:24">
      <c r="A148">
        <f>HYPERLINK("https://www.philgeps.gov.ph/GEPSNONPILOT/Tender/SplashBidNoticeAbstractUI.aspx?menuIndex=3&amp;refID=7043039&amp;Result=3","7043039")</f>
        <v>0</v>
      </c>
      <c r="B148" t="s">
        <v>50</v>
      </c>
      <c r="C148" t="s">
        <v>2825</v>
      </c>
      <c r="D148" t="s">
        <v>13008</v>
      </c>
      <c r="E148" t="s">
        <v>13224</v>
      </c>
      <c r="F148" t="s">
        <v>22436</v>
      </c>
      <c r="G148" t="s">
        <v>22444</v>
      </c>
      <c r="H148" t="s">
        <v>22452</v>
      </c>
      <c r="I148" t="s">
        <v>22481</v>
      </c>
      <c r="J148" t="s">
        <v>22721</v>
      </c>
      <c r="K148" t="s">
        <v>29335</v>
      </c>
      <c r="M148" t="s">
        <v>29622</v>
      </c>
      <c r="N148" t="s">
        <v>32524</v>
      </c>
      <c r="O148" t="s">
        <v>32525</v>
      </c>
      <c r="P148">
        <v>0</v>
      </c>
      <c r="Q148">
        <v>0</v>
      </c>
      <c r="R148" t="s">
        <v>32526</v>
      </c>
      <c r="S148" t="s">
        <v>32547</v>
      </c>
      <c r="T148" t="s">
        <v>33166</v>
      </c>
      <c r="U148" t="s">
        <v>33747</v>
      </c>
      <c r="W148" t="s">
        <v>29622</v>
      </c>
      <c r="X148" t="s">
        <v>32531</v>
      </c>
    </row>
    <row r="149" spans="1:24">
      <c r="A149">
        <f>HYPERLINK("https://www.philgeps.gov.ph/GEPSNONPILOT/Tender/SplashBidNoticeAbstractUI.aspx?menuIndex=3&amp;refID=7043074&amp;Result=3","7043074")</f>
        <v>0</v>
      </c>
      <c r="B149" t="s">
        <v>57</v>
      </c>
      <c r="C149" t="s">
        <v>2826</v>
      </c>
      <c r="D149" t="s">
        <v>13013</v>
      </c>
      <c r="E149" t="s">
        <v>13232</v>
      </c>
      <c r="F149" t="s">
        <v>22436</v>
      </c>
      <c r="G149" t="s">
        <v>22446</v>
      </c>
      <c r="H149" t="s">
        <v>22452</v>
      </c>
      <c r="I149" t="s">
        <v>3529</v>
      </c>
      <c r="J149" t="s">
        <v>22722</v>
      </c>
      <c r="K149" t="s">
        <v>29331</v>
      </c>
      <c r="M149" t="s">
        <v>29629</v>
      </c>
      <c r="N149" t="s">
        <v>32524</v>
      </c>
      <c r="O149" t="s">
        <v>32525</v>
      </c>
      <c r="P149">
        <v>0</v>
      </c>
      <c r="Q149">
        <v>0</v>
      </c>
      <c r="R149" t="s">
        <v>32526</v>
      </c>
      <c r="S149" t="s">
        <v>32547</v>
      </c>
      <c r="T149" t="s">
        <v>33167</v>
      </c>
      <c r="U149" t="s">
        <v>33754</v>
      </c>
      <c r="V149" t="s">
        <v>42452</v>
      </c>
      <c r="W149" t="s">
        <v>29629</v>
      </c>
      <c r="X149" t="s">
        <v>32531</v>
      </c>
    </row>
    <row r="150" spans="1:24">
      <c r="A150">
        <f>HYPERLINK("https://www.philgeps.gov.ph/GEPSNONPILOT/Tender/SplashBidNoticeAbstractUI.aspx?menuIndex=3&amp;refID=7043368&amp;Result=3","7043368")</f>
        <v>0</v>
      </c>
      <c r="B150" t="s">
        <v>86</v>
      </c>
      <c r="C150" t="s">
        <v>2827</v>
      </c>
      <c r="D150" t="s">
        <v>13021</v>
      </c>
      <c r="E150" t="s">
        <v>13233</v>
      </c>
      <c r="F150" t="s">
        <v>22436</v>
      </c>
      <c r="G150" t="s">
        <v>22445</v>
      </c>
      <c r="H150" t="s">
        <v>22452</v>
      </c>
      <c r="I150" t="s">
        <v>22471</v>
      </c>
      <c r="J150" t="s">
        <v>22723</v>
      </c>
      <c r="K150" t="s">
        <v>29335</v>
      </c>
      <c r="M150" t="s">
        <v>29658</v>
      </c>
      <c r="N150" t="s">
        <v>32524</v>
      </c>
      <c r="O150" t="s">
        <v>32525</v>
      </c>
      <c r="P150">
        <v>0</v>
      </c>
      <c r="Q150">
        <v>8</v>
      </c>
      <c r="R150" t="s">
        <v>32526</v>
      </c>
      <c r="S150" t="s">
        <v>32547</v>
      </c>
      <c r="T150" t="s">
        <v>33194</v>
      </c>
      <c r="U150" t="s">
        <v>33755</v>
      </c>
      <c r="W150" t="s">
        <v>29658</v>
      </c>
      <c r="X150" t="s">
        <v>32530</v>
      </c>
    </row>
    <row r="151" spans="1:24">
      <c r="A151">
        <f>HYPERLINK("https://www.philgeps.gov.ph/GEPSNONPILOT/Tender/SplashBidNoticeAbstractUI.aspx?menuIndex=3&amp;refID=7043372&amp;Result=3","7043372")</f>
        <v>0</v>
      </c>
      <c r="B151" t="s">
        <v>71</v>
      </c>
      <c r="C151" t="s">
        <v>2828</v>
      </c>
      <c r="D151" t="s">
        <v>13007</v>
      </c>
      <c r="E151" t="s">
        <v>13234</v>
      </c>
      <c r="F151" t="s">
        <v>22436</v>
      </c>
      <c r="G151" t="s">
        <v>22444</v>
      </c>
      <c r="H151" t="s">
        <v>22452</v>
      </c>
      <c r="I151" t="s">
        <v>22466</v>
      </c>
      <c r="J151" t="s">
        <v>22724</v>
      </c>
      <c r="K151" t="s">
        <v>29338</v>
      </c>
      <c r="M151" t="s">
        <v>29643</v>
      </c>
      <c r="N151" t="s">
        <v>32524</v>
      </c>
      <c r="O151" t="s">
        <v>32525</v>
      </c>
      <c r="P151">
        <v>0</v>
      </c>
      <c r="Q151">
        <v>2</v>
      </c>
      <c r="R151" t="s">
        <v>32526</v>
      </c>
      <c r="S151" t="s">
        <v>32547</v>
      </c>
      <c r="T151" t="s">
        <v>33186</v>
      </c>
      <c r="U151" t="s">
        <v>33756</v>
      </c>
      <c r="V151" t="s">
        <v>42441</v>
      </c>
      <c r="W151" t="s">
        <v>29643</v>
      </c>
      <c r="X151" t="s">
        <v>32530</v>
      </c>
    </row>
    <row r="152" spans="1:24">
      <c r="A152">
        <f>HYPERLINK("https://www.philgeps.gov.ph/GEPSNONPILOT/Tender/SplashBidNoticeAbstractUI.aspx?menuIndex=3&amp;refID=7043365&amp;Result=3","7043365")</f>
        <v>0</v>
      </c>
      <c r="B152" t="s">
        <v>71</v>
      </c>
      <c r="C152" t="s">
        <v>2829</v>
      </c>
      <c r="D152" t="s">
        <v>13007</v>
      </c>
      <c r="E152" t="s">
        <v>13235</v>
      </c>
      <c r="F152" t="s">
        <v>22436</v>
      </c>
      <c r="G152" t="s">
        <v>22444</v>
      </c>
      <c r="H152" t="s">
        <v>22452</v>
      </c>
      <c r="I152" t="s">
        <v>22462</v>
      </c>
      <c r="J152" t="s">
        <v>22725</v>
      </c>
      <c r="K152" t="s">
        <v>29338</v>
      </c>
      <c r="M152" t="s">
        <v>29643</v>
      </c>
      <c r="N152" t="s">
        <v>32524</v>
      </c>
      <c r="O152" t="s">
        <v>32525</v>
      </c>
      <c r="P152">
        <v>0</v>
      </c>
      <c r="Q152">
        <v>0</v>
      </c>
      <c r="R152" t="s">
        <v>32526</v>
      </c>
      <c r="S152" t="s">
        <v>32547</v>
      </c>
      <c r="T152" t="s">
        <v>33186</v>
      </c>
      <c r="U152" t="s">
        <v>33757</v>
      </c>
      <c r="V152" t="s">
        <v>42441</v>
      </c>
      <c r="W152" t="s">
        <v>29643</v>
      </c>
      <c r="X152" t="s">
        <v>32530</v>
      </c>
    </row>
    <row r="153" spans="1:24">
      <c r="A153">
        <f>HYPERLINK("https://www.philgeps.gov.ph/GEPSNONPILOT/Tender/SplashBidNoticeAbstractUI.aspx?menuIndex=3&amp;refID=7043087&amp;Result=3","7043087")</f>
        <v>0</v>
      </c>
      <c r="B153" t="s">
        <v>57</v>
      </c>
      <c r="C153" t="s">
        <v>2830</v>
      </c>
      <c r="D153" t="s">
        <v>13013</v>
      </c>
      <c r="E153" t="s">
        <v>13236</v>
      </c>
      <c r="F153" t="s">
        <v>22436</v>
      </c>
      <c r="G153" t="s">
        <v>22446</v>
      </c>
      <c r="H153" t="s">
        <v>22452</v>
      </c>
      <c r="I153" t="s">
        <v>3529</v>
      </c>
      <c r="J153" t="s">
        <v>22726</v>
      </c>
      <c r="K153" t="s">
        <v>29331</v>
      </c>
      <c r="M153" t="s">
        <v>29629</v>
      </c>
      <c r="N153" t="s">
        <v>32524</v>
      </c>
      <c r="O153" t="s">
        <v>32525</v>
      </c>
      <c r="P153">
        <v>0</v>
      </c>
      <c r="Q153">
        <v>0</v>
      </c>
      <c r="R153" t="s">
        <v>32526</v>
      </c>
      <c r="S153" t="s">
        <v>32547</v>
      </c>
      <c r="T153" t="s">
        <v>33167</v>
      </c>
      <c r="U153" t="s">
        <v>33758</v>
      </c>
      <c r="V153" t="s">
        <v>42453</v>
      </c>
      <c r="W153" t="s">
        <v>29629</v>
      </c>
      <c r="X153" t="s">
        <v>32531</v>
      </c>
    </row>
    <row r="154" spans="1:24">
      <c r="A154">
        <f>HYPERLINK("https://www.philgeps.gov.ph/GEPSNONPILOT/Tender/SplashBidNoticeAbstractUI.aspx?menuIndex=3&amp;refID=7043367&amp;Result=3","7043367")</f>
        <v>0</v>
      </c>
      <c r="B154" t="s">
        <v>71</v>
      </c>
      <c r="C154" t="s">
        <v>2831</v>
      </c>
      <c r="D154" t="s">
        <v>13007</v>
      </c>
      <c r="E154" t="s">
        <v>13237</v>
      </c>
      <c r="F154" t="s">
        <v>22436</v>
      </c>
      <c r="G154" t="s">
        <v>22444</v>
      </c>
      <c r="H154" t="s">
        <v>22452</v>
      </c>
      <c r="I154" t="s">
        <v>12358</v>
      </c>
      <c r="J154" t="s">
        <v>22727</v>
      </c>
      <c r="K154" t="s">
        <v>29338</v>
      </c>
      <c r="M154" t="s">
        <v>29643</v>
      </c>
      <c r="N154" t="s">
        <v>32524</v>
      </c>
      <c r="O154" t="s">
        <v>32525</v>
      </c>
      <c r="P154">
        <v>0</v>
      </c>
      <c r="Q154">
        <v>0</v>
      </c>
      <c r="R154" t="s">
        <v>32526</v>
      </c>
      <c r="S154" t="s">
        <v>32547</v>
      </c>
      <c r="T154" t="s">
        <v>33186</v>
      </c>
      <c r="U154" t="s">
        <v>33759</v>
      </c>
      <c r="V154" t="s">
        <v>42441</v>
      </c>
      <c r="W154" t="s">
        <v>29643</v>
      </c>
      <c r="X154" t="s">
        <v>32530</v>
      </c>
    </row>
    <row r="155" spans="1:24">
      <c r="A155">
        <f>HYPERLINK("https://www.philgeps.gov.ph/GEPSNONPILOT/Tender/SplashBidNoticeAbstractUI.aspx?menuIndex=3&amp;refID=7043358&amp;Result=3","7043358")</f>
        <v>0</v>
      </c>
      <c r="B155" t="s">
        <v>71</v>
      </c>
      <c r="C155" t="s">
        <v>2832</v>
      </c>
      <c r="D155" t="s">
        <v>13007</v>
      </c>
      <c r="E155" t="s">
        <v>13238</v>
      </c>
      <c r="F155" t="s">
        <v>22436</v>
      </c>
      <c r="G155" t="s">
        <v>22444</v>
      </c>
      <c r="H155" t="s">
        <v>22452</v>
      </c>
      <c r="I155" t="s">
        <v>22467</v>
      </c>
      <c r="J155" t="s">
        <v>22728</v>
      </c>
      <c r="K155" t="s">
        <v>29338</v>
      </c>
      <c r="M155" t="s">
        <v>29643</v>
      </c>
      <c r="N155" t="s">
        <v>32524</v>
      </c>
      <c r="O155" t="s">
        <v>32525</v>
      </c>
      <c r="P155">
        <v>0</v>
      </c>
      <c r="Q155">
        <v>0</v>
      </c>
      <c r="R155" t="s">
        <v>32526</v>
      </c>
      <c r="S155" t="s">
        <v>32547</v>
      </c>
      <c r="T155" t="s">
        <v>33186</v>
      </c>
      <c r="U155" t="s">
        <v>33760</v>
      </c>
      <c r="V155" t="s">
        <v>42441</v>
      </c>
      <c r="W155" t="s">
        <v>29643</v>
      </c>
      <c r="X155" t="s">
        <v>32530</v>
      </c>
    </row>
    <row r="156" spans="1:24">
      <c r="A156">
        <f>HYPERLINK("https://www.philgeps.gov.ph/GEPSNONPILOT/Tender/SplashBidNoticeAbstractUI.aspx?menuIndex=3&amp;refID=7043055&amp;Result=3","7043055")</f>
        <v>0</v>
      </c>
      <c r="B156" t="s">
        <v>50</v>
      </c>
      <c r="C156" t="s">
        <v>2833</v>
      </c>
      <c r="D156" t="s">
        <v>13008</v>
      </c>
      <c r="E156" t="s">
        <v>13239</v>
      </c>
      <c r="F156" t="s">
        <v>22436</v>
      </c>
      <c r="G156" t="s">
        <v>22444</v>
      </c>
      <c r="H156" t="s">
        <v>22452</v>
      </c>
      <c r="I156" t="s">
        <v>2962</v>
      </c>
      <c r="J156" t="s">
        <v>22729</v>
      </c>
      <c r="K156" t="s">
        <v>29335</v>
      </c>
      <c r="M156" t="s">
        <v>29622</v>
      </c>
      <c r="N156" t="s">
        <v>32524</v>
      </c>
      <c r="O156" t="s">
        <v>32525</v>
      </c>
      <c r="P156">
        <v>0</v>
      </c>
      <c r="Q156">
        <v>0</v>
      </c>
      <c r="R156" t="s">
        <v>32526</v>
      </c>
      <c r="S156" t="s">
        <v>32547</v>
      </c>
      <c r="T156" t="s">
        <v>33166</v>
      </c>
      <c r="U156" t="s">
        <v>33761</v>
      </c>
      <c r="W156" t="s">
        <v>29622</v>
      </c>
      <c r="X156" t="s">
        <v>32531</v>
      </c>
    </row>
    <row r="157" spans="1:24">
      <c r="A157">
        <f>HYPERLINK("https://www.philgeps.gov.ph/GEPSNONPILOT/Tender/SplashBidNoticeAbstractUI.aspx?menuIndex=3&amp;refID=7043357&amp;Result=3","7043357")</f>
        <v>0</v>
      </c>
      <c r="B157" t="s">
        <v>86</v>
      </c>
      <c r="C157" t="s">
        <v>2827</v>
      </c>
      <c r="D157" t="s">
        <v>13021</v>
      </c>
      <c r="E157" t="s">
        <v>13240</v>
      </c>
      <c r="F157" t="s">
        <v>22436</v>
      </c>
      <c r="G157" t="s">
        <v>22445</v>
      </c>
      <c r="H157" t="s">
        <v>22452</v>
      </c>
      <c r="I157" t="s">
        <v>22471</v>
      </c>
      <c r="J157" t="s">
        <v>22730</v>
      </c>
      <c r="K157" t="s">
        <v>29335</v>
      </c>
      <c r="M157" t="s">
        <v>29658</v>
      </c>
      <c r="N157" t="s">
        <v>32524</v>
      </c>
      <c r="O157" t="s">
        <v>32525</v>
      </c>
      <c r="P157">
        <v>0</v>
      </c>
      <c r="Q157">
        <v>9</v>
      </c>
      <c r="R157" t="s">
        <v>32526</v>
      </c>
      <c r="S157" t="s">
        <v>32547</v>
      </c>
      <c r="T157" t="s">
        <v>33194</v>
      </c>
      <c r="U157" t="s">
        <v>33762</v>
      </c>
      <c r="W157" t="s">
        <v>29658</v>
      </c>
      <c r="X157" t="s">
        <v>32530</v>
      </c>
    </row>
    <row r="158" spans="1:24">
      <c r="A158">
        <f>HYPERLINK("https://www.philgeps.gov.ph/GEPSNONPILOT/Tender/SplashBidNoticeAbstractUI.aspx?menuIndex=3&amp;refID=7043359&amp;Result=3","7043359")</f>
        <v>0</v>
      </c>
      <c r="B158" t="s">
        <v>71</v>
      </c>
      <c r="C158" t="s">
        <v>2834</v>
      </c>
      <c r="D158" t="s">
        <v>13007</v>
      </c>
      <c r="E158" t="s">
        <v>13241</v>
      </c>
      <c r="F158" t="s">
        <v>22436</v>
      </c>
      <c r="G158" t="s">
        <v>22444</v>
      </c>
      <c r="H158" t="s">
        <v>22452</v>
      </c>
      <c r="I158" t="s">
        <v>12358</v>
      </c>
      <c r="J158" t="s">
        <v>22731</v>
      </c>
      <c r="K158" t="s">
        <v>29338</v>
      </c>
      <c r="M158" t="s">
        <v>29643</v>
      </c>
      <c r="N158" t="s">
        <v>32524</v>
      </c>
      <c r="O158" t="s">
        <v>32525</v>
      </c>
      <c r="P158">
        <v>0</v>
      </c>
      <c r="Q158">
        <v>0</v>
      </c>
      <c r="R158" t="s">
        <v>32526</v>
      </c>
      <c r="S158" t="s">
        <v>32547</v>
      </c>
      <c r="T158" t="s">
        <v>33186</v>
      </c>
      <c r="U158" t="s">
        <v>33763</v>
      </c>
      <c r="V158" t="s">
        <v>42441</v>
      </c>
      <c r="W158" t="s">
        <v>29643</v>
      </c>
      <c r="X158" t="s">
        <v>32530</v>
      </c>
    </row>
    <row r="159" spans="1:24">
      <c r="A159">
        <f>HYPERLINK("https://www.philgeps.gov.ph/GEPSNONPILOT/Tender/SplashBidNoticeAbstractUI.aspx?menuIndex=3&amp;refID=7043079&amp;Result=3","7043079")</f>
        <v>0</v>
      </c>
      <c r="B159" t="s">
        <v>57</v>
      </c>
      <c r="C159" t="s">
        <v>2835</v>
      </c>
      <c r="D159" t="s">
        <v>13013</v>
      </c>
      <c r="E159" t="s">
        <v>13242</v>
      </c>
      <c r="F159" t="s">
        <v>22436</v>
      </c>
      <c r="G159" t="s">
        <v>22446</v>
      </c>
      <c r="H159" t="s">
        <v>22452</v>
      </c>
      <c r="I159" t="s">
        <v>3529</v>
      </c>
      <c r="J159" t="s">
        <v>22732</v>
      </c>
      <c r="K159" t="s">
        <v>29331</v>
      </c>
      <c r="M159" t="s">
        <v>29629</v>
      </c>
      <c r="N159" t="s">
        <v>32524</v>
      </c>
      <c r="O159" t="s">
        <v>32525</v>
      </c>
      <c r="P159">
        <v>0</v>
      </c>
      <c r="Q159">
        <v>0</v>
      </c>
      <c r="R159" t="s">
        <v>32526</v>
      </c>
      <c r="S159" t="s">
        <v>32547</v>
      </c>
      <c r="T159" t="s">
        <v>33167</v>
      </c>
      <c r="U159" t="s">
        <v>33764</v>
      </c>
      <c r="V159" t="s">
        <v>42454</v>
      </c>
      <c r="W159" t="s">
        <v>29629</v>
      </c>
      <c r="X159" t="s">
        <v>32531</v>
      </c>
    </row>
    <row r="160" spans="1:24">
      <c r="A160">
        <f>HYPERLINK("https://www.philgeps.gov.ph/GEPSNONPILOT/Tender/SplashBidNoticeAbstractUI.aspx?menuIndex=3&amp;refID=7043383&amp;Result=3","7043383")</f>
        <v>0</v>
      </c>
      <c r="B160" t="s">
        <v>86</v>
      </c>
      <c r="C160" t="s">
        <v>2836</v>
      </c>
      <c r="D160" t="s">
        <v>13021</v>
      </c>
      <c r="E160" t="s">
        <v>13243</v>
      </c>
      <c r="F160" t="s">
        <v>22436</v>
      </c>
      <c r="G160" t="s">
        <v>22445</v>
      </c>
      <c r="H160" t="s">
        <v>22452</v>
      </c>
      <c r="I160" t="s">
        <v>22471</v>
      </c>
      <c r="J160" t="s">
        <v>22733</v>
      </c>
      <c r="K160" t="s">
        <v>29335</v>
      </c>
      <c r="M160" t="s">
        <v>29658</v>
      </c>
      <c r="N160" t="s">
        <v>32524</v>
      </c>
      <c r="O160" t="s">
        <v>32525</v>
      </c>
      <c r="P160">
        <v>0</v>
      </c>
      <c r="Q160">
        <v>8</v>
      </c>
      <c r="R160" t="s">
        <v>32526</v>
      </c>
      <c r="S160" t="s">
        <v>32547</v>
      </c>
      <c r="T160" t="s">
        <v>33195</v>
      </c>
      <c r="U160" t="s">
        <v>33765</v>
      </c>
      <c r="W160" t="s">
        <v>29658</v>
      </c>
      <c r="X160" t="s">
        <v>32530</v>
      </c>
    </row>
    <row r="161" spans="1:24">
      <c r="A161">
        <f>HYPERLINK("https://www.philgeps.gov.ph/GEPSNONPILOT/Tender/SplashBidNoticeAbstractUI.aspx?menuIndex=3&amp;refID=7043385&amp;Result=3","7043385")</f>
        <v>0</v>
      </c>
      <c r="B161" t="s">
        <v>71</v>
      </c>
      <c r="C161" t="s">
        <v>2837</v>
      </c>
      <c r="D161" t="s">
        <v>13007</v>
      </c>
      <c r="E161" t="s">
        <v>13244</v>
      </c>
      <c r="F161" t="s">
        <v>22436</v>
      </c>
      <c r="G161" t="s">
        <v>22444</v>
      </c>
      <c r="H161" t="s">
        <v>22452</v>
      </c>
      <c r="I161" t="s">
        <v>22461</v>
      </c>
      <c r="J161" t="s">
        <v>22734</v>
      </c>
      <c r="K161" t="s">
        <v>29338</v>
      </c>
      <c r="M161" t="s">
        <v>29643</v>
      </c>
      <c r="N161" t="s">
        <v>32524</v>
      </c>
      <c r="O161" t="s">
        <v>32525</v>
      </c>
      <c r="P161">
        <v>0</v>
      </c>
      <c r="Q161">
        <v>0</v>
      </c>
      <c r="R161" t="s">
        <v>32526</v>
      </c>
      <c r="S161" t="s">
        <v>32547</v>
      </c>
      <c r="T161" t="s">
        <v>33186</v>
      </c>
      <c r="U161" t="s">
        <v>33766</v>
      </c>
      <c r="V161" t="s">
        <v>42441</v>
      </c>
      <c r="W161" t="s">
        <v>29643</v>
      </c>
      <c r="X161" t="s">
        <v>32530</v>
      </c>
    </row>
    <row r="162" spans="1:24">
      <c r="A162">
        <f>HYPERLINK("https://www.philgeps.gov.ph/GEPSNONPILOT/Tender/SplashBidNoticeAbstractUI.aspx?menuIndex=3&amp;refID=7043361&amp;Result=3","7043361")</f>
        <v>0</v>
      </c>
      <c r="B162" t="s">
        <v>71</v>
      </c>
      <c r="C162" t="s">
        <v>2838</v>
      </c>
      <c r="D162" t="s">
        <v>13007</v>
      </c>
      <c r="E162" t="s">
        <v>13245</v>
      </c>
      <c r="F162" t="s">
        <v>22436</v>
      </c>
      <c r="G162" t="s">
        <v>22444</v>
      </c>
      <c r="H162" t="s">
        <v>22452</v>
      </c>
      <c r="I162" t="s">
        <v>22483</v>
      </c>
      <c r="J162" t="s">
        <v>22735</v>
      </c>
      <c r="K162" t="s">
        <v>29338</v>
      </c>
      <c r="M162" t="s">
        <v>29643</v>
      </c>
      <c r="N162" t="s">
        <v>32524</v>
      </c>
      <c r="O162" t="s">
        <v>32525</v>
      </c>
      <c r="P162">
        <v>0</v>
      </c>
      <c r="Q162">
        <v>1</v>
      </c>
      <c r="R162" t="s">
        <v>32526</v>
      </c>
      <c r="S162" t="s">
        <v>32547</v>
      </c>
      <c r="T162" t="s">
        <v>33186</v>
      </c>
      <c r="U162" t="s">
        <v>33767</v>
      </c>
      <c r="V162" t="s">
        <v>42441</v>
      </c>
      <c r="W162" t="s">
        <v>29643</v>
      </c>
      <c r="X162" t="s">
        <v>32530</v>
      </c>
    </row>
    <row r="163" spans="1:24">
      <c r="A163">
        <f>HYPERLINK("https://www.philgeps.gov.ph/GEPSNONPILOT/Tender/SplashBidNoticeAbstractUI.aspx?menuIndex=3&amp;refID=7043057&amp;Result=3","7043057")</f>
        <v>0</v>
      </c>
      <c r="B163" t="s">
        <v>57</v>
      </c>
      <c r="C163" t="s">
        <v>2839</v>
      </c>
      <c r="D163" t="s">
        <v>13013</v>
      </c>
      <c r="E163" t="s">
        <v>13246</v>
      </c>
      <c r="F163" t="s">
        <v>22436</v>
      </c>
      <c r="G163" t="s">
        <v>22446</v>
      </c>
      <c r="H163" t="s">
        <v>22452</v>
      </c>
      <c r="I163" t="s">
        <v>3529</v>
      </c>
      <c r="J163" t="s">
        <v>22717</v>
      </c>
      <c r="K163" t="s">
        <v>29331</v>
      </c>
      <c r="M163" t="s">
        <v>29629</v>
      </c>
      <c r="N163" t="s">
        <v>32524</v>
      </c>
      <c r="O163" t="s">
        <v>32525</v>
      </c>
      <c r="P163">
        <v>0</v>
      </c>
      <c r="Q163">
        <v>0</v>
      </c>
      <c r="R163" t="s">
        <v>32526</v>
      </c>
      <c r="S163" t="s">
        <v>32547</v>
      </c>
      <c r="T163" t="s">
        <v>33167</v>
      </c>
      <c r="U163" t="s">
        <v>33768</v>
      </c>
      <c r="V163" t="s">
        <v>42455</v>
      </c>
      <c r="W163" t="s">
        <v>29629</v>
      </c>
      <c r="X163" t="s">
        <v>32531</v>
      </c>
    </row>
    <row r="164" spans="1:24">
      <c r="A164">
        <f>HYPERLINK("https://www.philgeps.gov.ph/GEPSNONPILOT/Tender/SplashBidNoticeAbstractUI.aspx?menuIndex=3&amp;refID=7043402&amp;Result=3","7043402")</f>
        <v>0</v>
      </c>
      <c r="B164" t="s">
        <v>71</v>
      </c>
      <c r="C164" t="s">
        <v>2840</v>
      </c>
      <c r="D164" t="s">
        <v>13007</v>
      </c>
      <c r="E164" t="s">
        <v>13247</v>
      </c>
      <c r="F164" t="s">
        <v>22436</v>
      </c>
      <c r="G164" t="s">
        <v>22444</v>
      </c>
      <c r="H164" t="s">
        <v>22452</v>
      </c>
      <c r="I164" t="s">
        <v>22471</v>
      </c>
      <c r="J164" t="s">
        <v>22736</v>
      </c>
      <c r="K164" t="s">
        <v>29338</v>
      </c>
      <c r="M164" t="s">
        <v>29643</v>
      </c>
      <c r="N164" t="s">
        <v>32524</v>
      </c>
      <c r="O164" t="s">
        <v>32525</v>
      </c>
      <c r="P164">
        <v>0</v>
      </c>
      <c r="Q164">
        <v>1</v>
      </c>
      <c r="R164" t="s">
        <v>32526</v>
      </c>
      <c r="S164" t="s">
        <v>32547</v>
      </c>
      <c r="T164" t="s">
        <v>33186</v>
      </c>
      <c r="U164" t="s">
        <v>33769</v>
      </c>
      <c r="V164" t="s">
        <v>42441</v>
      </c>
      <c r="W164" t="s">
        <v>29643</v>
      </c>
      <c r="X164" t="s">
        <v>32530</v>
      </c>
    </row>
    <row r="165" spans="1:24">
      <c r="A165">
        <f>HYPERLINK("https://www.philgeps.gov.ph/GEPSNONPILOT/Tender/SplashBidNoticeAbstractUI.aspx?menuIndex=3&amp;refID=7043380&amp;Result=3","7043380")</f>
        <v>0</v>
      </c>
      <c r="B165" t="s">
        <v>71</v>
      </c>
      <c r="C165" t="s">
        <v>2841</v>
      </c>
      <c r="D165" t="s">
        <v>13007</v>
      </c>
      <c r="E165" t="s">
        <v>13248</v>
      </c>
      <c r="F165" t="s">
        <v>22436</v>
      </c>
      <c r="G165" t="s">
        <v>22444</v>
      </c>
      <c r="H165" t="s">
        <v>22452</v>
      </c>
      <c r="I165" t="s">
        <v>22465</v>
      </c>
      <c r="J165" t="s">
        <v>22737</v>
      </c>
      <c r="K165" t="s">
        <v>29338</v>
      </c>
      <c r="M165" t="s">
        <v>29643</v>
      </c>
      <c r="N165" t="s">
        <v>32524</v>
      </c>
      <c r="O165" t="s">
        <v>32525</v>
      </c>
      <c r="P165">
        <v>0</v>
      </c>
      <c r="Q165">
        <v>0</v>
      </c>
      <c r="R165" t="s">
        <v>32526</v>
      </c>
      <c r="S165" t="s">
        <v>32547</v>
      </c>
      <c r="T165" t="s">
        <v>33186</v>
      </c>
      <c r="U165" t="s">
        <v>33770</v>
      </c>
      <c r="V165" t="s">
        <v>42441</v>
      </c>
      <c r="W165" t="s">
        <v>29643</v>
      </c>
      <c r="X165" t="s">
        <v>32530</v>
      </c>
    </row>
    <row r="166" spans="1:24">
      <c r="A166">
        <f>HYPERLINK("https://www.philgeps.gov.ph/GEPSNONPILOT/Tender/SplashBidNoticeAbstractUI.aspx?menuIndex=3&amp;refID=7043394&amp;Result=3","7043394")</f>
        <v>0</v>
      </c>
      <c r="B166" t="s">
        <v>71</v>
      </c>
      <c r="C166" t="s">
        <v>2842</v>
      </c>
      <c r="D166" t="s">
        <v>13007</v>
      </c>
      <c r="E166" t="s">
        <v>13249</v>
      </c>
      <c r="F166" t="s">
        <v>22436</v>
      </c>
      <c r="G166" t="s">
        <v>22444</v>
      </c>
      <c r="H166" t="s">
        <v>22452</v>
      </c>
      <c r="I166" t="s">
        <v>22468</v>
      </c>
      <c r="J166" t="s">
        <v>22738</v>
      </c>
      <c r="K166" t="s">
        <v>29338</v>
      </c>
      <c r="M166" t="s">
        <v>29643</v>
      </c>
      <c r="N166" t="s">
        <v>32524</v>
      </c>
      <c r="O166" t="s">
        <v>32525</v>
      </c>
      <c r="P166">
        <v>0</v>
      </c>
      <c r="Q166">
        <v>0</v>
      </c>
      <c r="R166" t="s">
        <v>32526</v>
      </c>
      <c r="S166" t="s">
        <v>32547</v>
      </c>
      <c r="T166" t="s">
        <v>33186</v>
      </c>
      <c r="U166" t="s">
        <v>33771</v>
      </c>
      <c r="V166" t="s">
        <v>42441</v>
      </c>
      <c r="W166" t="s">
        <v>29643</v>
      </c>
      <c r="X166" t="s">
        <v>32530</v>
      </c>
    </row>
    <row r="167" spans="1:24">
      <c r="A167">
        <f>HYPERLINK("https://www.philgeps.gov.ph/GEPSNONPILOT/Tender/SplashBidNoticeAbstractUI.aspx?menuIndex=3&amp;refID=7043375&amp;Result=3","7043375")</f>
        <v>0</v>
      </c>
      <c r="B167" t="s">
        <v>71</v>
      </c>
      <c r="C167" t="s">
        <v>2843</v>
      </c>
      <c r="D167" t="s">
        <v>13007</v>
      </c>
      <c r="E167" t="s">
        <v>13250</v>
      </c>
      <c r="F167" t="s">
        <v>22436</v>
      </c>
      <c r="G167" t="s">
        <v>22444</v>
      </c>
      <c r="H167" t="s">
        <v>22452</v>
      </c>
      <c r="I167" t="s">
        <v>22467</v>
      </c>
      <c r="J167" t="s">
        <v>22739</v>
      </c>
      <c r="K167" t="s">
        <v>29338</v>
      </c>
      <c r="M167" t="s">
        <v>29643</v>
      </c>
      <c r="N167" t="s">
        <v>32524</v>
      </c>
      <c r="O167" t="s">
        <v>32525</v>
      </c>
      <c r="P167">
        <v>0</v>
      </c>
      <c r="Q167">
        <v>0</v>
      </c>
      <c r="R167" t="s">
        <v>32526</v>
      </c>
      <c r="S167" t="s">
        <v>32547</v>
      </c>
      <c r="T167" t="s">
        <v>33186</v>
      </c>
      <c r="U167" t="s">
        <v>33772</v>
      </c>
      <c r="V167" t="s">
        <v>42441</v>
      </c>
      <c r="W167" t="s">
        <v>29643</v>
      </c>
      <c r="X167" t="s">
        <v>32530</v>
      </c>
    </row>
    <row r="168" spans="1:24">
      <c r="A168">
        <f>HYPERLINK("https://www.philgeps.gov.ph/GEPSNONPILOT/Tender/SplashBidNoticeAbstractUI.aspx?menuIndex=3&amp;refID=7043397&amp;Result=3","7043397")</f>
        <v>0</v>
      </c>
      <c r="B168" t="s">
        <v>71</v>
      </c>
      <c r="C168" t="s">
        <v>2844</v>
      </c>
      <c r="D168" t="s">
        <v>13007</v>
      </c>
      <c r="E168" t="s">
        <v>13251</v>
      </c>
      <c r="F168" t="s">
        <v>22436</v>
      </c>
      <c r="G168" t="s">
        <v>22444</v>
      </c>
      <c r="H168" t="s">
        <v>22452</v>
      </c>
      <c r="I168" t="s">
        <v>12358</v>
      </c>
      <c r="J168" t="s">
        <v>22740</v>
      </c>
      <c r="K168" t="s">
        <v>29338</v>
      </c>
      <c r="M168" t="s">
        <v>29643</v>
      </c>
      <c r="N168" t="s">
        <v>32524</v>
      </c>
      <c r="O168" t="s">
        <v>32525</v>
      </c>
      <c r="P168">
        <v>0</v>
      </c>
      <c r="Q168">
        <v>0</v>
      </c>
      <c r="R168" t="s">
        <v>32526</v>
      </c>
      <c r="S168" t="s">
        <v>32547</v>
      </c>
      <c r="T168" t="s">
        <v>33186</v>
      </c>
      <c r="U168" t="s">
        <v>33773</v>
      </c>
      <c r="V168" t="s">
        <v>42441</v>
      </c>
      <c r="W168" t="s">
        <v>29643</v>
      </c>
      <c r="X168" t="s">
        <v>32530</v>
      </c>
    </row>
    <row r="169" spans="1:24">
      <c r="A169">
        <f>HYPERLINK("https://www.philgeps.gov.ph/GEPSNONPILOT/Tender/SplashBidNoticeAbstractUI.aspx?menuIndex=3&amp;refID=7043469&amp;Result=3","7043469")</f>
        <v>0</v>
      </c>
      <c r="B169" t="s">
        <v>87</v>
      </c>
      <c r="C169" t="s">
        <v>2845</v>
      </c>
      <c r="D169" t="s">
        <v>12996</v>
      </c>
      <c r="E169" t="s">
        <v>13252</v>
      </c>
      <c r="F169" t="s">
        <v>22436</v>
      </c>
      <c r="G169" t="s">
        <v>22443</v>
      </c>
      <c r="H169" t="s">
        <v>22454</v>
      </c>
      <c r="I169" t="s">
        <v>7738</v>
      </c>
      <c r="J169" t="s">
        <v>22741</v>
      </c>
      <c r="K169" t="s">
        <v>29338</v>
      </c>
      <c r="M169" t="s">
        <v>29659</v>
      </c>
      <c r="N169" t="s">
        <v>32524</v>
      </c>
      <c r="O169" t="s">
        <v>32525</v>
      </c>
      <c r="P169">
        <v>0</v>
      </c>
      <c r="Q169">
        <v>2</v>
      </c>
      <c r="R169" t="s">
        <v>32526</v>
      </c>
      <c r="S169" t="s">
        <v>32547</v>
      </c>
      <c r="T169" t="s">
        <v>33161</v>
      </c>
      <c r="U169" t="s">
        <v>33774</v>
      </c>
      <c r="V169" t="s">
        <v>42456</v>
      </c>
      <c r="W169" t="s">
        <v>29659</v>
      </c>
      <c r="X169" t="s">
        <v>32530</v>
      </c>
    </row>
    <row r="170" spans="1:24">
      <c r="A170">
        <f>HYPERLINK("https://www.philgeps.gov.ph/GEPSNONPILOT/Tender/SplashBidNoticeAbstractUI.aspx?menuIndex=3&amp;refID=7043463&amp;Result=3","7043463")</f>
        <v>0</v>
      </c>
      <c r="B170" t="s">
        <v>87</v>
      </c>
      <c r="C170" t="s">
        <v>2846</v>
      </c>
      <c r="D170" t="s">
        <v>13000</v>
      </c>
      <c r="E170" t="s">
        <v>13253</v>
      </c>
      <c r="F170" t="s">
        <v>22436</v>
      </c>
      <c r="G170" t="s">
        <v>22443</v>
      </c>
      <c r="H170" t="s">
        <v>22454</v>
      </c>
      <c r="I170" t="s">
        <v>7738</v>
      </c>
      <c r="J170" t="s">
        <v>22742</v>
      </c>
      <c r="K170" t="s">
        <v>29338</v>
      </c>
      <c r="M170" t="s">
        <v>29659</v>
      </c>
      <c r="N170" t="s">
        <v>32524</v>
      </c>
      <c r="O170" t="s">
        <v>32525</v>
      </c>
      <c r="P170">
        <v>0</v>
      </c>
      <c r="Q170">
        <v>0</v>
      </c>
      <c r="R170" t="s">
        <v>32526</v>
      </c>
      <c r="S170" t="s">
        <v>32547</v>
      </c>
      <c r="T170" t="s">
        <v>33161</v>
      </c>
      <c r="U170" t="s">
        <v>33775</v>
      </c>
      <c r="V170" t="s">
        <v>42456</v>
      </c>
      <c r="W170" t="s">
        <v>29659</v>
      </c>
      <c r="X170" t="s">
        <v>32530</v>
      </c>
    </row>
    <row r="171" spans="1:24">
      <c r="A171">
        <f>HYPERLINK("https://www.philgeps.gov.ph/GEPSNONPILOT/Tender/SplashBidNoticeAbstractUI.aspx?menuIndex=3&amp;refID=7043468&amp;Result=3","7043468")</f>
        <v>0</v>
      </c>
      <c r="B171" t="s">
        <v>87</v>
      </c>
      <c r="C171" t="s">
        <v>2847</v>
      </c>
      <c r="D171" t="s">
        <v>12996</v>
      </c>
      <c r="E171" t="s">
        <v>13254</v>
      </c>
      <c r="F171" t="s">
        <v>22436</v>
      </c>
      <c r="G171" t="s">
        <v>22443</v>
      </c>
      <c r="H171" t="s">
        <v>22454</v>
      </c>
      <c r="I171" t="s">
        <v>7738</v>
      </c>
      <c r="J171" t="s">
        <v>22743</v>
      </c>
      <c r="K171" t="s">
        <v>29338</v>
      </c>
      <c r="M171" t="s">
        <v>29659</v>
      </c>
      <c r="N171" t="s">
        <v>32524</v>
      </c>
      <c r="O171" t="s">
        <v>32525</v>
      </c>
      <c r="P171">
        <v>0</v>
      </c>
      <c r="Q171">
        <v>1</v>
      </c>
      <c r="R171" t="s">
        <v>32526</v>
      </c>
      <c r="S171" t="s">
        <v>32547</v>
      </c>
      <c r="T171" t="s">
        <v>33161</v>
      </c>
      <c r="U171" t="s">
        <v>33776</v>
      </c>
      <c r="V171" t="s">
        <v>42456</v>
      </c>
      <c r="W171" t="s">
        <v>29659</v>
      </c>
      <c r="X171" t="s">
        <v>32530</v>
      </c>
    </row>
    <row r="172" spans="1:24">
      <c r="A172">
        <f>HYPERLINK("https://www.philgeps.gov.ph/GEPSNONPILOT/Tender/SplashBidNoticeAbstractUI.aspx?menuIndex=3&amp;refID=7043466&amp;Result=3","7043466")</f>
        <v>0</v>
      </c>
      <c r="B172" t="s">
        <v>87</v>
      </c>
      <c r="C172" t="s">
        <v>2848</v>
      </c>
      <c r="D172" t="s">
        <v>12996</v>
      </c>
      <c r="E172" t="s">
        <v>13255</v>
      </c>
      <c r="F172" t="s">
        <v>22436</v>
      </c>
      <c r="G172" t="s">
        <v>22443</v>
      </c>
      <c r="H172" t="s">
        <v>22454</v>
      </c>
      <c r="I172" t="s">
        <v>7738</v>
      </c>
      <c r="J172" t="s">
        <v>22744</v>
      </c>
      <c r="K172" t="s">
        <v>29338</v>
      </c>
      <c r="M172" t="s">
        <v>29659</v>
      </c>
      <c r="N172" t="s">
        <v>32524</v>
      </c>
      <c r="O172" t="s">
        <v>32525</v>
      </c>
      <c r="P172">
        <v>0</v>
      </c>
      <c r="Q172">
        <v>1</v>
      </c>
      <c r="R172" t="s">
        <v>32526</v>
      </c>
      <c r="S172" t="s">
        <v>32547</v>
      </c>
      <c r="T172" t="s">
        <v>33161</v>
      </c>
      <c r="U172" t="s">
        <v>33777</v>
      </c>
      <c r="V172" t="s">
        <v>42456</v>
      </c>
      <c r="W172" t="s">
        <v>29659</v>
      </c>
      <c r="X172" t="s">
        <v>32530</v>
      </c>
    </row>
    <row r="173" spans="1:24">
      <c r="A173">
        <f>HYPERLINK("https://www.philgeps.gov.ph/GEPSNONPILOT/Tender/SplashBidNoticeAbstractUI.aspx?menuIndex=3&amp;refID=7043410&amp;Result=3","7043410")</f>
        <v>0</v>
      </c>
      <c r="B173" t="s">
        <v>71</v>
      </c>
      <c r="C173" t="s">
        <v>2849</v>
      </c>
      <c r="D173" t="s">
        <v>13007</v>
      </c>
      <c r="E173" t="s">
        <v>13256</v>
      </c>
      <c r="F173" t="s">
        <v>22436</v>
      </c>
      <c r="G173" t="s">
        <v>22444</v>
      </c>
      <c r="H173" t="s">
        <v>22452</v>
      </c>
      <c r="I173" t="s">
        <v>22467</v>
      </c>
      <c r="J173" t="s">
        <v>22745</v>
      </c>
      <c r="K173" t="s">
        <v>29338</v>
      </c>
      <c r="M173" t="s">
        <v>29643</v>
      </c>
      <c r="N173" t="s">
        <v>32524</v>
      </c>
      <c r="O173" t="s">
        <v>32525</v>
      </c>
      <c r="P173">
        <v>0</v>
      </c>
      <c r="Q173">
        <v>0</v>
      </c>
      <c r="R173" t="s">
        <v>32526</v>
      </c>
      <c r="S173" t="s">
        <v>32547</v>
      </c>
      <c r="T173" t="s">
        <v>33186</v>
      </c>
      <c r="U173" t="s">
        <v>33778</v>
      </c>
      <c r="V173" t="s">
        <v>42441</v>
      </c>
      <c r="W173" t="s">
        <v>29643</v>
      </c>
      <c r="X173" t="s">
        <v>32530</v>
      </c>
    </row>
    <row r="174" spans="1:24">
      <c r="A174">
        <f>HYPERLINK("https://www.philgeps.gov.ph/GEPSNONPILOT/Tender/SplashBidNoticeAbstractUI.aspx?menuIndex=3&amp;refID=7043567&amp;Result=3","7043567")</f>
        <v>0</v>
      </c>
      <c r="B174" t="s">
        <v>88</v>
      </c>
      <c r="C174" t="s">
        <v>2850</v>
      </c>
      <c r="D174" t="s">
        <v>13025</v>
      </c>
      <c r="E174" t="s">
        <v>13257</v>
      </c>
      <c r="F174" t="s">
        <v>22436</v>
      </c>
      <c r="G174" t="s">
        <v>22443</v>
      </c>
      <c r="H174" t="s">
        <v>22452</v>
      </c>
      <c r="I174" t="s">
        <v>22485</v>
      </c>
      <c r="J174" t="s">
        <v>22746</v>
      </c>
      <c r="K174" t="s">
        <v>29338</v>
      </c>
      <c r="M174" t="s">
        <v>29660</v>
      </c>
      <c r="N174" t="s">
        <v>32524</v>
      </c>
      <c r="O174" t="s">
        <v>32525</v>
      </c>
      <c r="P174">
        <v>0</v>
      </c>
      <c r="Q174">
        <v>1</v>
      </c>
      <c r="R174" t="s">
        <v>32526</v>
      </c>
      <c r="S174" t="s">
        <v>32547</v>
      </c>
      <c r="T174" t="s">
        <v>33196</v>
      </c>
      <c r="U174" t="s">
        <v>33779</v>
      </c>
      <c r="W174" t="s">
        <v>29660</v>
      </c>
      <c r="X174" t="s">
        <v>32530</v>
      </c>
    </row>
    <row r="175" spans="1:24">
      <c r="A175">
        <f>HYPERLINK("https://www.philgeps.gov.ph/GEPSNONPILOT/Tender/SplashBidNoticeAbstractUI.aspx?menuIndex=3&amp;refID=7043406&amp;Result=3","7043406")</f>
        <v>0</v>
      </c>
      <c r="B175" t="s">
        <v>71</v>
      </c>
      <c r="C175" t="s">
        <v>2851</v>
      </c>
      <c r="D175" t="s">
        <v>13007</v>
      </c>
      <c r="E175" t="s">
        <v>13258</v>
      </c>
      <c r="F175" t="s">
        <v>22436</v>
      </c>
      <c r="G175" t="s">
        <v>22444</v>
      </c>
      <c r="H175" t="s">
        <v>22452</v>
      </c>
      <c r="I175" t="s">
        <v>22469</v>
      </c>
      <c r="J175" t="s">
        <v>22746</v>
      </c>
      <c r="K175" t="s">
        <v>29338</v>
      </c>
      <c r="M175" t="s">
        <v>29643</v>
      </c>
      <c r="N175" t="s">
        <v>32524</v>
      </c>
      <c r="O175" t="s">
        <v>32525</v>
      </c>
      <c r="P175">
        <v>0</v>
      </c>
      <c r="Q175">
        <v>0</v>
      </c>
      <c r="R175" t="s">
        <v>32526</v>
      </c>
      <c r="S175" t="s">
        <v>32547</v>
      </c>
      <c r="T175" t="s">
        <v>33186</v>
      </c>
      <c r="U175" t="s">
        <v>33780</v>
      </c>
      <c r="V175" t="s">
        <v>42441</v>
      </c>
      <c r="W175" t="s">
        <v>29643</v>
      </c>
      <c r="X175" t="s">
        <v>32530</v>
      </c>
    </row>
    <row r="176" spans="1:24">
      <c r="A176">
        <f>HYPERLINK("https://www.philgeps.gov.ph/GEPSNONPILOT/Tender/SplashBidNoticeAbstractUI.aspx?menuIndex=3&amp;refID=7043416&amp;Result=3","7043416")</f>
        <v>0</v>
      </c>
      <c r="B176" t="s">
        <v>71</v>
      </c>
      <c r="C176" t="s">
        <v>2852</v>
      </c>
      <c r="D176" t="s">
        <v>13007</v>
      </c>
      <c r="E176" t="s">
        <v>13259</v>
      </c>
      <c r="F176" t="s">
        <v>22436</v>
      </c>
      <c r="G176" t="s">
        <v>22444</v>
      </c>
      <c r="H176" t="s">
        <v>22455</v>
      </c>
      <c r="I176" t="s">
        <v>22486</v>
      </c>
      <c r="J176" t="s">
        <v>22747</v>
      </c>
      <c r="K176" t="s">
        <v>29338</v>
      </c>
      <c r="M176" t="s">
        <v>29643</v>
      </c>
      <c r="N176" t="s">
        <v>32524</v>
      </c>
      <c r="O176" t="s">
        <v>32525</v>
      </c>
      <c r="P176">
        <v>0</v>
      </c>
      <c r="Q176">
        <v>0</v>
      </c>
      <c r="R176" t="s">
        <v>32526</v>
      </c>
      <c r="S176" t="s">
        <v>32547</v>
      </c>
      <c r="T176" t="s">
        <v>33186</v>
      </c>
      <c r="U176" t="s">
        <v>33781</v>
      </c>
      <c r="V176" t="s">
        <v>42441</v>
      </c>
      <c r="W176" t="s">
        <v>29643</v>
      </c>
      <c r="X176" t="s">
        <v>32530</v>
      </c>
    </row>
    <row r="177" spans="1:24">
      <c r="A177">
        <f>HYPERLINK("https://www.philgeps.gov.ph/GEPSNONPILOT/Tender/SplashBidNoticeAbstractUI.aspx?menuIndex=3&amp;refID=7043393&amp;Result=3","7043393")</f>
        <v>0</v>
      </c>
      <c r="B177" t="s">
        <v>86</v>
      </c>
      <c r="C177" t="s">
        <v>2827</v>
      </c>
      <c r="D177" t="s">
        <v>13021</v>
      </c>
      <c r="E177" t="s">
        <v>13260</v>
      </c>
      <c r="F177" t="s">
        <v>22436</v>
      </c>
      <c r="G177" t="s">
        <v>22445</v>
      </c>
      <c r="H177" t="s">
        <v>22452</v>
      </c>
      <c r="I177" t="s">
        <v>22471</v>
      </c>
      <c r="J177" t="s">
        <v>22748</v>
      </c>
      <c r="K177" t="s">
        <v>29335</v>
      </c>
      <c r="M177" t="s">
        <v>29658</v>
      </c>
      <c r="N177" t="s">
        <v>32524</v>
      </c>
      <c r="O177" t="s">
        <v>32525</v>
      </c>
      <c r="P177">
        <v>0</v>
      </c>
      <c r="Q177">
        <v>7</v>
      </c>
      <c r="R177" t="s">
        <v>32526</v>
      </c>
      <c r="S177" t="s">
        <v>32547</v>
      </c>
      <c r="T177" t="s">
        <v>33194</v>
      </c>
      <c r="U177" t="s">
        <v>33782</v>
      </c>
      <c r="W177" t="s">
        <v>29658</v>
      </c>
      <c r="X177" t="s">
        <v>32530</v>
      </c>
    </row>
    <row r="178" spans="1:24">
      <c r="A178">
        <f>HYPERLINK("https://www.philgeps.gov.ph/GEPSNONPILOT/Tender/SplashBidNoticeAbstractUI.aspx?menuIndex=3&amp;refID=7043419&amp;Result=3","7043419")</f>
        <v>0</v>
      </c>
      <c r="B178" t="s">
        <v>71</v>
      </c>
      <c r="C178" t="s">
        <v>2853</v>
      </c>
      <c r="D178" t="s">
        <v>13007</v>
      </c>
      <c r="E178" t="s">
        <v>13261</v>
      </c>
      <c r="F178" t="s">
        <v>22436</v>
      </c>
      <c r="G178" t="s">
        <v>22444</v>
      </c>
      <c r="H178" t="s">
        <v>22452</v>
      </c>
      <c r="I178" t="s">
        <v>22465</v>
      </c>
      <c r="J178" t="s">
        <v>22749</v>
      </c>
      <c r="K178" t="s">
        <v>29338</v>
      </c>
      <c r="M178" t="s">
        <v>29643</v>
      </c>
      <c r="N178" t="s">
        <v>32524</v>
      </c>
      <c r="O178" t="s">
        <v>32525</v>
      </c>
      <c r="P178">
        <v>0</v>
      </c>
      <c r="Q178">
        <v>1</v>
      </c>
      <c r="R178" t="s">
        <v>32526</v>
      </c>
      <c r="S178" t="s">
        <v>32547</v>
      </c>
      <c r="T178" t="s">
        <v>33186</v>
      </c>
      <c r="U178" t="s">
        <v>33783</v>
      </c>
      <c r="V178" t="s">
        <v>42441</v>
      </c>
      <c r="W178" t="s">
        <v>29643</v>
      </c>
      <c r="X178" t="s">
        <v>32530</v>
      </c>
    </row>
    <row r="179" spans="1:24">
      <c r="A179">
        <f>HYPERLINK("https://www.philgeps.gov.ph/GEPSNONPILOT/Tender/SplashBidNoticeAbstractUI.aspx?menuIndex=3&amp;refID=7043390&amp;Result=3","7043390")</f>
        <v>0</v>
      </c>
      <c r="B179" t="s">
        <v>89</v>
      </c>
      <c r="C179" t="s">
        <v>2854</v>
      </c>
      <c r="D179" t="s">
        <v>13022</v>
      </c>
      <c r="E179" t="s">
        <v>13262</v>
      </c>
      <c r="F179" t="s">
        <v>22436</v>
      </c>
      <c r="G179" t="s">
        <v>22444</v>
      </c>
      <c r="H179" t="s">
        <v>22454</v>
      </c>
      <c r="I179" t="s">
        <v>7738</v>
      </c>
      <c r="J179" t="s">
        <v>22750</v>
      </c>
      <c r="K179" t="s">
        <v>29335</v>
      </c>
      <c r="M179" t="s">
        <v>29661</v>
      </c>
      <c r="N179" t="s">
        <v>32524</v>
      </c>
      <c r="O179" t="s">
        <v>32525</v>
      </c>
      <c r="P179">
        <v>0</v>
      </c>
      <c r="Q179">
        <v>0</v>
      </c>
      <c r="R179" t="s">
        <v>32526</v>
      </c>
      <c r="S179" t="s">
        <v>32547</v>
      </c>
      <c r="T179" t="s">
        <v>33170</v>
      </c>
      <c r="U179" t="s">
        <v>33784</v>
      </c>
      <c r="W179" t="s">
        <v>29661</v>
      </c>
      <c r="X179" t="s">
        <v>32530</v>
      </c>
    </row>
    <row r="180" spans="1:24">
      <c r="A180">
        <f>HYPERLINK("https://www.philgeps.gov.ph/GEPSNONPILOT/Tender/SplashBidNoticeAbstractUI.aspx?menuIndex=3&amp;refID=7043752&amp;Result=3","7043752")</f>
        <v>0</v>
      </c>
      <c r="B180" t="s">
        <v>50</v>
      </c>
      <c r="C180" t="s">
        <v>2814</v>
      </c>
      <c r="D180" t="s">
        <v>13008</v>
      </c>
      <c r="E180" t="s">
        <v>13263</v>
      </c>
      <c r="F180" t="s">
        <v>22436</v>
      </c>
      <c r="G180" t="s">
        <v>22444</v>
      </c>
      <c r="H180" t="s">
        <v>22452</v>
      </c>
      <c r="I180" t="s">
        <v>12358</v>
      </c>
      <c r="J180" t="s">
        <v>22751</v>
      </c>
      <c r="K180" t="s">
        <v>29335</v>
      </c>
      <c r="M180" t="s">
        <v>29622</v>
      </c>
      <c r="N180" t="s">
        <v>32524</v>
      </c>
      <c r="O180" t="s">
        <v>32525</v>
      </c>
      <c r="P180">
        <v>0</v>
      </c>
      <c r="Q180">
        <v>0</v>
      </c>
      <c r="R180" t="s">
        <v>32526</v>
      </c>
      <c r="S180" t="s">
        <v>32547</v>
      </c>
      <c r="T180" t="s">
        <v>33166</v>
      </c>
      <c r="U180" t="s">
        <v>33785</v>
      </c>
      <c r="W180" t="s">
        <v>29622</v>
      </c>
      <c r="X180" t="s">
        <v>32529</v>
      </c>
    </row>
    <row r="181" spans="1:24">
      <c r="A181">
        <f>HYPERLINK("https://www.philgeps.gov.ph/GEPSNONPILOT/Tender/SplashBidNoticeAbstractUI.aspx?menuIndex=3&amp;refID=7043749&amp;Result=3","7043749")</f>
        <v>0</v>
      </c>
      <c r="B181" t="s">
        <v>50</v>
      </c>
      <c r="C181" t="s">
        <v>2855</v>
      </c>
      <c r="D181" t="s">
        <v>13008</v>
      </c>
      <c r="E181" t="s">
        <v>13264</v>
      </c>
      <c r="F181" t="s">
        <v>22436</v>
      </c>
      <c r="G181" t="s">
        <v>22444</v>
      </c>
      <c r="H181" t="s">
        <v>22452</v>
      </c>
      <c r="I181" t="s">
        <v>2962</v>
      </c>
      <c r="J181" t="s">
        <v>22752</v>
      </c>
      <c r="K181" t="s">
        <v>29335</v>
      </c>
      <c r="M181" t="s">
        <v>29622</v>
      </c>
      <c r="N181" t="s">
        <v>32524</v>
      </c>
      <c r="O181" t="s">
        <v>32525</v>
      </c>
      <c r="P181">
        <v>0</v>
      </c>
      <c r="Q181">
        <v>0</v>
      </c>
      <c r="R181" t="s">
        <v>32526</v>
      </c>
      <c r="S181" t="s">
        <v>32547</v>
      </c>
      <c r="T181" t="s">
        <v>33166</v>
      </c>
      <c r="U181" t="s">
        <v>33786</v>
      </c>
      <c r="W181" t="s">
        <v>29622</v>
      </c>
      <c r="X181" t="s">
        <v>32529</v>
      </c>
    </row>
    <row r="182" spans="1:24">
      <c r="A182">
        <f>HYPERLINK("https://www.philgeps.gov.ph/GEPSNONPILOT/Tender/SplashBidNoticeAbstractUI.aspx?menuIndex=3&amp;refID=7043388&amp;Result=3","7043388")</f>
        <v>0</v>
      </c>
      <c r="B182" t="s">
        <v>71</v>
      </c>
      <c r="C182" t="s">
        <v>2856</v>
      </c>
      <c r="D182" t="s">
        <v>13007</v>
      </c>
      <c r="E182" t="s">
        <v>13265</v>
      </c>
      <c r="F182" t="s">
        <v>22436</v>
      </c>
      <c r="G182" t="s">
        <v>22444</v>
      </c>
      <c r="H182" t="s">
        <v>22452</v>
      </c>
      <c r="I182" t="s">
        <v>22462</v>
      </c>
      <c r="J182" t="s">
        <v>22753</v>
      </c>
      <c r="K182" t="s">
        <v>29338</v>
      </c>
      <c r="M182" t="s">
        <v>29643</v>
      </c>
      <c r="N182" t="s">
        <v>32524</v>
      </c>
      <c r="O182" t="s">
        <v>32525</v>
      </c>
      <c r="P182">
        <v>0</v>
      </c>
      <c r="Q182">
        <v>0</v>
      </c>
      <c r="R182" t="s">
        <v>32526</v>
      </c>
      <c r="S182" t="s">
        <v>32547</v>
      </c>
      <c r="T182" t="s">
        <v>33186</v>
      </c>
      <c r="U182" t="s">
        <v>33787</v>
      </c>
      <c r="V182" t="s">
        <v>42441</v>
      </c>
      <c r="W182" t="s">
        <v>29643</v>
      </c>
      <c r="X182" t="s">
        <v>32530</v>
      </c>
    </row>
    <row r="183" spans="1:24">
      <c r="A183">
        <f>HYPERLINK("https://www.philgeps.gov.ph/GEPSNONPILOT/Tender/SplashBidNoticeAbstractUI.aspx?menuIndex=3&amp;refID=7043696&amp;Result=3","7043696")</f>
        <v>0</v>
      </c>
      <c r="B183" t="s">
        <v>90</v>
      </c>
      <c r="C183" t="s">
        <v>2857</v>
      </c>
      <c r="D183" t="s">
        <v>13026</v>
      </c>
      <c r="E183" t="s">
        <v>13266</v>
      </c>
      <c r="F183" t="s">
        <v>22436</v>
      </c>
      <c r="G183" t="s">
        <v>22443</v>
      </c>
      <c r="H183" t="s">
        <v>22453</v>
      </c>
      <c r="I183" t="s">
        <v>2962</v>
      </c>
      <c r="J183" t="s">
        <v>22754</v>
      </c>
      <c r="K183" t="s">
        <v>29331</v>
      </c>
      <c r="M183" t="s">
        <v>29662</v>
      </c>
      <c r="N183" t="s">
        <v>32524</v>
      </c>
      <c r="O183" t="s">
        <v>32525</v>
      </c>
      <c r="P183">
        <v>0</v>
      </c>
      <c r="Q183">
        <v>0</v>
      </c>
      <c r="R183" t="s">
        <v>32526</v>
      </c>
      <c r="S183" t="s">
        <v>32547</v>
      </c>
      <c r="T183" t="s">
        <v>33167</v>
      </c>
      <c r="U183" t="s">
        <v>33788</v>
      </c>
      <c r="W183" t="s">
        <v>29662</v>
      </c>
      <c r="X183" t="s">
        <v>32529</v>
      </c>
    </row>
    <row r="184" spans="1:24">
      <c r="A184">
        <f>HYPERLINK("https://www.philgeps.gov.ph/GEPSNONPILOT/Tender/SplashBidNoticeAbstractUI.aspx?menuIndex=3&amp;refID=7043719&amp;Result=3","7043719")</f>
        <v>0</v>
      </c>
      <c r="B184" t="s">
        <v>50</v>
      </c>
      <c r="C184" t="s">
        <v>2858</v>
      </c>
      <c r="D184" t="s">
        <v>13008</v>
      </c>
      <c r="E184" t="s">
        <v>13267</v>
      </c>
      <c r="F184" t="s">
        <v>22436</v>
      </c>
      <c r="G184" t="s">
        <v>22444</v>
      </c>
      <c r="H184" t="s">
        <v>22452</v>
      </c>
      <c r="I184" t="s">
        <v>22468</v>
      </c>
      <c r="J184" t="s">
        <v>22755</v>
      </c>
      <c r="K184" t="s">
        <v>29335</v>
      </c>
      <c r="M184" t="s">
        <v>29622</v>
      </c>
      <c r="N184" t="s">
        <v>32524</v>
      </c>
      <c r="O184" t="s">
        <v>32525</v>
      </c>
      <c r="P184">
        <v>0</v>
      </c>
      <c r="Q184">
        <v>0</v>
      </c>
      <c r="R184" t="s">
        <v>32526</v>
      </c>
      <c r="S184" t="s">
        <v>32547</v>
      </c>
      <c r="T184" t="s">
        <v>33166</v>
      </c>
      <c r="U184" t="s">
        <v>33789</v>
      </c>
      <c r="W184" t="s">
        <v>29622</v>
      </c>
      <c r="X184" t="s">
        <v>32529</v>
      </c>
    </row>
    <row r="185" spans="1:24">
      <c r="A185">
        <f>HYPERLINK("https://www.philgeps.gov.ph/GEPSNONPILOT/Tender/SplashBidNoticeAbstractUI.aspx?menuIndex=3&amp;refID=7043745&amp;Result=3","7043745")</f>
        <v>0</v>
      </c>
      <c r="B185" t="s">
        <v>50</v>
      </c>
      <c r="C185" t="s">
        <v>2859</v>
      </c>
      <c r="D185" t="s">
        <v>13008</v>
      </c>
      <c r="E185" t="s">
        <v>13268</v>
      </c>
      <c r="F185" t="s">
        <v>22436</v>
      </c>
      <c r="G185" t="s">
        <v>22444</v>
      </c>
      <c r="H185" t="s">
        <v>22452</v>
      </c>
      <c r="I185" t="s">
        <v>12358</v>
      </c>
      <c r="J185" t="s">
        <v>22756</v>
      </c>
      <c r="K185" t="s">
        <v>29335</v>
      </c>
      <c r="M185" t="s">
        <v>29622</v>
      </c>
      <c r="N185" t="s">
        <v>32524</v>
      </c>
      <c r="O185" t="s">
        <v>32525</v>
      </c>
      <c r="P185">
        <v>0</v>
      </c>
      <c r="Q185">
        <v>0</v>
      </c>
      <c r="R185" t="s">
        <v>32526</v>
      </c>
      <c r="S185" t="s">
        <v>32547</v>
      </c>
      <c r="T185" t="s">
        <v>33166</v>
      </c>
      <c r="U185" t="s">
        <v>33790</v>
      </c>
      <c r="W185" t="s">
        <v>29622</v>
      </c>
      <c r="X185" t="s">
        <v>32529</v>
      </c>
    </row>
    <row r="186" spans="1:24">
      <c r="A186">
        <f>HYPERLINK("https://www.philgeps.gov.ph/GEPSNONPILOT/Tender/SplashBidNoticeAbstractUI.aspx?menuIndex=3&amp;refID=7043731&amp;Result=3","7043731")</f>
        <v>0</v>
      </c>
      <c r="B186" t="s">
        <v>50</v>
      </c>
      <c r="C186" t="s">
        <v>2860</v>
      </c>
      <c r="D186" t="s">
        <v>13008</v>
      </c>
      <c r="E186" t="s">
        <v>13269</v>
      </c>
      <c r="F186" t="s">
        <v>22436</v>
      </c>
      <c r="G186" t="s">
        <v>22444</v>
      </c>
      <c r="H186" t="s">
        <v>22452</v>
      </c>
      <c r="I186" t="s">
        <v>22460</v>
      </c>
      <c r="J186" t="s">
        <v>22757</v>
      </c>
      <c r="K186" t="s">
        <v>29335</v>
      </c>
      <c r="M186" t="s">
        <v>29622</v>
      </c>
      <c r="N186" t="s">
        <v>32524</v>
      </c>
      <c r="O186" t="s">
        <v>32525</v>
      </c>
      <c r="P186">
        <v>0</v>
      </c>
      <c r="Q186">
        <v>0</v>
      </c>
      <c r="R186" t="s">
        <v>32526</v>
      </c>
      <c r="S186" t="s">
        <v>32547</v>
      </c>
      <c r="T186" t="s">
        <v>33166</v>
      </c>
      <c r="U186" t="s">
        <v>33791</v>
      </c>
      <c r="W186" t="s">
        <v>29622</v>
      </c>
      <c r="X186" t="s">
        <v>32529</v>
      </c>
    </row>
    <row r="187" spans="1:24">
      <c r="A187">
        <f>HYPERLINK("https://www.philgeps.gov.ph/GEPSNONPILOT/Tender/SplashBidNoticeAbstractUI.aspx?menuIndex=3&amp;refID=7043735&amp;Result=3","7043735")</f>
        <v>0</v>
      </c>
      <c r="B187" t="s">
        <v>50</v>
      </c>
      <c r="C187" t="s">
        <v>2861</v>
      </c>
      <c r="D187" t="s">
        <v>13008</v>
      </c>
      <c r="E187" t="s">
        <v>13270</v>
      </c>
      <c r="F187" t="s">
        <v>22436</v>
      </c>
      <c r="G187" t="s">
        <v>22444</v>
      </c>
      <c r="H187" t="s">
        <v>22452</v>
      </c>
      <c r="I187" t="s">
        <v>22458</v>
      </c>
      <c r="J187" t="s">
        <v>22758</v>
      </c>
      <c r="K187" t="s">
        <v>29335</v>
      </c>
      <c r="M187" t="s">
        <v>29622</v>
      </c>
      <c r="N187" t="s">
        <v>32524</v>
      </c>
      <c r="O187" t="s">
        <v>32525</v>
      </c>
      <c r="P187">
        <v>0</v>
      </c>
      <c r="Q187">
        <v>5</v>
      </c>
      <c r="R187" t="s">
        <v>32526</v>
      </c>
      <c r="S187" t="s">
        <v>32547</v>
      </c>
      <c r="T187" t="s">
        <v>33166</v>
      </c>
      <c r="U187" t="s">
        <v>33792</v>
      </c>
      <c r="W187" t="s">
        <v>29622</v>
      </c>
      <c r="X187" t="s">
        <v>32529</v>
      </c>
    </row>
    <row r="188" spans="1:24">
      <c r="A188">
        <f>HYPERLINK("https://www.philgeps.gov.ph/GEPSNONPILOT/Tender/SplashBidNoticeAbstractUI.aspx?menuIndex=3&amp;refID=7043798&amp;Result=3","7043798")</f>
        <v>0</v>
      </c>
      <c r="B188" t="s">
        <v>50</v>
      </c>
      <c r="C188" t="s">
        <v>2862</v>
      </c>
      <c r="D188" t="s">
        <v>13008</v>
      </c>
      <c r="E188" t="s">
        <v>13271</v>
      </c>
      <c r="F188" t="s">
        <v>22436</v>
      </c>
      <c r="G188" t="s">
        <v>22445</v>
      </c>
      <c r="H188" t="s">
        <v>22452</v>
      </c>
      <c r="I188" t="s">
        <v>22460</v>
      </c>
      <c r="J188" t="s">
        <v>22759</v>
      </c>
      <c r="K188" t="s">
        <v>29337</v>
      </c>
      <c r="M188" t="s">
        <v>29622</v>
      </c>
      <c r="N188" t="s">
        <v>32524</v>
      </c>
      <c r="O188" t="s">
        <v>32525</v>
      </c>
      <c r="P188">
        <v>0</v>
      </c>
      <c r="Q188">
        <v>0</v>
      </c>
      <c r="R188" t="s">
        <v>32526</v>
      </c>
      <c r="S188" t="s">
        <v>32547</v>
      </c>
      <c r="T188" t="s">
        <v>33167</v>
      </c>
      <c r="U188" t="s">
        <v>33793</v>
      </c>
      <c r="W188" t="s">
        <v>29622</v>
      </c>
      <c r="X188" t="s">
        <v>32529</v>
      </c>
    </row>
    <row r="189" spans="1:24">
      <c r="A189">
        <f>HYPERLINK("https://www.philgeps.gov.ph/GEPSNONPILOT/Tender/SplashBidNoticeAbstractUI.aspx?menuIndex=3&amp;refID=7043725&amp;Result=3","7043725")</f>
        <v>0</v>
      </c>
      <c r="B189" t="s">
        <v>50</v>
      </c>
      <c r="C189" t="s">
        <v>2863</v>
      </c>
      <c r="D189" t="s">
        <v>13008</v>
      </c>
      <c r="E189" t="s">
        <v>13272</v>
      </c>
      <c r="F189" t="s">
        <v>22436</v>
      </c>
      <c r="G189" t="s">
        <v>22444</v>
      </c>
      <c r="H189" t="s">
        <v>22452</v>
      </c>
      <c r="I189" t="s">
        <v>2962</v>
      </c>
      <c r="J189" t="s">
        <v>22760</v>
      </c>
      <c r="K189" t="s">
        <v>29335</v>
      </c>
      <c r="M189" t="s">
        <v>29622</v>
      </c>
      <c r="N189" t="s">
        <v>32524</v>
      </c>
      <c r="O189" t="s">
        <v>32525</v>
      </c>
      <c r="P189">
        <v>0</v>
      </c>
      <c r="Q189">
        <v>0</v>
      </c>
      <c r="R189" t="s">
        <v>32526</v>
      </c>
      <c r="S189" t="s">
        <v>32547</v>
      </c>
      <c r="T189" t="s">
        <v>33166</v>
      </c>
      <c r="U189" t="s">
        <v>33794</v>
      </c>
      <c r="W189" t="s">
        <v>29622</v>
      </c>
      <c r="X189" t="s">
        <v>32529</v>
      </c>
    </row>
    <row r="190" spans="1:24">
      <c r="A190">
        <f>HYPERLINK("https://www.philgeps.gov.ph/GEPSNONPILOT/Tender/SplashBidNoticeAbstractUI.aspx?menuIndex=3&amp;refID=7043724&amp;Result=3","7043724")</f>
        <v>0</v>
      </c>
      <c r="B190" t="s">
        <v>50</v>
      </c>
      <c r="C190" t="s">
        <v>2864</v>
      </c>
      <c r="D190" t="s">
        <v>13008</v>
      </c>
      <c r="E190" t="s">
        <v>13273</v>
      </c>
      <c r="F190" t="s">
        <v>22436</v>
      </c>
      <c r="G190" t="s">
        <v>22444</v>
      </c>
      <c r="H190" t="s">
        <v>22452</v>
      </c>
      <c r="I190" t="s">
        <v>12358</v>
      </c>
      <c r="J190" t="s">
        <v>22640</v>
      </c>
      <c r="K190" t="s">
        <v>29335</v>
      </c>
      <c r="M190" t="s">
        <v>29622</v>
      </c>
      <c r="N190" t="s">
        <v>32524</v>
      </c>
      <c r="O190" t="s">
        <v>32525</v>
      </c>
      <c r="P190">
        <v>0</v>
      </c>
      <c r="Q190">
        <v>0</v>
      </c>
      <c r="R190" t="s">
        <v>32526</v>
      </c>
      <c r="S190" t="s">
        <v>32547</v>
      </c>
      <c r="T190" t="s">
        <v>33166</v>
      </c>
      <c r="U190" t="s">
        <v>33795</v>
      </c>
      <c r="W190" t="s">
        <v>29622</v>
      </c>
      <c r="X190" t="s">
        <v>32529</v>
      </c>
    </row>
    <row r="191" spans="1:24">
      <c r="A191">
        <f>HYPERLINK("https://www.philgeps.gov.ph/GEPSNONPILOT/Tender/SplashBidNoticeAbstractUI.aspx?menuIndex=3&amp;refID=7043791&amp;Result=3","7043791")</f>
        <v>0</v>
      </c>
      <c r="B191" t="s">
        <v>50</v>
      </c>
      <c r="C191" t="s">
        <v>2865</v>
      </c>
      <c r="D191" t="s">
        <v>13008</v>
      </c>
      <c r="E191" t="s">
        <v>13274</v>
      </c>
      <c r="F191" t="s">
        <v>22436</v>
      </c>
      <c r="G191" t="s">
        <v>22444</v>
      </c>
      <c r="H191" t="s">
        <v>22452</v>
      </c>
      <c r="I191" t="s">
        <v>22469</v>
      </c>
      <c r="J191" t="s">
        <v>22761</v>
      </c>
      <c r="K191" t="s">
        <v>29335</v>
      </c>
      <c r="M191" t="s">
        <v>29622</v>
      </c>
      <c r="N191" t="s">
        <v>32524</v>
      </c>
      <c r="O191" t="s">
        <v>32525</v>
      </c>
      <c r="P191">
        <v>0</v>
      </c>
      <c r="Q191">
        <v>3</v>
      </c>
      <c r="R191" t="s">
        <v>32526</v>
      </c>
      <c r="S191" t="s">
        <v>32547</v>
      </c>
      <c r="T191" t="s">
        <v>33166</v>
      </c>
      <c r="U191" t="s">
        <v>33796</v>
      </c>
      <c r="W191" t="s">
        <v>29622</v>
      </c>
      <c r="X191" t="s">
        <v>32529</v>
      </c>
    </row>
    <row r="192" spans="1:24">
      <c r="A192">
        <f>HYPERLINK("https://www.philgeps.gov.ph/GEPSNONPILOT/Tender/SplashBidNoticeAbstractUI.aspx?menuIndex=3&amp;refID=7043795&amp;Result=3","7043795")</f>
        <v>0</v>
      </c>
      <c r="B192" t="s">
        <v>50</v>
      </c>
      <c r="C192" t="s">
        <v>2866</v>
      </c>
      <c r="D192" t="s">
        <v>13008</v>
      </c>
      <c r="E192" t="s">
        <v>13275</v>
      </c>
      <c r="F192" t="s">
        <v>22436</v>
      </c>
      <c r="G192" t="s">
        <v>22445</v>
      </c>
      <c r="H192" t="s">
        <v>22452</v>
      </c>
      <c r="I192" t="s">
        <v>2981</v>
      </c>
      <c r="J192" t="s">
        <v>22762</v>
      </c>
      <c r="K192" t="s">
        <v>29337</v>
      </c>
      <c r="M192" t="s">
        <v>29622</v>
      </c>
      <c r="N192" t="s">
        <v>32524</v>
      </c>
      <c r="O192" t="s">
        <v>32525</v>
      </c>
      <c r="P192">
        <v>0</v>
      </c>
      <c r="Q192">
        <v>0</v>
      </c>
      <c r="R192" t="s">
        <v>32526</v>
      </c>
      <c r="S192" t="s">
        <v>32547</v>
      </c>
      <c r="T192" t="s">
        <v>33167</v>
      </c>
      <c r="U192" t="s">
        <v>33797</v>
      </c>
      <c r="W192" t="s">
        <v>29622</v>
      </c>
      <c r="X192" t="s">
        <v>32529</v>
      </c>
    </row>
    <row r="193" spans="1:24">
      <c r="A193">
        <f>HYPERLINK("https://www.philgeps.gov.ph/GEPSNONPILOT/Tender/SplashBidNoticeAbstractUI.aspx?menuIndex=3&amp;refID=7043796&amp;Result=3","7043796")</f>
        <v>0</v>
      </c>
      <c r="B193" t="s">
        <v>50</v>
      </c>
      <c r="C193" t="s">
        <v>2862</v>
      </c>
      <c r="D193" t="s">
        <v>13008</v>
      </c>
      <c r="E193" t="s">
        <v>13276</v>
      </c>
      <c r="F193" t="s">
        <v>22436</v>
      </c>
      <c r="G193" t="s">
        <v>22445</v>
      </c>
      <c r="H193" t="s">
        <v>22452</v>
      </c>
      <c r="I193" t="s">
        <v>22460</v>
      </c>
      <c r="J193" t="s">
        <v>22763</v>
      </c>
      <c r="K193" t="s">
        <v>29337</v>
      </c>
      <c r="M193" t="s">
        <v>29622</v>
      </c>
      <c r="N193" t="s">
        <v>32524</v>
      </c>
      <c r="O193" t="s">
        <v>32525</v>
      </c>
      <c r="P193">
        <v>0</v>
      </c>
      <c r="Q193">
        <v>1</v>
      </c>
      <c r="R193" t="s">
        <v>32526</v>
      </c>
      <c r="S193" t="s">
        <v>32547</v>
      </c>
      <c r="T193" t="s">
        <v>33167</v>
      </c>
      <c r="U193" t="s">
        <v>33798</v>
      </c>
      <c r="W193" t="s">
        <v>29622</v>
      </c>
      <c r="X193" t="s">
        <v>32529</v>
      </c>
    </row>
    <row r="194" spans="1:24">
      <c r="A194">
        <f>HYPERLINK("https://www.philgeps.gov.ph/GEPSNONPILOT/Tender/SplashBidNoticeAbstractUI.aspx?menuIndex=3&amp;refID=7043754&amp;Result=3","7043754")</f>
        <v>0</v>
      </c>
      <c r="B194" t="s">
        <v>91</v>
      </c>
      <c r="C194" t="s">
        <v>2867</v>
      </c>
      <c r="D194" t="s">
        <v>13027</v>
      </c>
      <c r="E194" t="s">
        <v>13277</v>
      </c>
      <c r="F194" t="s">
        <v>22436</v>
      </c>
      <c r="G194" t="s">
        <v>22443</v>
      </c>
      <c r="H194" t="s">
        <v>22452</v>
      </c>
      <c r="I194" t="s">
        <v>22463</v>
      </c>
      <c r="J194" t="s">
        <v>22692</v>
      </c>
      <c r="K194" t="s">
        <v>29335</v>
      </c>
      <c r="M194" t="s">
        <v>29663</v>
      </c>
      <c r="N194" t="s">
        <v>32524</v>
      </c>
      <c r="O194" t="s">
        <v>32525</v>
      </c>
      <c r="P194">
        <v>0</v>
      </c>
      <c r="Q194">
        <v>0</v>
      </c>
      <c r="R194" t="s">
        <v>32526</v>
      </c>
      <c r="S194" t="s">
        <v>32547</v>
      </c>
      <c r="T194" t="s">
        <v>33197</v>
      </c>
      <c r="U194" t="s">
        <v>33799</v>
      </c>
      <c r="W194" t="s">
        <v>29663</v>
      </c>
      <c r="X194" t="s">
        <v>32529</v>
      </c>
    </row>
    <row r="195" spans="1:24">
      <c r="A195">
        <f>HYPERLINK("https://www.philgeps.gov.ph/GEPSNONPILOT/Tender/SplashBidNoticeAbstractUI.aspx?menuIndex=3&amp;refID=7043757&amp;Result=3","7043757")</f>
        <v>0</v>
      </c>
      <c r="B195" t="s">
        <v>92</v>
      </c>
      <c r="C195" t="s">
        <v>2868</v>
      </c>
      <c r="D195" t="s">
        <v>13025</v>
      </c>
      <c r="E195" t="s">
        <v>13278</v>
      </c>
      <c r="F195" t="s">
        <v>22436</v>
      </c>
      <c r="G195" t="s">
        <v>22444</v>
      </c>
      <c r="H195" t="s">
        <v>22452</v>
      </c>
      <c r="I195" t="s">
        <v>2981</v>
      </c>
      <c r="J195" t="s">
        <v>22764</v>
      </c>
      <c r="K195" t="s">
        <v>29341</v>
      </c>
      <c r="M195" t="s">
        <v>29664</v>
      </c>
      <c r="N195" t="s">
        <v>32524</v>
      </c>
      <c r="O195" t="s">
        <v>32525</v>
      </c>
      <c r="P195">
        <v>0</v>
      </c>
      <c r="Q195">
        <v>0</v>
      </c>
      <c r="R195" t="s">
        <v>32526</v>
      </c>
      <c r="S195" t="s">
        <v>32547</v>
      </c>
      <c r="T195" t="s">
        <v>33198</v>
      </c>
      <c r="U195" t="s">
        <v>33800</v>
      </c>
      <c r="W195" t="s">
        <v>29664</v>
      </c>
      <c r="X195" t="s">
        <v>32529</v>
      </c>
    </row>
    <row r="196" spans="1:24">
      <c r="A196">
        <f>HYPERLINK("https://www.philgeps.gov.ph/GEPSNONPILOT/Tender/SplashBidNoticeAbstractUI.aspx?menuIndex=3&amp;refID=7043785&amp;Result=3","7043785")</f>
        <v>0</v>
      </c>
      <c r="B196" t="s">
        <v>50</v>
      </c>
      <c r="C196" t="s">
        <v>2869</v>
      </c>
      <c r="D196" t="s">
        <v>13008</v>
      </c>
      <c r="E196" t="s">
        <v>13279</v>
      </c>
      <c r="F196" t="s">
        <v>22436</v>
      </c>
      <c r="G196" t="s">
        <v>22444</v>
      </c>
      <c r="H196" t="s">
        <v>22452</v>
      </c>
      <c r="I196" t="s">
        <v>2981</v>
      </c>
      <c r="J196" t="s">
        <v>22765</v>
      </c>
      <c r="K196" t="s">
        <v>29335</v>
      </c>
      <c r="M196" t="s">
        <v>29622</v>
      </c>
      <c r="N196" t="s">
        <v>32524</v>
      </c>
      <c r="O196" t="s">
        <v>32525</v>
      </c>
      <c r="P196">
        <v>0</v>
      </c>
      <c r="Q196">
        <v>0</v>
      </c>
      <c r="R196" t="s">
        <v>32526</v>
      </c>
      <c r="S196" t="s">
        <v>32547</v>
      </c>
      <c r="T196" t="s">
        <v>33166</v>
      </c>
      <c r="U196" t="s">
        <v>33801</v>
      </c>
      <c r="W196" t="s">
        <v>29622</v>
      </c>
      <c r="X196" t="s">
        <v>32529</v>
      </c>
    </row>
    <row r="197" spans="1:24">
      <c r="A197">
        <f>HYPERLINK("https://www.philgeps.gov.ph/GEPSNONPILOT/Tender/SplashBidNoticeAbstractUI.aspx?menuIndex=3&amp;refID=7043727&amp;Result=3","7043727")</f>
        <v>0</v>
      </c>
      <c r="B197" t="s">
        <v>50</v>
      </c>
      <c r="C197" t="s">
        <v>2870</v>
      </c>
      <c r="D197" t="s">
        <v>13008</v>
      </c>
      <c r="E197" t="s">
        <v>13280</v>
      </c>
      <c r="F197" t="s">
        <v>22436</v>
      </c>
      <c r="G197" t="s">
        <v>22444</v>
      </c>
      <c r="H197" t="s">
        <v>22452</v>
      </c>
      <c r="I197" t="s">
        <v>22487</v>
      </c>
      <c r="J197" t="s">
        <v>22766</v>
      </c>
      <c r="K197" t="s">
        <v>29335</v>
      </c>
      <c r="M197" t="s">
        <v>29622</v>
      </c>
      <c r="N197" t="s">
        <v>32524</v>
      </c>
      <c r="O197" t="s">
        <v>32525</v>
      </c>
      <c r="P197">
        <v>0</v>
      </c>
      <c r="Q197">
        <v>1</v>
      </c>
      <c r="R197" t="s">
        <v>32526</v>
      </c>
      <c r="S197" t="s">
        <v>32547</v>
      </c>
      <c r="T197" t="s">
        <v>33166</v>
      </c>
      <c r="U197" t="s">
        <v>33802</v>
      </c>
      <c r="W197" t="s">
        <v>29622</v>
      </c>
      <c r="X197" t="s">
        <v>32529</v>
      </c>
    </row>
    <row r="198" spans="1:24">
      <c r="A198">
        <f>HYPERLINK("https://www.philgeps.gov.ph/GEPSNONPILOT/Tender/SplashBidNoticeAbstractUI.aspx?menuIndex=3&amp;refID=7043723&amp;Result=3","7043723")</f>
        <v>0</v>
      </c>
      <c r="B198" t="s">
        <v>50</v>
      </c>
      <c r="C198" t="s">
        <v>2871</v>
      </c>
      <c r="D198" t="s">
        <v>13008</v>
      </c>
      <c r="E198" t="s">
        <v>13281</v>
      </c>
      <c r="F198" t="s">
        <v>22436</v>
      </c>
      <c r="G198" t="s">
        <v>22444</v>
      </c>
      <c r="H198" t="s">
        <v>22452</v>
      </c>
      <c r="I198" t="s">
        <v>12358</v>
      </c>
      <c r="J198" t="s">
        <v>22767</v>
      </c>
      <c r="K198" t="s">
        <v>29335</v>
      </c>
      <c r="M198" t="s">
        <v>29622</v>
      </c>
      <c r="N198" t="s">
        <v>32524</v>
      </c>
      <c r="O198" t="s">
        <v>32525</v>
      </c>
      <c r="P198">
        <v>0</v>
      </c>
      <c r="Q198">
        <v>0</v>
      </c>
      <c r="R198" t="s">
        <v>32526</v>
      </c>
      <c r="S198" t="s">
        <v>32547</v>
      </c>
      <c r="T198" t="s">
        <v>33166</v>
      </c>
      <c r="U198" t="s">
        <v>33803</v>
      </c>
      <c r="W198" t="s">
        <v>29622</v>
      </c>
      <c r="X198" t="s">
        <v>32529</v>
      </c>
    </row>
    <row r="199" spans="1:24">
      <c r="A199">
        <f>HYPERLINK("https://www.philgeps.gov.ph/GEPSNONPILOT/Tender/SplashBidNoticeAbstractUI.aspx?menuIndex=3&amp;refID=7043794&amp;Result=3","7043794")</f>
        <v>0</v>
      </c>
      <c r="B199" t="s">
        <v>50</v>
      </c>
      <c r="C199" t="s">
        <v>2872</v>
      </c>
      <c r="D199" t="s">
        <v>13008</v>
      </c>
      <c r="E199" t="s">
        <v>13282</v>
      </c>
      <c r="F199" t="s">
        <v>22436</v>
      </c>
      <c r="G199" t="s">
        <v>22444</v>
      </c>
      <c r="H199" t="s">
        <v>22452</v>
      </c>
      <c r="I199" t="s">
        <v>22469</v>
      </c>
      <c r="J199" t="s">
        <v>22768</v>
      </c>
      <c r="K199" t="s">
        <v>29335</v>
      </c>
      <c r="M199" t="s">
        <v>29622</v>
      </c>
      <c r="N199" t="s">
        <v>32524</v>
      </c>
      <c r="O199" t="s">
        <v>32525</v>
      </c>
      <c r="P199">
        <v>0</v>
      </c>
      <c r="Q199">
        <v>4</v>
      </c>
      <c r="R199" t="s">
        <v>32526</v>
      </c>
      <c r="S199" t="s">
        <v>32547</v>
      </c>
      <c r="T199" t="s">
        <v>33166</v>
      </c>
      <c r="U199" t="s">
        <v>33804</v>
      </c>
      <c r="W199" t="s">
        <v>29622</v>
      </c>
      <c r="X199" t="s">
        <v>32529</v>
      </c>
    </row>
    <row r="200" spans="1:24">
      <c r="A200">
        <f>HYPERLINK("https://www.philgeps.gov.ph/GEPSNONPILOT/Tender/SplashBidNoticeAbstractUI.aspx?menuIndex=3&amp;refID=7043797&amp;Result=3","7043797")</f>
        <v>0</v>
      </c>
      <c r="B200" t="s">
        <v>50</v>
      </c>
      <c r="C200" t="s">
        <v>2862</v>
      </c>
      <c r="D200" t="s">
        <v>13008</v>
      </c>
      <c r="E200" t="s">
        <v>13283</v>
      </c>
      <c r="F200" t="s">
        <v>22436</v>
      </c>
      <c r="G200" t="s">
        <v>22445</v>
      </c>
      <c r="H200" t="s">
        <v>22452</v>
      </c>
      <c r="I200" t="s">
        <v>22460</v>
      </c>
      <c r="J200" t="s">
        <v>22769</v>
      </c>
      <c r="K200" t="s">
        <v>29337</v>
      </c>
      <c r="M200" t="s">
        <v>29622</v>
      </c>
      <c r="N200" t="s">
        <v>32524</v>
      </c>
      <c r="O200" t="s">
        <v>32525</v>
      </c>
      <c r="P200">
        <v>0</v>
      </c>
      <c r="Q200">
        <v>1</v>
      </c>
      <c r="R200" t="s">
        <v>32526</v>
      </c>
      <c r="S200" t="s">
        <v>32547</v>
      </c>
      <c r="T200" t="s">
        <v>33167</v>
      </c>
      <c r="U200" t="s">
        <v>33805</v>
      </c>
      <c r="W200" t="s">
        <v>29622</v>
      </c>
      <c r="X200" t="s">
        <v>32529</v>
      </c>
    </row>
    <row r="201" spans="1:24">
      <c r="A201">
        <f>HYPERLINK("https://www.philgeps.gov.ph/GEPSNONPILOT/Tender/SplashBidNoticeAbstractUI.aspx?menuIndex=3&amp;refID=7043799&amp;Result=3","7043799")</f>
        <v>0</v>
      </c>
      <c r="B201" t="s">
        <v>50</v>
      </c>
      <c r="C201" t="s">
        <v>2862</v>
      </c>
      <c r="D201" t="s">
        <v>13008</v>
      </c>
      <c r="E201" t="s">
        <v>13284</v>
      </c>
      <c r="F201" t="s">
        <v>22436</v>
      </c>
      <c r="G201" t="s">
        <v>22445</v>
      </c>
      <c r="H201" t="s">
        <v>22452</v>
      </c>
      <c r="I201" t="s">
        <v>22460</v>
      </c>
      <c r="J201" t="s">
        <v>22770</v>
      </c>
      <c r="K201" t="s">
        <v>29337</v>
      </c>
      <c r="M201" t="s">
        <v>29622</v>
      </c>
      <c r="N201" t="s">
        <v>32524</v>
      </c>
      <c r="O201" t="s">
        <v>32525</v>
      </c>
      <c r="P201">
        <v>0</v>
      </c>
      <c r="Q201">
        <v>1</v>
      </c>
      <c r="R201" t="s">
        <v>32526</v>
      </c>
      <c r="S201" t="s">
        <v>32547</v>
      </c>
      <c r="T201" t="s">
        <v>33167</v>
      </c>
      <c r="U201" t="s">
        <v>33806</v>
      </c>
      <c r="W201" t="s">
        <v>29622</v>
      </c>
      <c r="X201" t="s">
        <v>32529</v>
      </c>
    </row>
    <row r="202" spans="1:24">
      <c r="A202">
        <f>HYPERLINK("https://www.philgeps.gov.ph/GEPSNONPILOT/Tender/SplashBidNoticeAbstractUI.aspx?menuIndex=3&amp;refID=7043812&amp;Result=3","7043812")</f>
        <v>0</v>
      </c>
      <c r="B202" t="s">
        <v>50</v>
      </c>
      <c r="C202" t="s">
        <v>2873</v>
      </c>
      <c r="D202" t="s">
        <v>13008</v>
      </c>
      <c r="E202" t="s">
        <v>13285</v>
      </c>
      <c r="F202" t="s">
        <v>22436</v>
      </c>
      <c r="G202" t="s">
        <v>22445</v>
      </c>
      <c r="H202" t="s">
        <v>22452</v>
      </c>
      <c r="I202" t="s">
        <v>2981</v>
      </c>
      <c r="J202" t="s">
        <v>22771</v>
      </c>
      <c r="K202" t="s">
        <v>29337</v>
      </c>
      <c r="M202" t="s">
        <v>29622</v>
      </c>
      <c r="N202" t="s">
        <v>32524</v>
      </c>
      <c r="O202" t="s">
        <v>32525</v>
      </c>
      <c r="P202">
        <v>0</v>
      </c>
      <c r="Q202">
        <v>0</v>
      </c>
      <c r="R202" t="s">
        <v>32526</v>
      </c>
      <c r="S202" t="s">
        <v>32547</v>
      </c>
      <c r="T202" t="s">
        <v>33167</v>
      </c>
      <c r="U202" t="s">
        <v>33807</v>
      </c>
      <c r="W202" t="s">
        <v>29622</v>
      </c>
      <c r="X202" t="s">
        <v>32529</v>
      </c>
    </row>
    <row r="203" spans="1:24">
      <c r="A203">
        <f>HYPERLINK("https://www.philgeps.gov.ph/GEPSNONPILOT/Tender/SplashBidNoticeAbstractUI.aspx?menuIndex=3&amp;refID=7043809&amp;Result=3","7043809")</f>
        <v>0</v>
      </c>
      <c r="B203" t="s">
        <v>50</v>
      </c>
      <c r="C203" t="s">
        <v>2874</v>
      </c>
      <c r="D203" t="s">
        <v>13008</v>
      </c>
      <c r="E203" t="s">
        <v>13286</v>
      </c>
      <c r="F203" t="s">
        <v>22436</v>
      </c>
      <c r="G203" t="s">
        <v>22443</v>
      </c>
      <c r="H203" t="s">
        <v>22452</v>
      </c>
      <c r="I203" t="s">
        <v>22461</v>
      </c>
      <c r="J203" t="s">
        <v>22772</v>
      </c>
      <c r="K203" t="s">
        <v>29337</v>
      </c>
      <c r="M203" t="s">
        <v>29622</v>
      </c>
      <c r="N203" t="s">
        <v>32524</v>
      </c>
      <c r="O203" t="s">
        <v>32525</v>
      </c>
      <c r="P203">
        <v>0</v>
      </c>
      <c r="Q203">
        <v>1</v>
      </c>
      <c r="R203" t="s">
        <v>32526</v>
      </c>
      <c r="S203" t="s">
        <v>32547</v>
      </c>
      <c r="T203" t="s">
        <v>33167</v>
      </c>
      <c r="U203" t="s">
        <v>33808</v>
      </c>
      <c r="W203" t="s">
        <v>29622</v>
      </c>
      <c r="X203" t="s">
        <v>32529</v>
      </c>
    </row>
    <row r="204" spans="1:24">
      <c r="A204">
        <f>HYPERLINK("https://www.philgeps.gov.ph/GEPSNONPILOT/Tender/SplashBidNoticeAbstractUI.aspx?menuIndex=3&amp;refID=7043765&amp;Result=3","7043765")</f>
        <v>0</v>
      </c>
      <c r="B204" t="s">
        <v>31</v>
      </c>
      <c r="C204" t="s">
        <v>2875</v>
      </c>
      <c r="D204" t="s">
        <v>12995</v>
      </c>
      <c r="E204" t="s">
        <v>13287</v>
      </c>
      <c r="F204" t="s">
        <v>22437</v>
      </c>
      <c r="G204" t="s">
        <v>22445</v>
      </c>
      <c r="H204" t="s">
        <v>22452</v>
      </c>
      <c r="I204" t="s">
        <v>22460</v>
      </c>
      <c r="J204" t="s">
        <v>22747</v>
      </c>
      <c r="K204" t="s">
        <v>29336</v>
      </c>
      <c r="M204" t="s">
        <v>29601</v>
      </c>
      <c r="N204" t="s">
        <v>32524</v>
      </c>
      <c r="O204" t="s">
        <v>32525</v>
      </c>
      <c r="P204">
        <v>0</v>
      </c>
      <c r="Q204">
        <v>2</v>
      </c>
      <c r="R204" t="s">
        <v>32526</v>
      </c>
      <c r="S204" t="s">
        <v>32547</v>
      </c>
      <c r="T204" t="s">
        <v>33153</v>
      </c>
      <c r="U204" t="s">
        <v>33809</v>
      </c>
      <c r="W204" t="s">
        <v>29601</v>
      </c>
      <c r="X204" t="s">
        <v>32529</v>
      </c>
    </row>
    <row r="205" spans="1:24">
      <c r="A205">
        <f>HYPERLINK("https://www.philgeps.gov.ph/GEPSNONPILOT/Tender/SplashBidNoticeAbstractUI.aspx?menuIndex=3&amp;refID=7043807&amp;Result=3","7043807")</f>
        <v>0</v>
      </c>
      <c r="B205" t="s">
        <v>50</v>
      </c>
      <c r="C205" t="s">
        <v>2876</v>
      </c>
      <c r="D205" t="s">
        <v>13008</v>
      </c>
      <c r="E205" t="s">
        <v>13288</v>
      </c>
      <c r="F205" t="s">
        <v>22436</v>
      </c>
      <c r="G205" t="s">
        <v>22443</v>
      </c>
      <c r="H205" t="s">
        <v>22452</v>
      </c>
      <c r="I205" t="s">
        <v>22488</v>
      </c>
      <c r="J205" t="s">
        <v>22747</v>
      </c>
      <c r="K205" t="s">
        <v>29337</v>
      </c>
      <c r="M205" t="s">
        <v>29622</v>
      </c>
      <c r="N205" t="s">
        <v>32524</v>
      </c>
      <c r="O205" t="s">
        <v>32525</v>
      </c>
      <c r="P205">
        <v>0</v>
      </c>
      <c r="Q205">
        <v>0</v>
      </c>
      <c r="R205" t="s">
        <v>32526</v>
      </c>
      <c r="S205" t="s">
        <v>32547</v>
      </c>
      <c r="T205" t="s">
        <v>33167</v>
      </c>
      <c r="U205" t="s">
        <v>33810</v>
      </c>
      <c r="W205" t="s">
        <v>29622</v>
      </c>
      <c r="X205" t="s">
        <v>32529</v>
      </c>
    </row>
    <row r="206" spans="1:24">
      <c r="A206">
        <f>HYPERLINK("https://www.philgeps.gov.ph/GEPSNONPILOT/Tender/SplashBidNoticeAbstractUI.aspx?menuIndex=3&amp;refID=7043808&amp;Result=3","7043808")</f>
        <v>0</v>
      </c>
      <c r="B206" t="s">
        <v>50</v>
      </c>
      <c r="C206" t="s">
        <v>2877</v>
      </c>
      <c r="D206" t="s">
        <v>13008</v>
      </c>
      <c r="E206" t="s">
        <v>13289</v>
      </c>
      <c r="F206" t="s">
        <v>22436</v>
      </c>
      <c r="G206" t="s">
        <v>22443</v>
      </c>
      <c r="H206" t="s">
        <v>22452</v>
      </c>
      <c r="I206" t="s">
        <v>2962</v>
      </c>
      <c r="J206" t="s">
        <v>22654</v>
      </c>
      <c r="K206" t="s">
        <v>29337</v>
      </c>
      <c r="M206" t="s">
        <v>29622</v>
      </c>
      <c r="N206" t="s">
        <v>32524</v>
      </c>
      <c r="O206" t="s">
        <v>32525</v>
      </c>
      <c r="P206">
        <v>0</v>
      </c>
      <c r="Q206">
        <v>2</v>
      </c>
      <c r="R206" t="s">
        <v>32526</v>
      </c>
      <c r="S206" t="s">
        <v>32547</v>
      </c>
      <c r="T206" t="s">
        <v>33167</v>
      </c>
      <c r="U206" t="s">
        <v>33811</v>
      </c>
      <c r="W206" t="s">
        <v>29622</v>
      </c>
      <c r="X206" t="s">
        <v>32529</v>
      </c>
    </row>
    <row r="207" spans="1:24">
      <c r="A207">
        <f>HYPERLINK("https://www.philgeps.gov.ph/GEPSNONPILOT/Tender/SplashBidNoticeAbstractUI.aspx?menuIndex=3&amp;refID=7043828&amp;Result=3","7043828")</f>
        <v>0</v>
      </c>
      <c r="B207" t="s">
        <v>50</v>
      </c>
      <c r="C207" t="s">
        <v>2862</v>
      </c>
      <c r="D207" t="s">
        <v>13008</v>
      </c>
      <c r="E207" t="s">
        <v>13290</v>
      </c>
      <c r="F207" t="s">
        <v>22436</v>
      </c>
      <c r="G207" t="s">
        <v>22445</v>
      </c>
      <c r="H207" t="s">
        <v>22452</v>
      </c>
      <c r="I207" t="s">
        <v>22460</v>
      </c>
      <c r="J207" t="s">
        <v>22773</v>
      </c>
      <c r="K207" t="s">
        <v>29337</v>
      </c>
      <c r="M207" t="s">
        <v>29622</v>
      </c>
      <c r="N207" t="s">
        <v>32524</v>
      </c>
      <c r="O207" t="s">
        <v>32525</v>
      </c>
      <c r="P207">
        <v>0</v>
      </c>
      <c r="Q207">
        <v>1</v>
      </c>
      <c r="R207" t="s">
        <v>32526</v>
      </c>
      <c r="S207" t="s">
        <v>32547</v>
      </c>
      <c r="T207" t="s">
        <v>33167</v>
      </c>
      <c r="U207" t="s">
        <v>33812</v>
      </c>
      <c r="W207" t="s">
        <v>29622</v>
      </c>
      <c r="X207" t="s">
        <v>32529</v>
      </c>
    </row>
    <row r="208" spans="1:24">
      <c r="A208">
        <f>HYPERLINK("https://www.philgeps.gov.ph/GEPSNONPILOT/Tender/SplashBidNoticeAbstractUI.aspx?menuIndex=3&amp;refID=7043802&amp;Result=3","7043802")</f>
        <v>0</v>
      </c>
      <c r="B208" t="s">
        <v>50</v>
      </c>
      <c r="C208" t="s">
        <v>2878</v>
      </c>
      <c r="D208" t="s">
        <v>13008</v>
      </c>
      <c r="E208" t="s">
        <v>13291</v>
      </c>
      <c r="F208" t="s">
        <v>22436</v>
      </c>
      <c r="G208" t="s">
        <v>22443</v>
      </c>
      <c r="H208" t="s">
        <v>22452</v>
      </c>
      <c r="I208" t="s">
        <v>22465</v>
      </c>
      <c r="J208" t="s">
        <v>22774</v>
      </c>
      <c r="K208" t="s">
        <v>29337</v>
      </c>
      <c r="M208" t="s">
        <v>29622</v>
      </c>
      <c r="N208" t="s">
        <v>32524</v>
      </c>
      <c r="O208" t="s">
        <v>32525</v>
      </c>
      <c r="P208">
        <v>0</v>
      </c>
      <c r="Q208">
        <v>0</v>
      </c>
      <c r="R208" t="s">
        <v>32526</v>
      </c>
      <c r="S208" t="s">
        <v>32547</v>
      </c>
      <c r="T208" t="s">
        <v>33167</v>
      </c>
      <c r="U208" t="s">
        <v>33813</v>
      </c>
      <c r="W208" t="s">
        <v>29622</v>
      </c>
      <c r="X208" t="s">
        <v>32529</v>
      </c>
    </row>
    <row r="209" spans="1:24">
      <c r="A209">
        <f>HYPERLINK("https://www.philgeps.gov.ph/GEPSNONPILOT/Tender/SplashBidNoticeAbstractUI.aspx?menuIndex=3&amp;refID=7043804&amp;Result=3","7043804")</f>
        <v>0</v>
      </c>
      <c r="B209" t="s">
        <v>50</v>
      </c>
      <c r="C209" t="s">
        <v>2879</v>
      </c>
      <c r="D209" t="s">
        <v>13008</v>
      </c>
      <c r="E209" t="s">
        <v>13288</v>
      </c>
      <c r="F209" t="s">
        <v>22436</v>
      </c>
      <c r="G209" t="s">
        <v>22443</v>
      </c>
      <c r="H209" t="s">
        <v>22452</v>
      </c>
      <c r="I209" t="s">
        <v>3358</v>
      </c>
      <c r="J209" t="s">
        <v>22775</v>
      </c>
      <c r="K209" t="s">
        <v>29337</v>
      </c>
      <c r="M209" t="s">
        <v>29622</v>
      </c>
      <c r="N209" t="s">
        <v>32524</v>
      </c>
      <c r="O209" t="s">
        <v>32525</v>
      </c>
      <c r="P209">
        <v>0</v>
      </c>
      <c r="Q209">
        <v>0</v>
      </c>
      <c r="R209" t="s">
        <v>32526</v>
      </c>
      <c r="S209" t="s">
        <v>32547</v>
      </c>
      <c r="T209" t="s">
        <v>33167</v>
      </c>
      <c r="U209" t="s">
        <v>33810</v>
      </c>
      <c r="W209" t="s">
        <v>29622</v>
      </c>
      <c r="X209" t="s">
        <v>32529</v>
      </c>
    </row>
    <row r="210" spans="1:24">
      <c r="A210">
        <f>HYPERLINK("https://www.philgeps.gov.ph/GEPSNONPILOT/Tender/SplashBidNoticeAbstractUI.aspx?menuIndex=3&amp;refID=7043816&amp;Result=3","7043816")</f>
        <v>0</v>
      </c>
      <c r="B210" t="s">
        <v>50</v>
      </c>
      <c r="C210" t="s">
        <v>2880</v>
      </c>
      <c r="D210" t="s">
        <v>13008</v>
      </c>
      <c r="E210" t="s">
        <v>13292</v>
      </c>
      <c r="F210" t="s">
        <v>22436</v>
      </c>
      <c r="G210" t="s">
        <v>22443</v>
      </c>
      <c r="H210" t="s">
        <v>22452</v>
      </c>
      <c r="I210" t="s">
        <v>22489</v>
      </c>
      <c r="J210" t="s">
        <v>22776</v>
      </c>
      <c r="K210" t="s">
        <v>29337</v>
      </c>
      <c r="M210" t="s">
        <v>29622</v>
      </c>
      <c r="N210" t="s">
        <v>32524</v>
      </c>
      <c r="O210" t="s">
        <v>32525</v>
      </c>
      <c r="P210">
        <v>0</v>
      </c>
      <c r="Q210">
        <v>1</v>
      </c>
      <c r="R210" t="s">
        <v>32526</v>
      </c>
      <c r="S210" t="s">
        <v>32547</v>
      </c>
      <c r="T210" t="s">
        <v>33167</v>
      </c>
      <c r="U210" t="s">
        <v>33814</v>
      </c>
      <c r="W210" t="s">
        <v>29622</v>
      </c>
      <c r="X210" t="s">
        <v>32529</v>
      </c>
    </row>
    <row r="211" spans="1:24">
      <c r="A211">
        <f>HYPERLINK("https://www.philgeps.gov.ph/GEPSNONPILOT/Tender/SplashBidNoticeAbstractUI.aspx?menuIndex=3&amp;refID=7043814&amp;Result=3","7043814")</f>
        <v>0</v>
      </c>
      <c r="B211" t="s">
        <v>50</v>
      </c>
      <c r="C211" t="s">
        <v>2881</v>
      </c>
      <c r="D211" t="s">
        <v>13008</v>
      </c>
      <c r="E211" t="s">
        <v>13292</v>
      </c>
      <c r="F211" t="s">
        <v>22436</v>
      </c>
      <c r="G211" t="s">
        <v>22443</v>
      </c>
      <c r="H211" t="s">
        <v>22452</v>
      </c>
      <c r="I211" t="s">
        <v>22482</v>
      </c>
      <c r="J211" t="s">
        <v>22777</v>
      </c>
      <c r="K211" t="s">
        <v>29337</v>
      </c>
      <c r="M211" t="s">
        <v>29622</v>
      </c>
      <c r="N211" t="s">
        <v>32524</v>
      </c>
      <c r="O211" t="s">
        <v>32525</v>
      </c>
      <c r="P211">
        <v>0</v>
      </c>
      <c r="Q211">
        <v>2</v>
      </c>
      <c r="R211" t="s">
        <v>32526</v>
      </c>
      <c r="S211" t="s">
        <v>32547</v>
      </c>
      <c r="T211" t="s">
        <v>33167</v>
      </c>
      <c r="U211" t="s">
        <v>33814</v>
      </c>
      <c r="W211" t="s">
        <v>29622</v>
      </c>
      <c r="X211" t="s">
        <v>32529</v>
      </c>
    </row>
    <row r="212" spans="1:24">
      <c r="A212">
        <f>HYPERLINK("https://www.philgeps.gov.ph/GEPSNONPILOT/Tender/SplashBidNoticeAbstractUI.aspx?menuIndex=3&amp;refID=7043813&amp;Result=3","7043813")</f>
        <v>0</v>
      </c>
      <c r="B212" t="s">
        <v>50</v>
      </c>
      <c r="C212" t="s">
        <v>2882</v>
      </c>
      <c r="D212" t="s">
        <v>13008</v>
      </c>
      <c r="E212" t="s">
        <v>13292</v>
      </c>
      <c r="F212" t="s">
        <v>22436</v>
      </c>
      <c r="G212" t="s">
        <v>22445</v>
      </c>
      <c r="H212" t="s">
        <v>22452</v>
      </c>
      <c r="I212" t="s">
        <v>2981</v>
      </c>
      <c r="J212" t="s">
        <v>22778</v>
      </c>
      <c r="K212" t="s">
        <v>29337</v>
      </c>
      <c r="M212" t="s">
        <v>29622</v>
      </c>
      <c r="N212" t="s">
        <v>32524</v>
      </c>
      <c r="O212" t="s">
        <v>32525</v>
      </c>
      <c r="P212">
        <v>0</v>
      </c>
      <c r="Q212">
        <v>0</v>
      </c>
      <c r="R212" t="s">
        <v>32526</v>
      </c>
      <c r="S212" t="s">
        <v>32547</v>
      </c>
      <c r="T212" t="s">
        <v>33167</v>
      </c>
      <c r="U212" t="s">
        <v>33814</v>
      </c>
      <c r="W212" t="s">
        <v>29622</v>
      </c>
      <c r="X212" t="s">
        <v>32529</v>
      </c>
    </row>
    <row r="213" spans="1:24">
      <c r="A213">
        <f>HYPERLINK("https://www.philgeps.gov.ph/GEPSNONPILOT/Tender/SplashBidNoticeAbstractUI.aspx?menuIndex=3&amp;refID=7043862&amp;Result=3","7043862")</f>
        <v>0</v>
      </c>
      <c r="B213" t="s">
        <v>93</v>
      </c>
      <c r="C213" t="s">
        <v>2883</v>
      </c>
      <c r="E213" t="s">
        <v>13293</v>
      </c>
      <c r="F213" t="s">
        <v>22436</v>
      </c>
      <c r="G213" t="s">
        <v>22444</v>
      </c>
      <c r="H213" t="s">
        <v>22454</v>
      </c>
      <c r="I213" t="s">
        <v>22490</v>
      </c>
      <c r="J213" t="s">
        <v>22779</v>
      </c>
      <c r="K213" t="s">
        <v>29335</v>
      </c>
      <c r="M213" t="s">
        <v>29665</v>
      </c>
      <c r="N213" t="s">
        <v>32524</v>
      </c>
      <c r="O213" t="s">
        <v>32525</v>
      </c>
      <c r="P213">
        <v>0</v>
      </c>
      <c r="Q213">
        <v>0</v>
      </c>
      <c r="R213" t="s">
        <v>32526</v>
      </c>
      <c r="S213" t="s">
        <v>32547</v>
      </c>
      <c r="T213" t="s">
        <v>33165</v>
      </c>
      <c r="U213" t="s">
        <v>33815</v>
      </c>
      <c r="W213" t="s">
        <v>29665</v>
      </c>
      <c r="X213" t="s">
        <v>32529</v>
      </c>
    </row>
    <row r="214" spans="1:24">
      <c r="A214">
        <f>HYPERLINK("https://www.philgeps.gov.ph/GEPSNONPILOT/Tender/SplashBidNoticeAbstractUI.aspx?menuIndex=3&amp;refID=7043840&amp;Result=3","7043840")</f>
        <v>0</v>
      </c>
      <c r="B214" t="s">
        <v>50</v>
      </c>
      <c r="C214" t="s">
        <v>2866</v>
      </c>
      <c r="D214" t="s">
        <v>13008</v>
      </c>
      <c r="E214" t="s">
        <v>13294</v>
      </c>
      <c r="F214" t="s">
        <v>22436</v>
      </c>
      <c r="G214" t="s">
        <v>22445</v>
      </c>
      <c r="H214" t="s">
        <v>22452</v>
      </c>
      <c r="I214" t="s">
        <v>2981</v>
      </c>
      <c r="J214" t="s">
        <v>22780</v>
      </c>
      <c r="K214" t="s">
        <v>29337</v>
      </c>
      <c r="M214" t="s">
        <v>29622</v>
      </c>
      <c r="N214" t="s">
        <v>32524</v>
      </c>
      <c r="O214" t="s">
        <v>32525</v>
      </c>
      <c r="P214">
        <v>0</v>
      </c>
      <c r="Q214">
        <v>0</v>
      </c>
      <c r="R214" t="s">
        <v>32526</v>
      </c>
      <c r="S214" t="s">
        <v>32547</v>
      </c>
      <c r="T214" t="s">
        <v>33167</v>
      </c>
      <c r="U214" t="s">
        <v>33816</v>
      </c>
      <c r="W214" t="s">
        <v>29622</v>
      </c>
      <c r="X214" t="s">
        <v>32529</v>
      </c>
    </row>
    <row r="215" spans="1:24">
      <c r="A215">
        <f>HYPERLINK("https://www.philgeps.gov.ph/GEPSNONPILOT/Tender/SplashBidNoticeAbstractUI.aspx?menuIndex=3&amp;refID=7043815&amp;Result=3","7043815")</f>
        <v>0</v>
      </c>
      <c r="B215" t="s">
        <v>50</v>
      </c>
      <c r="C215" t="s">
        <v>2884</v>
      </c>
      <c r="D215" t="s">
        <v>13008</v>
      </c>
      <c r="E215" t="s">
        <v>13292</v>
      </c>
      <c r="F215" t="s">
        <v>22436</v>
      </c>
      <c r="G215" t="s">
        <v>22445</v>
      </c>
      <c r="H215" t="s">
        <v>22452</v>
      </c>
      <c r="I215" t="s">
        <v>3827</v>
      </c>
      <c r="J215" t="s">
        <v>22781</v>
      </c>
      <c r="K215" t="s">
        <v>29337</v>
      </c>
      <c r="M215" t="s">
        <v>29622</v>
      </c>
      <c r="N215" t="s">
        <v>32524</v>
      </c>
      <c r="O215" t="s">
        <v>32525</v>
      </c>
      <c r="P215">
        <v>0</v>
      </c>
      <c r="Q215">
        <v>1</v>
      </c>
      <c r="R215" t="s">
        <v>32526</v>
      </c>
      <c r="S215" t="s">
        <v>32547</v>
      </c>
      <c r="T215" t="s">
        <v>33167</v>
      </c>
      <c r="U215" t="s">
        <v>33814</v>
      </c>
      <c r="W215" t="s">
        <v>29622</v>
      </c>
      <c r="X215" t="s">
        <v>32529</v>
      </c>
    </row>
    <row r="216" spans="1:24">
      <c r="A216">
        <f>HYPERLINK("https://www.philgeps.gov.ph/GEPSNONPILOT/Tender/SplashBidNoticeAbstractUI.aspx?menuIndex=3&amp;refID=7043800&amp;Result=3","7043800")</f>
        <v>0</v>
      </c>
      <c r="B216" t="s">
        <v>50</v>
      </c>
      <c r="C216" t="s">
        <v>2862</v>
      </c>
      <c r="D216" t="s">
        <v>13008</v>
      </c>
      <c r="E216" t="s">
        <v>13295</v>
      </c>
      <c r="F216" t="s">
        <v>22436</v>
      </c>
      <c r="G216" t="s">
        <v>22445</v>
      </c>
      <c r="H216" t="s">
        <v>22452</v>
      </c>
      <c r="I216" t="s">
        <v>22460</v>
      </c>
      <c r="J216" t="s">
        <v>22782</v>
      </c>
      <c r="K216" t="s">
        <v>29337</v>
      </c>
      <c r="M216" t="s">
        <v>29622</v>
      </c>
      <c r="N216" t="s">
        <v>32524</v>
      </c>
      <c r="O216" t="s">
        <v>32525</v>
      </c>
      <c r="P216">
        <v>0</v>
      </c>
      <c r="Q216">
        <v>1</v>
      </c>
      <c r="R216" t="s">
        <v>32526</v>
      </c>
      <c r="S216" t="s">
        <v>32547</v>
      </c>
      <c r="T216" t="s">
        <v>33167</v>
      </c>
      <c r="U216" t="s">
        <v>33817</v>
      </c>
      <c r="W216" t="s">
        <v>29622</v>
      </c>
      <c r="X216" t="s">
        <v>32529</v>
      </c>
    </row>
    <row r="217" spans="1:24">
      <c r="A217">
        <f>HYPERLINK("https://www.philgeps.gov.ph/GEPSNONPILOT/Tender/SplashBidNoticeAbstractUI.aspx?menuIndex=3&amp;refID=7043838&amp;Result=3","7043838")</f>
        <v>0</v>
      </c>
      <c r="B217" t="s">
        <v>50</v>
      </c>
      <c r="C217" t="s">
        <v>2866</v>
      </c>
      <c r="D217" t="s">
        <v>13008</v>
      </c>
      <c r="E217" t="s">
        <v>13296</v>
      </c>
      <c r="F217" t="s">
        <v>22436</v>
      </c>
      <c r="G217" t="s">
        <v>22445</v>
      </c>
      <c r="H217" t="s">
        <v>22452</v>
      </c>
      <c r="I217" t="s">
        <v>2981</v>
      </c>
      <c r="J217" t="s">
        <v>22783</v>
      </c>
      <c r="K217" t="s">
        <v>29337</v>
      </c>
      <c r="M217" t="s">
        <v>29622</v>
      </c>
      <c r="N217" t="s">
        <v>32524</v>
      </c>
      <c r="O217" t="s">
        <v>32525</v>
      </c>
      <c r="P217">
        <v>0</v>
      </c>
      <c r="Q217">
        <v>0</v>
      </c>
      <c r="R217" t="s">
        <v>32526</v>
      </c>
      <c r="S217" t="s">
        <v>32547</v>
      </c>
      <c r="T217" t="s">
        <v>33167</v>
      </c>
      <c r="U217" t="s">
        <v>33818</v>
      </c>
      <c r="W217" t="s">
        <v>29622</v>
      </c>
      <c r="X217" t="s">
        <v>32529</v>
      </c>
    </row>
    <row r="218" spans="1:24">
      <c r="A218">
        <f>HYPERLINK("https://www.philgeps.gov.ph/GEPSNONPILOT/Tender/SplashBidNoticeAbstractUI.aspx?menuIndex=3&amp;refID=7043834&amp;Result=3","7043834")</f>
        <v>0</v>
      </c>
      <c r="B218" t="s">
        <v>50</v>
      </c>
      <c r="C218" t="s">
        <v>2878</v>
      </c>
      <c r="D218" t="s">
        <v>13008</v>
      </c>
      <c r="E218" t="s">
        <v>13296</v>
      </c>
      <c r="F218" t="s">
        <v>22436</v>
      </c>
      <c r="G218" t="s">
        <v>22445</v>
      </c>
      <c r="H218" t="s">
        <v>22452</v>
      </c>
      <c r="I218" t="s">
        <v>2981</v>
      </c>
      <c r="J218" t="s">
        <v>22784</v>
      </c>
      <c r="K218" t="s">
        <v>29337</v>
      </c>
      <c r="M218" t="s">
        <v>29622</v>
      </c>
      <c r="N218" t="s">
        <v>32524</v>
      </c>
      <c r="O218" t="s">
        <v>32525</v>
      </c>
      <c r="P218">
        <v>0</v>
      </c>
      <c r="Q218">
        <v>1</v>
      </c>
      <c r="R218" t="s">
        <v>32526</v>
      </c>
      <c r="S218" t="s">
        <v>32547</v>
      </c>
      <c r="T218" t="s">
        <v>33167</v>
      </c>
      <c r="U218" t="s">
        <v>33819</v>
      </c>
      <c r="W218" t="s">
        <v>29622</v>
      </c>
      <c r="X218" t="s">
        <v>32529</v>
      </c>
    </row>
    <row r="219" spans="1:24">
      <c r="A219">
        <f>HYPERLINK("https://www.philgeps.gov.ph/GEPSNONPILOT/Tender/SplashBidNoticeAbstractUI.aspx?menuIndex=3&amp;refID=7043817&amp;Result=3","7043817")</f>
        <v>0</v>
      </c>
      <c r="B219" t="s">
        <v>50</v>
      </c>
      <c r="C219" t="s">
        <v>2885</v>
      </c>
      <c r="D219" t="s">
        <v>13008</v>
      </c>
      <c r="E219" t="s">
        <v>13292</v>
      </c>
      <c r="F219" t="s">
        <v>22436</v>
      </c>
      <c r="G219" t="s">
        <v>22443</v>
      </c>
      <c r="H219" t="s">
        <v>22452</v>
      </c>
      <c r="I219" t="s">
        <v>22489</v>
      </c>
      <c r="J219" t="s">
        <v>22785</v>
      </c>
      <c r="K219" t="s">
        <v>29337</v>
      </c>
      <c r="M219" t="s">
        <v>29622</v>
      </c>
      <c r="N219" t="s">
        <v>32524</v>
      </c>
      <c r="O219" t="s">
        <v>32525</v>
      </c>
      <c r="P219">
        <v>0</v>
      </c>
      <c r="Q219">
        <v>1</v>
      </c>
      <c r="R219" t="s">
        <v>32526</v>
      </c>
      <c r="S219" t="s">
        <v>32547</v>
      </c>
      <c r="T219" t="s">
        <v>33167</v>
      </c>
      <c r="U219" t="s">
        <v>33814</v>
      </c>
      <c r="W219" t="s">
        <v>29622</v>
      </c>
      <c r="X219" t="s">
        <v>32529</v>
      </c>
    </row>
    <row r="220" spans="1:24">
      <c r="A220">
        <f>HYPERLINK("https://www.philgeps.gov.ph/GEPSNONPILOT/Tender/SplashBidNoticeAbstractUI.aspx?menuIndex=3&amp;refID=7043831&amp;Result=3","7043831")</f>
        <v>0</v>
      </c>
      <c r="B220" t="s">
        <v>50</v>
      </c>
      <c r="C220" t="s">
        <v>2862</v>
      </c>
      <c r="D220" t="s">
        <v>13008</v>
      </c>
      <c r="E220" t="s">
        <v>13297</v>
      </c>
      <c r="F220" t="s">
        <v>22436</v>
      </c>
      <c r="G220" t="s">
        <v>22443</v>
      </c>
      <c r="H220" t="s">
        <v>22452</v>
      </c>
      <c r="I220" t="s">
        <v>22460</v>
      </c>
      <c r="J220" t="s">
        <v>22786</v>
      </c>
      <c r="K220" t="s">
        <v>29337</v>
      </c>
      <c r="M220" t="s">
        <v>29622</v>
      </c>
      <c r="N220" t="s">
        <v>32524</v>
      </c>
      <c r="O220" t="s">
        <v>32525</v>
      </c>
      <c r="P220">
        <v>0</v>
      </c>
      <c r="Q220">
        <v>1</v>
      </c>
      <c r="R220" t="s">
        <v>32526</v>
      </c>
      <c r="S220" t="s">
        <v>32547</v>
      </c>
      <c r="T220" t="s">
        <v>33167</v>
      </c>
      <c r="U220" t="s">
        <v>33820</v>
      </c>
      <c r="W220" t="s">
        <v>29622</v>
      </c>
      <c r="X220" t="s">
        <v>32529</v>
      </c>
    </row>
    <row r="221" spans="1:24">
      <c r="A221">
        <f>HYPERLINK("https://www.philgeps.gov.ph/GEPSNONPILOT/Tender/SplashBidNoticeAbstractUI.aspx?menuIndex=3&amp;refID=7043830&amp;Result=3","7043830")</f>
        <v>0</v>
      </c>
      <c r="B221" t="s">
        <v>50</v>
      </c>
      <c r="C221" t="s">
        <v>2862</v>
      </c>
      <c r="D221" t="s">
        <v>13008</v>
      </c>
      <c r="E221" t="s">
        <v>13298</v>
      </c>
      <c r="F221" t="s">
        <v>22436</v>
      </c>
      <c r="G221" t="s">
        <v>22445</v>
      </c>
      <c r="H221" t="s">
        <v>22452</v>
      </c>
      <c r="I221" t="s">
        <v>22460</v>
      </c>
      <c r="J221" t="s">
        <v>22787</v>
      </c>
      <c r="K221" t="s">
        <v>29337</v>
      </c>
      <c r="M221" t="s">
        <v>29622</v>
      </c>
      <c r="N221" t="s">
        <v>32524</v>
      </c>
      <c r="O221" t="s">
        <v>32525</v>
      </c>
      <c r="P221">
        <v>0</v>
      </c>
      <c r="Q221">
        <v>1</v>
      </c>
      <c r="R221" t="s">
        <v>32526</v>
      </c>
      <c r="S221" t="s">
        <v>32547</v>
      </c>
      <c r="T221" t="s">
        <v>33167</v>
      </c>
      <c r="U221" t="s">
        <v>33821</v>
      </c>
      <c r="W221" t="s">
        <v>29622</v>
      </c>
      <c r="X221" t="s">
        <v>32529</v>
      </c>
    </row>
    <row r="222" spans="1:24">
      <c r="A222">
        <f>HYPERLINK("https://www.philgeps.gov.ph/GEPSNONPILOT/Tender/SplashBidNoticeAbstractUI.aspx?menuIndex=3&amp;refID=7043903&amp;Result=3","7043903")</f>
        <v>0</v>
      </c>
      <c r="B222" t="s">
        <v>94</v>
      </c>
      <c r="C222" t="s">
        <v>2886</v>
      </c>
      <c r="D222" t="s">
        <v>13012</v>
      </c>
      <c r="E222" t="s">
        <v>13299</v>
      </c>
      <c r="F222" t="s">
        <v>22437</v>
      </c>
      <c r="G222" t="s">
        <v>22444</v>
      </c>
      <c r="H222" t="s">
        <v>22452</v>
      </c>
      <c r="I222" t="s">
        <v>3529</v>
      </c>
      <c r="J222" t="s">
        <v>22788</v>
      </c>
      <c r="K222" t="s">
        <v>29331</v>
      </c>
      <c r="M222" t="s">
        <v>29666</v>
      </c>
      <c r="N222" t="s">
        <v>32524</v>
      </c>
      <c r="O222" t="s">
        <v>32525</v>
      </c>
      <c r="P222">
        <v>0</v>
      </c>
      <c r="Q222">
        <v>1</v>
      </c>
      <c r="R222" t="s">
        <v>32526</v>
      </c>
      <c r="S222" t="s">
        <v>32547</v>
      </c>
      <c r="T222" t="s">
        <v>33199</v>
      </c>
      <c r="U222" t="s">
        <v>33822</v>
      </c>
      <c r="W222" t="s">
        <v>29666</v>
      </c>
      <c r="X222" t="s">
        <v>32529</v>
      </c>
    </row>
    <row r="223" spans="1:24">
      <c r="A223">
        <f>HYPERLINK("https://www.philgeps.gov.ph/GEPSNONPILOT/Tender/SplashBidNoticeAbstractUI.aspx?menuIndex=3&amp;refID=7044164&amp;Result=3","7044164")</f>
        <v>0</v>
      </c>
      <c r="B223" t="s">
        <v>95</v>
      </c>
      <c r="C223" t="s">
        <v>2887</v>
      </c>
      <c r="D223" t="s">
        <v>13028</v>
      </c>
      <c r="E223" t="s">
        <v>13300</v>
      </c>
      <c r="F223" t="s">
        <v>22436</v>
      </c>
      <c r="G223" t="s">
        <v>22444</v>
      </c>
      <c r="H223" t="s">
        <v>22454</v>
      </c>
      <c r="I223" t="s">
        <v>7738</v>
      </c>
      <c r="J223" t="s">
        <v>22789</v>
      </c>
      <c r="K223" t="s">
        <v>29335</v>
      </c>
      <c r="M223" t="s">
        <v>29667</v>
      </c>
      <c r="N223" t="s">
        <v>32524</v>
      </c>
      <c r="O223" t="s">
        <v>32525</v>
      </c>
      <c r="P223">
        <v>0</v>
      </c>
      <c r="Q223">
        <v>0</v>
      </c>
      <c r="R223" t="s">
        <v>32526</v>
      </c>
      <c r="S223" t="s">
        <v>32547</v>
      </c>
      <c r="T223" t="s">
        <v>33155</v>
      </c>
      <c r="U223" t="s">
        <v>33823</v>
      </c>
      <c r="W223" t="s">
        <v>29667</v>
      </c>
      <c r="X223" t="s">
        <v>32528</v>
      </c>
    </row>
    <row r="224" spans="1:24">
      <c r="A224">
        <f>HYPERLINK("https://www.philgeps.gov.ph/GEPSNONPILOT/Tender/SplashBidNoticeAbstractUI.aspx?menuIndex=3&amp;refID=7043969&amp;Result=3","7043969")</f>
        <v>0</v>
      </c>
      <c r="B224" t="s">
        <v>50</v>
      </c>
      <c r="C224" t="s">
        <v>2888</v>
      </c>
      <c r="D224" t="s">
        <v>13008</v>
      </c>
      <c r="E224" t="s">
        <v>13301</v>
      </c>
      <c r="F224" t="s">
        <v>22436</v>
      </c>
      <c r="G224" t="s">
        <v>22444</v>
      </c>
      <c r="H224" t="s">
        <v>22452</v>
      </c>
      <c r="I224" t="s">
        <v>22460</v>
      </c>
      <c r="J224" t="s">
        <v>22790</v>
      </c>
      <c r="K224" t="s">
        <v>29335</v>
      </c>
      <c r="M224" t="s">
        <v>29622</v>
      </c>
      <c r="N224" t="s">
        <v>32524</v>
      </c>
      <c r="O224" t="s">
        <v>32525</v>
      </c>
      <c r="P224">
        <v>0</v>
      </c>
      <c r="Q224">
        <v>1</v>
      </c>
      <c r="R224" t="s">
        <v>32526</v>
      </c>
      <c r="S224" t="s">
        <v>32547</v>
      </c>
      <c r="T224" t="s">
        <v>33166</v>
      </c>
      <c r="U224" t="s">
        <v>33824</v>
      </c>
      <c r="W224" t="s">
        <v>29622</v>
      </c>
      <c r="X224" t="s">
        <v>32528</v>
      </c>
    </row>
    <row r="225" spans="1:24">
      <c r="A225">
        <f>HYPERLINK("https://www.philgeps.gov.ph/GEPSNONPILOT/Tender/SplashBidNoticeAbstractUI.aspx?menuIndex=3&amp;refID=7044152&amp;Result=3","7044152")</f>
        <v>0</v>
      </c>
      <c r="B225" t="s">
        <v>95</v>
      </c>
      <c r="C225" t="s">
        <v>2889</v>
      </c>
      <c r="D225" t="s">
        <v>13028</v>
      </c>
      <c r="E225" t="s">
        <v>13302</v>
      </c>
      <c r="F225" t="s">
        <v>22436</v>
      </c>
      <c r="G225" t="s">
        <v>22444</v>
      </c>
      <c r="H225" t="s">
        <v>22454</v>
      </c>
      <c r="I225" t="s">
        <v>7738</v>
      </c>
      <c r="J225" t="s">
        <v>22791</v>
      </c>
      <c r="K225" t="s">
        <v>29329</v>
      </c>
      <c r="M225" t="s">
        <v>29667</v>
      </c>
      <c r="N225" t="s">
        <v>32524</v>
      </c>
      <c r="O225" t="s">
        <v>32525</v>
      </c>
      <c r="P225">
        <v>0</v>
      </c>
      <c r="Q225">
        <v>0</v>
      </c>
      <c r="R225" t="s">
        <v>32526</v>
      </c>
      <c r="S225" t="s">
        <v>32547</v>
      </c>
      <c r="T225" t="s">
        <v>33155</v>
      </c>
      <c r="U225" t="s">
        <v>33825</v>
      </c>
      <c r="W225" t="s">
        <v>29667</v>
      </c>
      <c r="X225" t="s">
        <v>32528</v>
      </c>
    </row>
    <row r="226" spans="1:24">
      <c r="A226">
        <f>HYPERLINK("https://www.philgeps.gov.ph/GEPSNONPILOT/Tender/SplashBidNoticeAbstractUI.aspx?menuIndex=3&amp;refID=7044145&amp;Result=3","7044145")</f>
        <v>0</v>
      </c>
      <c r="B226" t="s">
        <v>95</v>
      </c>
      <c r="C226" t="s">
        <v>2890</v>
      </c>
      <c r="D226" t="s">
        <v>13028</v>
      </c>
      <c r="E226" t="s">
        <v>13303</v>
      </c>
      <c r="F226" t="s">
        <v>22436</v>
      </c>
      <c r="G226" t="s">
        <v>22444</v>
      </c>
      <c r="H226" t="s">
        <v>22454</v>
      </c>
      <c r="I226" t="s">
        <v>7738</v>
      </c>
      <c r="J226" t="s">
        <v>22792</v>
      </c>
      <c r="K226" t="s">
        <v>29333</v>
      </c>
      <c r="M226" t="s">
        <v>29667</v>
      </c>
      <c r="N226" t="s">
        <v>32524</v>
      </c>
      <c r="O226" t="s">
        <v>32525</v>
      </c>
      <c r="P226">
        <v>0</v>
      </c>
      <c r="Q226">
        <v>0</v>
      </c>
      <c r="R226" t="s">
        <v>32526</v>
      </c>
      <c r="S226" t="s">
        <v>32547</v>
      </c>
      <c r="T226" t="s">
        <v>33155</v>
      </c>
      <c r="U226" t="s">
        <v>33826</v>
      </c>
      <c r="W226" t="s">
        <v>29667</v>
      </c>
      <c r="X226" t="s">
        <v>32528</v>
      </c>
    </row>
    <row r="227" spans="1:24">
      <c r="A227">
        <f>HYPERLINK("https://www.philgeps.gov.ph/GEPSNONPILOT/Tender/SplashBidNoticeAbstractUI.aspx?menuIndex=3&amp;refID=7043961&amp;Result=3","7043961")</f>
        <v>0</v>
      </c>
      <c r="B227" t="s">
        <v>50</v>
      </c>
      <c r="C227" t="s">
        <v>2891</v>
      </c>
      <c r="D227" t="s">
        <v>13008</v>
      </c>
      <c r="E227" t="s">
        <v>13304</v>
      </c>
      <c r="F227" t="s">
        <v>22436</v>
      </c>
      <c r="G227" t="s">
        <v>22444</v>
      </c>
      <c r="H227" t="s">
        <v>22452</v>
      </c>
      <c r="I227" t="s">
        <v>3529</v>
      </c>
      <c r="J227" t="s">
        <v>22747</v>
      </c>
      <c r="K227" t="s">
        <v>29335</v>
      </c>
      <c r="M227" t="s">
        <v>29622</v>
      </c>
      <c r="N227" t="s">
        <v>32524</v>
      </c>
      <c r="O227" t="s">
        <v>32525</v>
      </c>
      <c r="P227">
        <v>0</v>
      </c>
      <c r="Q227">
        <v>0</v>
      </c>
      <c r="R227" t="s">
        <v>32526</v>
      </c>
      <c r="S227" t="s">
        <v>32547</v>
      </c>
      <c r="T227" t="s">
        <v>33166</v>
      </c>
      <c r="U227" t="s">
        <v>33827</v>
      </c>
      <c r="W227" t="s">
        <v>29622</v>
      </c>
      <c r="X227" t="s">
        <v>32528</v>
      </c>
    </row>
    <row r="228" spans="1:24">
      <c r="A228">
        <f>HYPERLINK("https://www.philgeps.gov.ph/GEPSNONPILOT/Tender/SplashBidNoticeAbstractUI.aspx?menuIndex=3&amp;refID=7043987&amp;Result=3","7043987")</f>
        <v>0</v>
      </c>
      <c r="B228" t="s">
        <v>50</v>
      </c>
      <c r="C228" t="s">
        <v>2892</v>
      </c>
      <c r="D228" t="s">
        <v>13008</v>
      </c>
      <c r="E228" t="s">
        <v>13305</v>
      </c>
      <c r="F228" t="s">
        <v>22436</v>
      </c>
      <c r="G228" t="s">
        <v>22444</v>
      </c>
      <c r="H228" t="s">
        <v>22452</v>
      </c>
      <c r="I228" t="s">
        <v>2981</v>
      </c>
      <c r="J228" t="s">
        <v>22793</v>
      </c>
      <c r="K228" t="s">
        <v>29335</v>
      </c>
      <c r="M228" t="s">
        <v>29622</v>
      </c>
      <c r="N228" t="s">
        <v>32524</v>
      </c>
      <c r="O228" t="s">
        <v>32525</v>
      </c>
      <c r="P228">
        <v>0</v>
      </c>
      <c r="Q228">
        <v>0</v>
      </c>
      <c r="R228" t="s">
        <v>32526</v>
      </c>
      <c r="S228" t="s">
        <v>32547</v>
      </c>
      <c r="T228" t="s">
        <v>33166</v>
      </c>
      <c r="U228" t="s">
        <v>33828</v>
      </c>
      <c r="W228" t="s">
        <v>29622</v>
      </c>
      <c r="X228" t="s">
        <v>32528</v>
      </c>
    </row>
    <row r="229" spans="1:24">
      <c r="A229">
        <f>HYPERLINK("https://www.philgeps.gov.ph/GEPSNONPILOT/Tender/SplashBidNoticeAbstractUI.aspx?menuIndex=3&amp;refID=7043982&amp;Result=3","7043982")</f>
        <v>0</v>
      </c>
      <c r="B229" t="s">
        <v>50</v>
      </c>
      <c r="C229" t="s">
        <v>2893</v>
      </c>
      <c r="D229" t="s">
        <v>13008</v>
      </c>
      <c r="E229" t="s">
        <v>13306</v>
      </c>
      <c r="F229" t="s">
        <v>22436</v>
      </c>
      <c r="G229" t="s">
        <v>22444</v>
      </c>
      <c r="H229" t="s">
        <v>22452</v>
      </c>
      <c r="I229" t="s">
        <v>22460</v>
      </c>
      <c r="J229" t="s">
        <v>22794</v>
      </c>
      <c r="K229" t="s">
        <v>29335</v>
      </c>
      <c r="M229" t="s">
        <v>29622</v>
      </c>
      <c r="N229" t="s">
        <v>32524</v>
      </c>
      <c r="O229" t="s">
        <v>32525</v>
      </c>
      <c r="P229">
        <v>0</v>
      </c>
      <c r="Q229">
        <v>0</v>
      </c>
      <c r="R229" t="s">
        <v>32526</v>
      </c>
      <c r="S229" t="s">
        <v>32547</v>
      </c>
      <c r="T229" t="s">
        <v>33200</v>
      </c>
      <c r="U229" t="s">
        <v>33829</v>
      </c>
      <c r="W229" t="s">
        <v>29622</v>
      </c>
      <c r="X229" t="s">
        <v>32528</v>
      </c>
    </row>
    <row r="230" spans="1:24">
      <c r="A230">
        <f>HYPERLINK("https://www.philgeps.gov.ph/GEPSNONPILOT/Tender/SplashBidNoticeAbstractUI.aspx?menuIndex=3&amp;refID=7043965&amp;Result=3","7043965")</f>
        <v>0</v>
      </c>
      <c r="B230" t="s">
        <v>50</v>
      </c>
      <c r="C230" t="s">
        <v>2894</v>
      </c>
      <c r="D230" t="s">
        <v>13008</v>
      </c>
      <c r="E230" t="s">
        <v>13307</v>
      </c>
      <c r="F230" t="s">
        <v>22436</v>
      </c>
      <c r="G230" t="s">
        <v>22444</v>
      </c>
      <c r="H230" t="s">
        <v>22452</v>
      </c>
      <c r="I230" t="s">
        <v>3027</v>
      </c>
      <c r="J230" t="s">
        <v>22795</v>
      </c>
      <c r="K230" t="s">
        <v>29335</v>
      </c>
      <c r="M230" t="s">
        <v>29622</v>
      </c>
      <c r="N230" t="s">
        <v>32524</v>
      </c>
      <c r="O230" t="s">
        <v>32525</v>
      </c>
      <c r="P230">
        <v>0</v>
      </c>
      <c r="Q230">
        <v>0</v>
      </c>
      <c r="R230" t="s">
        <v>32526</v>
      </c>
      <c r="S230" t="s">
        <v>32547</v>
      </c>
      <c r="T230" t="s">
        <v>33166</v>
      </c>
      <c r="U230" t="s">
        <v>33830</v>
      </c>
      <c r="W230" t="s">
        <v>29622</v>
      </c>
      <c r="X230" t="s">
        <v>32528</v>
      </c>
    </row>
    <row r="231" spans="1:24">
      <c r="A231">
        <f>HYPERLINK("https://www.philgeps.gov.ph/GEPSNONPILOT/Tender/SplashBidNoticeAbstractUI.aspx?menuIndex=3&amp;refID=7044006&amp;Result=3","7044006")</f>
        <v>0</v>
      </c>
      <c r="B231" t="s">
        <v>50</v>
      </c>
      <c r="C231" t="s">
        <v>2895</v>
      </c>
      <c r="D231" t="s">
        <v>13008</v>
      </c>
      <c r="E231" t="s">
        <v>13308</v>
      </c>
      <c r="F231" t="s">
        <v>22436</v>
      </c>
      <c r="G231" t="s">
        <v>22444</v>
      </c>
      <c r="H231" t="s">
        <v>22452</v>
      </c>
      <c r="I231" t="s">
        <v>2981</v>
      </c>
      <c r="J231" t="s">
        <v>22796</v>
      </c>
      <c r="K231" t="s">
        <v>29335</v>
      </c>
      <c r="M231" t="s">
        <v>29622</v>
      </c>
      <c r="N231" t="s">
        <v>32524</v>
      </c>
      <c r="O231" t="s">
        <v>32525</v>
      </c>
      <c r="P231">
        <v>0</v>
      </c>
      <c r="Q231">
        <v>0</v>
      </c>
      <c r="R231" t="s">
        <v>32526</v>
      </c>
      <c r="S231" t="s">
        <v>32547</v>
      </c>
      <c r="T231" t="s">
        <v>33166</v>
      </c>
      <c r="U231" t="s">
        <v>33831</v>
      </c>
      <c r="W231" t="s">
        <v>29622</v>
      </c>
      <c r="X231" t="s">
        <v>32528</v>
      </c>
    </row>
    <row r="232" spans="1:24">
      <c r="A232">
        <f>HYPERLINK("https://www.philgeps.gov.ph/GEPSNONPILOT/Tender/SplashBidNoticeAbstractUI.aspx?menuIndex=3&amp;refID=7043977&amp;Result=3","7043977")</f>
        <v>0</v>
      </c>
      <c r="B232" t="s">
        <v>50</v>
      </c>
      <c r="C232" t="s">
        <v>2896</v>
      </c>
      <c r="D232" t="s">
        <v>13008</v>
      </c>
      <c r="E232" t="s">
        <v>13309</v>
      </c>
      <c r="F232" t="s">
        <v>22436</v>
      </c>
      <c r="G232" t="s">
        <v>22444</v>
      </c>
      <c r="H232" t="s">
        <v>22452</v>
      </c>
      <c r="I232" t="s">
        <v>11896</v>
      </c>
      <c r="J232" t="s">
        <v>22797</v>
      </c>
      <c r="K232" t="s">
        <v>29335</v>
      </c>
      <c r="M232" t="s">
        <v>29622</v>
      </c>
      <c r="N232" t="s">
        <v>32524</v>
      </c>
      <c r="O232" t="s">
        <v>32525</v>
      </c>
      <c r="P232">
        <v>0</v>
      </c>
      <c r="Q232">
        <v>0</v>
      </c>
      <c r="R232" t="s">
        <v>32526</v>
      </c>
      <c r="S232" t="s">
        <v>32547</v>
      </c>
      <c r="T232" t="s">
        <v>33166</v>
      </c>
      <c r="U232" t="s">
        <v>33832</v>
      </c>
      <c r="W232" t="s">
        <v>29622</v>
      </c>
      <c r="X232" t="s">
        <v>32528</v>
      </c>
    </row>
    <row r="233" spans="1:24">
      <c r="A233">
        <f>HYPERLINK("https://www.philgeps.gov.ph/GEPSNONPILOT/Tender/SplashBidNoticeAbstractUI.aspx?menuIndex=3&amp;refID=7044202&amp;Result=3","7044202")</f>
        <v>0</v>
      </c>
      <c r="B233" t="s">
        <v>96</v>
      </c>
      <c r="C233" t="s">
        <v>2897</v>
      </c>
      <c r="D233" t="s">
        <v>12994</v>
      </c>
      <c r="E233" t="s">
        <v>13310</v>
      </c>
      <c r="F233" t="s">
        <v>22436</v>
      </c>
      <c r="G233" t="s">
        <v>22443</v>
      </c>
      <c r="H233" t="s">
        <v>22452</v>
      </c>
      <c r="I233" t="s">
        <v>3529</v>
      </c>
      <c r="J233" t="s">
        <v>22798</v>
      </c>
      <c r="K233" t="s">
        <v>29335</v>
      </c>
      <c r="M233" t="s">
        <v>29668</v>
      </c>
      <c r="N233" t="s">
        <v>32524</v>
      </c>
      <c r="O233" t="s">
        <v>32525</v>
      </c>
      <c r="P233">
        <v>0</v>
      </c>
      <c r="Q233">
        <v>0</v>
      </c>
      <c r="R233" t="s">
        <v>32526</v>
      </c>
      <c r="S233" t="s">
        <v>32547</v>
      </c>
      <c r="T233" t="s">
        <v>33201</v>
      </c>
      <c r="U233" t="s">
        <v>33833</v>
      </c>
      <c r="V233" t="s">
        <v>42457</v>
      </c>
      <c r="W233" t="s">
        <v>43667</v>
      </c>
      <c r="X233" t="s">
        <v>32528</v>
      </c>
    </row>
    <row r="234" spans="1:24">
      <c r="A234">
        <f>HYPERLINK("https://www.philgeps.gov.ph/GEPSNONPILOT/Tender/SplashBidNoticeAbstractUI.aspx?menuIndex=3&amp;refID=7044014&amp;Result=3","7044014")</f>
        <v>0</v>
      </c>
      <c r="B234" t="s">
        <v>50</v>
      </c>
      <c r="C234" t="s">
        <v>2898</v>
      </c>
      <c r="D234" t="s">
        <v>13008</v>
      </c>
      <c r="E234" t="s">
        <v>13311</v>
      </c>
      <c r="F234" t="s">
        <v>22436</v>
      </c>
      <c r="G234" t="s">
        <v>22444</v>
      </c>
      <c r="H234" t="s">
        <v>22452</v>
      </c>
      <c r="I234" t="s">
        <v>22469</v>
      </c>
      <c r="J234" t="s">
        <v>22799</v>
      </c>
      <c r="K234" t="s">
        <v>29335</v>
      </c>
      <c r="M234" t="s">
        <v>29622</v>
      </c>
      <c r="N234" t="s">
        <v>32524</v>
      </c>
      <c r="O234" t="s">
        <v>32525</v>
      </c>
      <c r="P234">
        <v>0</v>
      </c>
      <c r="Q234">
        <v>2</v>
      </c>
      <c r="R234" t="s">
        <v>32526</v>
      </c>
      <c r="S234" t="s">
        <v>32547</v>
      </c>
      <c r="T234" t="s">
        <v>33166</v>
      </c>
      <c r="U234" t="s">
        <v>33834</v>
      </c>
      <c r="W234" t="s">
        <v>29622</v>
      </c>
      <c r="X234" t="s">
        <v>32528</v>
      </c>
    </row>
    <row r="235" spans="1:24">
      <c r="A235">
        <f>HYPERLINK("https://www.philgeps.gov.ph/GEPSNONPILOT/Tender/SplashBidNoticeAbstractUI.aspx?menuIndex=3&amp;refID=7044163&amp;Result=3","7044163")</f>
        <v>0</v>
      </c>
      <c r="B235" t="s">
        <v>96</v>
      </c>
      <c r="C235" t="s">
        <v>2899</v>
      </c>
      <c r="D235" t="s">
        <v>12994</v>
      </c>
      <c r="E235" t="s">
        <v>13312</v>
      </c>
      <c r="F235" t="s">
        <v>22436</v>
      </c>
      <c r="G235" t="s">
        <v>22443</v>
      </c>
      <c r="H235" t="s">
        <v>22452</v>
      </c>
      <c r="I235" t="s">
        <v>3529</v>
      </c>
      <c r="J235" t="s">
        <v>22800</v>
      </c>
      <c r="K235" t="s">
        <v>29335</v>
      </c>
      <c r="M235" t="s">
        <v>29668</v>
      </c>
      <c r="N235" t="s">
        <v>32524</v>
      </c>
      <c r="O235" t="s">
        <v>32525</v>
      </c>
      <c r="P235">
        <v>0</v>
      </c>
      <c r="Q235">
        <v>0</v>
      </c>
      <c r="R235" t="s">
        <v>32526</v>
      </c>
      <c r="S235" t="s">
        <v>32547</v>
      </c>
      <c r="T235" t="s">
        <v>33201</v>
      </c>
      <c r="U235" t="s">
        <v>33835</v>
      </c>
      <c r="V235" t="s">
        <v>42457</v>
      </c>
      <c r="W235" t="s">
        <v>43667</v>
      </c>
      <c r="X235" t="s">
        <v>32528</v>
      </c>
    </row>
    <row r="236" spans="1:24">
      <c r="A236">
        <f>HYPERLINK("https://www.philgeps.gov.ph/GEPSNONPILOT/Tender/SplashBidNoticeAbstractUI.aspx?menuIndex=3&amp;refID=7044159&amp;Result=3","7044159")</f>
        <v>0</v>
      </c>
      <c r="B236" t="s">
        <v>95</v>
      </c>
      <c r="C236" t="s">
        <v>2900</v>
      </c>
      <c r="D236" t="s">
        <v>13028</v>
      </c>
      <c r="E236" t="s">
        <v>13313</v>
      </c>
      <c r="F236" t="s">
        <v>22436</v>
      </c>
      <c r="G236" t="s">
        <v>22444</v>
      </c>
      <c r="H236" t="s">
        <v>22454</v>
      </c>
      <c r="I236" t="s">
        <v>7738</v>
      </c>
      <c r="J236" t="s">
        <v>22801</v>
      </c>
      <c r="K236" t="s">
        <v>29335</v>
      </c>
      <c r="M236" t="s">
        <v>29667</v>
      </c>
      <c r="N236" t="s">
        <v>32524</v>
      </c>
      <c r="O236" t="s">
        <v>32525</v>
      </c>
      <c r="P236">
        <v>0</v>
      </c>
      <c r="Q236">
        <v>0</v>
      </c>
      <c r="R236" t="s">
        <v>32526</v>
      </c>
      <c r="S236" t="s">
        <v>32547</v>
      </c>
      <c r="T236" t="s">
        <v>33155</v>
      </c>
      <c r="U236" t="s">
        <v>33836</v>
      </c>
      <c r="W236" t="s">
        <v>29667</v>
      </c>
      <c r="X236" t="s">
        <v>32528</v>
      </c>
    </row>
    <row r="237" spans="1:24">
      <c r="A237">
        <f>HYPERLINK("https://www.philgeps.gov.ph/GEPSNONPILOT/Tender/SplashBidNoticeAbstractUI.aspx?menuIndex=3&amp;refID=7044303&amp;Result=3","7044303")</f>
        <v>0</v>
      </c>
      <c r="B237" t="s">
        <v>97</v>
      </c>
      <c r="C237" t="s">
        <v>2901</v>
      </c>
      <c r="D237" t="s">
        <v>13029</v>
      </c>
      <c r="E237" t="s">
        <v>13182</v>
      </c>
      <c r="F237" t="s">
        <v>22436</v>
      </c>
      <c r="G237" t="s">
        <v>22443</v>
      </c>
      <c r="H237" t="s">
        <v>22454</v>
      </c>
      <c r="I237" t="s">
        <v>7738</v>
      </c>
      <c r="J237" t="s">
        <v>22802</v>
      </c>
      <c r="K237" t="s">
        <v>29335</v>
      </c>
      <c r="M237" t="s">
        <v>29669</v>
      </c>
      <c r="N237" t="s">
        <v>32524</v>
      </c>
      <c r="O237" t="s">
        <v>32525</v>
      </c>
      <c r="P237">
        <v>0</v>
      </c>
      <c r="Q237">
        <v>0</v>
      </c>
      <c r="R237" t="s">
        <v>32526</v>
      </c>
      <c r="S237" t="s">
        <v>32547</v>
      </c>
      <c r="T237" t="s">
        <v>33202</v>
      </c>
      <c r="U237" t="s">
        <v>33837</v>
      </c>
      <c r="W237" t="s">
        <v>29669</v>
      </c>
      <c r="X237" t="s">
        <v>32528</v>
      </c>
    </row>
    <row r="238" spans="1:24">
      <c r="A238">
        <f>HYPERLINK("https://www.philgeps.gov.ph/GEPSNONPILOT/Tender/SplashBidNoticeAbstractUI.aspx?menuIndex=3&amp;refID=7044194&amp;Result=3","7044194")</f>
        <v>0</v>
      </c>
      <c r="B238" t="s">
        <v>96</v>
      </c>
      <c r="C238" t="s">
        <v>2902</v>
      </c>
      <c r="D238" t="s">
        <v>12994</v>
      </c>
      <c r="E238" t="s">
        <v>13314</v>
      </c>
      <c r="F238" t="s">
        <v>22436</v>
      </c>
      <c r="G238" t="s">
        <v>22443</v>
      </c>
      <c r="H238" t="s">
        <v>22452</v>
      </c>
      <c r="I238" t="s">
        <v>3529</v>
      </c>
      <c r="J238" t="s">
        <v>22800</v>
      </c>
      <c r="K238" t="s">
        <v>29335</v>
      </c>
      <c r="M238" t="s">
        <v>29668</v>
      </c>
      <c r="N238" t="s">
        <v>32524</v>
      </c>
      <c r="O238" t="s">
        <v>32525</v>
      </c>
      <c r="P238">
        <v>0</v>
      </c>
      <c r="Q238">
        <v>0</v>
      </c>
      <c r="R238" t="s">
        <v>32526</v>
      </c>
      <c r="S238" t="s">
        <v>32547</v>
      </c>
      <c r="T238" t="s">
        <v>33201</v>
      </c>
      <c r="U238" t="s">
        <v>33838</v>
      </c>
      <c r="V238" t="s">
        <v>42457</v>
      </c>
      <c r="W238" t="s">
        <v>43667</v>
      </c>
      <c r="X238" t="s">
        <v>32528</v>
      </c>
    </row>
    <row r="239" spans="1:24">
      <c r="A239">
        <f>HYPERLINK("https://www.philgeps.gov.ph/GEPSNONPILOT/Tender/SplashBidNoticeAbstractUI.aspx?menuIndex=3&amp;refID=7044156&amp;Result=3","7044156")</f>
        <v>0</v>
      </c>
      <c r="B239" t="s">
        <v>95</v>
      </c>
      <c r="C239" t="s">
        <v>2903</v>
      </c>
      <c r="D239" t="s">
        <v>13028</v>
      </c>
      <c r="E239" t="s">
        <v>13315</v>
      </c>
      <c r="F239" t="s">
        <v>22436</v>
      </c>
      <c r="G239" t="s">
        <v>22444</v>
      </c>
      <c r="H239" t="s">
        <v>22454</v>
      </c>
      <c r="I239" t="s">
        <v>7738</v>
      </c>
      <c r="J239" t="s">
        <v>22803</v>
      </c>
      <c r="K239" t="s">
        <v>29335</v>
      </c>
      <c r="M239" t="s">
        <v>29667</v>
      </c>
      <c r="N239" t="s">
        <v>32524</v>
      </c>
      <c r="O239" t="s">
        <v>32525</v>
      </c>
      <c r="P239">
        <v>0</v>
      </c>
      <c r="Q239">
        <v>0</v>
      </c>
      <c r="R239" t="s">
        <v>32526</v>
      </c>
      <c r="S239" t="s">
        <v>32547</v>
      </c>
      <c r="T239" t="s">
        <v>33155</v>
      </c>
      <c r="U239" t="s">
        <v>33839</v>
      </c>
      <c r="W239" t="s">
        <v>29667</v>
      </c>
      <c r="X239" t="s">
        <v>32528</v>
      </c>
    </row>
    <row r="240" spans="1:24">
      <c r="A240">
        <f>HYPERLINK("https://www.philgeps.gov.ph/GEPSNONPILOT/Tender/SplashBidNoticeAbstractUI.aspx?menuIndex=3&amp;refID=7044167&amp;Result=3","7044167")</f>
        <v>0</v>
      </c>
      <c r="B240" t="s">
        <v>95</v>
      </c>
      <c r="C240" t="s">
        <v>2904</v>
      </c>
      <c r="D240" t="s">
        <v>13028</v>
      </c>
      <c r="E240" t="s">
        <v>13316</v>
      </c>
      <c r="F240" t="s">
        <v>22436</v>
      </c>
      <c r="G240" t="s">
        <v>22444</v>
      </c>
      <c r="H240" t="s">
        <v>22454</v>
      </c>
      <c r="I240" t="s">
        <v>7738</v>
      </c>
      <c r="J240" t="s">
        <v>22804</v>
      </c>
      <c r="K240" t="s">
        <v>29335</v>
      </c>
      <c r="M240" t="s">
        <v>29667</v>
      </c>
      <c r="N240" t="s">
        <v>32524</v>
      </c>
      <c r="O240" t="s">
        <v>32525</v>
      </c>
      <c r="P240">
        <v>0</v>
      </c>
      <c r="Q240">
        <v>0</v>
      </c>
      <c r="R240" t="s">
        <v>32526</v>
      </c>
      <c r="S240" t="s">
        <v>32547</v>
      </c>
      <c r="T240" t="s">
        <v>33155</v>
      </c>
      <c r="U240" t="s">
        <v>33840</v>
      </c>
      <c r="W240" t="s">
        <v>29667</v>
      </c>
      <c r="X240" t="s">
        <v>32528</v>
      </c>
    </row>
    <row r="241" spans="1:24">
      <c r="A241">
        <f>HYPERLINK("https://www.philgeps.gov.ph/GEPSNONPILOT/Tender/SplashBidNoticeAbstractUI.aspx?menuIndex=3&amp;refID=7044175&amp;Result=3","7044175")</f>
        <v>0</v>
      </c>
      <c r="B241" t="s">
        <v>95</v>
      </c>
      <c r="C241" t="s">
        <v>2905</v>
      </c>
      <c r="D241" t="s">
        <v>13028</v>
      </c>
      <c r="E241" t="s">
        <v>13317</v>
      </c>
      <c r="F241" t="s">
        <v>22436</v>
      </c>
      <c r="G241" t="s">
        <v>22444</v>
      </c>
      <c r="H241" t="s">
        <v>22454</v>
      </c>
      <c r="I241" t="s">
        <v>7738</v>
      </c>
      <c r="J241" t="s">
        <v>22805</v>
      </c>
      <c r="K241" t="s">
        <v>29335</v>
      </c>
      <c r="M241" t="s">
        <v>29667</v>
      </c>
      <c r="N241" t="s">
        <v>32524</v>
      </c>
      <c r="O241" t="s">
        <v>32525</v>
      </c>
      <c r="P241">
        <v>0</v>
      </c>
      <c r="Q241">
        <v>0</v>
      </c>
      <c r="R241" t="s">
        <v>32526</v>
      </c>
      <c r="S241" t="s">
        <v>32547</v>
      </c>
      <c r="T241" t="s">
        <v>33155</v>
      </c>
      <c r="U241" t="s">
        <v>33841</v>
      </c>
      <c r="W241" t="s">
        <v>29667</v>
      </c>
      <c r="X241" t="s">
        <v>32528</v>
      </c>
    </row>
    <row r="242" spans="1:24">
      <c r="A242">
        <f>HYPERLINK("https://www.philgeps.gov.ph/GEPSNONPILOT/Tender/SplashBidNoticeAbstractUI.aspx?menuIndex=3&amp;refID=7044304&amp;Result=3","7044304")</f>
        <v>0</v>
      </c>
      <c r="B242" t="s">
        <v>97</v>
      </c>
      <c r="C242" t="s">
        <v>2906</v>
      </c>
      <c r="D242" t="s">
        <v>13029</v>
      </c>
      <c r="E242" t="s">
        <v>13318</v>
      </c>
      <c r="F242" t="s">
        <v>22436</v>
      </c>
      <c r="G242" t="s">
        <v>22443</v>
      </c>
      <c r="H242" t="s">
        <v>22454</v>
      </c>
      <c r="I242" t="s">
        <v>7738</v>
      </c>
      <c r="J242" t="s">
        <v>22806</v>
      </c>
      <c r="K242" t="s">
        <v>29335</v>
      </c>
      <c r="M242" t="s">
        <v>29669</v>
      </c>
      <c r="N242" t="s">
        <v>32524</v>
      </c>
      <c r="O242" t="s">
        <v>32525</v>
      </c>
      <c r="P242">
        <v>0</v>
      </c>
      <c r="Q242">
        <v>0</v>
      </c>
      <c r="R242" t="s">
        <v>32526</v>
      </c>
      <c r="S242" t="s">
        <v>32547</v>
      </c>
      <c r="T242" t="s">
        <v>33202</v>
      </c>
      <c r="U242" t="s">
        <v>33842</v>
      </c>
      <c r="W242" t="s">
        <v>29669</v>
      </c>
      <c r="X242" t="s">
        <v>32528</v>
      </c>
    </row>
    <row r="243" spans="1:24">
      <c r="A243">
        <f>HYPERLINK("https://www.philgeps.gov.ph/GEPSNONPILOT/Tender/SplashBidNoticeAbstractUI.aspx?menuIndex=3&amp;refID=7044315&amp;Result=3","7044315")</f>
        <v>0</v>
      </c>
      <c r="B243" t="s">
        <v>98</v>
      </c>
      <c r="C243" t="s">
        <v>2907</v>
      </c>
      <c r="D243" t="s">
        <v>13011</v>
      </c>
      <c r="E243" t="s">
        <v>13319</v>
      </c>
      <c r="F243" t="s">
        <v>22436</v>
      </c>
      <c r="G243" t="s">
        <v>22443</v>
      </c>
      <c r="H243" t="s">
        <v>22452</v>
      </c>
      <c r="I243" t="s">
        <v>6421</v>
      </c>
      <c r="J243" t="s">
        <v>22807</v>
      </c>
      <c r="K243" t="s">
        <v>29336</v>
      </c>
      <c r="M243" t="s">
        <v>29670</v>
      </c>
      <c r="N243" t="s">
        <v>32524</v>
      </c>
      <c r="O243" t="s">
        <v>32525</v>
      </c>
      <c r="P243">
        <v>0</v>
      </c>
      <c r="Q243">
        <v>2</v>
      </c>
      <c r="R243" t="s">
        <v>32526</v>
      </c>
      <c r="S243" t="s">
        <v>32547</v>
      </c>
      <c r="T243" t="s">
        <v>33167</v>
      </c>
      <c r="U243" t="s">
        <v>33843</v>
      </c>
      <c r="W243" t="s">
        <v>29670</v>
      </c>
      <c r="X243" t="s">
        <v>32528</v>
      </c>
    </row>
    <row r="244" spans="1:24">
      <c r="A244">
        <f>HYPERLINK("https://www.philgeps.gov.ph/GEPSNONPILOT/Tender/SplashBidNoticeAbstractUI.aspx?menuIndex=3&amp;refID=7044344&amp;Result=3","7044344")</f>
        <v>0</v>
      </c>
      <c r="B244" t="s">
        <v>99</v>
      </c>
      <c r="C244" t="s">
        <v>2908</v>
      </c>
      <c r="D244" t="s">
        <v>13008</v>
      </c>
      <c r="E244" t="s">
        <v>13320</v>
      </c>
      <c r="F244" t="s">
        <v>22436</v>
      </c>
      <c r="G244" t="s">
        <v>22444</v>
      </c>
      <c r="H244" t="s">
        <v>22452</v>
      </c>
      <c r="I244" t="s">
        <v>22490</v>
      </c>
      <c r="J244" t="s">
        <v>22808</v>
      </c>
      <c r="K244" t="s">
        <v>29357</v>
      </c>
      <c r="M244" t="s">
        <v>29671</v>
      </c>
      <c r="N244" t="s">
        <v>32524</v>
      </c>
      <c r="O244" t="s">
        <v>32525</v>
      </c>
      <c r="P244">
        <v>0</v>
      </c>
      <c r="Q244">
        <v>0</v>
      </c>
      <c r="R244" t="s">
        <v>32526</v>
      </c>
      <c r="S244" t="s">
        <v>32547</v>
      </c>
      <c r="T244" t="s">
        <v>33168</v>
      </c>
      <c r="U244" t="s">
        <v>33844</v>
      </c>
      <c r="W244" t="s">
        <v>29671</v>
      </c>
      <c r="X244" t="s">
        <v>32527</v>
      </c>
    </row>
    <row r="245" spans="1:24">
      <c r="A245">
        <f>HYPERLINK("https://www.philgeps.gov.ph/GEPSNONPILOT/Tender/SplashBidNoticeAbstractUI.aspx?menuIndex=3&amp;refID=7044305&amp;Result=3","7044305")</f>
        <v>0</v>
      </c>
      <c r="B245" t="s">
        <v>97</v>
      </c>
      <c r="C245" t="s">
        <v>2909</v>
      </c>
      <c r="D245" t="s">
        <v>13029</v>
      </c>
      <c r="E245" t="s">
        <v>13321</v>
      </c>
      <c r="F245" t="s">
        <v>22436</v>
      </c>
      <c r="G245" t="s">
        <v>22443</v>
      </c>
      <c r="H245" t="s">
        <v>22454</v>
      </c>
      <c r="I245" t="s">
        <v>7738</v>
      </c>
      <c r="J245" t="s">
        <v>22809</v>
      </c>
      <c r="K245" t="s">
        <v>29335</v>
      </c>
      <c r="M245" t="s">
        <v>29669</v>
      </c>
      <c r="N245" t="s">
        <v>32524</v>
      </c>
      <c r="O245" t="s">
        <v>32525</v>
      </c>
      <c r="P245">
        <v>0</v>
      </c>
      <c r="Q245">
        <v>0</v>
      </c>
      <c r="R245" t="s">
        <v>32526</v>
      </c>
      <c r="S245" t="s">
        <v>32547</v>
      </c>
      <c r="T245" t="s">
        <v>33202</v>
      </c>
      <c r="U245" t="s">
        <v>33845</v>
      </c>
      <c r="W245" t="s">
        <v>29669</v>
      </c>
      <c r="X245" t="s">
        <v>32528</v>
      </c>
    </row>
    <row r="246" spans="1:24">
      <c r="A246">
        <f>HYPERLINK("https://www.philgeps.gov.ph/GEPSNONPILOT/Tender/SplashBidNoticeAbstractUI.aspx?menuIndex=3&amp;refID=7044359&amp;Result=3","7044359")</f>
        <v>0</v>
      </c>
      <c r="B246" t="s">
        <v>100</v>
      </c>
      <c r="C246" t="s">
        <v>2910</v>
      </c>
      <c r="D246" t="s">
        <v>12988</v>
      </c>
      <c r="E246" t="s">
        <v>13322</v>
      </c>
      <c r="F246" t="s">
        <v>22436</v>
      </c>
      <c r="G246" t="s">
        <v>22443</v>
      </c>
      <c r="H246" t="s">
        <v>22452</v>
      </c>
      <c r="I246" t="s">
        <v>12358</v>
      </c>
      <c r="J246" t="s">
        <v>22810</v>
      </c>
      <c r="K246" t="s">
        <v>29335</v>
      </c>
      <c r="M246" t="s">
        <v>29672</v>
      </c>
      <c r="N246" t="s">
        <v>32524</v>
      </c>
      <c r="O246" t="s">
        <v>32525</v>
      </c>
      <c r="P246">
        <v>0</v>
      </c>
      <c r="Q246">
        <v>0</v>
      </c>
      <c r="R246" t="s">
        <v>32526</v>
      </c>
      <c r="S246" t="s">
        <v>32547</v>
      </c>
      <c r="T246" t="s">
        <v>33203</v>
      </c>
      <c r="U246" t="s">
        <v>33846</v>
      </c>
      <c r="W246" t="s">
        <v>29672</v>
      </c>
      <c r="X246" t="s">
        <v>32527</v>
      </c>
    </row>
    <row r="247" spans="1:24">
      <c r="A247">
        <f>HYPERLINK("https://www.philgeps.gov.ph/GEPSNONPILOT/Tender/SplashBidNoticeAbstractUI.aspx?menuIndex=3&amp;refID=7044354&amp;Result=3","7044354")</f>
        <v>0</v>
      </c>
      <c r="B247" t="s">
        <v>101</v>
      </c>
      <c r="C247" t="s">
        <v>2911</v>
      </c>
      <c r="D247" t="s">
        <v>13023</v>
      </c>
      <c r="E247" t="s">
        <v>13323</v>
      </c>
      <c r="F247" t="s">
        <v>22436</v>
      </c>
      <c r="G247" t="s">
        <v>22445</v>
      </c>
      <c r="H247" t="s">
        <v>22452</v>
      </c>
      <c r="I247" t="s">
        <v>22471</v>
      </c>
      <c r="J247" t="s">
        <v>22811</v>
      </c>
      <c r="K247" t="s">
        <v>29341</v>
      </c>
      <c r="M247" t="s">
        <v>29673</v>
      </c>
      <c r="N247" t="s">
        <v>32524</v>
      </c>
      <c r="O247" t="s">
        <v>32525</v>
      </c>
      <c r="P247">
        <v>0</v>
      </c>
      <c r="Q247">
        <v>12</v>
      </c>
      <c r="R247" t="s">
        <v>32526</v>
      </c>
      <c r="S247" t="s">
        <v>32547</v>
      </c>
      <c r="T247" t="s">
        <v>33204</v>
      </c>
      <c r="U247" t="s">
        <v>33847</v>
      </c>
      <c r="W247" t="s">
        <v>29673</v>
      </c>
      <c r="X247" t="s">
        <v>32527</v>
      </c>
    </row>
    <row r="248" spans="1:24">
      <c r="A248">
        <f>HYPERLINK("https://www.philgeps.gov.ph/GEPSNONPILOT/Tender/SplashBidNoticeAbstractUI.aspx?menuIndex=3&amp;refID=7044351&amp;Result=3","7044351")</f>
        <v>0</v>
      </c>
      <c r="B248" t="s">
        <v>102</v>
      </c>
      <c r="C248" t="s">
        <v>2912</v>
      </c>
      <c r="D248" t="s">
        <v>12994</v>
      </c>
      <c r="E248" t="s">
        <v>13127</v>
      </c>
      <c r="F248" t="s">
        <v>22436</v>
      </c>
      <c r="G248" t="s">
        <v>22444</v>
      </c>
      <c r="H248" t="s">
        <v>22454</v>
      </c>
      <c r="I248" t="s">
        <v>7738</v>
      </c>
      <c r="J248" t="s">
        <v>22788</v>
      </c>
      <c r="K248" t="s">
        <v>29333</v>
      </c>
      <c r="M248" t="s">
        <v>29674</v>
      </c>
      <c r="N248" t="s">
        <v>32524</v>
      </c>
      <c r="O248" t="s">
        <v>32525</v>
      </c>
      <c r="P248">
        <v>0</v>
      </c>
      <c r="Q248">
        <v>0</v>
      </c>
      <c r="R248" t="s">
        <v>32526</v>
      </c>
      <c r="S248" t="s">
        <v>32547</v>
      </c>
      <c r="T248" t="s">
        <v>33182</v>
      </c>
      <c r="U248" t="s">
        <v>33848</v>
      </c>
      <c r="V248" t="s">
        <v>42458</v>
      </c>
      <c r="W248" t="s">
        <v>29674</v>
      </c>
      <c r="X248" t="s">
        <v>32527</v>
      </c>
    </row>
    <row r="249" spans="1:24">
      <c r="A249">
        <f>HYPERLINK("https://www.philgeps.gov.ph/GEPSNONPILOT/Tender/SplashBidNoticeAbstractUI.aspx?menuIndex=3&amp;refID=7044353&amp;Result=3","7044353")</f>
        <v>0</v>
      </c>
      <c r="B249" t="s">
        <v>103</v>
      </c>
      <c r="C249" t="s">
        <v>2913</v>
      </c>
      <c r="D249" t="s">
        <v>13030</v>
      </c>
      <c r="E249" t="s">
        <v>13324</v>
      </c>
      <c r="F249" t="s">
        <v>22436</v>
      </c>
      <c r="G249" t="s">
        <v>22444</v>
      </c>
      <c r="H249" t="s">
        <v>22454</v>
      </c>
      <c r="I249" t="s">
        <v>7738</v>
      </c>
      <c r="J249" t="s">
        <v>22812</v>
      </c>
      <c r="K249" t="s">
        <v>29333</v>
      </c>
      <c r="M249" t="s">
        <v>29675</v>
      </c>
      <c r="N249" t="s">
        <v>32524</v>
      </c>
      <c r="O249" t="s">
        <v>32525</v>
      </c>
      <c r="P249">
        <v>0</v>
      </c>
      <c r="Q249">
        <v>1</v>
      </c>
      <c r="R249" t="s">
        <v>32526</v>
      </c>
      <c r="S249" t="s">
        <v>32547</v>
      </c>
      <c r="T249" t="s">
        <v>33205</v>
      </c>
      <c r="U249" t="s">
        <v>33849</v>
      </c>
      <c r="V249" t="s">
        <v>42459</v>
      </c>
      <c r="W249" t="s">
        <v>29675</v>
      </c>
      <c r="X249" t="s">
        <v>32527</v>
      </c>
    </row>
    <row r="250" spans="1:24">
      <c r="A250">
        <f>HYPERLINK("https://www.philgeps.gov.ph/GEPSNONPILOT/Tender/SplashBidNoticeAbstractUI.aspx?menuIndex=3&amp;refID=7044350&amp;Result=3","7044350")</f>
        <v>0</v>
      </c>
      <c r="B250" t="s">
        <v>104</v>
      </c>
      <c r="C250" t="s">
        <v>2914</v>
      </c>
      <c r="D250" t="s">
        <v>12988</v>
      </c>
      <c r="E250" t="s">
        <v>13325</v>
      </c>
      <c r="F250" t="s">
        <v>22436</v>
      </c>
      <c r="G250" t="s">
        <v>22443</v>
      </c>
      <c r="H250" t="s">
        <v>22452</v>
      </c>
      <c r="I250" t="s">
        <v>2981</v>
      </c>
      <c r="J250" t="s">
        <v>22813</v>
      </c>
      <c r="K250" t="s">
        <v>29336</v>
      </c>
      <c r="M250" t="s">
        <v>29676</v>
      </c>
      <c r="N250" t="s">
        <v>32524</v>
      </c>
      <c r="O250" t="s">
        <v>32525</v>
      </c>
      <c r="P250">
        <v>0</v>
      </c>
      <c r="Q250">
        <v>3</v>
      </c>
      <c r="R250" t="s">
        <v>32526</v>
      </c>
      <c r="S250" t="s">
        <v>32547</v>
      </c>
      <c r="T250" t="s">
        <v>33206</v>
      </c>
      <c r="U250" t="s">
        <v>33850</v>
      </c>
      <c r="W250" t="s">
        <v>29676</v>
      </c>
      <c r="X250" t="s">
        <v>32527</v>
      </c>
    </row>
    <row r="251" spans="1:24">
      <c r="A251">
        <f>HYPERLINK("https://www.philgeps.gov.ph/GEPSNONPILOT/Tender/SplashBidNoticeAbstractUI.aspx?menuIndex=3&amp;refID=7044358&amp;Result=3","7044358")</f>
        <v>0</v>
      </c>
      <c r="B251" t="s">
        <v>105</v>
      </c>
      <c r="C251" t="s">
        <v>2915</v>
      </c>
      <c r="D251" t="s">
        <v>13026</v>
      </c>
      <c r="E251" t="s">
        <v>13326</v>
      </c>
      <c r="F251" t="s">
        <v>22436</v>
      </c>
      <c r="G251" t="s">
        <v>22446</v>
      </c>
      <c r="H251" t="s">
        <v>22452</v>
      </c>
      <c r="I251" t="s">
        <v>22468</v>
      </c>
      <c r="J251" t="s">
        <v>22814</v>
      </c>
      <c r="K251" t="s">
        <v>29331</v>
      </c>
      <c r="M251" t="s">
        <v>29677</v>
      </c>
      <c r="N251" t="s">
        <v>32524</v>
      </c>
      <c r="O251" t="s">
        <v>32525</v>
      </c>
      <c r="P251">
        <v>0</v>
      </c>
      <c r="Q251">
        <v>1</v>
      </c>
      <c r="R251" t="s">
        <v>32526</v>
      </c>
      <c r="S251" t="s">
        <v>32547</v>
      </c>
      <c r="T251" t="s">
        <v>33203</v>
      </c>
      <c r="U251" t="s">
        <v>33851</v>
      </c>
      <c r="W251" t="s">
        <v>29677</v>
      </c>
      <c r="X251" t="s">
        <v>32527</v>
      </c>
    </row>
    <row r="252" spans="1:24">
      <c r="A252">
        <f>HYPERLINK("https://www.philgeps.gov.ph/GEPSNONPILOT/Tender/SplashBidNoticeAbstractUI.aspx?menuIndex=3&amp;refID=7044364&amp;Result=3","7044364")</f>
        <v>0</v>
      </c>
      <c r="B252" t="s">
        <v>106</v>
      </c>
      <c r="C252" t="s">
        <v>2916</v>
      </c>
      <c r="D252" t="s">
        <v>13000</v>
      </c>
      <c r="E252" t="s">
        <v>13327</v>
      </c>
      <c r="F252" t="s">
        <v>22436</v>
      </c>
      <c r="G252" t="s">
        <v>22443</v>
      </c>
      <c r="H252" t="s">
        <v>22452</v>
      </c>
      <c r="I252" t="s">
        <v>22458</v>
      </c>
      <c r="J252" t="s">
        <v>22815</v>
      </c>
      <c r="K252" t="s">
        <v>29336</v>
      </c>
      <c r="M252" t="s">
        <v>29678</v>
      </c>
      <c r="N252" t="s">
        <v>32524</v>
      </c>
      <c r="O252" t="s">
        <v>32525</v>
      </c>
      <c r="P252">
        <v>0</v>
      </c>
      <c r="Q252">
        <v>3</v>
      </c>
      <c r="R252" t="s">
        <v>32526</v>
      </c>
      <c r="S252" t="s">
        <v>32547</v>
      </c>
      <c r="T252" t="s">
        <v>33169</v>
      </c>
      <c r="U252" t="s">
        <v>33852</v>
      </c>
      <c r="W252" t="s">
        <v>29678</v>
      </c>
      <c r="X252" t="s">
        <v>32527</v>
      </c>
    </row>
    <row r="253" spans="1:24">
      <c r="A253">
        <f>HYPERLINK("https://www.philgeps.gov.ph/GEPSNONPILOT/Tender/SplashBidNoticeAbstractUI.aspx?menuIndex=3&amp;refID=7044347&amp;Result=3","7044347")</f>
        <v>0</v>
      </c>
      <c r="B253" t="s">
        <v>107</v>
      </c>
      <c r="C253" t="s">
        <v>2917</v>
      </c>
      <c r="D253" t="s">
        <v>13012</v>
      </c>
      <c r="E253" t="s">
        <v>13328</v>
      </c>
      <c r="F253" t="s">
        <v>22436</v>
      </c>
      <c r="G253" t="s">
        <v>22444</v>
      </c>
      <c r="H253" t="s">
        <v>22452</v>
      </c>
      <c r="I253" t="s">
        <v>3529</v>
      </c>
      <c r="J253" t="s">
        <v>22816</v>
      </c>
      <c r="K253" t="s">
        <v>29331</v>
      </c>
      <c r="M253" t="s">
        <v>29679</v>
      </c>
      <c r="N253" t="s">
        <v>32524</v>
      </c>
      <c r="O253" t="s">
        <v>32525</v>
      </c>
      <c r="P253">
        <v>0</v>
      </c>
      <c r="Q253">
        <v>0</v>
      </c>
      <c r="R253" t="s">
        <v>32526</v>
      </c>
      <c r="S253" t="s">
        <v>32547</v>
      </c>
      <c r="T253" t="s">
        <v>33184</v>
      </c>
      <c r="U253" t="s">
        <v>33853</v>
      </c>
      <c r="W253" t="s">
        <v>29679</v>
      </c>
      <c r="X253" t="s">
        <v>32527</v>
      </c>
    </row>
    <row r="254" spans="1:24">
      <c r="A254">
        <f>HYPERLINK("https://www.philgeps.gov.ph/GEPSNONPILOT/Tender/SplashBidNoticeAbstractUI.aspx?menuIndex=3&amp;refID=7044360&amp;Result=3","7044360")</f>
        <v>0</v>
      </c>
      <c r="B254" t="s">
        <v>108</v>
      </c>
      <c r="C254" t="s">
        <v>2918</v>
      </c>
      <c r="D254" t="s">
        <v>13007</v>
      </c>
      <c r="E254" t="s">
        <v>13329</v>
      </c>
      <c r="F254" t="s">
        <v>22436</v>
      </c>
      <c r="G254" t="s">
        <v>22443</v>
      </c>
      <c r="H254" t="s">
        <v>22452</v>
      </c>
      <c r="I254" t="s">
        <v>22463</v>
      </c>
      <c r="J254" t="s">
        <v>22817</v>
      </c>
      <c r="K254" t="s">
        <v>29341</v>
      </c>
      <c r="M254" t="s">
        <v>29680</v>
      </c>
      <c r="N254" t="s">
        <v>32524</v>
      </c>
      <c r="O254" t="s">
        <v>32525</v>
      </c>
      <c r="P254">
        <v>0</v>
      </c>
      <c r="Q254">
        <v>0</v>
      </c>
      <c r="R254" t="s">
        <v>32526</v>
      </c>
      <c r="S254" t="s">
        <v>32547</v>
      </c>
      <c r="T254" t="s">
        <v>33167</v>
      </c>
      <c r="U254" t="s">
        <v>33854</v>
      </c>
      <c r="W254" t="s">
        <v>29680</v>
      </c>
      <c r="X254" t="s">
        <v>32527</v>
      </c>
    </row>
    <row r="255" spans="1:24">
      <c r="A255">
        <f>HYPERLINK("https://www.philgeps.gov.ph/GEPSNONPILOT/Tender/SplashBidNoticeAbstractUI.aspx?menuIndex=3&amp;refID=7044362&amp;Result=3","7044362")</f>
        <v>0</v>
      </c>
      <c r="B255" t="s">
        <v>109</v>
      </c>
      <c r="C255" t="s">
        <v>2919</v>
      </c>
      <c r="D255" t="s">
        <v>13031</v>
      </c>
      <c r="E255" t="s">
        <v>13330</v>
      </c>
      <c r="F255" t="s">
        <v>22436</v>
      </c>
      <c r="G255" t="s">
        <v>22443</v>
      </c>
      <c r="H255" t="s">
        <v>22452</v>
      </c>
      <c r="I255" t="s">
        <v>22487</v>
      </c>
      <c r="J255" t="s">
        <v>22818</v>
      </c>
      <c r="K255" t="s">
        <v>29338</v>
      </c>
      <c r="M255" t="s">
        <v>29681</v>
      </c>
      <c r="N255" t="s">
        <v>32524</v>
      </c>
      <c r="O255" t="s">
        <v>32525</v>
      </c>
      <c r="P255">
        <v>0</v>
      </c>
      <c r="Q255">
        <v>1</v>
      </c>
      <c r="R255" t="s">
        <v>32526</v>
      </c>
      <c r="S255" t="s">
        <v>32547</v>
      </c>
      <c r="T255" t="s">
        <v>33154</v>
      </c>
      <c r="U255" t="s">
        <v>33855</v>
      </c>
      <c r="W255" t="s">
        <v>29681</v>
      </c>
      <c r="X255" t="s">
        <v>32527</v>
      </c>
    </row>
    <row r="256" spans="1:24">
      <c r="A256">
        <f>HYPERLINK("https://www.philgeps.gov.ph/GEPSNONPILOT/Tender/SplashBidNoticeAbstractUI.aspx?menuIndex=3&amp;refID=7044361&amp;Result=3","7044361")</f>
        <v>0</v>
      </c>
      <c r="B256" t="s">
        <v>110</v>
      </c>
      <c r="C256" t="s">
        <v>2920</v>
      </c>
      <c r="D256" t="s">
        <v>13028</v>
      </c>
      <c r="E256" t="s">
        <v>13331</v>
      </c>
      <c r="F256" t="s">
        <v>22436</v>
      </c>
      <c r="G256" t="s">
        <v>22444</v>
      </c>
      <c r="H256" t="s">
        <v>22452</v>
      </c>
      <c r="I256" t="s">
        <v>22461</v>
      </c>
      <c r="J256" t="s">
        <v>22819</v>
      </c>
      <c r="K256" t="s">
        <v>29341</v>
      </c>
      <c r="M256" t="s">
        <v>29682</v>
      </c>
      <c r="N256" t="s">
        <v>32524</v>
      </c>
      <c r="O256" t="s">
        <v>32525</v>
      </c>
      <c r="P256">
        <v>0</v>
      </c>
      <c r="Q256">
        <v>1</v>
      </c>
      <c r="R256" t="s">
        <v>32526</v>
      </c>
      <c r="S256" t="s">
        <v>32547</v>
      </c>
      <c r="T256" t="s">
        <v>33207</v>
      </c>
      <c r="U256" t="s">
        <v>33856</v>
      </c>
      <c r="W256" t="s">
        <v>29682</v>
      </c>
      <c r="X256" t="s">
        <v>32527</v>
      </c>
    </row>
    <row r="257" spans="1:24">
      <c r="A257">
        <f>HYPERLINK("https://www.philgeps.gov.ph/GEPSNONPILOT/Tender/SplashBidNoticeAbstractUI.aspx?menuIndex=3&amp;refID=7044357&amp;Result=3","7044357")</f>
        <v>0</v>
      </c>
      <c r="B257" t="s">
        <v>111</v>
      </c>
      <c r="C257" t="s">
        <v>2921</v>
      </c>
      <c r="E257" t="s">
        <v>13332</v>
      </c>
      <c r="F257" t="s">
        <v>22436</v>
      </c>
      <c r="G257" t="s">
        <v>22443</v>
      </c>
      <c r="H257" t="s">
        <v>22453</v>
      </c>
      <c r="I257" t="s">
        <v>7738</v>
      </c>
      <c r="J257" t="s">
        <v>22820</v>
      </c>
      <c r="K257" t="s">
        <v>29337</v>
      </c>
      <c r="M257" t="s">
        <v>29683</v>
      </c>
      <c r="N257" t="s">
        <v>32524</v>
      </c>
      <c r="O257" t="s">
        <v>32525</v>
      </c>
      <c r="P257">
        <v>0</v>
      </c>
      <c r="Q257">
        <v>1</v>
      </c>
      <c r="R257" t="s">
        <v>32526</v>
      </c>
      <c r="S257" t="s">
        <v>32547</v>
      </c>
      <c r="T257" t="s">
        <v>33208</v>
      </c>
      <c r="U257" t="s">
        <v>33857</v>
      </c>
      <c r="W257" t="s">
        <v>29683</v>
      </c>
      <c r="X257" t="s">
        <v>32527</v>
      </c>
    </row>
    <row r="258" spans="1:24">
      <c r="A258">
        <f>HYPERLINK("https://www.philgeps.gov.ph/GEPSNONPILOT/Tender/SplashBidNoticeAbstractUI.aspx?menuIndex=3&amp;refID=7044363&amp;Result=3","7044363")</f>
        <v>0</v>
      </c>
      <c r="B258" t="s">
        <v>112</v>
      </c>
      <c r="C258" t="s">
        <v>2922</v>
      </c>
      <c r="D258" t="s">
        <v>13032</v>
      </c>
      <c r="E258" t="s">
        <v>13333</v>
      </c>
      <c r="F258" t="s">
        <v>22436</v>
      </c>
      <c r="G258" t="s">
        <v>22446</v>
      </c>
      <c r="H258" t="s">
        <v>22452</v>
      </c>
      <c r="I258" t="s">
        <v>3122</v>
      </c>
      <c r="J258" t="s">
        <v>22821</v>
      </c>
      <c r="K258" t="s">
        <v>29356</v>
      </c>
      <c r="M258" t="s">
        <v>29684</v>
      </c>
      <c r="N258" t="s">
        <v>32524</v>
      </c>
      <c r="O258" t="s">
        <v>32525</v>
      </c>
      <c r="P258">
        <v>0</v>
      </c>
      <c r="Q258">
        <v>0</v>
      </c>
      <c r="R258" t="s">
        <v>32526</v>
      </c>
      <c r="S258" t="s">
        <v>32547</v>
      </c>
      <c r="T258" t="s">
        <v>33180</v>
      </c>
      <c r="U258" t="s">
        <v>33858</v>
      </c>
      <c r="V258" t="s">
        <v>42460</v>
      </c>
      <c r="W258" t="s">
        <v>29684</v>
      </c>
      <c r="X258" t="s">
        <v>32527</v>
      </c>
    </row>
    <row r="259" spans="1:24">
      <c r="A259">
        <f>HYPERLINK("https://www.philgeps.gov.ph/GEPSNONPILOT/Tender/SplashBidNoticeAbstractUI.aspx?menuIndex=3&amp;refID=7044348&amp;Result=3","7044348")</f>
        <v>0</v>
      </c>
      <c r="B259" t="s">
        <v>113</v>
      </c>
      <c r="C259" t="s">
        <v>2923</v>
      </c>
      <c r="D259" t="s">
        <v>13033</v>
      </c>
      <c r="E259" t="s">
        <v>13334</v>
      </c>
      <c r="F259" t="s">
        <v>22436</v>
      </c>
      <c r="G259" t="s">
        <v>22443</v>
      </c>
      <c r="H259" t="s">
        <v>22452</v>
      </c>
      <c r="I259" t="s">
        <v>22460</v>
      </c>
      <c r="J259" t="s">
        <v>22605</v>
      </c>
      <c r="K259" t="s">
        <v>29358</v>
      </c>
      <c r="M259" t="s">
        <v>29685</v>
      </c>
      <c r="N259" t="s">
        <v>32524</v>
      </c>
      <c r="O259" t="s">
        <v>32525</v>
      </c>
      <c r="P259">
        <v>0</v>
      </c>
      <c r="Q259">
        <v>1</v>
      </c>
      <c r="R259" t="s">
        <v>32526</v>
      </c>
      <c r="S259" t="s">
        <v>32547</v>
      </c>
      <c r="T259" t="s">
        <v>33196</v>
      </c>
      <c r="U259" t="s">
        <v>33859</v>
      </c>
      <c r="W259" t="s">
        <v>29685</v>
      </c>
      <c r="X259" t="s">
        <v>32527</v>
      </c>
    </row>
    <row r="260" spans="1:24">
      <c r="A260">
        <f>HYPERLINK("https://www.philgeps.gov.ph/GEPSNONPILOT/Tender/SplashBidNoticeAbstractUI.aspx?menuIndex=3&amp;refID=7044355&amp;Result=3","7044355")</f>
        <v>0</v>
      </c>
      <c r="B260" t="s">
        <v>105</v>
      </c>
      <c r="C260" t="s">
        <v>2924</v>
      </c>
      <c r="D260" t="s">
        <v>13026</v>
      </c>
      <c r="E260" t="s">
        <v>13335</v>
      </c>
      <c r="F260" t="s">
        <v>22436</v>
      </c>
      <c r="G260" t="s">
        <v>22446</v>
      </c>
      <c r="H260" t="s">
        <v>22452</v>
      </c>
      <c r="I260" t="s">
        <v>22471</v>
      </c>
      <c r="J260" t="s">
        <v>22822</v>
      </c>
      <c r="K260" t="s">
        <v>29331</v>
      </c>
      <c r="M260" t="s">
        <v>29677</v>
      </c>
      <c r="N260" t="s">
        <v>32524</v>
      </c>
      <c r="O260" t="s">
        <v>32525</v>
      </c>
      <c r="P260">
        <v>0</v>
      </c>
      <c r="Q260">
        <v>1</v>
      </c>
      <c r="R260" t="s">
        <v>32526</v>
      </c>
      <c r="S260" t="s">
        <v>32547</v>
      </c>
      <c r="T260" t="s">
        <v>33203</v>
      </c>
      <c r="U260" t="s">
        <v>33860</v>
      </c>
      <c r="W260" t="s">
        <v>29677</v>
      </c>
      <c r="X260" t="s">
        <v>32527</v>
      </c>
    </row>
    <row r="261" spans="1:24">
      <c r="A261">
        <f>HYPERLINK("https://www.philgeps.gov.ph/GEPSNONPILOT/Tender/SplashBidNoticeAbstractUI.aspx?menuIndex=3&amp;refID=7044365&amp;Result=3","7044365")</f>
        <v>0</v>
      </c>
      <c r="B261" t="s">
        <v>114</v>
      </c>
      <c r="C261" t="s">
        <v>2925</v>
      </c>
      <c r="D261" t="s">
        <v>12999</v>
      </c>
      <c r="E261" t="s">
        <v>13336</v>
      </c>
      <c r="F261" t="s">
        <v>22436</v>
      </c>
      <c r="G261" t="s">
        <v>22443</v>
      </c>
      <c r="H261" t="s">
        <v>22454</v>
      </c>
      <c r="I261" t="s">
        <v>7738</v>
      </c>
      <c r="J261" t="s">
        <v>22823</v>
      </c>
      <c r="K261" t="s">
        <v>29338</v>
      </c>
      <c r="M261" t="s">
        <v>29686</v>
      </c>
      <c r="N261" t="s">
        <v>32524</v>
      </c>
      <c r="O261" t="s">
        <v>32525</v>
      </c>
      <c r="P261">
        <v>0</v>
      </c>
      <c r="Q261">
        <v>0</v>
      </c>
      <c r="R261" t="s">
        <v>32526</v>
      </c>
      <c r="S261" t="s">
        <v>32547</v>
      </c>
      <c r="T261" t="s">
        <v>33169</v>
      </c>
      <c r="U261" t="s">
        <v>33861</v>
      </c>
      <c r="W261" t="s">
        <v>29686</v>
      </c>
      <c r="X261" t="s">
        <v>32527</v>
      </c>
    </row>
    <row r="262" spans="1:24">
      <c r="A262">
        <f>HYPERLINK("https://www.philgeps.gov.ph/GEPSNONPILOT/Tender/SplashBidNoticeAbstractUI.aspx?menuIndex=3&amp;refID=7044356&amp;Result=3","7044356")</f>
        <v>0</v>
      </c>
      <c r="B262" t="s">
        <v>115</v>
      </c>
      <c r="C262" t="s">
        <v>2926</v>
      </c>
      <c r="D262" t="s">
        <v>13029</v>
      </c>
      <c r="E262" t="s">
        <v>13337</v>
      </c>
      <c r="F262" t="s">
        <v>22436</v>
      </c>
      <c r="G262" t="s">
        <v>22446</v>
      </c>
      <c r="H262" t="s">
        <v>22452</v>
      </c>
      <c r="I262" t="s">
        <v>22471</v>
      </c>
      <c r="J262" t="s">
        <v>22824</v>
      </c>
      <c r="K262" t="s">
        <v>29336</v>
      </c>
      <c r="M262" t="s">
        <v>29687</v>
      </c>
      <c r="N262" t="s">
        <v>32524</v>
      </c>
      <c r="O262" t="s">
        <v>32525</v>
      </c>
      <c r="P262">
        <v>0</v>
      </c>
      <c r="Q262">
        <v>6</v>
      </c>
      <c r="R262" t="s">
        <v>32526</v>
      </c>
      <c r="S262" t="s">
        <v>32547</v>
      </c>
      <c r="T262" t="s">
        <v>33209</v>
      </c>
      <c r="U262" t="s">
        <v>33862</v>
      </c>
      <c r="W262" t="s">
        <v>43668</v>
      </c>
      <c r="X262" t="s">
        <v>32527</v>
      </c>
    </row>
    <row r="263" spans="1:24">
      <c r="A263">
        <f>HYPERLINK("https://www.philgeps.gov.ph/GEPSNONPILOT/Tender/SplashBidNoticeAbstractUI.aspx?menuIndex=3&amp;refID=7044366&amp;Result=3","7044366")</f>
        <v>0</v>
      </c>
      <c r="B263" t="s">
        <v>116</v>
      </c>
      <c r="C263" t="s">
        <v>2927</v>
      </c>
      <c r="D263" t="s">
        <v>12994</v>
      </c>
      <c r="E263" t="s">
        <v>13338</v>
      </c>
      <c r="F263" t="s">
        <v>22436</v>
      </c>
      <c r="G263" t="s">
        <v>22444</v>
      </c>
      <c r="H263" t="s">
        <v>22452</v>
      </c>
      <c r="I263" t="s">
        <v>12358</v>
      </c>
      <c r="J263" t="s">
        <v>22825</v>
      </c>
      <c r="K263" t="s">
        <v>29333</v>
      </c>
      <c r="L263" t="s">
        <v>116</v>
      </c>
      <c r="M263" t="s">
        <v>29688</v>
      </c>
      <c r="N263" t="s">
        <v>32524</v>
      </c>
      <c r="O263" t="s">
        <v>32525</v>
      </c>
      <c r="P263">
        <v>0</v>
      </c>
      <c r="Q263">
        <v>1</v>
      </c>
      <c r="R263" t="s">
        <v>32526</v>
      </c>
      <c r="S263" t="s">
        <v>32547</v>
      </c>
      <c r="T263" t="s">
        <v>33181</v>
      </c>
      <c r="U263" t="s">
        <v>33863</v>
      </c>
      <c r="W263" t="s">
        <v>29688</v>
      </c>
      <c r="X263" t="s">
        <v>32527</v>
      </c>
    </row>
    <row r="264" spans="1:24">
      <c r="A264">
        <f>HYPERLINK("https://www.philgeps.gov.ph/GEPSNONPILOT/Tender/SplashBidNoticeAbstractUI.aspx?menuIndex=3&amp;refID=7044379&amp;Result=3","7044379")</f>
        <v>0</v>
      </c>
      <c r="B264" t="s">
        <v>106</v>
      </c>
      <c r="C264" t="s">
        <v>2928</v>
      </c>
      <c r="D264" t="s">
        <v>13000</v>
      </c>
      <c r="E264" t="s">
        <v>13339</v>
      </c>
      <c r="F264" t="s">
        <v>22436</v>
      </c>
      <c r="G264" t="s">
        <v>22443</v>
      </c>
      <c r="H264" t="s">
        <v>22452</v>
      </c>
      <c r="I264" t="s">
        <v>22491</v>
      </c>
      <c r="J264" t="s">
        <v>22826</v>
      </c>
      <c r="K264" t="s">
        <v>29336</v>
      </c>
      <c r="M264" t="s">
        <v>29678</v>
      </c>
      <c r="N264" t="s">
        <v>32524</v>
      </c>
      <c r="O264" t="s">
        <v>32525</v>
      </c>
      <c r="P264">
        <v>0</v>
      </c>
      <c r="Q264">
        <v>0</v>
      </c>
      <c r="R264" t="s">
        <v>32526</v>
      </c>
      <c r="S264" t="s">
        <v>32547</v>
      </c>
      <c r="T264" t="s">
        <v>33169</v>
      </c>
      <c r="U264" t="s">
        <v>33864</v>
      </c>
      <c r="W264" t="s">
        <v>29678</v>
      </c>
      <c r="X264" t="s">
        <v>32527</v>
      </c>
    </row>
    <row r="265" spans="1:24">
      <c r="A265">
        <f>HYPERLINK("https://www.philgeps.gov.ph/GEPSNONPILOT/Tender/SplashBidNoticeAbstractUI.aspx?menuIndex=3&amp;refID=7044369&amp;Result=3","7044369")</f>
        <v>0</v>
      </c>
      <c r="B265" t="s">
        <v>117</v>
      </c>
      <c r="C265" t="s">
        <v>2929</v>
      </c>
      <c r="D265" t="s">
        <v>12988</v>
      </c>
      <c r="E265" t="s">
        <v>13340</v>
      </c>
      <c r="F265" t="s">
        <v>22436</v>
      </c>
      <c r="G265" t="s">
        <v>22443</v>
      </c>
      <c r="H265" t="s">
        <v>22452</v>
      </c>
      <c r="I265" t="s">
        <v>22469</v>
      </c>
      <c r="J265" t="s">
        <v>22827</v>
      </c>
      <c r="K265" t="s">
        <v>29335</v>
      </c>
      <c r="M265" t="s">
        <v>29689</v>
      </c>
      <c r="N265" t="s">
        <v>32524</v>
      </c>
      <c r="O265" t="s">
        <v>32525</v>
      </c>
      <c r="P265">
        <v>0</v>
      </c>
      <c r="Q265">
        <v>1</v>
      </c>
      <c r="R265" t="s">
        <v>32526</v>
      </c>
      <c r="S265" t="s">
        <v>32547</v>
      </c>
      <c r="T265" t="s">
        <v>33210</v>
      </c>
      <c r="U265" t="s">
        <v>33865</v>
      </c>
      <c r="W265" t="s">
        <v>29689</v>
      </c>
      <c r="X265" t="s">
        <v>32527</v>
      </c>
    </row>
    <row r="266" spans="1:24">
      <c r="A266">
        <f>HYPERLINK("https://www.philgeps.gov.ph/GEPSNONPILOT/Tender/SplashBidNoticeAbstractUI.aspx?menuIndex=3&amp;refID=7044382&amp;Result=3","7044382")</f>
        <v>0</v>
      </c>
      <c r="B266" t="s">
        <v>100</v>
      </c>
      <c r="C266" t="s">
        <v>2930</v>
      </c>
      <c r="D266" t="s">
        <v>12988</v>
      </c>
      <c r="E266" t="s">
        <v>13341</v>
      </c>
      <c r="F266" t="s">
        <v>22436</v>
      </c>
      <c r="G266" t="s">
        <v>22443</v>
      </c>
      <c r="H266" t="s">
        <v>22452</v>
      </c>
      <c r="I266" t="s">
        <v>22468</v>
      </c>
      <c r="J266" t="s">
        <v>22788</v>
      </c>
      <c r="K266" t="s">
        <v>29335</v>
      </c>
      <c r="M266" t="s">
        <v>29672</v>
      </c>
      <c r="N266" t="s">
        <v>32524</v>
      </c>
      <c r="O266" t="s">
        <v>32525</v>
      </c>
      <c r="P266">
        <v>0</v>
      </c>
      <c r="Q266">
        <v>7</v>
      </c>
      <c r="R266" t="s">
        <v>32526</v>
      </c>
      <c r="S266" t="s">
        <v>32547</v>
      </c>
      <c r="T266" t="s">
        <v>33203</v>
      </c>
      <c r="U266" t="s">
        <v>33866</v>
      </c>
      <c r="W266" t="s">
        <v>29672</v>
      </c>
      <c r="X266" t="s">
        <v>32527</v>
      </c>
    </row>
    <row r="267" spans="1:24">
      <c r="A267">
        <f>HYPERLINK("https://www.philgeps.gov.ph/GEPSNONPILOT/Tender/SplashBidNoticeAbstractUI.aspx?menuIndex=3&amp;refID=7044381&amp;Result=3","7044381")</f>
        <v>0</v>
      </c>
      <c r="B267" t="s">
        <v>114</v>
      </c>
      <c r="C267" t="s">
        <v>2931</v>
      </c>
      <c r="D267" t="s">
        <v>12999</v>
      </c>
      <c r="E267" t="s">
        <v>13342</v>
      </c>
      <c r="F267" t="s">
        <v>22436</v>
      </c>
      <c r="G267" t="s">
        <v>22443</v>
      </c>
      <c r="H267" t="s">
        <v>22454</v>
      </c>
      <c r="I267" t="s">
        <v>7738</v>
      </c>
      <c r="J267" t="s">
        <v>22616</v>
      </c>
      <c r="K267" t="s">
        <v>29338</v>
      </c>
      <c r="M267" t="s">
        <v>29686</v>
      </c>
      <c r="N267" t="s">
        <v>32524</v>
      </c>
      <c r="O267" t="s">
        <v>32525</v>
      </c>
      <c r="P267">
        <v>0</v>
      </c>
      <c r="Q267">
        <v>0</v>
      </c>
      <c r="R267" t="s">
        <v>32526</v>
      </c>
      <c r="S267" t="s">
        <v>32547</v>
      </c>
      <c r="T267" t="s">
        <v>33154</v>
      </c>
      <c r="U267" t="s">
        <v>33861</v>
      </c>
      <c r="W267" t="s">
        <v>29686</v>
      </c>
      <c r="X267" t="s">
        <v>32527</v>
      </c>
    </row>
    <row r="268" spans="1:24">
      <c r="A268">
        <f>HYPERLINK("https://www.philgeps.gov.ph/GEPSNONPILOT/Tender/SplashBidNoticeAbstractUI.aspx?menuIndex=3&amp;refID=7044368&amp;Result=3","7044368")</f>
        <v>0</v>
      </c>
      <c r="B268" t="s">
        <v>76</v>
      </c>
      <c r="C268" t="s">
        <v>2932</v>
      </c>
      <c r="D268" t="s">
        <v>13022</v>
      </c>
      <c r="E268" t="s">
        <v>13343</v>
      </c>
      <c r="F268" t="s">
        <v>22436</v>
      </c>
      <c r="G268" t="s">
        <v>22443</v>
      </c>
      <c r="H268" t="s">
        <v>22452</v>
      </c>
      <c r="I268" t="s">
        <v>22465</v>
      </c>
      <c r="J268" t="s">
        <v>22828</v>
      </c>
      <c r="K268" t="s">
        <v>29356</v>
      </c>
      <c r="M268" t="s">
        <v>29648</v>
      </c>
      <c r="N268" t="s">
        <v>32524</v>
      </c>
      <c r="O268" t="s">
        <v>32525</v>
      </c>
      <c r="P268">
        <v>0</v>
      </c>
      <c r="Q268">
        <v>0</v>
      </c>
      <c r="R268" t="s">
        <v>32526</v>
      </c>
      <c r="S268" t="s">
        <v>32547</v>
      </c>
      <c r="T268" t="s">
        <v>33154</v>
      </c>
      <c r="U268" t="s">
        <v>33728</v>
      </c>
      <c r="W268" t="s">
        <v>29648</v>
      </c>
      <c r="X268" t="s">
        <v>32527</v>
      </c>
    </row>
    <row r="269" spans="1:24">
      <c r="A269">
        <f>HYPERLINK("https://www.philgeps.gov.ph/GEPSNONPILOT/Tender/SplashBidNoticeAbstractUI.aspx?menuIndex=3&amp;refID=7044380&amp;Result=3","7044380")</f>
        <v>0</v>
      </c>
      <c r="B269" t="s">
        <v>118</v>
      </c>
      <c r="C269" t="s">
        <v>2933</v>
      </c>
      <c r="D269" t="s">
        <v>13018</v>
      </c>
      <c r="E269" t="s">
        <v>13344</v>
      </c>
      <c r="F269" t="s">
        <v>22436</v>
      </c>
      <c r="G269" t="s">
        <v>22443</v>
      </c>
      <c r="H269" t="s">
        <v>22452</v>
      </c>
      <c r="I269" t="s">
        <v>22492</v>
      </c>
      <c r="J269" t="s">
        <v>22829</v>
      </c>
      <c r="K269" t="s">
        <v>29338</v>
      </c>
      <c r="M269" t="s">
        <v>29690</v>
      </c>
      <c r="N269" t="s">
        <v>32524</v>
      </c>
      <c r="O269" t="s">
        <v>32525</v>
      </c>
      <c r="P269">
        <v>0</v>
      </c>
      <c r="Q269">
        <v>1</v>
      </c>
      <c r="R269" t="s">
        <v>32526</v>
      </c>
      <c r="S269" t="s">
        <v>32547</v>
      </c>
      <c r="T269" t="s">
        <v>33167</v>
      </c>
      <c r="U269" t="s">
        <v>33867</v>
      </c>
      <c r="W269" t="s">
        <v>29690</v>
      </c>
      <c r="X269" t="s">
        <v>32527</v>
      </c>
    </row>
    <row r="270" spans="1:24">
      <c r="A270">
        <f>HYPERLINK("https://www.philgeps.gov.ph/GEPSNONPILOT/Tender/SplashBidNoticeAbstractUI.aspx?menuIndex=3&amp;refID=7044378&amp;Result=3","7044378")</f>
        <v>0</v>
      </c>
      <c r="B270" t="s">
        <v>119</v>
      </c>
      <c r="C270" t="s">
        <v>2934</v>
      </c>
      <c r="D270" t="s">
        <v>13020</v>
      </c>
      <c r="E270" t="s">
        <v>13345</v>
      </c>
      <c r="F270" t="s">
        <v>22436</v>
      </c>
      <c r="G270" t="s">
        <v>22446</v>
      </c>
      <c r="H270" t="s">
        <v>22452</v>
      </c>
      <c r="I270" t="s">
        <v>22493</v>
      </c>
      <c r="J270" t="s">
        <v>22830</v>
      </c>
      <c r="K270" t="s">
        <v>29335</v>
      </c>
      <c r="M270" t="s">
        <v>29691</v>
      </c>
      <c r="N270" t="s">
        <v>32524</v>
      </c>
      <c r="O270" t="s">
        <v>32525</v>
      </c>
      <c r="P270">
        <v>0</v>
      </c>
      <c r="Q270">
        <v>4</v>
      </c>
      <c r="R270" t="s">
        <v>32526</v>
      </c>
      <c r="S270" t="s">
        <v>32547</v>
      </c>
      <c r="T270" t="s">
        <v>33167</v>
      </c>
      <c r="U270" t="s">
        <v>33868</v>
      </c>
      <c r="W270" t="s">
        <v>29691</v>
      </c>
      <c r="X270" t="s">
        <v>32527</v>
      </c>
    </row>
    <row r="271" spans="1:24">
      <c r="A271">
        <f>HYPERLINK("https://www.philgeps.gov.ph/GEPSNONPILOT/Tender/SplashBidNoticeAbstractUI.aspx?menuIndex=3&amp;refID=7044377&amp;Result=3","7044377")</f>
        <v>0</v>
      </c>
      <c r="B271" t="s">
        <v>120</v>
      </c>
      <c r="C271" t="s">
        <v>2935</v>
      </c>
      <c r="D271" t="s">
        <v>13015</v>
      </c>
      <c r="E271" t="s">
        <v>13346</v>
      </c>
      <c r="F271" t="s">
        <v>22436</v>
      </c>
      <c r="G271" t="s">
        <v>22443</v>
      </c>
      <c r="H271" t="s">
        <v>22452</v>
      </c>
      <c r="I271" t="s">
        <v>22494</v>
      </c>
      <c r="J271" t="s">
        <v>22831</v>
      </c>
      <c r="K271" t="s">
        <v>29356</v>
      </c>
      <c r="M271" t="s">
        <v>29692</v>
      </c>
      <c r="N271" t="s">
        <v>32524</v>
      </c>
      <c r="O271" t="s">
        <v>32525</v>
      </c>
      <c r="P271">
        <v>0</v>
      </c>
      <c r="Q271">
        <v>1</v>
      </c>
      <c r="R271" t="s">
        <v>32526</v>
      </c>
      <c r="S271" t="s">
        <v>32547</v>
      </c>
      <c r="T271" t="s">
        <v>33167</v>
      </c>
      <c r="U271" t="s">
        <v>33869</v>
      </c>
      <c r="W271" t="s">
        <v>29692</v>
      </c>
      <c r="X271" t="s">
        <v>32527</v>
      </c>
    </row>
    <row r="272" spans="1:24">
      <c r="A272">
        <f>HYPERLINK("https://www.philgeps.gov.ph/GEPSNONPILOT/Tender/SplashBidNoticeAbstractUI.aspx?menuIndex=3&amp;refID=7044367&amp;Result=3","7044367")</f>
        <v>0</v>
      </c>
      <c r="B272" t="s">
        <v>121</v>
      </c>
      <c r="C272" t="s">
        <v>2936</v>
      </c>
      <c r="D272" t="s">
        <v>13034</v>
      </c>
      <c r="E272" t="s">
        <v>13347</v>
      </c>
      <c r="F272" t="s">
        <v>22436</v>
      </c>
      <c r="G272" t="s">
        <v>22445</v>
      </c>
      <c r="H272" t="s">
        <v>22452</v>
      </c>
      <c r="I272" t="s">
        <v>22460</v>
      </c>
      <c r="J272" t="s">
        <v>22832</v>
      </c>
      <c r="K272" t="s">
        <v>29341</v>
      </c>
      <c r="M272" t="s">
        <v>29693</v>
      </c>
      <c r="N272" t="s">
        <v>32524</v>
      </c>
      <c r="O272" t="s">
        <v>32525</v>
      </c>
      <c r="P272">
        <v>0</v>
      </c>
      <c r="Q272">
        <v>0</v>
      </c>
      <c r="R272" t="s">
        <v>32526</v>
      </c>
      <c r="S272" t="s">
        <v>32547</v>
      </c>
      <c r="T272" t="s">
        <v>33203</v>
      </c>
      <c r="U272" t="s">
        <v>33870</v>
      </c>
      <c r="V272" t="s">
        <v>42461</v>
      </c>
      <c r="W272" t="s">
        <v>29693</v>
      </c>
      <c r="X272" t="s">
        <v>32527</v>
      </c>
    </row>
    <row r="273" spans="1:24">
      <c r="A273">
        <f>HYPERLINK("https://www.philgeps.gov.ph/GEPSNONPILOT/Tender/SplashBidNoticeAbstractUI.aspx?menuIndex=3&amp;refID=7044373&amp;Result=3","7044373")</f>
        <v>0</v>
      </c>
      <c r="B273" t="s">
        <v>122</v>
      </c>
      <c r="C273" t="s">
        <v>2937</v>
      </c>
      <c r="E273" t="s">
        <v>13348</v>
      </c>
      <c r="F273" t="s">
        <v>22436</v>
      </c>
      <c r="G273" t="s">
        <v>22443</v>
      </c>
      <c r="H273" t="s">
        <v>22452</v>
      </c>
      <c r="I273" t="s">
        <v>2981</v>
      </c>
      <c r="J273" t="s">
        <v>22833</v>
      </c>
      <c r="K273" t="s">
        <v>29338</v>
      </c>
      <c r="M273" t="s">
        <v>29694</v>
      </c>
      <c r="N273" t="s">
        <v>32524</v>
      </c>
      <c r="O273" t="s">
        <v>32525</v>
      </c>
      <c r="P273">
        <v>0</v>
      </c>
      <c r="Q273">
        <v>0</v>
      </c>
      <c r="R273" t="s">
        <v>32526</v>
      </c>
      <c r="S273" t="s">
        <v>32547</v>
      </c>
      <c r="T273" t="s">
        <v>33196</v>
      </c>
      <c r="U273" t="s">
        <v>33871</v>
      </c>
      <c r="W273" t="s">
        <v>29694</v>
      </c>
      <c r="X273" t="s">
        <v>32527</v>
      </c>
    </row>
    <row r="274" spans="1:24">
      <c r="A274">
        <f>HYPERLINK("https://www.philgeps.gov.ph/GEPSNONPILOT/Tender/SplashBidNoticeAbstractUI.aspx?menuIndex=3&amp;refID=7044376&amp;Result=3","7044376")</f>
        <v>0</v>
      </c>
      <c r="B274" t="s">
        <v>123</v>
      </c>
      <c r="C274" t="s">
        <v>2938</v>
      </c>
      <c r="D274" t="s">
        <v>13018</v>
      </c>
      <c r="E274" t="s">
        <v>13349</v>
      </c>
      <c r="F274" t="s">
        <v>22436</v>
      </c>
      <c r="G274" t="s">
        <v>22445</v>
      </c>
      <c r="H274" t="s">
        <v>22452</v>
      </c>
      <c r="I274" t="s">
        <v>22466</v>
      </c>
      <c r="J274" t="s">
        <v>22834</v>
      </c>
      <c r="K274" t="s">
        <v>29340</v>
      </c>
      <c r="L274" t="s">
        <v>123</v>
      </c>
      <c r="M274" t="s">
        <v>29695</v>
      </c>
      <c r="N274" t="s">
        <v>32524</v>
      </c>
      <c r="O274" t="s">
        <v>32525</v>
      </c>
      <c r="P274">
        <v>0</v>
      </c>
      <c r="Q274">
        <v>0</v>
      </c>
      <c r="R274" t="s">
        <v>32526</v>
      </c>
      <c r="S274" t="s">
        <v>32547</v>
      </c>
      <c r="T274" t="s">
        <v>33168</v>
      </c>
      <c r="U274" t="s">
        <v>33872</v>
      </c>
      <c r="W274" t="s">
        <v>29695</v>
      </c>
      <c r="X274" t="s">
        <v>32527</v>
      </c>
    </row>
    <row r="275" spans="1:24">
      <c r="A275">
        <f>HYPERLINK("https://www.philgeps.gov.ph/GEPSNONPILOT/Tender/SplashBidNoticeAbstractUI.aspx?menuIndex=3&amp;refID=7044370&amp;Result=3","7044370")</f>
        <v>0</v>
      </c>
      <c r="B275" t="s">
        <v>116</v>
      </c>
      <c r="C275" t="s">
        <v>2939</v>
      </c>
      <c r="D275" t="s">
        <v>12994</v>
      </c>
      <c r="E275" t="s">
        <v>13350</v>
      </c>
      <c r="F275" t="s">
        <v>22436</v>
      </c>
      <c r="G275" t="s">
        <v>22444</v>
      </c>
      <c r="H275" t="s">
        <v>22452</v>
      </c>
      <c r="I275" t="s">
        <v>3827</v>
      </c>
      <c r="J275" t="s">
        <v>22835</v>
      </c>
      <c r="K275" t="s">
        <v>29329</v>
      </c>
      <c r="L275" t="s">
        <v>116</v>
      </c>
      <c r="M275" t="s">
        <v>29688</v>
      </c>
      <c r="N275" t="s">
        <v>32524</v>
      </c>
      <c r="O275" t="s">
        <v>32525</v>
      </c>
      <c r="P275">
        <v>0</v>
      </c>
      <c r="Q275">
        <v>1</v>
      </c>
      <c r="R275" t="s">
        <v>32526</v>
      </c>
      <c r="S275" t="s">
        <v>32547</v>
      </c>
      <c r="T275" t="s">
        <v>33181</v>
      </c>
      <c r="U275" t="s">
        <v>33873</v>
      </c>
      <c r="W275" t="s">
        <v>29688</v>
      </c>
      <c r="X275" t="s">
        <v>32527</v>
      </c>
    </row>
    <row r="276" spans="1:24">
      <c r="A276">
        <f>HYPERLINK("https://www.philgeps.gov.ph/GEPSNONPILOT/Tender/SplashBidNoticeAbstractUI.aspx?menuIndex=3&amp;refID=7044372&amp;Result=3","7044372")</f>
        <v>0</v>
      </c>
      <c r="B276" t="s">
        <v>124</v>
      </c>
      <c r="C276" t="s">
        <v>2940</v>
      </c>
      <c r="D276" t="s">
        <v>13031</v>
      </c>
      <c r="E276" t="s">
        <v>2940</v>
      </c>
      <c r="F276" t="s">
        <v>22436</v>
      </c>
      <c r="G276" t="s">
        <v>22443</v>
      </c>
      <c r="H276" t="s">
        <v>22452</v>
      </c>
      <c r="I276" t="s">
        <v>22486</v>
      </c>
      <c r="J276" t="s">
        <v>22673</v>
      </c>
      <c r="K276" t="s">
        <v>29338</v>
      </c>
      <c r="M276" t="s">
        <v>29696</v>
      </c>
      <c r="N276" t="s">
        <v>32524</v>
      </c>
      <c r="O276" t="s">
        <v>32525</v>
      </c>
      <c r="P276">
        <v>0</v>
      </c>
      <c r="Q276">
        <v>0</v>
      </c>
      <c r="R276" t="s">
        <v>32526</v>
      </c>
      <c r="S276" t="s">
        <v>32547</v>
      </c>
      <c r="T276" t="s">
        <v>33154</v>
      </c>
      <c r="U276" t="s">
        <v>33874</v>
      </c>
      <c r="W276" t="s">
        <v>29696</v>
      </c>
      <c r="X276" t="s">
        <v>32527</v>
      </c>
    </row>
    <row r="277" spans="1:24">
      <c r="A277">
        <f>HYPERLINK("https://www.philgeps.gov.ph/GEPSNONPILOT/Tender/SplashBidNoticeAbstractUI.aspx?menuIndex=3&amp;refID=7044386&amp;Result=3","7044386")</f>
        <v>0</v>
      </c>
      <c r="B277" t="s">
        <v>125</v>
      </c>
      <c r="C277" t="s">
        <v>2941</v>
      </c>
      <c r="D277" t="s">
        <v>13035</v>
      </c>
      <c r="E277" t="s">
        <v>13351</v>
      </c>
      <c r="F277" t="s">
        <v>22436</v>
      </c>
      <c r="G277" t="s">
        <v>22443</v>
      </c>
      <c r="H277" t="s">
        <v>22452</v>
      </c>
      <c r="I277" t="s">
        <v>22469</v>
      </c>
      <c r="J277" t="s">
        <v>22836</v>
      </c>
      <c r="K277" t="s">
        <v>29338</v>
      </c>
      <c r="M277" t="s">
        <v>29697</v>
      </c>
      <c r="N277" t="s">
        <v>32524</v>
      </c>
      <c r="O277" t="s">
        <v>32525</v>
      </c>
      <c r="P277">
        <v>0</v>
      </c>
      <c r="Q277">
        <v>1</v>
      </c>
      <c r="R277" t="s">
        <v>32526</v>
      </c>
      <c r="S277" t="s">
        <v>32547</v>
      </c>
      <c r="T277" t="s">
        <v>33211</v>
      </c>
      <c r="U277" t="s">
        <v>33875</v>
      </c>
      <c r="W277" t="s">
        <v>29697</v>
      </c>
      <c r="X277" t="s">
        <v>32527</v>
      </c>
    </row>
    <row r="278" spans="1:24">
      <c r="A278">
        <f>HYPERLINK("https://www.philgeps.gov.ph/GEPSNONPILOT/Tender/SplashBidNoticeAbstractUI.aspx?menuIndex=3&amp;refID=7044384&amp;Result=3","7044384")</f>
        <v>0</v>
      </c>
      <c r="B278" t="s">
        <v>126</v>
      </c>
      <c r="C278" t="s">
        <v>2942</v>
      </c>
      <c r="D278" t="s">
        <v>13036</v>
      </c>
      <c r="E278" t="s">
        <v>13352</v>
      </c>
      <c r="F278" t="s">
        <v>22436</v>
      </c>
      <c r="G278" t="s">
        <v>22443</v>
      </c>
      <c r="H278" t="s">
        <v>22452</v>
      </c>
      <c r="I278" t="s">
        <v>5194</v>
      </c>
      <c r="J278" t="s">
        <v>22692</v>
      </c>
      <c r="K278" t="s">
        <v>29331</v>
      </c>
      <c r="M278" t="s">
        <v>29698</v>
      </c>
      <c r="N278" t="s">
        <v>32524</v>
      </c>
      <c r="O278" t="s">
        <v>32525</v>
      </c>
      <c r="P278">
        <v>0</v>
      </c>
      <c r="Q278">
        <v>8</v>
      </c>
      <c r="R278" t="s">
        <v>32526</v>
      </c>
      <c r="S278" t="s">
        <v>32547</v>
      </c>
      <c r="T278" t="s">
        <v>33167</v>
      </c>
      <c r="U278" t="s">
        <v>33876</v>
      </c>
      <c r="W278" t="s">
        <v>29698</v>
      </c>
      <c r="X278" t="s">
        <v>32527</v>
      </c>
    </row>
    <row r="279" spans="1:24">
      <c r="A279">
        <f>HYPERLINK("https://www.philgeps.gov.ph/GEPSNONPILOT/Tender/SplashBidNoticeAbstractUI.aspx?menuIndex=3&amp;refID=7044385&amp;Result=3","7044385")</f>
        <v>0</v>
      </c>
      <c r="B279" t="s">
        <v>127</v>
      </c>
      <c r="C279" t="s">
        <v>2943</v>
      </c>
      <c r="D279" t="s">
        <v>13037</v>
      </c>
      <c r="E279" t="s">
        <v>13353</v>
      </c>
      <c r="F279" t="s">
        <v>22436</v>
      </c>
      <c r="G279" t="s">
        <v>22444</v>
      </c>
      <c r="H279" t="s">
        <v>22454</v>
      </c>
      <c r="I279" t="s">
        <v>7738</v>
      </c>
      <c r="J279" t="s">
        <v>22837</v>
      </c>
      <c r="K279" t="s">
        <v>29359</v>
      </c>
      <c r="M279" t="s">
        <v>29699</v>
      </c>
      <c r="N279" t="s">
        <v>32524</v>
      </c>
      <c r="O279" t="s">
        <v>32525</v>
      </c>
      <c r="P279">
        <v>0</v>
      </c>
      <c r="Q279">
        <v>0</v>
      </c>
      <c r="R279" t="s">
        <v>32526</v>
      </c>
      <c r="S279" t="s">
        <v>32547</v>
      </c>
      <c r="T279" t="s">
        <v>33212</v>
      </c>
      <c r="U279" t="s">
        <v>33877</v>
      </c>
      <c r="W279" t="s">
        <v>29699</v>
      </c>
      <c r="X279" t="s">
        <v>32527</v>
      </c>
    </row>
    <row r="280" spans="1:24">
      <c r="A280">
        <f>HYPERLINK("https://www.philgeps.gov.ph/GEPSNONPILOT/Tender/SplashBidNoticeAbstractUI.aspx?menuIndex=3&amp;refID=7044399&amp;Result=3","7044399")</f>
        <v>0</v>
      </c>
      <c r="B280" t="s">
        <v>128</v>
      </c>
      <c r="C280" t="s">
        <v>2944</v>
      </c>
      <c r="D280" t="s">
        <v>13025</v>
      </c>
      <c r="E280" t="s">
        <v>13354</v>
      </c>
      <c r="F280" t="s">
        <v>22436</v>
      </c>
      <c r="G280" t="s">
        <v>22443</v>
      </c>
      <c r="H280" t="s">
        <v>22452</v>
      </c>
      <c r="I280" t="s">
        <v>22461</v>
      </c>
      <c r="J280" t="s">
        <v>22838</v>
      </c>
      <c r="K280" t="s">
        <v>29336</v>
      </c>
      <c r="M280" t="s">
        <v>29700</v>
      </c>
      <c r="N280" t="s">
        <v>32524</v>
      </c>
      <c r="O280" t="s">
        <v>32525</v>
      </c>
      <c r="P280">
        <v>0</v>
      </c>
      <c r="Q280">
        <v>0</v>
      </c>
      <c r="R280" t="s">
        <v>32526</v>
      </c>
      <c r="S280" t="s">
        <v>32547</v>
      </c>
      <c r="T280" t="s">
        <v>33181</v>
      </c>
      <c r="U280" t="s">
        <v>33878</v>
      </c>
      <c r="W280" t="s">
        <v>29700</v>
      </c>
      <c r="X280" t="s">
        <v>32527</v>
      </c>
    </row>
    <row r="281" spans="1:24">
      <c r="A281">
        <f>HYPERLINK("https://www.philgeps.gov.ph/GEPSNONPILOT/Tender/SplashBidNoticeAbstractUI.aspx?menuIndex=3&amp;refID=7044387&amp;Result=3","7044387")</f>
        <v>0</v>
      </c>
      <c r="B281" t="s">
        <v>129</v>
      </c>
      <c r="C281" t="s">
        <v>2945</v>
      </c>
      <c r="D281" t="s">
        <v>12992</v>
      </c>
      <c r="E281" t="s">
        <v>13182</v>
      </c>
      <c r="F281" t="s">
        <v>22436</v>
      </c>
      <c r="G281" t="s">
        <v>22444</v>
      </c>
      <c r="H281" t="s">
        <v>22454</v>
      </c>
      <c r="I281" t="s">
        <v>7738</v>
      </c>
      <c r="J281" t="s">
        <v>22839</v>
      </c>
      <c r="K281" t="s">
        <v>29334</v>
      </c>
      <c r="M281" t="s">
        <v>29701</v>
      </c>
      <c r="N281" t="s">
        <v>32524</v>
      </c>
      <c r="O281" t="s">
        <v>32525</v>
      </c>
      <c r="P281">
        <v>0</v>
      </c>
      <c r="Q281">
        <v>0</v>
      </c>
      <c r="R281" t="s">
        <v>32526</v>
      </c>
      <c r="S281" t="s">
        <v>32547</v>
      </c>
      <c r="T281" t="s">
        <v>33168</v>
      </c>
      <c r="U281" t="s">
        <v>33879</v>
      </c>
      <c r="W281" t="s">
        <v>29701</v>
      </c>
      <c r="X281" t="s">
        <v>32527</v>
      </c>
    </row>
    <row r="282" spans="1:24">
      <c r="A282">
        <f>HYPERLINK("https://www.philgeps.gov.ph/GEPSNONPILOT/Tender/SplashBidNoticeAbstractUI.aspx?menuIndex=3&amp;refID=7044374&amp;Result=3","7044374")</f>
        <v>0</v>
      </c>
      <c r="B282" t="s">
        <v>130</v>
      </c>
      <c r="C282" t="s">
        <v>2946</v>
      </c>
      <c r="E282" t="s">
        <v>13355</v>
      </c>
      <c r="F282" t="s">
        <v>22436</v>
      </c>
      <c r="G282" t="s">
        <v>22446</v>
      </c>
      <c r="H282" t="s">
        <v>22452</v>
      </c>
      <c r="I282" t="s">
        <v>2981</v>
      </c>
      <c r="J282" t="s">
        <v>22840</v>
      </c>
      <c r="K282" t="s">
        <v>29338</v>
      </c>
      <c r="M282" t="s">
        <v>29702</v>
      </c>
      <c r="N282" t="s">
        <v>32524</v>
      </c>
      <c r="O282" t="s">
        <v>32525</v>
      </c>
      <c r="P282">
        <v>0</v>
      </c>
      <c r="Q282">
        <v>0</v>
      </c>
      <c r="R282" t="s">
        <v>32526</v>
      </c>
      <c r="S282" t="s">
        <v>32547</v>
      </c>
      <c r="T282" t="s">
        <v>33185</v>
      </c>
      <c r="U282" t="s">
        <v>33880</v>
      </c>
      <c r="W282" t="s">
        <v>29702</v>
      </c>
      <c r="X282" t="s">
        <v>32527</v>
      </c>
    </row>
    <row r="283" spans="1:24">
      <c r="A283">
        <f>HYPERLINK("https://www.philgeps.gov.ph/GEPSNONPILOT/Tender/SplashBidNoticeAbstractUI.aspx?menuIndex=3&amp;refID=7044396&amp;Result=3","7044396")</f>
        <v>0</v>
      </c>
      <c r="B283" t="s">
        <v>131</v>
      </c>
      <c r="C283" t="s">
        <v>2947</v>
      </c>
      <c r="D283" t="s">
        <v>13032</v>
      </c>
      <c r="E283" t="s">
        <v>13356</v>
      </c>
      <c r="F283" t="s">
        <v>22436</v>
      </c>
      <c r="G283" t="s">
        <v>22446</v>
      </c>
      <c r="H283" t="s">
        <v>22454</v>
      </c>
      <c r="I283" t="s">
        <v>22495</v>
      </c>
      <c r="J283" t="s">
        <v>22841</v>
      </c>
      <c r="K283" t="s">
        <v>29338</v>
      </c>
      <c r="M283" t="s">
        <v>29703</v>
      </c>
      <c r="N283" t="s">
        <v>32524</v>
      </c>
      <c r="O283" t="s">
        <v>32525</v>
      </c>
      <c r="P283">
        <v>0</v>
      </c>
      <c r="Q283">
        <v>1</v>
      </c>
      <c r="R283" t="s">
        <v>32526</v>
      </c>
      <c r="S283" t="s">
        <v>32547</v>
      </c>
      <c r="T283" t="s">
        <v>33213</v>
      </c>
      <c r="U283" t="s">
        <v>33881</v>
      </c>
      <c r="W283" t="s">
        <v>29703</v>
      </c>
      <c r="X283" t="s">
        <v>32527</v>
      </c>
    </row>
    <row r="284" spans="1:24">
      <c r="A284">
        <f>HYPERLINK("https://www.philgeps.gov.ph/GEPSNONPILOT/Tender/SplashBidNoticeAbstractUI.aspx?menuIndex=3&amp;refID=7044400&amp;Result=3","7044400")</f>
        <v>0</v>
      </c>
      <c r="B284" t="s">
        <v>132</v>
      </c>
      <c r="C284" t="s">
        <v>2948</v>
      </c>
      <c r="D284" t="s">
        <v>13038</v>
      </c>
      <c r="E284" t="s">
        <v>13357</v>
      </c>
      <c r="F284" t="s">
        <v>22436</v>
      </c>
      <c r="G284" t="s">
        <v>22444</v>
      </c>
      <c r="H284" t="s">
        <v>22452</v>
      </c>
      <c r="I284" t="s">
        <v>3529</v>
      </c>
      <c r="J284" t="s">
        <v>22842</v>
      </c>
      <c r="K284" t="s">
        <v>29336</v>
      </c>
      <c r="M284" t="s">
        <v>29704</v>
      </c>
      <c r="N284" t="s">
        <v>32524</v>
      </c>
      <c r="O284" t="s">
        <v>32525</v>
      </c>
      <c r="P284">
        <v>0</v>
      </c>
      <c r="Q284">
        <v>0</v>
      </c>
      <c r="R284" t="s">
        <v>32526</v>
      </c>
      <c r="S284" t="s">
        <v>32547</v>
      </c>
      <c r="T284" t="s">
        <v>33214</v>
      </c>
      <c r="U284" t="s">
        <v>33882</v>
      </c>
      <c r="W284" t="s">
        <v>29704</v>
      </c>
      <c r="X284" t="s">
        <v>32527</v>
      </c>
    </row>
    <row r="285" spans="1:24">
      <c r="A285">
        <f>HYPERLINK("https://www.philgeps.gov.ph/GEPSNONPILOT/Tender/SplashBidNoticeAbstractUI.aspx?menuIndex=3&amp;refID=7044375&amp;Result=3","7044375")</f>
        <v>0</v>
      </c>
      <c r="B285" t="s">
        <v>133</v>
      </c>
      <c r="C285" t="s">
        <v>2949</v>
      </c>
      <c r="D285" t="s">
        <v>13011</v>
      </c>
      <c r="E285" t="s">
        <v>13332</v>
      </c>
      <c r="F285" t="s">
        <v>22436</v>
      </c>
      <c r="G285" t="s">
        <v>22444</v>
      </c>
      <c r="H285" t="s">
        <v>22452</v>
      </c>
      <c r="I285" t="s">
        <v>22465</v>
      </c>
      <c r="J285" t="s">
        <v>22843</v>
      </c>
      <c r="K285" t="s">
        <v>29338</v>
      </c>
      <c r="M285" t="s">
        <v>29705</v>
      </c>
      <c r="N285" t="s">
        <v>32524</v>
      </c>
      <c r="O285" t="s">
        <v>32525</v>
      </c>
      <c r="P285">
        <v>0</v>
      </c>
      <c r="Q285">
        <v>4</v>
      </c>
      <c r="R285" t="s">
        <v>32526</v>
      </c>
      <c r="S285" t="s">
        <v>32547</v>
      </c>
      <c r="T285" t="s">
        <v>33153</v>
      </c>
      <c r="U285" t="s">
        <v>33883</v>
      </c>
      <c r="W285" t="s">
        <v>29705</v>
      </c>
      <c r="X285" t="s">
        <v>32527</v>
      </c>
    </row>
    <row r="286" spans="1:24">
      <c r="A286">
        <f>HYPERLINK("https://www.philgeps.gov.ph/GEPSNONPILOT/Tender/SplashBidNoticeAbstractUI.aspx?menuIndex=3&amp;refID=7044391&amp;Result=3","7044391")</f>
        <v>0</v>
      </c>
      <c r="B286" t="s">
        <v>130</v>
      </c>
      <c r="C286" t="s">
        <v>2950</v>
      </c>
      <c r="E286" t="s">
        <v>13358</v>
      </c>
      <c r="F286" t="s">
        <v>22436</v>
      </c>
      <c r="G286" t="s">
        <v>22446</v>
      </c>
      <c r="H286" t="s">
        <v>22452</v>
      </c>
      <c r="I286" t="s">
        <v>22466</v>
      </c>
      <c r="J286" t="s">
        <v>22844</v>
      </c>
      <c r="K286" t="s">
        <v>29338</v>
      </c>
      <c r="M286" t="s">
        <v>29702</v>
      </c>
      <c r="N286" t="s">
        <v>32524</v>
      </c>
      <c r="O286" t="s">
        <v>32525</v>
      </c>
      <c r="P286">
        <v>0</v>
      </c>
      <c r="Q286">
        <v>3</v>
      </c>
      <c r="R286" t="s">
        <v>32526</v>
      </c>
      <c r="S286" t="s">
        <v>32547</v>
      </c>
      <c r="T286" t="s">
        <v>33185</v>
      </c>
      <c r="U286" t="s">
        <v>33884</v>
      </c>
      <c r="W286" t="s">
        <v>29702</v>
      </c>
      <c r="X286" t="s">
        <v>32527</v>
      </c>
    </row>
    <row r="287" spans="1:24">
      <c r="A287">
        <f>HYPERLINK("https://www.philgeps.gov.ph/GEPSNONPILOT/Tender/SplashBidNoticeAbstractUI.aspx?menuIndex=3&amp;refID=7044393&amp;Result=3","7044393")</f>
        <v>0</v>
      </c>
      <c r="B287" t="s">
        <v>134</v>
      </c>
      <c r="C287" t="s">
        <v>2951</v>
      </c>
      <c r="D287" t="s">
        <v>13031</v>
      </c>
      <c r="E287" t="s">
        <v>13182</v>
      </c>
      <c r="F287" t="s">
        <v>22436</v>
      </c>
      <c r="G287" t="s">
        <v>22446</v>
      </c>
      <c r="H287" t="s">
        <v>22452</v>
      </c>
      <c r="I287" t="s">
        <v>3529</v>
      </c>
      <c r="J287" t="s">
        <v>22845</v>
      </c>
      <c r="K287" t="s">
        <v>29341</v>
      </c>
      <c r="M287" t="s">
        <v>29706</v>
      </c>
      <c r="N287" t="s">
        <v>32524</v>
      </c>
      <c r="O287" t="s">
        <v>32525</v>
      </c>
      <c r="P287">
        <v>0</v>
      </c>
      <c r="Q287">
        <v>0</v>
      </c>
      <c r="R287" t="s">
        <v>32526</v>
      </c>
      <c r="S287" t="s">
        <v>32547</v>
      </c>
      <c r="T287" t="s">
        <v>33182</v>
      </c>
      <c r="U287" t="s">
        <v>33885</v>
      </c>
      <c r="W287" t="s">
        <v>29706</v>
      </c>
      <c r="X287" t="s">
        <v>32527</v>
      </c>
    </row>
    <row r="288" spans="1:24">
      <c r="A288">
        <f>HYPERLINK("https://www.philgeps.gov.ph/GEPSNONPILOT/Tender/SplashBidNoticeAbstractUI.aspx?menuIndex=3&amp;refID=7044389&amp;Result=3","7044389")</f>
        <v>0</v>
      </c>
      <c r="B288" t="s">
        <v>117</v>
      </c>
      <c r="C288" t="s">
        <v>2952</v>
      </c>
      <c r="D288" t="s">
        <v>12988</v>
      </c>
      <c r="E288" t="s">
        <v>13359</v>
      </c>
      <c r="F288" t="s">
        <v>22436</v>
      </c>
      <c r="G288" t="s">
        <v>22443</v>
      </c>
      <c r="H288" t="s">
        <v>22452</v>
      </c>
      <c r="I288" t="s">
        <v>22469</v>
      </c>
      <c r="J288" t="s">
        <v>22846</v>
      </c>
      <c r="K288" t="s">
        <v>29338</v>
      </c>
      <c r="M288" t="s">
        <v>29689</v>
      </c>
      <c r="N288" t="s">
        <v>32524</v>
      </c>
      <c r="O288" t="s">
        <v>32525</v>
      </c>
      <c r="P288">
        <v>0</v>
      </c>
      <c r="Q288">
        <v>5</v>
      </c>
      <c r="R288" t="s">
        <v>32526</v>
      </c>
      <c r="S288" t="s">
        <v>32547</v>
      </c>
      <c r="T288" t="s">
        <v>33210</v>
      </c>
      <c r="U288" t="s">
        <v>33886</v>
      </c>
      <c r="W288" t="s">
        <v>29689</v>
      </c>
      <c r="X288" t="s">
        <v>32527</v>
      </c>
    </row>
    <row r="289" spans="1:24">
      <c r="A289">
        <f>HYPERLINK("https://www.philgeps.gov.ph/GEPSNONPILOT/Tender/SplashBidNoticeAbstractUI.aspx?menuIndex=3&amp;refID=7044397&amp;Result=3","7044397")</f>
        <v>0</v>
      </c>
      <c r="B289" t="s">
        <v>135</v>
      </c>
      <c r="C289" t="s">
        <v>2953</v>
      </c>
      <c r="D289" t="s">
        <v>12988</v>
      </c>
      <c r="E289" t="s">
        <v>13360</v>
      </c>
      <c r="F289" t="s">
        <v>22436</v>
      </c>
      <c r="G289" t="s">
        <v>22443</v>
      </c>
      <c r="H289" t="s">
        <v>22453</v>
      </c>
      <c r="I289" t="s">
        <v>22496</v>
      </c>
      <c r="J289" t="s">
        <v>22847</v>
      </c>
      <c r="K289" t="s">
        <v>29335</v>
      </c>
      <c r="M289" t="s">
        <v>29707</v>
      </c>
      <c r="N289" t="s">
        <v>32524</v>
      </c>
      <c r="O289" t="s">
        <v>32525</v>
      </c>
      <c r="P289">
        <v>0</v>
      </c>
      <c r="Q289">
        <v>0</v>
      </c>
      <c r="R289" t="s">
        <v>32526</v>
      </c>
      <c r="S289" t="s">
        <v>32547</v>
      </c>
      <c r="T289" t="s">
        <v>33197</v>
      </c>
      <c r="U289" t="s">
        <v>33887</v>
      </c>
      <c r="W289" t="s">
        <v>29707</v>
      </c>
      <c r="X289" t="s">
        <v>32527</v>
      </c>
    </row>
    <row r="290" spans="1:24">
      <c r="A290">
        <f>HYPERLINK("https://www.philgeps.gov.ph/GEPSNONPILOT/Tender/SplashBidNoticeAbstractUI.aspx?menuIndex=3&amp;refID=7044394&amp;Result=3","7044394")</f>
        <v>0</v>
      </c>
      <c r="B290" t="s">
        <v>84</v>
      </c>
      <c r="C290" t="s">
        <v>2954</v>
      </c>
      <c r="D290" t="s">
        <v>12995</v>
      </c>
      <c r="E290" t="s">
        <v>13361</v>
      </c>
      <c r="F290" t="s">
        <v>22436</v>
      </c>
      <c r="G290" t="s">
        <v>22443</v>
      </c>
      <c r="H290" t="s">
        <v>22452</v>
      </c>
      <c r="I290" t="s">
        <v>22461</v>
      </c>
      <c r="J290" t="s">
        <v>22848</v>
      </c>
      <c r="K290" t="s">
        <v>29341</v>
      </c>
      <c r="M290" t="s">
        <v>29656</v>
      </c>
      <c r="N290" t="s">
        <v>32524</v>
      </c>
      <c r="O290" t="s">
        <v>32525</v>
      </c>
      <c r="P290">
        <v>0</v>
      </c>
      <c r="Q290">
        <v>0</v>
      </c>
      <c r="R290" t="s">
        <v>32526</v>
      </c>
      <c r="S290" t="s">
        <v>32547</v>
      </c>
      <c r="T290" t="s">
        <v>33183</v>
      </c>
      <c r="U290" t="s">
        <v>33888</v>
      </c>
      <c r="W290" t="s">
        <v>29656</v>
      </c>
      <c r="X290" t="s">
        <v>32527</v>
      </c>
    </row>
    <row r="291" spans="1:24">
      <c r="A291">
        <f>HYPERLINK("https://www.philgeps.gov.ph/GEPSNONPILOT/Tender/SplashBidNoticeAbstractUI.aspx?menuIndex=3&amp;refID=7044409&amp;Result=3","7044409")</f>
        <v>0</v>
      </c>
      <c r="B291" t="s">
        <v>134</v>
      </c>
      <c r="C291" t="s">
        <v>2955</v>
      </c>
      <c r="D291" t="s">
        <v>13031</v>
      </c>
      <c r="E291" t="s">
        <v>13318</v>
      </c>
      <c r="F291" t="s">
        <v>22436</v>
      </c>
      <c r="G291" t="s">
        <v>22446</v>
      </c>
      <c r="H291" t="s">
        <v>22452</v>
      </c>
      <c r="I291" t="s">
        <v>22466</v>
      </c>
      <c r="J291" t="s">
        <v>22849</v>
      </c>
      <c r="K291" t="s">
        <v>29341</v>
      </c>
      <c r="M291" t="s">
        <v>29706</v>
      </c>
      <c r="N291" t="s">
        <v>32524</v>
      </c>
      <c r="O291" t="s">
        <v>32525</v>
      </c>
      <c r="P291">
        <v>0</v>
      </c>
      <c r="Q291">
        <v>2</v>
      </c>
      <c r="R291" t="s">
        <v>32526</v>
      </c>
      <c r="S291" t="s">
        <v>32547</v>
      </c>
      <c r="T291" t="s">
        <v>33182</v>
      </c>
      <c r="U291" t="s">
        <v>33885</v>
      </c>
      <c r="W291" t="s">
        <v>29706</v>
      </c>
      <c r="X291" t="s">
        <v>32527</v>
      </c>
    </row>
    <row r="292" spans="1:24">
      <c r="A292">
        <f>HYPERLINK("https://www.philgeps.gov.ph/GEPSNONPILOT/Tender/SplashBidNoticeAbstractUI.aspx?menuIndex=3&amp;refID=7044390&amp;Result=3","7044390")</f>
        <v>0</v>
      </c>
      <c r="B292" t="s">
        <v>136</v>
      </c>
      <c r="C292" t="s">
        <v>2956</v>
      </c>
      <c r="D292" t="s">
        <v>13039</v>
      </c>
      <c r="E292" t="s">
        <v>13362</v>
      </c>
      <c r="F292" t="s">
        <v>22436</v>
      </c>
      <c r="G292" t="s">
        <v>22443</v>
      </c>
      <c r="H292" t="s">
        <v>22452</v>
      </c>
      <c r="I292" t="s">
        <v>3529</v>
      </c>
      <c r="J292" t="s">
        <v>22850</v>
      </c>
      <c r="K292" t="s">
        <v>29335</v>
      </c>
      <c r="M292" t="s">
        <v>29708</v>
      </c>
      <c r="N292" t="s">
        <v>32524</v>
      </c>
      <c r="O292" t="s">
        <v>32525</v>
      </c>
      <c r="P292">
        <v>0</v>
      </c>
      <c r="Q292">
        <v>0</v>
      </c>
      <c r="R292" t="s">
        <v>32526</v>
      </c>
      <c r="S292" t="s">
        <v>32547</v>
      </c>
      <c r="T292" t="s">
        <v>33210</v>
      </c>
      <c r="U292" t="s">
        <v>33889</v>
      </c>
      <c r="W292" t="s">
        <v>29708</v>
      </c>
      <c r="X292" t="s">
        <v>32527</v>
      </c>
    </row>
    <row r="293" spans="1:24">
      <c r="A293">
        <f>HYPERLINK("https://www.philgeps.gov.ph/GEPSNONPILOT/Tender/SplashBidNoticeAbstractUI.aspx?menuIndex=3&amp;refID=7044407&amp;Result=3","7044407")</f>
        <v>0</v>
      </c>
      <c r="B293" t="s">
        <v>131</v>
      </c>
      <c r="C293" t="s">
        <v>2957</v>
      </c>
      <c r="D293" t="s">
        <v>13032</v>
      </c>
      <c r="E293" t="s">
        <v>13363</v>
      </c>
      <c r="F293" t="s">
        <v>22436</v>
      </c>
      <c r="G293" t="s">
        <v>22446</v>
      </c>
      <c r="H293" t="s">
        <v>22454</v>
      </c>
      <c r="I293" t="s">
        <v>6387</v>
      </c>
      <c r="J293" t="s">
        <v>22851</v>
      </c>
      <c r="K293" t="s">
        <v>29338</v>
      </c>
      <c r="M293" t="s">
        <v>29703</v>
      </c>
      <c r="N293" t="s">
        <v>32524</v>
      </c>
      <c r="O293" t="s">
        <v>32525</v>
      </c>
      <c r="P293">
        <v>0</v>
      </c>
      <c r="Q293">
        <v>0</v>
      </c>
      <c r="R293" t="s">
        <v>32526</v>
      </c>
      <c r="S293" t="s">
        <v>32547</v>
      </c>
      <c r="T293" t="s">
        <v>33213</v>
      </c>
      <c r="U293" t="s">
        <v>33890</v>
      </c>
      <c r="W293" t="s">
        <v>29703</v>
      </c>
      <c r="X293" t="s">
        <v>32527</v>
      </c>
    </row>
    <row r="294" spans="1:24">
      <c r="A294">
        <f>HYPERLINK("https://www.philgeps.gov.ph/GEPSNONPILOT/Tender/SplashBidNoticeAbstractUI.aspx?menuIndex=3&amp;refID=7044405&amp;Result=3","7044405")</f>
        <v>0</v>
      </c>
      <c r="B294" t="s">
        <v>130</v>
      </c>
      <c r="C294" t="s">
        <v>2958</v>
      </c>
      <c r="E294" t="s">
        <v>13364</v>
      </c>
      <c r="F294" t="s">
        <v>22436</v>
      </c>
      <c r="G294" t="s">
        <v>22446</v>
      </c>
      <c r="H294" t="s">
        <v>22452</v>
      </c>
      <c r="I294" t="s">
        <v>22460</v>
      </c>
      <c r="J294" t="s">
        <v>22852</v>
      </c>
      <c r="K294" t="s">
        <v>29338</v>
      </c>
      <c r="M294" t="s">
        <v>29702</v>
      </c>
      <c r="N294" t="s">
        <v>32524</v>
      </c>
      <c r="O294" t="s">
        <v>32525</v>
      </c>
      <c r="P294">
        <v>0</v>
      </c>
      <c r="Q294">
        <v>0</v>
      </c>
      <c r="R294" t="s">
        <v>32526</v>
      </c>
      <c r="S294" t="s">
        <v>32547</v>
      </c>
      <c r="T294" t="s">
        <v>33185</v>
      </c>
      <c r="U294" t="s">
        <v>33891</v>
      </c>
      <c r="W294" t="s">
        <v>29702</v>
      </c>
      <c r="X294" t="s">
        <v>32527</v>
      </c>
    </row>
    <row r="295" spans="1:24">
      <c r="A295">
        <f>HYPERLINK("https://www.philgeps.gov.ph/GEPSNONPILOT/Tender/SplashBidNoticeAbstractUI.aspx?menuIndex=3&amp;refID=7044408&amp;Result=3","7044408")</f>
        <v>0</v>
      </c>
      <c r="B295" t="s">
        <v>114</v>
      </c>
      <c r="C295" t="s">
        <v>2959</v>
      </c>
      <c r="D295" t="s">
        <v>12999</v>
      </c>
      <c r="E295" t="s">
        <v>13365</v>
      </c>
      <c r="F295" t="s">
        <v>22436</v>
      </c>
      <c r="G295" t="s">
        <v>22443</v>
      </c>
      <c r="H295" t="s">
        <v>22452</v>
      </c>
      <c r="I295" t="s">
        <v>22497</v>
      </c>
      <c r="J295" t="s">
        <v>22853</v>
      </c>
      <c r="K295" t="s">
        <v>29338</v>
      </c>
      <c r="M295" t="s">
        <v>29686</v>
      </c>
      <c r="N295" t="s">
        <v>32524</v>
      </c>
      <c r="O295" t="s">
        <v>32525</v>
      </c>
      <c r="P295">
        <v>0</v>
      </c>
      <c r="Q295">
        <v>1</v>
      </c>
      <c r="R295" t="s">
        <v>32526</v>
      </c>
      <c r="S295" t="s">
        <v>32547</v>
      </c>
      <c r="T295" t="s">
        <v>33169</v>
      </c>
      <c r="U295" t="s">
        <v>33892</v>
      </c>
      <c r="W295" t="s">
        <v>29686</v>
      </c>
      <c r="X295" t="s">
        <v>32527</v>
      </c>
    </row>
    <row r="296" spans="1:24">
      <c r="A296">
        <f>HYPERLINK("https://www.philgeps.gov.ph/GEPSNONPILOT/Tender/SplashBidNoticeAbstractUI.aspx?menuIndex=3&amp;refID=7044398&amp;Result=3","7044398")</f>
        <v>0</v>
      </c>
      <c r="B296" t="s">
        <v>116</v>
      </c>
      <c r="C296" t="s">
        <v>2960</v>
      </c>
      <c r="D296" t="s">
        <v>12994</v>
      </c>
      <c r="E296" t="s">
        <v>13366</v>
      </c>
      <c r="F296" t="s">
        <v>22436</v>
      </c>
      <c r="G296" t="s">
        <v>22444</v>
      </c>
      <c r="H296" t="s">
        <v>22452</v>
      </c>
      <c r="I296" t="s">
        <v>22467</v>
      </c>
      <c r="J296" t="s">
        <v>22854</v>
      </c>
      <c r="K296" t="s">
        <v>29335</v>
      </c>
      <c r="L296" t="s">
        <v>116</v>
      </c>
      <c r="M296" t="s">
        <v>29688</v>
      </c>
      <c r="N296" t="s">
        <v>32524</v>
      </c>
      <c r="O296" t="s">
        <v>32525</v>
      </c>
      <c r="P296">
        <v>0</v>
      </c>
      <c r="Q296">
        <v>1</v>
      </c>
      <c r="R296" t="s">
        <v>32526</v>
      </c>
      <c r="S296" t="s">
        <v>32547</v>
      </c>
      <c r="T296" t="s">
        <v>33181</v>
      </c>
      <c r="U296" t="s">
        <v>33893</v>
      </c>
      <c r="W296" t="s">
        <v>29688</v>
      </c>
      <c r="X296" t="s">
        <v>32527</v>
      </c>
    </row>
    <row r="297" spans="1:24">
      <c r="A297">
        <f>HYPERLINK("https://www.philgeps.gov.ph/GEPSNONPILOT/Tender/SplashBidNoticeAbstractUI.aspx?menuIndex=3&amp;refID=7044402&amp;Result=3","7044402")</f>
        <v>0</v>
      </c>
      <c r="B297" t="s">
        <v>137</v>
      </c>
      <c r="C297" t="s">
        <v>2961</v>
      </c>
      <c r="D297" t="s">
        <v>12994</v>
      </c>
      <c r="E297" t="s">
        <v>13367</v>
      </c>
      <c r="F297" t="s">
        <v>22436</v>
      </c>
      <c r="G297" t="s">
        <v>22444</v>
      </c>
      <c r="H297" t="s">
        <v>22452</v>
      </c>
      <c r="I297" t="s">
        <v>6421</v>
      </c>
      <c r="J297" t="s">
        <v>22855</v>
      </c>
      <c r="K297" t="s">
        <v>29335</v>
      </c>
      <c r="M297" t="s">
        <v>29709</v>
      </c>
      <c r="N297" t="s">
        <v>32524</v>
      </c>
      <c r="O297" t="s">
        <v>32525</v>
      </c>
      <c r="P297">
        <v>0</v>
      </c>
      <c r="Q297">
        <v>4</v>
      </c>
      <c r="R297" t="s">
        <v>32526</v>
      </c>
      <c r="S297" t="s">
        <v>32547</v>
      </c>
      <c r="T297" t="s">
        <v>33182</v>
      </c>
      <c r="U297" t="s">
        <v>33894</v>
      </c>
      <c r="W297" t="s">
        <v>29709</v>
      </c>
      <c r="X297" t="s">
        <v>32527</v>
      </c>
    </row>
    <row r="298" spans="1:24">
      <c r="A298">
        <f>HYPERLINK("https://www.philgeps.gov.ph/GEPSNONPILOT/Tender/SplashBidNoticeAbstractUI.aspx?menuIndex=3&amp;refID=7044412&amp;Result=3","7044412")</f>
        <v>0</v>
      </c>
      <c r="B298" t="s">
        <v>138</v>
      </c>
      <c r="C298" t="s">
        <v>2962</v>
      </c>
      <c r="D298" t="s">
        <v>13008</v>
      </c>
      <c r="E298" t="s">
        <v>13368</v>
      </c>
      <c r="F298" t="s">
        <v>22436</v>
      </c>
      <c r="G298" t="s">
        <v>22446</v>
      </c>
      <c r="H298" t="s">
        <v>22452</v>
      </c>
      <c r="I298" t="s">
        <v>2962</v>
      </c>
      <c r="J298" t="s">
        <v>22856</v>
      </c>
      <c r="K298" t="s">
        <v>29357</v>
      </c>
      <c r="M298" t="s">
        <v>29710</v>
      </c>
      <c r="N298" t="s">
        <v>32524</v>
      </c>
      <c r="O298" t="s">
        <v>32525</v>
      </c>
      <c r="P298">
        <v>0</v>
      </c>
      <c r="Q298">
        <v>0</v>
      </c>
      <c r="R298" t="s">
        <v>32526</v>
      </c>
      <c r="S298" t="s">
        <v>32547</v>
      </c>
      <c r="T298" t="s">
        <v>33203</v>
      </c>
      <c r="U298" t="s">
        <v>33895</v>
      </c>
      <c r="W298" t="s">
        <v>29710</v>
      </c>
      <c r="X298" t="s">
        <v>32527</v>
      </c>
    </row>
    <row r="299" spans="1:24">
      <c r="A299">
        <f>HYPERLINK("https://www.philgeps.gov.ph/GEPSNONPILOT/Tender/SplashBidNoticeAbstractUI.aspx?menuIndex=3&amp;refID=7044403&amp;Result=3","7044403")</f>
        <v>0</v>
      </c>
      <c r="B299" t="s">
        <v>139</v>
      </c>
      <c r="C299" t="s">
        <v>2963</v>
      </c>
      <c r="D299" t="s">
        <v>13018</v>
      </c>
      <c r="E299" t="s">
        <v>13369</v>
      </c>
      <c r="F299" t="s">
        <v>22436</v>
      </c>
      <c r="G299" t="s">
        <v>22444</v>
      </c>
      <c r="H299" t="s">
        <v>22452</v>
      </c>
      <c r="I299" t="s">
        <v>3827</v>
      </c>
      <c r="J299" t="s">
        <v>22785</v>
      </c>
      <c r="K299" t="s">
        <v>29329</v>
      </c>
      <c r="M299" t="s">
        <v>29711</v>
      </c>
      <c r="N299" t="s">
        <v>32524</v>
      </c>
      <c r="O299" t="s">
        <v>32525</v>
      </c>
      <c r="P299">
        <v>0</v>
      </c>
      <c r="Q299">
        <v>0</v>
      </c>
      <c r="R299" t="s">
        <v>32526</v>
      </c>
      <c r="S299" t="s">
        <v>32547</v>
      </c>
      <c r="T299" t="s">
        <v>33186</v>
      </c>
      <c r="U299" t="s">
        <v>33896</v>
      </c>
      <c r="W299" t="s">
        <v>29711</v>
      </c>
      <c r="X299" t="s">
        <v>32527</v>
      </c>
    </row>
    <row r="300" spans="1:24">
      <c r="A300">
        <f>HYPERLINK("https://www.philgeps.gov.ph/GEPSNONPILOT/Tender/SplashBidNoticeAbstractUI.aspx?menuIndex=3&amp;refID=7044401&amp;Result=3","7044401")</f>
        <v>0</v>
      </c>
      <c r="B300" t="s">
        <v>140</v>
      </c>
      <c r="C300" t="s">
        <v>2964</v>
      </c>
      <c r="E300" t="s">
        <v>13370</v>
      </c>
      <c r="F300" t="s">
        <v>22436</v>
      </c>
      <c r="G300" t="s">
        <v>22443</v>
      </c>
      <c r="H300" t="s">
        <v>22452</v>
      </c>
      <c r="I300" t="s">
        <v>22456</v>
      </c>
      <c r="J300" t="s">
        <v>22857</v>
      </c>
      <c r="K300" t="s">
        <v>29338</v>
      </c>
      <c r="M300" t="s">
        <v>29712</v>
      </c>
      <c r="N300" t="s">
        <v>32524</v>
      </c>
      <c r="O300" t="s">
        <v>32525</v>
      </c>
      <c r="P300">
        <v>0</v>
      </c>
      <c r="Q300">
        <v>1</v>
      </c>
      <c r="R300" t="s">
        <v>32526</v>
      </c>
      <c r="S300" t="s">
        <v>32547</v>
      </c>
      <c r="T300" t="s">
        <v>33168</v>
      </c>
      <c r="U300" t="s">
        <v>33897</v>
      </c>
      <c r="W300" t="s">
        <v>29712</v>
      </c>
      <c r="X300" t="s">
        <v>32527</v>
      </c>
    </row>
    <row r="301" spans="1:24">
      <c r="A301">
        <f>HYPERLINK("https://www.philgeps.gov.ph/GEPSNONPILOT/Tender/SplashBidNoticeAbstractUI.aspx?menuIndex=3&amp;refID=7044414&amp;Result=3","7044414")</f>
        <v>0</v>
      </c>
      <c r="B301" t="s">
        <v>141</v>
      </c>
      <c r="C301" t="s">
        <v>2965</v>
      </c>
      <c r="D301" t="s">
        <v>13001</v>
      </c>
      <c r="E301" t="s">
        <v>13371</v>
      </c>
      <c r="F301" t="s">
        <v>22436</v>
      </c>
      <c r="G301" t="s">
        <v>22443</v>
      </c>
      <c r="H301" t="s">
        <v>22452</v>
      </c>
      <c r="I301" t="s">
        <v>22498</v>
      </c>
      <c r="J301" t="s">
        <v>22858</v>
      </c>
      <c r="K301" t="s">
        <v>29337</v>
      </c>
      <c r="M301" t="s">
        <v>29713</v>
      </c>
      <c r="N301" t="s">
        <v>32524</v>
      </c>
      <c r="O301" t="s">
        <v>32525</v>
      </c>
      <c r="P301">
        <v>0</v>
      </c>
      <c r="Q301">
        <v>5</v>
      </c>
      <c r="R301" t="s">
        <v>32526</v>
      </c>
      <c r="S301" t="s">
        <v>32547</v>
      </c>
      <c r="T301" t="s">
        <v>33154</v>
      </c>
      <c r="U301" t="s">
        <v>33898</v>
      </c>
      <c r="W301" t="s">
        <v>29713</v>
      </c>
      <c r="X301" t="s">
        <v>32527</v>
      </c>
    </row>
    <row r="302" spans="1:24">
      <c r="A302">
        <f>HYPERLINK("https://www.philgeps.gov.ph/GEPSNONPILOT/Tender/SplashBidNoticeAbstractUI.aspx?menuIndex=3&amp;refID=7044411&amp;Result=3","7044411")</f>
        <v>0</v>
      </c>
      <c r="B302" t="s">
        <v>142</v>
      </c>
      <c r="C302" t="s">
        <v>2966</v>
      </c>
      <c r="D302" t="s">
        <v>12996</v>
      </c>
      <c r="E302" t="s">
        <v>13372</v>
      </c>
      <c r="F302" t="s">
        <v>22436</v>
      </c>
      <c r="G302" t="s">
        <v>22443</v>
      </c>
      <c r="H302" t="s">
        <v>22452</v>
      </c>
      <c r="I302" t="s">
        <v>22482</v>
      </c>
      <c r="J302" t="s">
        <v>22640</v>
      </c>
      <c r="K302" t="s">
        <v>29357</v>
      </c>
      <c r="M302" t="s">
        <v>29714</v>
      </c>
      <c r="N302" t="s">
        <v>32524</v>
      </c>
      <c r="O302" t="s">
        <v>32525</v>
      </c>
      <c r="P302">
        <v>0</v>
      </c>
      <c r="Q302">
        <v>6</v>
      </c>
      <c r="R302" t="s">
        <v>32526</v>
      </c>
      <c r="S302" t="s">
        <v>32547</v>
      </c>
      <c r="T302" t="s">
        <v>33215</v>
      </c>
      <c r="U302" t="s">
        <v>33899</v>
      </c>
      <c r="W302" t="s">
        <v>29714</v>
      </c>
      <c r="X302" t="s">
        <v>32527</v>
      </c>
    </row>
    <row r="303" spans="1:24">
      <c r="A303">
        <f>HYPERLINK("https://www.philgeps.gov.ph/GEPSNONPILOT/Tender/SplashBidNoticeAbstractUI.aspx?menuIndex=3&amp;refID=7044406&amp;Result=3","7044406")</f>
        <v>0</v>
      </c>
      <c r="B303" t="s">
        <v>143</v>
      </c>
      <c r="C303" t="s">
        <v>2967</v>
      </c>
      <c r="D303" t="s">
        <v>13040</v>
      </c>
      <c r="E303" t="s">
        <v>13373</v>
      </c>
      <c r="F303" t="s">
        <v>22436</v>
      </c>
      <c r="G303" t="s">
        <v>22446</v>
      </c>
      <c r="H303" t="s">
        <v>22452</v>
      </c>
      <c r="I303" t="s">
        <v>3529</v>
      </c>
      <c r="J303" t="s">
        <v>22859</v>
      </c>
      <c r="K303" t="s">
        <v>29338</v>
      </c>
      <c r="M303" t="s">
        <v>29715</v>
      </c>
      <c r="N303" t="s">
        <v>32524</v>
      </c>
      <c r="O303" t="s">
        <v>32525</v>
      </c>
      <c r="P303">
        <v>0</v>
      </c>
      <c r="Q303">
        <v>0</v>
      </c>
      <c r="R303" t="s">
        <v>32526</v>
      </c>
      <c r="S303" t="s">
        <v>32547</v>
      </c>
      <c r="T303" t="s">
        <v>33206</v>
      </c>
      <c r="U303" t="s">
        <v>33900</v>
      </c>
      <c r="W303" t="s">
        <v>29715</v>
      </c>
      <c r="X303" t="s">
        <v>32527</v>
      </c>
    </row>
    <row r="304" spans="1:24">
      <c r="A304">
        <f>HYPERLINK("https://www.philgeps.gov.ph/GEPSNONPILOT/Tender/SplashBidNoticeAbstractUI.aspx?menuIndex=3&amp;refID=7044413&amp;Result=3","7044413")</f>
        <v>0</v>
      </c>
      <c r="B304" t="s">
        <v>128</v>
      </c>
      <c r="C304" t="s">
        <v>2968</v>
      </c>
      <c r="D304" t="s">
        <v>13025</v>
      </c>
      <c r="E304" t="s">
        <v>13374</v>
      </c>
      <c r="F304" t="s">
        <v>22436</v>
      </c>
      <c r="G304" t="s">
        <v>22443</v>
      </c>
      <c r="H304" t="s">
        <v>22452</v>
      </c>
      <c r="I304" t="s">
        <v>4688</v>
      </c>
      <c r="J304" t="s">
        <v>22860</v>
      </c>
      <c r="K304" t="s">
        <v>29336</v>
      </c>
      <c r="M304" t="s">
        <v>29700</v>
      </c>
      <c r="N304" t="s">
        <v>32524</v>
      </c>
      <c r="O304" t="s">
        <v>32525</v>
      </c>
      <c r="P304">
        <v>0</v>
      </c>
      <c r="Q304">
        <v>1</v>
      </c>
      <c r="R304" t="s">
        <v>32526</v>
      </c>
      <c r="S304" t="s">
        <v>32547</v>
      </c>
      <c r="T304" t="s">
        <v>33181</v>
      </c>
      <c r="U304" t="s">
        <v>33901</v>
      </c>
      <c r="W304" t="s">
        <v>29700</v>
      </c>
      <c r="X304" t="s">
        <v>32527</v>
      </c>
    </row>
    <row r="305" spans="1:24">
      <c r="A305">
        <f>HYPERLINK("https://www.philgeps.gov.ph/GEPSNONPILOT/Tender/SplashBidNoticeAbstractUI.aspx?menuIndex=3&amp;refID=7044428&amp;Result=3","7044428")</f>
        <v>0</v>
      </c>
      <c r="B305" t="s">
        <v>144</v>
      </c>
      <c r="C305" t="s">
        <v>2818</v>
      </c>
      <c r="D305" t="s">
        <v>12988</v>
      </c>
      <c r="E305" t="s">
        <v>13375</v>
      </c>
      <c r="F305" t="s">
        <v>22436</v>
      </c>
      <c r="G305" t="s">
        <v>22446</v>
      </c>
      <c r="H305" t="s">
        <v>22452</v>
      </c>
      <c r="I305" t="s">
        <v>22460</v>
      </c>
      <c r="J305" t="s">
        <v>22692</v>
      </c>
      <c r="K305" t="s">
        <v>29336</v>
      </c>
      <c r="M305" t="s">
        <v>29716</v>
      </c>
      <c r="N305" t="s">
        <v>32524</v>
      </c>
      <c r="O305" t="s">
        <v>32525</v>
      </c>
      <c r="P305">
        <v>0</v>
      </c>
      <c r="Q305">
        <v>3</v>
      </c>
      <c r="R305" t="s">
        <v>32526</v>
      </c>
      <c r="S305" t="s">
        <v>32547</v>
      </c>
      <c r="T305" t="s">
        <v>33216</v>
      </c>
      <c r="U305" t="s">
        <v>33902</v>
      </c>
      <c r="W305" t="s">
        <v>29716</v>
      </c>
      <c r="X305" t="s">
        <v>32527</v>
      </c>
    </row>
    <row r="306" spans="1:24">
      <c r="A306">
        <f>HYPERLINK("https://www.philgeps.gov.ph/GEPSNONPILOT/Tender/SplashBidNoticeAbstractUI.aspx?menuIndex=3&amp;refID=7044415&amp;Result=3","7044415")</f>
        <v>0</v>
      </c>
      <c r="B306" t="s">
        <v>145</v>
      </c>
      <c r="C306" t="s">
        <v>2969</v>
      </c>
      <c r="D306" t="s">
        <v>13041</v>
      </c>
      <c r="E306" t="s">
        <v>13376</v>
      </c>
      <c r="F306" t="s">
        <v>22436</v>
      </c>
      <c r="G306" t="s">
        <v>22444</v>
      </c>
      <c r="H306" t="s">
        <v>22452</v>
      </c>
      <c r="I306" t="s">
        <v>22474</v>
      </c>
      <c r="J306" t="s">
        <v>22614</v>
      </c>
      <c r="K306" t="s">
        <v>29341</v>
      </c>
      <c r="M306" t="s">
        <v>29717</v>
      </c>
      <c r="N306" t="s">
        <v>32524</v>
      </c>
      <c r="O306" t="s">
        <v>32525</v>
      </c>
      <c r="P306">
        <v>0</v>
      </c>
      <c r="Q306">
        <v>8</v>
      </c>
      <c r="R306" t="s">
        <v>32526</v>
      </c>
      <c r="S306" t="s">
        <v>32547</v>
      </c>
      <c r="T306" t="s">
        <v>33217</v>
      </c>
      <c r="U306" t="s">
        <v>33903</v>
      </c>
      <c r="W306" t="s">
        <v>29717</v>
      </c>
      <c r="X306" t="s">
        <v>32527</v>
      </c>
    </row>
    <row r="307" spans="1:24">
      <c r="A307">
        <f>HYPERLINK("https://www.philgeps.gov.ph/GEPSNONPILOT/Tender/SplashBidNoticeAbstractUI.aspx?menuIndex=3&amp;refID=7044427&amp;Result=3","7044427")</f>
        <v>0</v>
      </c>
      <c r="B307" t="s">
        <v>146</v>
      </c>
      <c r="C307" t="s">
        <v>2970</v>
      </c>
      <c r="D307" t="s">
        <v>13042</v>
      </c>
      <c r="E307" t="s">
        <v>13377</v>
      </c>
      <c r="F307" t="s">
        <v>22436</v>
      </c>
      <c r="G307" t="s">
        <v>22443</v>
      </c>
      <c r="H307" t="s">
        <v>22452</v>
      </c>
      <c r="I307" t="s">
        <v>22489</v>
      </c>
      <c r="J307" t="s">
        <v>22861</v>
      </c>
      <c r="K307" t="s">
        <v>29336</v>
      </c>
      <c r="M307" t="s">
        <v>29718</v>
      </c>
      <c r="N307" t="s">
        <v>32524</v>
      </c>
      <c r="O307" t="s">
        <v>32525</v>
      </c>
      <c r="P307">
        <v>0</v>
      </c>
      <c r="Q307">
        <v>0</v>
      </c>
      <c r="R307" t="s">
        <v>32526</v>
      </c>
      <c r="S307" t="s">
        <v>32547</v>
      </c>
      <c r="T307" t="s">
        <v>33167</v>
      </c>
      <c r="U307" t="s">
        <v>33904</v>
      </c>
      <c r="W307" t="s">
        <v>29718</v>
      </c>
      <c r="X307" t="s">
        <v>32527</v>
      </c>
    </row>
    <row r="308" spans="1:24">
      <c r="A308">
        <f>HYPERLINK("https://www.philgeps.gov.ph/GEPSNONPILOT/Tender/SplashBidNoticeAbstractUI.aspx?menuIndex=3&amp;refID=7044423&amp;Result=3","7044423")</f>
        <v>0</v>
      </c>
      <c r="B308" t="s">
        <v>124</v>
      </c>
      <c r="C308" t="s">
        <v>2971</v>
      </c>
      <c r="D308" t="s">
        <v>13031</v>
      </c>
      <c r="E308" t="s">
        <v>13378</v>
      </c>
      <c r="F308" t="s">
        <v>22436</v>
      </c>
      <c r="G308" t="s">
        <v>22443</v>
      </c>
      <c r="H308" t="s">
        <v>22452</v>
      </c>
      <c r="I308" t="s">
        <v>12358</v>
      </c>
      <c r="J308" t="s">
        <v>22616</v>
      </c>
      <c r="K308" t="s">
        <v>29338</v>
      </c>
      <c r="M308" t="s">
        <v>29696</v>
      </c>
      <c r="N308" t="s">
        <v>32524</v>
      </c>
      <c r="O308" t="s">
        <v>32525</v>
      </c>
      <c r="P308">
        <v>0</v>
      </c>
      <c r="Q308">
        <v>2</v>
      </c>
      <c r="R308" t="s">
        <v>32526</v>
      </c>
      <c r="S308" t="s">
        <v>32547</v>
      </c>
      <c r="T308" t="s">
        <v>33183</v>
      </c>
      <c r="U308" t="s">
        <v>33905</v>
      </c>
      <c r="W308" t="s">
        <v>29696</v>
      </c>
      <c r="X308" t="s">
        <v>32527</v>
      </c>
    </row>
    <row r="309" spans="1:24">
      <c r="A309">
        <f>HYPERLINK("https://www.philgeps.gov.ph/GEPSNONPILOT/Tender/SplashBidNoticeAbstractUI.aspx?menuIndex=3&amp;refID=7044424&amp;Result=3","7044424")</f>
        <v>0</v>
      </c>
      <c r="B309" t="s">
        <v>147</v>
      </c>
      <c r="C309" t="s">
        <v>2972</v>
      </c>
      <c r="D309" t="s">
        <v>13043</v>
      </c>
      <c r="E309" t="s">
        <v>13379</v>
      </c>
      <c r="F309" t="s">
        <v>22436</v>
      </c>
      <c r="G309" t="s">
        <v>22443</v>
      </c>
      <c r="H309" t="s">
        <v>22452</v>
      </c>
      <c r="I309" t="s">
        <v>3827</v>
      </c>
      <c r="J309" t="s">
        <v>22862</v>
      </c>
      <c r="K309" t="s">
        <v>29341</v>
      </c>
      <c r="M309" t="s">
        <v>29719</v>
      </c>
      <c r="N309" t="s">
        <v>32524</v>
      </c>
      <c r="O309" t="s">
        <v>32525</v>
      </c>
      <c r="P309">
        <v>0</v>
      </c>
      <c r="Q309">
        <v>1</v>
      </c>
      <c r="R309" t="s">
        <v>32526</v>
      </c>
      <c r="S309" t="s">
        <v>32547</v>
      </c>
      <c r="T309" t="s">
        <v>33211</v>
      </c>
      <c r="U309" t="s">
        <v>33906</v>
      </c>
      <c r="W309" t="s">
        <v>29719</v>
      </c>
      <c r="X309" t="s">
        <v>32527</v>
      </c>
    </row>
    <row r="310" spans="1:24">
      <c r="A310">
        <f>HYPERLINK("https://www.philgeps.gov.ph/GEPSNONPILOT/Tender/SplashBidNoticeAbstractUI.aspx?menuIndex=3&amp;refID=7044404&amp;Result=3","7044404")</f>
        <v>0</v>
      </c>
      <c r="B310" t="s">
        <v>148</v>
      </c>
      <c r="C310" t="s">
        <v>2973</v>
      </c>
      <c r="D310" t="s">
        <v>13020</v>
      </c>
      <c r="E310" t="s">
        <v>13137</v>
      </c>
      <c r="F310" t="s">
        <v>22436</v>
      </c>
      <c r="G310" t="s">
        <v>22444</v>
      </c>
      <c r="H310" t="s">
        <v>22454</v>
      </c>
      <c r="I310" t="s">
        <v>3529</v>
      </c>
      <c r="J310" t="s">
        <v>22863</v>
      </c>
      <c r="K310" t="s">
        <v>29341</v>
      </c>
      <c r="M310" t="s">
        <v>29720</v>
      </c>
      <c r="N310" t="s">
        <v>32524</v>
      </c>
      <c r="O310" t="s">
        <v>32525</v>
      </c>
      <c r="P310">
        <v>0</v>
      </c>
      <c r="Q310">
        <v>1</v>
      </c>
      <c r="R310" t="s">
        <v>32526</v>
      </c>
      <c r="S310" t="s">
        <v>32547</v>
      </c>
      <c r="T310" t="s">
        <v>33218</v>
      </c>
      <c r="U310" t="s">
        <v>33907</v>
      </c>
      <c r="W310" t="s">
        <v>29720</v>
      </c>
      <c r="X310" t="s">
        <v>32527</v>
      </c>
    </row>
    <row r="311" spans="1:24">
      <c r="A311">
        <f>HYPERLINK("https://www.philgeps.gov.ph/GEPSNONPILOT/Tender/SplashBidNoticeAbstractUI.aspx?menuIndex=3&amp;refID=7044420&amp;Result=3","7044420")</f>
        <v>0</v>
      </c>
      <c r="B311" t="s">
        <v>149</v>
      </c>
      <c r="C311" t="s">
        <v>2974</v>
      </c>
      <c r="D311" t="s">
        <v>13001</v>
      </c>
      <c r="E311" t="s">
        <v>13380</v>
      </c>
      <c r="F311" t="s">
        <v>22436</v>
      </c>
      <c r="G311" t="s">
        <v>22443</v>
      </c>
      <c r="H311" t="s">
        <v>22452</v>
      </c>
      <c r="I311" t="s">
        <v>22460</v>
      </c>
      <c r="J311" t="s">
        <v>22864</v>
      </c>
      <c r="K311" t="s">
        <v>29336</v>
      </c>
      <c r="M311" t="s">
        <v>29721</v>
      </c>
      <c r="N311" t="s">
        <v>32524</v>
      </c>
      <c r="O311" t="s">
        <v>32525</v>
      </c>
      <c r="P311">
        <v>0</v>
      </c>
      <c r="Q311">
        <v>0</v>
      </c>
      <c r="R311" t="s">
        <v>32526</v>
      </c>
      <c r="S311" t="s">
        <v>32547</v>
      </c>
      <c r="T311" t="s">
        <v>33196</v>
      </c>
      <c r="U311" t="s">
        <v>33908</v>
      </c>
      <c r="W311" t="s">
        <v>29721</v>
      </c>
      <c r="X311" t="s">
        <v>32527</v>
      </c>
    </row>
    <row r="312" spans="1:24">
      <c r="A312">
        <f>HYPERLINK("https://www.philgeps.gov.ph/GEPSNONPILOT/Tender/SplashBidNoticeAbstractUI.aspx?menuIndex=3&amp;refID=7044425&amp;Result=3","7044425")</f>
        <v>0</v>
      </c>
      <c r="B312" t="s">
        <v>150</v>
      </c>
      <c r="C312" t="s">
        <v>2975</v>
      </c>
      <c r="D312" t="s">
        <v>13044</v>
      </c>
      <c r="E312" t="s">
        <v>13131</v>
      </c>
      <c r="F312" t="s">
        <v>22436</v>
      </c>
      <c r="G312" t="s">
        <v>22443</v>
      </c>
      <c r="H312" t="s">
        <v>22455</v>
      </c>
      <c r="I312" t="s">
        <v>22486</v>
      </c>
      <c r="J312" t="s">
        <v>22798</v>
      </c>
      <c r="K312" t="s">
        <v>29360</v>
      </c>
      <c r="M312" t="s">
        <v>29722</v>
      </c>
      <c r="N312" t="s">
        <v>32524</v>
      </c>
      <c r="O312" t="s">
        <v>32525</v>
      </c>
      <c r="P312">
        <v>0</v>
      </c>
      <c r="Q312">
        <v>0</v>
      </c>
      <c r="R312" t="s">
        <v>32526</v>
      </c>
      <c r="S312" t="s">
        <v>32547</v>
      </c>
      <c r="T312" t="s">
        <v>33167</v>
      </c>
      <c r="U312" t="s">
        <v>33909</v>
      </c>
      <c r="W312" t="s">
        <v>29722</v>
      </c>
      <c r="X312" t="s">
        <v>32527</v>
      </c>
    </row>
    <row r="313" spans="1:24">
      <c r="A313">
        <f>HYPERLINK("https://www.philgeps.gov.ph/GEPSNONPILOT/Tender/SplashBidNoticeAbstractUI.aspx?menuIndex=3&amp;refID=7044419&amp;Result=3","7044419")</f>
        <v>0</v>
      </c>
      <c r="B313" t="s">
        <v>151</v>
      </c>
      <c r="C313" t="s">
        <v>2976</v>
      </c>
      <c r="D313" t="s">
        <v>13039</v>
      </c>
      <c r="E313" t="s">
        <v>13381</v>
      </c>
      <c r="F313" t="s">
        <v>22436</v>
      </c>
      <c r="G313" t="s">
        <v>22443</v>
      </c>
      <c r="H313" t="s">
        <v>22452</v>
      </c>
      <c r="I313" t="s">
        <v>22458</v>
      </c>
      <c r="J313" t="s">
        <v>22865</v>
      </c>
      <c r="K313" t="s">
        <v>29356</v>
      </c>
      <c r="M313" t="s">
        <v>29723</v>
      </c>
      <c r="N313" t="s">
        <v>32524</v>
      </c>
      <c r="O313" t="s">
        <v>32525</v>
      </c>
      <c r="P313">
        <v>0</v>
      </c>
      <c r="Q313">
        <v>5</v>
      </c>
      <c r="R313" t="s">
        <v>32526</v>
      </c>
      <c r="S313" t="s">
        <v>32547</v>
      </c>
      <c r="T313" t="s">
        <v>33167</v>
      </c>
      <c r="U313" t="s">
        <v>33910</v>
      </c>
      <c r="W313" t="s">
        <v>29723</v>
      </c>
      <c r="X313" t="s">
        <v>32527</v>
      </c>
    </row>
    <row r="314" spans="1:24">
      <c r="A314">
        <f>HYPERLINK("https://www.philgeps.gov.ph/GEPSNONPILOT/Tender/SplashBidNoticeAbstractUI.aspx?menuIndex=3&amp;refID=7044421&amp;Result=3","7044421")</f>
        <v>0</v>
      </c>
      <c r="B314" t="s">
        <v>130</v>
      </c>
      <c r="C314" t="s">
        <v>2950</v>
      </c>
      <c r="E314" t="s">
        <v>13382</v>
      </c>
      <c r="F314" t="s">
        <v>22436</v>
      </c>
      <c r="G314" t="s">
        <v>22443</v>
      </c>
      <c r="H314" t="s">
        <v>22452</v>
      </c>
      <c r="I314" t="s">
        <v>22466</v>
      </c>
      <c r="J314" t="s">
        <v>22788</v>
      </c>
      <c r="K314" t="s">
        <v>29338</v>
      </c>
      <c r="M314" t="s">
        <v>29702</v>
      </c>
      <c r="N314" t="s">
        <v>32524</v>
      </c>
      <c r="O314" t="s">
        <v>32525</v>
      </c>
      <c r="P314">
        <v>0</v>
      </c>
      <c r="Q314">
        <v>8</v>
      </c>
      <c r="R314" t="s">
        <v>32526</v>
      </c>
      <c r="S314" t="s">
        <v>32547</v>
      </c>
      <c r="T314" t="s">
        <v>33206</v>
      </c>
      <c r="U314" t="s">
        <v>33911</v>
      </c>
      <c r="W314" t="s">
        <v>29702</v>
      </c>
      <c r="X314" t="s">
        <v>32527</v>
      </c>
    </row>
    <row r="315" spans="1:24">
      <c r="A315">
        <f>HYPERLINK("https://www.philgeps.gov.ph/GEPSNONPILOT/Tender/SplashBidNoticeAbstractUI.aspx?menuIndex=3&amp;refID=7044426&amp;Result=3","7044426")</f>
        <v>0</v>
      </c>
      <c r="B315" t="s">
        <v>152</v>
      </c>
      <c r="C315" t="s">
        <v>2977</v>
      </c>
      <c r="D315" t="s">
        <v>13037</v>
      </c>
      <c r="E315" t="s">
        <v>13383</v>
      </c>
      <c r="F315" t="s">
        <v>22436</v>
      </c>
      <c r="G315" t="s">
        <v>22443</v>
      </c>
      <c r="H315" t="s">
        <v>22452</v>
      </c>
      <c r="I315" t="s">
        <v>12358</v>
      </c>
      <c r="J315" t="s">
        <v>22866</v>
      </c>
      <c r="K315" t="s">
        <v>29336</v>
      </c>
      <c r="M315" t="s">
        <v>29724</v>
      </c>
      <c r="N315" t="s">
        <v>32524</v>
      </c>
      <c r="O315" t="s">
        <v>32525</v>
      </c>
      <c r="P315">
        <v>0</v>
      </c>
      <c r="Q315">
        <v>0</v>
      </c>
      <c r="R315" t="s">
        <v>32526</v>
      </c>
      <c r="S315" t="s">
        <v>32547</v>
      </c>
      <c r="T315" t="s">
        <v>33161</v>
      </c>
      <c r="U315" t="s">
        <v>33912</v>
      </c>
      <c r="W315" t="s">
        <v>43669</v>
      </c>
      <c r="X315" t="s">
        <v>32527</v>
      </c>
    </row>
    <row r="316" spans="1:24">
      <c r="A316">
        <f>HYPERLINK("https://www.philgeps.gov.ph/GEPSNONPILOT/Tender/SplashBidNoticeAbstractUI.aspx?menuIndex=3&amp;refID=7044422&amp;Result=3","7044422")</f>
        <v>0</v>
      </c>
      <c r="B316" t="s">
        <v>134</v>
      </c>
      <c r="C316" t="s">
        <v>2978</v>
      </c>
      <c r="D316" t="s">
        <v>13031</v>
      </c>
      <c r="E316" t="s">
        <v>13321</v>
      </c>
      <c r="F316" t="s">
        <v>22436</v>
      </c>
      <c r="G316" t="s">
        <v>22446</v>
      </c>
      <c r="H316" t="s">
        <v>22452</v>
      </c>
      <c r="I316" t="s">
        <v>22463</v>
      </c>
      <c r="J316" t="s">
        <v>22867</v>
      </c>
      <c r="K316" t="s">
        <v>29341</v>
      </c>
      <c r="M316" t="s">
        <v>29706</v>
      </c>
      <c r="N316" t="s">
        <v>32524</v>
      </c>
      <c r="O316" t="s">
        <v>32525</v>
      </c>
      <c r="P316">
        <v>0</v>
      </c>
      <c r="Q316">
        <v>2</v>
      </c>
      <c r="R316" t="s">
        <v>32526</v>
      </c>
      <c r="S316" t="s">
        <v>32547</v>
      </c>
      <c r="T316" t="s">
        <v>33182</v>
      </c>
      <c r="U316" t="s">
        <v>33885</v>
      </c>
      <c r="W316" t="s">
        <v>29706</v>
      </c>
      <c r="X316" t="s">
        <v>32527</v>
      </c>
    </row>
    <row r="317" spans="1:24">
      <c r="A317">
        <f>HYPERLINK("https://www.philgeps.gov.ph/GEPSNONPILOT/Tender/SplashBidNoticeAbstractUI.aspx?menuIndex=3&amp;refID=7044431&amp;Result=3","7044431")</f>
        <v>0</v>
      </c>
      <c r="B317" t="s">
        <v>153</v>
      </c>
      <c r="C317" t="s">
        <v>2979</v>
      </c>
      <c r="E317" t="s">
        <v>13384</v>
      </c>
      <c r="F317" t="s">
        <v>22436</v>
      </c>
      <c r="G317" t="s">
        <v>22443</v>
      </c>
      <c r="H317" t="s">
        <v>22452</v>
      </c>
      <c r="I317" t="s">
        <v>3358</v>
      </c>
      <c r="J317" t="s">
        <v>22868</v>
      </c>
      <c r="K317" t="s">
        <v>29338</v>
      </c>
      <c r="M317" t="s">
        <v>29725</v>
      </c>
      <c r="N317" t="s">
        <v>32524</v>
      </c>
      <c r="O317" t="s">
        <v>32525</v>
      </c>
      <c r="P317">
        <v>0</v>
      </c>
      <c r="Q317">
        <v>0</v>
      </c>
      <c r="R317" t="s">
        <v>32526</v>
      </c>
      <c r="S317" t="s">
        <v>32547</v>
      </c>
      <c r="T317" t="s">
        <v>33154</v>
      </c>
      <c r="U317" t="s">
        <v>33913</v>
      </c>
      <c r="W317" t="s">
        <v>29725</v>
      </c>
      <c r="X317" t="s">
        <v>32527</v>
      </c>
    </row>
    <row r="318" spans="1:24">
      <c r="A318">
        <f>HYPERLINK("https://www.philgeps.gov.ph/GEPSNONPILOT/Tender/SplashBidNoticeAbstractUI.aspx?menuIndex=3&amp;refID=7044417&amp;Result=3","7044417")</f>
        <v>0</v>
      </c>
      <c r="B318" t="s">
        <v>154</v>
      </c>
      <c r="C318" t="s">
        <v>2980</v>
      </c>
      <c r="D318" t="s">
        <v>13029</v>
      </c>
      <c r="E318" t="s">
        <v>13385</v>
      </c>
      <c r="F318" t="s">
        <v>22436</v>
      </c>
      <c r="G318" t="s">
        <v>22446</v>
      </c>
      <c r="H318" t="s">
        <v>22452</v>
      </c>
      <c r="I318" t="s">
        <v>22469</v>
      </c>
      <c r="J318" t="s">
        <v>22869</v>
      </c>
      <c r="K318" t="s">
        <v>29331</v>
      </c>
      <c r="M318" t="s">
        <v>29726</v>
      </c>
      <c r="N318" t="s">
        <v>32524</v>
      </c>
      <c r="O318" t="s">
        <v>32525</v>
      </c>
      <c r="P318">
        <v>0</v>
      </c>
      <c r="Q318">
        <v>1</v>
      </c>
      <c r="R318" t="s">
        <v>32526</v>
      </c>
      <c r="S318" t="s">
        <v>32547</v>
      </c>
      <c r="T318" t="s">
        <v>33168</v>
      </c>
      <c r="U318" t="s">
        <v>33914</v>
      </c>
      <c r="W318" t="s">
        <v>29726</v>
      </c>
      <c r="X318" t="s">
        <v>32527</v>
      </c>
    </row>
    <row r="319" spans="1:24">
      <c r="A319">
        <f>HYPERLINK("https://www.philgeps.gov.ph/GEPSNONPILOT/Tender/SplashBidNoticeAbstractUI.aspx?menuIndex=3&amp;refID=7044416&amp;Result=3","7044416")</f>
        <v>0</v>
      </c>
      <c r="B319" t="s">
        <v>155</v>
      </c>
      <c r="C319" t="s">
        <v>2981</v>
      </c>
      <c r="D319" t="s">
        <v>13018</v>
      </c>
      <c r="E319" t="s">
        <v>13386</v>
      </c>
      <c r="F319" t="s">
        <v>22436</v>
      </c>
      <c r="G319" t="s">
        <v>22443</v>
      </c>
      <c r="H319" t="s">
        <v>22452</v>
      </c>
      <c r="I319" t="s">
        <v>2981</v>
      </c>
      <c r="J319" t="s">
        <v>22870</v>
      </c>
      <c r="K319" t="s">
        <v>29338</v>
      </c>
      <c r="M319" t="s">
        <v>29727</v>
      </c>
      <c r="N319" t="s">
        <v>32524</v>
      </c>
      <c r="O319" t="s">
        <v>32525</v>
      </c>
      <c r="P319">
        <v>0</v>
      </c>
      <c r="Q319">
        <v>0</v>
      </c>
      <c r="R319" t="s">
        <v>32526</v>
      </c>
      <c r="S319" t="s">
        <v>32547</v>
      </c>
      <c r="T319" t="s">
        <v>33210</v>
      </c>
      <c r="U319" t="s">
        <v>33915</v>
      </c>
      <c r="V319" t="s">
        <v>42462</v>
      </c>
      <c r="W319" t="s">
        <v>29727</v>
      </c>
      <c r="X319" t="s">
        <v>32527</v>
      </c>
    </row>
    <row r="320" spans="1:24">
      <c r="A320">
        <f>HYPERLINK("https://www.philgeps.gov.ph/GEPSNONPILOT/Tender/SplashBidNoticeAbstractUI.aspx?menuIndex=3&amp;refID=7044418&amp;Result=3","7044418")</f>
        <v>0</v>
      </c>
      <c r="B320" t="s">
        <v>146</v>
      </c>
      <c r="C320" t="s">
        <v>2982</v>
      </c>
      <c r="D320" t="s">
        <v>13042</v>
      </c>
      <c r="E320" t="s">
        <v>13387</v>
      </c>
      <c r="F320" t="s">
        <v>22436</v>
      </c>
      <c r="G320" t="s">
        <v>22446</v>
      </c>
      <c r="H320" t="s">
        <v>22452</v>
      </c>
      <c r="I320" t="s">
        <v>6421</v>
      </c>
      <c r="J320" t="s">
        <v>22871</v>
      </c>
      <c r="K320" t="s">
        <v>29336</v>
      </c>
      <c r="M320" t="s">
        <v>29718</v>
      </c>
      <c r="N320" t="s">
        <v>32524</v>
      </c>
      <c r="O320" t="s">
        <v>32525</v>
      </c>
      <c r="P320">
        <v>0</v>
      </c>
      <c r="Q320">
        <v>0</v>
      </c>
      <c r="R320" t="s">
        <v>32526</v>
      </c>
      <c r="S320" t="s">
        <v>32547</v>
      </c>
      <c r="T320" t="s">
        <v>33167</v>
      </c>
      <c r="U320" t="s">
        <v>33916</v>
      </c>
      <c r="W320" t="s">
        <v>29718</v>
      </c>
      <c r="X320" t="s">
        <v>32527</v>
      </c>
    </row>
    <row r="321" spans="1:24">
      <c r="A321">
        <f>HYPERLINK("https://www.philgeps.gov.ph/GEPSNONPILOT/Tender/SplashBidNoticeAbstractUI.aspx?menuIndex=3&amp;refID=7044430&amp;Result=3","7044430")</f>
        <v>0</v>
      </c>
      <c r="B321" t="s">
        <v>108</v>
      </c>
      <c r="C321" t="s">
        <v>2983</v>
      </c>
      <c r="D321" t="s">
        <v>13007</v>
      </c>
      <c r="E321" t="s">
        <v>13388</v>
      </c>
      <c r="F321" t="s">
        <v>22436</v>
      </c>
      <c r="G321" t="s">
        <v>22443</v>
      </c>
      <c r="H321" t="s">
        <v>22452</v>
      </c>
      <c r="I321" t="s">
        <v>3827</v>
      </c>
      <c r="J321" t="s">
        <v>22872</v>
      </c>
      <c r="K321" t="s">
        <v>29335</v>
      </c>
      <c r="M321" t="s">
        <v>29680</v>
      </c>
      <c r="N321" t="s">
        <v>32524</v>
      </c>
      <c r="O321" t="s">
        <v>32525</v>
      </c>
      <c r="P321">
        <v>0</v>
      </c>
      <c r="Q321">
        <v>1</v>
      </c>
      <c r="R321" t="s">
        <v>32526</v>
      </c>
      <c r="S321" t="s">
        <v>32547</v>
      </c>
      <c r="T321" t="s">
        <v>33167</v>
      </c>
      <c r="U321" t="s">
        <v>33917</v>
      </c>
      <c r="W321" t="s">
        <v>29680</v>
      </c>
      <c r="X321" t="s">
        <v>32527</v>
      </c>
    </row>
    <row r="322" spans="1:24">
      <c r="A322">
        <f>HYPERLINK("https://www.philgeps.gov.ph/GEPSNONPILOT/Tender/SplashBidNoticeAbstractUI.aspx?menuIndex=3&amp;refID=7044433&amp;Result=3","7044433")</f>
        <v>0</v>
      </c>
      <c r="B322" t="s">
        <v>156</v>
      </c>
      <c r="C322" t="s">
        <v>2984</v>
      </c>
      <c r="D322" t="s">
        <v>12990</v>
      </c>
      <c r="E322" t="s">
        <v>13389</v>
      </c>
      <c r="F322" t="s">
        <v>22436</v>
      </c>
      <c r="G322" t="s">
        <v>22443</v>
      </c>
      <c r="H322" t="s">
        <v>22452</v>
      </c>
      <c r="I322" t="s">
        <v>22482</v>
      </c>
      <c r="J322" t="s">
        <v>22873</v>
      </c>
      <c r="K322" t="s">
        <v>29331</v>
      </c>
      <c r="M322" t="s">
        <v>29728</v>
      </c>
      <c r="N322" t="s">
        <v>32524</v>
      </c>
      <c r="O322" t="s">
        <v>32525</v>
      </c>
      <c r="P322">
        <v>0</v>
      </c>
      <c r="Q322">
        <v>4</v>
      </c>
      <c r="R322" t="s">
        <v>32526</v>
      </c>
      <c r="S322" t="s">
        <v>32547</v>
      </c>
      <c r="T322" t="s">
        <v>33215</v>
      </c>
      <c r="U322" t="s">
        <v>33918</v>
      </c>
      <c r="W322" t="s">
        <v>29728</v>
      </c>
      <c r="X322" t="s">
        <v>32527</v>
      </c>
    </row>
    <row r="323" spans="1:24">
      <c r="A323">
        <f>HYPERLINK("https://www.philgeps.gov.ph/GEPSNONPILOT/Tender/SplashBidNoticeAbstractUI.aspx?menuIndex=3&amp;refID=7044448&amp;Result=3","7044448")</f>
        <v>0</v>
      </c>
      <c r="B323" t="s">
        <v>125</v>
      </c>
      <c r="C323" t="s">
        <v>2985</v>
      </c>
      <c r="D323" t="s">
        <v>13035</v>
      </c>
      <c r="E323" t="s">
        <v>13390</v>
      </c>
      <c r="F323" t="s">
        <v>22436</v>
      </c>
      <c r="G323" t="s">
        <v>22443</v>
      </c>
      <c r="H323" t="s">
        <v>22452</v>
      </c>
      <c r="I323" t="s">
        <v>22499</v>
      </c>
      <c r="J323" t="s">
        <v>22874</v>
      </c>
      <c r="K323" t="s">
        <v>29341</v>
      </c>
      <c r="M323" t="s">
        <v>29697</v>
      </c>
      <c r="N323" t="s">
        <v>32524</v>
      </c>
      <c r="O323" t="s">
        <v>32525</v>
      </c>
      <c r="P323">
        <v>0</v>
      </c>
      <c r="Q323">
        <v>2</v>
      </c>
      <c r="R323" t="s">
        <v>32526</v>
      </c>
      <c r="S323" t="s">
        <v>32547</v>
      </c>
      <c r="T323" t="s">
        <v>33171</v>
      </c>
      <c r="U323" t="s">
        <v>33919</v>
      </c>
      <c r="W323" t="s">
        <v>29697</v>
      </c>
      <c r="X323" t="s">
        <v>32527</v>
      </c>
    </row>
    <row r="324" spans="1:24">
      <c r="A324">
        <f>HYPERLINK("https://www.philgeps.gov.ph/GEPSNONPILOT/Tender/SplashBidNoticeAbstractUI.aspx?menuIndex=3&amp;refID=7044446&amp;Result=3","7044446")</f>
        <v>0</v>
      </c>
      <c r="B324" t="s">
        <v>157</v>
      </c>
      <c r="C324" t="s">
        <v>2986</v>
      </c>
      <c r="D324" t="s">
        <v>12999</v>
      </c>
      <c r="E324" t="s">
        <v>13391</v>
      </c>
      <c r="F324" t="s">
        <v>22436</v>
      </c>
      <c r="G324" t="s">
        <v>22443</v>
      </c>
      <c r="H324" t="s">
        <v>22452</v>
      </c>
      <c r="I324" t="s">
        <v>22467</v>
      </c>
      <c r="J324" t="s">
        <v>22875</v>
      </c>
      <c r="K324" t="s">
        <v>29338</v>
      </c>
      <c r="M324" t="s">
        <v>29729</v>
      </c>
      <c r="N324" t="s">
        <v>32524</v>
      </c>
      <c r="O324" t="s">
        <v>32525</v>
      </c>
      <c r="P324">
        <v>0</v>
      </c>
      <c r="Q324">
        <v>0</v>
      </c>
      <c r="R324" t="s">
        <v>32526</v>
      </c>
      <c r="S324" t="s">
        <v>32547</v>
      </c>
      <c r="T324" t="s">
        <v>33169</v>
      </c>
      <c r="U324" t="s">
        <v>33920</v>
      </c>
      <c r="W324" t="s">
        <v>29729</v>
      </c>
      <c r="X324" t="s">
        <v>32527</v>
      </c>
    </row>
    <row r="325" spans="1:24">
      <c r="A325">
        <f>HYPERLINK("https://www.philgeps.gov.ph/GEPSNONPILOT/Tender/SplashBidNoticeAbstractUI.aspx?menuIndex=3&amp;refID=7044444&amp;Result=3","7044444")</f>
        <v>0</v>
      </c>
      <c r="B325" t="s">
        <v>158</v>
      </c>
      <c r="C325" t="s">
        <v>2987</v>
      </c>
      <c r="D325" t="s">
        <v>12990</v>
      </c>
      <c r="E325" t="s">
        <v>13392</v>
      </c>
      <c r="F325" t="s">
        <v>22436</v>
      </c>
      <c r="G325" t="s">
        <v>22444</v>
      </c>
      <c r="H325" t="s">
        <v>22454</v>
      </c>
      <c r="I325" t="s">
        <v>7738</v>
      </c>
      <c r="J325" t="s">
        <v>22876</v>
      </c>
      <c r="K325" t="s">
        <v>29342</v>
      </c>
      <c r="M325" t="s">
        <v>29730</v>
      </c>
      <c r="N325" t="s">
        <v>32524</v>
      </c>
      <c r="O325" t="s">
        <v>32525</v>
      </c>
      <c r="P325">
        <v>0</v>
      </c>
      <c r="Q325">
        <v>0</v>
      </c>
      <c r="R325" t="s">
        <v>32526</v>
      </c>
      <c r="S325" t="s">
        <v>32547</v>
      </c>
      <c r="T325" t="s">
        <v>33153</v>
      </c>
      <c r="U325" t="s">
        <v>33921</v>
      </c>
      <c r="W325" t="s">
        <v>29730</v>
      </c>
      <c r="X325" t="s">
        <v>32527</v>
      </c>
    </row>
    <row r="326" spans="1:24">
      <c r="A326">
        <f>HYPERLINK("https://www.philgeps.gov.ph/GEPSNONPILOT/Tender/SplashBidNoticeAbstractUI.aspx?menuIndex=3&amp;refID=7044438&amp;Result=3","7044438")</f>
        <v>0</v>
      </c>
      <c r="B326" t="s">
        <v>159</v>
      </c>
      <c r="C326" t="s">
        <v>2988</v>
      </c>
      <c r="D326" t="s">
        <v>13000</v>
      </c>
      <c r="E326" t="s">
        <v>13393</v>
      </c>
      <c r="F326" t="s">
        <v>22436</v>
      </c>
      <c r="G326" t="s">
        <v>22444</v>
      </c>
      <c r="H326" t="s">
        <v>22454</v>
      </c>
      <c r="I326" t="s">
        <v>7738</v>
      </c>
      <c r="J326" t="s">
        <v>22877</v>
      </c>
      <c r="K326" t="s">
        <v>29333</v>
      </c>
      <c r="M326" t="s">
        <v>29731</v>
      </c>
      <c r="N326" t="s">
        <v>32524</v>
      </c>
      <c r="O326" t="s">
        <v>32525</v>
      </c>
      <c r="P326">
        <v>0</v>
      </c>
      <c r="Q326">
        <v>0</v>
      </c>
      <c r="R326" t="s">
        <v>32526</v>
      </c>
      <c r="S326" t="s">
        <v>32547</v>
      </c>
      <c r="T326" t="s">
        <v>33219</v>
      </c>
      <c r="U326" t="s">
        <v>33922</v>
      </c>
      <c r="W326" t="s">
        <v>29731</v>
      </c>
      <c r="X326" t="s">
        <v>32527</v>
      </c>
    </row>
    <row r="327" spans="1:24">
      <c r="A327">
        <f>HYPERLINK("https://www.philgeps.gov.ph/GEPSNONPILOT/Tender/SplashBidNoticeAbstractUI.aspx?menuIndex=3&amp;refID=7044443&amp;Result=3","7044443")</f>
        <v>0</v>
      </c>
      <c r="B327" t="s">
        <v>160</v>
      </c>
      <c r="C327" t="s">
        <v>2989</v>
      </c>
      <c r="D327" t="s">
        <v>13045</v>
      </c>
      <c r="E327" t="s">
        <v>13394</v>
      </c>
      <c r="F327" t="s">
        <v>22436</v>
      </c>
      <c r="G327" t="s">
        <v>22446</v>
      </c>
      <c r="H327" t="s">
        <v>22452</v>
      </c>
      <c r="I327" t="s">
        <v>22500</v>
      </c>
      <c r="J327" t="s">
        <v>22878</v>
      </c>
      <c r="K327" t="s">
        <v>29356</v>
      </c>
      <c r="M327" t="s">
        <v>29732</v>
      </c>
      <c r="N327" t="s">
        <v>32524</v>
      </c>
      <c r="O327" t="s">
        <v>32525</v>
      </c>
      <c r="P327">
        <v>0</v>
      </c>
      <c r="Q327">
        <v>0</v>
      </c>
      <c r="R327" t="s">
        <v>32526</v>
      </c>
      <c r="S327" t="s">
        <v>32547</v>
      </c>
      <c r="T327" t="s">
        <v>33220</v>
      </c>
      <c r="U327" t="s">
        <v>33923</v>
      </c>
      <c r="W327" t="s">
        <v>29732</v>
      </c>
      <c r="X327" t="s">
        <v>32527</v>
      </c>
    </row>
    <row r="328" spans="1:24">
      <c r="A328">
        <f>HYPERLINK("https://www.philgeps.gov.ph/GEPSNONPILOT/Tender/SplashBidNoticeAbstractUI.aspx?menuIndex=3&amp;refID=7044441&amp;Result=3","7044441")</f>
        <v>0</v>
      </c>
      <c r="B328" t="s">
        <v>161</v>
      </c>
      <c r="C328" t="s">
        <v>2990</v>
      </c>
      <c r="D328" t="s">
        <v>12988</v>
      </c>
      <c r="E328" t="s">
        <v>13395</v>
      </c>
      <c r="F328" t="s">
        <v>22436</v>
      </c>
      <c r="G328" t="s">
        <v>22444</v>
      </c>
      <c r="H328" t="s">
        <v>22452</v>
      </c>
      <c r="I328" t="s">
        <v>22461</v>
      </c>
      <c r="J328" t="s">
        <v>22879</v>
      </c>
      <c r="K328" t="s">
        <v>29361</v>
      </c>
      <c r="M328" t="s">
        <v>29733</v>
      </c>
      <c r="N328" t="s">
        <v>32524</v>
      </c>
      <c r="O328" t="s">
        <v>32525</v>
      </c>
      <c r="P328">
        <v>0</v>
      </c>
      <c r="Q328">
        <v>3</v>
      </c>
      <c r="R328" t="s">
        <v>32526</v>
      </c>
      <c r="S328" t="s">
        <v>32547</v>
      </c>
      <c r="T328" t="s">
        <v>33157</v>
      </c>
      <c r="U328" t="s">
        <v>33924</v>
      </c>
      <c r="W328" t="s">
        <v>29733</v>
      </c>
      <c r="X328" t="s">
        <v>32527</v>
      </c>
    </row>
    <row r="329" spans="1:24">
      <c r="A329">
        <f>HYPERLINK("https://www.philgeps.gov.ph/GEPSNONPILOT/Tender/SplashBidNoticeAbstractUI.aspx?menuIndex=3&amp;refID=7044434&amp;Result=3","7044434")</f>
        <v>0</v>
      </c>
      <c r="B329" t="s">
        <v>162</v>
      </c>
      <c r="C329" t="s">
        <v>2991</v>
      </c>
      <c r="D329" t="s">
        <v>13013</v>
      </c>
      <c r="E329" t="s">
        <v>13396</v>
      </c>
      <c r="F329" t="s">
        <v>22436</v>
      </c>
      <c r="G329" t="s">
        <v>22443</v>
      </c>
      <c r="H329" t="s">
        <v>22454</v>
      </c>
      <c r="I329" t="s">
        <v>7738</v>
      </c>
      <c r="J329" t="s">
        <v>22880</v>
      </c>
      <c r="K329" t="s">
        <v>29333</v>
      </c>
      <c r="M329" t="s">
        <v>29734</v>
      </c>
      <c r="N329" t="s">
        <v>32524</v>
      </c>
      <c r="O329" t="s">
        <v>32525</v>
      </c>
      <c r="P329">
        <v>0</v>
      </c>
      <c r="Q329">
        <v>0</v>
      </c>
      <c r="R329" t="s">
        <v>32526</v>
      </c>
      <c r="S329" t="s">
        <v>32547</v>
      </c>
      <c r="T329" t="s">
        <v>33197</v>
      </c>
      <c r="U329" t="s">
        <v>33925</v>
      </c>
      <c r="W329" t="s">
        <v>29734</v>
      </c>
      <c r="X329" t="s">
        <v>32527</v>
      </c>
    </row>
    <row r="330" spans="1:24">
      <c r="A330">
        <f>HYPERLINK("https://www.philgeps.gov.ph/GEPSNONPILOT/Tender/SplashBidNoticeAbstractUI.aspx?menuIndex=3&amp;refID=7044440&amp;Result=3","7044440")</f>
        <v>0</v>
      </c>
      <c r="B330" t="s">
        <v>163</v>
      </c>
      <c r="C330" t="s">
        <v>2992</v>
      </c>
      <c r="D330" t="s">
        <v>12994</v>
      </c>
      <c r="E330" t="s">
        <v>13397</v>
      </c>
      <c r="F330" t="s">
        <v>22436</v>
      </c>
      <c r="G330" t="s">
        <v>22443</v>
      </c>
      <c r="H330" t="s">
        <v>22452</v>
      </c>
      <c r="I330" t="s">
        <v>22463</v>
      </c>
      <c r="J330" t="s">
        <v>22881</v>
      </c>
      <c r="K330" t="s">
        <v>29335</v>
      </c>
      <c r="M330" t="s">
        <v>29735</v>
      </c>
      <c r="N330" t="s">
        <v>32524</v>
      </c>
      <c r="O330" t="s">
        <v>32525</v>
      </c>
      <c r="P330">
        <v>0</v>
      </c>
      <c r="Q330">
        <v>5</v>
      </c>
      <c r="R330" t="s">
        <v>32526</v>
      </c>
      <c r="S330" t="s">
        <v>32547</v>
      </c>
      <c r="T330" t="s">
        <v>33221</v>
      </c>
      <c r="U330" t="s">
        <v>33926</v>
      </c>
      <c r="W330" t="s">
        <v>43670</v>
      </c>
      <c r="X330" t="s">
        <v>32527</v>
      </c>
    </row>
    <row r="331" spans="1:24">
      <c r="A331">
        <f>HYPERLINK("https://www.philgeps.gov.ph/GEPSNONPILOT/Tender/SplashBidNoticeAbstractUI.aspx?menuIndex=3&amp;refID=7044442&amp;Result=3","7044442")</f>
        <v>0</v>
      </c>
      <c r="B331" t="s">
        <v>164</v>
      </c>
      <c r="C331" t="s">
        <v>2993</v>
      </c>
      <c r="D331" t="s">
        <v>13031</v>
      </c>
      <c r="E331" t="s">
        <v>13398</v>
      </c>
      <c r="F331" t="s">
        <v>22436</v>
      </c>
      <c r="G331" t="s">
        <v>22443</v>
      </c>
      <c r="H331" t="s">
        <v>22452</v>
      </c>
      <c r="I331" t="s">
        <v>2993</v>
      </c>
      <c r="J331" t="s">
        <v>22882</v>
      </c>
      <c r="K331" t="s">
        <v>29357</v>
      </c>
      <c r="M331" t="s">
        <v>29736</v>
      </c>
      <c r="N331" t="s">
        <v>32524</v>
      </c>
      <c r="O331" t="s">
        <v>32525</v>
      </c>
      <c r="P331">
        <v>0</v>
      </c>
      <c r="Q331">
        <v>0</v>
      </c>
      <c r="R331" t="s">
        <v>32526</v>
      </c>
      <c r="S331" t="s">
        <v>32547</v>
      </c>
      <c r="T331" t="s">
        <v>33154</v>
      </c>
      <c r="U331" t="s">
        <v>33927</v>
      </c>
      <c r="V331" t="s">
        <v>42463</v>
      </c>
      <c r="W331" t="s">
        <v>29736</v>
      </c>
      <c r="X331" t="s">
        <v>32527</v>
      </c>
    </row>
    <row r="332" spans="1:24">
      <c r="A332">
        <f>HYPERLINK("https://www.philgeps.gov.ph/GEPSNONPILOT/Tender/SplashBidNoticeAbstractUI.aspx?menuIndex=3&amp;refID=7044437&amp;Result=3","7044437")</f>
        <v>0</v>
      </c>
      <c r="B332" t="s">
        <v>151</v>
      </c>
      <c r="C332" t="s">
        <v>2994</v>
      </c>
      <c r="D332" t="s">
        <v>13039</v>
      </c>
      <c r="E332" t="s">
        <v>13381</v>
      </c>
      <c r="F332" t="s">
        <v>22436</v>
      </c>
      <c r="G332" t="s">
        <v>22443</v>
      </c>
      <c r="H332" t="s">
        <v>22452</v>
      </c>
      <c r="I332" t="s">
        <v>5194</v>
      </c>
      <c r="J332" t="s">
        <v>22883</v>
      </c>
      <c r="K332" t="s">
        <v>29356</v>
      </c>
      <c r="M332" t="s">
        <v>29723</v>
      </c>
      <c r="N332" t="s">
        <v>32524</v>
      </c>
      <c r="O332" t="s">
        <v>32525</v>
      </c>
      <c r="P332">
        <v>0</v>
      </c>
      <c r="Q332">
        <v>0</v>
      </c>
      <c r="R332" t="s">
        <v>32526</v>
      </c>
      <c r="S332" t="s">
        <v>32547</v>
      </c>
      <c r="T332" t="s">
        <v>33167</v>
      </c>
      <c r="U332" t="s">
        <v>33928</v>
      </c>
      <c r="W332" t="s">
        <v>29723</v>
      </c>
      <c r="X332" t="s">
        <v>32527</v>
      </c>
    </row>
    <row r="333" spans="1:24">
      <c r="A333">
        <f>HYPERLINK("https://www.philgeps.gov.ph/GEPSNONPILOT/Tender/SplashBidNoticeAbstractUI.aspx?menuIndex=3&amp;refID=7044456&amp;Result=3","7044456")</f>
        <v>0</v>
      </c>
      <c r="B333" t="s">
        <v>151</v>
      </c>
      <c r="C333" t="s">
        <v>2995</v>
      </c>
      <c r="D333" t="s">
        <v>13039</v>
      </c>
      <c r="E333" t="s">
        <v>13381</v>
      </c>
      <c r="F333" t="s">
        <v>22436</v>
      </c>
      <c r="G333" t="s">
        <v>22443</v>
      </c>
      <c r="H333" t="s">
        <v>22452</v>
      </c>
      <c r="I333" t="s">
        <v>3840</v>
      </c>
      <c r="J333" t="s">
        <v>22884</v>
      </c>
      <c r="K333" t="s">
        <v>29356</v>
      </c>
      <c r="M333" t="s">
        <v>29723</v>
      </c>
      <c r="N333" t="s">
        <v>32524</v>
      </c>
      <c r="O333" t="s">
        <v>32525</v>
      </c>
      <c r="P333">
        <v>0</v>
      </c>
      <c r="Q333">
        <v>0</v>
      </c>
      <c r="R333" t="s">
        <v>32526</v>
      </c>
      <c r="S333" t="s">
        <v>32547</v>
      </c>
      <c r="T333" t="s">
        <v>33167</v>
      </c>
      <c r="U333" t="s">
        <v>33929</v>
      </c>
      <c r="W333" t="s">
        <v>29723</v>
      </c>
      <c r="X333" t="s">
        <v>32527</v>
      </c>
    </row>
    <row r="334" spans="1:24">
      <c r="A334">
        <f>HYPERLINK("https://www.philgeps.gov.ph/GEPSNONPILOT/Tender/SplashBidNoticeAbstractUI.aspx?menuIndex=3&amp;refID=7044453&amp;Result=3","7044453")</f>
        <v>0</v>
      </c>
      <c r="B334" t="s">
        <v>165</v>
      </c>
      <c r="C334" t="s">
        <v>2996</v>
      </c>
      <c r="D334" t="s">
        <v>13030</v>
      </c>
      <c r="E334" t="s">
        <v>13399</v>
      </c>
      <c r="F334" t="s">
        <v>22436</v>
      </c>
      <c r="G334" t="s">
        <v>22446</v>
      </c>
      <c r="H334" t="s">
        <v>22452</v>
      </c>
      <c r="I334" t="s">
        <v>3122</v>
      </c>
      <c r="J334" t="s">
        <v>22885</v>
      </c>
      <c r="K334" t="s">
        <v>29335</v>
      </c>
      <c r="M334" t="s">
        <v>29737</v>
      </c>
      <c r="N334" t="s">
        <v>32524</v>
      </c>
      <c r="O334" t="s">
        <v>32525</v>
      </c>
      <c r="P334">
        <v>0</v>
      </c>
      <c r="Q334">
        <v>0</v>
      </c>
      <c r="R334" t="s">
        <v>32526</v>
      </c>
      <c r="S334" t="s">
        <v>32547</v>
      </c>
      <c r="T334" t="s">
        <v>33167</v>
      </c>
      <c r="U334" t="s">
        <v>33930</v>
      </c>
      <c r="W334" t="s">
        <v>29737</v>
      </c>
      <c r="X334" t="s">
        <v>32527</v>
      </c>
    </row>
    <row r="335" spans="1:24">
      <c r="A335">
        <f>HYPERLINK("https://www.philgeps.gov.ph/GEPSNONPILOT/Tender/SplashBidNoticeAbstractUI.aspx?menuIndex=3&amp;refID=7044458&amp;Result=3","7044458")</f>
        <v>0</v>
      </c>
      <c r="B335" t="s">
        <v>138</v>
      </c>
      <c r="C335" t="s">
        <v>2997</v>
      </c>
      <c r="D335" t="s">
        <v>13008</v>
      </c>
      <c r="E335" t="s">
        <v>13368</v>
      </c>
      <c r="F335" t="s">
        <v>22436</v>
      </c>
      <c r="G335" t="s">
        <v>22446</v>
      </c>
      <c r="H335" t="s">
        <v>22452</v>
      </c>
      <c r="I335" t="s">
        <v>3529</v>
      </c>
      <c r="J335" t="s">
        <v>22886</v>
      </c>
      <c r="K335" t="s">
        <v>29357</v>
      </c>
      <c r="M335" t="s">
        <v>29710</v>
      </c>
      <c r="N335" t="s">
        <v>32524</v>
      </c>
      <c r="O335" t="s">
        <v>32525</v>
      </c>
      <c r="P335">
        <v>0</v>
      </c>
      <c r="Q335">
        <v>0</v>
      </c>
      <c r="R335" t="s">
        <v>32526</v>
      </c>
      <c r="S335" t="s">
        <v>32547</v>
      </c>
      <c r="T335" t="s">
        <v>33203</v>
      </c>
      <c r="U335" t="s">
        <v>33931</v>
      </c>
      <c r="W335" t="s">
        <v>29710</v>
      </c>
      <c r="X335" t="s">
        <v>32527</v>
      </c>
    </row>
    <row r="336" spans="1:24">
      <c r="A336">
        <f>HYPERLINK("https://www.philgeps.gov.ph/GEPSNONPILOT/Tender/SplashBidNoticeAbstractUI.aspx?menuIndex=3&amp;refID=7044459&amp;Result=3","7044459")</f>
        <v>0</v>
      </c>
      <c r="B336" t="s">
        <v>116</v>
      </c>
      <c r="C336" t="s">
        <v>2998</v>
      </c>
      <c r="D336" t="s">
        <v>12994</v>
      </c>
      <c r="E336" t="s">
        <v>13400</v>
      </c>
      <c r="F336" t="s">
        <v>22436</v>
      </c>
      <c r="G336" t="s">
        <v>22444</v>
      </c>
      <c r="H336" t="s">
        <v>22452</v>
      </c>
      <c r="I336" t="s">
        <v>5194</v>
      </c>
      <c r="J336" t="s">
        <v>22887</v>
      </c>
      <c r="K336" t="s">
        <v>29329</v>
      </c>
      <c r="L336" t="s">
        <v>116</v>
      </c>
      <c r="M336" t="s">
        <v>29688</v>
      </c>
      <c r="N336" t="s">
        <v>32524</v>
      </c>
      <c r="O336" t="s">
        <v>32525</v>
      </c>
      <c r="P336">
        <v>0</v>
      </c>
      <c r="Q336">
        <v>1</v>
      </c>
      <c r="R336" t="s">
        <v>32526</v>
      </c>
      <c r="S336" t="s">
        <v>32547</v>
      </c>
      <c r="T336" t="s">
        <v>33181</v>
      </c>
      <c r="U336" t="s">
        <v>33932</v>
      </c>
      <c r="W336" t="s">
        <v>29688</v>
      </c>
      <c r="X336" t="s">
        <v>32527</v>
      </c>
    </row>
    <row r="337" spans="1:24">
      <c r="A337">
        <f>HYPERLINK("https://www.philgeps.gov.ph/GEPSNONPILOT/Tender/SplashBidNoticeAbstractUI.aspx?menuIndex=3&amp;refID=7044454&amp;Result=3","7044454")</f>
        <v>0</v>
      </c>
      <c r="B337" t="s">
        <v>166</v>
      </c>
      <c r="C337" t="s">
        <v>2999</v>
      </c>
      <c r="E337" t="s">
        <v>13401</v>
      </c>
      <c r="F337" t="s">
        <v>22436</v>
      </c>
      <c r="G337" t="s">
        <v>22443</v>
      </c>
      <c r="H337" t="s">
        <v>22452</v>
      </c>
      <c r="I337" t="s">
        <v>22466</v>
      </c>
      <c r="J337" t="s">
        <v>22874</v>
      </c>
      <c r="K337" t="s">
        <v>29338</v>
      </c>
      <c r="M337" t="s">
        <v>29738</v>
      </c>
      <c r="N337" t="s">
        <v>32524</v>
      </c>
      <c r="O337" t="s">
        <v>32525</v>
      </c>
      <c r="P337">
        <v>0</v>
      </c>
      <c r="Q337">
        <v>3</v>
      </c>
      <c r="R337" t="s">
        <v>32526</v>
      </c>
      <c r="S337" t="s">
        <v>32547</v>
      </c>
      <c r="T337" t="s">
        <v>33161</v>
      </c>
      <c r="U337" t="s">
        <v>33933</v>
      </c>
      <c r="W337" t="s">
        <v>29738</v>
      </c>
      <c r="X337" t="s">
        <v>32527</v>
      </c>
    </row>
    <row r="338" spans="1:24">
      <c r="A338">
        <f>HYPERLINK("https://www.philgeps.gov.ph/GEPSNONPILOT/Tender/SplashBidNoticeAbstractUI.aspx?menuIndex=3&amp;refID=7044449&amp;Result=3","7044449")</f>
        <v>0</v>
      </c>
      <c r="B338" t="s">
        <v>145</v>
      </c>
      <c r="C338" t="s">
        <v>3000</v>
      </c>
      <c r="D338" t="s">
        <v>13041</v>
      </c>
      <c r="E338" t="s">
        <v>13402</v>
      </c>
      <c r="F338" t="s">
        <v>22436</v>
      </c>
      <c r="G338" t="s">
        <v>22444</v>
      </c>
      <c r="H338" t="s">
        <v>22454</v>
      </c>
      <c r="I338" t="s">
        <v>7738</v>
      </c>
      <c r="J338" t="s">
        <v>22888</v>
      </c>
      <c r="K338" t="s">
        <v>29342</v>
      </c>
      <c r="M338" t="s">
        <v>29717</v>
      </c>
      <c r="N338" t="s">
        <v>32524</v>
      </c>
      <c r="O338" t="s">
        <v>32525</v>
      </c>
      <c r="P338">
        <v>0</v>
      </c>
      <c r="Q338">
        <v>0</v>
      </c>
      <c r="R338" t="s">
        <v>32526</v>
      </c>
      <c r="S338" t="s">
        <v>32547</v>
      </c>
      <c r="T338" t="s">
        <v>33222</v>
      </c>
      <c r="U338" t="s">
        <v>33934</v>
      </c>
      <c r="W338" t="s">
        <v>29717</v>
      </c>
      <c r="X338" t="s">
        <v>32527</v>
      </c>
    </row>
    <row r="339" spans="1:24">
      <c r="A339">
        <f>HYPERLINK("https://www.philgeps.gov.ph/GEPSNONPILOT/Tender/SplashBidNoticeAbstractUI.aspx?menuIndex=3&amp;refID=7044464&amp;Result=3","7044464")</f>
        <v>0</v>
      </c>
      <c r="B339" t="s">
        <v>124</v>
      </c>
      <c r="C339" t="s">
        <v>3001</v>
      </c>
      <c r="D339" t="s">
        <v>13031</v>
      </c>
      <c r="E339" t="s">
        <v>13403</v>
      </c>
      <c r="F339" t="s">
        <v>22436</v>
      </c>
      <c r="G339" t="s">
        <v>22443</v>
      </c>
      <c r="H339" t="s">
        <v>22452</v>
      </c>
      <c r="I339" t="s">
        <v>22465</v>
      </c>
      <c r="J339" t="s">
        <v>22889</v>
      </c>
      <c r="K339" t="s">
        <v>29338</v>
      </c>
      <c r="M339" t="s">
        <v>29696</v>
      </c>
      <c r="N339" t="s">
        <v>32524</v>
      </c>
      <c r="O339" t="s">
        <v>32525</v>
      </c>
      <c r="P339">
        <v>0</v>
      </c>
      <c r="Q339">
        <v>3</v>
      </c>
      <c r="R339" t="s">
        <v>32526</v>
      </c>
      <c r="S339" t="s">
        <v>32547</v>
      </c>
      <c r="T339" t="s">
        <v>33183</v>
      </c>
      <c r="U339" t="s">
        <v>33935</v>
      </c>
      <c r="W339" t="s">
        <v>29696</v>
      </c>
      <c r="X339" t="s">
        <v>32527</v>
      </c>
    </row>
    <row r="340" spans="1:24">
      <c r="A340">
        <f>HYPERLINK("https://www.philgeps.gov.ph/GEPSNONPILOT/Tender/SplashBidNoticeAbstractUI.aspx?menuIndex=3&amp;refID=7044457&amp;Result=3","7044457")</f>
        <v>0</v>
      </c>
      <c r="B340" t="s">
        <v>167</v>
      </c>
      <c r="C340" t="s">
        <v>3002</v>
      </c>
      <c r="D340" t="s">
        <v>13002</v>
      </c>
      <c r="E340" t="s">
        <v>13156</v>
      </c>
      <c r="F340" t="s">
        <v>22436</v>
      </c>
      <c r="G340" t="s">
        <v>22443</v>
      </c>
      <c r="H340" t="s">
        <v>22452</v>
      </c>
      <c r="I340" t="s">
        <v>22467</v>
      </c>
      <c r="J340" t="s">
        <v>22890</v>
      </c>
      <c r="K340" t="s">
        <v>29356</v>
      </c>
      <c r="L340" t="s">
        <v>167</v>
      </c>
      <c r="M340" t="s">
        <v>29739</v>
      </c>
      <c r="N340" t="s">
        <v>32524</v>
      </c>
      <c r="O340" t="s">
        <v>32525</v>
      </c>
      <c r="P340">
        <v>0</v>
      </c>
      <c r="Q340">
        <v>0</v>
      </c>
      <c r="R340" t="s">
        <v>32526</v>
      </c>
      <c r="S340" t="s">
        <v>32547</v>
      </c>
      <c r="T340" t="s">
        <v>33161</v>
      </c>
      <c r="U340" t="s">
        <v>33936</v>
      </c>
      <c r="W340" t="s">
        <v>29739</v>
      </c>
      <c r="X340" t="s">
        <v>32527</v>
      </c>
    </row>
    <row r="341" spans="1:24">
      <c r="A341">
        <f>HYPERLINK("https://www.philgeps.gov.ph/GEPSNONPILOT/Tender/SplashBidNoticeAbstractUI.aspx?menuIndex=3&amp;refID=7044452&amp;Result=3","7044452")</f>
        <v>0</v>
      </c>
      <c r="B341" t="s">
        <v>168</v>
      </c>
      <c r="C341" t="s">
        <v>3003</v>
      </c>
      <c r="D341" t="s">
        <v>13015</v>
      </c>
      <c r="E341" t="s">
        <v>13404</v>
      </c>
      <c r="F341" t="s">
        <v>22436</v>
      </c>
      <c r="G341" t="s">
        <v>22444</v>
      </c>
      <c r="H341" t="s">
        <v>22452</v>
      </c>
      <c r="I341" t="s">
        <v>22460</v>
      </c>
      <c r="J341" t="s">
        <v>22891</v>
      </c>
      <c r="K341" t="s">
        <v>29335</v>
      </c>
      <c r="M341" t="s">
        <v>29740</v>
      </c>
      <c r="N341" t="s">
        <v>32524</v>
      </c>
      <c r="O341" t="s">
        <v>32525</v>
      </c>
      <c r="P341">
        <v>0</v>
      </c>
      <c r="Q341">
        <v>1</v>
      </c>
      <c r="R341" t="s">
        <v>32526</v>
      </c>
      <c r="S341" t="s">
        <v>32547</v>
      </c>
      <c r="T341" t="s">
        <v>33168</v>
      </c>
      <c r="U341" t="s">
        <v>33937</v>
      </c>
      <c r="V341" t="s">
        <v>42464</v>
      </c>
      <c r="W341" t="s">
        <v>29740</v>
      </c>
      <c r="X341" t="s">
        <v>32527</v>
      </c>
    </row>
    <row r="342" spans="1:24">
      <c r="A342">
        <f>HYPERLINK("https://www.philgeps.gov.ph/GEPSNONPILOT/Tender/SplashBidNoticeAbstractUI.aspx?menuIndex=3&amp;refID=7044473&amp;Result=3","7044473")</f>
        <v>0</v>
      </c>
      <c r="B342" t="s">
        <v>169</v>
      </c>
      <c r="C342" t="s">
        <v>3004</v>
      </c>
      <c r="D342" t="s">
        <v>13044</v>
      </c>
      <c r="E342" t="s">
        <v>13405</v>
      </c>
      <c r="F342" t="s">
        <v>22436</v>
      </c>
      <c r="G342" t="s">
        <v>22443</v>
      </c>
      <c r="H342" t="s">
        <v>22452</v>
      </c>
      <c r="I342" t="s">
        <v>3027</v>
      </c>
      <c r="J342" t="s">
        <v>22892</v>
      </c>
      <c r="K342" t="s">
        <v>29356</v>
      </c>
      <c r="M342" t="s">
        <v>29741</v>
      </c>
      <c r="N342" t="s">
        <v>32524</v>
      </c>
      <c r="O342" t="s">
        <v>32525</v>
      </c>
      <c r="P342">
        <v>0</v>
      </c>
      <c r="Q342">
        <v>0</v>
      </c>
      <c r="R342" t="s">
        <v>32526</v>
      </c>
      <c r="S342" t="s">
        <v>32547</v>
      </c>
      <c r="T342" t="s">
        <v>33161</v>
      </c>
      <c r="U342" t="s">
        <v>33938</v>
      </c>
      <c r="V342" t="s">
        <v>42465</v>
      </c>
      <c r="W342" t="s">
        <v>29741</v>
      </c>
      <c r="X342" t="s">
        <v>32527</v>
      </c>
    </row>
    <row r="343" spans="1:24">
      <c r="A343">
        <f>HYPERLINK("https://www.philgeps.gov.ph/GEPSNONPILOT/Tender/SplashBidNoticeAbstractUI.aspx?menuIndex=3&amp;refID=7044450&amp;Result=3","7044450")</f>
        <v>0</v>
      </c>
      <c r="B343" t="s">
        <v>124</v>
      </c>
      <c r="C343" t="s">
        <v>3005</v>
      </c>
      <c r="D343" t="s">
        <v>13031</v>
      </c>
      <c r="E343" t="s">
        <v>3005</v>
      </c>
      <c r="F343" t="s">
        <v>22436</v>
      </c>
      <c r="G343" t="s">
        <v>22443</v>
      </c>
      <c r="H343" t="s">
        <v>22452</v>
      </c>
      <c r="I343" t="s">
        <v>3529</v>
      </c>
      <c r="J343" t="s">
        <v>22893</v>
      </c>
      <c r="K343" t="s">
        <v>29338</v>
      </c>
      <c r="M343" t="s">
        <v>29696</v>
      </c>
      <c r="N343" t="s">
        <v>32524</v>
      </c>
      <c r="O343" t="s">
        <v>32525</v>
      </c>
      <c r="P343">
        <v>0</v>
      </c>
      <c r="Q343">
        <v>3</v>
      </c>
      <c r="R343" t="s">
        <v>32526</v>
      </c>
      <c r="S343" t="s">
        <v>32547</v>
      </c>
      <c r="T343" t="s">
        <v>33183</v>
      </c>
      <c r="U343" t="s">
        <v>33939</v>
      </c>
      <c r="W343" t="s">
        <v>29696</v>
      </c>
      <c r="X343" t="s">
        <v>32527</v>
      </c>
    </row>
    <row r="344" spans="1:24">
      <c r="A344">
        <f>HYPERLINK("https://www.philgeps.gov.ph/GEPSNONPILOT/Tender/SplashBidNoticeAbstractUI.aspx?menuIndex=3&amp;refID=7044463&amp;Result=3","7044463")</f>
        <v>0</v>
      </c>
      <c r="B344" t="s">
        <v>170</v>
      </c>
      <c r="C344" t="s">
        <v>3006</v>
      </c>
      <c r="D344" t="s">
        <v>13044</v>
      </c>
      <c r="E344" t="s">
        <v>13406</v>
      </c>
      <c r="F344" t="s">
        <v>22436</v>
      </c>
      <c r="G344" t="s">
        <v>22446</v>
      </c>
      <c r="H344" t="s">
        <v>22452</v>
      </c>
      <c r="I344" t="s">
        <v>3827</v>
      </c>
      <c r="J344" t="s">
        <v>22894</v>
      </c>
      <c r="K344" t="s">
        <v>29335</v>
      </c>
      <c r="M344" t="s">
        <v>29742</v>
      </c>
      <c r="N344" t="s">
        <v>32524</v>
      </c>
      <c r="O344" t="s">
        <v>32525</v>
      </c>
      <c r="P344">
        <v>0</v>
      </c>
      <c r="Q344">
        <v>1</v>
      </c>
      <c r="R344" t="s">
        <v>32526</v>
      </c>
      <c r="S344" t="s">
        <v>32547</v>
      </c>
      <c r="T344" t="s">
        <v>33161</v>
      </c>
      <c r="U344" t="s">
        <v>33940</v>
      </c>
      <c r="W344" t="s">
        <v>29742</v>
      </c>
      <c r="X344" t="s">
        <v>32527</v>
      </c>
    </row>
    <row r="345" spans="1:24">
      <c r="A345">
        <f>HYPERLINK("https://www.philgeps.gov.ph/GEPSNONPILOT/Tender/SplashBidNoticeAbstractUI.aspx?menuIndex=3&amp;refID=7044461&amp;Result=3","7044461")</f>
        <v>0</v>
      </c>
      <c r="B345" t="s">
        <v>171</v>
      </c>
      <c r="C345" t="s">
        <v>3007</v>
      </c>
      <c r="D345" t="s">
        <v>13025</v>
      </c>
      <c r="E345" t="s">
        <v>13407</v>
      </c>
      <c r="F345" t="s">
        <v>22436</v>
      </c>
      <c r="G345" t="s">
        <v>22443</v>
      </c>
      <c r="H345" t="s">
        <v>22452</v>
      </c>
      <c r="I345" t="s">
        <v>22501</v>
      </c>
      <c r="J345" t="s">
        <v>22895</v>
      </c>
      <c r="K345" t="s">
        <v>29336</v>
      </c>
      <c r="M345" t="s">
        <v>29743</v>
      </c>
      <c r="N345" t="s">
        <v>32524</v>
      </c>
      <c r="O345" t="s">
        <v>32525</v>
      </c>
      <c r="P345">
        <v>0</v>
      </c>
      <c r="Q345">
        <v>0</v>
      </c>
      <c r="R345" t="s">
        <v>32526</v>
      </c>
      <c r="S345" t="s">
        <v>32547</v>
      </c>
      <c r="T345" t="s">
        <v>33178</v>
      </c>
      <c r="U345" t="s">
        <v>33941</v>
      </c>
      <c r="V345" t="s">
        <v>42466</v>
      </c>
      <c r="W345" t="s">
        <v>29743</v>
      </c>
      <c r="X345" t="s">
        <v>32527</v>
      </c>
    </row>
    <row r="346" spans="1:24">
      <c r="A346">
        <f>HYPERLINK("https://www.philgeps.gov.ph/GEPSNONPILOT/Tender/SplashBidNoticeAbstractUI.aspx?menuIndex=3&amp;refID=7044451&amp;Result=3","7044451")</f>
        <v>0</v>
      </c>
      <c r="B346" t="s">
        <v>128</v>
      </c>
      <c r="C346" t="s">
        <v>3008</v>
      </c>
      <c r="D346" t="s">
        <v>13025</v>
      </c>
      <c r="E346" t="s">
        <v>13408</v>
      </c>
      <c r="F346" t="s">
        <v>22436</v>
      </c>
      <c r="G346" t="s">
        <v>22443</v>
      </c>
      <c r="H346" t="s">
        <v>22452</v>
      </c>
      <c r="I346" t="s">
        <v>22467</v>
      </c>
      <c r="J346" t="s">
        <v>22896</v>
      </c>
      <c r="K346" t="s">
        <v>29336</v>
      </c>
      <c r="M346" t="s">
        <v>29700</v>
      </c>
      <c r="N346" t="s">
        <v>32524</v>
      </c>
      <c r="O346" t="s">
        <v>32525</v>
      </c>
      <c r="P346">
        <v>0</v>
      </c>
      <c r="Q346">
        <v>0</v>
      </c>
      <c r="R346" t="s">
        <v>32526</v>
      </c>
      <c r="S346" t="s">
        <v>32547</v>
      </c>
      <c r="T346" t="s">
        <v>33181</v>
      </c>
      <c r="U346" t="s">
        <v>33942</v>
      </c>
      <c r="W346" t="s">
        <v>29700</v>
      </c>
      <c r="X346" t="s">
        <v>32527</v>
      </c>
    </row>
    <row r="347" spans="1:24">
      <c r="A347">
        <f>HYPERLINK("https://www.philgeps.gov.ph/GEPSNONPILOT/Tender/SplashBidNoticeAbstractUI.aspx?menuIndex=3&amp;refID=7044472&amp;Result=3","7044472")</f>
        <v>0</v>
      </c>
      <c r="B347" t="s">
        <v>155</v>
      </c>
      <c r="C347" t="s">
        <v>3009</v>
      </c>
      <c r="D347" t="s">
        <v>12988</v>
      </c>
      <c r="E347" t="s">
        <v>13409</v>
      </c>
      <c r="F347" t="s">
        <v>22436</v>
      </c>
      <c r="G347" t="s">
        <v>22443</v>
      </c>
      <c r="H347" t="s">
        <v>22452</v>
      </c>
      <c r="I347" t="s">
        <v>22463</v>
      </c>
      <c r="J347" t="s">
        <v>22897</v>
      </c>
      <c r="K347" t="s">
        <v>29338</v>
      </c>
      <c r="M347" t="s">
        <v>29727</v>
      </c>
      <c r="N347" t="s">
        <v>32524</v>
      </c>
      <c r="O347" t="s">
        <v>32525</v>
      </c>
      <c r="P347">
        <v>0</v>
      </c>
      <c r="Q347">
        <v>0</v>
      </c>
      <c r="R347" t="s">
        <v>32526</v>
      </c>
      <c r="S347" t="s">
        <v>32547</v>
      </c>
      <c r="T347" t="s">
        <v>33210</v>
      </c>
      <c r="U347" t="s">
        <v>33943</v>
      </c>
      <c r="V347" t="s">
        <v>42462</v>
      </c>
      <c r="W347" t="s">
        <v>29727</v>
      </c>
      <c r="X347" t="s">
        <v>32527</v>
      </c>
    </row>
    <row r="348" spans="1:24">
      <c r="A348">
        <f>HYPERLINK("https://www.philgeps.gov.ph/GEPSNONPILOT/Tender/SplashBidNoticeAbstractUI.aspx?menuIndex=3&amp;refID=7044460&amp;Result=3","7044460")</f>
        <v>0</v>
      </c>
      <c r="B348" t="s">
        <v>172</v>
      </c>
      <c r="C348" t="s">
        <v>3010</v>
      </c>
      <c r="D348" t="s">
        <v>13045</v>
      </c>
      <c r="E348" t="s">
        <v>13410</v>
      </c>
      <c r="F348" t="s">
        <v>22436</v>
      </c>
      <c r="G348" t="s">
        <v>22443</v>
      </c>
      <c r="H348" t="s">
        <v>22452</v>
      </c>
      <c r="I348" t="s">
        <v>3529</v>
      </c>
      <c r="J348" t="s">
        <v>22640</v>
      </c>
      <c r="K348" t="s">
        <v>29341</v>
      </c>
      <c r="M348" t="s">
        <v>29744</v>
      </c>
      <c r="N348" t="s">
        <v>32524</v>
      </c>
      <c r="O348" t="s">
        <v>32525</v>
      </c>
      <c r="P348">
        <v>0</v>
      </c>
      <c r="Q348">
        <v>0</v>
      </c>
      <c r="R348" t="s">
        <v>32526</v>
      </c>
      <c r="S348" t="s">
        <v>32547</v>
      </c>
      <c r="T348" t="s">
        <v>33161</v>
      </c>
      <c r="U348" t="s">
        <v>33944</v>
      </c>
      <c r="V348" t="s">
        <v>42467</v>
      </c>
      <c r="W348" t="s">
        <v>29744</v>
      </c>
      <c r="X348" t="s">
        <v>32527</v>
      </c>
    </row>
    <row r="349" spans="1:24">
      <c r="A349">
        <f>HYPERLINK("https://www.philgeps.gov.ph/GEPSNONPILOT/Tender/SplashBidNoticeAbstractUI.aspx?menuIndex=3&amp;refID=7044471&amp;Result=3","7044471")</f>
        <v>0</v>
      </c>
      <c r="B349" t="s">
        <v>173</v>
      </c>
      <c r="C349" t="s">
        <v>3011</v>
      </c>
      <c r="D349" t="s">
        <v>13031</v>
      </c>
      <c r="E349" t="s">
        <v>13411</v>
      </c>
      <c r="F349" t="s">
        <v>22436</v>
      </c>
      <c r="G349" t="s">
        <v>22443</v>
      </c>
      <c r="H349" t="s">
        <v>22452</v>
      </c>
      <c r="I349" t="s">
        <v>22463</v>
      </c>
      <c r="J349" t="s">
        <v>22706</v>
      </c>
      <c r="K349" t="s">
        <v>29336</v>
      </c>
      <c r="M349" t="s">
        <v>29745</v>
      </c>
      <c r="N349" t="s">
        <v>32524</v>
      </c>
      <c r="O349" t="s">
        <v>32525</v>
      </c>
      <c r="P349">
        <v>0</v>
      </c>
      <c r="Q349">
        <v>1</v>
      </c>
      <c r="R349" t="s">
        <v>32526</v>
      </c>
      <c r="S349" t="s">
        <v>32547</v>
      </c>
      <c r="T349" t="s">
        <v>33223</v>
      </c>
      <c r="U349" t="s">
        <v>33945</v>
      </c>
      <c r="W349" t="s">
        <v>29745</v>
      </c>
      <c r="X349" t="s">
        <v>32527</v>
      </c>
    </row>
    <row r="350" spans="1:24">
      <c r="A350">
        <f>HYPERLINK("https://www.philgeps.gov.ph/GEPSNONPILOT/Tender/SplashBidNoticeAbstractUI.aspx?menuIndex=3&amp;refID=7044468&amp;Result=3","7044468")</f>
        <v>0</v>
      </c>
      <c r="B350" t="s">
        <v>174</v>
      </c>
      <c r="C350" t="s">
        <v>3012</v>
      </c>
      <c r="E350" t="s">
        <v>13412</v>
      </c>
      <c r="F350" t="s">
        <v>22436</v>
      </c>
      <c r="G350" t="s">
        <v>22444</v>
      </c>
      <c r="H350" t="s">
        <v>22452</v>
      </c>
      <c r="I350" t="s">
        <v>12358</v>
      </c>
      <c r="J350" t="s">
        <v>22898</v>
      </c>
      <c r="K350" t="s">
        <v>29338</v>
      </c>
      <c r="M350" t="s">
        <v>29746</v>
      </c>
      <c r="N350" t="s">
        <v>32524</v>
      </c>
      <c r="O350" t="s">
        <v>32525</v>
      </c>
      <c r="P350">
        <v>0</v>
      </c>
      <c r="Q350">
        <v>0</v>
      </c>
      <c r="R350" t="s">
        <v>32526</v>
      </c>
      <c r="S350" t="s">
        <v>32547</v>
      </c>
      <c r="T350" t="s">
        <v>33224</v>
      </c>
      <c r="U350" t="s">
        <v>33946</v>
      </c>
      <c r="W350" t="s">
        <v>29746</v>
      </c>
      <c r="X350" t="s">
        <v>32527</v>
      </c>
    </row>
    <row r="351" spans="1:24">
      <c r="A351">
        <f>HYPERLINK("https://www.philgeps.gov.ph/GEPSNONPILOT/Tender/SplashBidNoticeAbstractUI.aspx?menuIndex=3&amp;refID=7044470&amp;Result=3","7044470")</f>
        <v>0</v>
      </c>
      <c r="B351" t="s">
        <v>144</v>
      </c>
      <c r="C351" t="s">
        <v>3013</v>
      </c>
      <c r="D351" t="s">
        <v>12988</v>
      </c>
      <c r="E351" t="s">
        <v>13413</v>
      </c>
      <c r="F351" t="s">
        <v>22436</v>
      </c>
      <c r="G351" t="s">
        <v>22446</v>
      </c>
      <c r="H351" t="s">
        <v>22454</v>
      </c>
      <c r="I351" t="s">
        <v>3529</v>
      </c>
      <c r="J351" t="s">
        <v>22692</v>
      </c>
      <c r="K351" t="s">
        <v>29336</v>
      </c>
      <c r="M351" t="s">
        <v>29716</v>
      </c>
      <c r="N351" t="s">
        <v>32524</v>
      </c>
      <c r="O351" t="s">
        <v>32525</v>
      </c>
      <c r="P351">
        <v>0</v>
      </c>
      <c r="Q351">
        <v>0</v>
      </c>
      <c r="R351" t="s">
        <v>32526</v>
      </c>
      <c r="S351" t="s">
        <v>32547</v>
      </c>
      <c r="T351" t="s">
        <v>33173</v>
      </c>
      <c r="U351" t="s">
        <v>33947</v>
      </c>
      <c r="W351" t="s">
        <v>29716</v>
      </c>
      <c r="X351" t="s">
        <v>32527</v>
      </c>
    </row>
    <row r="352" spans="1:24">
      <c r="A352">
        <f>HYPERLINK("https://www.philgeps.gov.ph/GEPSNONPILOT/Tender/SplashBidNoticeAbstractUI.aspx?menuIndex=3&amp;refID=7044465&amp;Result=3","7044465")</f>
        <v>0</v>
      </c>
      <c r="B352" t="s">
        <v>175</v>
      </c>
      <c r="C352" t="s">
        <v>3014</v>
      </c>
      <c r="D352" t="s">
        <v>13006</v>
      </c>
      <c r="E352" t="s">
        <v>13414</v>
      </c>
      <c r="F352" t="s">
        <v>22436</v>
      </c>
      <c r="G352" t="s">
        <v>22443</v>
      </c>
      <c r="H352" t="s">
        <v>22452</v>
      </c>
      <c r="I352" t="s">
        <v>22460</v>
      </c>
      <c r="J352" t="s">
        <v>22899</v>
      </c>
      <c r="K352" t="s">
        <v>29329</v>
      </c>
      <c r="M352" t="s">
        <v>29747</v>
      </c>
      <c r="N352" t="s">
        <v>32524</v>
      </c>
      <c r="O352" t="s">
        <v>32525</v>
      </c>
      <c r="P352">
        <v>0</v>
      </c>
      <c r="Q352">
        <v>4</v>
      </c>
      <c r="R352" t="s">
        <v>32526</v>
      </c>
      <c r="S352" t="s">
        <v>32547</v>
      </c>
      <c r="T352" t="s">
        <v>33154</v>
      </c>
      <c r="U352" t="s">
        <v>33948</v>
      </c>
      <c r="W352" t="s">
        <v>29747</v>
      </c>
      <c r="X352" t="s">
        <v>32527</v>
      </c>
    </row>
    <row r="353" spans="1:24">
      <c r="A353">
        <f>HYPERLINK("https://www.philgeps.gov.ph/GEPSNONPILOT/Tender/SplashBidNoticeAbstractUI.aspx?menuIndex=3&amp;refID=7044479&amp;Result=3","7044479")</f>
        <v>0</v>
      </c>
      <c r="B353" t="s">
        <v>176</v>
      </c>
      <c r="C353" t="s">
        <v>3015</v>
      </c>
      <c r="D353" t="s">
        <v>13008</v>
      </c>
      <c r="E353" t="s">
        <v>13182</v>
      </c>
      <c r="F353" t="s">
        <v>22436</v>
      </c>
      <c r="G353" t="s">
        <v>22443</v>
      </c>
      <c r="H353" t="s">
        <v>22452</v>
      </c>
      <c r="I353" t="s">
        <v>3529</v>
      </c>
      <c r="J353" t="s">
        <v>22900</v>
      </c>
      <c r="K353" t="s">
        <v>29338</v>
      </c>
      <c r="M353" t="s">
        <v>29748</v>
      </c>
      <c r="N353" t="s">
        <v>32524</v>
      </c>
      <c r="O353" t="s">
        <v>32525</v>
      </c>
      <c r="P353">
        <v>0</v>
      </c>
      <c r="Q353">
        <v>0</v>
      </c>
      <c r="R353" t="s">
        <v>32526</v>
      </c>
      <c r="S353" t="s">
        <v>32547</v>
      </c>
      <c r="T353" t="s">
        <v>33169</v>
      </c>
      <c r="U353" t="s">
        <v>33949</v>
      </c>
      <c r="W353" t="s">
        <v>29748</v>
      </c>
      <c r="X353" t="s">
        <v>32527</v>
      </c>
    </row>
    <row r="354" spans="1:24">
      <c r="A354">
        <f>HYPERLINK("https://www.philgeps.gov.ph/GEPSNONPILOT/Tender/SplashBidNoticeAbstractUI.aspx?menuIndex=3&amp;refID=7044469&amp;Result=3","7044469")</f>
        <v>0</v>
      </c>
      <c r="B354" t="s">
        <v>177</v>
      </c>
      <c r="C354" t="s">
        <v>3016</v>
      </c>
      <c r="D354" t="s">
        <v>12988</v>
      </c>
      <c r="E354" t="s">
        <v>13415</v>
      </c>
      <c r="F354" t="s">
        <v>22436</v>
      </c>
      <c r="G354" t="s">
        <v>22443</v>
      </c>
      <c r="H354" t="s">
        <v>22452</v>
      </c>
      <c r="I354" t="s">
        <v>22483</v>
      </c>
      <c r="J354" t="s">
        <v>22901</v>
      </c>
      <c r="K354" t="s">
        <v>29338</v>
      </c>
      <c r="M354" t="s">
        <v>29749</v>
      </c>
      <c r="N354" t="s">
        <v>32524</v>
      </c>
      <c r="O354" t="s">
        <v>32525</v>
      </c>
      <c r="P354">
        <v>0</v>
      </c>
      <c r="Q354">
        <v>13</v>
      </c>
      <c r="R354" t="s">
        <v>32526</v>
      </c>
      <c r="S354" t="s">
        <v>32547</v>
      </c>
      <c r="T354" t="s">
        <v>33225</v>
      </c>
      <c r="U354" t="s">
        <v>33950</v>
      </c>
      <c r="W354" t="s">
        <v>29749</v>
      </c>
      <c r="X354" t="s">
        <v>32527</v>
      </c>
    </row>
    <row r="355" spans="1:24">
      <c r="A355">
        <f>HYPERLINK("https://www.philgeps.gov.ph/GEPSNONPILOT/Tender/SplashBidNoticeAbstractUI.aspx?menuIndex=3&amp;refID=7044481&amp;Result=3","7044481")</f>
        <v>0</v>
      </c>
      <c r="B355" t="s">
        <v>162</v>
      </c>
      <c r="C355" t="s">
        <v>3017</v>
      </c>
      <c r="D355" t="s">
        <v>13013</v>
      </c>
      <c r="E355" t="s">
        <v>13416</v>
      </c>
      <c r="F355" t="s">
        <v>22436</v>
      </c>
      <c r="G355" t="s">
        <v>22443</v>
      </c>
      <c r="H355" t="s">
        <v>22454</v>
      </c>
      <c r="I355" t="s">
        <v>7738</v>
      </c>
      <c r="J355" t="s">
        <v>22902</v>
      </c>
      <c r="K355" t="s">
        <v>29334</v>
      </c>
      <c r="M355" t="s">
        <v>29734</v>
      </c>
      <c r="N355" t="s">
        <v>32524</v>
      </c>
      <c r="O355" t="s">
        <v>32525</v>
      </c>
      <c r="P355">
        <v>0</v>
      </c>
      <c r="Q355">
        <v>0</v>
      </c>
      <c r="R355" t="s">
        <v>32526</v>
      </c>
      <c r="S355" t="s">
        <v>32547</v>
      </c>
      <c r="T355" t="s">
        <v>33197</v>
      </c>
      <c r="U355" t="s">
        <v>33951</v>
      </c>
      <c r="W355" t="s">
        <v>29734</v>
      </c>
      <c r="X355" t="s">
        <v>32527</v>
      </c>
    </row>
    <row r="356" spans="1:24">
      <c r="A356">
        <f>HYPERLINK("https://www.philgeps.gov.ph/GEPSNONPILOT/Tender/SplashBidNoticeAbstractUI.aspx?menuIndex=3&amp;refID=7044476&amp;Result=3","7044476")</f>
        <v>0</v>
      </c>
      <c r="B356" t="s">
        <v>167</v>
      </c>
      <c r="C356" t="s">
        <v>3002</v>
      </c>
      <c r="D356" t="s">
        <v>13002</v>
      </c>
      <c r="E356" t="s">
        <v>13417</v>
      </c>
      <c r="F356" t="s">
        <v>22436</v>
      </c>
      <c r="G356" t="s">
        <v>22443</v>
      </c>
      <c r="H356" t="s">
        <v>22452</v>
      </c>
      <c r="I356" t="s">
        <v>22467</v>
      </c>
      <c r="J356" t="s">
        <v>22890</v>
      </c>
      <c r="K356" t="s">
        <v>29356</v>
      </c>
      <c r="L356" t="s">
        <v>167</v>
      </c>
      <c r="M356" t="s">
        <v>29739</v>
      </c>
      <c r="N356" t="s">
        <v>32524</v>
      </c>
      <c r="O356" t="s">
        <v>32525</v>
      </c>
      <c r="P356">
        <v>0</v>
      </c>
      <c r="Q356">
        <v>0</v>
      </c>
      <c r="R356" t="s">
        <v>32526</v>
      </c>
      <c r="S356" t="s">
        <v>32547</v>
      </c>
      <c r="T356" t="s">
        <v>33161</v>
      </c>
      <c r="U356" t="s">
        <v>33952</v>
      </c>
      <c r="W356" t="s">
        <v>29739</v>
      </c>
      <c r="X356" t="s">
        <v>32527</v>
      </c>
    </row>
    <row r="357" spans="1:24">
      <c r="A357">
        <f>HYPERLINK("https://www.philgeps.gov.ph/GEPSNONPILOT/Tender/SplashBidNoticeAbstractUI.aspx?menuIndex=3&amp;refID=7044484&amp;Result=3","7044484")</f>
        <v>0</v>
      </c>
      <c r="B357" t="s">
        <v>116</v>
      </c>
      <c r="C357" t="s">
        <v>3018</v>
      </c>
      <c r="D357" t="s">
        <v>12994</v>
      </c>
      <c r="E357" t="s">
        <v>13418</v>
      </c>
      <c r="F357" t="s">
        <v>22436</v>
      </c>
      <c r="G357" t="s">
        <v>22444</v>
      </c>
      <c r="H357" t="s">
        <v>22452</v>
      </c>
      <c r="I357" t="s">
        <v>5194</v>
      </c>
      <c r="J357" t="s">
        <v>22903</v>
      </c>
      <c r="K357" t="s">
        <v>29329</v>
      </c>
      <c r="L357" t="s">
        <v>116</v>
      </c>
      <c r="M357" t="s">
        <v>29688</v>
      </c>
      <c r="N357" t="s">
        <v>32524</v>
      </c>
      <c r="O357" t="s">
        <v>32525</v>
      </c>
      <c r="P357">
        <v>0</v>
      </c>
      <c r="Q357">
        <v>0</v>
      </c>
      <c r="R357" t="s">
        <v>32526</v>
      </c>
      <c r="S357" t="s">
        <v>32547</v>
      </c>
      <c r="T357" t="s">
        <v>33181</v>
      </c>
      <c r="U357" t="s">
        <v>33953</v>
      </c>
      <c r="W357" t="s">
        <v>29688</v>
      </c>
      <c r="X357" t="s">
        <v>32527</v>
      </c>
    </row>
    <row r="358" spans="1:24">
      <c r="A358">
        <f>HYPERLINK("https://www.philgeps.gov.ph/GEPSNONPILOT/Tender/SplashBidNoticeAbstractUI.aspx?menuIndex=3&amp;refID=7044482&amp;Result=3","7044482")</f>
        <v>0</v>
      </c>
      <c r="B358" t="s">
        <v>128</v>
      </c>
      <c r="C358" t="s">
        <v>3008</v>
      </c>
      <c r="D358" t="s">
        <v>13025</v>
      </c>
      <c r="E358" t="s">
        <v>13419</v>
      </c>
      <c r="F358" t="s">
        <v>22436</v>
      </c>
      <c r="G358" t="s">
        <v>22443</v>
      </c>
      <c r="H358" t="s">
        <v>22452</v>
      </c>
      <c r="I358" t="s">
        <v>22467</v>
      </c>
      <c r="J358" t="s">
        <v>22896</v>
      </c>
      <c r="K358" t="s">
        <v>29336</v>
      </c>
      <c r="M358" t="s">
        <v>29700</v>
      </c>
      <c r="N358" t="s">
        <v>32524</v>
      </c>
      <c r="O358" t="s">
        <v>32525</v>
      </c>
      <c r="P358">
        <v>0</v>
      </c>
      <c r="Q358">
        <v>0</v>
      </c>
      <c r="R358" t="s">
        <v>32526</v>
      </c>
      <c r="S358" t="s">
        <v>32547</v>
      </c>
      <c r="T358" t="s">
        <v>33181</v>
      </c>
      <c r="U358" t="s">
        <v>33942</v>
      </c>
      <c r="W358" t="s">
        <v>29700</v>
      </c>
      <c r="X358" t="s">
        <v>32527</v>
      </c>
    </row>
    <row r="359" spans="1:24">
      <c r="A359">
        <f>HYPERLINK("https://www.philgeps.gov.ph/GEPSNONPILOT/Tender/SplashBidNoticeAbstractUI.aspx?menuIndex=3&amp;refID=7044474&amp;Result=3","7044474")</f>
        <v>0</v>
      </c>
      <c r="B359" t="s">
        <v>171</v>
      </c>
      <c r="C359" t="s">
        <v>3019</v>
      </c>
      <c r="D359" t="s">
        <v>13025</v>
      </c>
      <c r="E359" t="s">
        <v>13420</v>
      </c>
      <c r="F359" t="s">
        <v>22436</v>
      </c>
      <c r="G359" t="s">
        <v>22443</v>
      </c>
      <c r="H359" t="s">
        <v>22452</v>
      </c>
      <c r="I359" t="s">
        <v>22467</v>
      </c>
      <c r="J359" t="s">
        <v>22904</v>
      </c>
      <c r="K359" t="s">
        <v>29336</v>
      </c>
      <c r="M359" t="s">
        <v>29743</v>
      </c>
      <c r="N359" t="s">
        <v>32524</v>
      </c>
      <c r="O359" t="s">
        <v>32525</v>
      </c>
      <c r="P359">
        <v>0</v>
      </c>
      <c r="Q359">
        <v>0</v>
      </c>
      <c r="R359" t="s">
        <v>32526</v>
      </c>
      <c r="S359" t="s">
        <v>32547</v>
      </c>
      <c r="T359" t="s">
        <v>33178</v>
      </c>
      <c r="U359" t="s">
        <v>33954</v>
      </c>
      <c r="V359" t="s">
        <v>42466</v>
      </c>
      <c r="W359" t="s">
        <v>29743</v>
      </c>
      <c r="X359" t="s">
        <v>32527</v>
      </c>
    </row>
    <row r="360" spans="1:24">
      <c r="A360">
        <f>HYPERLINK("https://www.philgeps.gov.ph/GEPSNONPILOT/Tender/SplashBidNoticeAbstractUI.aspx?menuIndex=3&amp;refID=7044485&amp;Result=3","7044485")</f>
        <v>0</v>
      </c>
      <c r="B360" t="s">
        <v>178</v>
      </c>
      <c r="C360" t="s">
        <v>3020</v>
      </c>
      <c r="D360" t="s">
        <v>13046</v>
      </c>
      <c r="E360" t="s">
        <v>13421</v>
      </c>
      <c r="F360" t="s">
        <v>22436</v>
      </c>
      <c r="G360" t="s">
        <v>22443</v>
      </c>
      <c r="H360" t="s">
        <v>22452</v>
      </c>
      <c r="I360" t="s">
        <v>22502</v>
      </c>
      <c r="J360" t="s">
        <v>22905</v>
      </c>
      <c r="K360" t="s">
        <v>29341</v>
      </c>
      <c r="M360" t="s">
        <v>29750</v>
      </c>
      <c r="N360" t="s">
        <v>32524</v>
      </c>
      <c r="O360" t="s">
        <v>32525</v>
      </c>
      <c r="P360">
        <v>0</v>
      </c>
      <c r="Q360">
        <v>3</v>
      </c>
      <c r="R360" t="s">
        <v>32526</v>
      </c>
      <c r="S360" t="s">
        <v>32547</v>
      </c>
      <c r="T360" t="s">
        <v>33210</v>
      </c>
      <c r="U360" t="s">
        <v>33955</v>
      </c>
      <c r="V360" t="s">
        <v>42468</v>
      </c>
      <c r="W360" t="s">
        <v>29750</v>
      </c>
      <c r="X360" t="s">
        <v>32527</v>
      </c>
    </row>
    <row r="361" spans="1:24">
      <c r="A361">
        <f>HYPERLINK("https://www.philgeps.gov.ph/GEPSNONPILOT/Tender/SplashBidNoticeAbstractUI.aspx?menuIndex=3&amp;refID=7044480&amp;Result=3","7044480")</f>
        <v>0</v>
      </c>
      <c r="B361" t="s">
        <v>148</v>
      </c>
      <c r="C361" t="s">
        <v>3021</v>
      </c>
      <c r="D361" t="s">
        <v>13020</v>
      </c>
      <c r="E361" t="s">
        <v>13165</v>
      </c>
      <c r="F361" t="s">
        <v>22436</v>
      </c>
      <c r="G361" t="s">
        <v>22444</v>
      </c>
      <c r="H361" t="s">
        <v>22454</v>
      </c>
      <c r="I361" t="s">
        <v>3529</v>
      </c>
      <c r="J361" t="s">
        <v>22906</v>
      </c>
      <c r="K361" t="s">
        <v>29341</v>
      </c>
      <c r="M361" t="s">
        <v>29720</v>
      </c>
      <c r="N361" t="s">
        <v>32524</v>
      </c>
      <c r="O361" t="s">
        <v>32525</v>
      </c>
      <c r="P361">
        <v>0</v>
      </c>
      <c r="Q361">
        <v>2</v>
      </c>
      <c r="R361" t="s">
        <v>32526</v>
      </c>
      <c r="S361" t="s">
        <v>32547</v>
      </c>
      <c r="T361" t="s">
        <v>33218</v>
      </c>
      <c r="U361" t="s">
        <v>33956</v>
      </c>
      <c r="W361" t="s">
        <v>29720</v>
      </c>
      <c r="X361" t="s">
        <v>32527</v>
      </c>
    </row>
    <row r="362" spans="1:24">
      <c r="A362">
        <f>HYPERLINK("https://www.philgeps.gov.ph/GEPSNONPILOT/Tender/SplashBidNoticeAbstractUI.aspx?menuIndex=3&amp;refID=7044475&amp;Result=3","7044475")</f>
        <v>0</v>
      </c>
      <c r="B362" t="s">
        <v>168</v>
      </c>
      <c r="C362" t="s">
        <v>3022</v>
      </c>
      <c r="D362" t="s">
        <v>13015</v>
      </c>
      <c r="E362" t="s">
        <v>13422</v>
      </c>
      <c r="F362" t="s">
        <v>22436</v>
      </c>
      <c r="G362" t="s">
        <v>22444</v>
      </c>
      <c r="H362" t="s">
        <v>22452</v>
      </c>
      <c r="I362" t="s">
        <v>22476</v>
      </c>
      <c r="J362" t="s">
        <v>22878</v>
      </c>
      <c r="K362" t="s">
        <v>29335</v>
      </c>
      <c r="M362" t="s">
        <v>29740</v>
      </c>
      <c r="N362" t="s">
        <v>32524</v>
      </c>
      <c r="O362" t="s">
        <v>32525</v>
      </c>
      <c r="P362">
        <v>0</v>
      </c>
      <c r="Q362">
        <v>0</v>
      </c>
      <c r="R362" t="s">
        <v>32526</v>
      </c>
      <c r="S362" t="s">
        <v>32547</v>
      </c>
      <c r="T362" t="s">
        <v>33168</v>
      </c>
      <c r="U362" t="s">
        <v>33937</v>
      </c>
      <c r="V362" t="s">
        <v>42464</v>
      </c>
      <c r="W362" t="s">
        <v>29740</v>
      </c>
      <c r="X362" t="s">
        <v>32527</v>
      </c>
    </row>
    <row r="363" spans="1:24">
      <c r="A363">
        <f>HYPERLINK("https://www.philgeps.gov.ph/GEPSNONPILOT/Tender/SplashBidNoticeAbstractUI.aspx?menuIndex=3&amp;refID=7044500&amp;Result=3","7044500")</f>
        <v>0</v>
      </c>
      <c r="B363" t="s">
        <v>179</v>
      </c>
      <c r="C363" t="s">
        <v>3023</v>
      </c>
      <c r="D363" t="s">
        <v>12990</v>
      </c>
      <c r="E363" t="s">
        <v>13423</v>
      </c>
      <c r="F363" t="s">
        <v>22437</v>
      </c>
      <c r="G363" t="s">
        <v>22446</v>
      </c>
      <c r="H363" t="s">
        <v>22452</v>
      </c>
      <c r="I363" t="s">
        <v>3529</v>
      </c>
      <c r="J363" t="s">
        <v>22907</v>
      </c>
      <c r="K363" t="s">
        <v>29340</v>
      </c>
      <c r="M363" t="s">
        <v>29751</v>
      </c>
      <c r="N363" t="s">
        <v>32524</v>
      </c>
      <c r="O363" t="s">
        <v>32525</v>
      </c>
      <c r="P363">
        <v>0</v>
      </c>
      <c r="Q363">
        <v>0</v>
      </c>
      <c r="R363" t="s">
        <v>32526</v>
      </c>
      <c r="S363" t="s">
        <v>32547</v>
      </c>
      <c r="T363" t="s">
        <v>33226</v>
      </c>
      <c r="U363" t="s">
        <v>33957</v>
      </c>
      <c r="W363" t="s">
        <v>29751</v>
      </c>
      <c r="X363" t="s">
        <v>32527</v>
      </c>
    </row>
    <row r="364" spans="1:24">
      <c r="A364">
        <f>HYPERLINK("https://www.philgeps.gov.ph/GEPSNONPILOT/Tender/SplashBidNoticeAbstractUI.aspx?menuIndex=3&amp;refID=7044494&amp;Result=3","7044494")</f>
        <v>0</v>
      </c>
      <c r="B364" t="s">
        <v>180</v>
      </c>
      <c r="C364" t="s">
        <v>3024</v>
      </c>
      <c r="D364" t="s">
        <v>13026</v>
      </c>
      <c r="E364" t="s">
        <v>13424</v>
      </c>
      <c r="F364" t="s">
        <v>22436</v>
      </c>
      <c r="G364" t="s">
        <v>22443</v>
      </c>
      <c r="H364" t="s">
        <v>22452</v>
      </c>
      <c r="I364" t="s">
        <v>2962</v>
      </c>
      <c r="J364" t="s">
        <v>22908</v>
      </c>
      <c r="K364" t="s">
        <v>29331</v>
      </c>
      <c r="M364" t="s">
        <v>29752</v>
      </c>
      <c r="N364" t="s">
        <v>32524</v>
      </c>
      <c r="O364" t="s">
        <v>32525</v>
      </c>
      <c r="P364">
        <v>0</v>
      </c>
      <c r="Q364">
        <v>0</v>
      </c>
      <c r="R364" t="s">
        <v>32526</v>
      </c>
      <c r="S364" t="s">
        <v>32547</v>
      </c>
      <c r="T364" t="s">
        <v>33167</v>
      </c>
      <c r="U364" t="s">
        <v>33958</v>
      </c>
      <c r="W364" t="s">
        <v>29752</v>
      </c>
      <c r="X364" t="s">
        <v>32527</v>
      </c>
    </row>
    <row r="365" spans="1:24">
      <c r="A365">
        <f>HYPERLINK("https://www.philgeps.gov.ph/GEPSNONPILOT/Tender/SplashBidNoticeAbstractUI.aspx?menuIndex=3&amp;refID=7044491&amp;Result=3","7044491")</f>
        <v>0</v>
      </c>
      <c r="B365" t="s">
        <v>181</v>
      </c>
      <c r="C365" t="s">
        <v>3025</v>
      </c>
      <c r="D365" t="s">
        <v>13032</v>
      </c>
      <c r="E365" t="s">
        <v>13425</v>
      </c>
      <c r="F365" t="s">
        <v>22436</v>
      </c>
      <c r="G365" t="s">
        <v>22444</v>
      </c>
      <c r="H365" t="s">
        <v>22452</v>
      </c>
      <c r="I365" t="s">
        <v>3529</v>
      </c>
      <c r="J365" t="s">
        <v>22909</v>
      </c>
      <c r="K365" t="s">
        <v>29341</v>
      </c>
      <c r="M365" t="s">
        <v>29753</v>
      </c>
      <c r="N365" t="s">
        <v>32524</v>
      </c>
      <c r="O365" t="s">
        <v>32525</v>
      </c>
      <c r="P365">
        <v>0</v>
      </c>
      <c r="Q365">
        <v>0</v>
      </c>
      <c r="R365" t="s">
        <v>32526</v>
      </c>
      <c r="S365" t="s">
        <v>32547</v>
      </c>
      <c r="T365" t="s">
        <v>33227</v>
      </c>
      <c r="U365" t="s">
        <v>33959</v>
      </c>
      <c r="W365" t="s">
        <v>29753</v>
      </c>
      <c r="X365" t="s">
        <v>32527</v>
      </c>
    </row>
    <row r="366" spans="1:24">
      <c r="A366">
        <f>HYPERLINK("https://www.philgeps.gov.ph/GEPSNONPILOT/Tender/SplashBidNoticeAbstractUI.aspx?menuIndex=3&amp;refID=7044490&amp;Result=3","7044490")</f>
        <v>0</v>
      </c>
      <c r="B366" t="s">
        <v>125</v>
      </c>
      <c r="C366" t="s">
        <v>3026</v>
      </c>
      <c r="D366" t="s">
        <v>13035</v>
      </c>
      <c r="E366" t="s">
        <v>13426</v>
      </c>
      <c r="F366" t="s">
        <v>22436</v>
      </c>
      <c r="G366" t="s">
        <v>22443</v>
      </c>
      <c r="H366" t="s">
        <v>22452</v>
      </c>
      <c r="I366" t="s">
        <v>2981</v>
      </c>
      <c r="J366" t="s">
        <v>22910</v>
      </c>
      <c r="K366" t="s">
        <v>29338</v>
      </c>
      <c r="M366" t="s">
        <v>29697</v>
      </c>
      <c r="N366" t="s">
        <v>32524</v>
      </c>
      <c r="O366" t="s">
        <v>32525</v>
      </c>
      <c r="P366">
        <v>0</v>
      </c>
      <c r="Q366">
        <v>1</v>
      </c>
      <c r="R366" t="s">
        <v>32526</v>
      </c>
      <c r="S366" t="s">
        <v>32547</v>
      </c>
      <c r="T366" t="s">
        <v>33171</v>
      </c>
      <c r="U366" t="s">
        <v>33960</v>
      </c>
      <c r="W366" t="s">
        <v>29697</v>
      </c>
      <c r="X366" t="s">
        <v>32527</v>
      </c>
    </row>
    <row r="367" spans="1:24">
      <c r="A367">
        <f>HYPERLINK("https://www.philgeps.gov.ph/GEPSNONPILOT/Tender/SplashBidNoticeAbstractUI.aspx?menuIndex=3&amp;refID=7044496&amp;Result=3","7044496")</f>
        <v>0</v>
      </c>
      <c r="B367" t="s">
        <v>84</v>
      </c>
      <c r="C367" t="s">
        <v>3027</v>
      </c>
      <c r="D367" t="s">
        <v>12988</v>
      </c>
      <c r="E367" t="s">
        <v>13427</v>
      </c>
      <c r="F367" t="s">
        <v>22436</v>
      </c>
      <c r="G367" t="s">
        <v>22443</v>
      </c>
      <c r="H367" t="s">
        <v>22452</v>
      </c>
      <c r="I367" t="s">
        <v>3027</v>
      </c>
      <c r="J367" t="s">
        <v>22911</v>
      </c>
      <c r="K367" t="s">
        <v>29356</v>
      </c>
      <c r="M367" t="s">
        <v>29656</v>
      </c>
      <c r="N367" t="s">
        <v>32524</v>
      </c>
      <c r="O367" t="s">
        <v>32525</v>
      </c>
      <c r="P367">
        <v>0</v>
      </c>
      <c r="Q367">
        <v>0</v>
      </c>
      <c r="R367" t="s">
        <v>32526</v>
      </c>
      <c r="S367" t="s">
        <v>32547</v>
      </c>
      <c r="T367" t="s">
        <v>33183</v>
      </c>
      <c r="U367" t="s">
        <v>33961</v>
      </c>
      <c r="W367" t="s">
        <v>29656</v>
      </c>
      <c r="X367" t="s">
        <v>32527</v>
      </c>
    </row>
    <row r="368" spans="1:24">
      <c r="A368">
        <f>HYPERLINK("https://www.philgeps.gov.ph/GEPSNONPILOT/Tender/SplashBidNoticeAbstractUI.aspx?menuIndex=3&amp;refID=7044492&amp;Result=3","7044492")</f>
        <v>0</v>
      </c>
      <c r="B368" t="s">
        <v>182</v>
      </c>
      <c r="C368" t="s">
        <v>3028</v>
      </c>
      <c r="D368" t="s">
        <v>13047</v>
      </c>
      <c r="E368" t="s">
        <v>13428</v>
      </c>
      <c r="F368" t="s">
        <v>22436</v>
      </c>
      <c r="G368" t="s">
        <v>22443</v>
      </c>
      <c r="H368" t="s">
        <v>22452</v>
      </c>
      <c r="I368" t="s">
        <v>12358</v>
      </c>
      <c r="J368" t="s">
        <v>22912</v>
      </c>
      <c r="K368" t="s">
        <v>29341</v>
      </c>
      <c r="M368" t="s">
        <v>29754</v>
      </c>
      <c r="N368" t="s">
        <v>32524</v>
      </c>
      <c r="O368" t="s">
        <v>32525</v>
      </c>
      <c r="P368">
        <v>0</v>
      </c>
      <c r="Q368">
        <v>0</v>
      </c>
      <c r="R368" t="s">
        <v>32526</v>
      </c>
      <c r="S368" t="s">
        <v>32547</v>
      </c>
      <c r="T368" t="s">
        <v>33154</v>
      </c>
      <c r="U368" t="s">
        <v>33962</v>
      </c>
      <c r="W368" t="s">
        <v>29754</v>
      </c>
      <c r="X368" t="s">
        <v>32527</v>
      </c>
    </row>
    <row r="369" spans="1:24">
      <c r="A369">
        <f>HYPERLINK("https://www.philgeps.gov.ph/GEPSNONPILOT/Tender/SplashBidNoticeAbstractUI.aspx?menuIndex=3&amp;refID=7044488&amp;Result=3","7044488")</f>
        <v>0</v>
      </c>
      <c r="B369" t="s">
        <v>168</v>
      </c>
      <c r="C369" t="s">
        <v>3029</v>
      </c>
      <c r="D369" t="s">
        <v>13015</v>
      </c>
      <c r="E369" t="s">
        <v>13429</v>
      </c>
      <c r="F369" t="s">
        <v>22436</v>
      </c>
      <c r="G369" t="s">
        <v>22444</v>
      </c>
      <c r="H369" t="s">
        <v>22452</v>
      </c>
      <c r="I369" t="s">
        <v>22469</v>
      </c>
      <c r="J369" t="s">
        <v>22913</v>
      </c>
      <c r="K369" t="s">
        <v>29335</v>
      </c>
      <c r="M369" t="s">
        <v>29740</v>
      </c>
      <c r="N369" t="s">
        <v>32524</v>
      </c>
      <c r="O369" t="s">
        <v>32525</v>
      </c>
      <c r="P369">
        <v>0</v>
      </c>
      <c r="Q369">
        <v>1</v>
      </c>
      <c r="R369" t="s">
        <v>32526</v>
      </c>
      <c r="S369" t="s">
        <v>32547</v>
      </c>
      <c r="T369" t="s">
        <v>33168</v>
      </c>
      <c r="U369" t="s">
        <v>33937</v>
      </c>
      <c r="V369" t="s">
        <v>42464</v>
      </c>
      <c r="W369" t="s">
        <v>29740</v>
      </c>
      <c r="X369" t="s">
        <v>32527</v>
      </c>
    </row>
    <row r="370" spans="1:24">
      <c r="A370">
        <f>HYPERLINK("https://www.philgeps.gov.ph/GEPSNONPILOT/Tender/SplashBidNoticeAbstractUI.aspx?menuIndex=3&amp;refID=7044487&amp;Result=3","7044487")</f>
        <v>0</v>
      </c>
      <c r="B370" t="s">
        <v>140</v>
      </c>
      <c r="C370" t="s">
        <v>3030</v>
      </c>
      <c r="D370" t="s">
        <v>12988</v>
      </c>
      <c r="E370" t="s">
        <v>13430</v>
      </c>
      <c r="F370" t="s">
        <v>22436</v>
      </c>
      <c r="G370" t="s">
        <v>22443</v>
      </c>
      <c r="H370" t="s">
        <v>22452</v>
      </c>
      <c r="I370" t="s">
        <v>22463</v>
      </c>
      <c r="J370" t="s">
        <v>22640</v>
      </c>
      <c r="K370" t="s">
        <v>29338</v>
      </c>
      <c r="M370" t="s">
        <v>29712</v>
      </c>
      <c r="N370" t="s">
        <v>32524</v>
      </c>
      <c r="O370" t="s">
        <v>32525</v>
      </c>
      <c r="P370">
        <v>0</v>
      </c>
      <c r="Q370">
        <v>0</v>
      </c>
      <c r="R370" t="s">
        <v>32526</v>
      </c>
      <c r="S370" t="s">
        <v>32547</v>
      </c>
      <c r="T370" t="s">
        <v>33168</v>
      </c>
      <c r="U370" t="s">
        <v>33963</v>
      </c>
      <c r="W370" t="s">
        <v>29712</v>
      </c>
      <c r="X370" t="s">
        <v>32527</v>
      </c>
    </row>
    <row r="371" spans="1:24">
      <c r="A371">
        <f>HYPERLINK("https://www.philgeps.gov.ph/GEPSNONPILOT/Tender/SplashBidNoticeAbstractUI.aspx?menuIndex=3&amp;refID=7044493&amp;Result=3","7044493")</f>
        <v>0</v>
      </c>
      <c r="B371" t="s">
        <v>183</v>
      </c>
      <c r="C371" t="s">
        <v>3031</v>
      </c>
      <c r="D371" t="s">
        <v>12988</v>
      </c>
      <c r="E371" t="s">
        <v>13431</v>
      </c>
      <c r="F371" t="s">
        <v>22436</v>
      </c>
      <c r="G371" t="s">
        <v>22443</v>
      </c>
      <c r="H371" t="s">
        <v>22452</v>
      </c>
      <c r="I371" t="s">
        <v>22483</v>
      </c>
      <c r="J371" t="s">
        <v>22914</v>
      </c>
      <c r="K371" t="s">
        <v>29336</v>
      </c>
      <c r="M371" t="s">
        <v>29755</v>
      </c>
      <c r="N371" t="s">
        <v>32524</v>
      </c>
      <c r="O371" t="s">
        <v>32525</v>
      </c>
      <c r="P371">
        <v>0</v>
      </c>
      <c r="Q371">
        <v>5</v>
      </c>
      <c r="R371" t="s">
        <v>32526</v>
      </c>
      <c r="S371" t="s">
        <v>32547</v>
      </c>
      <c r="T371" t="s">
        <v>33215</v>
      </c>
      <c r="U371" t="s">
        <v>33964</v>
      </c>
      <c r="V371" t="s">
        <v>42469</v>
      </c>
      <c r="W371" t="s">
        <v>29755</v>
      </c>
      <c r="X371" t="s">
        <v>32527</v>
      </c>
    </row>
    <row r="372" spans="1:24">
      <c r="A372">
        <f>HYPERLINK("https://www.philgeps.gov.ph/GEPSNONPILOT/Tender/SplashBidNoticeAbstractUI.aspx?menuIndex=3&amp;refID=7044506&amp;Result=3","7044506")</f>
        <v>0</v>
      </c>
      <c r="B372" t="s">
        <v>140</v>
      </c>
      <c r="C372" t="s">
        <v>3032</v>
      </c>
      <c r="D372" t="s">
        <v>12988</v>
      </c>
      <c r="E372" t="s">
        <v>13432</v>
      </c>
      <c r="F372" t="s">
        <v>22436</v>
      </c>
      <c r="G372" t="s">
        <v>22443</v>
      </c>
      <c r="H372" t="s">
        <v>22452</v>
      </c>
      <c r="I372" t="s">
        <v>6421</v>
      </c>
      <c r="J372" t="s">
        <v>22654</v>
      </c>
      <c r="K372" t="s">
        <v>29338</v>
      </c>
      <c r="M372" t="s">
        <v>29712</v>
      </c>
      <c r="N372" t="s">
        <v>32524</v>
      </c>
      <c r="O372" t="s">
        <v>32525</v>
      </c>
      <c r="P372">
        <v>0</v>
      </c>
      <c r="Q372">
        <v>2</v>
      </c>
      <c r="R372" t="s">
        <v>32526</v>
      </c>
      <c r="S372" t="s">
        <v>32547</v>
      </c>
      <c r="T372" t="s">
        <v>33168</v>
      </c>
      <c r="U372" t="s">
        <v>33965</v>
      </c>
      <c r="W372" t="s">
        <v>29712</v>
      </c>
      <c r="X372" t="s">
        <v>32527</v>
      </c>
    </row>
    <row r="373" spans="1:24">
      <c r="A373">
        <f>HYPERLINK("https://www.philgeps.gov.ph/GEPSNONPILOT/Tender/SplashBidNoticeAbstractUI.aspx?menuIndex=3&amp;refID=7044489&amp;Result=3","7044489")</f>
        <v>0</v>
      </c>
      <c r="B373" t="s">
        <v>184</v>
      </c>
      <c r="C373" t="s">
        <v>3033</v>
      </c>
      <c r="D373" t="s">
        <v>13004</v>
      </c>
      <c r="E373" t="s">
        <v>13433</v>
      </c>
      <c r="F373" t="s">
        <v>22436</v>
      </c>
      <c r="G373" t="s">
        <v>22443</v>
      </c>
      <c r="H373" t="s">
        <v>22452</v>
      </c>
      <c r="I373" t="s">
        <v>2981</v>
      </c>
      <c r="J373" t="s">
        <v>22915</v>
      </c>
      <c r="K373" t="s">
        <v>29338</v>
      </c>
      <c r="M373" t="s">
        <v>29756</v>
      </c>
      <c r="N373" t="s">
        <v>32524</v>
      </c>
      <c r="O373" t="s">
        <v>32525</v>
      </c>
      <c r="P373">
        <v>0</v>
      </c>
      <c r="Q373">
        <v>0</v>
      </c>
      <c r="R373" t="s">
        <v>32526</v>
      </c>
      <c r="S373" t="s">
        <v>32547</v>
      </c>
      <c r="T373" t="s">
        <v>33206</v>
      </c>
      <c r="U373" t="s">
        <v>33966</v>
      </c>
      <c r="V373" t="s">
        <v>42462</v>
      </c>
      <c r="W373" t="s">
        <v>29756</v>
      </c>
      <c r="X373" t="s">
        <v>32527</v>
      </c>
    </row>
    <row r="374" spans="1:24">
      <c r="A374">
        <f>HYPERLINK("https://www.philgeps.gov.ph/GEPSNONPILOT/Tender/SplashBidNoticeAbstractUI.aspx?menuIndex=3&amp;refID=7044503&amp;Result=3","7044503")</f>
        <v>0</v>
      </c>
      <c r="B374" t="s">
        <v>169</v>
      </c>
      <c r="C374" t="s">
        <v>3034</v>
      </c>
      <c r="D374" t="s">
        <v>13044</v>
      </c>
      <c r="E374" t="s">
        <v>13434</v>
      </c>
      <c r="F374" t="s">
        <v>22436</v>
      </c>
      <c r="G374" t="s">
        <v>22444</v>
      </c>
      <c r="H374" t="s">
        <v>22454</v>
      </c>
      <c r="I374" t="s">
        <v>7738</v>
      </c>
      <c r="J374" t="s">
        <v>22916</v>
      </c>
      <c r="K374" t="s">
        <v>29362</v>
      </c>
      <c r="M374" t="s">
        <v>29741</v>
      </c>
      <c r="N374" t="s">
        <v>32524</v>
      </c>
      <c r="O374" t="s">
        <v>32525</v>
      </c>
      <c r="P374">
        <v>0</v>
      </c>
      <c r="Q374">
        <v>2</v>
      </c>
      <c r="R374" t="s">
        <v>32526</v>
      </c>
      <c r="S374" t="s">
        <v>32547</v>
      </c>
      <c r="T374" t="s">
        <v>33170</v>
      </c>
      <c r="U374" t="s">
        <v>33967</v>
      </c>
      <c r="V374" t="s">
        <v>42470</v>
      </c>
      <c r="W374" t="s">
        <v>29741</v>
      </c>
      <c r="X374" t="s">
        <v>32527</v>
      </c>
    </row>
    <row r="375" spans="1:24">
      <c r="A375">
        <f>HYPERLINK("https://www.philgeps.gov.ph/GEPSNONPILOT/Tender/SplashBidNoticeAbstractUI.aspx?menuIndex=3&amp;refID=7044502&amp;Result=3","7044502")</f>
        <v>0</v>
      </c>
      <c r="B375" t="s">
        <v>185</v>
      </c>
      <c r="C375" t="s">
        <v>3035</v>
      </c>
      <c r="D375" t="s">
        <v>13006</v>
      </c>
      <c r="E375" t="s">
        <v>13435</v>
      </c>
      <c r="F375" t="s">
        <v>22436</v>
      </c>
      <c r="G375" t="s">
        <v>22444</v>
      </c>
      <c r="H375" t="s">
        <v>22452</v>
      </c>
      <c r="I375" t="s">
        <v>22503</v>
      </c>
      <c r="J375" t="s">
        <v>22605</v>
      </c>
      <c r="K375" t="s">
        <v>29336</v>
      </c>
      <c r="M375" t="s">
        <v>29757</v>
      </c>
      <c r="N375" t="s">
        <v>32524</v>
      </c>
      <c r="O375" t="s">
        <v>32525</v>
      </c>
      <c r="P375">
        <v>0</v>
      </c>
      <c r="Q375">
        <v>1</v>
      </c>
      <c r="R375" t="s">
        <v>32526</v>
      </c>
      <c r="S375" t="s">
        <v>32547</v>
      </c>
      <c r="T375" t="s">
        <v>33153</v>
      </c>
      <c r="U375" t="s">
        <v>33968</v>
      </c>
      <c r="W375" t="s">
        <v>29757</v>
      </c>
      <c r="X375" t="s">
        <v>32527</v>
      </c>
    </row>
    <row r="376" spans="1:24">
      <c r="A376">
        <f>HYPERLINK("https://www.philgeps.gov.ph/GEPSNONPILOT/Tender/SplashBidNoticeAbstractUI.aspx?menuIndex=3&amp;refID=7044505&amp;Result=3","7044505")</f>
        <v>0</v>
      </c>
      <c r="B376" t="s">
        <v>186</v>
      </c>
      <c r="C376" t="s">
        <v>3036</v>
      </c>
      <c r="D376" t="s">
        <v>13034</v>
      </c>
      <c r="E376" t="s">
        <v>13436</v>
      </c>
      <c r="F376" t="s">
        <v>22436</v>
      </c>
      <c r="G376" t="s">
        <v>22443</v>
      </c>
      <c r="H376" t="s">
        <v>22452</v>
      </c>
      <c r="I376" t="s">
        <v>3529</v>
      </c>
      <c r="J376" t="s">
        <v>22917</v>
      </c>
      <c r="K376" t="s">
        <v>29356</v>
      </c>
      <c r="L376" t="s">
        <v>186</v>
      </c>
      <c r="M376" t="s">
        <v>29758</v>
      </c>
      <c r="N376" t="s">
        <v>32524</v>
      </c>
      <c r="O376" t="s">
        <v>32525</v>
      </c>
      <c r="P376">
        <v>0</v>
      </c>
      <c r="Q376">
        <v>0</v>
      </c>
      <c r="R376" t="s">
        <v>32526</v>
      </c>
      <c r="S376" t="s">
        <v>32547</v>
      </c>
      <c r="T376" t="s">
        <v>33161</v>
      </c>
      <c r="U376" t="s">
        <v>33969</v>
      </c>
      <c r="W376" t="s">
        <v>29758</v>
      </c>
      <c r="X376" t="s">
        <v>32527</v>
      </c>
    </row>
    <row r="377" spans="1:24">
      <c r="A377">
        <f>HYPERLINK("https://www.philgeps.gov.ph/GEPSNONPILOT/Tender/SplashBidNoticeAbstractUI.aspx?menuIndex=3&amp;refID=7044504&amp;Result=3","7044504")</f>
        <v>0</v>
      </c>
      <c r="B377" t="s">
        <v>187</v>
      </c>
      <c r="C377" t="s">
        <v>3037</v>
      </c>
      <c r="D377" t="s">
        <v>13010</v>
      </c>
      <c r="E377" t="s">
        <v>13437</v>
      </c>
      <c r="F377" t="s">
        <v>22436</v>
      </c>
      <c r="G377" t="s">
        <v>22443</v>
      </c>
      <c r="H377" t="s">
        <v>22452</v>
      </c>
      <c r="I377" t="s">
        <v>22456</v>
      </c>
      <c r="J377" t="s">
        <v>22605</v>
      </c>
      <c r="K377" t="s">
        <v>29341</v>
      </c>
      <c r="M377" t="s">
        <v>29759</v>
      </c>
      <c r="N377" t="s">
        <v>32524</v>
      </c>
      <c r="O377" t="s">
        <v>32525</v>
      </c>
      <c r="P377">
        <v>0</v>
      </c>
      <c r="Q377">
        <v>1</v>
      </c>
      <c r="R377" t="s">
        <v>32526</v>
      </c>
      <c r="S377" t="s">
        <v>32547</v>
      </c>
      <c r="T377" t="s">
        <v>33216</v>
      </c>
      <c r="U377" t="s">
        <v>33970</v>
      </c>
      <c r="V377" t="s">
        <v>42471</v>
      </c>
      <c r="W377" t="s">
        <v>29759</v>
      </c>
      <c r="X377" t="s">
        <v>32527</v>
      </c>
    </row>
    <row r="378" spans="1:24">
      <c r="A378">
        <f>HYPERLINK("https://www.philgeps.gov.ph/GEPSNONPILOT/Tender/SplashBidNoticeAbstractUI.aspx?menuIndex=3&amp;refID=7044507&amp;Result=3","7044507")</f>
        <v>0</v>
      </c>
      <c r="B378" t="s">
        <v>167</v>
      </c>
      <c r="C378" t="s">
        <v>2756</v>
      </c>
      <c r="D378" t="s">
        <v>13002</v>
      </c>
      <c r="E378" t="s">
        <v>13438</v>
      </c>
      <c r="F378" t="s">
        <v>22436</v>
      </c>
      <c r="G378" t="s">
        <v>22443</v>
      </c>
      <c r="H378" t="s">
        <v>22452</v>
      </c>
      <c r="I378" t="s">
        <v>22504</v>
      </c>
      <c r="J378" t="s">
        <v>22657</v>
      </c>
      <c r="K378" t="s">
        <v>29356</v>
      </c>
      <c r="L378" t="s">
        <v>167</v>
      </c>
      <c r="M378" t="s">
        <v>29739</v>
      </c>
      <c r="N378" t="s">
        <v>32524</v>
      </c>
      <c r="O378" t="s">
        <v>32525</v>
      </c>
      <c r="P378">
        <v>0</v>
      </c>
      <c r="Q378">
        <v>1</v>
      </c>
      <c r="R378" t="s">
        <v>32526</v>
      </c>
      <c r="S378" t="s">
        <v>32547</v>
      </c>
      <c r="T378" t="s">
        <v>33161</v>
      </c>
      <c r="U378" t="s">
        <v>33971</v>
      </c>
      <c r="W378" t="s">
        <v>29739</v>
      </c>
      <c r="X378" t="s">
        <v>32527</v>
      </c>
    </row>
    <row r="379" spans="1:24">
      <c r="A379">
        <f>HYPERLINK("https://www.philgeps.gov.ph/GEPSNONPILOT/Tender/SplashBidNoticeAbstractUI.aspx?menuIndex=3&amp;refID=7044495&amp;Result=3","7044495")</f>
        <v>0</v>
      </c>
      <c r="B379" t="s">
        <v>46</v>
      </c>
      <c r="C379" t="s">
        <v>3038</v>
      </c>
      <c r="D379" t="s">
        <v>13006</v>
      </c>
      <c r="E379" t="s">
        <v>13439</v>
      </c>
      <c r="F379" t="s">
        <v>22436</v>
      </c>
      <c r="G379" t="s">
        <v>22443</v>
      </c>
      <c r="H379" t="s">
        <v>22452</v>
      </c>
      <c r="I379" t="s">
        <v>12358</v>
      </c>
      <c r="J379" t="s">
        <v>22918</v>
      </c>
      <c r="K379" t="s">
        <v>29330</v>
      </c>
      <c r="M379" t="s">
        <v>29760</v>
      </c>
      <c r="N379" t="s">
        <v>32524</v>
      </c>
      <c r="O379" t="s">
        <v>32525</v>
      </c>
      <c r="P379">
        <v>0</v>
      </c>
      <c r="Q379">
        <v>0</v>
      </c>
      <c r="R379" t="s">
        <v>32526</v>
      </c>
      <c r="S379" t="s">
        <v>32547</v>
      </c>
      <c r="T379" t="s">
        <v>33161</v>
      </c>
      <c r="U379" t="s">
        <v>33972</v>
      </c>
      <c r="W379" t="s">
        <v>29760</v>
      </c>
      <c r="X379" t="s">
        <v>32527</v>
      </c>
    </row>
    <row r="380" spans="1:24">
      <c r="A380">
        <f>HYPERLINK("https://www.philgeps.gov.ph/GEPSNONPILOT/Tender/SplashBidNoticeAbstractUI.aspx?menuIndex=3&amp;refID=7044508&amp;Result=3","7044508")</f>
        <v>0</v>
      </c>
      <c r="B380" t="s">
        <v>188</v>
      </c>
      <c r="C380" t="s">
        <v>3039</v>
      </c>
      <c r="D380" t="s">
        <v>12998</v>
      </c>
      <c r="E380" t="s">
        <v>13440</v>
      </c>
      <c r="F380" t="s">
        <v>22436</v>
      </c>
      <c r="G380" t="s">
        <v>22443</v>
      </c>
      <c r="H380" t="s">
        <v>22452</v>
      </c>
      <c r="I380" t="s">
        <v>7738</v>
      </c>
      <c r="J380" t="s">
        <v>22919</v>
      </c>
      <c r="K380" t="s">
        <v>29335</v>
      </c>
      <c r="M380" t="s">
        <v>29761</v>
      </c>
      <c r="N380" t="s">
        <v>32524</v>
      </c>
      <c r="O380" t="s">
        <v>32525</v>
      </c>
      <c r="P380">
        <v>0</v>
      </c>
      <c r="Q380">
        <v>0</v>
      </c>
      <c r="R380" t="s">
        <v>32526</v>
      </c>
      <c r="S380" t="s">
        <v>32547</v>
      </c>
      <c r="T380" t="s">
        <v>33228</v>
      </c>
      <c r="U380" t="s">
        <v>33973</v>
      </c>
      <c r="V380" t="s">
        <v>42472</v>
      </c>
      <c r="W380" t="s">
        <v>29761</v>
      </c>
      <c r="X380" t="s">
        <v>32527</v>
      </c>
    </row>
    <row r="381" spans="1:24">
      <c r="A381">
        <f>HYPERLINK("https://www.philgeps.gov.ph/GEPSNONPILOT/Tender/SplashBidNoticeAbstractUI.aspx?menuIndex=3&amp;refID=7044501&amp;Result=3","7044501")</f>
        <v>0</v>
      </c>
      <c r="B381" t="s">
        <v>145</v>
      </c>
      <c r="C381" t="s">
        <v>3040</v>
      </c>
      <c r="D381" t="s">
        <v>13041</v>
      </c>
      <c r="E381" t="s">
        <v>13441</v>
      </c>
      <c r="F381" t="s">
        <v>22436</v>
      </c>
      <c r="G381" t="s">
        <v>22444</v>
      </c>
      <c r="H381" t="s">
        <v>22452</v>
      </c>
      <c r="I381" t="s">
        <v>7738</v>
      </c>
      <c r="J381" t="s">
        <v>22920</v>
      </c>
      <c r="K381" t="s">
        <v>29363</v>
      </c>
      <c r="M381" t="s">
        <v>29717</v>
      </c>
      <c r="N381" t="s">
        <v>32524</v>
      </c>
      <c r="O381" t="s">
        <v>32525</v>
      </c>
      <c r="P381">
        <v>0</v>
      </c>
      <c r="Q381">
        <v>0</v>
      </c>
      <c r="R381" t="s">
        <v>32526</v>
      </c>
      <c r="S381" t="s">
        <v>32547</v>
      </c>
      <c r="T381" t="s">
        <v>33172</v>
      </c>
      <c r="U381" t="s">
        <v>33974</v>
      </c>
      <c r="W381" t="s">
        <v>29717</v>
      </c>
      <c r="X381" t="s">
        <v>32527</v>
      </c>
    </row>
    <row r="382" spans="1:24">
      <c r="A382">
        <f>HYPERLINK("https://www.philgeps.gov.ph/GEPSNONPILOT/Tender/SplashBidNoticeAbstractUI.aspx?menuIndex=3&amp;refID=7044498&amp;Result=3","7044498")</f>
        <v>0</v>
      </c>
      <c r="B382" t="s">
        <v>189</v>
      </c>
      <c r="C382" t="s">
        <v>3041</v>
      </c>
      <c r="E382" t="s">
        <v>13442</v>
      </c>
      <c r="F382" t="s">
        <v>22436</v>
      </c>
      <c r="G382" t="s">
        <v>22444</v>
      </c>
      <c r="H382" t="s">
        <v>22454</v>
      </c>
      <c r="I382" t="s">
        <v>7738</v>
      </c>
      <c r="J382" t="s">
        <v>22921</v>
      </c>
      <c r="K382" t="s">
        <v>29344</v>
      </c>
      <c r="M382" t="s">
        <v>29762</v>
      </c>
      <c r="N382" t="s">
        <v>32524</v>
      </c>
      <c r="O382" t="s">
        <v>32525</v>
      </c>
      <c r="P382">
        <v>0</v>
      </c>
      <c r="Q382">
        <v>0</v>
      </c>
      <c r="R382" t="s">
        <v>32526</v>
      </c>
      <c r="S382" t="s">
        <v>32547</v>
      </c>
      <c r="T382" t="s">
        <v>33165</v>
      </c>
      <c r="U382" t="s">
        <v>33975</v>
      </c>
      <c r="W382" t="s">
        <v>29762</v>
      </c>
      <c r="X382" t="s">
        <v>32527</v>
      </c>
    </row>
    <row r="383" spans="1:24">
      <c r="A383">
        <f>HYPERLINK("https://www.philgeps.gov.ph/GEPSNONPILOT/Tender/SplashBidNoticeAbstractUI.aspx?menuIndex=3&amp;refID=7044519&amp;Result=3","7044519")</f>
        <v>0</v>
      </c>
      <c r="B383" t="s">
        <v>114</v>
      </c>
      <c r="C383" t="s">
        <v>3042</v>
      </c>
      <c r="D383" t="s">
        <v>12999</v>
      </c>
      <c r="E383" t="s">
        <v>13443</v>
      </c>
      <c r="F383" t="s">
        <v>22436</v>
      </c>
      <c r="G383" t="s">
        <v>22443</v>
      </c>
      <c r="H383" t="s">
        <v>22452</v>
      </c>
      <c r="I383" t="s">
        <v>22477</v>
      </c>
      <c r="J383" t="s">
        <v>22922</v>
      </c>
      <c r="K383" t="s">
        <v>29338</v>
      </c>
      <c r="M383" t="s">
        <v>29686</v>
      </c>
      <c r="N383" t="s">
        <v>32524</v>
      </c>
      <c r="O383" t="s">
        <v>32525</v>
      </c>
      <c r="P383">
        <v>0</v>
      </c>
      <c r="Q383">
        <v>0</v>
      </c>
      <c r="R383" t="s">
        <v>32526</v>
      </c>
      <c r="S383" t="s">
        <v>32547</v>
      </c>
      <c r="T383" t="s">
        <v>33169</v>
      </c>
      <c r="U383" t="s">
        <v>33892</v>
      </c>
      <c r="W383" t="s">
        <v>29686</v>
      </c>
      <c r="X383" t="s">
        <v>32527</v>
      </c>
    </row>
    <row r="384" spans="1:24">
      <c r="A384">
        <f>HYPERLINK("https://www.philgeps.gov.ph/GEPSNONPILOT/Tender/SplashBidNoticeAbstractUI.aspx?menuIndex=3&amp;refID=7044518&amp;Result=3","7044518")</f>
        <v>0</v>
      </c>
      <c r="B384" t="s">
        <v>124</v>
      </c>
      <c r="C384" t="s">
        <v>3043</v>
      </c>
      <c r="D384" t="s">
        <v>13031</v>
      </c>
      <c r="E384" t="s">
        <v>13444</v>
      </c>
      <c r="F384" t="s">
        <v>22436</v>
      </c>
      <c r="G384" t="s">
        <v>22443</v>
      </c>
      <c r="H384" t="s">
        <v>22452</v>
      </c>
      <c r="I384" t="s">
        <v>22468</v>
      </c>
      <c r="J384" t="s">
        <v>22923</v>
      </c>
      <c r="K384" t="s">
        <v>29338</v>
      </c>
      <c r="M384" t="s">
        <v>29696</v>
      </c>
      <c r="N384" t="s">
        <v>32524</v>
      </c>
      <c r="O384" t="s">
        <v>32525</v>
      </c>
      <c r="P384">
        <v>0</v>
      </c>
      <c r="Q384">
        <v>6</v>
      </c>
      <c r="R384" t="s">
        <v>32526</v>
      </c>
      <c r="S384" t="s">
        <v>32547</v>
      </c>
      <c r="T384" t="s">
        <v>33183</v>
      </c>
      <c r="U384" t="s">
        <v>33976</v>
      </c>
      <c r="W384" t="s">
        <v>29696</v>
      </c>
      <c r="X384" t="s">
        <v>32527</v>
      </c>
    </row>
    <row r="385" spans="1:24">
      <c r="A385">
        <f>HYPERLINK("https://www.philgeps.gov.ph/GEPSNONPILOT/Tender/SplashBidNoticeAbstractUI.aspx?menuIndex=3&amp;refID=7044497&amp;Result=3","7044497")</f>
        <v>0</v>
      </c>
      <c r="B385" t="s">
        <v>124</v>
      </c>
      <c r="C385" t="s">
        <v>3044</v>
      </c>
      <c r="D385" t="s">
        <v>13031</v>
      </c>
      <c r="E385" t="s">
        <v>13445</v>
      </c>
      <c r="F385" t="s">
        <v>22436</v>
      </c>
      <c r="G385" t="s">
        <v>22443</v>
      </c>
      <c r="H385" t="s">
        <v>22452</v>
      </c>
      <c r="I385" t="s">
        <v>5194</v>
      </c>
      <c r="J385" t="s">
        <v>22924</v>
      </c>
      <c r="K385" t="s">
        <v>29338</v>
      </c>
      <c r="M385" t="s">
        <v>29696</v>
      </c>
      <c r="N385" t="s">
        <v>32524</v>
      </c>
      <c r="O385" t="s">
        <v>32525</v>
      </c>
      <c r="P385">
        <v>0</v>
      </c>
      <c r="Q385">
        <v>4</v>
      </c>
      <c r="R385" t="s">
        <v>32526</v>
      </c>
      <c r="S385" t="s">
        <v>32547</v>
      </c>
      <c r="T385" t="s">
        <v>33183</v>
      </c>
      <c r="U385" t="s">
        <v>33977</v>
      </c>
      <c r="W385" t="s">
        <v>29696</v>
      </c>
      <c r="X385" t="s">
        <v>32527</v>
      </c>
    </row>
    <row r="386" spans="1:24">
      <c r="A386">
        <f>HYPERLINK("https://www.philgeps.gov.ph/GEPSNONPILOT/Tender/SplashBidNoticeAbstractUI.aspx?menuIndex=3&amp;refID=7044512&amp;Result=3","7044512")</f>
        <v>0</v>
      </c>
      <c r="B386" t="s">
        <v>190</v>
      </c>
      <c r="C386" t="s">
        <v>3045</v>
      </c>
      <c r="D386" t="s">
        <v>13002</v>
      </c>
      <c r="E386" t="s">
        <v>13446</v>
      </c>
      <c r="F386" t="s">
        <v>22436</v>
      </c>
      <c r="G386" t="s">
        <v>22446</v>
      </c>
      <c r="H386" t="s">
        <v>22452</v>
      </c>
      <c r="I386" t="s">
        <v>3529</v>
      </c>
      <c r="J386" t="s">
        <v>22925</v>
      </c>
      <c r="K386" t="s">
        <v>29338</v>
      </c>
      <c r="M386" t="s">
        <v>29763</v>
      </c>
      <c r="N386" t="s">
        <v>32524</v>
      </c>
      <c r="O386" t="s">
        <v>32525</v>
      </c>
      <c r="P386">
        <v>0</v>
      </c>
      <c r="Q386">
        <v>0</v>
      </c>
      <c r="R386" t="s">
        <v>32526</v>
      </c>
      <c r="S386" t="s">
        <v>32547</v>
      </c>
      <c r="T386" t="s">
        <v>33229</v>
      </c>
      <c r="U386" t="s">
        <v>33978</v>
      </c>
      <c r="W386" t="s">
        <v>29763</v>
      </c>
      <c r="X386" t="s">
        <v>32527</v>
      </c>
    </row>
    <row r="387" spans="1:24">
      <c r="A387">
        <f>HYPERLINK("https://www.philgeps.gov.ph/GEPSNONPILOT/Tender/SplashBidNoticeAbstractUI.aspx?menuIndex=3&amp;refID=7044517&amp;Result=3","7044517")</f>
        <v>0</v>
      </c>
      <c r="B387" t="s">
        <v>181</v>
      </c>
      <c r="C387" t="s">
        <v>3046</v>
      </c>
      <c r="D387" t="s">
        <v>13032</v>
      </c>
      <c r="E387" t="s">
        <v>13447</v>
      </c>
      <c r="F387" t="s">
        <v>22436</v>
      </c>
      <c r="G387" t="s">
        <v>22444</v>
      </c>
      <c r="H387" t="s">
        <v>22452</v>
      </c>
      <c r="I387" t="s">
        <v>3529</v>
      </c>
      <c r="J387" t="s">
        <v>22926</v>
      </c>
      <c r="K387" t="s">
        <v>29341</v>
      </c>
      <c r="M387" t="s">
        <v>29753</v>
      </c>
      <c r="N387" t="s">
        <v>32524</v>
      </c>
      <c r="O387" t="s">
        <v>32525</v>
      </c>
      <c r="P387">
        <v>0</v>
      </c>
      <c r="Q387">
        <v>0</v>
      </c>
      <c r="R387" t="s">
        <v>32526</v>
      </c>
      <c r="S387" t="s">
        <v>32547</v>
      </c>
      <c r="T387" t="s">
        <v>33227</v>
      </c>
      <c r="U387" t="s">
        <v>33979</v>
      </c>
      <c r="W387" t="s">
        <v>29753</v>
      </c>
      <c r="X387" t="s">
        <v>32527</v>
      </c>
    </row>
    <row r="388" spans="1:24">
      <c r="A388">
        <f>HYPERLINK("https://www.philgeps.gov.ph/GEPSNONPILOT/Tender/SplashBidNoticeAbstractUI.aspx?menuIndex=3&amp;refID=7044515&amp;Result=3","7044515")</f>
        <v>0</v>
      </c>
      <c r="B388" t="s">
        <v>191</v>
      </c>
      <c r="C388" t="s">
        <v>3047</v>
      </c>
      <c r="D388" t="s">
        <v>13019</v>
      </c>
      <c r="E388" t="s">
        <v>13448</v>
      </c>
      <c r="F388" t="s">
        <v>22436</v>
      </c>
      <c r="G388" t="s">
        <v>22448</v>
      </c>
      <c r="H388" t="s">
        <v>22453</v>
      </c>
      <c r="I388" t="s">
        <v>7738</v>
      </c>
      <c r="J388" t="s">
        <v>22927</v>
      </c>
      <c r="K388" t="s">
        <v>29331</v>
      </c>
      <c r="M388" t="s">
        <v>29764</v>
      </c>
      <c r="N388" t="s">
        <v>32524</v>
      </c>
      <c r="O388" t="s">
        <v>32525</v>
      </c>
      <c r="P388">
        <v>0</v>
      </c>
      <c r="Q388">
        <v>0</v>
      </c>
      <c r="R388" t="s">
        <v>32526</v>
      </c>
      <c r="S388" t="s">
        <v>32547</v>
      </c>
      <c r="T388" t="s">
        <v>33197</v>
      </c>
      <c r="U388" t="s">
        <v>33980</v>
      </c>
      <c r="W388" t="s">
        <v>29764</v>
      </c>
      <c r="X388" t="s">
        <v>32527</v>
      </c>
    </row>
    <row r="389" spans="1:24">
      <c r="A389">
        <f>HYPERLINK("https://www.philgeps.gov.ph/GEPSNONPILOT/Tender/SplashBidNoticeAbstractUI.aspx?menuIndex=3&amp;refID=7044509&amp;Result=3","7044509")</f>
        <v>0</v>
      </c>
      <c r="B389" t="s">
        <v>168</v>
      </c>
      <c r="C389" t="s">
        <v>3048</v>
      </c>
      <c r="D389" t="s">
        <v>13015</v>
      </c>
      <c r="E389" t="s">
        <v>13449</v>
      </c>
      <c r="F389" t="s">
        <v>22436</v>
      </c>
      <c r="G389" t="s">
        <v>22444</v>
      </c>
      <c r="H389" t="s">
        <v>22452</v>
      </c>
      <c r="I389" t="s">
        <v>12358</v>
      </c>
      <c r="J389" t="s">
        <v>22928</v>
      </c>
      <c r="K389" t="s">
        <v>29335</v>
      </c>
      <c r="M389" t="s">
        <v>29740</v>
      </c>
      <c r="N389" t="s">
        <v>32524</v>
      </c>
      <c r="O389" t="s">
        <v>32525</v>
      </c>
      <c r="P389">
        <v>0</v>
      </c>
      <c r="Q389">
        <v>0</v>
      </c>
      <c r="R389" t="s">
        <v>32526</v>
      </c>
      <c r="S389" t="s">
        <v>32547</v>
      </c>
      <c r="T389" t="s">
        <v>33168</v>
      </c>
      <c r="U389" t="s">
        <v>33937</v>
      </c>
      <c r="V389" t="s">
        <v>42464</v>
      </c>
      <c r="W389" t="s">
        <v>29740</v>
      </c>
      <c r="X389" t="s">
        <v>32527</v>
      </c>
    </row>
    <row r="390" spans="1:24">
      <c r="A390">
        <f>HYPERLINK("https://www.philgeps.gov.ph/GEPSNONPILOT/Tender/SplashBidNoticeAbstractUI.aspx?menuIndex=3&amp;refID=7044522&amp;Result=3","7044522")</f>
        <v>0</v>
      </c>
      <c r="B390" t="s">
        <v>192</v>
      </c>
      <c r="C390" t="s">
        <v>3049</v>
      </c>
      <c r="D390" t="s">
        <v>13048</v>
      </c>
      <c r="E390" t="s">
        <v>13450</v>
      </c>
      <c r="F390" t="s">
        <v>22436</v>
      </c>
      <c r="G390" t="s">
        <v>22444</v>
      </c>
      <c r="H390" t="s">
        <v>22454</v>
      </c>
      <c r="I390" t="s">
        <v>7738</v>
      </c>
      <c r="J390" t="s">
        <v>22669</v>
      </c>
      <c r="K390" t="s">
        <v>29338</v>
      </c>
      <c r="M390" t="s">
        <v>29765</v>
      </c>
      <c r="N390" t="s">
        <v>32524</v>
      </c>
      <c r="O390" t="s">
        <v>32525</v>
      </c>
      <c r="P390">
        <v>0</v>
      </c>
      <c r="Q390">
        <v>0</v>
      </c>
      <c r="R390" t="s">
        <v>32526</v>
      </c>
      <c r="S390" t="s">
        <v>32547</v>
      </c>
      <c r="T390" t="s">
        <v>33170</v>
      </c>
      <c r="U390" t="s">
        <v>33981</v>
      </c>
      <c r="W390" t="s">
        <v>29765</v>
      </c>
      <c r="X390" t="s">
        <v>32527</v>
      </c>
    </row>
    <row r="391" spans="1:24">
      <c r="A391">
        <f>HYPERLINK("https://www.philgeps.gov.ph/GEPSNONPILOT/Tender/SplashBidNoticeAbstractUI.aspx?menuIndex=3&amp;refID=7044510&amp;Result=3","7044510")</f>
        <v>0</v>
      </c>
      <c r="B391" t="s">
        <v>193</v>
      </c>
      <c r="C391" t="s">
        <v>3050</v>
      </c>
      <c r="D391" t="s">
        <v>13015</v>
      </c>
      <c r="E391" t="s">
        <v>13451</v>
      </c>
      <c r="F391" t="s">
        <v>22436</v>
      </c>
      <c r="G391" t="s">
        <v>22443</v>
      </c>
      <c r="H391" t="s">
        <v>22452</v>
      </c>
      <c r="I391" t="s">
        <v>22476</v>
      </c>
      <c r="J391" t="s">
        <v>22657</v>
      </c>
      <c r="K391" t="s">
        <v>29331</v>
      </c>
      <c r="M391" t="s">
        <v>29766</v>
      </c>
      <c r="N391" t="s">
        <v>32524</v>
      </c>
      <c r="O391" t="s">
        <v>32525</v>
      </c>
      <c r="P391">
        <v>0</v>
      </c>
      <c r="Q391">
        <v>0</v>
      </c>
      <c r="R391" t="s">
        <v>32526</v>
      </c>
      <c r="S391" t="s">
        <v>32547</v>
      </c>
      <c r="T391" t="s">
        <v>33181</v>
      </c>
      <c r="U391" t="s">
        <v>33982</v>
      </c>
      <c r="V391" t="s">
        <v>42473</v>
      </c>
      <c r="W391" t="s">
        <v>29766</v>
      </c>
      <c r="X391" t="s">
        <v>32527</v>
      </c>
    </row>
    <row r="392" spans="1:24">
      <c r="A392">
        <f>HYPERLINK("https://www.philgeps.gov.ph/GEPSNONPILOT/Tender/SplashBidNoticeAbstractUI.aspx?menuIndex=3&amp;refID=7044523&amp;Result=3","7044523")</f>
        <v>0</v>
      </c>
      <c r="B392" t="s">
        <v>174</v>
      </c>
      <c r="C392" t="s">
        <v>3051</v>
      </c>
      <c r="E392" t="s">
        <v>13452</v>
      </c>
      <c r="F392" t="s">
        <v>22436</v>
      </c>
      <c r="G392" t="s">
        <v>22443</v>
      </c>
      <c r="H392" t="s">
        <v>22452</v>
      </c>
      <c r="I392" t="s">
        <v>22467</v>
      </c>
      <c r="J392" t="s">
        <v>22929</v>
      </c>
      <c r="K392" t="s">
        <v>29338</v>
      </c>
      <c r="M392" t="s">
        <v>29746</v>
      </c>
      <c r="N392" t="s">
        <v>32524</v>
      </c>
      <c r="O392" t="s">
        <v>32525</v>
      </c>
      <c r="P392">
        <v>0</v>
      </c>
      <c r="Q392">
        <v>0</v>
      </c>
      <c r="R392" t="s">
        <v>32526</v>
      </c>
      <c r="S392" t="s">
        <v>32547</v>
      </c>
      <c r="T392" t="s">
        <v>33210</v>
      </c>
      <c r="U392" t="s">
        <v>33983</v>
      </c>
      <c r="W392" t="s">
        <v>29746</v>
      </c>
      <c r="X392" t="s">
        <v>32527</v>
      </c>
    </row>
    <row r="393" spans="1:24">
      <c r="A393">
        <f>HYPERLINK("https://www.philgeps.gov.ph/GEPSNONPILOT/Tender/SplashBidNoticeAbstractUI.aspx?menuIndex=3&amp;refID=7044511&amp;Result=3","7044511")</f>
        <v>0</v>
      </c>
      <c r="B393" t="s">
        <v>194</v>
      </c>
      <c r="C393" t="s">
        <v>3052</v>
      </c>
      <c r="D393" t="s">
        <v>13031</v>
      </c>
      <c r="E393" t="s">
        <v>13453</v>
      </c>
      <c r="F393" t="s">
        <v>22436</v>
      </c>
      <c r="G393" t="s">
        <v>22443</v>
      </c>
      <c r="H393" t="s">
        <v>22452</v>
      </c>
      <c r="I393" t="s">
        <v>22456</v>
      </c>
      <c r="J393" t="s">
        <v>22930</v>
      </c>
      <c r="K393" t="s">
        <v>29338</v>
      </c>
      <c r="M393" t="s">
        <v>29767</v>
      </c>
      <c r="N393" t="s">
        <v>32524</v>
      </c>
      <c r="O393" t="s">
        <v>32525</v>
      </c>
      <c r="P393">
        <v>0</v>
      </c>
      <c r="Q393">
        <v>2</v>
      </c>
      <c r="R393" t="s">
        <v>32526</v>
      </c>
      <c r="S393" t="s">
        <v>32547</v>
      </c>
      <c r="T393" t="s">
        <v>33177</v>
      </c>
      <c r="U393" t="s">
        <v>33984</v>
      </c>
      <c r="W393" t="s">
        <v>29767</v>
      </c>
      <c r="X393" t="s">
        <v>32527</v>
      </c>
    </row>
    <row r="394" spans="1:24">
      <c r="A394">
        <f>HYPERLINK("https://www.philgeps.gov.ph/GEPSNONPILOT/Tender/SplashBidNoticeAbstractUI.aspx?menuIndex=3&amp;refID=7044529&amp;Result=3","7044529")</f>
        <v>0</v>
      </c>
      <c r="B394" t="s">
        <v>190</v>
      </c>
      <c r="C394" t="s">
        <v>3053</v>
      </c>
      <c r="D394" t="s">
        <v>13002</v>
      </c>
      <c r="E394" t="s">
        <v>13454</v>
      </c>
      <c r="F394" t="s">
        <v>22436</v>
      </c>
      <c r="G394" t="s">
        <v>22446</v>
      </c>
      <c r="H394" t="s">
        <v>22452</v>
      </c>
      <c r="I394" t="s">
        <v>22460</v>
      </c>
      <c r="J394" t="s">
        <v>22931</v>
      </c>
      <c r="K394" t="s">
        <v>29338</v>
      </c>
      <c r="M394" t="s">
        <v>29763</v>
      </c>
      <c r="N394" t="s">
        <v>32524</v>
      </c>
      <c r="O394" t="s">
        <v>32525</v>
      </c>
      <c r="P394">
        <v>0</v>
      </c>
      <c r="Q394">
        <v>0</v>
      </c>
      <c r="R394" t="s">
        <v>32526</v>
      </c>
      <c r="S394" t="s">
        <v>32547</v>
      </c>
      <c r="T394" t="s">
        <v>33229</v>
      </c>
      <c r="U394" t="s">
        <v>33985</v>
      </c>
      <c r="W394" t="s">
        <v>29763</v>
      </c>
      <c r="X394" t="s">
        <v>32527</v>
      </c>
    </row>
    <row r="395" spans="1:24">
      <c r="A395">
        <f>HYPERLINK("https://www.philgeps.gov.ph/GEPSNONPILOT/Tender/SplashBidNoticeAbstractUI.aspx?menuIndex=3&amp;refID=7044520&amp;Result=3","7044520")</f>
        <v>0</v>
      </c>
      <c r="B395" t="s">
        <v>195</v>
      </c>
      <c r="C395" t="s">
        <v>3054</v>
      </c>
      <c r="D395" t="s">
        <v>13031</v>
      </c>
      <c r="E395" t="s">
        <v>13455</v>
      </c>
      <c r="F395" t="s">
        <v>22436</v>
      </c>
      <c r="G395" t="s">
        <v>22443</v>
      </c>
      <c r="H395" t="s">
        <v>22452</v>
      </c>
      <c r="I395" t="s">
        <v>2962</v>
      </c>
      <c r="J395" t="s">
        <v>22932</v>
      </c>
      <c r="K395" t="s">
        <v>29337</v>
      </c>
      <c r="M395" t="s">
        <v>29768</v>
      </c>
      <c r="N395" t="s">
        <v>32524</v>
      </c>
      <c r="O395" t="s">
        <v>32525</v>
      </c>
      <c r="P395">
        <v>0</v>
      </c>
      <c r="Q395">
        <v>0</v>
      </c>
      <c r="R395" t="s">
        <v>32526</v>
      </c>
      <c r="S395" t="s">
        <v>32547</v>
      </c>
      <c r="T395" t="s">
        <v>33230</v>
      </c>
      <c r="U395" t="s">
        <v>33986</v>
      </c>
      <c r="W395" t="s">
        <v>29768</v>
      </c>
      <c r="X395" t="s">
        <v>32527</v>
      </c>
    </row>
    <row r="396" spans="1:24">
      <c r="A396">
        <f>HYPERLINK("https://www.philgeps.gov.ph/GEPSNONPILOT/Tender/SplashBidNoticeAbstractUI.aspx?menuIndex=3&amp;refID=7044521&amp;Result=3","7044521")</f>
        <v>0</v>
      </c>
      <c r="B396" t="s">
        <v>151</v>
      </c>
      <c r="C396" t="s">
        <v>3055</v>
      </c>
      <c r="D396" t="s">
        <v>13039</v>
      </c>
      <c r="E396" t="s">
        <v>13381</v>
      </c>
      <c r="F396" t="s">
        <v>22436</v>
      </c>
      <c r="G396" t="s">
        <v>22443</v>
      </c>
      <c r="H396" t="s">
        <v>22452</v>
      </c>
      <c r="I396" t="s">
        <v>5194</v>
      </c>
      <c r="J396" t="s">
        <v>22933</v>
      </c>
      <c r="K396" t="s">
        <v>29356</v>
      </c>
      <c r="M396" t="s">
        <v>29723</v>
      </c>
      <c r="N396" t="s">
        <v>32524</v>
      </c>
      <c r="O396" t="s">
        <v>32525</v>
      </c>
      <c r="P396">
        <v>0</v>
      </c>
      <c r="Q396">
        <v>0</v>
      </c>
      <c r="R396" t="s">
        <v>32526</v>
      </c>
      <c r="S396" t="s">
        <v>32547</v>
      </c>
      <c r="T396" t="s">
        <v>33167</v>
      </c>
      <c r="U396" t="s">
        <v>33987</v>
      </c>
      <c r="W396" t="s">
        <v>29723</v>
      </c>
      <c r="X396" t="s">
        <v>32527</v>
      </c>
    </row>
    <row r="397" spans="1:24">
      <c r="A397">
        <f>HYPERLINK("https://www.philgeps.gov.ph/GEPSNONPILOT/Tender/SplashBidNoticeAbstractUI.aspx?menuIndex=3&amp;refID=7044526&amp;Result=3","7044526")</f>
        <v>0</v>
      </c>
      <c r="B397" t="s">
        <v>124</v>
      </c>
      <c r="C397" t="s">
        <v>3056</v>
      </c>
      <c r="D397" t="s">
        <v>13031</v>
      </c>
      <c r="E397" t="s">
        <v>13456</v>
      </c>
      <c r="F397" t="s">
        <v>22436</v>
      </c>
      <c r="G397" t="s">
        <v>22443</v>
      </c>
      <c r="H397" t="s">
        <v>22452</v>
      </c>
      <c r="I397" t="s">
        <v>12358</v>
      </c>
      <c r="J397" t="s">
        <v>22704</v>
      </c>
      <c r="K397" t="s">
        <v>29338</v>
      </c>
      <c r="M397" t="s">
        <v>29696</v>
      </c>
      <c r="N397" t="s">
        <v>32524</v>
      </c>
      <c r="O397" t="s">
        <v>32525</v>
      </c>
      <c r="P397">
        <v>0</v>
      </c>
      <c r="Q397">
        <v>1</v>
      </c>
      <c r="R397" t="s">
        <v>32526</v>
      </c>
      <c r="S397" t="s">
        <v>32547</v>
      </c>
      <c r="T397" t="s">
        <v>33183</v>
      </c>
      <c r="U397" t="s">
        <v>33988</v>
      </c>
      <c r="W397" t="s">
        <v>29696</v>
      </c>
      <c r="X397" t="s">
        <v>32527</v>
      </c>
    </row>
    <row r="398" spans="1:24">
      <c r="A398">
        <f>HYPERLINK("https://www.philgeps.gov.ph/GEPSNONPILOT/Tender/SplashBidNoticeAbstractUI.aspx?menuIndex=3&amp;refID=7044524&amp;Result=3","7044524")</f>
        <v>0</v>
      </c>
      <c r="B398" t="s">
        <v>168</v>
      </c>
      <c r="C398" t="s">
        <v>3057</v>
      </c>
      <c r="D398" t="s">
        <v>13015</v>
      </c>
      <c r="E398" t="s">
        <v>13457</v>
      </c>
      <c r="F398" t="s">
        <v>22436</v>
      </c>
      <c r="G398" t="s">
        <v>22444</v>
      </c>
      <c r="H398" t="s">
        <v>22452</v>
      </c>
      <c r="I398" t="s">
        <v>22463</v>
      </c>
      <c r="J398" t="s">
        <v>22934</v>
      </c>
      <c r="K398" t="s">
        <v>29335</v>
      </c>
      <c r="M398" t="s">
        <v>29740</v>
      </c>
      <c r="N398" t="s">
        <v>32524</v>
      </c>
      <c r="O398" t="s">
        <v>32525</v>
      </c>
      <c r="P398">
        <v>0</v>
      </c>
      <c r="Q398">
        <v>1</v>
      </c>
      <c r="R398" t="s">
        <v>32526</v>
      </c>
      <c r="S398" t="s">
        <v>32547</v>
      </c>
      <c r="T398" t="s">
        <v>33168</v>
      </c>
      <c r="U398" t="s">
        <v>33937</v>
      </c>
      <c r="V398" t="s">
        <v>42464</v>
      </c>
      <c r="W398" t="s">
        <v>29740</v>
      </c>
      <c r="X398" t="s">
        <v>32527</v>
      </c>
    </row>
    <row r="399" spans="1:24">
      <c r="A399">
        <f>HYPERLINK("https://www.philgeps.gov.ph/GEPSNONPILOT/Tender/SplashBidNoticeAbstractUI.aspx?menuIndex=3&amp;refID=7044528&amp;Result=3","7044528")</f>
        <v>0</v>
      </c>
      <c r="B399" t="s">
        <v>140</v>
      </c>
      <c r="C399" t="s">
        <v>3058</v>
      </c>
      <c r="D399" t="s">
        <v>12988</v>
      </c>
      <c r="E399" t="s">
        <v>13458</v>
      </c>
      <c r="F399" t="s">
        <v>22436</v>
      </c>
      <c r="G399" t="s">
        <v>22443</v>
      </c>
      <c r="H399" t="s">
        <v>22452</v>
      </c>
      <c r="I399" t="s">
        <v>2981</v>
      </c>
      <c r="J399" t="s">
        <v>22935</v>
      </c>
      <c r="K399" t="s">
        <v>29338</v>
      </c>
      <c r="M399" t="s">
        <v>29712</v>
      </c>
      <c r="N399" t="s">
        <v>32524</v>
      </c>
      <c r="O399" t="s">
        <v>32525</v>
      </c>
      <c r="P399">
        <v>0</v>
      </c>
      <c r="Q399">
        <v>1</v>
      </c>
      <c r="R399" t="s">
        <v>32526</v>
      </c>
      <c r="S399" t="s">
        <v>32547</v>
      </c>
      <c r="T399" t="s">
        <v>33168</v>
      </c>
      <c r="U399" t="s">
        <v>33989</v>
      </c>
      <c r="W399" t="s">
        <v>29712</v>
      </c>
      <c r="X399" t="s">
        <v>32527</v>
      </c>
    </row>
    <row r="400" spans="1:24">
      <c r="A400">
        <f>HYPERLINK("https://www.philgeps.gov.ph/GEPSNONPILOT/Tender/SplashBidNoticeAbstractUI.aspx?menuIndex=3&amp;refID=7044527&amp;Result=3","7044527")</f>
        <v>0</v>
      </c>
      <c r="B400" t="s">
        <v>189</v>
      </c>
      <c r="C400" t="s">
        <v>3059</v>
      </c>
      <c r="E400" t="s">
        <v>13459</v>
      </c>
      <c r="F400" t="s">
        <v>22436</v>
      </c>
      <c r="G400" t="s">
        <v>22444</v>
      </c>
      <c r="H400" t="s">
        <v>22454</v>
      </c>
      <c r="I400" t="s">
        <v>7738</v>
      </c>
      <c r="J400" t="s">
        <v>22936</v>
      </c>
      <c r="K400" t="s">
        <v>29364</v>
      </c>
      <c r="M400" t="s">
        <v>29762</v>
      </c>
      <c r="N400" t="s">
        <v>32524</v>
      </c>
      <c r="O400" t="s">
        <v>32525</v>
      </c>
      <c r="P400">
        <v>0</v>
      </c>
      <c r="Q400">
        <v>0</v>
      </c>
      <c r="R400" t="s">
        <v>32526</v>
      </c>
      <c r="S400" t="s">
        <v>32547</v>
      </c>
      <c r="T400" t="s">
        <v>33165</v>
      </c>
      <c r="U400" t="s">
        <v>33990</v>
      </c>
      <c r="W400" t="s">
        <v>29762</v>
      </c>
      <c r="X400" t="s">
        <v>32527</v>
      </c>
    </row>
    <row r="401" spans="1:24">
      <c r="A401">
        <f>HYPERLINK("https://www.philgeps.gov.ph/GEPSNONPILOT/Tender/SplashBidNoticeAbstractUI.aspx?menuIndex=3&amp;refID=7044525&amp;Result=3","7044525")</f>
        <v>0</v>
      </c>
      <c r="B401" t="s">
        <v>196</v>
      </c>
      <c r="C401" t="s">
        <v>3060</v>
      </c>
      <c r="D401" t="s">
        <v>13002</v>
      </c>
      <c r="E401" t="s">
        <v>13460</v>
      </c>
      <c r="F401" t="s">
        <v>22436</v>
      </c>
      <c r="G401" t="s">
        <v>22443</v>
      </c>
      <c r="H401" t="s">
        <v>22452</v>
      </c>
      <c r="I401" t="s">
        <v>11896</v>
      </c>
      <c r="J401" t="s">
        <v>22654</v>
      </c>
      <c r="K401" t="s">
        <v>29335</v>
      </c>
      <c r="M401" t="s">
        <v>29769</v>
      </c>
      <c r="N401" t="s">
        <v>32524</v>
      </c>
      <c r="O401" t="s">
        <v>32525</v>
      </c>
      <c r="P401">
        <v>0</v>
      </c>
      <c r="Q401">
        <v>0</v>
      </c>
      <c r="R401" t="s">
        <v>32526</v>
      </c>
      <c r="S401" t="s">
        <v>32547</v>
      </c>
      <c r="T401" t="s">
        <v>33171</v>
      </c>
      <c r="U401" t="s">
        <v>33991</v>
      </c>
      <c r="W401" t="s">
        <v>29769</v>
      </c>
      <c r="X401" t="s">
        <v>32527</v>
      </c>
    </row>
    <row r="402" spans="1:24">
      <c r="A402">
        <f>HYPERLINK("https://www.philgeps.gov.ph/GEPSNONPILOT/Tender/SplashBidNoticeAbstractUI.aspx?menuIndex=3&amp;refID=7044530&amp;Result=3","7044530")</f>
        <v>0</v>
      </c>
      <c r="B402" t="s">
        <v>168</v>
      </c>
      <c r="C402" t="s">
        <v>3061</v>
      </c>
      <c r="D402" t="s">
        <v>13015</v>
      </c>
      <c r="E402" t="s">
        <v>13461</v>
      </c>
      <c r="F402" t="s">
        <v>22436</v>
      </c>
      <c r="G402" t="s">
        <v>22444</v>
      </c>
      <c r="H402" t="s">
        <v>22452</v>
      </c>
      <c r="I402" t="s">
        <v>22463</v>
      </c>
      <c r="J402" t="s">
        <v>22937</v>
      </c>
      <c r="K402" t="s">
        <v>29335</v>
      </c>
      <c r="M402" t="s">
        <v>29740</v>
      </c>
      <c r="N402" t="s">
        <v>32524</v>
      </c>
      <c r="O402" t="s">
        <v>32525</v>
      </c>
      <c r="P402">
        <v>0</v>
      </c>
      <c r="Q402">
        <v>1</v>
      </c>
      <c r="R402" t="s">
        <v>32526</v>
      </c>
      <c r="S402" t="s">
        <v>32547</v>
      </c>
      <c r="T402" t="s">
        <v>33168</v>
      </c>
      <c r="U402" t="s">
        <v>33937</v>
      </c>
      <c r="V402" t="s">
        <v>42464</v>
      </c>
      <c r="W402" t="s">
        <v>29740</v>
      </c>
      <c r="X402" t="s">
        <v>32527</v>
      </c>
    </row>
    <row r="403" spans="1:24">
      <c r="A403">
        <f>HYPERLINK("https://www.philgeps.gov.ph/GEPSNONPILOT/Tender/SplashBidNoticeAbstractUI.aspx?menuIndex=3&amp;refID=7044542&amp;Result=3","7044542")</f>
        <v>0</v>
      </c>
      <c r="B403" t="s">
        <v>168</v>
      </c>
      <c r="C403" t="s">
        <v>3062</v>
      </c>
      <c r="D403" t="s">
        <v>13015</v>
      </c>
      <c r="E403" t="s">
        <v>13462</v>
      </c>
      <c r="F403" t="s">
        <v>22436</v>
      </c>
      <c r="G403" t="s">
        <v>22444</v>
      </c>
      <c r="H403" t="s">
        <v>22452</v>
      </c>
      <c r="I403" t="s">
        <v>22462</v>
      </c>
      <c r="J403" t="s">
        <v>22798</v>
      </c>
      <c r="K403" t="s">
        <v>29335</v>
      </c>
      <c r="M403" t="s">
        <v>29740</v>
      </c>
      <c r="N403" t="s">
        <v>32524</v>
      </c>
      <c r="O403" t="s">
        <v>32525</v>
      </c>
      <c r="P403">
        <v>0</v>
      </c>
      <c r="Q403">
        <v>1</v>
      </c>
      <c r="R403" t="s">
        <v>32526</v>
      </c>
      <c r="S403" t="s">
        <v>32547</v>
      </c>
      <c r="T403" t="s">
        <v>33168</v>
      </c>
      <c r="U403" t="s">
        <v>33937</v>
      </c>
      <c r="V403" t="s">
        <v>42464</v>
      </c>
      <c r="W403" t="s">
        <v>29740</v>
      </c>
      <c r="X403" t="s">
        <v>32527</v>
      </c>
    </row>
    <row r="404" spans="1:24">
      <c r="A404">
        <f>HYPERLINK("https://www.philgeps.gov.ph/GEPSNONPILOT/Tender/SplashBidNoticeAbstractUI.aspx?menuIndex=3&amp;refID=7044532&amp;Result=3","7044532")</f>
        <v>0</v>
      </c>
      <c r="B404" t="s">
        <v>95</v>
      </c>
      <c r="C404" t="s">
        <v>3063</v>
      </c>
      <c r="D404" t="s">
        <v>13028</v>
      </c>
      <c r="E404" t="s">
        <v>13463</v>
      </c>
      <c r="F404" t="s">
        <v>22436</v>
      </c>
      <c r="G404" t="s">
        <v>22444</v>
      </c>
      <c r="H404" t="s">
        <v>22454</v>
      </c>
      <c r="I404" t="s">
        <v>7738</v>
      </c>
      <c r="J404" t="s">
        <v>22938</v>
      </c>
      <c r="K404" t="s">
        <v>29335</v>
      </c>
      <c r="M404" t="s">
        <v>29667</v>
      </c>
      <c r="N404" t="s">
        <v>32524</v>
      </c>
      <c r="O404" t="s">
        <v>32525</v>
      </c>
      <c r="P404">
        <v>0</v>
      </c>
      <c r="Q404">
        <v>0</v>
      </c>
      <c r="R404" t="s">
        <v>32526</v>
      </c>
      <c r="S404" t="s">
        <v>32547</v>
      </c>
      <c r="T404" t="s">
        <v>33155</v>
      </c>
      <c r="U404" t="s">
        <v>33992</v>
      </c>
      <c r="W404" t="s">
        <v>29667</v>
      </c>
      <c r="X404" t="s">
        <v>32527</v>
      </c>
    </row>
    <row r="405" spans="1:24">
      <c r="A405">
        <f>HYPERLINK("https://www.philgeps.gov.ph/GEPSNONPILOT/Tender/SplashBidNoticeAbstractUI.aspx?menuIndex=3&amp;refID=7044541&amp;Result=3","7044541")</f>
        <v>0</v>
      </c>
      <c r="B405" t="s">
        <v>124</v>
      </c>
      <c r="C405" t="s">
        <v>3064</v>
      </c>
      <c r="D405" t="s">
        <v>13031</v>
      </c>
      <c r="E405" t="s">
        <v>13464</v>
      </c>
      <c r="F405" t="s">
        <v>22436</v>
      </c>
      <c r="G405" t="s">
        <v>22443</v>
      </c>
      <c r="H405" t="s">
        <v>22452</v>
      </c>
      <c r="I405" t="s">
        <v>22462</v>
      </c>
      <c r="J405" t="s">
        <v>22939</v>
      </c>
      <c r="K405" t="s">
        <v>29338</v>
      </c>
      <c r="M405" t="s">
        <v>29696</v>
      </c>
      <c r="N405" t="s">
        <v>32524</v>
      </c>
      <c r="O405" t="s">
        <v>32525</v>
      </c>
      <c r="P405">
        <v>0</v>
      </c>
      <c r="Q405">
        <v>1</v>
      </c>
      <c r="R405" t="s">
        <v>32526</v>
      </c>
      <c r="S405" t="s">
        <v>32547</v>
      </c>
      <c r="T405" t="s">
        <v>33183</v>
      </c>
      <c r="U405" t="s">
        <v>33993</v>
      </c>
      <c r="W405" t="s">
        <v>29696</v>
      </c>
      <c r="X405" t="s">
        <v>32527</v>
      </c>
    </row>
    <row r="406" spans="1:24">
      <c r="A406">
        <f>HYPERLINK("https://www.philgeps.gov.ph/GEPSNONPILOT/Tender/SplashBidNoticeAbstractUI.aspx?menuIndex=3&amp;refID=7044531&amp;Result=3","7044531")</f>
        <v>0</v>
      </c>
      <c r="B406" t="s">
        <v>179</v>
      </c>
      <c r="C406" t="s">
        <v>3065</v>
      </c>
      <c r="D406" t="s">
        <v>12990</v>
      </c>
      <c r="E406" t="s">
        <v>13465</v>
      </c>
      <c r="F406" t="s">
        <v>22437</v>
      </c>
      <c r="G406" t="s">
        <v>22446</v>
      </c>
      <c r="H406" t="s">
        <v>22452</v>
      </c>
      <c r="I406" t="s">
        <v>3529</v>
      </c>
      <c r="J406" t="s">
        <v>22940</v>
      </c>
      <c r="K406" t="s">
        <v>29340</v>
      </c>
      <c r="M406" t="s">
        <v>29751</v>
      </c>
      <c r="N406" t="s">
        <v>32524</v>
      </c>
      <c r="O406" t="s">
        <v>32525</v>
      </c>
      <c r="P406">
        <v>0</v>
      </c>
      <c r="Q406">
        <v>0</v>
      </c>
      <c r="R406" t="s">
        <v>32526</v>
      </c>
      <c r="S406" t="s">
        <v>32547</v>
      </c>
      <c r="T406" t="s">
        <v>33231</v>
      </c>
      <c r="U406" t="s">
        <v>33994</v>
      </c>
      <c r="W406" t="s">
        <v>29751</v>
      </c>
      <c r="X406" t="s">
        <v>32527</v>
      </c>
    </row>
    <row r="407" spans="1:24">
      <c r="A407">
        <f>HYPERLINK("https://www.philgeps.gov.ph/GEPSNONPILOT/Tender/SplashBidNoticeAbstractUI.aspx?menuIndex=3&amp;refID=7044553&amp;Result=3","7044553")</f>
        <v>0</v>
      </c>
      <c r="B407" t="s">
        <v>95</v>
      </c>
      <c r="C407" t="s">
        <v>3066</v>
      </c>
      <c r="D407" t="s">
        <v>13028</v>
      </c>
      <c r="E407" t="s">
        <v>13466</v>
      </c>
      <c r="F407" t="s">
        <v>22436</v>
      </c>
      <c r="G407" t="s">
        <v>22444</v>
      </c>
      <c r="H407" t="s">
        <v>22454</v>
      </c>
      <c r="I407" t="s">
        <v>7738</v>
      </c>
      <c r="J407" t="s">
        <v>22941</v>
      </c>
      <c r="K407" t="s">
        <v>29335</v>
      </c>
      <c r="M407" t="s">
        <v>29667</v>
      </c>
      <c r="N407" t="s">
        <v>32524</v>
      </c>
      <c r="O407" t="s">
        <v>32525</v>
      </c>
      <c r="P407">
        <v>0</v>
      </c>
      <c r="Q407">
        <v>0</v>
      </c>
      <c r="R407" t="s">
        <v>32526</v>
      </c>
      <c r="S407" t="s">
        <v>32547</v>
      </c>
      <c r="T407" t="s">
        <v>33155</v>
      </c>
      <c r="U407" t="s">
        <v>33995</v>
      </c>
      <c r="W407" t="s">
        <v>29667</v>
      </c>
      <c r="X407" t="s">
        <v>32527</v>
      </c>
    </row>
    <row r="408" spans="1:24">
      <c r="A408">
        <f>HYPERLINK("https://www.philgeps.gov.ph/GEPSNONPILOT/Tender/SplashBidNoticeAbstractUI.aspx?menuIndex=3&amp;refID=7044551&amp;Result=3","7044551")</f>
        <v>0</v>
      </c>
      <c r="B408" t="s">
        <v>114</v>
      </c>
      <c r="C408" t="s">
        <v>3067</v>
      </c>
      <c r="D408" t="s">
        <v>12999</v>
      </c>
      <c r="E408" t="s">
        <v>13467</v>
      </c>
      <c r="F408" t="s">
        <v>22436</v>
      </c>
      <c r="G408" t="s">
        <v>22443</v>
      </c>
      <c r="H408" t="s">
        <v>22454</v>
      </c>
      <c r="I408" t="s">
        <v>7738</v>
      </c>
      <c r="J408" t="s">
        <v>22911</v>
      </c>
      <c r="K408" t="s">
        <v>29338</v>
      </c>
      <c r="M408" t="s">
        <v>29686</v>
      </c>
      <c r="N408" t="s">
        <v>32524</v>
      </c>
      <c r="O408" t="s">
        <v>32525</v>
      </c>
      <c r="P408">
        <v>0</v>
      </c>
      <c r="Q408">
        <v>0</v>
      </c>
      <c r="R408" t="s">
        <v>32526</v>
      </c>
      <c r="S408" t="s">
        <v>32547</v>
      </c>
      <c r="T408" t="s">
        <v>33169</v>
      </c>
      <c r="U408" t="s">
        <v>33861</v>
      </c>
      <c r="W408" t="s">
        <v>29686</v>
      </c>
      <c r="X408" t="s">
        <v>32527</v>
      </c>
    </row>
    <row r="409" spans="1:24">
      <c r="A409">
        <f>HYPERLINK("https://www.philgeps.gov.ph/GEPSNONPILOT/Tender/SplashBidNoticeAbstractUI.aspx?menuIndex=3&amp;refID=7044550&amp;Result=3","7044550")</f>
        <v>0</v>
      </c>
      <c r="B409" t="s">
        <v>166</v>
      </c>
      <c r="C409" t="s">
        <v>3068</v>
      </c>
      <c r="E409" t="s">
        <v>13468</v>
      </c>
      <c r="F409" t="s">
        <v>22436</v>
      </c>
      <c r="G409" t="s">
        <v>22443</v>
      </c>
      <c r="H409" t="s">
        <v>22452</v>
      </c>
      <c r="I409" t="s">
        <v>22486</v>
      </c>
      <c r="J409" t="s">
        <v>22747</v>
      </c>
      <c r="K409" t="s">
        <v>29338</v>
      </c>
      <c r="M409" t="s">
        <v>29738</v>
      </c>
      <c r="N409" t="s">
        <v>32524</v>
      </c>
      <c r="O409" t="s">
        <v>32525</v>
      </c>
      <c r="P409">
        <v>0</v>
      </c>
      <c r="Q409">
        <v>0</v>
      </c>
      <c r="R409" t="s">
        <v>32526</v>
      </c>
      <c r="S409" t="s">
        <v>32547</v>
      </c>
      <c r="T409" t="s">
        <v>33161</v>
      </c>
      <c r="U409" t="s">
        <v>33996</v>
      </c>
      <c r="W409" t="s">
        <v>29738</v>
      </c>
      <c r="X409" t="s">
        <v>32527</v>
      </c>
    </row>
    <row r="410" spans="1:24">
      <c r="A410">
        <f>HYPERLINK("https://www.philgeps.gov.ph/GEPSNONPILOT/Tender/SplashBidNoticeAbstractUI.aspx?menuIndex=3&amp;refID=7044535&amp;Result=3","7044535")</f>
        <v>0</v>
      </c>
      <c r="B410" t="s">
        <v>197</v>
      </c>
      <c r="C410" t="s">
        <v>3069</v>
      </c>
      <c r="D410" t="s">
        <v>12988</v>
      </c>
      <c r="E410" t="s">
        <v>13469</v>
      </c>
      <c r="F410" t="s">
        <v>22436</v>
      </c>
      <c r="G410" t="s">
        <v>22443</v>
      </c>
      <c r="H410" t="s">
        <v>22454</v>
      </c>
      <c r="I410" t="s">
        <v>6387</v>
      </c>
      <c r="J410" t="s">
        <v>22942</v>
      </c>
      <c r="K410" t="s">
        <v>29331</v>
      </c>
      <c r="M410" t="s">
        <v>29770</v>
      </c>
      <c r="N410" t="s">
        <v>32524</v>
      </c>
      <c r="O410" t="s">
        <v>32525</v>
      </c>
      <c r="P410">
        <v>0</v>
      </c>
      <c r="Q410">
        <v>2</v>
      </c>
      <c r="R410" t="s">
        <v>32526</v>
      </c>
      <c r="S410" t="s">
        <v>32547</v>
      </c>
      <c r="T410" t="s">
        <v>33181</v>
      </c>
      <c r="U410" t="s">
        <v>33997</v>
      </c>
      <c r="V410" t="s">
        <v>42474</v>
      </c>
      <c r="W410" t="s">
        <v>29770</v>
      </c>
      <c r="X410" t="s">
        <v>32527</v>
      </c>
    </row>
    <row r="411" spans="1:24">
      <c r="A411">
        <f>HYPERLINK("https://www.philgeps.gov.ph/GEPSNONPILOT/Tender/SplashBidNoticeAbstractUI.aspx?menuIndex=3&amp;refID=7044549&amp;Result=3","7044549")</f>
        <v>0</v>
      </c>
      <c r="B411" t="s">
        <v>189</v>
      </c>
      <c r="C411" t="s">
        <v>3070</v>
      </c>
      <c r="E411" t="s">
        <v>13470</v>
      </c>
      <c r="F411" t="s">
        <v>22436</v>
      </c>
      <c r="G411" t="s">
        <v>22444</v>
      </c>
      <c r="H411" t="s">
        <v>22454</v>
      </c>
      <c r="I411" t="s">
        <v>7738</v>
      </c>
      <c r="J411" t="s">
        <v>22943</v>
      </c>
      <c r="K411" t="s">
        <v>29365</v>
      </c>
      <c r="M411" t="s">
        <v>29762</v>
      </c>
      <c r="N411" t="s">
        <v>32524</v>
      </c>
      <c r="O411" t="s">
        <v>32525</v>
      </c>
      <c r="P411">
        <v>0</v>
      </c>
      <c r="Q411">
        <v>0</v>
      </c>
      <c r="R411" t="s">
        <v>32526</v>
      </c>
      <c r="S411" t="s">
        <v>32547</v>
      </c>
      <c r="T411" t="s">
        <v>33165</v>
      </c>
      <c r="U411" t="s">
        <v>33990</v>
      </c>
      <c r="W411" t="s">
        <v>29762</v>
      </c>
      <c r="X411" t="s">
        <v>32527</v>
      </c>
    </row>
    <row r="412" spans="1:24">
      <c r="A412">
        <f>HYPERLINK("https://www.philgeps.gov.ph/GEPSNONPILOT/Tender/SplashBidNoticeAbstractUI.aspx?menuIndex=3&amp;refID=7044552&amp;Result=3","7044552")</f>
        <v>0</v>
      </c>
      <c r="B412" t="s">
        <v>168</v>
      </c>
      <c r="C412" t="s">
        <v>3071</v>
      </c>
      <c r="D412" t="s">
        <v>13015</v>
      </c>
      <c r="E412" t="s">
        <v>13471</v>
      </c>
      <c r="F412" t="s">
        <v>22436</v>
      </c>
      <c r="G412" t="s">
        <v>22444</v>
      </c>
      <c r="H412" t="s">
        <v>22452</v>
      </c>
      <c r="I412" t="s">
        <v>22462</v>
      </c>
      <c r="J412" t="s">
        <v>22944</v>
      </c>
      <c r="K412" t="s">
        <v>29335</v>
      </c>
      <c r="M412" t="s">
        <v>29740</v>
      </c>
      <c r="N412" t="s">
        <v>32524</v>
      </c>
      <c r="O412" t="s">
        <v>32525</v>
      </c>
      <c r="P412">
        <v>0</v>
      </c>
      <c r="Q412">
        <v>1</v>
      </c>
      <c r="R412" t="s">
        <v>32526</v>
      </c>
      <c r="S412" t="s">
        <v>32547</v>
      </c>
      <c r="T412" t="s">
        <v>33168</v>
      </c>
      <c r="U412" t="s">
        <v>33937</v>
      </c>
      <c r="V412" t="s">
        <v>42464</v>
      </c>
      <c r="W412" t="s">
        <v>29740</v>
      </c>
      <c r="X412" t="s">
        <v>32527</v>
      </c>
    </row>
    <row r="413" spans="1:24">
      <c r="A413">
        <f>HYPERLINK("https://www.philgeps.gov.ph/GEPSNONPILOT/Tender/SplashBidNoticeAbstractUI.aspx?menuIndex=3&amp;refID=7044534&amp;Result=3","7044534")</f>
        <v>0</v>
      </c>
      <c r="B413" t="s">
        <v>38</v>
      </c>
      <c r="C413" t="s">
        <v>3072</v>
      </c>
      <c r="D413" t="s">
        <v>13000</v>
      </c>
      <c r="E413" t="s">
        <v>13102</v>
      </c>
      <c r="F413" t="s">
        <v>22436</v>
      </c>
      <c r="G413" t="s">
        <v>22444</v>
      </c>
      <c r="H413" t="s">
        <v>22454</v>
      </c>
      <c r="I413" t="s">
        <v>7738</v>
      </c>
      <c r="J413" t="s">
        <v>22779</v>
      </c>
      <c r="K413" t="s">
        <v>29366</v>
      </c>
      <c r="M413" t="s">
        <v>29608</v>
      </c>
      <c r="N413" t="s">
        <v>32524</v>
      </c>
      <c r="O413" t="s">
        <v>32525</v>
      </c>
      <c r="P413">
        <v>0</v>
      </c>
      <c r="Q413">
        <v>0</v>
      </c>
      <c r="R413" t="s">
        <v>32526</v>
      </c>
      <c r="S413" t="s">
        <v>32547</v>
      </c>
      <c r="T413" t="s">
        <v>33163</v>
      </c>
      <c r="U413" t="s">
        <v>33998</v>
      </c>
      <c r="W413" t="s">
        <v>29608</v>
      </c>
      <c r="X413" t="s">
        <v>32527</v>
      </c>
    </row>
    <row r="414" spans="1:24">
      <c r="A414">
        <f>HYPERLINK("https://www.philgeps.gov.ph/GEPSNONPILOT/Tender/SplashBidNoticeAbstractUI.aspx?menuIndex=3&amp;refID=7044547&amp;Result=3","7044547")</f>
        <v>0</v>
      </c>
      <c r="B414" t="s">
        <v>198</v>
      </c>
      <c r="C414" t="s">
        <v>3073</v>
      </c>
      <c r="D414" t="s">
        <v>13002</v>
      </c>
      <c r="E414" t="s">
        <v>13472</v>
      </c>
      <c r="F414" t="s">
        <v>22436</v>
      </c>
      <c r="G414" t="s">
        <v>22443</v>
      </c>
      <c r="H414" t="s">
        <v>22452</v>
      </c>
      <c r="I414" t="s">
        <v>22469</v>
      </c>
      <c r="J414" t="s">
        <v>22747</v>
      </c>
      <c r="K414" t="s">
        <v>29335</v>
      </c>
      <c r="M414" t="s">
        <v>29771</v>
      </c>
      <c r="N414" t="s">
        <v>32524</v>
      </c>
      <c r="O414" t="s">
        <v>32525</v>
      </c>
      <c r="P414">
        <v>0</v>
      </c>
      <c r="Q414">
        <v>1</v>
      </c>
      <c r="R414" t="s">
        <v>32526</v>
      </c>
      <c r="S414" t="s">
        <v>32547</v>
      </c>
      <c r="T414" t="s">
        <v>33163</v>
      </c>
      <c r="U414" t="s">
        <v>33999</v>
      </c>
      <c r="W414" t="s">
        <v>29771</v>
      </c>
      <c r="X414" t="s">
        <v>32527</v>
      </c>
    </row>
    <row r="415" spans="1:24">
      <c r="A415">
        <f>HYPERLINK("https://www.philgeps.gov.ph/GEPSNONPILOT/Tender/SplashBidNoticeAbstractUI.aspx?menuIndex=3&amp;refID=7044540&amp;Result=3","7044540")</f>
        <v>0</v>
      </c>
      <c r="B415" t="s">
        <v>199</v>
      </c>
      <c r="C415" t="s">
        <v>3074</v>
      </c>
      <c r="D415" t="s">
        <v>13009</v>
      </c>
      <c r="E415" t="s">
        <v>13473</v>
      </c>
      <c r="F415" t="s">
        <v>22436</v>
      </c>
      <c r="G415" t="s">
        <v>22447</v>
      </c>
      <c r="H415" t="s">
        <v>22452</v>
      </c>
      <c r="I415" t="s">
        <v>22469</v>
      </c>
      <c r="J415" t="s">
        <v>22945</v>
      </c>
      <c r="K415" t="s">
        <v>29338</v>
      </c>
      <c r="M415" t="s">
        <v>29772</v>
      </c>
      <c r="N415" t="s">
        <v>32524</v>
      </c>
      <c r="O415" t="s">
        <v>32525</v>
      </c>
      <c r="P415">
        <v>0</v>
      </c>
      <c r="Q415">
        <v>3</v>
      </c>
      <c r="R415" t="s">
        <v>32526</v>
      </c>
      <c r="S415" t="s">
        <v>32547</v>
      </c>
      <c r="T415" t="s">
        <v>33181</v>
      </c>
      <c r="U415" t="s">
        <v>34000</v>
      </c>
      <c r="W415" t="s">
        <v>29772</v>
      </c>
      <c r="X415" t="s">
        <v>32527</v>
      </c>
    </row>
    <row r="416" spans="1:24">
      <c r="A416">
        <f>HYPERLINK("https://www.philgeps.gov.ph/GEPSNONPILOT/Tender/SplashBidNoticeAbstractUI.aspx?menuIndex=3&amp;refID=7044546&amp;Result=3","7044546")</f>
        <v>0</v>
      </c>
      <c r="B416" t="s">
        <v>140</v>
      </c>
      <c r="C416" t="s">
        <v>3075</v>
      </c>
      <c r="D416" t="s">
        <v>12988</v>
      </c>
      <c r="E416" t="s">
        <v>13474</v>
      </c>
      <c r="F416" t="s">
        <v>22436</v>
      </c>
      <c r="G416" t="s">
        <v>22445</v>
      </c>
      <c r="H416" t="s">
        <v>22452</v>
      </c>
      <c r="I416" t="s">
        <v>22460</v>
      </c>
      <c r="J416" t="s">
        <v>22946</v>
      </c>
      <c r="K416" t="s">
        <v>29338</v>
      </c>
      <c r="M416" t="s">
        <v>29712</v>
      </c>
      <c r="N416" t="s">
        <v>32524</v>
      </c>
      <c r="O416" t="s">
        <v>32525</v>
      </c>
      <c r="P416">
        <v>0</v>
      </c>
      <c r="Q416">
        <v>0</v>
      </c>
      <c r="R416" t="s">
        <v>32526</v>
      </c>
      <c r="S416" t="s">
        <v>32547</v>
      </c>
      <c r="T416" t="s">
        <v>33168</v>
      </c>
      <c r="U416" t="s">
        <v>34001</v>
      </c>
      <c r="W416" t="s">
        <v>29712</v>
      </c>
      <c r="X416" t="s">
        <v>32527</v>
      </c>
    </row>
    <row r="417" spans="1:24">
      <c r="A417">
        <f>HYPERLINK("https://www.philgeps.gov.ph/GEPSNONPILOT/Tender/SplashBidNoticeAbstractUI.aspx?menuIndex=3&amp;refID=7044554&amp;Result=3","7044554")</f>
        <v>0</v>
      </c>
      <c r="B417" t="s">
        <v>170</v>
      </c>
      <c r="C417" t="s">
        <v>3076</v>
      </c>
      <c r="D417" t="s">
        <v>13044</v>
      </c>
      <c r="E417" t="s">
        <v>13475</v>
      </c>
      <c r="F417" t="s">
        <v>22436</v>
      </c>
      <c r="G417" t="s">
        <v>22446</v>
      </c>
      <c r="H417" t="s">
        <v>22452</v>
      </c>
      <c r="I417" t="s">
        <v>3529</v>
      </c>
      <c r="J417" t="s">
        <v>22947</v>
      </c>
      <c r="K417" t="s">
        <v>29335</v>
      </c>
      <c r="M417" t="s">
        <v>29742</v>
      </c>
      <c r="N417" t="s">
        <v>32524</v>
      </c>
      <c r="O417" t="s">
        <v>32525</v>
      </c>
      <c r="P417">
        <v>0</v>
      </c>
      <c r="Q417">
        <v>0</v>
      </c>
      <c r="R417" t="s">
        <v>32526</v>
      </c>
      <c r="S417" t="s">
        <v>32547</v>
      </c>
      <c r="T417" t="s">
        <v>33161</v>
      </c>
      <c r="U417" t="s">
        <v>34002</v>
      </c>
      <c r="W417" t="s">
        <v>29742</v>
      </c>
      <c r="X417" t="s">
        <v>32527</v>
      </c>
    </row>
    <row r="418" spans="1:24">
      <c r="A418">
        <f>HYPERLINK("https://www.philgeps.gov.ph/GEPSNONPILOT/Tender/SplashBidNoticeAbstractUI.aspx?menuIndex=3&amp;refID=7044537&amp;Result=3","7044537")</f>
        <v>0</v>
      </c>
      <c r="B418" t="s">
        <v>200</v>
      </c>
      <c r="C418" t="s">
        <v>3077</v>
      </c>
      <c r="D418" t="s">
        <v>13037</v>
      </c>
      <c r="E418" t="s">
        <v>13476</v>
      </c>
      <c r="F418" t="s">
        <v>22436</v>
      </c>
      <c r="G418" t="s">
        <v>22443</v>
      </c>
      <c r="H418" t="s">
        <v>22452</v>
      </c>
      <c r="I418" t="s">
        <v>3827</v>
      </c>
      <c r="J418" t="s">
        <v>22948</v>
      </c>
      <c r="K418" t="s">
        <v>29330</v>
      </c>
      <c r="M418" t="s">
        <v>29773</v>
      </c>
      <c r="N418" t="s">
        <v>32524</v>
      </c>
      <c r="O418" t="s">
        <v>32525</v>
      </c>
      <c r="P418">
        <v>0</v>
      </c>
      <c r="Q418">
        <v>3</v>
      </c>
      <c r="R418" t="s">
        <v>32526</v>
      </c>
      <c r="S418" t="s">
        <v>32547</v>
      </c>
      <c r="T418" t="s">
        <v>33161</v>
      </c>
      <c r="U418" t="s">
        <v>34003</v>
      </c>
      <c r="W418" t="s">
        <v>29773</v>
      </c>
      <c r="X418" t="s">
        <v>32527</v>
      </c>
    </row>
    <row r="419" spans="1:24">
      <c r="A419">
        <f>HYPERLINK("https://www.philgeps.gov.ph/GEPSNONPILOT/Tender/SplashBidNoticeAbstractUI.aspx?menuIndex=3&amp;refID=7044571&amp;Result=3","7044571")</f>
        <v>0</v>
      </c>
      <c r="B419" t="s">
        <v>201</v>
      </c>
      <c r="C419" t="s">
        <v>3078</v>
      </c>
      <c r="D419" t="s">
        <v>13031</v>
      </c>
      <c r="E419" t="s">
        <v>13477</v>
      </c>
      <c r="F419" t="s">
        <v>22436</v>
      </c>
      <c r="G419" t="s">
        <v>22445</v>
      </c>
      <c r="H419" t="s">
        <v>22452</v>
      </c>
      <c r="I419" t="s">
        <v>2993</v>
      </c>
      <c r="J419" t="s">
        <v>22692</v>
      </c>
      <c r="K419" t="s">
        <v>29331</v>
      </c>
      <c r="M419" t="s">
        <v>29774</v>
      </c>
      <c r="N419" t="s">
        <v>32524</v>
      </c>
      <c r="O419" t="s">
        <v>32525</v>
      </c>
      <c r="P419">
        <v>0</v>
      </c>
      <c r="Q419">
        <v>0</v>
      </c>
      <c r="R419" t="s">
        <v>32526</v>
      </c>
      <c r="S419" t="s">
        <v>32547</v>
      </c>
      <c r="T419" t="s">
        <v>33196</v>
      </c>
      <c r="U419" t="s">
        <v>34004</v>
      </c>
      <c r="W419" t="s">
        <v>29774</v>
      </c>
      <c r="X419" t="s">
        <v>32527</v>
      </c>
    </row>
    <row r="420" spans="1:24">
      <c r="A420">
        <f>HYPERLINK("https://www.philgeps.gov.ph/GEPSNONPILOT/Tender/SplashBidNoticeAbstractUI.aspx?menuIndex=3&amp;refID=7044538&amp;Result=3","7044538")</f>
        <v>0</v>
      </c>
      <c r="B420" t="s">
        <v>168</v>
      </c>
      <c r="C420" t="s">
        <v>3079</v>
      </c>
      <c r="D420" t="s">
        <v>13015</v>
      </c>
      <c r="E420" t="s">
        <v>13478</v>
      </c>
      <c r="F420" t="s">
        <v>22436</v>
      </c>
      <c r="G420" t="s">
        <v>22444</v>
      </c>
      <c r="H420" t="s">
        <v>22452</v>
      </c>
      <c r="I420" t="s">
        <v>22462</v>
      </c>
      <c r="J420" t="s">
        <v>22949</v>
      </c>
      <c r="K420" t="s">
        <v>29335</v>
      </c>
      <c r="M420" t="s">
        <v>29740</v>
      </c>
      <c r="N420" t="s">
        <v>32524</v>
      </c>
      <c r="O420" t="s">
        <v>32525</v>
      </c>
      <c r="P420">
        <v>0</v>
      </c>
      <c r="Q420">
        <v>1</v>
      </c>
      <c r="R420" t="s">
        <v>32526</v>
      </c>
      <c r="S420" t="s">
        <v>32547</v>
      </c>
      <c r="T420" t="s">
        <v>33168</v>
      </c>
      <c r="U420" t="s">
        <v>33937</v>
      </c>
      <c r="V420" t="s">
        <v>42464</v>
      </c>
      <c r="W420" t="s">
        <v>29740</v>
      </c>
      <c r="X420" t="s">
        <v>32527</v>
      </c>
    </row>
    <row r="421" spans="1:24">
      <c r="A421">
        <f>HYPERLINK("https://www.philgeps.gov.ph/GEPSNONPILOT/Tender/SplashBidNoticeAbstractUI.aspx?menuIndex=3&amp;refID=7044544&amp;Result=3","7044544")</f>
        <v>0</v>
      </c>
      <c r="B421" t="s">
        <v>121</v>
      </c>
      <c r="C421" t="s">
        <v>3080</v>
      </c>
      <c r="D421" t="s">
        <v>13034</v>
      </c>
      <c r="E421" t="s">
        <v>13479</v>
      </c>
      <c r="F421" t="s">
        <v>22436</v>
      </c>
      <c r="G421" t="s">
        <v>22445</v>
      </c>
      <c r="H421" t="s">
        <v>22452</v>
      </c>
      <c r="I421" t="s">
        <v>22460</v>
      </c>
      <c r="J421" t="s">
        <v>22950</v>
      </c>
      <c r="K421" t="s">
        <v>29341</v>
      </c>
      <c r="M421" t="s">
        <v>29693</v>
      </c>
      <c r="N421" t="s">
        <v>32524</v>
      </c>
      <c r="O421" t="s">
        <v>32525</v>
      </c>
      <c r="P421">
        <v>0</v>
      </c>
      <c r="Q421">
        <v>0</v>
      </c>
      <c r="R421" t="s">
        <v>32526</v>
      </c>
      <c r="S421" t="s">
        <v>32547</v>
      </c>
      <c r="T421" t="s">
        <v>33203</v>
      </c>
      <c r="U421" t="s">
        <v>34005</v>
      </c>
      <c r="V421" t="s">
        <v>42461</v>
      </c>
      <c r="W421" t="s">
        <v>29693</v>
      </c>
      <c r="X421" t="s">
        <v>32527</v>
      </c>
    </row>
    <row r="422" spans="1:24">
      <c r="A422">
        <f>HYPERLINK("https://www.philgeps.gov.ph/GEPSNONPILOT/Tender/SplashBidNoticeAbstractUI.aspx?menuIndex=3&amp;refID=7044569&amp;Result=3","7044569")</f>
        <v>0</v>
      </c>
      <c r="B422" t="s">
        <v>114</v>
      </c>
      <c r="C422" t="s">
        <v>3081</v>
      </c>
      <c r="D422" t="s">
        <v>12999</v>
      </c>
      <c r="E422" t="s">
        <v>13480</v>
      </c>
      <c r="F422" t="s">
        <v>22436</v>
      </c>
      <c r="G422" t="s">
        <v>22443</v>
      </c>
      <c r="H422" t="s">
        <v>22452</v>
      </c>
      <c r="I422" t="s">
        <v>22469</v>
      </c>
      <c r="J422" t="s">
        <v>22951</v>
      </c>
      <c r="K422" t="s">
        <v>29338</v>
      </c>
      <c r="M422" t="s">
        <v>29686</v>
      </c>
      <c r="N422" t="s">
        <v>32524</v>
      </c>
      <c r="O422" t="s">
        <v>32525</v>
      </c>
      <c r="P422">
        <v>0</v>
      </c>
      <c r="Q422">
        <v>2</v>
      </c>
      <c r="R422" t="s">
        <v>32526</v>
      </c>
      <c r="S422" t="s">
        <v>32547</v>
      </c>
      <c r="T422" t="s">
        <v>33169</v>
      </c>
      <c r="U422" t="s">
        <v>33892</v>
      </c>
      <c r="W422" t="s">
        <v>29686</v>
      </c>
      <c r="X422" t="s">
        <v>32527</v>
      </c>
    </row>
    <row r="423" spans="1:24">
      <c r="A423">
        <f>HYPERLINK("https://www.philgeps.gov.ph/GEPSNONPILOT/Tender/SplashBidNoticeAbstractUI.aspx?menuIndex=3&amp;refID=7044556&amp;Result=3","7044556")</f>
        <v>0</v>
      </c>
      <c r="B423" t="s">
        <v>89</v>
      </c>
      <c r="C423" t="s">
        <v>3082</v>
      </c>
      <c r="D423" t="s">
        <v>13022</v>
      </c>
      <c r="E423" t="s">
        <v>13481</v>
      </c>
      <c r="F423" t="s">
        <v>22436</v>
      </c>
      <c r="G423" t="s">
        <v>22444</v>
      </c>
      <c r="H423" t="s">
        <v>22454</v>
      </c>
      <c r="I423" t="s">
        <v>7738</v>
      </c>
      <c r="J423" t="s">
        <v>22952</v>
      </c>
      <c r="K423" t="s">
        <v>29367</v>
      </c>
      <c r="M423" t="s">
        <v>29661</v>
      </c>
      <c r="N423" t="s">
        <v>32524</v>
      </c>
      <c r="O423" t="s">
        <v>32525</v>
      </c>
      <c r="P423">
        <v>0</v>
      </c>
      <c r="Q423">
        <v>1</v>
      </c>
      <c r="R423" t="s">
        <v>32526</v>
      </c>
      <c r="S423" t="s">
        <v>32547</v>
      </c>
      <c r="T423" t="s">
        <v>33170</v>
      </c>
      <c r="U423" t="s">
        <v>34006</v>
      </c>
      <c r="W423" t="s">
        <v>29661</v>
      </c>
      <c r="X423" t="s">
        <v>32527</v>
      </c>
    </row>
    <row r="424" spans="1:24">
      <c r="A424">
        <f>HYPERLINK("https://www.philgeps.gov.ph/GEPSNONPILOT/Tender/SplashBidNoticeAbstractUI.aspx?menuIndex=3&amp;refID=7044539&amp;Result=3","7044539")</f>
        <v>0</v>
      </c>
      <c r="B424" t="s">
        <v>202</v>
      </c>
      <c r="C424" t="s">
        <v>3083</v>
      </c>
      <c r="D424" t="s">
        <v>13019</v>
      </c>
      <c r="E424" t="s">
        <v>13482</v>
      </c>
      <c r="F424" t="s">
        <v>22436</v>
      </c>
      <c r="G424" t="s">
        <v>22443</v>
      </c>
      <c r="H424" t="s">
        <v>22452</v>
      </c>
      <c r="I424" t="s">
        <v>22505</v>
      </c>
      <c r="J424" t="s">
        <v>22953</v>
      </c>
      <c r="K424" t="s">
        <v>29335</v>
      </c>
      <c r="M424" t="s">
        <v>29775</v>
      </c>
      <c r="N424" t="s">
        <v>32524</v>
      </c>
      <c r="O424" t="s">
        <v>32525</v>
      </c>
      <c r="P424">
        <v>0</v>
      </c>
      <c r="Q424">
        <v>2</v>
      </c>
      <c r="R424" t="s">
        <v>32526</v>
      </c>
      <c r="S424" t="s">
        <v>32547</v>
      </c>
      <c r="T424" t="s">
        <v>33167</v>
      </c>
      <c r="U424" t="s">
        <v>34007</v>
      </c>
      <c r="W424" t="s">
        <v>29775</v>
      </c>
      <c r="X424" t="s">
        <v>32527</v>
      </c>
    </row>
    <row r="425" spans="1:24">
      <c r="A425">
        <f>HYPERLINK("https://www.philgeps.gov.ph/GEPSNONPILOT/Tender/SplashBidNoticeAbstractUI.aspx?menuIndex=3&amp;refID=7044576&amp;Result=3","7044576")</f>
        <v>0</v>
      </c>
      <c r="B425" t="s">
        <v>203</v>
      </c>
      <c r="C425" t="s">
        <v>3084</v>
      </c>
      <c r="D425" t="s">
        <v>13000</v>
      </c>
      <c r="E425" t="s">
        <v>13483</v>
      </c>
      <c r="F425" t="s">
        <v>22436</v>
      </c>
      <c r="G425" t="s">
        <v>22443</v>
      </c>
      <c r="H425" t="s">
        <v>22452</v>
      </c>
      <c r="I425" t="s">
        <v>22460</v>
      </c>
      <c r="J425" t="s">
        <v>22954</v>
      </c>
      <c r="K425" t="s">
        <v>29368</v>
      </c>
      <c r="M425" t="s">
        <v>29776</v>
      </c>
      <c r="N425" t="s">
        <v>32524</v>
      </c>
      <c r="O425" t="s">
        <v>32525</v>
      </c>
      <c r="P425">
        <v>0</v>
      </c>
      <c r="Q425">
        <v>0</v>
      </c>
      <c r="R425" t="s">
        <v>32526</v>
      </c>
      <c r="S425" t="s">
        <v>32547</v>
      </c>
      <c r="T425" t="s">
        <v>33154</v>
      </c>
      <c r="U425" t="s">
        <v>34008</v>
      </c>
      <c r="W425" t="s">
        <v>29776</v>
      </c>
      <c r="X425" t="s">
        <v>32527</v>
      </c>
    </row>
    <row r="426" spans="1:24">
      <c r="A426">
        <f>HYPERLINK("https://www.philgeps.gov.ph/GEPSNONPILOT/Tender/SplashBidNoticeAbstractUI.aspx?menuIndex=3&amp;refID=7044555&amp;Result=3","7044555")</f>
        <v>0</v>
      </c>
      <c r="B426" t="s">
        <v>204</v>
      </c>
      <c r="C426" t="s">
        <v>3085</v>
      </c>
      <c r="D426" t="s">
        <v>13008</v>
      </c>
      <c r="E426" t="s">
        <v>13182</v>
      </c>
      <c r="F426" t="s">
        <v>22436</v>
      </c>
      <c r="G426" t="s">
        <v>22443</v>
      </c>
      <c r="H426" t="s">
        <v>22452</v>
      </c>
      <c r="I426" t="s">
        <v>3529</v>
      </c>
      <c r="J426" t="s">
        <v>22955</v>
      </c>
      <c r="K426" t="s">
        <v>29338</v>
      </c>
      <c r="M426" t="s">
        <v>29777</v>
      </c>
      <c r="N426" t="s">
        <v>32524</v>
      </c>
      <c r="O426" t="s">
        <v>32525</v>
      </c>
      <c r="P426">
        <v>0</v>
      </c>
      <c r="Q426">
        <v>0</v>
      </c>
      <c r="R426" t="s">
        <v>32526</v>
      </c>
      <c r="S426" t="s">
        <v>32547</v>
      </c>
      <c r="T426" t="s">
        <v>33169</v>
      </c>
      <c r="U426" t="s">
        <v>34009</v>
      </c>
      <c r="W426" t="s">
        <v>29777</v>
      </c>
      <c r="X426" t="s">
        <v>32527</v>
      </c>
    </row>
    <row r="427" spans="1:24">
      <c r="A427">
        <f>HYPERLINK("https://www.philgeps.gov.ph/GEPSNONPILOT/Tender/SplashBidNoticeAbstractUI.aspx?menuIndex=3&amp;refID=7044543&amp;Result=3","7044543")</f>
        <v>0</v>
      </c>
      <c r="B427" t="s">
        <v>144</v>
      </c>
      <c r="C427" t="s">
        <v>3086</v>
      </c>
      <c r="D427" t="s">
        <v>12988</v>
      </c>
      <c r="E427" t="s">
        <v>13484</v>
      </c>
      <c r="F427" t="s">
        <v>22436</v>
      </c>
      <c r="G427" t="s">
        <v>22444</v>
      </c>
      <c r="H427" t="s">
        <v>22453</v>
      </c>
      <c r="I427" t="s">
        <v>22465</v>
      </c>
      <c r="J427" t="s">
        <v>22956</v>
      </c>
      <c r="K427" t="s">
        <v>29330</v>
      </c>
      <c r="M427" t="s">
        <v>29716</v>
      </c>
      <c r="N427" t="s">
        <v>32524</v>
      </c>
      <c r="O427" t="s">
        <v>32525</v>
      </c>
      <c r="P427">
        <v>0</v>
      </c>
      <c r="Q427">
        <v>0</v>
      </c>
      <c r="R427" t="s">
        <v>32526</v>
      </c>
      <c r="S427" t="s">
        <v>32547</v>
      </c>
      <c r="T427" t="s">
        <v>33232</v>
      </c>
      <c r="U427" t="s">
        <v>34010</v>
      </c>
      <c r="W427" t="s">
        <v>29716</v>
      </c>
      <c r="X427" t="s">
        <v>32527</v>
      </c>
    </row>
    <row r="428" spans="1:24">
      <c r="A428">
        <f>HYPERLINK("https://www.philgeps.gov.ph/GEPSNONPILOT/Tender/SplashBidNoticeAbstractUI.aspx?menuIndex=3&amp;refID=7044573&amp;Result=3","7044573")</f>
        <v>0</v>
      </c>
      <c r="B428" t="s">
        <v>205</v>
      </c>
      <c r="C428" t="s">
        <v>3087</v>
      </c>
      <c r="D428" t="s">
        <v>13002</v>
      </c>
      <c r="E428" t="s">
        <v>13485</v>
      </c>
      <c r="F428" t="s">
        <v>22436</v>
      </c>
      <c r="G428" t="s">
        <v>22444</v>
      </c>
      <c r="H428" t="s">
        <v>22452</v>
      </c>
      <c r="I428" t="s">
        <v>22474</v>
      </c>
      <c r="J428" t="s">
        <v>22893</v>
      </c>
      <c r="K428" t="s">
        <v>29338</v>
      </c>
      <c r="M428" t="s">
        <v>29778</v>
      </c>
      <c r="N428" t="s">
        <v>32524</v>
      </c>
      <c r="O428" t="s">
        <v>32525</v>
      </c>
      <c r="P428">
        <v>0</v>
      </c>
      <c r="Q428">
        <v>0</v>
      </c>
      <c r="R428" t="s">
        <v>32526</v>
      </c>
      <c r="S428" t="s">
        <v>32547</v>
      </c>
      <c r="T428" t="s">
        <v>33233</v>
      </c>
      <c r="U428" t="s">
        <v>34011</v>
      </c>
      <c r="W428" t="s">
        <v>29778</v>
      </c>
      <c r="X428" t="s">
        <v>32527</v>
      </c>
    </row>
    <row r="429" spans="1:24">
      <c r="A429">
        <f>HYPERLINK("https://www.philgeps.gov.ph/GEPSNONPILOT/Tender/SplashBidNoticeAbstractUI.aspx?menuIndex=3&amp;refID=7044565&amp;Result=3","7044565")</f>
        <v>0</v>
      </c>
      <c r="B429" t="s">
        <v>206</v>
      </c>
      <c r="C429" t="s">
        <v>3088</v>
      </c>
      <c r="D429" t="s">
        <v>12992</v>
      </c>
      <c r="E429" t="s">
        <v>13486</v>
      </c>
      <c r="F429" t="s">
        <v>22436</v>
      </c>
      <c r="G429" t="s">
        <v>22446</v>
      </c>
      <c r="H429" t="s">
        <v>22452</v>
      </c>
      <c r="I429" t="s">
        <v>2981</v>
      </c>
      <c r="J429" t="s">
        <v>22957</v>
      </c>
      <c r="K429" t="s">
        <v>29336</v>
      </c>
      <c r="M429" t="s">
        <v>29779</v>
      </c>
      <c r="N429" t="s">
        <v>32524</v>
      </c>
      <c r="O429" t="s">
        <v>32525</v>
      </c>
      <c r="P429">
        <v>0</v>
      </c>
      <c r="Q429">
        <v>0</v>
      </c>
      <c r="R429" t="s">
        <v>32526</v>
      </c>
      <c r="S429" t="s">
        <v>32547</v>
      </c>
      <c r="T429" t="s">
        <v>33220</v>
      </c>
      <c r="U429" t="s">
        <v>34012</v>
      </c>
      <c r="W429" t="s">
        <v>29779</v>
      </c>
      <c r="X429" t="s">
        <v>32527</v>
      </c>
    </row>
    <row r="430" spans="1:24">
      <c r="A430">
        <f>HYPERLINK("https://www.philgeps.gov.ph/GEPSNONPILOT/Tender/SplashBidNoticeAbstractUI.aspx?menuIndex=3&amp;refID=7044562&amp;Result=3","7044562")</f>
        <v>0</v>
      </c>
      <c r="B430" t="s">
        <v>137</v>
      </c>
      <c r="C430" t="s">
        <v>3089</v>
      </c>
      <c r="D430" t="s">
        <v>12994</v>
      </c>
      <c r="E430" t="s">
        <v>13487</v>
      </c>
      <c r="F430" t="s">
        <v>22436</v>
      </c>
      <c r="G430" t="s">
        <v>22444</v>
      </c>
      <c r="H430" t="s">
        <v>22454</v>
      </c>
      <c r="I430" t="s">
        <v>7738</v>
      </c>
      <c r="J430" t="s">
        <v>22958</v>
      </c>
      <c r="K430" t="s">
        <v>29335</v>
      </c>
      <c r="M430" t="s">
        <v>29709</v>
      </c>
      <c r="N430" t="s">
        <v>32524</v>
      </c>
      <c r="O430" t="s">
        <v>32525</v>
      </c>
      <c r="P430">
        <v>0</v>
      </c>
      <c r="Q430">
        <v>0</v>
      </c>
      <c r="R430" t="s">
        <v>32526</v>
      </c>
      <c r="S430" t="s">
        <v>32547</v>
      </c>
      <c r="T430" t="s">
        <v>33182</v>
      </c>
      <c r="U430" t="s">
        <v>34013</v>
      </c>
      <c r="W430" t="s">
        <v>29709</v>
      </c>
      <c r="X430" t="s">
        <v>32527</v>
      </c>
    </row>
    <row r="431" spans="1:24">
      <c r="A431">
        <f>HYPERLINK("https://www.philgeps.gov.ph/GEPSNONPILOT/Tender/SplashBidNoticeAbstractUI.aspx?menuIndex=3&amp;refID=7044561&amp;Result=3","7044561")</f>
        <v>0</v>
      </c>
      <c r="B431" t="s">
        <v>188</v>
      </c>
      <c r="C431" t="s">
        <v>3090</v>
      </c>
      <c r="D431" t="s">
        <v>12998</v>
      </c>
      <c r="E431" t="s">
        <v>13488</v>
      </c>
      <c r="F431" t="s">
        <v>22436</v>
      </c>
      <c r="G431" t="s">
        <v>22446</v>
      </c>
      <c r="H431" t="s">
        <v>22452</v>
      </c>
      <c r="I431" t="s">
        <v>3529</v>
      </c>
      <c r="J431" t="s">
        <v>22959</v>
      </c>
      <c r="K431" t="s">
        <v>29341</v>
      </c>
      <c r="M431" t="s">
        <v>29761</v>
      </c>
      <c r="N431" t="s">
        <v>32524</v>
      </c>
      <c r="O431" t="s">
        <v>32525</v>
      </c>
      <c r="P431">
        <v>0</v>
      </c>
      <c r="Q431">
        <v>1</v>
      </c>
      <c r="R431" t="s">
        <v>32526</v>
      </c>
      <c r="S431" t="s">
        <v>32547</v>
      </c>
      <c r="T431" t="s">
        <v>33228</v>
      </c>
      <c r="U431" t="s">
        <v>34014</v>
      </c>
      <c r="V431" t="s">
        <v>42472</v>
      </c>
      <c r="W431" t="s">
        <v>29761</v>
      </c>
      <c r="X431" t="s">
        <v>32527</v>
      </c>
    </row>
    <row r="432" spans="1:24">
      <c r="A432">
        <f>HYPERLINK("https://www.philgeps.gov.ph/GEPSNONPILOT/Tender/SplashBidNoticeAbstractUI.aspx?menuIndex=3&amp;refID=7044563&amp;Result=3","7044563")</f>
        <v>0</v>
      </c>
      <c r="B432" t="s">
        <v>169</v>
      </c>
      <c r="C432" t="s">
        <v>3091</v>
      </c>
      <c r="D432" t="s">
        <v>13044</v>
      </c>
      <c r="E432" t="s">
        <v>13489</v>
      </c>
      <c r="F432" t="s">
        <v>22436</v>
      </c>
      <c r="G432" t="s">
        <v>22444</v>
      </c>
      <c r="H432" t="s">
        <v>22452</v>
      </c>
      <c r="I432" t="s">
        <v>22502</v>
      </c>
      <c r="J432" t="s">
        <v>22960</v>
      </c>
      <c r="K432" t="s">
        <v>29344</v>
      </c>
      <c r="M432" t="s">
        <v>29741</v>
      </c>
      <c r="N432" t="s">
        <v>32524</v>
      </c>
      <c r="O432" t="s">
        <v>32525</v>
      </c>
      <c r="P432">
        <v>0</v>
      </c>
      <c r="Q432">
        <v>18</v>
      </c>
      <c r="R432" t="s">
        <v>32526</v>
      </c>
      <c r="S432" t="s">
        <v>32547</v>
      </c>
      <c r="T432" t="s">
        <v>33219</v>
      </c>
      <c r="U432" t="s">
        <v>34015</v>
      </c>
      <c r="V432" t="s">
        <v>42475</v>
      </c>
      <c r="W432" t="s">
        <v>29741</v>
      </c>
      <c r="X432" t="s">
        <v>32527</v>
      </c>
    </row>
    <row r="433" spans="1:24">
      <c r="A433">
        <f>HYPERLINK("https://www.philgeps.gov.ph/GEPSNONPILOT/Tender/SplashBidNoticeAbstractUI.aspx?menuIndex=3&amp;refID=7044574&amp;Result=3","7044574")</f>
        <v>0</v>
      </c>
      <c r="B433" t="s">
        <v>168</v>
      </c>
      <c r="C433" t="s">
        <v>3092</v>
      </c>
      <c r="D433" t="s">
        <v>13015</v>
      </c>
      <c r="E433" t="s">
        <v>13490</v>
      </c>
      <c r="F433" t="s">
        <v>22436</v>
      </c>
      <c r="G433" t="s">
        <v>22444</v>
      </c>
      <c r="H433" t="s">
        <v>22452</v>
      </c>
      <c r="I433" t="s">
        <v>22468</v>
      </c>
      <c r="J433" t="s">
        <v>22961</v>
      </c>
      <c r="K433" t="s">
        <v>29335</v>
      </c>
      <c r="M433" t="s">
        <v>29740</v>
      </c>
      <c r="N433" t="s">
        <v>32524</v>
      </c>
      <c r="O433" t="s">
        <v>32525</v>
      </c>
      <c r="P433">
        <v>0</v>
      </c>
      <c r="Q433">
        <v>0</v>
      </c>
      <c r="R433" t="s">
        <v>32526</v>
      </c>
      <c r="S433" t="s">
        <v>32547</v>
      </c>
      <c r="T433" t="s">
        <v>33168</v>
      </c>
      <c r="U433" t="s">
        <v>33937</v>
      </c>
      <c r="V433" t="s">
        <v>42464</v>
      </c>
      <c r="W433" t="s">
        <v>29740</v>
      </c>
      <c r="X433" t="s">
        <v>32527</v>
      </c>
    </row>
    <row r="434" spans="1:24">
      <c r="A434">
        <f>HYPERLINK("https://www.philgeps.gov.ph/GEPSNONPILOT/Tender/SplashBidNoticeAbstractUI.aspx?menuIndex=3&amp;refID=7044560&amp;Result=3","7044560")</f>
        <v>0</v>
      </c>
      <c r="B434" t="s">
        <v>207</v>
      </c>
      <c r="C434" t="s">
        <v>3093</v>
      </c>
      <c r="D434" t="s">
        <v>13018</v>
      </c>
      <c r="E434" t="s">
        <v>13491</v>
      </c>
      <c r="F434" t="s">
        <v>22436</v>
      </c>
      <c r="G434" t="s">
        <v>22443</v>
      </c>
      <c r="H434" t="s">
        <v>22452</v>
      </c>
      <c r="I434" t="s">
        <v>22463</v>
      </c>
      <c r="J434" t="s">
        <v>22962</v>
      </c>
      <c r="K434" t="s">
        <v>29341</v>
      </c>
      <c r="M434" t="s">
        <v>29780</v>
      </c>
      <c r="N434" t="s">
        <v>32524</v>
      </c>
      <c r="O434" t="s">
        <v>32525</v>
      </c>
      <c r="P434">
        <v>0</v>
      </c>
      <c r="Q434">
        <v>3</v>
      </c>
      <c r="R434" t="s">
        <v>32526</v>
      </c>
      <c r="S434" t="s">
        <v>32547</v>
      </c>
      <c r="T434" t="s">
        <v>33197</v>
      </c>
      <c r="U434" t="s">
        <v>34016</v>
      </c>
      <c r="W434" t="s">
        <v>43671</v>
      </c>
      <c r="X434" t="s">
        <v>32527</v>
      </c>
    </row>
    <row r="435" spans="1:24">
      <c r="A435">
        <f>HYPERLINK("https://www.philgeps.gov.ph/GEPSNONPILOT/Tender/SplashBidNoticeAbstractUI.aspx?menuIndex=3&amp;refID=7044577&amp;Result=3","7044577")</f>
        <v>0</v>
      </c>
      <c r="B435" t="s">
        <v>192</v>
      </c>
      <c r="C435" t="s">
        <v>3094</v>
      </c>
      <c r="D435" t="s">
        <v>13048</v>
      </c>
      <c r="E435" t="s">
        <v>13492</v>
      </c>
      <c r="F435" t="s">
        <v>22436</v>
      </c>
      <c r="G435" t="s">
        <v>22444</v>
      </c>
      <c r="H435" t="s">
        <v>22454</v>
      </c>
      <c r="I435" t="s">
        <v>7738</v>
      </c>
      <c r="J435" t="s">
        <v>22669</v>
      </c>
      <c r="K435" t="s">
        <v>29338</v>
      </c>
      <c r="M435" t="s">
        <v>29765</v>
      </c>
      <c r="N435" t="s">
        <v>32524</v>
      </c>
      <c r="O435" t="s">
        <v>32525</v>
      </c>
      <c r="P435">
        <v>0</v>
      </c>
      <c r="Q435">
        <v>0</v>
      </c>
      <c r="R435" t="s">
        <v>32526</v>
      </c>
      <c r="S435" t="s">
        <v>32547</v>
      </c>
      <c r="T435" t="s">
        <v>33170</v>
      </c>
      <c r="U435" t="s">
        <v>33981</v>
      </c>
      <c r="W435" t="s">
        <v>29765</v>
      </c>
      <c r="X435" t="s">
        <v>32527</v>
      </c>
    </row>
    <row r="436" spans="1:24">
      <c r="A436">
        <f>HYPERLINK("https://www.philgeps.gov.ph/GEPSNONPILOT/Tender/SplashBidNoticeAbstractUI.aspx?menuIndex=3&amp;refID=7044564&amp;Result=3","7044564")</f>
        <v>0</v>
      </c>
      <c r="B436" t="s">
        <v>208</v>
      </c>
      <c r="C436" t="s">
        <v>3095</v>
      </c>
      <c r="D436" t="s">
        <v>13004</v>
      </c>
      <c r="E436" t="s">
        <v>13493</v>
      </c>
      <c r="F436" t="s">
        <v>22436</v>
      </c>
      <c r="G436" t="s">
        <v>22443</v>
      </c>
      <c r="H436" t="s">
        <v>22453</v>
      </c>
      <c r="I436" t="s">
        <v>22475</v>
      </c>
      <c r="J436" t="s">
        <v>22657</v>
      </c>
      <c r="K436" t="s">
        <v>29336</v>
      </c>
      <c r="M436" t="s">
        <v>29781</v>
      </c>
      <c r="N436" t="s">
        <v>32524</v>
      </c>
      <c r="O436" t="s">
        <v>32525</v>
      </c>
      <c r="P436">
        <v>0</v>
      </c>
      <c r="Q436">
        <v>0</v>
      </c>
      <c r="R436" t="s">
        <v>32526</v>
      </c>
      <c r="S436" t="s">
        <v>32547</v>
      </c>
      <c r="T436" t="s">
        <v>33206</v>
      </c>
      <c r="U436" t="s">
        <v>34017</v>
      </c>
      <c r="W436" t="s">
        <v>29781</v>
      </c>
      <c r="X436" t="s">
        <v>32527</v>
      </c>
    </row>
    <row r="437" spans="1:24">
      <c r="A437">
        <f>HYPERLINK("https://www.philgeps.gov.ph/GEPSNONPILOT/Tender/SplashBidNoticeAbstractUI.aspx?menuIndex=3&amp;refID=7044567&amp;Result=3","7044567")</f>
        <v>0</v>
      </c>
      <c r="B437" t="s">
        <v>194</v>
      </c>
      <c r="C437" t="s">
        <v>3096</v>
      </c>
      <c r="D437" t="s">
        <v>13031</v>
      </c>
      <c r="E437" t="s">
        <v>13494</v>
      </c>
      <c r="F437" t="s">
        <v>22436</v>
      </c>
      <c r="G437" t="s">
        <v>22443</v>
      </c>
      <c r="H437" t="s">
        <v>22452</v>
      </c>
      <c r="I437" t="s">
        <v>22456</v>
      </c>
      <c r="J437" t="s">
        <v>22654</v>
      </c>
      <c r="K437" t="s">
        <v>29338</v>
      </c>
      <c r="M437" t="s">
        <v>29767</v>
      </c>
      <c r="N437" t="s">
        <v>32524</v>
      </c>
      <c r="O437" t="s">
        <v>32525</v>
      </c>
      <c r="P437">
        <v>0</v>
      </c>
      <c r="Q437">
        <v>2</v>
      </c>
      <c r="R437" t="s">
        <v>32526</v>
      </c>
      <c r="S437" t="s">
        <v>32547</v>
      </c>
      <c r="T437" t="s">
        <v>33177</v>
      </c>
      <c r="U437" t="s">
        <v>33984</v>
      </c>
      <c r="W437" t="s">
        <v>29767</v>
      </c>
      <c r="X437" t="s">
        <v>32527</v>
      </c>
    </row>
    <row r="438" spans="1:24">
      <c r="A438">
        <f>HYPERLINK("https://www.philgeps.gov.ph/GEPSNONPILOT/Tender/SplashBidNoticeAbstractUI.aspx?menuIndex=3&amp;refID=7044580&amp;Result=3","7044580")</f>
        <v>0</v>
      </c>
      <c r="B438" t="s">
        <v>209</v>
      </c>
      <c r="C438" t="s">
        <v>3097</v>
      </c>
      <c r="D438" t="s">
        <v>13049</v>
      </c>
      <c r="E438" t="s">
        <v>13495</v>
      </c>
      <c r="F438" t="s">
        <v>22436</v>
      </c>
      <c r="G438" t="s">
        <v>22444</v>
      </c>
      <c r="H438" t="s">
        <v>22454</v>
      </c>
      <c r="I438" t="s">
        <v>7738</v>
      </c>
      <c r="J438" t="s">
        <v>22963</v>
      </c>
      <c r="K438" t="s">
        <v>29345</v>
      </c>
      <c r="M438" t="s">
        <v>29782</v>
      </c>
      <c r="N438" t="s">
        <v>32524</v>
      </c>
      <c r="O438" t="s">
        <v>32525</v>
      </c>
      <c r="P438">
        <v>0</v>
      </c>
      <c r="Q438">
        <v>0</v>
      </c>
      <c r="R438" t="s">
        <v>32526</v>
      </c>
      <c r="S438" t="s">
        <v>32547</v>
      </c>
      <c r="T438" t="s">
        <v>33234</v>
      </c>
      <c r="U438" t="s">
        <v>34018</v>
      </c>
      <c r="W438" t="s">
        <v>29782</v>
      </c>
      <c r="X438" t="s">
        <v>32527</v>
      </c>
    </row>
    <row r="439" spans="1:24">
      <c r="A439">
        <f>HYPERLINK("https://www.philgeps.gov.ph/GEPSNONPILOT/Tender/SplashBidNoticeAbstractUI.aspx?menuIndex=3&amp;refID=7044559&amp;Result=3","7044559")</f>
        <v>0</v>
      </c>
      <c r="B439" t="s">
        <v>210</v>
      </c>
      <c r="C439" t="s">
        <v>3098</v>
      </c>
      <c r="D439" t="s">
        <v>12994</v>
      </c>
      <c r="E439" t="s">
        <v>13496</v>
      </c>
      <c r="F439" t="s">
        <v>22436</v>
      </c>
      <c r="G439" t="s">
        <v>22443</v>
      </c>
      <c r="H439" t="s">
        <v>22452</v>
      </c>
      <c r="I439" t="s">
        <v>3122</v>
      </c>
      <c r="J439" t="s">
        <v>22964</v>
      </c>
      <c r="K439" t="s">
        <v>29336</v>
      </c>
      <c r="M439" t="s">
        <v>29783</v>
      </c>
      <c r="N439" t="s">
        <v>32524</v>
      </c>
      <c r="O439" t="s">
        <v>32525</v>
      </c>
      <c r="P439">
        <v>0</v>
      </c>
      <c r="Q439">
        <v>0</v>
      </c>
      <c r="R439" t="s">
        <v>32526</v>
      </c>
      <c r="S439" t="s">
        <v>32547</v>
      </c>
      <c r="T439" t="s">
        <v>33230</v>
      </c>
      <c r="U439" t="s">
        <v>34019</v>
      </c>
      <c r="W439" t="s">
        <v>29783</v>
      </c>
      <c r="X439" t="s">
        <v>32527</v>
      </c>
    </row>
    <row r="440" spans="1:24">
      <c r="A440">
        <f>HYPERLINK("https://www.philgeps.gov.ph/GEPSNONPILOT/Tender/SplashBidNoticeAbstractUI.aspx?menuIndex=3&amp;refID=7044572&amp;Result=3","7044572")</f>
        <v>0</v>
      </c>
      <c r="B440" t="s">
        <v>140</v>
      </c>
      <c r="C440" t="s">
        <v>3099</v>
      </c>
      <c r="D440" t="s">
        <v>12988</v>
      </c>
      <c r="E440" t="s">
        <v>13497</v>
      </c>
      <c r="F440" t="s">
        <v>22436</v>
      </c>
      <c r="G440" t="s">
        <v>22443</v>
      </c>
      <c r="H440" t="s">
        <v>22452</v>
      </c>
      <c r="I440" t="s">
        <v>22472</v>
      </c>
      <c r="J440" t="s">
        <v>22965</v>
      </c>
      <c r="K440" t="s">
        <v>29338</v>
      </c>
      <c r="M440" t="s">
        <v>29712</v>
      </c>
      <c r="N440" t="s">
        <v>32524</v>
      </c>
      <c r="O440" t="s">
        <v>32525</v>
      </c>
      <c r="P440">
        <v>0</v>
      </c>
      <c r="Q440">
        <v>0</v>
      </c>
      <c r="R440" t="s">
        <v>32526</v>
      </c>
      <c r="S440" t="s">
        <v>32547</v>
      </c>
      <c r="T440" t="s">
        <v>33168</v>
      </c>
      <c r="U440" t="s">
        <v>34020</v>
      </c>
      <c r="W440" t="s">
        <v>29712</v>
      </c>
      <c r="X440" t="s">
        <v>32527</v>
      </c>
    </row>
    <row r="441" spans="1:24">
      <c r="A441">
        <f>HYPERLINK("https://www.philgeps.gov.ph/GEPSNONPILOT/Tender/SplashBidNoticeAbstractUI.aspx?menuIndex=3&amp;refID=7044579&amp;Result=3","7044579")</f>
        <v>0</v>
      </c>
      <c r="B441" t="s">
        <v>189</v>
      </c>
      <c r="C441" t="s">
        <v>3100</v>
      </c>
      <c r="E441" t="s">
        <v>13498</v>
      </c>
      <c r="F441" t="s">
        <v>22436</v>
      </c>
      <c r="G441" t="s">
        <v>22444</v>
      </c>
      <c r="H441" t="s">
        <v>22454</v>
      </c>
      <c r="I441" t="s">
        <v>7738</v>
      </c>
      <c r="J441" t="s">
        <v>22966</v>
      </c>
      <c r="K441" t="s">
        <v>29333</v>
      </c>
      <c r="M441" t="s">
        <v>29762</v>
      </c>
      <c r="N441" t="s">
        <v>32524</v>
      </c>
      <c r="O441" t="s">
        <v>32525</v>
      </c>
      <c r="P441">
        <v>0</v>
      </c>
      <c r="Q441">
        <v>0</v>
      </c>
      <c r="R441" t="s">
        <v>32526</v>
      </c>
      <c r="S441" t="s">
        <v>32547</v>
      </c>
      <c r="T441" t="s">
        <v>33165</v>
      </c>
      <c r="U441" t="s">
        <v>34021</v>
      </c>
      <c r="W441" t="s">
        <v>29762</v>
      </c>
      <c r="X441" t="s">
        <v>32527</v>
      </c>
    </row>
    <row r="442" spans="1:24">
      <c r="A442">
        <f>HYPERLINK("https://www.philgeps.gov.ph/GEPSNONPILOT/Tender/SplashBidNoticeAbstractUI.aspx?menuIndex=3&amp;refID=7044598&amp;Result=3","7044598")</f>
        <v>0</v>
      </c>
      <c r="B442" t="s">
        <v>181</v>
      </c>
      <c r="C442" t="s">
        <v>3101</v>
      </c>
      <c r="D442" t="s">
        <v>13032</v>
      </c>
      <c r="E442" t="s">
        <v>13499</v>
      </c>
      <c r="F442" t="s">
        <v>22436</v>
      </c>
      <c r="G442" t="s">
        <v>22444</v>
      </c>
      <c r="H442" t="s">
        <v>22452</v>
      </c>
      <c r="I442" t="s">
        <v>3529</v>
      </c>
      <c r="J442" t="s">
        <v>22967</v>
      </c>
      <c r="K442" t="s">
        <v>29341</v>
      </c>
      <c r="M442" t="s">
        <v>29753</v>
      </c>
      <c r="N442" t="s">
        <v>32524</v>
      </c>
      <c r="O442" t="s">
        <v>32525</v>
      </c>
      <c r="P442">
        <v>0</v>
      </c>
      <c r="Q442">
        <v>0</v>
      </c>
      <c r="R442" t="s">
        <v>32526</v>
      </c>
      <c r="S442" t="s">
        <v>32547</v>
      </c>
      <c r="T442" t="s">
        <v>33227</v>
      </c>
      <c r="U442" t="s">
        <v>34022</v>
      </c>
      <c r="W442" t="s">
        <v>29753</v>
      </c>
      <c r="X442" t="s">
        <v>32527</v>
      </c>
    </row>
    <row r="443" spans="1:24">
      <c r="A443">
        <f>HYPERLINK("https://www.philgeps.gov.ph/GEPSNONPILOT/Tender/SplashBidNoticeAbstractUI.aspx?menuIndex=3&amp;refID=7044568&amp;Result=3","7044568")</f>
        <v>0</v>
      </c>
      <c r="B443" t="s">
        <v>211</v>
      </c>
      <c r="C443" t="s">
        <v>3102</v>
      </c>
      <c r="D443" t="s">
        <v>12988</v>
      </c>
      <c r="E443" t="s">
        <v>13500</v>
      </c>
      <c r="F443" t="s">
        <v>22436</v>
      </c>
      <c r="G443" t="s">
        <v>22443</v>
      </c>
      <c r="H443" t="s">
        <v>22452</v>
      </c>
      <c r="I443" t="s">
        <v>3529</v>
      </c>
      <c r="J443" t="s">
        <v>22806</v>
      </c>
      <c r="K443" t="s">
        <v>29356</v>
      </c>
      <c r="M443" t="s">
        <v>29784</v>
      </c>
      <c r="N443" t="s">
        <v>32524</v>
      </c>
      <c r="O443" t="s">
        <v>32525</v>
      </c>
      <c r="P443">
        <v>0</v>
      </c>
      <c r="Q443">
        <v>0</v>
      </c>
      <c r="R443" t="s">
        <v>32526</v>
      </c>
      <c r="S443" t="s">
        <v>32547</v>
      </c>
      <c r="T443" t="s">
        <v>33154</v>
      </c>
      <c r="U443" t="s">
        <v>34023</v>
      </c>
      <c r="W443" t="s">
        <v>29784</v>
      </c>
      <c r="X443" t="s">
        <v>32527</v>
      </c>
    </row>
    <row r="444" spans="1:24">
      <c r="A444">
        <f>HYPERLINK("https://www.philgeps.gov.ph/GEPSNONPILOT/Tender/SplashBidNoticeAbstractUI.aspx?menuIndex=3&amp;refID=7044595&amp;Result=3","7044595")</f>
        <v>0</v>
      </c>
      <c r="B444" t="s">
        <v>212</v>
      </c>
      <c r="C444" t="s">
        <v>3103</v>
      </c>
      <c r="D444" t="s">
        <v>13050</v>
      </c>
      <c r="E444" t="s">
        <v>13332</v>
      </c>
      <c r="F444" t="s">
        <v>22436</v>
      </c>
      <c r="G444" t="s">
        <v>22443</v>
      </c>
      <c r="H444" t="s">
        <v>22452</v>
      </c>
      <c r="I444" t="s">
        <v>2981</v>
      </c>
      <c r="J444" t="s">
        <v>22605</v>
      </c>
      <c r="K444" t="s">
        <v>29331</v>
      </c>
      <c r="M444" t="s">
        <v>29785</v>
      </c>
      <c r="N444" t="s">
        <v>32524</v>
      </c>
      <c r="O444" t="s">
        <v>32525</v>
      </c>
      <c r="P444">
        <v>0</v>
      </c>
      <c r="Q444">
        <v>2</v>
      </c>
      <c r="R444" t="s">
        <v>32526</v>
      </c>
      <c r="S444" t="s">
        <v>32547</v>
      </c>
      <c r="T444" t="s">
        <v>33235</v>
      </c>
      <c r="U444" t="s">
        <v>34024</v>
      </c>
      <c r="W444" t="s">
        <v>29785</v>
      </c>
      <c r="X444" t="s">
        <v>32527</v>
      </c>
    </row>
    <row r="445" spans="1:24">
      <c r="A445">
        <f>HYPERLINK("https://www.philgeps.gov.ph/GEPSNONPILOT/Tender/SplashBidNoticeAbstractUI.aspx?menuIndex=3&amp;refID=7044584&amp;Result=3","7044584")</f>
        <v>0</v>
      </c>
      <c r="B445" t="s">
        <v>213</v>
      </c>
      <c r="C445" t="s">
        <v>3104</v>
      </c>
      <c r="D445" t="s">
        <v>13046</v>
      </c>
      <c r="E445" t="s">
        <v>13501</v>
      </c>
      <c r="F445" t="s">
        <v>22436</v>
      </c>
      <c r="G445" t="s">
        <v>22444</v>
      </c>
      <c r="H445" t="s">
        <v>22452</v>
      </c>
      <c r="I445" t="s">
        <v>3529</v>
      </c>
      <c r="J445" t="s">
        <v>22968</v>
      </c>
      <c r="K445" t="s">
        <v>29330</v>
      </c>
      <c r="M445" t="s">
        <v>29786</v>
      </c>
      <c r="N445" t="s">
        <v>32524</v>
      </c>
      <c r="O445" t="s">
        <v>32525</v>
      </c>
      <c r="P445">
        <v>0</v>
      </c>
      <c r="Q445">
        <v>0</v>
      </c>
      <c r="R445" t="s">
        <v>32526</v>
      </c>
      <c r="S445" t="s">
        <v>32547</v>
      </c>
      <c r="T445" t="s">
        <v>33236</v>
      </c>
      <c r="U445" t="s">
        <v>34025</v>
      </c>
      <c r="W445" t="s">
        <v>29786</v>
      </c>
      <c r="X445" t="s">
        <v>32527</v>
      </c>
    </row>
    <row r="446" spans="1:24">
      <c r="A446">
        <f>HYPERLINK("https://www.philgeps.gov.ph/GEPSNONPILOT/Tender/SplashBidNoticeAbstractUI.aspx?menuIndex=3&amp;refID=7044593&amp;Result=3","7044593")</f>
        <v>0</v>
      </c>
      <c r="B446" t="s">
        <v>180</v>
      </c>
      <c r="C446" t="s">
        <v>3105</v>
      </c>
      <c r="D446" t="s">
        <v>13026</v>
      </c>
      <c r="E446" t="s">
        <v>13502</v>
      </c>
      <c r="F446" t="s">
        <v>22436</v>
      </c>
      <c r="G446" t="s">
        <v>22443</v>
      </c>
      <c r="H446" t="s">
        <v>22452</v>
      </c>
      <c r="I446" t="s">
        <v>22463</v>
      </c>
      <c r="J446" t="s">
        <v>22969</v>
      </c>
      <c r="K446" t="s">
        <v>29331</v>
      </c>
      <c r="M446" t="s">
        <v>29752</v>
      </c>
      <c r="N446" t="s">
        <v>32524</v>
      </c>
      <c r="O446" t="s">
        <v>32525</v>
      </c>
      <c r="P446">
        <v>0</v>
      </c>
      <c r="Q446">
        <v>1</v>
      </c>
      <c r="R446" t="s">
        <v>32526</v>
      </c>
      <c r="S446" t="s">
        <v>32547</v>
      </c>
      <c r="T446" t="s">
        <v>33167</v>
      </c>
      <c r="U446" t="s">
        <v>34026</v>
      </c>
      <c r="W446" t="s">
        <v>29752</v>
      </c>
      <c r="X446" t="s">
        <v>32527</v>
      </c>
    </row>
    <row r="447" spans="1:24">
      <c r="A447">
        <f>HYPERLINK("https://www.philgeps.gov.ph/GEPSNONPILOT/Tender/SplashBidNoticeAbstractUI.aspx?menuIndex=3&amp;refID=7044596&amp;Result=3","7044596")</f>
        <v>0</v>
      </c>
      <c r="B447" t="s">
        <v>214</v>
      </c>
      <c r="C447" t="s">
        <v>3106</v>
      </c>
      <c r="D447" t="s">
        <v>12992</v>
      </c>
      <c r="E447" t="s">
        <v>13503</v>
      </c>
      <c r="F447" t="s">
        <v>22436</v>
      </c>
      <c r="G447" t="s">
        <v>22444</v>
      </c>
      <c r="H447" t="s">
        <v>22452</v>
      </c>
      <c r="I447" t="s">
        <v>3529</v>
      </c>
      <c r="J447" t="s">
        <v>22970</v>
      </c>
      <c r="K447" t="s">
        <v>29329</v>
      </c>
      <c r="M447" t="s">
        <v>29787</v>
      </c>
      <c r="N447" t="s">
        <v>32524</v>
      </c>
      <c r="O447" t="s">
        <v>32525</v>
      </c>
      <c r="P447">
        <v>0</v>
      </c>
      <c r="Q447">
        <v>0</v>
      </c>
      <c r="R447" t="s">
        <v>32526</v>
      </c>
      <c r="S447" t="s">
        <v>32547</v>
      </c>
      <c r="T447" t="s">
        <v>33237</v>
      </c>
      <c r="U447" t="s">
        <v>34027</v>
      </c>
      <c r="V447" t="s">
        <v>42461</v>
      </c>
      <c r="W447" t="s">
        <v>29787</v>
      </c>
      <c r="X447" t="s">
        <v>32527</v>
      </c>
    </row>
    <row r="448" spans="1:24">
      <c r="A448">
        <f>HYPERLINK("https://www.philgeps.gov.ph/GEPSNONPILOT/Tender/SplashBidNoticeAbstractUI.aspx?menuIndex=3&amp;refID=7044578&amp;Result=3","7044578")</f>
        <v>0</v>
      </c>
      <c r="B448" t="s">
        <v>215</v>
      </c>
      <c r="C448" t="s">
        <v>3107</v>
      </c>
      <c r="D448" t="s">
        <v>13006</v>
      </c>
      <c r="E448" t="s">
        <v>13504</v>
      </c>
      <c r="F448" t="s">
        <v>22436</v>
      </c>
      <c r="G448" t="s">
        <v>22443</v>
      </c>
      <c r="H448" t="s">
        <v>22452</v>
      </c>
      <c r="I448" t="s">
        <v>3529</v>
      </c>
      <c r="J448" t="s">
        <v>22640</v>
      </c>
      <c r="K448" t="s">
        <v>29335</v>
      </c>
      <c r="M448" t="s">
        <v>29788</v>
      </c>
      <c r="N448" t="s">
        <v>32524</v>
      </c>
      <c r="O448" t="s">
        <v>32525</v>
      </c>
      <c r="P448">
        <v>0</v>
      </c>
      <c r="Q448">
        <v>0</v>
      </c>
      <c r="R448" t="s">
        <v>32526</v>
      </c>
      <c r="S448" t="s">
        <v>32547</v>
      </c>
      <c r="T448" t="s">
        <v>33153</v>
      </c>
      <c r="U448" t="s">
        <v>34028</v>
      </c>
      <c r="W448" t="s">
        <v>29788</v>
      </c>
      <c r="X448" t="s">
        <v>32527</v>
      </c>
    </row>
    <row r="449" spans="1:24">
      <c r="A449">
        <f>HYPERLINK("https://www.philgeps.gov.ph/GEPSNONPILOT/Tender/SplashBidNoticeAbstractUI.aspx?menuIndex=3&amp;refID=7044599&amp;Result=3","7044599")</f>
        <v>0</v>
      </c>
      <c r="B449" t="s">
        <v>216</v>
      </c>
      <c r="C449" t="s">
        <v>3108</v>
      </c>
      <c r="D449" t="s">
        <v>13000</v>
      </c>
      <c r="E449" t="s">
        <v>13505</v>
      </c>
      <c r="F449" t="s">
        <v>22436</v>
      </c>
      <c r="G449" t="s">
        <v>22443</v>
      </c>
      <c r="H449" t="s">
        <v>22452</v>
      </c>
      <c r="I449" t="s">
        <v>22469</v>
      </c>
      <c r="J449" t="s">
        <v>22971</v>
      </c>
      <c r="K449" t="s">
        <v>29337</v>
      </c>
      <c r="M449" t="s">
        <v>29789</v>
      </c>
      <c r="N449" t="s">
        <v>32524</v>
      </c>
      <c r="O449" t="s">
        <v>32525</v>
      </c>
      <c r="P449">
        <v>0</v>
      </c>
      <c r="Q449">
        <v>7</v>
      </c>
      <c r="R449" t="s">
        <v>32526</v>
      </c>
      <c r="S449" t="s">
        <v>32547</v>
      </c>
      <c r="T449" t="s">
        <v>33161</v>
      </c>
      <c r="U449" t="s">
        <v>34029</v>
      </c>
      <c r="W449" t="s">
        <v>29789</v>
      </c>
      <c r="X449" t="s">
        <v>32527</v>
      </c>
    </row>
    <row r="450" spans="1:24">
      <c r="A450">
        <f>HYPERLINK("https://www.philgeps.gov.ph/GEPSNONPILOT/Tender/SplashBidNoticeAbstractUI.aspx?menuIndex=3&amp;refID=7044558&amp;Result=3","7044558")</f>
        <v>0</v>
      </c>
      <c r="B450" t="s">
        <v>217</v>
      </c>
      <c r="C450" t="s">
        <v>3109</v>
      </c>
      <c r="D450" t="s">
        <v>13019</v>
      </c>
      <c r="E450" t="s">
        <v>13506</v>
      </c>
      <c r="F450" t="s">
        <v>22436</v>
      </c>
      <c r="G450" t="s">
        <v>22443</v>
      </c>
      <c r="H450" t="s">
        <v>22452</v>
      </c>
      <c r="I450" t="s">
        <v>22506</v>
      </c>
      <c r="J450" t="s">
        <v>22972</v>
      </c>
      <c r="K450" t="s">
        <v>29331</v>
      </c>
      <c r="M450" t="s">
        <v>29790</v>
      </c>
      <c r="N450" t="s">
        <v>32524</v>
      </c>
      <c r="O450" t="s">
        <v>32525</v>
      </c>
      <c r="P450">
        <v>0</v>
      </c>
      <c r="Q450">
        <v>0</v>
      </c>
      <c r="R450" t="s">
        <v>32526</v>
      </c>
      <c r="S450" t="s">
        <v>32547</v>
      </c>
      <c r="T450" t="s">
        <v>33171</v>
      </c>
      <c r="U450" t="s">
        <v>34030</v>
      </c>
      <c r="W450" t="s">
        <v>29790</v>
      </c>
      <c r="X450" t="s">
        <v>32527</v>
      </c>
    </row>
    <row r="451" spans="1:24">
      <c r="A451">
        <f>HYPERLINK("https://www.philgeps.gov.ph/GEPSNONPILOT/Tender/SplashBidNoticeAbstractUI.aspx?menuIndex=3&amp;refID=7044591&amp;Result=3","7044591")</f>
        <v>0</v>
      </c>
      <c r="B451" t="s">
        <v>218</v>
      </c>
      <c r="C451" t="s">
        <v>3110</v>
      </c>
      <c r="D451" t="s">
        <v>13022</v>
      </c>
      <c r="E451" t="s">
        <v>13507</v>
      </c>
      <c r="F451" t="s">
        <v>22436</v>
      </c>
      <c r="G451" t="s">
        <v>22447</v>
      </c>
      <c r="H451" t="s">
        <v>22454</v>
      </c>
      <c r="I451" t="s">
        <v>7738</v>
      </c>
      <c r="J451" t="s">
        <v>22893</v>
      </c>
      <c r="K451" t="s">
        <v>29333</v>
      </c>
      <c r="M451" t="s">
        <v>29791</v>
      </c>
      <c r="N451" t="s">
        <v>32524</v>
      </c>
      <c r="O451" t="s">
        <v>32525</v>
      </c>
      <c r="P451">
        <v>0</v>
      </c>
      <c r="Q451">
        <v>0</v>
      </c>
      <c r="R451" t="s">
        <v>32526</v>
      </c>
      <c r="S451" t="s">
        <v>32547</v>
      </c>
      <c r="T451" t="s">
        <v>33197</v>
      </c>
      <c r="U451" t="s">
        <v>34031</v>
      </c>
      <c r="V451" t="s">
        <v>42476</v>
      </c>
      <c r="W451" t="s">
        <v>29791</v>
      </c>
      <c r="X451" t="s">
        <v>32527</v>
      </c>
    </row>
    <row r="452" spans="1:24">
      <c r="A452">
        <f>HYPERLINK("https://www.philgeps.gov.ph/GEPSNONPILOT/Tender/SplashBidNoticeAbstractUI.aspx?menuIndex=3&amp;refID=7044600&amp;Result=3","7044600")</f>
        <v>0</v>
      </c>
      <c r="B452" t="s">
        <v>203</v>
      </c>
      <c r="C452" t="s">
        <v>3111</v>
      </c>
      <c r="D452" t="s">
        <v>13000</v>
      </c>
      <c r="E452" t="s">
        <v>13483</v>
      </c>
      <c r="F452" t="s">
        <v>22436</v>
      </c>
      <c r="G452" t="s">
        <v>22443</v>
      </c>
      <c r="H452" t="s">
        <v>22452</v>
      </c>
      <c r="I452" t="s">
        <v>3840</v>
      </c>
      <c r="J452" t="s">
        <v>22973</v>
      </c>
      <c r="K452" t="s">
        <v>29368</v>
      </c>
      <c r="M452" t="s">
        <v>29776</v>
      </c>
      <c r="N452" t="s">
        <v>32524</v>
      </c>
      <c r="O452" t="s">
        <v>32525</v>
      </c>
      <c r="P452">
        <v>0</v>
      </c>
      <c r="Q452">
        <v>2</v>
      </c>
      <c r="R452" t="s">
        <v>32526</v>
      </c>
      <c r="S452" t="s">
        <v>32547</v>
      </c>
      <c r="T452" t="s">
        <v>33154</v>
      </c>
      <c r="U452" t="s">
        <v>34032</v>
      </c>
      <c r="W452" t="s">
        <v>29776</v>
      </c>
      <c r="X452" t="s">
        <v>32527</v>
      </c>
    </row>
    <row r="453" spans="1:24">
      <c r="A453">
        <f>HYPERLINK("https://www.philgeps.gov.ph/GEPSNONPILOT/Tender/SplashBidNoticeAbstractUI.aspx?menuIndex=3&amp;refID=7044588&amp;Result=3","7044588")</f>
        <v>0</v>
      </c>
      <c r="B453" t="s">
        <v>168</v>
      </c>
      <c r="C453" t="s">
        <v>3112</v>
      </c>
      <c r="D453" t="s">
        <v>13015</v>
      </c>
      <c r="E453" t="s">
        <v>13508</v>
      </c>
      <c r="F453" t="s">
        <v>22436</v>
      </c>
      <c r="G453" t="s">
        <v>22444</v>
      </c>
      <c r="H453" t="s">
        <v>22452</v>
      </c>
      <c r="I453" t="s">
        <v>22468</v>
      </c>
      <c r="J453" t="s">
        <v>22974</v>
      </c>
      <c r="K453" t="s">
        <v>29335</v>
      </c>
      <c r="M453" t="s">
        <v>29740</v>
      </c>
      <c r="N453" t="s">
        <v>32524</v>
      </c>
      <c r="O453" t="s">
        <v>32525</v>
      </c>
      <c r="P453">
        <v>0</v>
      </c>
      <c r="Q453">
        <v>0</v>
      </c>
      <c r="R453" t="s">
        <v>32526</v>
      </c>
      <c r="S453" t="s">
        <v>32547</v>
      </c>
      <c r="T453" t="s">
        <v>33168</v>
      </c>
      <c r="U453" t="s">
        <v>33937</v>
      </c>
      <c r="V453" t="s">
        <v>42464</v>
      </c>
      <c r="W453" t="s">
        <v>29740</v>
      </c>
      <c r="X453" t="s">
        <v>32527</v>
      </c>
    </row>
    <row r="454" spans="1:24">
      <c r="A454">
        <f>HYPERLINK("https://www.philgeps.gov.ph/GEPSNONPILOT/Tender/SplashBidNoticeAbstractUI.aspx?menuIndex=3&amp;refID=7044587&amp;Result=3","7044587")</f>
        <v>0</v>
      </c>
      <c r="B454" t="s">
        <v>64</v>
      </c>
      <c r="C454" t="s">
        <v>3113</v>
      </c>
      <c r="D454" t="s">
        <v>13016</v>
      </c>
      <c r="E454" t="s">
        <v>13509</v>
      </c>
      <c r="F454" t="s">
        <v>22436</v>
      </c>
      <c r="G454" t="s">
        <v>22446</v>
      </c>
      <c r="H454" t="s">
        <v>22452</v>
      </c>
      <c r="I454" t="s">
        <v>7110</v>
      </c>
      <c r="J454" t="s">
        <v>22975</v>
      </c>
      <c r="K454" t="s">
        <v>29335</v>
      </c>
      <c r="M454" t="s">
        <v>29636</v>
      </c>
      <c r="N454" t="s">
        <v>32524</v>
      </c>
      <c r="O454" t="s">
        <v>32525</v>
      </c>
      <c r="P454">
        <v>0</v>
      </c>
      <c r="Q454">
        <v>2</v>
      </c>
      <c r="R454" t="s">
        <v>32526</v>
      </c>
      <c r="S454" t="s">
        <v>32547</v>
      </c>
      <c r="T454" t="s">
        <v>33181</v>
      </c>
      <c r="U454" t="s">
        <v>34033</v>
      </c>
      <c r="V454" t="s">
        <v>42432</v>
      </c>
      <c r="W454" t="s">
        <v>29636</v>
      </c>
      <c r="X454" t="s">
        <v>32527</v>
      </c>
    </row>
    <row r="455" spans="1:24">
      <c r="A455">
        <f>HYPERLINK("https://www.philgeps.gov.ph/GEPSNONPILOT/Tender/SplashBidNoticeAbstractUI.aspx?menuIndex=3&amp;refID=7044557&amp;Result=3","7044557")</f>
        <v>0</v>
      </c>
      <c r="B455" t="s">
        <v>219</v>
      </c>
      <c r="C455" t="s">
        <v>3114</v>
      </c>
      <c r="E455" t="s">
        <v>13510</v>
      </c>
      <c r="F455" t="s">
        <v>22436</v>
      </c>
      <c r="G455" t="s">
        <v>22444</v>
      </c>
      <c r="H455" t="s">
        <v>22452</v>
      </c>
      <c r="I455" t="s">
        <v>5194</v>
      </c>
      <c r="J455" t="s">
        <v>22976</v>
      </c>
      <c r="K455" t="s">
        <v>29338</v>
      </c>
      <c r="M455" t="s">
        <v>29792</v>
      </c>
      <c r="N455" t="s">
        <v>32524</v>
      </c>
      <c r="O455" t="s">
        <v>32525</v>
      </c>
      <c r="P455">
        <v>0</v>
      </c>
      <c r="Q455">
        <v>4</v>
      </c>
      <c r="R455" t="s">
        <v>32526</v>
      </c>
      <c r="S455" t="s">
        <v>32547</v>
      </c>
      <c r="T455" t="s">
        <v>33168</v>
      </c>
      <c r="U455" t="s">
        <v>34034</v>
      </c>
      <c r="W455" t="s">
        <v>29792</v>
      </c>
      <c r="X455" t="s">
        <v>32527</v>
      </c>
    </row>
    <row r="456" spans="1:24">
      <c r="A456">
        <f>HYPERLINK("https://www.philgeps.gov.ph/GEPSNONPILOT/Tender/SplashBidNoticeAbstractUI.aspx?menuIndex=3&amp;refID=7044586&amp;Result=3","7044586")</f>
        <v>0</v>
      </c>
      <c r="B456" t="s">
        <v>220</v>
      </c>
      <c r="C456" t="s">
        <v>3115</v>
      </c>
      <c r="D456" t="s">
        <v>13037</v>
      </c>
      <c r="E456" t="s">
        <v>13511</v>
      </c>
      <c r="F456" t="s">
        <v>22436</v>
      </c>
      <c r="G456" t="s">
        <v>22446</v>
      </c>
      <c r="H456" t="s">
        <v>22452</v>
      </c>
      <c r="I456" t="s">
        <v>22468</v>
      </c>
      <c r="J456" t="s">
        <v>22977</v>
      </c>
      <c r="K456" t="s">
        <v>29336</v>
      </c>
      <c r="M456" t="s">
        <v>29793</v>
      </c>
      <c r="N456" t="s">
        <v>32524</v>
      </c>
      <c r="O456" t="s">
        <v>32525</v>
      </c>
      <c r="P456">
        <v>0</v>
      </c>
      <c r="Q456">
        <v>0</v>
      </c>
      <c r="R456" t="s">
        <v>32526</v>
      </c>
      <c r="S456" t="s">
        <v>32547</v>
      </c>
      <c r="T456" t="s">
        <v>33209</v>
      </c>
      <c r="U456" t="s">
        <v>34035</v>
      </c>
      <c r="W456" t="s">
        <v>29793</v>
      </c>
      <c r="X456" t="s">
        <v>32527</v>
      </c>
    </row>
    <row r="457" spans="1:24">
      <c r="A457">
        <f>HYPERLINK("https://www.philgeps.gov.ph/GEPSNONPILOT/Tender/SplashBidNoticeAbstractUI.aspx?menuIndex=3&amp;refID=7044581&amp;Result=3","7044581")</f>
        <v>0</v>
      </c>
      <c r="B457" t="s">
        <v>151</v>
      </c>
      <c r="C457" t="s">
        <v>3116</v>
      </c>
      <c r="D457" t="s">
        <v>13039</v>
      </c>
      <c r="E457" t="s">
        <v>13381</v>
      </c>
      <c r="F457" t="s">
        <v>22436</v>
      </c>
      <c r="G457" t="s">
        <v>22443</v>
      </c>
      <c r="H457" t="s">
        <v>22452</v>
      </c>
      <c r="I457" t="s">
        <v>22462</v>
      </c>
      <c r="J457" t="s">
        <v>22978</v>
      </c>
      <c r="K457" t="s">
        <v>29356</v>
      </c>
      <c r="M457" t="s">
        <v>29723</v>
      </c>
      <c r="N457" t="s">
        <v>32524</v>
      </c>
      <c r="O457" t="s">
        <v>32525</v>
      </c>
      <c r="P457">
        <v>0</v>
      </c>
      <c r="Q457">
        <v>0</v>
      </c>
      <c r="R457" t="s">
        <v>32526</v>
      </c>
      <c r="S457" t="s">
        <v>32547</v>
      </c>
      <c r="T457" t="s">
        <v>33167</v>
      </c>
      <c r="U457" t="s">
        <v>34036</v>
      </c>
      <c r="W457" t="s">
        <v>29723</v>
      </c>
      <c r="X457" t="s">
        <v>32527</v>
      </c>
    </row>
    <row r="458" spans="1:24">
      <c r="A458">
        <f>HYPERLINK("https://www.philgeps.gov.ph/GEPSNONPILOT/Tender/SplashBidNoticeAbstractUI.aspx?menuIndex=3&amp;refID=7044589&amp;Result=3","7044589")</f>
        <v>0</v>
      </c>
      <c r="B458" t="s">
        <v>124</v>
      </c>
      <c r="C458" t="s">
        <v>3117</v>
      </c>
      <c r="D458" t="s">
        <v>13031</v>
      </c>
      <c r="E458" t="s">
        <v>13512</v>
      </c>
      <c r="F458" t="s">
        <v>22436</v>
      </c>
      <c r="G458" t="s">
        <v>22443</v>
      </c>
      <c r="H458" t="s">
        <v>22452</v>
      </c>
      <c r="I458" t="s">
        <v>22482</v>
      </c>
      <c r="J458" t="s">
        <v>22979</v>
      </c>
      <c r="K458" t="s">
        <v>29338</v>
      </c>
      <c r="M458" t="s">
        <v>29696</v>
      </c>
      <c r="N458" t="s">
        <v>32524</v>
      </c>
      <c r="O458" t="s">
        <v>32525</v>
      </c>
      <c r="P458">
        <v>0</v>
      </c>
      <c r="Q458">
        <v>7</v>
      </c>
      <c r="R458" t="s">
        <v>32526</v>
      </c>
      <c r="S458" t="s">
        <v>32547</v>
      </c>
      <c r="T458" t="s">
        <v>33183</v>
      </c>
      <c r="U458" t="s">
        <v>34037</v>
      </c>
      <c r="W458" t="s">
        <v>29696</v>
      </c>
      <c r="X458" t="s">
        <v>32527</v>
      </c>
    </row>
    <row r="459" spans="1:24">
      <c r="A459">
        <f>HYPERLINK("https://www.philgeps.gov.ph/GEPSNONPILOT/Tender/SplashBidNoticeAbstractUI.aspx?menuIndex=3&amp;refID=7044585&amp;Result=3","7044585")</f>
        <v>0</v>
      </c>
      <c r="B459" t="s">
        <v>221</v>
      </c>
      <c r="C459" t="s">
        <v>3118</v>
      </c>
      <c r="D459" t="s">
        <v>12999</v>
      </c>
      <c r="E459" t="s">
        <v>13487</v>
      </c>
      <c r="F459" t="s">
        <v>22436</v>
      </c>
      <c r="G459" t="s">
        <v>22446</v>
      </c>
      <c r="H459" t="s">
        <v>22452</v>
      </c>
      <c r="I459" t="s">
        <v>22483</v>
      </c>
      <c r="J459" t="s">
        <v>22980</v>
      </c>
      <c r="K459" t="s">
        <v>29336</v>
      </c>
      <c r="M459" t="s">
        <v>29794</v>
      </c>
      <c r="N459" t="s">
        <v>32524</v>
      </c>
      <c r="O459" t="s">
        <v>32525</v>
      </c>
      <c r="P459">
        <v>0</v>
      </c>
      <c r="Q459">
        <v>1</v>
      </c>
      <c r="R459" t="s">
        <v>32526</v>
      </c>
      <c r="S459" t="s">
        <v>32547</v>
      </c>
      <c r="T459" t="s">
        <v>33238</v>
      </c>
      <c r="U459" t="s">
        <v>34038</v>
      </c>
      <c r="W459" t="s">
        <v>29794</v>
      </c>
      <c r="X459" t="s">
        <v>32527</v>
      </c>
    </row>
    <row r="460" spans="1:24">
      <c r="A460">
        <f>HYPERLINK("https://www.philgeps.gov.ph/GEPSNONPILOT/Tender/SplashBidNoticeAbstractUI.aspx?menuIndex=3&amp;refID=7044601&amp;Result=3","7044601")</f>
        <v>0</v>
      </c>
      <c r="B460" t="s">
        <v>222</v>
      </c>
      <c r="C460" t="s">
        <v>3119</v>
      </c>
      <c r="D460" t="s">
        <v>12989</v>
      </c>
      <c r="E460" t="s">
        <v>13513</v>
      </c>
      <c r="F460" t="s">
        <v>22436</v>
      </c>
      <c r="G460" t="s">
        <v>22443</v>
      </c>
      <c r="H460" t="s">
        <v>22452</v>
      </c>
      <c r="I460" t="s">
        <v>22459</v>
      </c>
      <c r="J460" t="s">
        <v>22981</v>
      </c>
      <c r="K460" t="s">
        <v>29341</v>
      </c>
      <c r="M460" t="s">
        <v>29795</v>
      </c>
      <c r="N460" t="s">
        <v>32524</v>
      </c>
      <c r="O460" t="s">
        <v>32525</v>
      </c>
      <c r="P460">
        <v>0</v>
      </c>
      <c r="Q460">
        <v>0</v>
      </c>
      <c r="R460" t="s">
        <v>32526</v>
      </c>
      <c r="S460" t="s">
        <v>32547</v>
      </c>
      <c r="T460" t="s">
        <v>33239</v>
      </c>
      <c r="U460" t="s">
        <v>34039</v>
      </c>
      <c r="W460" t="s">
        <v>43672</v>
      </c>
      <c r="X460" t="s">
        <v>32527</v>
      </c>
    </row>
    <row r="461" spans="1:24">
      <c r="A461">
        <f>HYPERLINK("https://www.philgeps.gov.ph/GEPSNONPILOT/Tender/SplashBidNoticeAbstractUI.aspx?menuIndex=3&amp;refID=7044583&amp;Result=3","7044583")</f>
        <v>0</v>
      </c>
      <c r="B461" t="s">
        <v>223</v>
      </c>
      <c r="C461" t="s">
        <v>3120</v>
      </c>
      <c r="D461" t="s">
        <v>13024</v>
      </c>
      <c r="E461" t="s">
        <v>13514</v>
      </c>
      <c r="F461" t="s">
        <v>22436</v>
      </c>
      <c r="G461" t="s">
        <v>22446</v>
      </c>
      <c r="H461" t="s">
        <v>22452</v>
      </c>
      <c r="I461" t="s">
        <v>2981</v>
      </c>
      <c r="J461" t="s">
        <v>22982</v>
      </c>
      <c r="K461" t="s">
        <v>29336</v>
      </c>
      <c r="M461" t="s">
        <v>29796</v>
      </c>
      <c r="N461" t="s">
        <v>32524</v>
      </c>
      <c r="O461" t="s">
        <v>32525</v>
      </c>
      <c r="P461">
        <v>0</v>
      </c>
      <c r="Q461">
        <v>0</v>
      </c>
      <c r="R461" t="s">
        <v>32526</v>
      </c>
      <c r="S461" t="s">
        <v>32547</v>
      </c>
      <c r="T461" t="s">
        <v>33180</v>
      </c>
      <c r="U461" t="s">
        <v>34040</v>
      </c>
      <c r="W461" t="s">
        <v>29796</v>
      </c>
      <c r="X461" t="s">
        <v>32527</v>
      </c>
    </row>
    <row r="462" spans="1:24">
      <c r="A462">
        <f>HYPERLINK("https://www.philgeps.gov.ph/GEPSNONPILOT/Tender/SplashBidNoticeAbstractUI.aspx?menuIndex=3&amp;refID=7044592&amp;Result=3","7044592")</f>
        <v>0</v>
      </c>
      <c r="B462" t="s">
        <v>144</v>
      </c>
      <c r="C462" t="s">
        <v>3121</v>
      </c>
      <c r="D462" t="s">
        <v>12988</v>
      </c>
      <c r="E462" t="s">
        <v>13515</v>
      </c>
      <c r="F462" t="s">
        <v>22436</v>
      </c>
      <c r="G462" t="s">
        <v>22444</v>
      </c>
      <c r="H462" t="s">
        <v>22452</v>
      </c>
      <c r="I462" t="s">
        <v>2981</v>
      </c>
      <c r="J462" t="s">
        <v>22788</v>
      </c>
      <c r="K462" t="s">
        <v>29330</v>
      </c>
      <c r="M462" t="s">
        <v>29716</v>
      </c>
      <c r="N462" t="s">
        <v>32524</v>
      </c>
      <c r="O462" t="s">
        <v>32525</v>
      </c>
      <c r="P462">
        <v>0</v>
      </c>
      <c r="Q462">
        <v>0</v>
      </c>
      <c r="R462" t="s">
        <v>32526</v>
      </c>
      <c r="S462" t="s">
        <v>32547</v>
      </c>
      <c r="T462" t="s">
        <v>33240</v>
      </c>
      <c r="U462" t="s">
        <v>34041</v>
      </c>
      <c r="W462" t="s">
        <v>29716</v>
      </c>
      <c r="X462" t="s">
        <v>32527</v>
      </c>
    </row>
    <row r="463" spans="1:24">
      <c r="A463">
        <f>HYPERLINK("https://www.philgeps.gov.ph/GEPSNONPILOT/Tender/SplashBidNoticeAbstractUI.aspx?menuIndex=3&amp;refID=7044613&amp;Result=3","7044613")</f>
        <v>0</v>
      </c>
      <c r="B463" t="s">
        <v>224</v>
      </c>
      <c r="C463" t="s">
        <v>3122</v>
      </c>
      <c r="D463" t="s">
        <v>13018</v>
      </c>
      <c r="E463" t="s">
        <v>13516</v>
      </c>
      <c r="F463" t="s">
        <v>22436</v>
      </c>
      <c r="G463" t="s">
        <v>22444</v>
      </c>
      <c r="H463" t="s">
        <v>22452</v>
      </c>
      <c r="I463" t="s">
        <v>3122</v>
      </c>
      <c r="J463" t="s">
        <v>22983</v>
      </c>
      <c r="K463" t="s">
        <v>29331</v>
      </c>
      <c r="M463" t="s">
        <v>29797</v>
      </c>
      <c r="N463" t="s">
        <v>32524</v>
      </c>
      <c r="O463" t="s">
        <v>32525</v>
      </c>
      <c r="P463">
        <v>0</v>
      </c>
      <c r="Q463">
        <v>0</v>
      </c>
      <c r="R463" t="s">
        <v>32526</v>
      </c>
      <c r="S463" t="s">
        <v>32547</v>
      </c>
      <c r="T463" t="s">
        <v>33166</v>
      </c>
      <c r="U463" t="s">
        <v>34042</v>
      </c>
      <c r="W463" t="s">
        <v>29797</v>
      </c>
      <c r="X463" t="s">
        <v>32527</v>
      </c>
    </row>
    <row r="464" spans="1:24">
      <c r="A464">
        <f>HYPERLINK("https://www.philgeps.gov.ph/GEPSNONPILOT/Tender/SplashBidNoticeAbstractUI.aspx?menuIndex=3&amp;refID=7044612&amp;Result=3","7044612")</f>
        <v>0</v>
      </c>
      <c r="B464" t="s">
        <v>77</v>
      </c>
      <c r="C464" t="s">
        <v>3123</v>
      </c>
      <c r="D464" t="s">
        <v>13001</v>
      </c>
      <c r="E464" t="s">
        <v>13517</v>
      </c>
      <c r="F464" t="s">
        <v>22436</v>
      </c>
      <c r="G464" t="s">
        <v>22445</v>
      </c>
      <c r="H464" t="s">
        <v>22452</v>
      </c>
      <c r="I464" t="s">
        <v>5194</v>
      </c>
      <c r="J464" t="s">
        <v>22984</v>
      </c>
      <c r="K464" t="s">
        <v>29338</v>
      </c>
      <c r="L464" t="s">
        <v>77</v>
      </c>
      <c r="M464" t="s">
        <v>29649</v>
      </c>
      <c r="N464" t="s">
        <v>32524</v>
      </c>
      <c r="O464" t="s">
        <v>32525</v>
      </c>
      <c r="P464">
        <v>0</v>
      </c>
      <c r="Q464">
        <v>3</v>
      </c>
      <c r="R464" t="s">
        <v>32526</v>
      </c>
      <c r="S464" t="s">
        <v>32547</v>
      </c>
      <c r="T464" t="s">
        <v>33169</v>
      </c>
      <c r="U464" t="s">
        <v>33730</v>
      </c>
      <c r="W464" t="s">
        <v>29649</v>
      </c>
      <c r="X464" t="s">
        <v>32527</v>
      </c>
    </row>
    <row r="465" spans="1:24">
      <c r="A465">
        <f>HYPERLINK("https://www.philgeps.gov.ph/GEPSNONPILOT/Tender/SplashBidNoticeAbstractUI.aspx?menuIndex=3&amp;refID=7044611&amp;Result=3","7044611")</f>
        <v>0</v>
      </c>
      <c r="B465" t="s">
        <v>225</v>
      </c>
      <c r="C465" t="s">
        <v>3124</v>
      </c>
      <c r="D465" t="s">
        <v>13046</v>
      </c>
      <c r="E465" t="s">
        <v>13518</v>
      </c>
      <c r="F465" t="s">
        <v>22436</v>
      </c>
      <c r="G465" t="s">
        <v>22446</v>
      </c>
      <c r="H465" t="s">
        <v>22452</v>
      </c>
      <c r="I465" t="s">
        <v>22469</v>
      </c>
      <c r="J465" t="s">
        <v>22588</v>
      </c>
      <c r="K465" t="s">
        <v>29335</v>
      </c>
      <c r="M465" t="s">
        <v>29798</v>
      </c>
      <c r="N465" t="s">
        <v>32524</v>
      </c>
      <c r="O465" t="s">
        <v>32525</v>
      </c>
      <c r="P465">
        <v>0</v>
      </c>
      <c r="Q465">
        <v>1</v>
      </c>
      <c r="R465" t="s">
        <v>32526</v>
      </c>
      <c r="S465" t="s">
        <v>32547</v>
      </c>
      <c r="T465" t="s">
        <v>33241</v>
      </c>
      <c r="U465" t="s">
        <v>34043</v>
      </c>
      <c r="W465" t="s">
        <v>29798</v>
      </c>
      <c r="X465" t="s">
        <v>32527</v>
      </c>
    </row>
    <row r="466" spans="1:24">
      <c r="A466">
        <f>HYPERLINK("https://www.philgeps.gov.ph/GEPSNONPILOT/Tender/SplashBidNoticeAbstractUI.aspx?menuIndex=3&amp;refID=7044610&amp;Result=3","7044610")</f>
        <v>0</v>
      </c>
      <c r="B466" t="s">
        <v>168</v>
      </c>
      <c r="C466" t="s">
        <v>3125</v>
      </c>
      <c r="D466" t="s">
        <v>13015</v>
      </c>
      <c r="E466" t="s">
        <v>13519</v>
      </c>
      <c r="F466" t="s">
        <v>22436</v>
      </c>
      <c r="G466" t="s">
        <v>22444</v>
      </c>
      <c r="H466" t="s">
        <v>22452</v>
      </c>
      <c r="I466" t="s">
        <v>22468</v>
      </c>
      <c r="J466" t="s">
        <v>22985</v>
      </c>
      <c r="K466" t="s">
        <v>29335</v>
      </c>
      <c r="M466" t="s">
        <v>29740</v>
      </c>
      <c r="N466" t="s">
        <v>32524</v>
      </c>
      <c r="O466" t="s">
        <v>32525</v>
      </c>
      <c r="P466">
        <v>0</v>
      </c>
      <c r="Q466">
        <v>0</v>
      </c>
      <c r="R466" t="s">
        <v>32526</v>
      </c>
      <c r="S466" t="s">
        <v>32547</v>
      </c>
      <c r="T466" t="s">
        <v>33168</v>
      </c>
      <c r="U466" t="s">
        <v>33937</v>
      </c>
      <c r="V466" t="s">
        <v>42464</v>
      </c>
      <c r="W466" t="s">
        <v>29740</v>
      </c>
      <c r="X466" t="s">
        <v>32527</v>
      </c>
    </row>
    <row r="467" spans="1:24">
      <c r="A467">
        <f>HYPERLINK("https://www.philgeps.gov.ph/GEPSNONPILOT/Tender/SplashBidNoticeAbstractUI.aspx?menuIndex=3&amp;refID=7044608&amp;Result=3","7044608")</f>
        <v>0</v>
      </c>
      <c r="B467" t="s">
        <v>201</v>
      </c>
      <c r="C467" t="s">
        <v>3126</v>
      </c>
      <c r="D467" t="s">
        <v>13031</v>
      </c>
      <c r="E467" t="s">
        <v>13520</v>
      </c>
      <c r="F467" t="s">
        <v>22436</v>
      </c>
      <c r="G467" t="s">
        <v>22445</v>
      </c>
      <c r="H467" t="s">
        <v>22452</v>
      </c>
      <c r="I467" t="s">
        <v>2993</v>
      </c>
      <c r="J467" t="s">
        <v>22986</v>
      </c>
      <c r="K467" t="s">
        <v>29331</v>
      </c>
      <c r="M467" t="s">
        <v>29774</v>
      </c>
      <c r="N467" t="s">
        <v>32524</v>
      </c>
      <c r="O467" t="s">
        <v>32525</v>
      </c>
      <c r="P467">
        <v>0</v>
      </c>
      <c r="Q467">
        <v>0</v>
      </c>
      <c r="R467" t="s">
        <v>32526</v>
      </c>
      <c r="S467" t="s">
        <v>32547</v>
      </c>
      <c r="T467" t="s">
        <v>33154</v>
      </c>
      <c r="U467" t="s">
        <v>34044</v>
      </c>
      <c r="W467" t="s">
        <v>29774</v>
      </c>
      <c r="X467" t="s">
        <v>32527</v>
      </c>
    </row>
    <row r="468" spans="1:24">
      <c r="A468">
        <f>HYPERLINK("https://www.philgeps.gov.ph/GEPSNONPILOT/Tender/SplashBidNoticeAbstractUI.aspx?menuIndex=3&amp;refID=7044614&amp;Result=3","7044614")</f>
        <v>0</v>
      </c>
      <c r="B468" t="s">
        <v>137</v>
      </c>
      <c r="C468" t="s">
        <v>3127</v>
      </c>
      <c r="D468" t="s">
        <v>12994</v>
      </c>
      <c r="E468" t="s">
        <v>13521</v>
      </c>
      <c r="F468" t="s">
        <v>22436</v>
      </c>
      <c r="G468" t="s">
        <v>22444</v>
      </c>
      <c r="H468" t="s">
        <v>22454</v>
      </c>
      <c r="I468" t="s">
        <v>7738</v>
      </c>
      <c r="J468" t="s">
        <v>22692</v>
      </c>
      <c r="K468" t="s">
        <v>29335</v>
      </c>
      <c r="M468" t="s">
        <v>29709</v>
      </c>
      <c r="N468" t="s">
        <v>32524</v>
      </c>
      <c r="O468" t="s">
        <v>32525</v>
      </c>
      <c r="P468">
        <v>0</v>
      </c>
      <c r="Q468">
        <v>0</v>
      </c>
      <c r="R468" t="s">
        <v>32526</v>
      </c>
      <c r="S468" t="s">
        <v>32547</v>
      </c>
      <c r="T468" t="s">
        <v>33182</v>
      </c>
      <c r="U468" t="s">
        <v>34045</v>
      </c>
      <c r="W468" t="s">
        <v>29709</v>
      </c>
      <c r="X468" t="s">
        <v>32527</v>
      </c>
    </row>
    <row r="469" spans="1:24">
      <c r="A469">
        <f>HYPERLINK("https://www.philgeps.gov.ph/GEPSNONPILOT/Tender/SplashBidNoticeAbstractUI.aspx?menuIndex=3&amp;refID=7044607&amp;Result=3","7044607")</f>
        <v>0</v>
      </c>
      <c r="B469" t="s">
        <v>226</v>
      </c>
      <c r="C469" t="s">
        <v>3128</v>
      </c>
      <c r="D469" t="s">
        <v>13025</v>
      </c>
      <c r="E469" t="s">
        <v>13522</v>
      </c>
      <c r="F469" t="s">
        <v>22437</v>
      </c>
      <c r="G469" t="s">
        <v>22444</v>
      </c>
      <c r="H469" t="s">
        <v>22452</v>
      </c>
      <c r="I469" t="s">
        <v>3529</v>
      </c>
      <c r="J469" t="s">
        <v>22987</v>
      </c>
      <c r="K469" t="s">
        <v>29337</v>
      </c>
      <c r="M469" t="s">
        <v>29799</v>
      </c>
      <c r="N469" t="s">
        <v>32524</v>
      </c>
      <c r="O469" t="s">
        <v>32525</v>
      </c>
      <c r="P469">
        <v>0</v>
      </c>
      <c r="Q469">
        <v>0</v>
      </c>
      <c r="R469" t="s">
        <v>32526</v>
      </c>
      <c r="S469" t="s">
        <v>32547</v>
      </c>
      <c r="T469" t="s">
        <v>33242</v>
      </c>
      <c r="U469" t="s">
        <v>34046</v>
      </c>
      <c r="W469" t="s">
        <v>29799</v>
      </c>
      <c r="X469" t="s">
        <v>32527</v>
      </c>
    </row>
    <row r="470" spans="1:24">
      <c r="A470">
        <f>HYPERLINK("https://www.philgeps.gov.ph/GEPSNONPILOT/Tender/SplashBidNoticeAbstractUI.aspx?menuIndex=3&amp;refID=7044605&amp;Result=3","7044605")</f>
        <v>0</v>
      </c>
      <c r="B470" t="s">
        <v>89</v>
      </c>
      <c r="C470" t="s">
        <v>3129</v>
      </c>
      <c r="D470" t="s">
        <v>13022</v>
      </c>
      <c r="E470" t="s">
        <v>13523</v>
      </c>
      <c r="F470" t="s">
        <v>22436</v>
      </c>
      <c r="G470" t="s">
        <v>22444</v>
      </c>
      <c r="H470" t="s">
        <v>22454</v>
      </c>
      <c r="I470" t="s">
        <v>7738</v>
      </c>
      <c r="J470" t="s">
        <v>22988</v>
      </c>
      <c r="K470" t="s">
        <v>29369</v>
      </c>
      <c r="M470" t="s">
        <v>29661</v>
      </c>
      <c r="N470" t="s">
        <v>32524</v>
      </c>
      <c r="O470" t="s">
        <v>32525</v>
      </c>
      <c r="P470">
        <v>0</v>
      </c>
      <c r="Q470">
        <v>1</v>
      </c>
      <c r="R470" t="s">
        <v>32526</v>
      </c>
      <c r="S470" t="s">
        <v>32547</v>
      </c>
      <c r="T470" t="s">
        <v>33170</v>
      </c>
      <c r="U470" t="s">
        <v>34047</v>
      </c>
      <c r="W470" t="s">
        <v>29661</v>
      </c>
      <c r="X470" t="s">
        <v>32527</v>
      </c>
    </row>
    <row r="471" spans="1:24">
      <c r="A471">
        <f>HYPERLINK("https://www.philgeps.gov.ph/GEPSNONPILOT/Tender/SplashBidNoticeAbstractUI.aspx?menuIndex=3&amp;refID=7044602&amp;Result=3","7044602")</f>
        <v>0</v>
      </c>
      <c r="B471" t="s">
        <v>227</v>
      </c>
      <c r="C471" t="s">
        <v>3130</v>
      </c>
      <c r="D471" t="s">
        <v>12996</v>
      </c>
      <c r="E471" t="s">
        <v>13524</v>
      </c>
      <c r="F471" t="s">
        <v>22436</v>
      </c>
      <c r="G471" t="s">
        <v>22443</v>
      </c>
      <c r="H471" t="s">
        <v>22452</v>
      </c>
      <c r="I471" t="s">
        <v>22476</v>
      </c>
      <c r="J471" t="s">
        <v>22989</v>
      </c>
      <c r="K471" t="s">
        <v>29335</v>
      </c>
      <c r="M471" t="s">
        <v>29800</v>
      </c>
      <c r="N471" t="s">
        <v>32524</v>
      </c>
      <c r="O471" t="s">
        <v>32525</v>
      </c>
      <c r="P471">
        <v>0</v>
      </c>
      <c r="Q471">
        <v>2</v>
      </c>
      <c r="R471" t="s">
        <v>32526</v>
      </c>
      <c r="S471" t="s">
        <v>32547</v>
      </c>
      <c r="T471" t="s">
        <v>33197</v>
      </c>
      <c r="U471" t="s">
        <v>34048</v>
      </c>
      <c r="W471" t="s">
        <v>29800</v>
      </c>
      <c r="X471" t="s">
        <v>32527</v>
      </c>
    </row>
    <row r="472" spans="1:24">
      <c r="A472">
        <f>HYPERLINK("https://www.philgeps.gov.ph/GEPSNONPILOT/Tender/SplashBidNoticeAbstractUI.aspx?menuIndex=3&amp;refID=7044609&amp;Result=3","7044609")</f>
        <v>0</v>
      </c>
      <c r="B472" t="s">
        <v>228</v>
      </c>
      <c r="C472" t="s">
        <v>3131</v>
      </c>
      <c r="E472" t="s">
        <v>13525</v>
      </c>
      <c r="F472" t="s">
        <v>22436</v>
      </c>
      <c r="G472" t="s">
        <v>22444</v>
      </c>
      <c r="H472" t="s">
        <v>22452</v>
      </c>
      <c r="I472" t="s">
        <v>3529</v>
      </c>
      <c r="J472" t="s">
        <v>22990</v>
      </c>
      <c r="K472" t="s">
        <v>29341</v>
      </c>
      <c r="M472" t="s">
        <v>29801</v>
      </c>
      <c r="N472" t="s">
        <v>32524</v>
      </c>
      <c r="O472" t="s">
        <v>32525</v>
      </c>
      <c r="P472">
        <v>0</v>
      </c>
      <c r="Q472">
        <v>0</v>
      </c>
      <c r="R472" t="s">
        <v>32526</v>
      </c>
      <c r="S472" t="s">
        <v>32547</v>
      </c>
      <c r="T472" t="s">
        <v>33157</v>
      </c>
      <c r="U472" t="s">
        <v>34049</v>
      </c>
      <c r="V472" t="s">
        <v>42477</v>
      </c>
      <c r="W472" t="s">
        <v>29801</v>
      </c>
      <c r="X472" t="s">
        <v>32527</v>
      </c>
    </row>
    <row r="473" spans="1:24">
      <c r="A473">
        <f>HYPERLINK("https://www.philgeps.gov.ph/GEPSNONPILOT/Tender/SplashBidNoticeAbstractUI.aspx?menuIndex=3&amp;refID=7044618&amp;Result=3","7044618")</f>
        <v>0</v>
      </c>
      <c r="B473" t="s">
        <v>124</v>
      </c>
      <c r="C473" t="s">
        <v>3132</v>
      </c>
      <c r="D473" t="s">
        <v>13031</v>
      </c>
      <c r="E473" t="s">
        <v>13526</v>
      </c>
      <c r="F473" t="s">
        <v>22436</v>
      </c>
      <c r="G473" t="s">
        <v>22443</v>
      </c>
      <c r="H473" t="s">
        <v>22452</v>
      </c>
      <c r="I473" t="s">
        <v>3027</v>
      </c>
      <c r="J473" t="s">
        <v>22991</v>
      </c>
      <c r="K473" t="s">
        <v>29338</v>
      </c>
      <c r="M473" t="s">
        <v>29696</v>
      </c>
      <c r="N473" t="s">
        <v>32524</v>
      </c>
      <c r="O473" t="s">
        <v>32525</v>
      </c>
      <c r="P473">
        <v>0</v>
      </c>
      <c r="Q473">
        <v>1</v>
      </c>
      <c r="R473" t="s">
        <v>32526</v>
      </c>
      <c r="S473" t="s">
        <v>32547</v>
      </c>
      <c r="T473" t="s">
        <v>33183</v>
      </c>
      <c r="U473" t="s">
        <v>34050</v>
      </c>
      <c r="W473" t="s">
        <v>29696</v>
      </c>
      <c r="X473" t="s">
        <v>32527</v>
      </c>
    </row>
    <row r="474" spans="1:24">
      <c r="A474">
        <f>HYPERLINK("https://www.philgeps.gov.ph/GEPSNONPILOT/Tender/SplashBidNoticeAbstractUI.aspx?menuIndex=3&amp;refID=7044603&amp;Result=3","7044603")</f>
        <v>0</v>
      </c>
      <c r="B474" t="s">
        <v>229</v>
      </c>
      <c r="C474" t="s">
        <v>3133</v>
      </c>
      <c r="D474" t="s">
        <v>13007</v>
      </c>
      <c r="E474" t="s">
        <v>13527</v>
      </c>
      <c r="F474" t="s">
        <v>22436</v>
      </c>
      <c r="G474" t="s">
        <v>22448</v>
      </c>
      <c r="H474" t="s">
        <v>22452</v>
      </c>
      <c r="I474" t="s">
        <v>3529</v>
      </c>
      <c r="J474" t="s">
        <v>22817</v>
      </c>
      <c r="K474" t="s">
        <v>29338</v>
      </c>
      <c r="M474" t="s">
        <v>29802</v>
      </c>
      <c r="N474" t="s">
        <v>32524</v>
      </c>
      <c r="O474" t="s">
        <v>32525</v>
      </c>
      <c r="P474">
        <v>0</v>
      </c>
      <c r="Q474">
        <v>0</v>
      </c>
      <c r="R474" t="s">
        <v>32526</v>
      </c>
      <c r="S474" t="s">
        <v>32547</v>
      </c>
      <c r="T474" t="s">
        <v>33168</v>
      </c>
      <c r="U474" t="s">
        <v>34051</v>
      </c>
      <c r="W474" t="s">
        <v>29802</v>
      </c>
      <c r="X474" t="s">
        <v>32527</v>
      </c>
    </row>
    <row r="475" spans="1:24">
      <c r="A475">
        <f>HYPERLINK("https://www.philgeps.gov.ph/GEPSNONPILOT/Tender/SplashBidNoticeAbstractUI.aspx?menuIndex=3&amp;refID=7044604&amp;Result=3","7044604")</f>
        <v>0</v>
      </c>
      <c r="B475" t="s">
        <v>145</v>
      </c>
      <c r="C475" t="s">
        <v>3134</v>
      </c>
      <c r="D475" t="s">
        <v>13041</v>
      </c>
      <c r="E475" t="s">
        <v>13528</v>
      </c>
      <c r="F475" t="s">
        <v>22436</v>
      </c>
      <c r="G475" t="s">
        <v>22443</v>
      </c>
      <c r="H475" t="s">
        <v>22452</v>
      </c>
      <c r="I475" t="s">
        <v>22469</v>
      </c>
      <c r="J475" t="s">
        <v>22785</v>
      </c>
      <c r="K475" t="s">
        <v>29357</v>
      </c>
      <c r="M475" t="s">
        <v>29717</v>
      </c>
      <c r="N475" t="s">
        <v>32524</v>
      </c>
      <c r="O475" t="s">
        <v>32525</v>
      </c>
      <c r="P475">
        <v>0</v>
      </c>
      <c r="Q475">
        <v>5</v>
      </c>
      <c r="R475" t="s">
        <v>32526</v>
      </c>
      <c r="S475" t="s">
        <v>32547</v>
      </c>
      <c r="T475" t="s">
        <v>33222</v>
      </c>
      <c r="U475" t="s">
        <v>34052</v>
      </c>
      <c r="W475" t="s">
        <v>29717</v>
      </c>
      <c r="X475" t="s">
        <v>32527</v>
      </c>
    </row>
    <row r="476" spans="1:24">
      <c r="A476">
        <f>HYPERLINK("https://www.philgeps.gov.ph/GEPSNONPILOT/Tender/SplashBidNoticeAbstractUI.aspx?menuIndex=3&amp;refID=7044619&amp;Result=3","7044619")</f>
        <v>0</v>
      </c>
      <c r="B476" t="s">
        <v>230</v>
      </c>
      <c r="C476" t="s">
        <v>3135</v>
      </c>
      <c r="D476" t="s">
        <v>13010</v>
      </c>
      <c r="E476" t="s">
        <v>13529</v>
      </c>
      <c r="F476" t="s">
        <v>22436</v>
      </c>
      <c r="G476" t="s">
        <v>22446</v>
      </c>
      <c r="H476" t="s">
        <v>22452</v>
      </c>
      <c r="I476" t="s">
        <v>5194</v>
      </c>
      <c r="J476" t="s">
        <v>22992</v>
      </c>
      <c r="K476" t="s">
        <v>29356</v>
      </c>
      <c r="M476" t="s">
        <v>29803</v>
      </c>
      <c r="N476" t="s">
        <v>32524</v>
      </c>
      <c r="O476" t="s">
        <v>32525</v>
      </c>
      <c r="P476">
        <v>0</v>
      </c>
      <c r="Q476">
        <v>0</v>
      </c>
      <c r="R476" t="s">
        <v>32526</v>
      </c>
      <c r="S476" t="s">
        <v>32547</v>
      </c>
      <c r="T476" t="s">
        <v>33154</v>
      </c>
      <c r="U476" t="s">
        <v>34053</v>
      </c>
      <c r="W476" t="s">
        <v>29803</v>
      </c>
      <c r="X476" t="s">
        <v>32527</v>
      </c>
    </row>
    <row r="477" spans="1:24">
      <c r="A477">
        <f>HYPERLINK("https://www.philgeps.gov.ph/GEPSNONPILOT/Tender/SplashBidNoticeAbstractUI.aspx?menuIndex=3&amp;refID=7044615&amp;Result=3","7044615")</f>
        <v>0</v>
      </c>
      <c r="B477" t="s">
        <v>231</v>
      </c>
      <c r="C477" t="s">
        <v>3136</v>
      </c>
      <c r="E477" t="s">
        <v>13530</v>
      </c>
      <c r="F477" t="s">
        <v>22436</v>
      </c>
      <c r="G477" t="s">
        <v>22444</v>
      </c>
      <c r="H477" t="s">
        <v>22452</v>
      </c>
      <c r="I477" t="s">
        <v>12358</v>
      </c>
      <c r="J477" t="s">
        <v>22788</v>
      </c>
      <c r="K477" t="s">
        <v>29336</v>
      </c>
      <c r="M477" t="s">
        <v>29804</v>
      </c>
      <c r="N477" t="s">
        <v>32524</v>
      </c>
      <c r="O477" t="s">
        <v>32525</v>
      </c>
      <c r="P477">
        <v>0</v>
      </c>
      <c r="Q477">
        <v>0</v>
      </c>
      <c r="R477" t="s">
        <v>32526</v>
      </c>
      <c r="S477" t="s">
        <v>32547</v>
      </c>
      <c r="T477" t="s">
        <v>33181</v>
      </c>
      <c r="U477" t="s">
        <v>34054</v>
      </c>
      <c r="W477" t="s">
        <v>29804</v>
      </c>
      <c r="X477" t="s">
        <v>32527</v>
      </c>
    </row>
    <row r="478" spans="1:24">
      <c r="A478">
        <f>HYPERLINK("https://www.philgeps.gov.ph/GEPSNONPILOT/Tender/SplashBidNoticeAbstractUI.aspx?menuIndex=3&amp;refID=7044616&amp;Result=3","7044616")</f>
        <v>0</v>
      </c>
      <c r="B478" t="s">
        <v>232</v>
      </c>
      <c r="C478" t="s">
        <v>3137</v>
      </c>
      <c r="D478" t="s">
        <v>13002</v>
      </c>
      <c r="E478" t="s">
        <v>13531</v>
      </c>
      <c r="F478" t="s">
        <v>22436</v>
      </c>
      <c r="G478" t="s">
        <v>22444</v>
      </c>
      <c r="H478" t="s">
        <v>22452</v>
      </c>
      <c r="I478" t="s">
        <v>3529</v>
      </c>
      <c r="J478" t="s">
        <v>22605</v>
      </c>
      <c r="K478" t="s">
        <v>29338</v>
      </c>
      <c r="M478" t="s">
        <v>29805</v>
      </c>
      <c r="N478" t="s">
        <v>32524</v>
      </c>
      <c r="O478" t="s">
        <v>32525</v>
      </c>
      <c r="P478">
        <v>0</v>
      </c>
      <c r="Q478">
        <v>0</v>
      </c>
      <c r="R478" t="s">
        <v>32526</v>
      </c>
      <c r="S478" t="s">
        <v>32547</v>
      </c>
      <c r="T478" t="s">
        <v>33233</v>
      </c>
      <c r="U478" t="s">
        <v>34055</v>
      </c>
      <c r="W478" t="s">
        <v>29805</v>
      </c>
      <c r="X478" t="s">
        <v>32527</v>
      </c>
    </row>
    <row r="479" spans="1:24">
      <c r="A479">
        <f>HYPERLINK("https://www.philgeps.gov.ph/GEPSNONPILOT/Tender/SplashBidNoticeAbstractUI.aspx?menuIndex=3&amp;refID=7044617&amp;Result=3","7044617")</f>
        <v>0</v>
      </c>
      <c r="B479" t="s">
        <v>233</v>
      </c>
      <c r="C479" t="s">
        <v>3138</v>
      </c>
      <c r="D479" t="s">
        <v>13000</v>
      </c>
      <c r="E479" t="s">
        <v>13532</v>
      </c>
      <c r="F479" t="s">
        <v>22436</v>
      </c>
      <c r="G479" t="s">
        <v>22443</v>
      </c>
      <c r="H479" t="s">
        <v>22452</v>
      </c>
      <c r="I479" t="s">
        <v>22468</v>
      </c>
      <c r="J479" t="s">
        <v>22993</v>
      </c>
      <c r="K479" t="s">
        <v>29358</v>
      </c>
      <c r="M479" t="s">
        <v>29806</v>
      </c>
      <c r="N479" t="s">
        <v>32524</v>
      </c>
      <c r="O479" t="s">
        <v>32525</v>
      </c>
      <c r="P479">
        <v>0</v>
      </c>
      <c r="Q479">
        <v>0</v>
      </c>
      <c r="R479" t="s">
        <v>32526</v>
      </c>
      <c r="S479" t="s">
        <v>32547</v>
      </c>
      <c r="T479" t="s">
        <v>33163</v>
      </c>
      <c r="U479" t="s">
        <v>34056</v>
      </c>
      <c r="W479" t="s">
        <v>29806</v>
      </c>
      <c r="X479" t="s">
        <v>32527</v>
      </c>
    </row>
    <row r="480" spans="1:24">
      <c r="A480">
        <f>HYPERLINK("https://www.philgeps.gov.ph/GEPSNONPILOT/Tender/SplashBidNoticeAbstractUI.aspx?menuIndex=3&amp;refID=7044622&amp;Result=3","7044622")</f>
        <v>0</v>
      </c>
      <c r="B480" t="s">
        <v>168</v>
      </c>
      <c r="C480" t="s">
        <v>3139</v>
      </c>
      <c r="D480" t="s">
        <v>13015</v>
      </c>
      <c r="E480" t="s">
        <v>13533</v>
      </c>
      <c r="F480" t="s">
        <v>22436</v>
      </c>
      <c r="G480" t="s">
        <v>22444</v>
      </c>
      <c r="H480" t="s">
        <v>22452</v>
      </c>
      <c r="I480" t="s">
        <v>22468</v>
      </c>
      <c r="J480" t="s">
        <v>22994</v>
      </c>
      <c r="K480" t="s">
        <v>29335</v>
      </c>
      <c r="M480" t="s">
        <v>29740</v>
      </c>
      <c r="N480" t="s">
        <v>32524</v>
      </c>
      <c r="O480" t="s">
        <v>32525</v>
      </c>
      <c r="P480">
        <v>0</v>
      </c>
      <c r="Q480">
        <v>0</v>
      </c>
      <c r="R480" t="s">
        <v>32526</v>
      </c>
      <c r="S480" t="s">
        <v>32547</v>
      </c>
      <c r="T480" t="s">
        <v>33168</v>
      </c>
      <c r="U480" t="s">
        <v>33937</v>
      </c>
      <c r="V480" t="s">
        <v>42464</v>
      </c>
      <c r="W480" t="s">
        <v>29740</v>
      </c>
      <c r="X480" t="s">
        <v>32527</v>
      </c>
    </row>
    <row r="481" spans="1:24">
      <c r="A481">
        <f>HYPERLINK("https://www.philgeps.gov.ph/GEPSNONPILOT/Tender/SplashBidNoticeAbstractUI.aspx?menuIndex=3&amp;refID=7044620&amp;Result=3","7044620")</f>
        <v>0</v>
      </c>
      <c r="B481" t="s">
        <v>114</v>
      </c>
      <c r="C481" t="s">
        <v>3140</v>
      </c>
      <c r="D481" t="s">
        <v>12999</v>
      </c>
      <c r="E481" t="s">
        <v>13534</v>
      </c>
      <c r="F481" t="s">
        <v>22436</v>
      </c>
      <c r="G481" t="s">
        <v>22443</v>
      </c>
      <c r="H481" t="s">
        <v>22452</v>
      </c>
      <c r="I481" t="s">
        <v>22458</v>
      </c>
      <c r="J481" t="s">
        <v>22995</v>
      </c>
      <c r="K481" t="s">
        <v>29338</v>
      </c>
      <c r="M481" t="s">
        <v>29686</v>
      </c>
      <c r="N481" t="s">
        <v>32524</v>
      </c>
      <c r="O481" t="s">
        <v>32525</v>
      </c>
      <c r="P481">
        <v>0</v>
      </c>
      <c r="Q481">
        <v>14</v>
      </c>
      <c r="R481" t="s">
        <v>32526</v>
      </c>
      <c r="S481" t="s">
        <v>32547</v>
      </c>
      <c r="T481" t="s">
        <v>33169</v>
      </c>
      <c r="U481" t="s">
        <v>33892</v>
      </c>
      <c r="W481" t="s">
        <v>29686</v>
      </c>
      <c r="X481" t="s">
        <v>32527</v>
      </c>
    </row>
    <row r="482" spans="1:24">
      <c r="A482">
        <f>HYPERLINK("https://www.philgeps.gov.ph/GEPSNONPILOT/Tender/SplashBidNoticeAbstractUI.aspx?menuIndex=3&amp;refID=7044623&amp;Result=3","7044623")</f>
        <v>0</v>
      </c>
      <c r="B482" t="s">
        <v>234</v>
      </c>
      <c r="C482" t="s">
        <v>3141</v>
      </c>
      <c r="D482" t="s">
        <v>13025</v>
      </c>
      <c r="E482" t="s">
        <v>13535</v>
      </c>
      <c r="F482" t="s">
        <v>22436</v>
      </c>
      <c r="G482" t="s">
        <v>22444</v>
      </c>
      <c r="H482" t="s">
        <v>22452</v>
      </c>
      <c r="I482" t="s">
        <v>3529</v>
      </c>
      <c r="J482" t="s">
        <v>22996</v>
      </c>
      <c r="K482" t="s">
        <v>29338</v>
      </c>
      <c r="M482" t="s">
        <v>29807</v>
      </c>
      <c r="N482" t="s">
        <v>32524</v>
      </c>
      <c r="O482" t="s">
        <v>32525</v>
      </c>
      <c r="P482">
        <v>0</v>
      </c>
      <c r="Q482">
        <v>0</v>
      </c>
      <c r="R482" t="s">
        <v>32526</v>
      </c>
      <c r="S482" t="s">
        <v>32547</v>
      </c>
      <c r="T482" t="s">
        <v>33243</v>
      </c>
      <c r="U482" t="s">
        <v>34057</v>
      </c>
      <c r="W482" t="s">
        <v>29807</v>
      </c>
      <c r="X482" t="s">
        <v>32527</v>
      </c>
    </row>
    <row r="483" spans="1:24">
      <c r="A483">
        <f>HYPERLINK("https://www.philgeps.gov.ph/GEPSNONPILOT/Tender/SplashBidNoticeAbstractUI.aspx?menuIndex=3&amp;refID=7044631&amp;Result=3","7044631")</f>
        <v>0</v>
      </c>
      <c r="B483" t="s">
        <v>226</v>
      </c>
      <c r="C483" t="s">
        <v>3142</v>
      </c>
      <c r="D483" t="s">
        <v>13025</v>
      </c>
      <c r="E483" t="s">
        <v>13536</v>
      </c>
      <c r="F483" t="s">
        <v>22437</v>
      </c>
      <c r="G483" t="s">
        <v>22444</v>
      </c>
      <c r="H483" t="s">
        <v>22452</v>
      </c>
      <c r="I483" t="s">
        <v>3529</v>
      </c>
      <c r="J483" t="s">
        <v>22997</v>
      </c>
      <c r="K483" t="s">
        <v>29337</v>
      </c>
      <c r="M483" t="s">
        <v>29799</v>
      </c>
      <c r="N483" t="s">
        <v>32524</v>
      </c>
      <c r="O483" t="s">
        <v>32525</v>
      </c>
      <c r="P483">
        <v>0</v>
      </c>
      <c r="Q483">
        <v>0</v>
      </c>
      <c r="R483" t="s">
        <v>32526</v>
      </c>
      <c r="S483" t="s">
        <v>32547</v>
      </c>
      <c r="T483" t="s">
        <v>33234</v>
      </c>
      <c r="U483" t="s">
        <v>34046</v>
      </c>
      <c r="W483" t="s">
        <v>29799</v>
      </c>
      <c r="X483" t="s">
        <v>32527</v>
      </c>
    </row>
    <row r="484" spans="1:24">
      <c r="A484">
        <f>HYPERLINK("https://www.philgeps.gov.ph/GEPSNONPILOT/Tender/SplashBidNoticeAbstractUI.aspx?menuIndex=3&amp;refID=7044627&amp;Result=3","7044627")</f>
        <v>0</v>
      </c>
      <c r="B484" t="s">
        <v>77</v>
      </c>
      <c r="C484" t="s">
        <v>3143</v>
      </c>
      <c r="D484" t="s">
        <v>13001</v>
      </c>
      <c r="E484" t="s">
        <v>13537</v>
      </c>
      <c r="F484" t="s">
        <v>22436</v>
      </c>
      <c r="G484" t="s">
        <v>22443</v>
      </c>
      <c r="H484" t="s">
        <v>22452</v>
      </c>
      <c r="I484" t="s">
        <v>22478</v>
      </c>
      <c r="J484" t="s">
        <v>22998</v>
      </c>
      <c r="K484" t="s">
        <v>29338</v>
      </c>
      <c r="L484" t="s">
        <v>77</v>
      </c>
      <c r="M484" t="s">
        <v>29649</v>
      </c>
      <c r="N484" t="s">
        <v>32524</v>
      </c>
      <c r="O484" t="s">
        <v>32525</v>
      </c>
      <c r="P484">
        <v>0</v>
      </c>
      <c r="Q484">
        <v>1</v>
      </c>
      <c r="R484" t="s">
        <v>32526</v>
      </c>
      <c r="S484" t="s">
        <v>32547</v>
      </c>
      <c r="T484" t="s">
        <v>33169</v>
      </c>
      <c r="U484" t="s">
        <v>33730</v>
      </c>
      <c r="W484" t="s">
        <v>29649</v>
      </c>
      <c r="X484" t="s">
        <v>32527</v>
      </c>
    </row>
    <row r="485" spans="1:24">
      <c r="A485">
        <f>HYPERLINK("https://www.philgeps.gov.ph/GEPSNONPILOT/Tender/SplashBidNoticeAbstractUI.aspx?menuIndex=3&amp;refID=7044626&amp;Result=3","7044626")</f>
        <v>0</v>
      </c>
      <c r="B485" t="s">
        <v>233</v>
      </c>
      <c r="C485" t="s">
        <v>3144</v>
      </c>
      <c r="D485" t="s">
        <v>13000</v>
      </c>
      <c r="E485" t="s">
        <v>13538</v>
      </c>
      <c r="F485" t="s">
        <v>22436</v>
      </c>
      <c r="G485" t="s">
        <v>22443</v>
      </c>
      <c r="H485" t="s">
        <v>22452</v>
      </c>
      <c r="I485" t="s">
        <v>22507</v>
      </c>
      <c r="J485" t="s">
        <v>22999</v>
      </c>
      <c r="K485" t="s">
        <v>29340</v>
      </c>
      <c r="M485" t="s">
        <v>29806</v>
      </c>
      <c r="N485" t="s">
        <v>32524</v>
      </c>
      <c r="O485" t="s">
        <v>32525</v>
      </c>
      <c r="P485">
        <v>0</v>
      </c>
      <c r="Q485">
        <v>0</v>
      </c>
      <c r="R485" t="s">
        <v>32526</v>
      </c>
      <c r="S485" t="s">
        <v>32547</v>
      </c>
      <c r="T485" t="s">
        <v>33163</v>
      </c>
      <c r="U485" t="s">
        <v>34058</v>
      </c>
      <c r="W485" t="s">
        <v>29806</v>
      </c>
      <c r="X485" t="s">
        <v>32527</v>
      </c>
    </row>
    <row r="486" spans="1:24">
      <c r="A486">
        <f>HYPERLINK("https://www.philgeps.gov.ph/GEPSNONPILOT/Tender/SplashBidNoticeAbstractUI.aspx?menuIndex=3&amp;refID=7044625&amp;Result=3","7044625")</f>
        <v>0</v>
      </c>
      <c r="B486" t="s">
        <v>201</v>
      </c>
      <c r="C486" t="s">
        <v>3145</v>
      </c>
      <c r="D486" t="s">
        <v>13031</v>
      </c>
      <c r="E486" t="s">
        <v>13539</v>
      </c>
      <c r="F486" t="s">
        <v>22436</v>
      </c>
      <c r="G486" t="s">
        <v>22445</v>
      </c>
      <c r="H486" t="s">
        <v>22452</v>
      </c>
      <c r="I486" t="s">
        <v>22459</v>
      </c>
      <c r="J486" t="s">
        <v>22986</v>
      </c>
      <c r="K486" t="s">
        <v>29331</v>
      </c>
      <c r="M486" t="s">
        <v>29774</v>
      </c>
      <c r="N486" t="s">
        <v>32524</v>
      </c>
      <c r="O486" t="s">
        <v>32525</v>
      </c>
      <c r="P486">
        <v>0</v>
      </c>
      <c r="Q486">
        <v>0</v>
      </c>
      <c r="R486" t="s">
        <v>32526</v>
      </c>
      <c r="S486" t="s">
        <v>32547</v>
      </c>
      <c r="T486" t="s">
        <v>33196</v>
      </c>
      <c r="U486" t="s">
        <v>34059</v>
      </c>
      <c r="W486" t="s">
        <v>29774</v>
      </c>
      <c r="X486" t="s">
        <v>32527</v>
      </c>
    </row>
    <row r="487" spans="1:24">
      <c r="A487">
        <f>HYPERLINK("https://www.philgeps.gov.ph/GEPSNONPILOT/Tender/SplashBidNoticeAbstractUI.aspx?menuIndex=3&amp;refID=7044645&amp;Result=3","7044645")</f>
        <v>0</v>
      </c>
      <c r="B487" t="s">
        <v>235</v>
      </c>
      <c r="C487" t="s">
        <v>3146</v>
      </c>
      <c r="D487" t="s">
        <v>13012</v>
      </c>
      <c r="E487" t="s">
        <v>13540</v>
      </c>
      <c r="F487" t="s">
        <v>22436</v>
      </c>
      <c r="G487" t="s">
        <v>22444</v>
      </c>
      <c r="H487" t="s">
        <v>22452</v>
      </c>
      <c r="I487" t="s">
        <v>3529</v>
      </c>
      <c r="J487" t="s">
        <v>23000</v>
      </c>
      <c r="K487" t="s">
        <v>29341</v>
      </c>
      <c r="M487" t="s">
        <v>29808</v>
      </c>
      <c r="N487" t="s">
        <v>32524</v>
      </c>
      <c r="O487" t="s">
        <v>32525</v>
      </c>
      <c r="P487">
        <v>0</v>
      </c>
      <c r="Q487">
        <v>0</v>
      </c>
      <c r="R487" t="s">
        <v>32526</v>
      </c>
      <c r="S487" t="s">
        <v>32547</v>
      </c>
      <c r="T487" t="s">
        <v>33168</v>
      </c>
      <c r="U487" t="s">
        <v>34060</v>
      </c>
      <c r="W487" t="s">
        <v>29808</v>
      </c>
      <c r="X487" t="s">
        <v>32527</v>
      </c>
    </row>
    <row r="488" spans="1:24">
      <c r="A488">
        <f>HYPERLINK("https://www.philgeps.gov.ph/GEPSNONPILOT/Tender/SplashBidNoticeAbstractUI.aspx?menuIndex=3&amp;refID=7044630&amp;Result=3","7044630")</f>
        <v>0</v>
      </c>
      <c r="B488" t="s">
        <v>124</v>
      </c>
      <c r="C488" t="s">
        <v>3147</v>
      </c>
      <c r="D488" t="s">
        <v>13031</v>
      </c>
      <c r="E488" t="s">
        <v>13541</v>
      </c>
      <c r="F488" t="s">
        <v>22436</v>
      </c>
      <c r="G488" t="s">
        <v>22443</v>
      </c>
      <c r="H488" t="s">
        <v>22452</v>
      </c>
      <c r="I488" t="s">
        <v>3529</v>
      </c>
      <c r="J488" t="s">
        <v>23001</v>
      </c>
      <c r="K488" t="s">
        <v>29338</v>
      </c>
      <c r="M488" t="s">
        <v>29696</v>
      </c>
      <c r="N488" t="s">
        <v>32524</v>
      </c>
      <c r="O488" t="s">
        <v>32525</v>
      </c>
      <c r="P488">
        <v>0</v>
      </c>
      <c r="Q488">
        <v>3</v>
      </c>
      <c r="R488" t="s">
        <v>32526</v>
      </c>
      <c r="S488" t="s">
        <v>32547</v>
      </c>
      <c r="T488" t="s">
        <v>33183</v>
      </c>
      <c r="U488" t="s">
        <v>34061</v>
      </c>
      <c r="W488" t="s">
        <v>29696</v>
      </c>
      <c r="X488" t="s">
        <v>32527</v>
      </c>
    </row>
    <row r="489" spans="1:24">
      <c r="A489">
        <f>HYPERLINK("https://www.philgeps.gov.ph/GEPSNONPILOT/Tender/SplashBidNoticeAbstractUI.aspx?menuIndex=3&amp;refID=7044624&amp;Result=3","7044624")</f>
        <v>0</v>
      </c>
      <c r="B489" t="s">
        <v>236</v>
      </c>
      <c r="C489" t="s">
        <v>3148</v>
      </c>
      <c r="D489" t="s">
        <v>13029</v>
      </c>
      <c r="E489" t="s">
        <v>13542</v>
      </c>
      <c r="F489" t="s">
        <v>22436</v>
      </c>
      <c r="G489" t="s">
        <v>22443</v>
      </c>
      <c r="H489" t="s">
        <v>22452</v>
      </c>
      <c r="I489" t="s">
        <v>22460</v>
      </c>
      <c r="J489" t="s">
        <v>23002</v>
      </c>
      <c r="K489" t="s">
        <v>29335</v>
      </c>
      <c r="M489" t="s">
        <v>29809</v>
      </c>
      <c r="N489" t="s">
        <v>32524</v>
      </c>
      <c r="O489" t="s">
        <v>32525</v>
      </c>
      <c r="P489">
        <v>0</v>
      </c>
      <c r="Q489">
        <v>0</v>
      </c>
      <c r="R489" t="s">
        <v>32526</v>
      </c>
      <c r="S489" t="s">
        <v>32547</v>
      </c>
      <c r="T489" t="s">
        <v>33210</v>
      </c>
      <c r="U489" t="s">
        <v>34062</v>
      </c>
      <c r="W489" t="s">
        <v>29809</v>
      </c>
      <c r="X489" t="s">
        <v>32527</v>
      </c>
    </row>
    <row r="490" spans="1:24">
      <c r="A490">
        <f>HYPERLINK("https://www.philgeps.gov.ph/GEPSNONPILOT/Tender/SplashBidNoticeAbstractUI.aspx?menuIndex=3&amp;refID=7044634&amp;Result=3","7044634")</f>
        <v>0</v>
      </c>
      <c r="B490" t="s">
        <v>194</v>
      </c>
      <c r="C490" t="s">
        <v>3149</v>
      </c>
      <c r="D490" t="s">
        <v>13031</v>
      </c>
      <c r="E490" t="s">
        <v>13543</v>
      </c>
      <c r="F490" t="s">
        <v>22436</v>
      </c>
      <c r="G490" t="s">
        <v>22446</v>
      </c>
      <c r="H490" t="s">
        <v>22452</v>
      </c>
      <c r="I490" t="s">
        <v>22460</v>
      </c>
      <c r="J490" t="s">
        <v>23003</v>
      </c>
      <c r="K490" t="s">
        <v>29338</v>
      </c>
      <c r="M490" t="s">
        <v>29767</v>
      </c>
      <c r="N490" t="s">
        <v>32524</v>
      </c>
      <c r="O490" t="s">
        <v>32525</v>
      </c>
      <c r="P490">
        <v>0</v>
      </c>
      <c r="Q490">
        <v>0</v>
      </c>
      <c r="R490" t="s">
        <v>32526</v>
      </c>
      <c r="S490" t="s">
        <v>32547</v>
      </c>
      <c r="T490" t="s">
        <v>33177</v>
      </c>
      <c r="U490" t="s">
        <v>33984</v>
      </c>
      <c r="W490" t="s">
        <v>29767</v>
      </c>
      <c r="X490" t="s">
        <v>32527</v>
      </c>
    </row>
    <row r="491" spans="1:24">
      <c r="A491">
        <f>HYPERLINK("https://www.philgeps.gov.ph/GEPSNONPILOT/Tender/SplashBidNoticeAbstractUI.aspx?menuIndex=3&amp;refID=7044644&amp;Result=3","7044644")</f>
        <v>0</v>
      </c>
      <c r="B491" t="s">
        <v>237</v>
      </c>
      <c r="C491" t="s">
        <v>3150</v>
      </c>
      <c r="D491" t="s">
        <v>13051</v>
      </c>
      <c r="E491" t="s">
        <v>13544</v>
      </c>
      <c r="F491" t="s">
        <v>22436</v>
      </c>
      <c r="G491" t="s">
        <v>22444</v>
      </c>
      <c r="H491" t="s">
        <v>22452</v>
      </c>
      <c r="I491" t="s">
        <v>22508</v>
      </c>
      <c r="J491" t="s">
        <v>23004</v>
      </c>
      <c r="K491" t="s">
        <v>29341</v>
      </c>
      <c r="M491" t="s">
        <v>29810</v>
      </c>
      <c r="N491" t="s">
        <v>32524</v>
      </c>
      <c r="O491" t="s">
        <v>32525</v>
      </c>
      <c r="P491">
        <v>0</v>
      </c>
      <c r="Q491">
        <v>4</v>
      </c>
      <c r="R491" t="s">
        <v>32526</v>
      </c>
      <c r="S491" t="s">
        <v>32547</v>
      </c>
      <c r="T491" t="s">
        <v>33175</v>
      </c>
      <c r="U491" t="s">
        <v>34063</v>
      </c>
      <c r="W491" t="s">
        <v>29810</v>
      </c>
      <c r="X491" t="s">
        <v>32527</v>
      </c>
    </row>
    <row r="492" spans="1:24">
      <c r="A492">
        <f>HYPERLINK("https://www.philgeps.gov.ph/GEPSNONPILOT/Tender/SplashBidNoticeAbstractUI.aspx?menuIndex=3&amp;refID=7044640&amp;Result=3","7044640")</f>
        <v>0</v>
      </c>
      <c r="B492" t="s">
        <v>209</v>
      </c>
      <c r="C492" t="s">
        <v>3151</v>
      </c>
      <c r="D492" t="s">
        <v>13049</v>
      </c>
      <c r="E492" t="s">
        <v>13545</v>
      </c>
      <c r="F492" t="s">
        <v>22436</v>
      </c>
      <c r="G492" t="s">
        <v>22444</v>
      </c>
      <c r="H492" t="s">
        <v>22454</v>
      </c>
      <c r="I492" t="s">
        <v>22464</v>
      </c>
      <c r="J492" t="s">
        <v>22634</v>
      </c>
      <c r="K492" t="s">
        <v>29345</v>
      </c>
      <c r="M492" t="s">
        <v>29782</v>
      </c>
      <c r="N492" t="s">
        <v>32524</v>
      </c>
      <c r="O492" t="s">
        <v>32525</v>
      </c>
      <c r="P492">
        <v>0</v>
      </c>
      <c r="Q492">
        <v>0</v>
      </c>
      <c r="R492" t="s">
        <v>32526</v>
      </c>
      <c r="S492" t="s">
        <v>32547</v>
      </c>
      <c r="T492" t="s">
        <v>33218</v>
      </c>
      <c r="U492" t="s">
        <v>34064</v>
      </c>
      <c r="W492" t="s">
        <v>29782</v>
      </c>
      <c r="X492" t="s">
        <v>32527</v>
      </c>
    </row>
    <row r="493" spans="1:24">
      <c r="A493">
        <f>HYPERLINK("https://www.philgeps.gov.ph/GEPSNONPILOT/Tender/SplashBidNoticeAbstractUI.aspx?menuIndex=3&amp;refID=7044639&amp;Result=3","7044639")</f>
        <v>0</v>
      </c>
      <c r="B493" t="s">
        <v>168</v>
      </c>
      <c r="C493" t="s">
        <v>3152</v>
      </c>
      <c r="D493" t="s">
        <v>13015</v>
      </c>
      <c r="E493" t="s">
        <v>13546</v>
      </c>
      <c r="F493" t="s">
        <v>22436</v>
      </c>
      <c r="G493" t="s">
        <v>22444</v>
      </c>
      <c r="H493" t="s">
        <v>22452</v>
      </c>
      <c r="I493" t="s">
        <v>3529</v>
      </c>
      <c r="J493" t="s">
        <v>23005</v>
      </c>
      <c r="K493" t="s">
        <v>29335</v>
      </c>
      <c r="M493" t="s">
        <v>29740</v>
      </c>
      <c r="N493" t="s">
        <v>32524</v>
      </c>
      <c r="O493" t="s">
        <v>32525</v>
      </c>
      <c r="P493">
        <v>0</v>
      </c>
      <c r="Q493">
        <v>0</v>
      </c>
      <c r="R493" t="s">
        <v>32526</v>
      </c>
      <c r="S493" t="s">
        <v>32547</v>
      </c>
      <c r="T493" t="s">
        <v>33168</v>
      </c>
      <c r="U493" t="s">
        <v>33937</v>
      </c>
      <c r="V493" t="s">
        <v>42464</v>
      </c>
      <c r="W493" t="s">
        <v>29740</v>
      </c>
      <c r="X493" t="s">
        <v>32527</v>
      </c>
    </row>
    <row r="494" spans="1:24">
      <c r="A494">
        <f>HYPERLINK("https://www.philgeps.gov.ph/GEPSNONPILOT/Tender/SplashBidNoticeAbstractUI.aspx?menuIndex=3&amp;refID=7044633&amp;Result=3","7044633")</f>
        <v>0</v>
      </c>
      <c r="B494" t="s">
        <v>238</v>
      </c>
      <c r="C494" t="s">
        <v>3153</v>
      </c>
      <c r="D494" t="s">
        <v>12991</v>
      </c>
      <c r="E494" t="s">
        <v>13547</v>
      </c>
      <c r="F494" t="s">
        <v>22436</v>
      </c>
      <c r="G494" t="s">
        <v>22444</v>
      </c>
      <c r="H494" t="s">
        <v>22452</v>
      </c>
      <c r="I494" t="s">
        <v>22460</v>
      </c>
      <c r="J494" t="s">
        <v>23006</v>
      </c>
      <c r="K494" t="s">
        <v>29331</v>
      </c>
      <c r="M494" t="s">
        <v>29811</v>
      </c>
      <c r="N494" t="s">
        <v>32524</v>
      </c>
      <c r="O494" t="s">
        <v>32525</v>
      </c>
      <c r="P494">
        <v>0</v>
      </c>
      <c r="Q494">
        <v>0</v>
      </c>
      <c r="R494" t="s">
        <v>32526</v>
      </c>
      <c r="S494" t="s">
        <v>32547</v>
      </c>
      <c r="T494" t="s">
        <v>33244</v>
      </c>
      <c r="U494" t="s">
        <v>34065</v>
      </c>
      <c r="W494" t="s">
        <v>29811</v>
      </c>
      <c r="X494" t="s">
        <v>32527</v>
      </c>
    </row>
    <row r="495" spans="1:24">
      <c r="A495">
        <f>HYPERLINK("https://www.philgeps.gov.ph/GEPSNONPILOT/Tender/SplashBidNoticeAbstractUI.aspx?menuIndex=3&amp;refID=7044636&amp;Result=3","7044636")</f>
        <v>0</v>
      </c>
      <c r="B495" t="s">
        <v>180</v>
      </c>
      <c r="C495" t="s">
        <v>3154</v>
      </c>
      <c r="D495" t="s">
        <v>13026</v>
      </c>
      <c r="E495" t="s">
        <v>13548</v>
      </c>
      <c r="F495" t="s">
        <v>22436</v>
      </c>
      <c r="G495" t="s">
        <v>22443</v>
      </c>
      <c r="H495" t="s">
        <v>22452</v>
      </c>
      <c r="I495" t="s">
        <v>22502</v>
      </c>
      <c r="J495" t="s">
        <v>23007</v>
      </c>
      <c r="K495" t="s">
        <v>29331</v>
      </c>
      <c r="M495" t="s">
        <v>29752</v>
      </c>
      <c r="N495" t="s">
        <v>32524</v>
      </c>
      <c r="O495" t="s">
        <v>32525</v>
      </c>
      <c r="P495">
        <v>0</v>
      </c>
      <c r="Q495">
        <v>3</v>
      </c>
      <c r="R495" t="s">
        <v>32526</v>
      </c>
      <c r="S495" t="s">
        <v>32547</v>
      </c>
      <c r="T495" t="s">
        <v>33167</v>
      </c>
      <c r="U495" t="s">
        <v>34066</v>
      </c>
      <c r="W495" t="s">
        <v>29752</v>
      </c>
      <c r="X495" t="s">
        <v>32527</v>
      </c>
    </row>
    <row r="496" spans="1:24">
      <c r="A496">
        <f>HYPERLINK("https://www.philgeps.gov.ph/GEPSNONPILOT/Tender/SplashBidNoticeAbstractUI.aspx?menuIndex=3&amp;refID=7044642&amp;Result=3","7044642")</f>
        <v>0</v>
      </c>
      <c r="B496" t="s">
        <v>213</v>
      </c>
      <c r="C496" t="s">
        <v>3155</v>
      </c>
      <c r="D496" t="s">
        <v>13046</v>
      </c>
      <c r="E496" t="s">
        <v>13549</v>
      </c>
      <c r="F496" t="s">
        <v>22436</v>
      </c>
      <c r="G496" t="s">
        <v>22444</v>
      </c>
      <c r="H496" t="s">
        <v>22452</v>
      </c>
      <c r="I496" t="s">
        <v>2962</v>
      </c>
      <c r="J496" t="s">
        <v>23008</v>
      </c>
      <c r="K496" t="s">
        <v>29330</v>
      </c>
      <c r="M496" t="s">
        <v>29786</v>
      </c>
      <c r="N496" t="s">
        <v>32524</v>
      </c>
      <c r="O496" t="s">
        <v>32525</v>
      </c>
      <c r="P496">
        <v>0</v>
      </c>
      <c r="Q496">
        <v>0</v>
      </c>
      <c r="R496" t="s">
        <v>32526</v>
      </c>
      <c r="S496" t="s">
        <v>32547</v>
      </c>
      <c r="T496" t="s">
        <v>33245</v>
      </c>
      <c r="U496" t="s">
        <v>34067</v>
      </c>
      <c r="W496" t="s">
        <v>29786</v>
      </c>
      <c r="X496" t="s">
        <v>32527</v>
      </c>
    </row>
    <row r="497" spans="1:24">
      <c r="A497">
        <f>HYPERLINK("https://www.philgeps.gov.ph/GEPSNONPILOT/Tender/SplashBidNoticeAbstractUI.aspx?menuIndex=3&amp;refID=7044647&amp;Result=3","7044647")</f>
        <v>0</v>
      </c>
      <c r="B497" t="s">
        <v>239</v>
      </c>
      <c r="C497" t="s">
        <v>3156</v>
      </c>
      <c r="D497" t="s">
        <v>13002</v>
      </c>
      <c r="E497" t="s">
        <v>13550</v>
      </c>
      <c r="F497" t="s">
        <v>22436</v>
      </c>
      <c r="G497" t="s">
        <v>22444</v>
      </c>
      <c r="H497" t="s">
        <v>22452</v>
      </c>
      <c r="I497" t="s">
        <v>3529</v>
      </c>
      <c r="J497" t="s">
        <v>23009</v>
      </c>
      <c r="K497" t="s">
        <v>29338</v>
      </c>
      <c r="M497" t="s">
        <v>29812</v>
      </c>
      <c r="N497" t="s">
        <v>32524</v>
      </c>
      <c r="O497" t="s">
        <v>32525</v>
      </c>
      <c r="P497">
        <v>0</v>
      </c>
      <c r="Q497">
        <v>0</v>
      </c>
      <c r="R497" t="s">
        <v>32526</v>
      </c>
      <c r="S497" t="s">
        <v>32547</v>
      </c>
      <c r="T497" t="s">
        <v>33233</v>
      </c>
      <c r="U497" t="s">
        <v>34068</v>
      </c>
      <c r="W497" t="s">
        <v>29812</v>
      </c>
      <c r="X497" t="s">
        <v>32527</v>
      </c>
    </row>
    <row r="498" spans="1:24">
      <c r="A498">
        <f>HYPERLINK("https://www.philgeps.gov.ph/GEPSNONPILOT/Tender/SplashBidNoticeAbstractUI.aspx?menuIndex=3&amp;refID=7044629&amp;Result=3","7044629")</f>
        <v>0</v>
      </c>
      <c r="B498" t="s">
        <v>235</v>
      </c>
      <c r="C498" t="s">
        <v>3157</v>
      </c>
      <c r="D498" t="s">
        <v>13012</v>
      </c>
      <c r="E498" t="s">
        <v>13551</v>
      </c>
      <c r="F498" t="s">
        <v>22436</v>
      </c>
      <c r="G498" t="s">
        <v>22444</v>
      </c>
      <c r="H498" t="s">
        <v>22454</v>
      </c>
      <c r="I498" t="s">
        <v>7738</v>
      </c>
      <c r="J498" t="s">
        <v>23010</v>
      </c>
      <c r="K498" t="s">
        <v>29341</v>
      </c>
      <c r="M498" t="s">
        <v>29808</v>
      </c>
      <c r="N498" t="s">
        <v>32524</v>
      </c>
      <c r="O498" t="s">
        <v>32525</v>
      </c>
      <c r="P498">
        <v>0</v>
      </c>
      <c r="Q498">
        <v>0</v>
      </c>
      <c r="R498" t="s">
        <v>32526</v>
      </c>
      <c r="S498" t="s">
        <v>32547</v>
      </c>
      <c r="T498" t="s">
        <v>33168</v>
      </c>
      <c r="U498" t="s">
        <v>34069</v>
      </c>
      <c r="W498" t="s">
        <v>29808</v>
      </c>
      <c r="X498" t="s">
        <v>32527</v>
      </c>
    </row>
    <row r="499" spans="1:24">
      <c r="A499">
        <f>HYPERLINK("https://www.philgeps.gov.ph/GEPSNONPILOT/Tender/SplashBidNoticeAbstractUI.aspx?menuIndex=3&amp;refID=7044638&amp;Result=3","7044638")</f>
        <v>0</v>
      </c>
      <c r="B499" t="s">
        <v>178</v>
      </c>
      <c r="C499" t="s">
        <v>3020</v>
      </c>
      <c r="D499" t="s">
        <v>13046</v>
      </c>
      <c r="E499" t="s">
        <v>13552</v>
      </c>
      <c r="F499" t="s">
        <v>22436</v>
      </c>
      <c r="G499" t="s">
        <v>22443</v>
      </c>
      <c r="H499" t="s">
        <v>22452</v>
      </c>
      <c r="I499" t="s">
        <v>22502</v>
      </c>
      <c r="J499" t="s">
        <v>23011</v>
      </c>
      <c r="K499" t="s">
        <v>29341</v>
      </c>
      <c r="M499" t="s">
        <v>29750</v>
      </c>
      <c r="N499" t="s">
        <v>32524</v>
      </c>
      <c r="O499" t="s">
        <v>32525</v>
      </c>
      <c r="P499">
        <v>0</v>
      </c>
      <c r="Q499">
        <v>4</v>
      </c>
      <c r="R499" t="s">
        <v>32526</v>
      </c>
      <c r="S499" t="s">
        <v>32547</v>
      </c>
      <c r="T499" t="s">
        <v>33210</v>
      </c>
      <c r="U499" t="s">
        <v>34070</v>
      </c>
      <c r="V499" t="s">
        <v>42468</v>
      </c>
      <c r="W499" t="s">
        <v>29750</v>
      </c>
      <c r="X499" t="s">
        <v>32527</v>
      </c>
    </row>
    <row r="500" spans="1:24">
      <c r="A500">
        <f>HYPERLINK("https://www.philgeps.gov.ph/GEPSNONPILOT/Tender/SplashBidNoticeAbstractUI.aspx?menuIndex=3&amp;refID=7044643&amp;Result=3","7044643")</f>
        <v>0</v>
      </c>
      <c r="B500" t="s">
        <v>114</v>
      </c>
      <c r="C500" t="s">
        <v>2931</v>
      </c>
      <c r="D500" t="s">
        <v>12999</v>
      </c>
      <c r="E500" t="s">
        <v>13553</v>
      </c>
      <c r="F500" t="s">
        <v>22436</v>
      </c>
      <c r="G500" t="s">
        <v>22443</v>
      </c>
      <c r="H500" t="s">
        <v>22454</v>
      </c>
      <c r="I500" t="s">
        <v>7738</v>
      </c>
      <c r="J500" t="s">
        <v>22616</v>
      </c>
      <c r="K500" t="s">
        <v>29338</v>
      </c>
      <c r="M500" t="s">
        <v>29686</v>
      </c>
      <c r="N500" t="s">
        <v>32524</v>
      </c>
      <c r="O500" t="s">
        <v>32525</v>
      </c>
      <c r="P500">
        <v>0</v>
      </c>
      <c r="Q500">
        <v>0</v>
      </c>
      <c r="R500" t="s">
        <v>32526</v>
      </c>
      <c r="S500" t="s">
        <v>32547</v>
      </c>
      <c r="T500" t="s">
        <v>33169</v>
      </c>
      <c r="U500" t="s">
        <v>33861</v>
      </c>
      <c r="W500" t="s">
        <v>29686</v>
      </c>
      <c r="X500" t="s">
        <v>32527</v>
      </c>
    </row>
    <row r="501" spans="1:24">
      <c r="A501">
        <f>HYPERLINK("https://www.philgeps.gov.ph/GEPSNONPILOT/Tender/SplashBidNoticeAbstractUI.aspx?menuIndex=3&amp;refID=7044646&amp;Result=3","7044646")</f>
        <v>0</v>
      </c>
      <c r="B501" t="s">
        <v>137</v>
      </c>
      <c r="C501" t="s">
        <v>3158</v>
      </c>
      <c r="D501" t="s">
        <v>12994</v>
      </c>
      <c r="E501" t="s">
        <v>13096</v>
      </c>
      <c r="F501" t="s">
        <v>22436</v>
      </c>
      <c r="G501" t="s">
        <v>22444</v>
      </c>
      <c r="H501" t="s">
        <v>22454</v>
      </c>
      <c r="I501" t="s">
        <v>7738</v>
      </c>
      <c r="J501" t="s">
        <v>22674</v>
      </c>
      <c r="K501" t="s">
        <v>29329</v>
      </c>
      <c r="M501" t="s">
        <v>29709</v>
      </c>
      <c r="N501" t="s">
        <v>32524</v>
      </c>
      <c r="O501" t="s">
        <v>32525</v>
      </c>
      <c r="P501">
        <v>0</v>
      </c>
      <c r="Q501">
        <v>0</v>
      </c>
      <c r="R501" t="s">
        <v>32526</v>
      </c>
      <c r="S501" t="s">
        <v>32547</v>
      </c>
      <c r="T501" t="s">
        <v>33182</v>
      </c>
      <c r="U501" t="s">
        <v>34071</v>
      </c>
      <c r="W501" t="s">
        <v>29709</v>
      </c>
      <c r="X501" t="s">
        <v>32527</v>
      </c>
    </row>
    <row r="502" spans="1:24">
      <c r="A502">
        <f>HYPERLINK("https://www.philgeps.gov.ph/GEPSNONPILOT/Tender/SplashBidNoticeAbstractUI.aspx?menuIndex=3&amp;refID=7044628&amp;Result=3","7044628")</f>
        <v>0</v>
      </c>
      <c r="B502" t="s">
        <v>166</v>
      </c>
      <c r="C502" t="s">
        <v>3159</v>
      </c>
      <c r="D502" t="s">
        <v>13052</v>
      </c>
      <c r="E502" t="s">
        <v>13554</v>
      </c>
      <c r="F502" t="s">
        <v>22436</v>
      </c>
      <c r="G502" t="s">
        <v>22443</v>
      </c>
      <c r="H502" t="s">
        <v>22452</v>
      </c>
      <c r="I502" t="s">
        <v>3027</v>
      </c>
      <c r="J502" t="s">
        <v>23012</v>
      </c>
      <c r="K502" t="s">
        <v>29338</v>
      </c>
      <c r="M502" t="s">
        <v>29813</v>
      </c>
      <c r="N502" t="s">
        <v>32524</v>
      </c>
      <c r="O502" t="s">
        <v>32525</v>
      </c>
      <c r="P502">
        <v>0</v>
      </c>
      <c r="Q502">
        <v>2</v>
      </c>
      <c r="R502" t="s">
        <v>32526</v>
      </c>
      <c r="S502" t="s">
        <v>32547</v>
      </c>
      <c r="T502" t="s">
        <v>33161</v>
      </c>
      <c r="U502" t="s">
        <v>34072</v>
      </c>
      <c r="W502" t="s">
        <v>29813</v>
      </c>
      <c r="X502" t="s">
        <v>32527</v>
      </c>
    </row>
    <row r="503" spans="1:24">
      <c r="A503">
        <f>HYPERLINK("https://www.philgeps.gov.ph/GEPSNONPILOT/Tender/SplashBidNoticeAbstractUI.aspx?menuIndex=3&amp;refID=7044635&amp;Result=3","7044635")</f>
        <v>0</v>
      </c>
      <c r="B503" t="s">
        <v>154</v>
      </c>
      <c r="C503" t="s">
        <v>3160</v>
      </c>
      <c r="D503" t="s">
        <v>13029</v>
      </c>
      <c r="E503" t="s">
        <v>13555</v>
      </c>
      <c r="F503" t="s">
        <v>22436</v>
      </c>
      <c r="G503" t="s">
        <v>22446</v>
      </c>
      <c r="H503" t="s">
        <v>22452</v>
      </c>
      <c r="I503" t="s">
        <v>12358</v>
      </c>
      <c r="J503" t="s">
        <v>23013</v>
      </c>
      <c r="K503" t="s">
        <v>29331</v>
      </c>
      <c r="M503" t="s">
        <v>29726</v>
      </c>
      <c r="N503" t="s">
        <v>32524</v>
      </c>
      <c r="O503" t="s">
        <v>32525</v>
      </c>
      <c r="P503">
        <v>0</v>
      </c>
      <c r="Q503">
        <v>0</v>
      </c>
      <c r="R503" t="s">
        <v>32526</v>
      </c>
      <c r="S503" t="s">
        <v>32547</v>
      </c>
      <c r="T503" t="s">
        <v>33168</v>
      </c>
      <c r="U503" t="s">
        <v>33914</v>
      </c>
      <c r="W503" t="s">
        <v>29726</v>
      </c>
      <c r="X503" t="s">
        <v>32527</v>
      </c>
    </row>
    <row r="504" spans="1:24">
      <c r="A504">
        <f>HYPERLINK("https://www.philgeps.gov.ph/GEPSNONPILOT/Tender/SplashBidNoticeAbstractUI.aspx?menuIndex=3&amp;refID=7044654&amp;Result=3","7044654")</f>
        <v>0</v>
      </c>
      <c r="B504" t="s">
        <v>183</v>
      </c>
      <c r="C504" t="s">
        <v>3161</v>
      </c>
      <c r="D504" t="s">
        <v>12988</v>
      </c>
      <c r="E504" t="s">
        <v>13556</v>
      </c>
      <c r="F504" t="s">
        <v>22436</v>
      </c>
      <c r="G504" t="s">
        <v>22443</v>
      </c>
      <c r="H504" t="s">
        <v>22452</v>
      </c>
      <c r="I504" t="s">
        <v>22502</v>
      </c>
      <c r="J504" t="s">
        <v>23014</v>
      </c>
      <c r="K504" t="s">
        <v>29336</v>
      </c>
      <c r="M504" t="s">
        <v>29755</v>
      </c>
      <c r="N504" t="s">
        <v>32524</v>
      </c>
      <c r="O504" t="s">
        <v>32525</v>
      </c>
      <c r="P504">
        <v>0</v>
      </c>
      <c r="Q504">
        <v>5</v>
      </c>
      <c r="R504" t="s">
        <v>32526</v>
      </c>
      <c r="S504" t="s">
        <v>32547</v>
      </c>
      <c r="T504" t="s">
        <v>33215</v>
      </c>
      <c r="U504" t="s">
        <v>34073</v>
      </c>
      <c r="V504" t="s">
        <v>42469</v>
      </c>
      <c r="W504" t="s">
        <v>29755</v>
      </c>
      <c r="X504" t="s">
        <v>32527</v>
      </c>
    </row>
    <row r="505" spans="1:24">
      <c r="A505">
        <f>HYPERLINK("https://www.philgeps.gov.ph/GEPSNONPILOT/Tender/SplashBidNoticeAbstractUI.aspx?menuIndex=3&amp;refID=7044653&amp;Result=3","7044653")</f>
        <v>0</v>
      </c>
      <c r="B505" t="s">
        <v>240</v>
      </c>
      <c r="C505" t="s">
        <v>3162</v>
      </c>
      <c r="D505" t="s">
        <v>12988</v>
      </c>
      <c r="E505" t="s">
        <v>13557</v>
      </c>
      <c r="F505" t="s">
        <v>22436</v>
      </c>
      <c r="G505" t="s">
        <v>22444</v>
      </c>
      <c r="H505" t="s">
        <v>22452</v>
      </c>
      <c r="I505" t="s">
        <v>22502</v>
      </c>
      <c r="J505" t="s">
        <v>23015</v>
      </c>
      <c r="K505" t="s">
        <v>29334</v>
      </c>
      <c r="M505" t="s">
        <v>29814</v>
      </c>
      <c r="N505" t="s">
        <v>32524</v>
      </c>
      <c r="O505" t="s">
        <v>32525</v>
      </c>
      <c r="P505">
        <v>0</v>
      </c>
      <c r="Q505">
        <v>8</v>
      </c>
      <c r="R505" t="s">
        <v>32526</v>
      </c>
      <c r="S505" t="s">
        <v>32547</v>
      </c>
      <c r="T505" t="s">
        <v>33246</v>
      </c>
      <c r="U505" t="s">
        <v>34074</v>
      </c>
      <c r="V505" t="s">
        <v>42478</v>
      </c>
      <c r="W505" t="s">
        <v>29814</v>
      </c>
      <c r="X505" t="s">
        <v>32527</v>
      </c>
    </row>
    <row r="506" spans="1:24">
      <c r="A506">
        <f>HYPERLINK("https://www.philgeps.gov.ph/GEPSNONPILOT/Tender/SplashBidNoticeAbstractUI.aspx?menuIndex=3&amp;refID=7044658&amp;Result=3","7044658")</f>
        <v>0</v>
      </c>
      <c r="B506" t="s">
        <v>168</v>
      </c>
      <c r="C506" t="s">
        <v>3163</v>
      </c>
      <c r="D506" t="s">
        <v>13015</v>
      </c>
      <c r="E506" t="s">
        <v>13558</v>
      </c>
      <c r="F506" t="s">
        <v>22436</v>
      </c>
      <c r="G506" t="s">
        <v>22444</v>
      </c>
      <c r="H506" t="s">
        <v>22452</v>
      </c>
      <c r="I506" t="s">
        <v>3358</v>
      </c>
      <c r="J506" t="s">
        <v>23016</v>
      </c>
      <c r="K506" t="s">
        <v>29335</v>
      </c>
      <c r="M506" t="s">
        <v>29740</v>
      </c>
      <c r="N506" t="s">
        <v>32524</v>
      </c>
      <c r="O506" t="s">
        <v>32525</v>
      </c>
      <c r="P506">
        <v>0</v>
      </c>
      <c r="Q506">
        <v>1</v>
      </c>
      <c r="R506" t="s">
        <v>32526</v>
      </c>
      <c r="S506" t="s">
        <v>32547</v>
      </c>
      <c r="T506" t="s">
        <v>33164</v>
      </c>
      <c r="U506" t="s">
        <v>33937</v>
      </c>
      <c r="V506" t="s">
        <v>42464</v>
      </c>
      <c r="W506" t="s">
        <v>29740</v>
      </c>
      <c r="X506" t="s">
        <v>32527</v>
      </c>
    </row>
    <row r="507" spans="1:24">
      <c r="A507">
        <f>HYPERLINK("https://www.philgeps.gov.ph/GEPSNONPILOT/Tender/SplashBidNoticeAbstractUI.aspx?menuIndex=3&amp;refID=7044669&amp;Result=3","7044669")</f>
        <v>0</v>
      </c>
      <c r="B507" t="s">
        <v>241</v>
      </c>
      <c r="C507" t="s">
        <v>3164</v>
      </c>
      <c r="D507" t="s">
        <v>13031</v>
      </c>
      <c r="E507" t="s">
        <v>13559</v>
      </c>
      <c r="F507" t="s">
        <v>22436</v>
      </c>
      <c r="G507" t="s">
        <v>22443</v>
      </c>
      <c r="H507" t="s">
        <v>22452</v>
      </c>
      <c r="I507" t="s">
        <v>3529</v>
      </c>
      <c r="J507" t="s">
        <v>23017</v>
      </c>
      <c r="K507" t="s">
        <v>29329</v>
      </c>
      <c r="M507" t="s">
        <v>29815</v>
      </c>
      <c r="N507" t="s">
        <v>32524</v>
      </c>
      <c r="O507" t="s">
        <v>32525</v>
      </c>
      <c r="P507">
        <v>0</v>
      </c>
      <c r="Q507">
        <v>0</v>
      </c>
      <c r="R507" t="s">
        <v>32526</v>
      </c>
      <c r="S507" t="s">
        <v>32547</v>
      </c>
      <c r="T507" t="s">
        <v>33161</v>
      </c>
      <c r="U507" t="s">
        <v>34075</v>
      </c>
      <c r="W507" t="s">
        <v>29815</v>
      </c>
      <c r="X507" t="s">
        <v>32527</v>
      </c>
    </row>
    <row r="508" spans="1:24">
      <c r="A508">
        <f>HYPERLINK("https://www.philgeps.gov.ph/GEPSNONPILOT/Tender/SplashBidNoticeAbstractUI.aspx?menuIndex=3&amp;refID=7044655&amp;Result=3","7044655")</f>
        <v>0</v>
      </c>
      <c r="B508" t="s">
        <v>169</v>
      </c>
      <c r="C508" t="s">
        <v>3165</v>
      </c>
      <c r="D508" t="s">
        <v>13044</v>
      </c>
      <c r="E508" t="s">
        <v>13560</v>
      </c>
      <c r="F508" t="s">
        <v>22436</v>
      </c>
      <c r="G508" t="s">
        <v>22443</v>
      </c>
      <c r="H508" t="s">
        <v>22452</v>
      </c>
      <c r="I508" t="s">
        <v>22463</v>
      </c>
      <c r="J508" t="s">
        <v>23018</v>
      </c>
      <c r="K508" t="s">
        <v>29336</v>
      </c>
      <c r="M508" t="s">
        <v>29741</v>
      </c>
      <c r="N508" t="s">
        <v>32524</v>
      </c>
      <c r="O508" t="s">
        <v>32525</v>
      </c>
      <c r="P508">
        <v>0</v>
      </c>
      <c r="Q508">
        <v>1</v>
      </c>
      <c r="R508" t="s">
        <v>32526</v>
      </c>
      <c r="S508" t="s">
        <v>32547</v>
      </c>
      <c r="T508" t="s">
        <v>33161</v>
      </c>
      <c r="U508" t="s">
        <v>34076</v>
      </c>
      <c r="V508" t="s">
        <v>42465</v>
      </c>
      <c r="W508" t="s">
        <v>29741</v>
      </c>
      <c r="X508" t="s">
        <v>32527</v>
      </c>
    </row>
    <row r="509" spans="1:24">
      <c r="A509">
        <f>HYPERLINK("https://www.philgeps.gov.ph/GEPSNONPILOT/Tender/SplashBidNoticeAbstractUI.aspx?menuIndex=3&amp;refID=7044667&amp;Result=3","7044667")</f>
        <v>0</v>
      </c>
      <c r="B509" t="s">
        <v>224</v>
      </c>
      <c r="C509" t="s">
        <v>3122</v>
      </c>
      <c r="D509" t="s">
        <v>13018</v>
      </c>
      <c r="E509" t="s">
        <v>13561</v>
      </c>
      <c r="F509" t="s">
        <v>22436</v>
      </c>
      <c r="G509" t="s">
        <v>22444</v>
      </c>
      <c r="H509" t="s">
        <v>22452</v>
      </c>
      <c r="I509" t="s">
        <v>3122</v>
      </c>
      <c r="J509" t="s">
        <v>23019</v>
      </c>
      <c r="K509" t="s">
        <v>29331</v>
      </c>
      <c r="M509" t="s">
        <v>29797</v>
      </c>
      <c r="N509" t="s">
        <v>32524</v>
      </c>
      <c r="O509" t="s">
        <v>32525</v>
      </c>
      <c r="P509">
        <v>0</v>
      </c>
      <c r="Q509">
        <v>0</v>
      </c>
      <c r="R509" t="s">
        <v>32526</v>
      </c>
      <c r="S509" t="s">
        <v>32547</v>
      </c>
      <c r="T509" t="s">
        <v>33166</v>
      </c>
      <c r="U509" t="s">
        <v>34077</v>
      </c>
      <c r="W509" t="s">
        <v>29797</v>
      </c>
      <c r="X509" t="s">
        <v>32527</v>
      </c>
    </row>
    <row r="510" spans="1:24">
      <c r="A510">
        <f>HYPERLINK("https://www.philgeps.gov.ph/GEPSNONPILOT/Tender/SplashBidNoticeAbstractUI.aspx?menuIndex=3&amp;refID=7044657&amp;Result=3","7044657")</f>
        <v>0</v>
      </c>
      <c r="B510" t="s">
        <v>242</v>
      </c>
      <c r="C510" t="s">
        <v>3166</v>
      </c>
      <c r="D510" t="s">
        <v>13039</v>
      </c>
      <c r="E510" t="s">
        <v>13562</v>
      </c>
      <c r="F510" t="s">
        <v>22437</v>
      </c>
      <c r="G510" t="s">
        <v>22446</v>
      </c>
      <c r="H510" t="s">
        <v>22452</v>
      </c>
      <c r="I510" t="s">
        <v>3529</v>
      </c>
      <c r="J510" t="s">
        <v>23020</v>
      </c>
      <c r="K510" t="s">
        <v>29331</v>
      </c>
      <c r="M510" t="s">
        <v>29816</v>
      </c>
      <c r="N510" t="s">
        <v>32524</v>
      </c>
      <c r="O510" t="s">
        <v>32525</v>
      </c>
      <c r="P510">
        <v>0</v>
      </c>
      <c r="Q510">
        <v>0</v>
      </c>
      <c r="R510" t="s">
        <v>32526</v>
      </c>
      <c r="S510" t="s">
        <v>32547</v>
      </c>
      <c r="T510" t="s">
        <v>33234</v>
      </c>
      <c r="U510" t="s">
        <v>34078</v>
      </c>
      <c r="W510" t="s">
        <v>29816</v>
      </c>
      <c r="X510" t="s">
        <v>32527</v>
      </c>
    </row>
    <row r="511" spans="1:24">
      <c r="A511">
        <f>HYPERLINK("https://www.philgeps.gov.ph/GEPSNONPILOT/Tender/SplashBidNoticeAbstractUI.aspx?menuIndex=3&amp;refID=7044652&amp;Result=3","7044652")</f>
        <v>0</v>
      </c>
      <c r="B511" t="s">
        <v>206</v>
      </c>
      <c r="C511" t="s">
        <v>3167</v>
      </c>
      <c r="D511" t="s">
        <v>12992</v>
      </c>
      <c r="E511" t="s">
        <v>13563</v>
      </c>
      <c r="F511" t="s">
        <v>22436</v>
      </c>
      <c r="G511" t="s">
        <v>22446</v>
      </c>
      <c r="H511" t="s">
        <v>22452</v>
      </c>
      <c r="I511" t="s">
        <v>2981</v>
      </c>
      <c r="J511" t="s">
        <v>22874</v>
      </c>
      <c r="K511" t="s">
        <v>29336</v>
      </c>
      <c r="M511" t="s">
        <v>29779</v>
      </c>
      <c r="N511" t="s">
        <v>32524</v>
      </c>
      <c r="O511" t="s">
        <v>32525</v>
      </c>
      <c r="P511">
        <v>0</v>
      </c>
      <c r="Q511">
        <v>0</v>
      </c>
      <c r="R511" t="s">
        <v>32526</v>
      </c>
      <c r="S511" t="s">
        <v>32547</v>
      </c>
      <c r="T511" t="s">
        <v>33220</v>
      </c>
      <c r="U511" t="s">
        <v>34079</v>
      </c>
      <c r="W511" t="s">
        <v>29779</v>
      </c>
      <c r="X511" t="s">
        <v>32527</v>
      </c>
    </row>
    <row r="512" spans="1:24">
      <c r="A512">
        <f>HYPERLINK("https://www.philgeps.gov.ph/GEPSNONPILOT/Tender/SplashBidNoticeAbstractUI.aspx?menuIndex=3&amp;refID=7044666&amp;Result=3","7044666")</f>
        <v>0</v>
      </c>
      <c r="B512" t="s">
        <v>243</v>
      </c>
      <c r="C512" t="s">
        <v>3168</v>
      </c>
      <c r="D512" t="s">
        <v>13039</v>
      </c>
      <c r="E512" t="s">
        <v>13564</v>
      </c>
      <c r="F512" t="s">
        <v>22436</v>
      </c>
      <c r="G512" t="s">
        <v>22443</v>
      </c>
      <c r="H512" t="s">
        <v>22452</v>
      </c>
      <c r="I512" t="s">
        <v>22467</v>
      </c>
      <c r="J512" t="s">
        <v>23021</v>
      </c>
      <c r="K512" t="s">
        <v>29357</v>
      </c>
      <c r="M512" t="s">
        <v>29817</v>
      </c>
      <c r="N512" t="s">
        <v>32524</v>
      </c>
      <c r="O512" t="s">
        <v>32525</v>
      </c>
      <c r="P512">
        <v>0</v>
      </c>
      <c r="Q512">
        <v>0</v>
      </c>
      <c r="R512" t="s">
        <v>32526</v>
      </c>
      <c r="S512" t="s">
        <v>32547</v>
      </c>
      <c r="T512" t="s">
        <v>33167</v>
      </c>
      <c r="U512" t="s">
        <v>34080</v>
      </c>
      <c r="W512" t="s">
        <v>29817</v>
      </c>
      <c r="X512" t="s">
        <v>32527</v>
      </c>
    </row>
    <row r="513" spans="1:24">
      <c r="A513">
        <f>HYPERLINK("https://www.philgeps.gov.ph/GEPSNONPILOT/Tender/SplashBidNoticeAbstractUI.aspx?menuIndex=3&amp;refID=7044668&amp;Result=3","7044668")</f>
        <v>0</v>
      </c>
      <c r="B513" t="s">
        <v>181</v>
      </c>
      <c r="C513" t="s">
        <v>3169</v>
      </c>
      <c r="D513" t="s">
        <v>13032</v>
      </c>
      <c r="E513" t="s">
        <v>13565</v>
      </c>
      <c r="F513" t="s">
        <v>22436</v>
      </c>
      <c r="G513" t="s">
        <v>22444</v>
      </c>
      <c r="H513" t="s">
        <v>22452</v>
      </c>
      <c r="I513" t="s">
        <v>3529</v>
      </c>
      <c r="J513" t="s">
        <v>23022</v>
      </c>
      <c r="K513" t="s">
        <v>29341</v>
      </c>
      <c r="M513" t="s">
        <v>29753</v>
      </c>
      <c r="N513" t="s">
        <v>32524</v>
      </c>
      <c r="O513" t="s">
        <v>32525</v>
      </c>
      <c r="P513">
        <v>0</v>
      </c>
      <c r="Q513">
        <v>0</v>
      </c>
      <c r="R513" t="s">
        <v>32526</v>
      </c>
      <c r="S513" t="s">
        <v>32547</v>
      </c>
      <c r="T513" t="s">
        <v>33227</v>
      </c>
      <c r="U513" t="s">
        <v>34081</v>
      </c>
      <c r="W513" t="s">
        <v>29753</v>
      </c>
      <c r="X513" t="s">
        <v>32527</v>
      </c>
    </row>
    <row r="514" spans="1:24">
      <c r="A514">
        <f>HYPERLINK("https://www.philgeps.gov.ph/GEPSNONPILOT/Tender/SplashBidNoticeAbstractUI.aspx?menuIndex=3&amp;refID=7044649&amp;Result=3","7044649")</f>
        <v>0</v>
      </c>
      <c r="B514" t="s">
        <v>223</v>
      </c>
      <c r="C514" t="s">
        <v>3170</v>
      </c>
      <c r="D514" t="s">
        <v>13024</v>
      </c>
      <c r="E514" t="s">
        <v>13566</v>
      </c>
      <c r="F514" t="s">
        <v>22436</v>
      </c>
      <c r="G514" t="s">
        <v>22446</v>
      </c>
      <c r="H514" t="s">
        <v>22452</v>
      </c>
      <c r="I514" t="s">
        <v>22482</v>
      </c>
      <c r="J514" t="s">
        <v>23023</v>
      </c>
      <c r="K514" t="s">
        <v>29336</v>
      </c>
      <c r="M514" t="s">
        <v>29796</v>
      </c>
      <c r="N514" t="s">
        <v>32524</v>
      </c>
      <c r="O514" t="s">
        <v>32525</v>
      </c>
      <c r="P514">
        <v>0</v>
      </c>
      <c r="Q514">
        <v>2</v>
      </c>
      <c r="R514" t="s">
        <v>32526</v>
      </c>
      <c r="S514" t="s">
        <v>32547</v>
      </c>
      <c r="T514" t="s">
        <v>33180</v>
      </c>
      <c r="U514" t="s">
        <v>34082</v>
      </c>
      <c r="W514" t="s">
        <v>29796</v>
      </c>
      <c r="X514" t="s">
        <v>32527</v>
      </c>
    </row>
    <row r="515" spans="1:24">
      <c r="A515">
        <f>HYPERLINK("https://www.philgeps.gov.ph/GEPSNONPILOT/Tender/SplashBidNoticeAbstractUI.aspx?menuIndex=3&amp;refID=7044662&amp;Result=3","7044662")</f>
        <v>0</v>
      </c>
      <c r="B515" t="s">
        <v>230</v>
      </c>
      <c r="C515" t="s">
        <v>3135</v>
      </c>
      <c r="D515" t="s">
        <v>13010</v>
      </c>
      <c r="E515" t="s">
        <v>13567</v>
      </c>
      <c r="F515" t="s">
        <v>22436</v>
      </c>
      <c r="G515" t="s">
        <v>22446</v>
      </c>
      <c r="H515" t="s">
        <v>22452</v>
      </c>
      <c r="I515" t="s">
        <v>5194</v>
      </c>
      <c r="J515" t="s">
        <v>22992</v>
      </c>
      <c r="K515" t="s">
        <v>29356</v>
      </c>
      <c r="M515" t="s">
        <v>29803</v>
      </c>
      <c r="N515" t="s">
        <v>32524</v>
      </c>
      <c r="O515" t="s">
        <v>32525</v>
      </c>
      <c r="P515">
        <v>0</v>
      </c>
      <c r="Q515">
        <v>0</v>
      </c>
      <c r="R515" t="s">
        <v>32526</v>
      </c>
      <c r="S515" t="s">
        <v>32547</v>
      </c>
      <c r="T515" t="s">
        <v>33154</v>
      </c>
      <c r="U515" t="s">
        <v>34083</v>
      </c>
      <c r="W515" t="s">
        <v>29803</v>
      </c>
      <c r="X515" t="s">
        <v>32527</v>
      </c>
    </row>
    <row r="516" spans="1:24">
      <c r="A516">
        <f>HYPERLINK("https://www.philgeps.gov.ph/GEPSNONPILOT/Tender/SplashBidNoticeAbstractUI.aspx?menuIndex=3&amp;refID=7044665&amp;Result=3","7044665")</f>
        <v>0</v>
      </c>
      <c r="B516" t="s">
        <v>228</v>
      </c>
      <c r="C516" t="s">
        <v>3171</v>
      </c>
      <c r="E516" t="s">
        <v>13568</v>
      </c>
      <c r="F516" t="s">
        <v>22436</v>
      </c>
      <c r="G516" t="s">
        <v>22444</v>
      </c>
      <c r="H516" t="s">
        <v>22452</v>
      </c>
      <c r="I516" t="s">
        <v>3529</v>
      </c>
      <c r="J516" t="s">
        <v>22779</v>
      </c>
      <c r="K516" t="s">
        <v>29341</v>
      </c>
      <c r="M516" t="s">
        <v>29801</v>
      </c>
      <c r="N516" t="s">
        <v>32524</v>
      </c>
      <c r="O516" t="s">
        <v>32525</v>
      </c>
      <c r="P516">
        <v>0</v>
      </c>
      <c r="Q516">
        <v>0</v>
      </c>
      <c r="R516" t="s">
        <v>32526</v>
      </c>
      <c r="S516" t="s">
        <v>32547</v>
      </c>
      <c r="T516" t="s">
        <v>33157</v>
      </c>
      <c r="U516" t="s">
        <v>34084</v>
      </c>
      <c r="V516" t="s">
        <v>42479</v>
      </c>
      <c r="W516" t="s">
        <v>29801</v>
      </c>
      <c r="X516" t="s">
        <v>32527</v>
      </c>
    </row>
    <row r="517" spans="1:24">
      <c r="A517">
        <f>HYPERLINK("https://www.philgeps.gov.ph/GEPSNONPILOT/Tender/SplashBidNoticeAbstractUI.aspx?menuIndex=3&amp;refID=7044660&amp;Result=3","7044660")</f>
        <v>0</v>
      </c>
      <c r="B517" t="s">
        <v>244</v>
      </c>
      <c r="C517" t="s">
        <v>3172</v>
      </c>
      <c r="D517" t="s">
        <v>13019</v>
      </c>
      <c r="E517" t="s">
        <v>13569</v>
      </c>
      <c r="F517" t="s">
        <v>22436</v>
      </c>
      <c r="G517" t="s">
        <v>22443</v>
      </c>
      <c r="H517" t="s">
        <v>22452</v>
      </c>
      <c r="I517" t="s">
        <v>22456</v>
      </c>
      <c r="J517" t="s">
        <v>22874</v>
      </c>
      <c r="K517" t="s">
        <v>29340</v>
      </c>
      <c r="M517" t="s">
        <v>29818</v>
      </c>
      <c r="N517" t="s">
        <v>32524</v>
      </c>
      <c r="O517" t="s">
        <v>32525</v>
      </c>
      <c r="P517">
        <v>0</v>
      </c>
      <c r="Q517">
        <v>0</v>
      </c>
      <c r="R517" t="s">
        <v>32526</v>
      </c>
      <c r="S517" t="s">
        <v>32547</v>
      </c>
      <c r="T517" t="s">
        <v>33196</v>
      </c>
      <c r="U517" t="s">
        <v>34085</v>
      </c>
      <c r="W517" t="s">
        <v>29818</v>
      </c>
      <c r="X517" t="s">
        <v>32527</v>
      </c>
    </row>
    <row r="518" spans="1:24">
      <c r="A518">
        <f>HYPERLINK("https://www.philgeps.gov.ph/GEPSNONPILOT/Tender/SplashBidNoticeAbstractUI.aspx?menuIndex=3&amp;refID=7044648&amp;Result=3","7044648")</f>
        <v>0</v>
      </c>
      <c r="B518" t="s">
        <v>196</v>
      </c>
      <c r="C518" t="s">
        <v>3173</v>
      </c>
      <c r="D518" t="s">
        <v>13002</v>
      </c>
      <c r="E518" t="s">
        <v>13570</v>
      </c>
      <c r="F518" t="s">
        <v>22436</v>
      </c>
      <c r="G518" t="s">
        <v>22443</v>
      </c>
      <c r="H518" t="s">
        <v>22452</v>
      </c>
      <c r="I518" t="s">
        <v>22500</v>
      </c>
      <c r="J518" t="s">
        <v>22874</v>
      </c>
      <c r="K518" t="s">
        <v>29331</v>
      </c>
      <c r="M518" t="s">
        <v>29769</v>
      </c>
      <c r="N518" t="s">
        <v>32524</v>
      </c>
      <c r="O518" t="s">
        <v>32525</v>
      </c>
      <c r="P518">
        <v>0</v>
      </c>
      <c r="Q518">
        <v>0</v>
      </c>
      <c r="R518" t="s">
        <v>32526</v>
      </c>
      <c r="S518" t="s">
        <v>32547</v>
      </c>
      <c r="T518" t="s">
        <v>33171</v>
      </c>
      <c r="U518" t="s">
        <v>34086</v>
      </c>
      <c r="W518" t="s">
        <v>29769</v>
      </c>
      <c r="X518" t="s">
        <v>32527</v>
      </c>
    </row>
    <row r="519" spans="1:24">
      <c r="A519">
        <f>HYPERLINK("https://www.philgeps.gov.ph/GEPSNONPILOT/Tender/SplashBidNoticeAbstractUI.aspx?menuIndex=3&amp;refID=7044664&amp;Result=3","7044664")</f>
        <v>0</v>
      </c>
      <c r="B519" t="s">
        <v>245</v>
      </c>
      <c r="C519" t="s">
        <v>3174</v>
      </c>
      <c r="D519" t="s">
        <v>13034</v>
      </c>
      <c r="E519" t="s">
        <v>13571</v>
      </c>
      <c r="F519" t="s">
        <v>22436</v>
      </c>
      <c r="G519" t="s">
        <v>22444</v>
      </c>
      <c r="H519" t="s">
        <v>22454</v>
      </c>
      <c r="I519" t="s">
        <v>7738</v>
      </c>
      <c r="J519" t="s">
        <v>22692</v>
      </c>
      <c r="K519" t="s">
        <v>29329</v>
      </c>
      <c r="M519" t="s">
        <v>29819</v>
      </c>
      <c r="N519" t="s">
        <v>32524</v>
      </c>
      <c r="O519" t="s">
        <v>32525</v>
      </c>
      <c r="P519">
        <v>0</v>
      </c>
      <c r="Q519">
        <v>0</v>
      </c>
      <c r="R519" t="s">
        <v>32526</v>
      </c>
      <c r="S519" t="s">
        <v>32547</v>
      </c>
      <c r="T519" t="s">
        <v>33173</v>
      </c>
      <c r="U519" t="s">
        <v>34087</v>
      </c>
      <c r="W519" t="s">
        <v>29819</v>
      </c>
      <c r="X519" t="s">
        <v>32527</v>
      </c>
    </row>
    <row r="520" spans="1:24">
      <c r="A520">
        <f>HYPERLINK("https://www.philgeps.gov.ph/GEPSNONPILOT/Tender/SplashBidNoticeAbstractUI.aspx?menuIndex=3&amp;refID=7044661&amp;Result=3","7044661")</f>
        <v>0</v>
      </c>
      <c r="B520" t="s">
        <v>246</v>
      </c>
      <c r="C520" t="s">
        <v>3175</v>
      </c>
      <c r="D520" t="s">
        <v>13053</v>
      </c>
      <c r="E520" t="s">
        <v>13572</v>
      </c>
      <c r="F520" t="s">
        <v>22436</v>
      </c>
      <c r="G520" t="s">
        <v>22443</v>
      </c>
      <c r="H520" t="s">
        <v>22453</v>
      </c>
      <c r="I520" t="s">
        <v>3027</v>
      </c>
      <c r="J520" t="s">
        <v>22654</v>
      </c>
      <c r="K520" t="s">
        <v>29370</v>
      </c>
      <c r="M520" t="s">
        <v>29820</v>
      </c>
      <c r="N520" t="s">
        <v>32524</v>
      </c>
      <c r="O520" t="s">
        <v>32525</v>
      </c>
      <c r="P520">
        <v>0</v>
      </c>
      <c r="Q520">
        <v>0</v>
      </c>
      <c r="R520" t="s">
        <v>32526</v>
      </c>
      <c r="S520" t="s">
        <v>32547</v>
      </c>
      <c r="T520" t="s">
        <v>33247</v>
      </c>
      <c r="U520" t="s">
        <v>34088</v>
      </c>
      <c r="W520" t="s">
        <v>29820</v>
      </c>
      <c r="X520" t="s">
        <v>32527</v>
      </c>
    </row>
    <row r="521" spans="1:24">
      <c r="A521">
        <f>HYPERLINK("https://www.philgeps.gov.ph/GEPSNONPILOT/Tender/SplashBidNoticeAbstractUI.aspx?menuIndex=3&amp;refID=7044671&amp;Result=3","7044671")</f>
        <v>0</v>
      </c>
      <c r="B521" t="s">
        <v>166</v>
      </c>
      <c r="C521" t="s">
        <v>3176</v>
      </c>
      <c r="E521" t="s">
        <v>13573</v>
      </c>
      <c r="F521" t="s">
        <v>22436</v>
      </c>
      <c r="G521" t="s">
        <v>22443</v>
      </c>
      <c r="H521" t="s">
        <v>22452</v>
      </c>
      <c r="I521" t="s">
        <v>22492</v>
      </c>
      <c r="J521" t="s">
        <v>23024</v>
      </c>
      <c r="K521" t="s">
        <v>29338</v>
      </c>
      <c r="M521" t="s">
        <v>29738</v>
      </c>
      <c r="N521" t="s">
        <v>32524</v>
      </c>
      <c r="O521" t="s">
        <v>32525</v>
      </c>
      <c r="P521">
        <v>0</v>
      </c>
      <c r="Q521">
        <v>0</v>
      </c>
      <c r="R521" t="s">
        <v>32526</v>
      </c>
      <c r="S521" t="s">
        <v>32547</v>
      </c>
      <c r="T521" t="s">
        <v>33161</v>
      </c>
      <c r="U521" t="s">
        <v>34089</v>
      </c>
      <c r="W521" t="s">
        <v>29738</v>
      </c>
      <c r="X521" t="s">
        <v>32527</v>
      </c>
    </row>
    <row r="522" spans="1:24">
      <c r="A522">
        <f>HYPERLINK("https://www.philgeps.gov.ph/GEPSNONPILOT/Tender/SplashBidNoticeAbstractUI.aspx?menuIndex=3&amp;refID=7044663&amp;Result=3","7044663")</f>
        <v>0</v>
      </c>
      <c r="B522" t="s">
        <v>247</v>
      </c>
      <c r="C522" t="s">
        <v>3177</v>
      </c>
      <c r="D522" t="s">
        <v>13025</v>
      </c>
      <c r="E522" t="s">
        <v>13574</v>
      </c>
      <c r="F522" t="s">
        <v>22436</v>
      </c>
      <c r="G522" t="s">
        <v>22443</v>
      </c>
      <c r="H522" t="s">
        <v>22452</v>
      </c>
      <c r="I522" t="s">
        <v>22467</v>
      </c>
      <c r="J522" t="s">
        <v>23025</v>
      </c>
      <c r="K522" t="s">
        <v>29371</v>
      </c>
      <c r="M522" t="s">
        <v>29821</v>
      </c>
      <c r="N522" t="s">
        <v>32524</v>
      </c>
      <c r="O522" t="s">
        <v>32525</v>
      </c>
      <c r="P522">
        <v>0</v>
      </c>
      <c r="Q522">
        <v>0</v>
      </c>
      <c r="R522" t="s">
        <v>32526</v>
      </c>
      <c r="S522" t="s">
        <v>32547</v>
      </c>
      <c r="T522" t="s">
        <v>33197</v>
      </c>
      <c r="U522" t="s">
        <v>34090</v>
      </c>
      <c r="V522" t="s">
        <v>42480</v>
      </c>
      <c r="W522" t="s">
        <v>29821</v>
      </c>
      <c r="X522" t="s">
        <v>32527</v>
      </c>
    </row>
    <row r="523" spans="1:24">
      <c r="A523">
        <f>HYPERLINK("https://www.philgeps.gov.ph/GEPSNONPILOT/Tender/SplashBidNoticeAbstractUI.aspx?menuIndex=3&amp;refID=7044682&amp;Result=3","7044682")</f>
        <v>0</v>
      </c>
      <c r="B523" t="s">
        <v>248</v>
      </c>
      <c r="C523" t="s">
        <v>3178</v>
      </c>
      <c r="D523" t="s">
        <v>13023</v>
      </c>
      <c r="E523" t="s">
        <v>13575</v>
      </c>
      <c r="F523" t="s">
        <v>22436</v>
      </c>
      <c r="G523" t="s">
        <v>22446</v>
      </c>
      <c r="H523" t="s">
        <v>22452</v>
      </c>
      <c r="I523" t="s">
        <v>22465</v>
      </c>
      <c r="J523" t="s">
        <v>23026</v>
      </c>
      <c r="K523" t="s">
        <v>29340</v>
      </c>
      <c r="M523" t="s">
        <v>29822</v>
      </c>
      <c r="N523" t="s">
        <v>32524</v>
      </c>
      <c r="O523" t="s">
        <v>32525</v>
      </c>
      <c r="P523">
        <v>0</v>
      </c>
      <c r="Q523">
        <v>0</v>
      </c>
      <c r="R523" t="s">
        <v>32526</v>
      </c>
      <c r="S523" t="s">
        <v>32547</v>
      </c>
      <c r="T523" t="s">
        <v>33220</v>
      </c>
      <c r="U523" t="s">
        <v>34091</v>
      </c>
      <c r="W523" t="s">
        <v>29822</v>
      </c>
      <c r="X523" t="s">
        <v>32527</v>
      </c>
    </row>
    <row r="524" spans="1:24">
      <c r="A524">
        <f>HYPERLINK("https://www.philgeps.gov.ph/GEPSNONPILOT/Tender/SplashBidNoticeAbstractUI.aspx?menuIndex=3&amp;refID=7044677&amp;Result=3","7044677")</f>
        <v>0</v>
      </c>
      <c r="B524" t="s">
        <v>249</v>
      </c>
      <c r="C524" t="s">
        <v>3179</v>
      </c>
      <c r="D524" t="s">
        <v>13041</v>
      </c>
      <c r="E524" t="s">
        <v>13576</v>
      </c>
      <c r="F524" t="s">
        <v>22436</v>
      </c>
      <c r="G524" t="s">
        <v>22443</v>
      </c>
      <c r="H524" t="s">
        <v>22452</v>
      </c>
      <c r="I524" t="s">
        <v>22461</v>
      </c>
      <c r="J524" t="s">
        <v>23027</v>
      </c>
      <c r="K524" t="s">
        <v>29338</v>
      </c>
      <c r="M524" t="s">
        <v>29823</v>
      </c>
      <c r="N524" t="s">
        <v>32524</v>
      </c>
      <c r="O524" t="s">
        <v>32525</v>
      </c>
      <c r="P524">
        <v>0</v>
      </c>
      <c r="Q524">
        <v>0</v>
      </c>
      <c r="R524" t="s">
        <v>32526</v>
      </c>
      <c r="S524" t="s">
        <v>32547</v>
      </c>
      <c r="T524" t="s">
        <v>33169</v>
      </c>
      <c r="U524" t="s">
        <v>34092</v>
      </c>
      <c r="W524" t="s">
        <v>29823</v>
      </c>
      <c r="X524" t="s">
        <v>32527</v>
      </c>
    </row>
    <row r="525" spans="1:24">
      <c r="A525">
        <f>HYPERLINK("https://www.philgeps.gov.ph/GEPSNONPILOT/Tender/SplashBidNoticeAbstractUI.aspx?menuIndex=3&amp;refID=7044680&amp;Result=3","7044680")</f>
        <v>0</v>
      </c>
      <c r="B525" t="s">
        <v>238</v>
      </c>
      <c r="C525" t="s">
        <v>3180</v>
      </c>
      <c r="D525" t="s">
        <v>12991</v>
      </c>
      <c r="E525" t="s">
        <v>13577</v>
      </c>
      <c r="F525" t="s">
        <v>22436</v>
      </c>
      <c r="G525" t="s">
        <v>22444</v>
      </c>
      <c r="H525" t="s">
        <v>22452</v>
      </c>
      <c r="I525" t="s">
        <v>22460</v>
      </c>
      <c r="J525" t="s">
        <v>23028</v>
      </c>
      <c r="K525" t="s">
        <v>29331</v>
      </c>
      <c r="M525" t="s">
        <v>29811</v>
      </c>
      <c r="N525" t="s">
        <v>32524</v>
      </c>
      <c r="O525" t="s">
        <v>32525</v>
      </c>
      <c r="P525">
        <v>0</v>
      </c>
      <c r="Q525">
        <v>0</v>
      </c>
      <c r="R525" t="s">
        <v>32526</v>
      </c>
      <c r="S525" t="s">
        <v>32547</v>
      </c>
      <c r="T525" t="s">
        <v>33244</v>
      </c>
      <c r="U525" t="s">
        <v>34065</v>
      </c>
      <c r="W525" t="s">
        <v>29811</v>
      </c>
      <c r="X525" t="s">
        <v>32527</v>
      </c>
    </row>
    <row r="526" spans="1:24">
      <c r="A526">
        <f>HYPERLINK("https://www.philgeps.gov.ph/GEPSNONPILOT/Tender/SplashBidNoticeAbstractUI.aspx?menuIndex=3&amp;refID=7044673&amp;Result=3","7044673")</f>
        <v>0</v>
      </c>
      <c r="B526" t="s">
        <v>168</v>
      </c>
      <c r="C526" t="s">
        <v>3181</v>
      </c>
      <c r="D526" t="s">
        <v>13015</v>
      </c>
      <c r="E526" t="s">
        <v>13578</v>
      </c>
      <c r="F526" t="s">
        <v>22436</v>
      </c>
      <c r="G526" t="s">
        <v>22444</v>
      </c>
      <c r="H526" t="s">
        <v>22452</v>
      </c>
      <c r="I526" t="s">
        <v>22476</v>
      </c>
      <c r="J526" t="s">
        <v>22860</v>
      </c>
      <c r="K526" t="s">
        <v>29335</v>
      </c>
      <c r="M526" t="s">
        <v>29740</v>
      </c>
      <c r="N526" t="s">
        <v>32524</v>
      </c>
      <c r="O526" t="s">
        <v>32525</v>
      </c>
      <c r="P526">
        <v>0</v>
      </c>
      <c r="Q526">
        <v>0</v>
      </c>
      <c r="R526" t="s">
        <v>32526</v>
      </c>
      <c r="S526" t="s">
        <v>32547</v>
      </c>
      <c r="T526" t="s">
        <v>33168</v>
      </c>
      <c r="U526" t="s">
        <v>33937</v>
      </c>
      <c r="V526" t="s">
        <v>42464</v>
      </c>
      <c r="W526" t="s">
        <v>29740</v>
      </c>
      <c r="X526" t="s">
        <v>32527</v>
      </c>
    </row>
    <row r="527" spans="1:24">
      <c r="A527">
        <f>HYPERLINK("https://www.philgeps.gov.ph/GEPSNONPILOT/Tender/SplashBidNoticeAbstractUI.aspx?menuIndex=3&amp;refID=7044678&amp;Result=3","7044678")</f>
        <v>0</v>
      </c>
      <c r="B527" t="s">
        <v>250</v>
      </c>
      <c r="C527" t="s">
        <v>3182</v>
      </c>
      <c r="D527" t="s">
        <v>12999</v>
      </c>
      <c r="E527" t="s">
        <v>13579</v>
      </c>
      <c r="F527" t="s">
        <v>22436</v>
      </c>
      <c r="G527" t="s">
        <v>22443</v>
      </c>
      <c r="H527" t="s">
        <v>22452</v>
      </c>
      <c r="I527" t="s">
        <v>22492</v>
      </c>
      <c r="J527" t="s">
        <v>23029</v>
      </c>
      <c r="K527" t="s">
        <v>29335</v>
      </c>
      <c r="M527" t="s">
        <v>29824</v>
      </c>
      <c r="N527" t="s">
        <v>32524</v>
      </c>
      <c r="O527" t="s">
        <v>32525</v>
      </c>
      <c r="P527">
        <v>0</v>
      </c>
      <c r="Q527">
        <v>0</v>
      </c>
      <c r="R527" t="s">
        <v>32526</v>
      </c>
      <c r="S527" t="s">
        <v>32547</v>
      </c>
      <c r="T527" t="s">
        <v>33202</v>
      </c>
      <c r="U527" t="s">
        <v>34093</v>
      </c>
      <c r="V527" t="s">
        <v>42481</v>
      </c>
      <c r="W527" t="s">
        <v>29824</v>
      </c>
      <c r="X527" t="s">
        <v>32527</v>
      </c>
    </row>
    <row r="528" spans="1:24">
      <c r="A528">
        <f>HYPERLINK("https://www.philgeps.gov.ph/GEPSNONPILOT/Tender/SplashBidNoticeAbstractUI.aspx?menuIndex=3&amp;refID=7044675&amp;Result=3","7044675")</f>
        <v>0</v>
      </c>
      <c r="B528" t="s">
        <v>220</v>
      </c>
      <c r="C528" t="s">
        <v>3183</v>
      </c>
      <c r="D528" t="s">
        <v>13037</v>
      </c>
      <c r="E528" t="s">
        <v>13580</v>
      </c>
      <c r="F528" t="s">
        <v>22436</v>
      </c>
      <c r="G528" t="s">
        <v>22446</v>
      </c>
      <c r="H528" t="s">
        <v>22452</v>
      </c>
      <c r="I528" t="s">
        <v>2993</v>
      </c>
      <c r="J528" t="s">
        <v>23030</v>
      </c>
      <c r="K528" t="s">
        <v>29336</v>
      </c>
      <c r="M528" t="s">
        <v>29793</v>
      </c>
      <c r="N528" t="s">
        <v>32524</v>
      </c>
      <c r="O528" t="s">
        <v>32525</v>
      </c>
      <c r="P528">
        <v>0</v>
      </c>
      <c r="Q528">
        <v>0</v>
      </c>
      <c r="R528" t="s">
        <v>32526</v>
      </c>
      <c r="S528" t="s">
        <v>32547</v>
      </c>
      <c r="T528" t="s">
        <v>33209</v>
      </c>
      <c r="U528" t="s">
        <v>34035</v>
      </c>
      <c r="W528" t="s">
        <v>29793</v>
      </c>
      <c r="X528" t="s">
        <v>32527</v>
      </c>
    </row>
    <row r="529" spans="1:24">
      <c r="A529">
        <f>HYPERLINK("https://www.philgeps.gov.ph/GEPSNONPILOT/Tender/SplashBidNoticeAbstractUI.aspx?menuIndex=3&amp;refID=7044685&amp;Result=3","7044685")</f>
        <v>0</v>
      </c>
      <c r="B529" t="s">
        <v>168</v>
      </c>
      <c r="C529" t="s">
        <v>3184</v>
      </c>
      <c r="D529" t="s">
        <v>13015</v>
      </c>
      <c r="E529" t="s">
        <v>13581</v>
      </c>
      <c r="F529" t="s">
        <v>22436</v>
      </c>
      <c r="G529" t="s">
        <v>22444</v>
      </c>
      <c r="H529" t="s">
        <v>22452</v>
      </c>
      <c r="I529" t="s">
        <v>22468</v>
      </c>
      <c r="J529" t="s">
        <v>23031</v>
      </c>
      <c r="K529" t="s">
        <v>29335</v>
      </c>
      <c r="M529" t="s">
        <v>29740</v>
      </c>
      <c r="N529" t="s">
        <v>32524</v>
      </c>
      <c r="O529" t="s">
        <v>32525</v>
      </c>
      <c r="P529">
        <v>0</v>
      </c>
      <c r="Q529">
        <v>0</v>
      </c>
      <c r="R529" t="s">
        <v>32526</v>
      </c>
      <c r="S529" t="s">
        <v>32547</v>
      </c>
      <c r="T529" t="s">
        <v>33168</v>
      </c>
      <c r="U529" t="s">
        <v>33937</v>
      </c>
      <c r="V529" t="s">
        <v>42464</v>
      </c>
      <c r="W529" t="s">
        <v>29740</v>
      </c>
      <c r="X529" t="s">
        <v>32527</v>
      </c>
    </row>
    <row r="530" spans="1:24">
      <c r="A530">
        <f>HYPERLINK("https://www.philgeps.gov.ph/GEPSNONPILOT/Tender/SplashBidNoticeAbstractUI.aspx?menuIndex=3&amp;refID=7044674&amp;Result=3","7044674")</f>
        <v>0</v>
      </c>
      <c r="B530" t="s">
        <v>227</v>
      </c>
      <c r="C530" t="s">
        <v>3185</v>
      </c>
      <c r="D530" t="s">
        <v>12996</v>
      </c>
      <c r="E530" t="s">
        <v>13582</v>
      </c>
      <c r="F530" t="s">
        <v>22436</v>
      </c>
      <c r="G530" t="s">
        <v>22443</v>
      </c>
      <c r="H530" t="s">
        <v>22452</v>
      </c>
      <c r="I530" t="s">
        <v>22460</v>
      </c>
      <c r="J530" t="s">
        <v>23032</v>
      </c>
      <c r="K530" t="s">
        <v>29342</v>
      </c>
      <c r="M530" t="s">
        <v>29800</v>
      </c>
      <c r="N530" t="s">
        <v>32524</v>
      </c>
      <c r="O530" t="s">
        <v>32525</v>
      </c>
      <c r="P530">
        <v>0</v>
      </c>
      <c r="Q530">
        <v>1</v>
      </c>
      <c r="R530" t="s">
        <v>32526</v>
      </c>
      <c r="S530" t="s">
        <v>32547</v>
      </c>
      <c r="T530" t="s">
        <v>33197</v>
      </c>
      <c r="U530" t="s">
        <v>34094</v>
      </c>
      <c r="W530" t="s">
        <v>29800</v>
      </c>
      <c r="X530" t="s">
        <v>32527</v>
      </c>
    </row>
    <row r="531" spans="1:24">
      <c r="A531">
        <f>HYPERLINK("https://www.philgeps.gov.ph/GEPSNONPILOT/Tender/SplashBidNoticeAbstractUI.aspx?menuIndex=3&amp;refID=7044687&amp;Result=3","7044687")</f>
        <v>0</v>
      </c>
      <c r="B531" t="s">
        <v>98</v>
      </c>
      <c r="C531" t="s">
        <v>3186</v>
      </c>
      <c r="D531" t="s">
        <v>13011</v>
      </c>
      <c r="E531" t="s">
        <v>13583</v>
      </c>
      <c r="F531" t="s">
        <v>22436</v>
      </c>
      <c r="G531" t="s">
        <v>22444</v>
      </c>
      <c r="H531" t="s">
        <v>22454</v>
      </c>
      <c r="I531" t="s">
        <v>6387</v>
      </c>
      <c r="J531" t="s">
        <v>23033</v>
      </c>
      <c r="K531" t="s">
        <v>29334</v>
      </c>
      <c r="M531" t="s">
        <v>29670</v>
      </c>
      <c r="N531" t="s">
        <v>32524</v>
      </c>
      <c r="O531" t="s">
        <v>32525</v>
      </c>
      <c r="P531">
        <v>0</v>
      </c>
      <c r="Q531">
        <v>4</v>
      </c>
      <c r="R531" t="s">
        <v>32526</v>
      </c>
      <c r="S531" t="s">
        <v>32547</v>
      </c>
      <c r="T531" t="s">
        <v>33166</v>
      </c>
      <c r="U531" t="s">
        <v>34095</v>
      </c>
      <c r="W531" t="s">
        <v>29670</v>
      </c>
      <c r="X531" t="s">
        <v>32527</v>
      </c>
    </row>
    <row r="532" spans="1:24">
      <c r="A532">
        <f>HYPERLINK("https://www.philgeps.gov.ph/GEPSNONPILOT/Tender/SplashBidNoticeAbstractUI.aspx?menuIndex=3&amp;refID=7044684&amp;Result=3","7044684")</f>
        <v>0</v>
      </c>
      <c r="B532" t="s">
        <v>251</v>
      </c>
      <c r="C532" t="s">
        <v>3187</v>
      </c>
      <c r="D532" t="s">
        <v>13002</v>
      </c>
      <c r="E532" t="s">
        <v>13584</v>
      </c>
      <c r="F532" t="s">
        <v>22436</v>
      </c>
      <c r="G532" t="s">
        <v>22444</v>
      </c>
      <c r="H532" t="s">
        <v>22452</v>
      </c>
      <c r="I532" t="s">
        <v>3529</v>
      </c>
      <c r="J532" t="s">
        <v>23034</v>
      </c>
      <c r="K532" t="s">
        <v>29338</v>
      </c>
      <c r="M532" t="s">
        <v>29825</v>
      </c>
      <c r="N532" t="s">
        <v>32524</v>
      </c>
      <c r="O532" t="s">
        <v>32525</v>
      </c>
      <c r="P532">
        <v>0</v>
      </c>
      <c r="Q532">
        <v>0</v>
      </c>
      <c r="R532" t="s">
        <v>32526</v>
      </c>
      <c r="S532" t="s">
        <v>32547</v>
      </c>
      <c r="T532" t="s">
        <v>33233</v>
      </c>
      <c r="U532" t="s">
        <v>34096</v>
      </c>
      <c r="W532" t="s">
        <v>29825</v>
      </c>
      <c r="X532" t="s">
        <v>32527</v>
      </c>
    </row>
    <row r="533" spans="1:24">
      <c r="A533">
        <f>HYPERLINK("https://www.philgeps.gov.ph/GEPSNONPILOT/Tender/SplashBidNoticeAbstractUI.aspx?menuIndex=3&amp;refID=7044693&amp;Result=3","7044693")</f>
        <v>0</v>
      </c>
      <c r="B533" t="s">
        <v>226</v>
      </c>
      <c r="C533" t="s">
        <v>3188</v>
      </c>
      <c r="D533" t="s">
        <v>13025</v>
      </c>
      <c r="E533" t="s">
        <v>13585</v>
      </c>
      <c r="F533" t="s">
        <v>22437</v>
      </c>
      <c r="G533" t="s">
        <v>22444</v>
      </c>
      <c r="H533" t="s">
        <v>22454</v>
      </c>
      <c r="I533" t="s">
        <v>7738</v>
      </c>
      <c r="J533" t="s">
        <v>23035</v>
      </c>
      <c r="K533" t="s">
        <v>29344</v>
      </c>
      <c r="M533" t="s">
        <v>29799</v>
      </c>
      <c r="N533" t="s">
        <v>32524</v>
      </c>
      <c r="O533" t="s">
        <v>32525</v>
      </c>
      <c r="P533">
        <v>0</v>
      </c>
      <c r="Q533">
        <v>0</v>
      </c>
      <c r="R533" t="s">
        <v>32526</v>
      </c>
      <c r="S533" t="s">
        <v>32547</v>
      </c>
      <c r="T533" t="s">
        <v>33248</v>
      </c>
      <c r="U533" t="s">
        <v>34097</v>
      </c>
      <c r="W533" t="s">
        <v>29799</v>
      </c>
      <c r="X533" t="s">
        <v>32527</v>
      </c>
    </row>
    <row r="534" spans="1:24">
      <c r="A534">
        <f>HYPERLINK("https://www.philgeps.gov.ph/GEPSNONPILOT/Tender/SplashBidNoticeAbstractUI.aspx?menuIndex=3&amp;refID=7044679&amp;Result=3","7044679")</f>
        <v>0</v>
      </c>
      <c r="B534" t="s">
        <v>201</v>
      </c>
      <c r="C534" t="s">
        <v>3189</v>
      </c>
      <c r="D534" t="s">
        <v>13031</v>
      </c>
      <c r="E534" t="s">
        <v>13586</v>
      </c>
      <c r="F534" t="s">
        <v>22436</v>
      </c>
      <c r="G534" t="s">
        <v>22445</v>
      </c>
      <c r="H534" t="s">
        <v>22452</v>
      </c>
      <c r="I534" t="s">
        <v>2993</v>
      </c>
      <c r="J534" t="s">
        <v>23036</v>
      </c>
      <c r="K534" t="s">
        <v>29331</v>
      </c>
      <c r="M534" t="s">
        <v>29774</v>
      </c>
      <c r="N534" t="s">
        <v>32524</v>
      </c>
      <c r="O534" t="s">
        <v>32525</v>
      </c>
      <c r="P534">
        <v>0</v>
      </c>
      <c r="Q534">
        <v>0</v>
      </c>
      <c r="R534" t="s">
        <v>32526</v>
      </c>
      <c r="S534" t="s">
        <v>32547</v>
      </c>
      <c r="T534" t="s">
        <v>33196</v>
      </c>
      <c r="U534" t="s">
        <v>34098</v>
      </c>
      <c r="W534" t="s">
        <v>29774</v>
      </c>
      <c r="X534" t="s">
        <v>32527</v>
      </c>
    </row>
    <row r="535" spans="1:24">
      <c r="A535">
        <f>HYPERLINK("https://www.philgeps.gov.ph/GEPSNONPILOT/Tender/SplashBidNoticeAbstractUI.aspx?menuIndex=3&amp;refID=7044688&amp;Result=3","7044688")</f>
        <v>0</v>
      </c>
      <c r="B535" t="s">
        <v>124</v>
      </c>
      <c r="C535" t="s">
        <v>3190</v>
      </c>
      <c r="D535" t="s">
        <v>13031</v>
      </c>
      <c r="E535" t="s">
        <v>13587</v>
      </c>
      <c r="F535" t="s">
        <v>22436</v>
      </c>
      <c r="G535" t="s">
        <v>22443</v>
      </c>
      <c r="H535" t="s">
        <v>22452</v>
      </c>
      <c r="I535" t="s">
        <v>22466</v>
      </c>
      <c r="J535" t="s">
        <v>23037</v>
      </c>
      <c r="K535" t="s">
        <v>29338</v>
      </c>
      <c r="M535" t="s">
        <v>29696</v>
      </c>
      <c r="N535" t="s">
        <v>32524</v>
      </c>
      <c r="O535" t="s">
        <v>32525</v>
      </c>
      <c r="P535">
        <v>0</v>
      </c>
      <c r="Q535">
        <v>5</v>
      </c>
      <c r="R535" t="s">
        <v>32526</v>
      </c>
      <c r="S535" t="s">
        <v>32547</v>
      </c>
      <c r="T535" t="s">
        <v>33183</v>
      </c>
      <c r="U535" t="s">
        <v>34099</v>
      </c>
      <c r="W535" t="s">
        <v>29696</v>
      </c>
      <c r="X535" t="s">
        <v>32527</v>
      </c>
    </row>
    <row r="536" spans="1:24">
      <c r="A536">
        <f>HYPERLINK("https://www.philgeps.gov.ph/GEPSNONPILOT/Tender/SplashBidNoticeAbstractUI.aspx?menuIndex=3&amp;refID=7044681&amp;Result=3","7044681")</f>
        <v>0</v>
      </c>
      <c r="B536" t="s">
        <v>233</v>
      </c>
      <c r="C536" t="s">
        <v>3191</v>
      </c>
      <c r="D536" t="s">
        <v>13000</v>
      </c>
      <c r="E536" t="s">
        <v>13588</v>
      </c>
      <c r="F536" t="s">
        <v>22436</v>
      </c>
      <c r="G536" t="s">
        <v>22443</v>
      </c>
      <c r="H536" t="s">
        <v>22452</v>
      </c>
      <c r="I536" t="s">
        <v>6387</v>
      </c>
      <c r="J536" t="s">
        <v>23038</v>
      </c>
      <c r="K536" t="s">
        <v>29340</v>
      </c>
      <c r="M536" t="s">
        <v>29806</v>
      </c>
      <c r="N536" t="s">
        <v>32524</v>
      </c>
      <c r="O536" t="s">
        <v>32525</v>
      </c>
      <c r="P536">
        <v>0</v>
      </c>
      <c r="Q536">
        <v>1</v>
      </c>
      <c r="R536" t="s">
        <v>32526</v>
      </c>
      <c r="S536" t="s">
        <v>32547</v>
      </c>
      <c r="T536" t="s">
        <v>33163</v>
      </c>
      <c r="U536" t="s">
        <v>34100</v>
      </c>
      <c r="W536" t="s">
        <v>29806</v>
      </c>
      <c r="X536" t="s">
        <v>32527</v>
      </c>
    </row>
    <row r="537" spans="1:24">
      <c r="A537">
        <f>HYPERLINK("https://www.philgeps.gov.ph/GEPSNONPILOT/Tender/SplashBidNoticeAbstractUI.aspx?menuIndex=3&amp;refID=7044692&amp;Result=3","7044692")</f>
        <v>0</v>
      </c>
      <c r="B537" t="s">
        <v>245</v>
      </c>
      <c r="C537" t="s">
        <v>3192</v>
      </c>
      <c r="D537" t="s">
        <v>13034</v>
      </c>
      <c r="E537" t="s">
        <v>13589</v>
      </c>
      <c r="F537" t="s">
        <v>22436</v>
      </c>
      <c r="G537" t="s">
        <v>22444</v>
      </c>
      <c r="H537" t="s">
        <v>22454</v>
      </c>
      <c r="I537" t="s">
        <v>7738</v>
      </c>
      <c r="J537" t="s">
        <v>23039</v>
      </c>
      <c r="K537" t="s">
        <v>29329</v>
      </c>
      <c r="M537" t="s">
        <v>29819</v>
      </c>
      <c r="N537" t="s">
        <v>32524</v>
      </c>
      <c r="O537" t="s">
        <v>32525</v>
      </c>
      <c r="P537">
        <v>0</v>
      </c>
      <c r="Q537">
        <v>0</v>
      </c>
      <c r="R537" t="s">
        <v>32526</v>
      </c>
      <c r="S537" t="s">
        <v>32547</v>
      </c>
      <c r="T537" t="s">
        <v>33173</v>
      </c>
      <c r="U537" t="s">
        <v>34101</v>
      </c>
      <c r="W537" t="s">
        <v>29819</v>
      </c>
      <c r="X537" t="s">
        <v>32527</v>
      </c>
    </row>
    <row r="538" spans="1:24">
      <c r="A538">
        <f>HYPERLINK("https://www.philgeps.gov.ph/GEPSNONPILOT/Tender/SplashBidNoticeAbstractUI.aspx?menuIndex=3&amp;refID=7044694&amp;Result=3","7044694")</f>
        <v>0</v>
      </c>
      <c r="B538" t="s">
        <v>252</v>
      </c>
      <c r="C538" t="s">
        <v>3193</v>
      </c>
      <c r="D538" t="s">
        <v>13040</v>
      </c>
      <c r="E538" t="s">
        <v>13590</v>
      </c>
      <c r="F538" t="s">
        <v>22436</v>
      </c>
      <c r="G538" t="s">
        <v>22443</v>
      </c>
      <c r="H538" t="s">
        <v>22452</v>
      </c>
      <c r="I538" t="s">
        <v>12358</v>
      </c>
      <c r="J538" t="s">
        <v>22785</v>
      </c>
      <c r="K538" t="s">
        <v>29329</v>
      </c>
      <c r="M538" t="s">
        <v>29826</v>
      </c>
      <c r="N538" t="s">
        <v>32524</v>
      </c>
      <c r="O538" t="s">
        <v>32525</v>
      </c>
      <c r="P538">
        <v>0</v>
      </c>
      <c r="Q538">
        <v>0</v>
      </c>
      <c r="R538" t="s">
        <v>32526</v>
      </c>
      <c r="S538" t="s">
        <v>32547</v>
      </c>
      <c r="T538" t="s">
        <v>33194</v>
      </c>
      <c r="U538" t="s">
        <v>34102</v>
      </c>
      <c r="W538" t="s">
        <v>29826</v>
      </c>
      <c r="X538" t="s">
        <v>32527</v>
      </c>
    </row>
    <row r="539" spans="1:24">
      <c r="A539">
        <f>HYPERLINK("https://www.philgeps.gov.ph/GEPSNONPILOT/Tender/SplashBidNoticeAbstractUI.aspx?menuIndex=3&amp;refID=7044695&amp;Result=3","7044695")</f>
        <v>0</v>
      </c>
      <c r="B539" t="s">
        <v>207</v>
      </c>
      <c r="C539" t="s">
        <v>3194</v>
      </c>
      <c r="D539" t="s">
        <v>13018</v>
      </c>
      <c r="E539" t="s">
        <v>13591</v>
      </c>
      <c r="F539" t="s">
        <v>22436</v>
      </c>
      <c r="G539" t="s">
        <v>22444</v>
      </c>
      <c r="H539" t="s">
        <v>22452</v>
      </c>
      <c r="I539" t="s">
        <v>22466</v>
      </c>
      <c r="J539" t="s">
        <v>23040</v>
      </c>
      <c r="K539" t="s">
        <v>29329</v>
      </c>
      <c r="M539" t="s">
        <v>29780</v>
      </c>
      <c r="N539" t="s">
        <v>32524</v>
      </c>
      <c r="O539" t="s">
        <v>32525</v>
      </c>
      <c r="P539">
        <v>0</v>
      </c>
      <c r="Q539">
        <v>3</v>
      </c>
      <c r="R539" t="s">
        <v>32526</v>
      </c>
      <c r="S539" t="s">
        <v>32547</v>
      </c>
      <c r="T539" t="s">
        <v>33155</v>
      </c>
      <c r="U539" t="s">
        <v>34103</v>
      </c>
      <c r="W539" t="s">
        <v>43671</v>
      </c>
      <c r="X539" t="s">
        <v>32527</v>
      </c>
    </row>
    <row r="540" spans="1:24">
      <c r="A540">
        <f>HYPERLINK("https://www.philgeps.gov.ph/GEPSNONPILOT/Tender/SplashBidNoticeAbstractUI.aspx?menuIndex=3&amp;refID=7044691&amp;Result=3","7044691")</f>
        <v>0</v>
      </c>
      <c r="B540" t="s">
        <v>253</v>
      </c>
      <c r="C540" t="s">
        <v>3195</v>
      </c>
      <c r="D540" t="s">
        <v>13048</v>
      </c>
      <c r="E540" t="s">
        <v>13592</v>
      </c>
      <c r="F540" t="s">
        <v>22436</v>
      </c>
      <c r="G540" t="s">
        <v>22443</v>
      </c>
      <c r="H540" t="s">
        <v>22452</v>
      </c>
      <c r="I540" t="s">
        <v>12358</v>
      </c>
      <c r="J540" t="s">
        <v>22704</v>
      </c>
      <c r="K540" t="s">
        <v>29335</v>
      </c>
      <c r="M540" t="s">
        <v>29827</v>
      </c>
      <c r="N540" t="s">
        <v>32524</v>
      </c>
      <c r="O540" t="s">
        <v>32525</v>
      </c>
      <c r="P540">
        <v>0</v>
      </c>
      <c r="Q540">
        <v>1</v>
      </c>
      <c r="R540" t="s">
        <v>32526</v>
      </c>
      <c r="S540" t="s">
        <v>32547</v>
      </c>
      <c r="T540" t="s">
        <v>33169</v>
      </c>
      <c r="U540" t="s">
        <v>34104</v>
      </c>
      <c r="W540" t="s">
        <v>29827</v>
      </c>
      <c r="X540" t="s">
        <v>32527</v>
      </c>
    </row>
    <row r="541" spans="1:24">
      <c r="A541">
        <f>HYPERLINK("https://www.philgeps.gov.ph/GEPSNONPILOT/Tender/SplashBidNoticeAbstractUI.aspx?menuIndex=3&amp;refID=7044697&amp;Result=3","7044697")</f>
        <v>0</v>
      </c>
      <c r="B541" t="s">
        <v>168</v>
      </c>
      <c r="C541" t="s">
        <v>3196</v>
      </c>
      <c r="D541" t="s">
        <v>13015</v>
      </c>
      <c r="E541" t="s">
        <v>13593</v>
      </c>
      <c r="F541" t="s">
        <v>22436</v>
      </c>
      <c r="G541" t="s">
        <v>22444</v>
      </c>
      <c r="H541" t="s">
        <v>22452</v>
      </c>
      <c r="I541" t="s">
        <v>3529</v>
      </c>
      <c r="J541" t="s">
        <v>23041</v>
      </c>
      <c r="K541" t="s">
        <v>29335</v>
      </c>
      <c r="M541" t="s">
        <v>29740</v>
      </c>
      <c r="N541" t="s">
        <v>32524</v>
      </c>
      <c r="O541" t="s">
        <v>32525</v>
      </c>
      <c r="P541">
        <v>0</v>
      </c>
      <c r="Q541">
        <v>0</v>
      </c>
      <c r="R541" t="s">
        <v>32526</v>
      </c>
      <c r="S541" t="s">
        <v>32547</v>
      </c>
      <c r="T541" t="s">
        <v>33168</v>
      </c>
      <c r="U541" t="s">
        <v>33937</v>
      </c>
      <c r="V541" t="s">
        <v>42464</v>
      </c>
      <c r="W541" t="s">
        <v>29740</v>
      </c>
      <c r="X541" t="s">
        <v>32527</v>
      </c>
    </row>
    <row r="542" spans="1:24">
      <c r="A542">
        <f>HYPERLINK("https://www.philgeps.gov.ph/GEPSNONPILOT/Tender/SplashBidNoticeAbstractUI.aspx?menuIndex=3&amp;refID=7044672&amp;Result=3","7044672")</f>
        <v>0</v>
      </c>
      <c r="B542" t="s">
        <v>199</v>
      </c>
      <c r="C542" t="s">
        <v>3197</v>
      </c>
      <c r="D542" t="s">
        <v>13009</v>
      </c>
      <c r="E542" t="s">
        <v>13594</v>
      </c>
      <c r="F542" t="s">
        <v>22436</v>
      </c>
      <c r="G542" t="s">
        <v>22447</v>
      </c>
      <c r="H542" t="s">
        <v>22452</v>
      </c>
      <c r="I542" t="s">
        <v>22474</v>
      </c>
      <c r="J542" t="s">
        <v>23042</v>
      </c>
      <c r="K542" t="s">
        <v>29338</v>
      </c>
      <c r="M542" t="s">
        <v>29772</v>
      </c>
      <c r="N542" t="s">
        <v>32524</v>
      </c>
      <c r="O542" t="s">
        <v>32525</v>
      </c>
      <c r="P542">
        <v>0</v>
      </c>
      <c r="Q542">
        <v>2</v>
      </c>
      <c r="R542" t="s">
        <v>32526</v>
      </c>
      <c r="S542" t="s">
        <v>32547</v>
      </c>
      <c r="T542" t="s">
        <v>33181</v>
      </c>
      <c r="U542" t="s">
        <v>34105</v>
      </c>
      <c r="W542" t="s">
        <v>29772</v>
      </c>
      <c r="X542" t="s">
        <v>32527</v>
      </c>
    </row>
    <row r="543" spans="1:24">
      <c r="A543">
        <f>HYPERLINK("https://www.philgeps.gov.ph/GEPSNONPILOT/Tender/SplashBidNoticeAbstractUI.aspx?menuIndex=3&amp;refID=7044711&amp;Result=3","7044711")</f>
        <v>0</v>
      </c>
      <c r="B543" t="s">
        <v>233</v>
      </c>
      <c r="C543" t="s">
        <v>3198</v>
      </c>
      <c r="D543" t="s">
        <v>13000</v>
      </c>
      <c r="E543" t="s">
        <v>13595</v>
      </c>
      <c r="F543" t="s">
        <v>22436</v>
      </c>
      <c r="G543" t="s">
        <v>22443</v>
      </c>
      <c r="H543" t="s">
        <v>22452</v>
      </c>
      <c r="I543" t="s">
        <v>22505</v>
      </c>
      <c r="J543" t="s">
        <v>23043</v>
      </c>
      <c r="K543" t="s">
        <v>29340</v>
      </c>
      <c r="M543" t="s">
        <v>29806</v>
      </c>
      <c r="N543" t="s">
        <v>32524</v>
      </c>
      <c r="O543" t="s">
        <v>32525</v>
      </c>
      <c r="P543">
        <v>0</v>
      </c>
      <c r="Q543">
        <v>1</v>
      </c>
      <c r="R543" t="s">
        <v>32526</v>
      </c>
      <c r="S543" t="s">
        <v>32547</v>
      </c>
      <c r="T543" t="s">
        <v>33163</v>
      </c>
      <c r="U543" t="s">
        <v>34106</v>
      </c>
      <c r="W543" t="s">
        <v>29806</v>
      </c>
      <c r="X543" t="s">
        <v>32527</v>
      </c>
    </row>
    <row r="544" spans="1:24">
      <c r="A544">
        <f>HYPERLINK("https://www.philgeps.gov.ph/GEPSNONPILOT/Tender/SplashBidNoticeAbstractUI.aspx?menuIndex=3&amp;refID=7044704&amp;Result=3","7044704")</f>
        <v>0</v>
      </c>
      <c r="B544" t="s">
        <v>254</v>
      </c>
      <c r="C544" t="s">
        <v>3199</v>
      </c>
      <c r="D544" t="s">
        <v>13048</v>
      </c>
      <c r="E544" t="s">
        <v>13596</v>
      </c>
      <c r="F544" t="s">
        <v>22436</v>
      </c>
      <c r="G544" t="s">
        <v>22446</v>
      </c>
      <c r="H544" t="s">
        <v>22452</v>
      </c>
      <c r="I544" t="s">
        <v>22467</v>
      </c>
      <c r="J544" t="s">
        <v>23044</v>
      </c>
      <c r="K544" t="s">
        <v>29341</v>
      </c>
      <c r="M544" t="s">
        <v>29828</v>
      </c>
      <c r="N544" t="s">
        <v>32524</v>
      </c>
      <c r="O544" t="s">
        <v>32525</v>
      </c>
      <c r="P544">
        <v>0</v>
      </c>
      <c r="Q544">
        <v>0</v>
      </c>
      <c r="R544" t="s">
        <v>32526</v>
      </c>
      <c r="S544" t="s">
        <v>32547</v>
      </c>
      <c r="T544" t="s">
        <v>33249</v>
      </c>
      <c r="U544" t="s">
        <v>34107</v>
      </c>
      <c r="W544" t="s">
        <v>29828</v>
      </c>
      <c r="X544" t="s">
        <v>32527</v>
      </c>
    </row>
    <row r="545" spans="1:24">
      <c r="A545">
        <f>HYPERLINK("https://www.philgeps.gov.ph/GEPSNONPILOT/Tender/SplashBidNoticeAbstractUI.aspx?menuIndex=3&amp;refID=7044715&amp;Result=3","7044715")</f>
        <v>0</v>
      </c>
      <c r="B545" t="s">
        <v>255</v>
      </c>
      <c r="C545" t="s">
        <v>3200</v>
      </c>
      <c r="D545" t="s">
        <v>13007</v>
      </c>
      <c r="E545" t="s">
        <v>13597</v>
      </c>
      <c r="F545" t="s">
        <v>22436</v>
      </c>
      <c r="G545" t="s">
        <v>22444</v>
      </c>
      <c r="H545" t="s">
        <v>22452</v>
      </c>
      <c r="I545" t="s">
        <v>7738</v>
      </c>
      <c r="J545" t="s">
        <v>23045</v>
      </c>
      <c r="K545" t="s">
        <v>29338</v>
      </c>
      <c r="M545" t="s">
        <v>29829</v>
      </c>
      <c r="N545" t="s">
        <v>32524</v>
      </c>
      <c r="O545" t="s">
        <v>32525</v>
      </c>
      <c r="P545">
        <v>0</v>
      </c>
      <c r="Q545">
        <v>0</v>
      </c>
      <c r="R545" t="s">
        <v>32526</v>
      </c>
      <c r="S545" t="s">
        <v>32547</v>
      </c>
      <c r="T545" t="s">
        <v>33165</v>
      </c>
      <c r="U545" t="s">
        <v>34108</v>
      </c>
      <c r="W545" t="s">
        <v>29829</v>
      </c>
      <c r="X545" t="s">
        <v>32527</v>
      </c>
    </row>
    <row r="546" spans="1:24">
      <c r="A546">
        <f>HYPERLINK("https://www.philgeps.gov.ph/GEPSNONPILOT/Tender/SplashBidNoticeAbstractUI.aspx?menuIndex=3&amp;refID=7044707&amp;Result=3","7044707")</f>
        <v>0</v>
      </c>
      <c r="B546" t="s">
        <v>256</v>
      </c>
      <c r="C546" t="s">
        <v>3201</v>
      </c>
      <c r="E546" t="s">
        <v>13332</v>
      </c>
      <c r="F546" t="s">
        <v>22436</v>
      </c>
      <c r="G546" t="s">
        <v>22444</v>
      </c>
      <c r="H546" t="s">
        <v>22452</v>
      </c>
      <c r="I546" t="s">
        <v>3529</v>
      </c>
      <c r="J546" t="s">
        <v>23046</v>
      </c>
      <c r="K546" t="s">
        <v>29337</v>
      </c>
      <c r="M546" t="s">
        <v>29830</v>
      </c>
      <c r="N546" t="s">
        <v>32524</v>
      </c>
      <c r="O546" t="s">
        <v>32525</v>
      </c>
      <c r="P546">
        <v>0</v>
      </c>
      <c r="Q546">
        <v>0</v>
      </c>
      <c r="R546" t="s">
        <v>32526</v>
      </c>
      <c r="S546" t="s">
        <v>32547</v>
      </c>
      <c r="T546" t="s">
        <v>33160</v>
      </c>
      <c r="U546" t="s">
        <v>34109</v>
      </c>
      <c r="V546" t="s">
        <v>42482</v>
      </c>
      <c r="W546" t="s">
        <v>29830</v>
      </c>
      <c r="X546" t="s">
        <v>32527</v>
      </c>
    </row>
    <row r="547" spans="1:24">
      <c r="A547">
        <f>HYPERLINK("https://www.philgeps.gov.ph/GEPSNONPILOT/Tender/SplashBidNoticeAbstractUI.aspx?menuIndex=3&amp;refID=7044700&amp;Result=3","7044700")</f>
        <v>0</v>
      </c>
      <c r="B547" t="s">
        <v>257</v>
      </c>
      <c r="C547" t="s">
        <v>3202</v>
      </c>
      <c r="D547" t="s">
        <v>13018</v>
      </c>
      <c r="E547" t="s">
        <v>13598</v>
      </c>
      <c r="F547" t="s">
        <v>22436</v>
      </c>
      <c r="G547" t="s">
        <v>22446</v>
      </c>
      <c r="H547" t="s">
        <v>22452</v>
      </c>
      <c r="I547" t="s">
        <v>22505</v>
      </c>
      <c r="J547" t="s">
        <v>22619</v>
      </c>
      <c r="K547" t="s">
        <v>29358</v>
      </c>
      <c r="M547" t="s">
        <v>29831</v>
      </c>
      <c r="N547" t="s">
        <v>32524</v>
      </c>
      <c r="O547" t="s">
        <v>32525</v>
      </c>
      <c r="P547">
        <v>0</v>
      </c>
      <c r="Q547">
        <v>0</v>
      </c>
      <c r="R547" t="s">
        <v>32526</v>
      </c>
      <c r="S547" t="s">
        <v>32547</v>
      </c>
      <c r="T547" t="s">
        <v>33185</v>
      </c>
      <c r="U547" t="s">
        <v>34110</v>
      </c>
      <c r="W547" t="s">
        <v>29831</v>
      </c>
      <c r="X547" t="s">
        <v>32527</v>
      </c>
    </row>
    <row r="548" spans="1:24">
      <c r="A548">
        <f>HYPERLINK("https://www.philgeps.gov.ph/GEPSNONPILOT/Tender/SplashBidNoticeAbstractUI.aspx?menuIndex=3&amp;refID=7044703&amp;Result=3","7044703")</f>
        <v>0</v>
      </c>
      <c r="B548" t="s">
        <v>181</v>
      </c>
      <c r="C548" t="s">
        <v>3203</v>
      </c>
      <c r="D548" t="s">
        <v>13032</v>
      </c>
      <c r="E548" t="s">
        <v>13599</v>
      </c>
      <c r="F548" t="s">
        <v>22436</v>
      </c>
      <c r="G548" t="s">
        <v>22444</v>
      </c>
      <c r="H548" t="s">
        <v>22452</v>
      </c>
      <c r="I548" t="s">
        <v>3529</v>
      </c>
      <c r="J548" t="s">
        <v>23047</v>
      </c>
      <c r="K548" t="s">
        <v>29341</v>
      </c>
      <c r="M548" t="s">
        <v>29753</v>
      </c>
      <c r="N548" t="s">
        <v>32524</v>
      </c>
      <c r="O548" t="s">
        <v>32525</v>
      </c>
      <c r="P548">
        <v>0</v>
      </c>
      <c r="Q548">
        <v>0</v>
      </c>
      <c r="R548" t="s">
        <v>32526</v>
      </c>
      <c r="S548" t="s">
        <v>32547</v>
      </c>
      <c r="T548" t="s">
        <v>33227</v>
      </c>
      <c r="U548" t="s">
        <v>34111</v>
      </c>
      <c r="W548" t="s">
        <v>29753</v>
      </c>
      <c r="X548" t="s">
        <v>32527</v>
      </c>
    </row>
    <row r="549" spans="1:24">
      <c r="A549">
        <f>HYPERLINK("https://www.philgeps.gov.ph/GEPSNONPILOT/Tender/SplashBidNoticeAbstractUI.aspx?menuIndex=3&amp;refID=7044702&amp;Result=3","7044702")</f>
        <v>0</v>
      </c>
      <c r="B549" t="s">
        <v>236</v>
      </c>
      <c r="C549" t="s">
        <v>3148</v>
      </c>
      <c r="D549" t="s">
        <v>13029</v>
      </c>
      <c r="E549" t="s">
        <v>13600</v>
      </c>
      <c r="F549" t="s">
        <v>22436</v>
      </c>
      <c r="G549" t="s">
        <v>22443</v>
      </c>
      <c r="H549" t="s">
        <v>22452</v>
      </c>
      <c r="I549" t="s">
        <v>22460</v>
      </c>
      <c r="J549" t="s">
        <v>23048</v>
      </c>
      <c r="K549" t="s">
        <v>29335</v>
      </c>
      <c r="M549" t="s">
        <v>29809</v>
      </c>
      <c r="N549" t="s">
        <v>32524</v>
      </c>
      <c r="O549" t="s">
        <v>32525</v>
      </c>
      <c r="P549">
        <v>0</v>
      </c>
      <c r="Q549">
        <v>0</v>
      </c>
      <c r="R549" t="s">
        <v>32526</v>
      </c>
      <c r="S549" t="s">
        <v>32547</v>
      </c>
      <c r="T549" t="s">
        <v>33210</v>
      </c>
      <c r="U549" t="s">
        <v>34112</v>
      </c>
      <c r="W549" t="s">
        <v>29809</v>
      </c>
      <c r="X549" t="s">
        <v>32527</v>
      </c>
    </row>
    <row r="550" spans="1:24">
      <c r="A550">
        <f>HYPERLINK("https://www.philgeps.gov.ph/GEPSNONPILOT/Tender/SplashBidNoticeAbstractUI.aspx?menuIndex=3&amp;refID=7044699&amp;Result=3","7044699")</f>
        <v>0</v>
      </c>
      <c r="B550" t="s">
        <v>258</v>
      </c>
      <c r="C550" t="s">
        <v>3204</v>
      </c>
      <c r="D550" t="s">
        <v>13035</v>
      </c>
      <c r="E550" t="s">
        <v>13601</v>
      </c>
      <c r="F550" t="s">
        <v>22436</v>
      </c>
      <c r="G550" t="s">
        <v>22443</v>
      </c>
      <c r="H550" t="s">
        <v>22452</v>
      </c>
      <c r="I550" t="s">
        <v>3027</v>
      </c>
      <c r="J550" t="s">
        <v>22851</v>
      </c>
      <c r="K550" t="s">
        <v>29338</v>
      </c>
      <c r="M550" t="s">
        <v>29832</v>
      </c>
      <c r="N550" t="s">
        <v>32524</v>
      </c>
      <c r="O550" t="s">
        <v>32525</v>
      </c>
      <c r="P550">
        <v>0</v>
      </c>
      <c r="Q550">
        <v>0</v>
      </c>
      <c r="R550" t="s">
        <v>32526</v>
      </c>
      <c r="S550" t="s">
        <v>32547</v>
      </c>
      <c r="T550" t="s">
        <v>33250</v>
      </c>
      <c r="U550" t="s">
        <v>34113</v>
      </c>
      <c r="W550" t="s">
        <v>43673</v>
      </c>
      <c r="X550" t="s">
        <v>32527</v>
      </c>
    </row>
    <row r="551" spans="1:24">
      <c r="A551">
        <f>HYPERLINK("https://www.philgeps.gov.ph/GEPSNONPILOT/Tender/SplashBidNoticeAbstractUI.aspx?menuIndex=3&amp;refID=7044706&amp;Result=3","7044706")</f>
        <v>0</v>
      </c>
      <c r="B551" t="s">
        <v>124</v>
      </c>
      <c r="C551" t="s">
        <v>3205</v>
      </c>
      <c r="D551" t="s">
        <v>13031</v>
      </c>
      <c r="E551" t="s">
        <v>13602</v>
      </c>
      <c r="F551" t="s">
        <v>22436</v>
      </c>
      <c r="G551" t="s">
        <v>22443</v>
      </c>
      <c r="H551" t="s">
        <v>22452</v>
      </c>
      <c r="I551" t="s">
        <v>22466</v>
      </c>
      <c r="J551" t="s">
        <v>23049</v>
      </c>
      <c r="K551" t="s">
        <v>29338</v>
      </c>
      <c r="M551" t="s">
        <v>29696</v>
      </c>
      <c r="N551" t="s">
        <v>32524</v>
      </c>
      <c r="O551" t="s">
        <v>32525</v>
      </c>
      <c r="P551">
        <v>0</v>
      </c>
      <c r="Q551">
        <v>5</v>
      </c>
      <c r="R551" t="s">
        <v>32526</v>
      </c>
      <c r="S551" t="s">
        <v>32547</v>
      </c>
      <c r="T551" t="s">
        <v>33183</v>
      </c>
      <c r="U551" t="s">
        <v>34114</v>
      </c>
      <c r="W551" t="s">
        <v>29696</v>
      </c>
      <c r="X551" t="s">
        <v>32527</v>
      </c>
    </row>
    <row r="552" spans="1:24">
      <c r="A552">
        <f>HYPERLINK("https://www.philgeps.gov.ph/GEPSNONPILOT/Tender/SplashBidNoticeAbstractUI.aspx?menuIndex=3&amp;refID=7044698&amp;Result=3","7044698")</f>
        <v>0</v>
      </c>
      <c r="B552" t="s">
        <v>180</v>
      </c>
      <c r="C552" t="s">
        <v>3206</v>
      </c>
      <c r="D552" t="s">
        <v>13026</v>
      </c>
      <c r="E552" t="s">
        <v>13603</v>
      </c>
      <c r="F552" t="s">
        <v>22436</v>
      </c>
      <c r="G552" t="s">
        <v>22443</v>
      </c>
      <c r="H552" t="s">
        <v>22452</v>
      </c>
      <c r="I552" t="s">
        <v>2981</v>
      </c>
      <c r="J552" t="s">
        <v>23050</v>
      </c>
      <c r="K552" t="s">
        <v>29331</v>
      </c>
      <c r="M552" t="s">
        <v>29752</v>
      </c>
      <c r="N552" t="s">
        <v>32524</v>
      </c>
      <c r="O552" t="s">
        <v>32525</v>
      </c>
      <c r="P552">
        <v>0</v>
      </c>
      <c r="Q552">
        <v>0</v>
      </c>
      <c r="R552" t="s">
        <v>32526</v>
      </c>
      <c r="S552" t="s">
        <v>32547</v>
      </c>
      <c r="T552" t="s">
        <v>33167</v>
      </c>
      <c r="U552" t="s">
        <v>34115</v>
      </c>
      <c r="W552" t="s">
        <v>29752</v>
      </c>
      <c r="X552" t="s">
        <v>32527</v>
      </c>
    </row>
    <row r="553" spans="1:24">
      <c r="A553">
        <f>HYPERLINK("https://www.philgeps.gov.ph/GEPSNONPILOT/Tender/SplashBidNoticeAbstractUI.aspx?menuIndex=3&amp;refID=7044717&amp;Result=3","7044717")</f>
        <v>0</v>
      </c>
      <c r="B553" t="s">
        <v>259</v>
      </c>
      <c r="C553" t="s">
        <v>3207</v>
      </c>
      <c r="D553" t="s">
        <v>13002</v>
      </c>
      <c r="E553" t="s">
        <v>13604</v>
      </c>
      <c r="F553" t="s">
        <v>22436</v>
      </c>
      <c r="G553" t="s">
        <v>22444</v>
      </c>
      <c r="H553" t="s">
        <v>22452</v>
      </c>
      <c r="I553" t="s">
        <v>3529</v>
      </c>
      <c r="J553" t="s">
        <v>23051</v>
      </c>
      <c r="K553" t="s">
        <v>29338</v>
      </c>
      <c r="M553" t="s">
        <v>29833</v>
      </c>
      <c r="N553" t="s">
        <v>32524</v>
      </c>
      <c r="O553" t="s">
        <v>32525</v>
      </c>
      <c r="P553">
        <v>0</v>
      </c>
      <c r="Q553">
        <v>0</v>
      </c>
      <c r="R553" t="s">
        <v>32526</v>
      </c>
      <c r="S553" t="s">
        <v>32547</v>
      </c>
      <c r="T553" t="s">
        <v>33233</v>
      </c>
      <c r="U553" t="s">
        <v>34116</v>
      </c>
      <c r="W553" t="s">
        <v>29833</v>
      </c>
      <c r="X553" t="s">
        <v>32527</v>
      </c>
    </row>
    <row r="554" spans="1:24">
      <c r="A554">
        <f>HYPERLINK("https://www.philgeps.gov.ph/GEPSNONPILOT/Tender/SplashBidNoticeAbstractUI.aspx?menuIndex=3&amp;refID=7044701&amp;Result=3","7044701")</f>
        <v>0</v>
      </c>
      <c r="B554" t="s">
        <v>231</v>
      </c>
      <c r="C554" t="s">
        <v>3208</v>
      </c>
      <c r="D554" t="s">
        <v>13054</v>
      </c>
      <c r="E554" t="s">
        <v>13605</v>
      </c>
      <c r="F554" t="s">
        <v>22436</v>
      </c>
      <c r="G554" t="s">
        <v>22444</v>
      </c>
      <c r="H554" t="s">
        <v>22452</v>
      </c>
      <c r="I554" t="s">
        <v>22509</v>
      </c>
      <c r="J554" t="s">
        <v>22654</v>
      </c>
      <c r="K554" t="s">
        <v>29336</v>
      </c>
      <c r="M554" t="s">
        <v>29804</v>
      </c>
      <c r="N554" t="s">
        <v>32524</v>
      </c>
      <c r="O554" t="s">
        <v>32525</v>
      </c>
      <c r="P554">
        <v>0</v>
      </c>
      <c r="Q554">
        <v>1</v>
      </c>
      <c r="R554" t="s">
        <v>32526</v>
      </c>
      <c r="S554" t="s">
        <v>32547</v>
      </c>
      <c r="T554" t="s">
        <v>33181</v>
      </c>
      <c r="U554" t="s">
        <v>34117</v>
      </c>
      <c r="W554" t="s">
        <v>29804</v>
      </c>
      <c r="X554" t="s">
        <v>32527</v>
      </c>
    </row>
    <row r="555" spans="1:24">
      <c r="A555">
        <f>HYPERLINK("https://www.philgeps.gov.ph/GEPSNONPILOT/Tender/SplashBidNoticeAbstractUI.aspx?menuIndex=3&amp;refID=7044722&amp;Result=3","7044722")</f>
        <v>0</v>
      </c>
      <c r="B555" t="s">
        <v>260</v>
      </c>
      <c r="C555" t="s">
        <v>3209</v>
      </c>
      <c r="D555" t="s">
        <v>12996</v>
      </c>
      <c r="E555" t="s">
        <v>13606</v>
      </c>
      <c r="F555" t="s">
        <v>22436</v>
      </c>
      <c r="G555" t="s">
        <v>22444</v>
      </c>
      <c r="H555" t="s">
        <v>22452</v>
      </c>
      <c r="I555" t="s">
        <v>22461</v>
      </c>
      <c r="J555" t="s">
        <v>23052</v>
      </c>
      <c r="K555" t="s">
        <v>29372</v>
      </c>
      <c r="M555" t="s">
        <v>29834</v>
      </c>
      <c r="N555" t="s">
        <v>32524</v>
      </c>
      <c r="O555" t="s">
        <v>32525</v>
      </c>
      <c r="P555">
        <v>0</v>
      </c>
      <c r="Q555">
        <v>1</v>
      </c>
      <c r="R555" t="s">
        <v>32526</v>
      </c>
      <c r="S555" t="s">
        <v>32547</v>
      </c>
      <c r="T555" t="s">
        <v>33165</v>
      </c>
      <c r="U555" t="s">
        <v>34118</v>
      </c>
      <c r="W555" t="s">
        <v>29834</v>
      </c>
      <c r="X555" t="s">
        <v>32527</v>
      </c>
    </row>
    <row r="556" spans="1:24">
      <c r="A556">
        <f>HYPERLINK("https://www.philgeps.gov.ph/GEPSNONPILOT/Tender/SplashBidNoticeAbstractUI.aspx?menuIndex=3&amp;refID=7044708&amp;Result=3","7044708")</f>
        <v>0</v>
      </c>
      <c r="B556" t="s">
        <v>192</v>
      </c>
      <c r="C556" t="s">
        <v>3210</v>
      </c>
      <c r="D556" t="s">
        <v>13048</v>
      </c>
      <c r="E556" t="s">
        <v>13607</v>
      </c>
      <c r="F556" t="s">
        <v>22436</v>
      </c>
      <c r="G556" t="s">
        <v>22444</v>
      </c>
      <c r="H556" t="s">
        <v>22454</v>
      </c>
      <c r="I556" t="s">
        <v>7738</v>
      </c>
      <c r="J556" t="s">
        <v>22669</v>
      </c>
      <c r="K556" t="s">
        <v>29338</v>
      </c>
      <c r="M556" t="s">
        <v>29765</v>
      </c>
      <c r="N556" t="s">
        <v>32524</v>
      </c>
      <c r="O556" t="s">
        <v>32525</v>
      </c>
      <c r="P556">
        <v>0</v>
      </c>
      <c r="Q556">
        <v>0</v>
      </c>
      <c r="R556" t="s">
        <v>32526</v>
      </c>
      <c r="S556" t="s">
        <v>32547</v>
      </c>
      <c r="T556" t="s">
        <v>33170</v>
      </c>
      <c r="U556" t="s">
        <v>33981</v>
      </c>
      <c r="W556" t="s">
        <v>29765</v>
      </c>
      <c r="X556" t="s">
        <v>32527</v>
      </c>
    </row>
    <row r="557" spans="1:24">
      <c r="A557">
        <f>HYPERLINK("https://www.philgeps.gov.ph/GEPSNONPILOT/Tender/SplashBidNoticeAbstractUI.aspx?menuIndex=3&amp;refID=7044719&amp;Result=3","7044719")</f>
        <v>0</v>
      </c>
      <c r="B557" t="s">
        <v>261</v>
      </c>
      <c r="C557" t="s">
        <v>3211</v>
      </c>
      <c r="D557" t="s">
        <v>13002</v>
      </c>
      <c r="E557" t="s">
        <v>13608</v>
      </c>
      <c r="F557" t="s">
        <v>22436</v>
      </c>
      <c r="G557" t="s">
        <v>22449</v>
      </c>
      <c r="H557" t="s">
        <v>22455</v>
      </c>
      <c r="I557" t="s">
        <v>22455</v>
      </c>
      <c r="J557" t="s">
        <v>23053</v>
      </c>
      <c r="K557" t="s">
        <v>29371</v>
      </c>
      <c r="M557" t="s">
        <v>29835</v>
      </c>
      <c r="N557" t="s">
        <v>32524</v>
      </c>
      <c r="O557" t="s">
        <v>32525</v>
      </c>
      <c r="P557">
        <v>0</v>
      </c>
      <c r="Q557">
        <v>1</v>
      </c>
      <c r="R557" t="s">
        <v>32526</v>
      </c>
      <c r="S557" t="s">
        <v>32547</v>
      </c>
      <c r="T557" t="s">
        <v>33181</v>
      </c>
      <c r="U557" t="s">
        <v>34119</v>
      </c>
      <c r="W557" t="s">
        <v>29835</v>
      </c>
      <c r="X557" t="s">
        <v>32527</v>
      </c>
    </row>
    <row r="558" spans="1:24">
      <c r="A558">
        <f>HYPERLINK("https://www.philgeps.gov.ph/GEPSNONPILOT/Tender/SplashBidNoticeAbstractUI.aspx?menuIndex=3&amp;refID=7044709&amp;Result=3","7044709")</f>
        <v>0</v>
      </c>
      <c r="B558" t="s">
        <v>262</v>
      </c>
      <c r="C558" t="s">
        <v>3212</v>
      </c>
      <c r="D558" t="s">
        <v>12990</v>
      </c>
      <c r="E558" t="s">
        <v>13609</v>
      </c>
      <c r="F558" t="s">
        <v>22436</v>
      </c>
      <c r="G558" t="s">
        <v>22443</v>
      </c>
      <c r="H558" t="s">
        <v>22452</v>
      </c>
      <c r="I558" t="s">
        <v>2981</v>
      </c>
      <c r="J558" t="s">
        <v>23054</v>
      </c>
      <c r="K558" t="s">
        <v>29335</v>
      </c>
      <c r="M558" t="s">
        <v>29836</v>
      </c>
      <c r="N558" t="s">
        <v>32524</v>
      </c>
      <c r="O558" t="s">
        <v>32525</v>
      </c>
      <c r="P558">
        <v>0</v>
      </c>
      <c r="Q558">
        <v>1</v>
      </c>
      <c r="R558" t="s">
        <v>32526</v>
      </c>
      <c r="S558" t="s">
        <v>32547</v>
      </c>
      <c r="T558" t="s">
        <v>33228</v>
      </c>
      <c r="U558" t="s">
        <v>34120</v>
      </c>
      <c r="W558" t="s">
        <v>29836</v>
      </c>
      <c r="X558" t="s">
        <v>32527</v>
      </c>
    </row>
    <row r="559" spans="1:24">
      <c r="A559">
        <f>HYPERLINK("https://www.philgeps.gov.ph/GEPSNONPILOT/Tender/SplashBidNoticeAbstractUI.aspx?menuIndex=3&amp;refID=7044721&amp;Result=3","7044721")</f>
        <v>0</v>
      </c>
      <c r="B559" t="s">
        <v>263</v>
      </c>
      <c r="C559" t="s">
        <v>3213</v>
      </c>
      <c r="D559" t="s">
        <v>12988</v>
      </c>
      <c r="E559" t="s">
        <v>13610</v>
      </c>
      <c r="F559" t="s">
        <v>22436</v>
      </c>
      <c r="G559" t="s">
        <v>22443</v>
      </c>
      <c r="H559" t="s">
        <v>22452</v>
      </c>
      <c r="I559" t="s">
        <v>22456</v>
      </c>
      <c r="J559" t="s">
        <v>23055</v>
      </c>
      <c r="K559" t="s">
        <v>29336</v>
      </c>
      <c r="M559" t="s">
        <v>29837</v>
      </c>
      <c r="N559" t="s">
        <v>32524</v>
      </c>
      <c r="O559" t="s">
        <v>32525</v>
      </c>
      <c r="P559">
        <v>0</v>
      </c>
      <c r="Q559">
        <v>5</v>
      </c>
      <c r="R559" t="s">
        <v>32526</v>
      </c>
      <c r="S559" t="s">
        <v>32547</v>
      </c>
      <c r="T559" t="s">
        <v>33210</v>
      </c>
      <c r="U559" t="s">
        <v>34121</v>
      </c>
      <c r="W559" t="s">
        <v>29837</v>
      </c>
      <c r="X559" t="s">
        <v>32527</v>
      </c>
    </row>
    <row r="560" spans="1:24">
      <c r="A560">
        <f>HYPERLINK("https://www.philgeps.gov.ph/GEPSNONPILOT/Tender/SplashBidNoticeAbstractUI.aspx?menuIndex=3&amp;refID=7044718&amp;Result=3","7044718")</f>
        <v>0</v>
      </c>
      <c r="B560" t="s">
        <v>179</v>
      </c>
      <c r="C560" t="s">
        <v>3214</v>
      </c>
      <c r="D560" t="s">
        <v>12990</v>
      </c>
      <c r="E560" t="s">
        <v>13465</v>
      </c>
      <c r="F560" t="s">
        <v>22437</v>
      </c>
      <c r="G560" t="s">
        <v>22446</v>
      </c>
      <c r="H560" t="s">
        <v>22452</v>
      </c>
      <c r="I560" t="s">
        <v>3529</v>
      </c>
      <c r="J560" t="s">
        <v>23056</v>
      </c>
      <c r="K560" t="s">
        <v>29340</v>
      </c>
      <c r="M560" t="s">
        <v>29751</v>
      </c>
      <c r="N560" t="s">
        <v>32524</v>
      </c>
      <c r="O560" t="s">
        <v>32525</v>
      </c>
      <c r="P560">
        <v>0</v>
      </c>
      <c r="Q560">
        <v>0</v>
      </c>
      <c r="R560" t="s">
        <v>32526</v>
      </c>
      <c r="S560" t="s">
        <v>32547</v>
      </c>
      <c r="T560" t="s">
        <v>33251</v>
      </c>
      <c r="U560" t="s">
        <v>34122</v>
      </c>
      <c r="W560" t="s">
        <v>29751</v>
      </c>
      <c r="X560" t="s">
        <v>32527</v>
      </c>
    </row>
    <row r="561" spans="1:24">
      <c r="A561">
        <f>HYPERLINK("https://www.philgeps.gov.ph/GEPSNONPILOT/Tender/SplashBidNoticeAbstractUI.aspx?menuIndex=3&amp;refID=7044723&amp;Result=3","7044723")</f>
        <v>0</v>
      </c>
      <c r="B561" t="s">
        <v>154</v>
      </c>
      <c r="C561" t="s">
        <v>3215</v>
      </c>
      <c r="D561" t="s">
        <v>13029</v>
      </c>
      <c r="E561" t="s">
        <v>13611</v>
      </c>
      <c r="F561" t="s">
        <v>22436</v>
      </c>
      <c r="G561" t="s">
        <v>22446</v>
      </c>
      <c r="H561" t="s">
        <v>22452</v>
      </c>
      <c r="I561" t="s">
        <v>3529</v>
      </c>
      <c r="J561" t="s">
        <v>23057</v>
      </c>
      <c r="K561" t="s">
        <v>29331</v>
      </c>
      <c r="M561" t="s">
        <v>29726</v>
      </c>
      <c r="N561" t="s">
        <v>32524</v>
      </c>
      <c r="O561" t="s">
        <v>32525</v>
      </c>
      <c r="P561">
        <v>0</v>
      </c>
      <c r="Q561">
        <v>1</v>
      </c>
      <c r="R561" t="s">
        <v>32526</v>
      </c>
      <c r="S561" t="s">
        <v>32547</v>
      </c>
      <c r="T561" t="s">
        <v>33168</v>
      </c>
      <c r="U561" t="s">
        <v>33914</v>
      </c>
      <c r="W561" t="s">
        <v>29726</v>
      </c>
      <c r="X561" t="s">
        <v>32527</v>
      </c>
    </row>
    <row r="562" spans="1:24">
      <c r="A562">
        <f>HYPERLINK("https://www.philgeps.gov.ph/GEPSNONPILOT/Tender/SplashBidNoticeAbstractUI.aspx?menuIndex=3&amp;refID=7044737&amp;Result=3","7044737")</f>
        <v>0</v>
      </c>
      <c r="B562" t="s">
        <v>213</v>
      </c>
      <c r="C562" t="s">
        <v>3216</v>
      </c>
      <c r="D562" t="s">
        <v>13046</v>
      </c>
      <c r="E562" t="s">
        <v>13612</v>
      </c>
      <c r="F562" t="s">
        <v>22436</v>
      </c>
      <c r="G562" t="s">
        <v>22444</v>
      </c>
      <c r="H562" t="s">
        <v>22452</v>
      </c>
      <c r="I562" t="s">
        <v>22467</v>
      </c>
      <c r="J562" t="s">
        <v>23058</v>
      </c>
      <c r="K562" t="s">
        <v>29330</v>
      </c>
      <c r="M562" t="s">
        <v>29786</v>
      </c>
      <c r="N562" t="s">
        <v>32524</v>
      </c>
      <c r="O562" t="s">
        <v>32525</v>
      </c>
      <c r="P562">
        <v>0</v>
      </c>
      <c r="Q562">
        <v>0</v>
      </c>
      <c r="R562" t="s">
        <v>32526</v>
      </c>
      <c r="S562" t="s">
        <v>32547</v>
      </c>
      <c r="T562" t="s">
        <v>33236</v>
      </c>
      <c r="U562" t="s">
        <v>34123</v>
      </c>
      <c r="W562" t="s">
        <v>29786</v>
      </c>
      <c r="X562" t="s">
        <v>32527</v>
      </c>
    </row>
    <row r="563" spans="1:24">
      <c r="A563">
        <f>HYPERLINK("https://www.philgeps.gov.ph/GEPSNONPILOT/Tender/SplashBidNoticeAbstractUI.aspx?menuIndex=3&amp;refID=7044720&amp;Result=3","7044720")</f>
        <v>0</v>
      </c>
      <c r="B563" t="s">
        <v>64</v>
      </c>
      <c r="C563" t="s">
        <v>3217</v>
      </c>
      <c r="D563" t="s">
        <v>13016</v>
      </c>
      <c r="E563" t="s">
        <v>13613</v>
      </c>
      <c r="F563" t="s">
        <v>22436</v>
      </c>
      <c r="G563" t="s">
        <v>22446</v>
      </c>
      <c r="H563" t="s">
        <v>22452</v>
      </c>
      <c r="I563" t="s">
        <v>6387</v>
      </c>
      <c r="J563" t="s">
        <v>23059</v>
      </c>
      <c r="K563" t="s">
        <v>29335</v>
      </c>
      <c r="M563" t="s">
        <v>29636</v>
      </c>
      <c r="N563" t="s">
        <v>32524</v>
      </c>
      <c r="O563" t="s">
        <v>32525</v>
      </c>
      <c r="P563">
        <v>0</v>
      </c>
      <c r="Q563">
        <v>0</v>
      </c>
      <c r="R563" t="s">
        <v>32526</v>
      </c>
      <c r="S563" t="s">
        <v>32547</v>
      </c>
      <c r="T563" t="s">
        <v>33181</v>
      </c>
      <c r="U563" t="s">
        <v>34124</v>
      </c>
      <c r="V563" t="s">
        <v>42432</v>
      </c>
      <c r="W563" t="s">
        <v>29636</v>
      </c>
      <c r="X563" t="s">
        <v>32527</v>
      </c>
    </row>
    <row r="564" spans="1:24">
      <c r="A564">
        <f>HYPERLINK("https://www.philgeps.gov.ph/GEPSNONPILOT/Tender/SplashBidNoticeAbstractUI.aspx?menuIndex=3&amp;refID=7044731&amp;Result=3","7044731")</f>
        <v>0</v>
      </c>
      <c r="B564" t="s">
        <v>246</v>
      </c>
      <c r="C564" t="s">
        <v>3175</v>
      </c>
      <c r="D564" t="s">
        <v>13021</v>
      </c>
      <c r="E564" t="s">
        <v>13614</v>
      </c>
      <c r="F564" t="s">
        <v>22436</v>
      </c>
      <c r="G564" t="s">
        <v>22443</v>
      </c>
      <c r="H564" t="s">
        <v>22453</v>
      </c>
      <c r="I564" t="s">
        <v>3027</v>
      </c>
      <c r="J564" t="s">
        <v>22616</v>
      </c>
      <c r="K564" t="s">
        <v>29370</v>
      </c>
      <c r="M564" t="s">
        <v>29820</v>
      </c>
      <c r="N564" t="s">
        <v>32524</v>
      </c>
      <c r="O564" t="s">
        <v>32525</v>
      </c>
      <c r="P564">
        <v>0</v>
      </c>
      <c r="Q564">
        <v>1</v>
      </c>
      <c r="R564" t="s">
        <v>32526</v>
      </c>
      <c r="S564" t="s">
        <v>32547</v>
      </c>
      <c r="T564" t="s">
        <v>33252</v>
      </c>
      <c r="U564" t="s">
        <v>34125</v>
      </c>
      <c r="W564" t="s">
        <v>29820</v>
      </c>
      <c r="X564" t="s">
        <v>32527</v>
      </c>
    </row>
    <row r="565" spans="1:24">
      <c r="A565">
        <f>HYPERLINK("https://www.philgeps.gov.ph/GEPSNONPILOT/Tender/SplashBidNoticeAbstractUI.aspx?menuIndex=3&amp;refID=7044729&amp;Result=3","7044729")</f>
        <v>0</v>
      </c>
      <c r="B565" t="s">
        <v>264</v>
      </c>
      <c r="C565" t="s">
        <v>3218</v>
      </c>
      <c r="D565" t="s">
        <v>13018</v>
      </c>
      <c r="E565" t="s">
        <v>13615</v>
      </c>
      <c r="F565" t="s">
        <v>22436</v>
      </c>
      <c r="G565" t="s">
        <v>22443</v>
      </c>
      <c r="H565" t="s">
        <v>22452</v>
      </c>
      <c r="I565" t="s">
        <v>22472</v>
      </c>
      <c r="J565" t="s">
        <v>22588</v>
      </c>
      <c r="K565" t="s">
        <v>29338</v>
      </c>
      <c r="M565" t="s">
        <v>29838</v>
      </c>
      <c r="N565" t="s">
        <v>32524</v>
      </c>
      <c r="O565" t="s">
        <v>32525</v>
      </c>
      <c r="P565">
        <v>0</v>
      </c>
      <c r="Q565">
        <v>2</v>
      </c>
      <c r="R565" t="s">
        <v>32526</v>
      </c>
      <c r="S565" t="s">
        <v>32547</v>
      </c>
      <c r="T565" t="s">
        <v>33163</v>
      </c>
      <c r="U565" t="s">
        <v>34126</v>
      </c>
      <c r="W565" t="s">
        <v>29838</v>
      </c>
      <c r="X565" t="s">
        <v>32527</v>
      </c>
    </row>
    <row r="566" spans="1:24">
      <c r="A566">
        <f>HYPERLINK("https://www.philgeps.gov.ph/GEPSNONPILOT/Tender/SplashBidNoticeAbstractUI.aspx?menuIndex=3&amp;refID=7044732&amp;Result=3","7044732")</f>
        <v>0</v>
      </c>
      <c r="B566" t="s">
        <v>224</v>
      </c>
      <c r="C566" t="s">
        <v>3219</v>
      </c>
      <c r="D566" t="s">
        <v>13018</v>
      </c>
      <c r="E566" t="s">
        <v>13616</v>
      </c>
      <c r="F566" t="s">
        <v>22436</v>
      </c>
      <c r="G566" t="s">
        <v>22444</v>
      </c>
      <c r="H566" t="s">
        <v>22454</v>
      </c>
      <c r="I566" t="s">
        <v>3529</v>
      </c>
      <c r="J566" t="s">
        <v>23060</v>
      </c>
      <c r="K566" t="s">
        <v>29331</v>
      </c>
      <c r="M566" t="s">
        <v>29797</v>
      </c>
      <c r="N566" t="s">
        <v>32524</v>
      </c>
      <c r="O566" t="s">
        <v>32525</v>
      </c>
      <c r="P566">
        <v>0</v>
      </c>
      <c r="Q566">
        <v>0</v>
      </c>
      <c r="R566" t="s">
        <v>32526</v>
      </c>
      <c r="S566" t="s">
        <v>32547</v>
      </c>
      <c r="T566" t="s">
        <v>33166</v>
      </c>
      <c r="U566" t="s">
        <v>34127</v>
      </c>
      <c r="W566" t="s">
        <v>29797</v>
      </c>
      <c r="X566" t="s">
        <v>32527</v>
      </c>
    </row>
    <row r="567" spans="1:24">
      <c r="A567">
        <f>HYPERLINK("https://www.philgeps.gov.ph/GEPSNONPILOT/Tender/SplashBidNoticeAbstractUI.aspx?menuIndex=3&amp;refID=7044728&amp;Result=3","7044728")</f>
        <v>0</v>
      </c>
      <c r="B567" t="s">
        <v>124</v>
      </c>
      <c r="C567" t="s">
        <v>3220</v>
      </c>
      <c r="D567" t="s">
        <v>13031</v>
      </c>
      <c r="E567" t="s">
        <v>13617</v>
      </c>
      <c r="F567" t="s">
        <v>22436</v>
      </c>
      <c r="G567" t="s">
        <v>22443</v>
      </c>
      <c r="H567" t="s">
        <v>22452</v>
      </c>
      <c r="I567" t="s">
        <v>22489</v>
      </c>
      <c r="J567" t="s">
        <v>22605</v>
      </c>
      <c r="K567" t="s">
        <v>29338</v>
      </c>
      <c r="M567" t="s">
        <v>29696</v>
      </c>
      <c r="N567" t="s">
        <v>32524</v>
      </c>
      <c r="O567" t="s">
        <v>32525</v>
      </c>
      <c r="P567">
        <v>0</v>
      </c>
      <c r="Q567">
        <v>2</v>
      </c>
      <c r="R567" t="s">
        <v>32526</v>
      </c>
      <c r="S567" t="s">
        <v>32547</v>
      </c>
      <c r="T567" t="s">
        <v>33183</v>
      </c>
      <c r="U567" t="s">
        <v>34128</v>
      </c>
      <c r="W567" t="s">
        <v>29696</v>
      </c>
      <c r="X567" t="s">
        <v>32527</v>
      </c>
    </row>
    <row r="568" spans="1:24">
      <c r="A568">
        <f>HYPERLINK("https://www.philgeps.gov.ph/GEPSNONPILOT/Tender/SplashBidNoticeAbstractUI.aspx?menuIndex=3&amp;refID=7044734&amp;Result=3","7044734")</f>
        <v>0</v>
      </c>
      <c r="B568" t="s">
        <v>46</v>
      </c>
      <c r="C568" t="s">
        <v>3221</v>
      </c>
      <c r="D568" t="s">
        <v>13006</v>
      </c>
      <c r="E568" t="s">
        <v>13618</v>
      </c>
      <c r="F568" t="s">
        <v>22436</v>
      </c>
      <c r="G568" t="s">
        <v>22444</v>
      </c>
      <c r="H568" t="s">
        <v>22452</v>
      </c>
      <c r="I568" t="s">
        <v>12358</v>
      </c>
      <c r="J568" t="s">
        <v>23061</v>
      </c>
      <c r="K568" t="s">
        <v>29330</v>
      </c>
      <c r="M568" t="s">
        <v>29760</v>
      </c>
      <c r="N568" t="s">
        <v>32524</v>
      </c>
      <c r="O568" t="s">
        <v>32525</v>
      </c>
      <c r="P568">
        <v>0</v>
      </c>
      <c r="Q568">
        <v>0</v>
      </c>
      <c r="R568" t="s">
        <v>32526</v>
      </c>
      <c r="S568" t="s">
        <v>32547</v>
      </c>
      <c r="T568" t="s">
        <v>33253</v>
      </c>
      <c r="U568" t="s">
        <v>34129</v>
      </c>
      <c r="V568" t="s">
        <v>42461</v>
      </c>
      <c r="W568" t="s">
        <v>29760</v>
      </c>
      <c r="X568" t="s">
        <v>32527</v>
      </c>
    </row>
    <row r="569" spans="1:24">
      <c r="A569">
        <f>HYPERLINK("https://www.philgeps.gov.ph/GEPSNONPILOT/Tender/SplashBidNoticeAbstractUI.aspx?menuIndex=3&amp;refID=7044736&amp;Result=3","7044736")</f>
        <v>0</v>
      </c>
      <c r="B569" t="s">
        <v>254</v>
      </c>
      <c r="C569" t="s">
        <v>3222</v>
      </c>
      <c r="D569" t="s">
        <v>13048</v>
      </c>
      <c r="E569" t="s">
        <v>13596</v>
      </c>
      <c r="F569" t="s">
        <v>22436</v>
      </c>
      <c r="G569" t="s">
        <v>22446</v>
      </c>
      <c r="H569" t="s">
        <v>22452</v>
      </c>
      <c r="I569" t="s">
        <v>22502</v>
      </c>
      <c r="J569" t="s">
        <v>23062</v>
      </c>
      <c r="K569" t="s">
        <v>29341</v>
      </c>
      <c r="M569" t="s">
        <v>29828</v>
      </c>
      <c r="N569" t="s">
        <v>32524</v>
      </c>
      <c r="O569" t="s">
        <v>32525</v>
      </c>
      <c r="P569">
        <v>0</v>
      </c>
      <c r="Q569">
        <v>3</v>
      </c>
      <c r="R569" t="s">
        <v>32526</v>
      </c>
      <c r="S569" t="s">
        <v>32547</v>
      </c>
      <c r="T569" t="s">
        <v>33249</v>
      </c>
      <c r="U569" t="s">
        <v>34130</v>
      </c>
      <c r="W569" t="s">
        <v>29828</v>
      </c>
      <c r="X569" t="s">
        <v>32527</v>
      </c>
    </row>
    <row r="570" spans="1:24">
      <c r="A570">
        <f>HYPERLINK("https://www.philgeps.gov.ph/GEPSNONPILOT/Tender/SplashBidNoticeAbstractUI.aspx?menuIndex=3&amp;refID=7044730&amp;Result=3","7044730")</f>
        <v>0</v>
      </c>
      <c r="B570" t="s">
        <v>200</v>
      </c>
      <c r="C570" t="s">
        <v>3223</v>
      </c>
      <c r="D570" t="s">
        <v>13037</v>
      </c>
      <c r="E570" t="s">
        <v>13619</v>
      </c>
      <c r="F570" t="s">
        <v>22436</v>
      </c>
      <c r="G570" t="s">
        <v>22443</v>
      </c>
      <c r="H570" t="s">
        <v>22452</v>
      </c>
      <c r="I570" t="s">
        <v>22466</v>
      </c>
      <c r="J570" t="s">
        <v>22975</v>
      </c>
      <c r="K570" t="s">
        <v>29330</v>
      </c>
      <c r="M570" t="s">
        <v>29773</v>
      </c>
      <c r="N570" t="s">
        <v>32524</v>
      </c>
      <c r="O570" t="s">
        <v>32525</v>
      </c>
      <c r="P570">
        <v>0</v>
      </c>
      <c r="Q570">
        <v>3</v>
      </c>
      <c r="R570" t="s">
        <v>32526</v>
      </c>
      <c r="S570" t="s">
        <v>32547</v>
      </c>
      <c r="T570" t="s">
        <v>33161</v>
      </c>
      <c r="U570" t="s">
        <v>34131</v>
      </c>
      <c r="W570" t="s">
        <v>29773</v>
      </c>
      <c r="X570" t="s">
        <v>32527</v>
      </c>
    </row>
    <row r="571" spans="1:24">
      <c r="A571">
        <f>HYPERLINK("https://www.philgeps.gov.ph/GEPSNONPILOT/Tender/SplashBidNoticeAbstractUI.aspx?menuIndex=3&amp;refID=7044744&amp;Result=3","7044744")</f>
        <v>0</v>
      </c>
      <c r="B571" t="s">
        <v>265</v>
      </c>
      <c r="C571" t="s">
        <v>3224</v>
      </c>
      <c r="D571" t="s">
        <v>13024</v>
      </c>
      <c r="E571" t="s">
        <v>13620</v>
      </c>
      <c r="F571" t="s">
        <v>22437</v>
      </c>
      <c r="G571" t="s">
        <v>22443</v>
      </c>
      <c r="H571" t="s">
        <v>22452</v>
      </c>
      <c r="I571" t="s">
        <v>3529</v>
      </c>
      <c r="J571" t="s">
        <v>23063</v>
      </c>
      <c r="K571" t="s">
        <v>29357</v>
      </c>
      <c r="M571" t="s">
        <v>29839</v>
      </c>
      <c r="N571" t="s">
        <v>32524</v>
      </c>
      <c r="O571" t="s">
        <v>32525</v>
      </c>
      <c r="P571">
        <v>0</v>
      </c>
      <c r="Q571">
        <v>1</v>
      </c>
      <c r="R571" t="s">
        <v>32526</v>
      </c>
      <c r="S571" t="s">
        <v>32547</v>
      </c>
      <c r="T571" t="s">
        <v>33252</v>
      </c>
      <c r="U571" t="s">
        <v>34132</v>
      </c>
      <c r="W571" t="s">
        <v>29839</v>
      </c>
      <c r="X571" t="s">
        <v>32527</v>
      </c>
    </row>
    <row r="572" spans="1:24">
      <c r="A572">
        <f>HYPERLINK("https://www.philgeps.gov.ph/GEPSNONPILOT/Tender/SplashBidNoticeAbstractUI.aspx?menuIndex=3&amp;refID=7044724&amp;Result=3","7044724")</f>
        <v>0</v>
      </c>
      <c r="B572" t="s">
        <v>266</v>
      </c>
      <c r="C572" t="s">
        <v>3225</v>
      </c>
      <c r="D572" t="s">
        <v>12988</v>
      </c>
      <c r="E572" t="s">
        <v>13621</v>
      </c>
      <c r="F572" t="s">
        <v>22436</v>
      </c>
      <c r="G572" t="s">
        <v>22443</v>
      </c>
      <c r="H572" t="s">
        <v>22452</v>
      </c>
      <c r="I572" t="s">
        <v>22487</v>
      </c>
      <c r="J572" t="s">
        <v>22775</v>
      </c>
      <c r="K572" t="s">
        <v>29338</v>
      </c>
      <c r="M572" t="s">
        <v>29840</v>
      </c>
      <c r="N572" t="s">
        <v>32524</v>
      </c>
      <c r="O572" t="s">
        <v>32525</v>
      </c>
      <c r="P572">
        <v>0</v>
      </c>
      <c r="Q572">
        <v>0</v>
      </c>
      <c r="R572" t="s">
        <v>32526</v>
      </c>
      <c r="S572" t="s">
        <v>32547</v>
      </c>
      <c r="T572" t="s">
        <v>33169</v>
      </c>
      <c r="U572" t="s">
        <v>34133</v>
      </c>
      <c r="W572" t="s">
        <v>30625</v>
      </c>
      <c r="X572" t="s">
        <v>32527</v>
      </c>
    </row>
    <row r="573" spans="1:24">
      <c r="A573">
        <f>HYPERLINK("https://www.philgeps.gov.ph/GEPSNONPILOT/Tender/SplashBidNoticeAbstractUI.aspx?menuIndex=3&amp;refID=7044726&amp;Result=3","7044726")</f>
        <v>0</v>
      </c>
      <c r="B573" t="s">
        <v>267</v>
      </c>
      <c r="C573" t="s">
        <v>3226</v>
      </c>
      <c r="D573" t="s">
        <v>13032</v>
      </c>
      <c r="E573" t="s">
        <v>13622</v>
      </c>
      <c r="F573" t="s">
        <v>22436</v>
      </c>
      <c r="G573" t="s">
        <v>22444</v>
      </c>
      <c r="H573" t="s">
        <v>22454</v>
      </c>
      <c r="I573" t="s">
        <v>7738</v>
      </c>
      <c r="J573" t="s">
        <v>23064</v>
      </c>
      <c r="K573" t="s">
        <v>29347</v>
      </c>
      <c r="M573" t="s">
        <v>29841</v>
      </c>
      <c r="N573" t="s">
        <v>32524</v>
      </c>
      <c r="O573" t="s">
        <v>32525</v>
      </c>
      <c r="P573">
        <v>0</v>
      </c>
      <c r="Q573">
        <v>0</v>
      </c>
      <c r="R573" t="s">
        <v>32526</v>
      </c>
      <c r="S573" t="s">
        <v>32547</v>
      </c>
      <c r="T573" t="s">
        <v>33157</v>
      </c>
      <c r="U573" t="s">
        <v>34134</v>
      </c>
      <c r="W573" t="s">
        <v>43674</v>
      </c>
      <c r="X573" t="s">
        <v>32527</v>
      </c>
    </row>
    <row r="574" spans="1:24">
      <c r="A574">
        <f>HYPERLINK("https://www.philgeps.gov.ph/GEPSNONPILOT/Tender/SplashBidNoticeAbstractUI.aspx?menuIndex=3&amp;refID=7044738&amp;Result=3","7044738")</f>
        <v>0</v>
      </c>
      <c r="B574" t="s">
        <v>268</v>
      </c>
      <c r="C574" t="s">
        <v>3227</v>
      </c>
      <c r="D574" t="s">
        <v>13015</v>
      </c>
      <c r="E574" t="s">
        <v>13137</v>
      </c>
      <c r="F574" t="s">
        <v>22436</v>
      </c>
      <c r="G574" t="s">
        <v>22444</v>
      </c>
      <c r="H574" t="s">
        <v>22454</v>
      </c>
      <c r="I574" t="s">
        <v>7738</v>
      </c>
      <c r="J574" t="s">
        <v>22779</v>
      </c>
      <c r="K574" t="s">
        <v>29344</v>
      </c>
      <c r="M574" t="s">
        <v>29842</v>
      </c>
      <c r="N574" t="s">
        <v>32524</v>
      </c>
      <c r="O574" t="s">
        <v>32525</v>
      </c>
      <c r="P574">
        <v>0</v>
      </c>
      <c r="Q574">
        <v>0</v>
      </c>
      <c r="R574" t="s">
        <v>32526</v>
      </c>
      <c r="S574" t="s">
        <v>32547</v>
      </c>
      <c r="T574" t="s">
        <v>33199</v>
      </c>
      <c r="U574" t="s">
        <v>34135</v>
      </c>
      <c r="W574" t="s">
        <v>29842</v>
      </c>
      <c r="X574" t="s">
        <v>32527</v>
      </c>
    </row>
    <row r="575" spans="1:24">
      <c r="A575">
        <f>HYPERLINK("https://www.philgeps.gov.ph/GEPSNONPILOT/Tender/SplashBidNoticeAbstractUI.aspx?menuIndex=3&amp;refID=7044743&amp;Result=3","7044743")</f>
        <v>0</v>
      </c>
      <c r="B575" t="s">
        <v>180</v>
      </c>
      <c r="C575" t="s">
        <v>3228</v>
      </c>
      <c r="D575" t="s">
        <v>13026</v>
      </c>
      <c r="E575" t="s">
        <v>13623</v>
      </c>
      <c r="F575" t="s">
        <v>22436</v>
      </c>
      <c r="G575" t="s">
        <v>22443</v>
      </c>
      <c r="H575" t="s">
        <v>22452</v>
      </c>
      <c r="I575" t="s">
        <v>22466</v>
      </c>
      <c r="J575" t="s">
        <v>23065</v>
      </c>
      <c r="K575" t="s">
        <v>29331</v>
      </c>
      <c r="M575" t="s">
        <v>29752</v>
      </c>
      <c r="N575" t="s">
        <v>32524</v>
      </c>
      <c r="O575" t="s">
        <v>32525</v>
      </c>
      <c r="P575">
        <v>0</v>
      </c>
      <c r="Q575">
        <v>6</v>
      </c>
      <c r="R575" t="s">
        <v>32526</v>
      </c>
      <c r="S575" t="s">
        <v>32547</v>
      </c>
      <c r="T575" t="s">
        <v>33167</v>
      </c>
      <c r="U575" t="s">
        <v>34136</v>
      </c>
      <c r="W575" t="s">
        <v>29752</v>
      </c>
      <c r="X575" t="s">
        <v>32527</v>
      </c>
    </row>
    <row r="576" spans="1:24">
      <c r="A576">
        <f>HYPERLINK("https://www.philgeps.gov.ph/GEPSNONPILOT/Tender/SplashBidNoticeAbstractUI.aspx?menuIndex=3&amp;refID=7044727&amp;Result=3","7044727")</f>
        <v>0</v>
      </c>
      <c r="B576" t="s">
        <v>198</v>
      </c>
      <c r="C576" t="s">
        <v>3229</v>
      </c>
      <c r="D576" t="s">
        <v>13002</v>
      </c>
      <c r="E576" t="s">
        <v>13624</v>
      </c>
      <c r="F576" t="s">
        <v>22436</v>
      </c>
      <c r="G576" t="s">
        <v>22443</v>
      </c>
      <c r="H576" t="s">
        <v>22452</v>
      </c>
      <c r="I576" t="s">
        <v>22489</v>
      </c>
      <c r="J576" t="s">
        <v>23066</v>
      </c>
      <c r="K576" t="s">
        <v>29341</v>
      </c>
      <c r="M576" t="s">
        <v>29771</v>
      </c>
      <c r="N576" t="s">
        <v>32524</v>
      </c>
      <c r="O576" t="s">
        <v>32525</v>
      </c>
      <c r="P576">
        <v>0</v>
      </c>
      <c r="Q576">
        <v>5</v>
      </c>
      <c r="R576" t="s">
        <v>32526</v>
      </c>
      <c r="S576" t="s">
        <v>32547</v>
      </c>
      <c r="T576" t="s">
        <v>33215</v>
      </c>
      <c r="U576" t="s">
        <v>34137</v>
      </c>
      <c r="W576" t="s">
        <v>29771</v>
      </c>
      <c r="X576" t="s">
        <v>32527</v>
      </c>
    </row>
    <row r="577" spans="1:24">
      <c r="A577">
        <f>HYPERLINK("https://www.philgeps.gov.ph/GEPSNONPILOT/Tender/SplashBidNoticeAbstractUI.aspx?menuIndex=3&amp;refID=7044735&amp;Result=3","7044735")</f>
        <v>0</v>
      </c>
      <c r="B577" t="s">
        <v>233</v>
      </c>
      <c r="C577" t="s">
        <v>3230</v>
      </c>
      <c r="D577" t="s">
        <v>13000</v>
      </c>
      <c r="E577" t="s">
        <v>13625</v>
      </c>
      <c r="F577" t="s">
        <v>22436</v>
      </c>
      <c r="G577" t="s">
        <v>22443</v>
      </c>
      <c r="H577" t="s">
        <v>22452</v>
      </c>
      <c r="I577" t="s">
        <v>3827</v>
      </c>
      <c r="J577" t="s">
        <v>22878</v>
      </c>
      <c r="K577" t="s">
        <v>29340</v>
      </c>
      <c r="M577" t="s">
        <v>29806</v>
      </c>
      <c r="N577" t="s">
        <v>32524</v>
      </c>
      <c r="O577" t="s">
        <v>32525</v>
      </c>
      <c r="P577">
        <v>0</v>
      </c>
      <c r="Q577">
        <v>0</v>
      </c>
      <c r="R577" t="s">
        <v>32526</v>
      </c>
      <c r="S577" t="s">
        <v>32547</v>
      </c>
      <c r="T577" t="s">
        <v>33163</v>
      </c>
      <c r="U577" t="s">
        <v>34138</v>
      </c>
      <c r="W577" t="s">
        <v>29806</v>
      </c>
      <c r="X577" t="s">
        <v>32527</v>
      </c>
    </row>
    <row r="578" spans="1:24">
      <c r="A578">
        <f>HYPERLINK("https://www.philgeps.gov.ph/GEPSNONPILOT/Tender/SplashBidNoticeAbstractUI.aspx?menuIndex=3&amp;refID=7044742&amp;Result=3","7044742")</f>
        <v>0</v>
      </c>
      <c r="B578" t="s">
        <v>181</v>
      </c>
      <c r="C578" t="s">
        <v>3231</v>
      </c>
      <c r="D578" t="s">
        <v>13032</v>
      </c>
      <c r="E578" t="s">
        <v>13626</v>
      </c>
      <c r="F578" t="s">
        <v>22436</v>
      </c>
      <c r="G578" t="s">
        <v>22444</v>
      </c>
      <c r="H578" t="s">
        <v>22452</v>
      </c>
      <c r="I578" t="s">
        <v>3529</v>
      </c>
      <c r="J578" t="s">
        <v>23067</v>
      </c>
      <c r="K578" t="s">
        <v>29341</v>
      </c>
      <c r="M578" t="s">
        <v>29753</v>
      </c>
      <c r="N578" t="s">
        <v>32524</v>
      </c>
      <c r="O578" t="s">
        <v>32525</v>
      </c>
      <c r="P578">
        <v>0</v>
      </c>
      <c r="Q578">
        <v>0</v>
      </c>
      <c r="R578" t="s">
        <v>32526</v>
      </c>
      <c r="S578" t="s">
        <v>32547</v>
      </c>
      <c r="T578" t="s">
        <v>33227</v>
      </c>
      <c r="U578" t="s">
        <v>34139</v>
      </c>
      <c r="W578" t="s">
        <v>29753</v>
      </c>
      <c r="X578" t="s">
        <v>32527</v>
      </c>
    </row>
    <row r="579" spans="1:24">
      <c r="A579">
        <f>HYPERLINK("https://www.philgeps.gov.ph/GEPSNONPILOT/Tender/SplashBidNoticeAbstractUI.aspx?menuIndex=3&amp;refID=7044745&amp;Result=3","7044745")</f>
        <v>0</v>
      </c>
      <c r="B579" t="s">
        <v>233</v>
      </c>
      <c r="C579" t="s">
        <v>3232</v>
      </c>
      <c r="D579" t="s">
        <v>13000</v>
      </c>
      <c r="E579" t="s">
        <v>13627</v>
      </c>
      <c r="F579" t="s">
        <v>22436</v>
      </c>
      <c r="G579" t="s">
        <v>22443</v>
      </c>
      <c r="H579" t="s">
        <v>22452</v>
      </c>
      <c r="I579" t="s">
        <v>3529</v>
      </c>
      <c r="J579" t="s">
        <v>23068</v>
      </c>
      <c r="K579" t="s">
        <v>29356</v>
      </c>
      <c r="M579" t="s">
        <v>29806</v>
      </c>
      <c r="N579" t="s">
        <v>32524</v>
      </c>
      <c r="O579" t="s">
        <v>32525</v>
      </c>
      <c r="P579">
        <v>0</v>
      </c>
      <c r="Q579">
        <v>0</v>
      </c>
      <c r="R579" t="s">
        <v>32526</v>
      </c>
      <c r="S579" t="s">
        <v>32547</v>
      </c>
      <c r="T579" t="s">
        <v>33163</v>
      </c>
      <c r="U579" t="s">
        <v>34140</v>
      </c>
      <c r="W579" t="s">
        <v>29806</v>
      </c>
      <c r="X579" t="s">
        <v>32527</v>
      </c>
    </row>
    <row r="580" spans="1:24">
      <c r="A580">
        <f>HYPERLINK("https://www.philgeps.gov.ph/GEPSNONPILOT/Tender/SplashBidNoticeAbstractUI.aspx?menuIndex=3&amp;refID=7044747&amp;Result=3","7044747")</f>
        <v>0</v>
      </c>
      <c r="B580" t="s">
        <v>89</v>
      </c>
      <c r="C580" t="s">
        <v>3233</v>
      </c>
      <c r="D580" t="s">
        <v>13022</v>
      </c>
      <c r="E580" t="s">
        <v>13628</v>
      </c>
      <c r="F580" t="s">
        <v>22436</v>
      </c>
      <c r="G580" t="s">
        <v>22444</v>
      </c>
      <c r="H580" t="s">
        <v>22454</v>
      </c>
      <c r="I580" t="s">
        <v>7738</v>
      </c>
      <c r="J580" t="s">
        <v>23069</v>
      </c>
      <c r="K580" t="s">
        <v>29373</v>
      </c>
      <c r="M580" t="s">
        <v>29661</v>
      </c>
      <c r="N580" t="s">
        <v>32524</v>
      </c>
      <c r="O580" t="s">
        <v>32525</v>
      </c>
      <c r="P580">
        <v>0</v>
      </c>
      <c r="Q580">
        <v>1</v>
      </c>
      <c r="R580" t="s">
        <v>32526</v>
      </c>
      <c r="S580" t="s">
        <v>32547</v>
      </c>
      <c r="T580" t="s">
        <v>33170</v>
      </c>
      <c r="U580" t="s">
        <v>34141</v>
      </c>
      <c r="W580" t="s">
        <v>29661</v>
      </c>
      <c r="X580" t="s">
        <v>32527</v>
      </c>
    </row>
    <row r="581" spans="1:24">
      <c r="A581">
        <f>HYPERLINK("https://www.philgeps.gov.ph/GEPSNONPILOT/Tender/SplashBidNoticeAbstractUI.aspx?menuIndex=3&amp;refID=7044746&amp;Result=3","7044746")</f>
        <v>0</v>
      </c>
      <c r="B581" t="s">
        <v>269</v>
      </c>
      <c r="C581" t="s">
        <v>3234</v>
      </c>
      <c r="D581" t="s">
        <v>13004</v>
      </c>
      <c r="E581" t="s">
        <v>13629</v>
      </c>
      <c r="F581" t="s">
        <v>22436</v>
      </c>
      <c r="G581" t="s">
        <v>22444</v>
      </c>
      <c r="H581" t="s">
        <v>22452</v>
      </c>
      <c r="I581" t="s">
        <v>6421</v>
      </c>
      <c r="J581" t="s">
        <v>23070</v>
      </c>
      <c r="K581" t="s">
        <v>29335</v>
      </c>
      <c r="M581" t="s">
        <v>29843</v>
      </c>
      <c r="N581" t="s">
        <v>32524</v>
      </c>
      <c r="O581" t="s">
        <v>32525</v>
      </c>
      <c r="P581">
        <v>0</v>
      </c>
      <c r="Q581">
        <v>0</v>
      </c>
      <c r="R581" t="s">
        <v>32526</v>
      </c>
      <c r="S581" t="s">
        <v>32547</v>
      </c>
      <c r="T581" t="s">
        <v>33168</v>
      </c>
      <c r="U581" t="s">
        <v>34142</v>
      </c>
      <c r="V581" t="s">
        <v>42483</v>
      </c>
      <c r="W581" t="s">
        <v>29843</v>
      </c>
      <c r="X581" t="s">
        <v>32527</v>
      </c>
    </row>
    <row r="582" spans="1:24">
      <c r="A582">
        <f>HYPERLINK("https://www.philgeps.gov.ph/GEPSNONPILOT/Tender/SplashBidNoticeAbstractUI.aspx?menuIndex=3&amp;refID=7044741&amp;Result=3","7044741")</f>
        <v>0</v>
      </c>
      <c r="B582" t="s">
        <v>252</v>
      </c>
      <c r="C582" t="s">
        <v>3235</v>
      </c>
      <c r="D582" t="s">
        <v>13040</v>
      </c>
      <c r="E582" t="s">
        <v>13630</v>
      </c>
      <c r="F582" t="s">
        <v>22436</v>
      </c>
      <c r="G582" t="s">
        <v>22443</v>
      </c>
      <c r="H582" t="s">
        <v>22452</v>
      </c>
      <c r="I582" t="s">
        <v>12358</v>
      </c>
      <c r="J582" t="s">
        <v>23071</v>
      </c>
      <c r="K582" t="s">
        <v>29329</v>
      </c>
      <c r="M582" t="s">
        <v>29826</v>
      </c>
      <c r="N582" t="s">
        <v>32524</v>
      </c>
      <c r="O582" t="s">
        <v>32525</v>
      </c>
      <c r="P582">
        <v>0</v>
      </c>
      <c r="Q582">
        <v>1</v>
      </c>
      <c r="R582" t="s">
        <v>32526</v>
      </c>
      <c r="S582" t="s">
        <v>32547</v>
      </c>
      <c r="T582" t="s">
        <v>33206</v>
      </c>
      <c r="U582" t="s">
        <v>34143</v>
      </c>
      <c r="W582" t="s">
        <v>29826</v>
      </c>
      <c r="X582" t="s">
        <v>32527</v>
      </c>
    </row>
    <row r="583" spans="1:24">
      <c r="A583">
        <f>HYPERLINK("https://www.philgeps.gov.ph/GEPSNONPILOT/Tender/SplashBidNoticeAbstractUI.aspx?menuIndex=3&amp;refID=7044761&amp;Result=3","7044761")</f>
        <v>0</v>
      </c>
      <c r="B583" t="s">
        <v>124</v>
      </c>
      <c r="C583" t="s">
        <v>3236</v>
      </c>
      <c r="D583" t="s">
        <v>13031</v>
      </c>
      <c r="E583" t="s">
        <v>13631</v>
      </c>
      <c r="F583" t="s">
        <v>22436</v>
      </c>
      <c r="G583" t="s">
        <v>22443</v>
      </c>
      <c r="H583" t="s">
        <v>22452</v>
      </c>
      <c r="I583" t="s">
        <v>3840</v>
      </c>
      <c r="J583" t="s">
        <v>23072</v>
      </c>
      <c r="K583" t="s">
        <v>29338</v>
      </c>
      <c r="M583" t="s">
        <v>29696</v>
      </c>
      <c r="N583" t="s">
        <v>32524</v>
      </c>
      <c r="O583" t="s">
        <v>32525</v>
      </c>
      <c r="P583">
        <v>0</v>
      </c>
      <c r="Q583">
        <v>6</v>
      </c>
      <c r="R583" t="s">
        <v>32526</v>
      </c>
      <c r="S583" t="s">
        <v>32547</v>
      </c>
      <c r="T583" t="s">
        <v>33183</v>
      </c>
      <c r="U583" t="s">
        <v>34144</v>
      </c>
      <c r="W583" t="s">
        <v>29696</v>
      </c>
      <c r="X583" t="s">
        <v>32527</v>
      </c>
    </row>
    <row r="584" spans="1:24">
      <c r="A584">
        <f>HYPERLINK("https://www.philgeps.gov.ph/GEPSNONPILOT/Tender/SplashBidNoticeAbstractUI.aspx?menuIndex=3&amp;refID=7044754&amp;Result=3","7044754")</f>
        <v>0</v>
      </c>
      <c r="B584" t="s">
        <v>236</v>
      </c>
      <c r="C584" t="s">
        <v>3148</v>
      </c>
      <c r="D584" t="s">
        <v>13029</v>
      </c>
      <c r="E584" t="s">
        <v>13632</v>
      </c>
      <c r="F584" t="s">
        <v>22436</v>
      </c>
      <c r="G584" t="s">
        <v>22443</v>
      </c>
      <c r="H584" t="s">
        <v>22452</v>
      </c>
      <c r="I584" t="s">
        <v>22460</v>
      </c>
      <c r="J584" t="s">
        <v>23073</v>
      </c>
      <c r="K584" t="s">
        <v>29335</v>
      </c>
      <c r="M584" t="s">
        <v>29809</v>
      </c>
      <c r="N584" t="s">
        <v>32524</v>
      </c>
      <c r="O584" t="s">
        <v>32525</v>
      </c>
      <c r="P584">
        <v>0</v>
      </c>
      <c r="Q584">
        <v>0</v>
      </c>
      <c r="R584" t="s">
        <v>32526</v>
      </c>
      <c r="S584" t="s">
        <v>32547</v>
      </c>
      <c r="T584" t="s">
        <v>33210</v>
      </c>
      <c r="U584" t="s">
        <v>34145</v>
      </c>
      <c r="W584" t="s">
        <v>29809</v>
      </c>
      <c r="X584" t="s">
        <v>32527</v>
      </c>
    </row>
    <row r="585" spans="1:24">
      <c r="A585">
        <f>HYPERLINK("https://www.philgeps.gov.ph/GEPSNONPILOT/Tender/SplashBidNoticeAbstractUI.aspx?menuIndex=3&amp;refID=7044753&amp;Result=3","7044753")</f>
        <v>0</v>
      </c>
      <c r="B585" t="s">
        <v>220</v>
      </c>
      <c r="C585" t="s">
        <v>3237</v>
      </c>
      <c r="D585" t="s">
        <v>13037</v>
      </c>
      <c r="E585" t="s">
        <v>13633</v>
      </c>
      <c r="F585" t="s">
        <v>22436</v>
      </c>
      <c r="G585" t="s">
        <v>22446</v>
      </c>
      <c r="H585" t="s">
        <v>22452</v>
      </c>
      <c r="I585" t="s">
        <v>22468</v>
      </c>
      <c r="J585" t="s">
        <v>23074</v>
      </c>
      <c r="K585" t="s">
        <v>29336</v>
      </c>
      <c r="M585" t="s">
        <v>29793</v>
      </c>
      <c r="N585" t="s">
        <v>32524</v>
      </c>
      <c r="O585" t="s">
        <v>32525</v>
      </c>
      <c r="P585">
        <v>0</v>
      </c>
      <c r="Q585">
        <v>0</v>
      </c>
      <c r="R585" t="s">
        <v>32526</v>
      </c>
      <c r="S585" t="s">
        <v>32547</v>
      </c>
      <c r="T585" t="s">
        <v>33209</v>
      </c>
      <c r="U585" t="s">
        <v>34035</v>
      </c>
      <c r="W585" t="s">
        <v>29793</v>
      </c>
      <c r="X585" t="s">
        <v>32527</v>
      </c>
    </row>
    <row r="586" spans="1:24">
      <c r="A586">
        <f>HYPERLINK("https://www.philgeps.gov.ph/GEPSNONPILOT/Tender/SplashBidNoticeAbstractUI.aspx?menuIndex=3&amp;refID=7044750&amp;Result=3","7044750")</f>
        <v>0</v>
      </c>
      <c r="B586" t="s">
        <v>270</v>
      </c>
      <c r="C586" t="s">
        <v>3238</v>
      </c>
      <c r="D586" t="s">
        <v>13038</v>
      </c>
      <c r="E586" t="s">
        <v>13634</v>
      </c>
      <c r="F586" t="s">
        <v>22436</v>
      </c>
      <c r="G586" t="s">
        <v>22443</v>
      </c>
      <c r="H586" t="s">
        <v>22452</v>
      </c>
      <c r="I586" t="s">
        <v>22467</v>
      </c>
      <c r="J586" t="s">
        <v>22616</v>
      </c>
      <c r="K586" t="s">
        <v>29338</v>
      </c>
      <c r="M586" t="s">
        <v>29844</v>
      </c>
      <c r="N586" t="s">
        <v>32524</v>
      </c>
      <c r="O586" t="s">
        <v>32525</v>
      </c>
      <c r="P586">
        <v>0</v>
      </c>
      <c r="Q586">
        <v>0</v>
      </c>
      <c r="R586" t="s">
        <v>32526</v>
      </c>
      <c r="S586" t="s">
        <v>32547</v>
      </c>
      <c r="T586" t="s">
        <v>33168</v>
      </c>
      <c r="U586" t="s">
        <v>34146</v>
      </c>
      <c r="W586" t="s">
        <v>43675</v>
      </c>
      <c r="X586" t="s">
        <v>32527</v>
      </c>
    </row>
    <row r="587" spans="1:24">
      <c r="A587">
        <f>HYPERLINK("https://www.philgeps.gov.ph/GEPSNONPILOT/Tender/SplashBidNoticeAbstractUI.aspx?menuIndex=3&amp;refID=7044755&amp;Result=3","7044755")</f>
        <v>0</v>
      </c>
      <c r="B587" t="s">
        <v>200</v>
      </c>
      <c r="C587" t="s">
        <v>3239</v>
      </c>
      <c r="D587" t="s">
        <v>13037</v>
      </c>
      <c r="E587" t="s">
        <v>13635</v>
      </c>
      <c r="F587" t="s">
        <v>22436</v>
      </c>
      <c r="G587" t="s">
        <v>22443</v>
      </c>
      <c r="H587" t="s">
        <v>22452</v>
      </c>
      <c r="I587" t="s">
        <v>22466</v>
      </c>
      <c r="J587" t="s">
        <v>22810</v>
      </c>
      <c r="K587" t="s">
        <v>29330</v>
      </c>
      <c r="M587" t="s">
        <v>29773</v>
      </c>
      <c r="N587" t="s">
        <v>32524</v>
      </c>
      <c r="O587" t="s">
        <v>32525</v>
      </c>
      <c r="P587">
        <v>0</v>
      </c>
      <c r="Q587">
        <v>2</v>
      </c>
      <c r="R587" t="s">
        <v>32526</v>
      </c>
      <c r="S587" t="s">
        <v>32547</v>
      </c>
      <c r="T587" t="s">
        <v>33161</v>
      </c>
      <c r="U587" t="s">
        <v>34147</v>
      </c>
      <c r="W587" t="s">
        <v>29773</v>
      </c>
      <c r="X587" t="s">
        <v>32527</v>
      </c>
    </row>
    <row r="588" spans="1:24">
      <c r="A588">
        <f>HYPERLINK("https://www.philgeps.gov.ph/GEPSNONPILOT/Tender/SplashBidNoticeAbstractUI.aspx?menuIndex=3&amp;refID=7044751&amp;Result=3","7044751")</f>
        <v>0</v>
      </c>
      <c r="B588" t="s">
        <v>228</v>
      </c>
      <c r="C588" t="s">
        <v>3240</v>
      </c>
      <c r="E588" t="s">
        <v>13636</v>
      </c>
      <c r="F588" t="s">
        <v>22436</v>
      </c>
      <c r="G588" t="s">
        <v>22444</v>
      </c>
      <c r="H588" t="s">
        <v>22452</v>
      </c>
      <c r="I588" t="s">
        <v>3529</v>
      </c>
      <c r="J588" t="s">
        <v>23075</v>
      </c>
      <c r="K588" t="s">
        <v>29341</v>
      </c>
      <c r="M588" t="s">
        <v>29801</v>
      </c>
      <c r="N588" t="s">
        <v>32524</v>
      </c>
      <c r="O588" t="s">
        <v>32525</v>
      </c>
      <c r="P588">
        <v>0</v>
      </c>
      <c r="Q588">
        <v>1</v>
      </c>
      <c r="R588" t="s">
        <v>32526</v>
      </c>
      <c r="S588" t="s">
        <v>32547</v>
      </c>
      <c r="T588" t="s">
        <v>33157</v>
      </c>
      <c r="U588" t="s">
        <v>34148</v>
      </c>
      <c r="V588" t="s">
        <v>42479</v>
      </c>
      <c r="W588" t="s">
        <v>29801</v>
      </c>
      <c r="X588" t="s">
        <v>32527</v>
      </c>
    </row>
    <row r="589" spans="1:24">
      <c r="A589">
        <f>HYPERLINK("https://www.philgeps.gov.ph/GEPSNONPILOT/Tender/SplashBidNoticeAbstractUI.aspx?menuIndex=3&amp;refID=7044748&amp;Result=3","7044748")</f>
        <v>0</v>
      </c>
      <c r="B589" t="s">
        <v>124</v>
      </c>
      <c r="C589" t="s">
        <v>3241</v>
      </c>
      <c r="D589" t="s">
        <v>13031</v>
      </c>
      <c r="E589" t="s">
        <v>13637</v>
      </c>
      <c r="F589" t="s">
        <v>22436</v>
      </c>
      <c r="G589" t="s">
        <v>22443</v>
      </c>
      <c r="H589" t="s">
        <v>22452</v>
      </c>
      <c r="I589" t="s">
        <v>22489</v>
      </c>
      <c r="J589" t="s">
        <v>23076</v>
      </c>
      <c r="K589" t="s">
        <v>29338</v>
      </c>
      <c r="M589" t="s">
        <v>29696</v>
      </c>
      <c r="N589" t="s">
        <v>32524</v>
      </c>
      <c r="O589" t="s">
        <v>32525</v>
      </c>
      <c r="P589">
        <v>0</v>
      </c>
      <c r="Q589">
        <v>1</v>
      </c>
      <c r="R589" t="s">
        <v>32526</v>
      </c>
      <c r="S589" t="s">
        <v>32547</v>
      </c>
      <c r="T589" t="s">
        <v>33183</v>
      </c>
      <c r="U589" t="s">
        <v>34149</v>
      </c>
      <c r="W589" t="s">
        <v>29696</v>
      </c>
      <c r="X589" t="s">
        <v>32527</v>
      </c>
    </row>
    <row r="590" spans="1:24">
      <c r="A590">
        <f>HYPERLINK("https://www.philgeps.gov.ph/GEPSNONPILOT/Tender/SplashBidNoticeAbstractUI.aspx?menuIndex=3&amp;refID=7044749&amp;Result=3","7044749")</f>
        <v>0</v>
      </c>
      <c r="B590" t="s">
        <v>271</v>
      </c>
      <c r="C590" t="s">
        <v>3242</v>
      </c>
      <c r="D590" t="s">
        <v>12999</v>
      </c>
      <c r="E590" t="s">
        <v>13487</v>
      </c>
      <c r="F590" t="s">
        <v>22436</v>
      </c>
      <c r="G590" t="s">
        <v>22446</v>
      </c>
      <c r="H590" t="s">
        <v>22452</v>
      </c>
      <c r="I590" t="s">
        <v>6421</v>
      </c>
      <c r="J590" t="s">
        <v>22695</v>
      </c>
      <c r="K590" t="s">
        <v>29336</v>
      </c>
      <c r="M590" t="s">
        <v>29845</v>
      </c>
      <c r="N590" t="s">
        <v>32524</v>
      </c>
      <c r="O590" t="s">
        <v>32525</v>
      </c>
      <c r="P590">
        <v>0</v>
      </c>
      <c r="Q590">
        <v>0</v>
      </c>
      <c r="R590" t="s">
        <v>32526</v>
      </c>
      <c r="S590" t="s">
        <v>32547</v>
      </c>
      <c r="T590" t="s">
        <v>33238</v>
      </c>
      <c r="U590" t="s">
        <v>34150</v>
      </c>
      <c r="W590" t="s">
        <v>29845</v>
      </c>
      <c r="X590" t="s">
        <v>32527</v>
      </c>
    </row>
    <row r="591" spans="1:24">
      <c r="A591">
        <f>HYPERLINK("https://www.philgeps.gov.ph/GEPSNONPILOT/Tender/SplashBidNoticeAbstractUI.aspx?menuIndex=3&amp;refID=7044771&amp;Result=3","7044771")</f>
        <v>0</v>
      </c>
      <c r="B591" t="s">
        <v>200</v>
      </c>
      <c r="C591" t="s">
        <v>3243</v>
      </c>
      <c r="D591" t="s">
        <v>13037</v>
      </c>
      <c r="E591" t="s">
        <v>13638</v>
      </c>
      <c r="F591" t="s">
        <v>22436</v>
      </c>
      <c r="G591" t="s">
        <v>22443</v>
      </c>
      <c r="H591" t="s">
        <v>22452</v>
      </c>
      <c r="I591" t="s">
        <v>3529</v>
      </c>
      <c r="J591" t="s">
        <v>23077</v>
      </c>
      <c r="K591" t="s">
        <v>29330</v>
      </c>
      <c r="M591" t="s">
        <v>29773</v>
      </c>
      <c r="N591" t="s">
        <v>32524</v>
      </c>
      <c r="O591" t="s">
        <v>32525</v>
      </c>
      <c r="P591">
        <v>0</v>
      </c>
      <c r="Q591">
        <v>0</v>
      </c>
      <c r="R591" t="s">
        <v>32526</v>
      </c>
      <c r="S591" t="s">
        <v>32547</v>
      </c>
      <c r="T591" t="s">
        <v>33161</v>
      </c>
      <c r="U591" t="s">
        <v>34151</v>
      </c>
      <c r="W591" t="s">
        <v>29773</v>
      </c>
      <c r="X591" t="s">
        <v>32527</v>
      </c>
    </row>
    <row r="592" spans="1:24">
      <c r="A592">
        <f>HYPERLINK("https://www.philgeps.gov.ph/GEPSNONPILOT/Tender/SplashBidNoticeAbstractUI.aspx?menuIndex=3&amp;refID=7044770&amp;Result=3","7044770")</f>
        <v>0</v>
      </c>
      <c r="B592" t="s">
        <v>154</v>
      </c>
      <c r="C592" t="s">
        <v>3244</v>
      </c>
      <c r="D592" t="s">
        <v>13029</v>
      </c>
      <c r="E592" t="s">
        <v>13639</v>
      </c>
      <c r="F592" t="s">
        <v>22436</v>
      </c>
      <c r="G592" t="s">
        <v>22446</v>
      </c>
      <c r="H592" t="s">
        <v>22454</v>
      </c>
      <c r="I592" t="s">
        <v>7738</v>
      </c>
      <c r="J592" t="s">
        <v>23078</v>
      </c>
      <c r="K592" t="s">
        <v>29331</v>
      </c>
      <c r="M592" t="s">
        <v>29726</v>
      </c>
      <c r="N592" t="s">
        <v>32524</v>
      </c>
      <c r="O592" t="s">
        <v>32525</v>
      </c>
      <c r="P592">
        <v>0</v>
      </c>
      <c r="Q592">
        <v>0</v>
      </c>
      <c r="R592" t="s">
        <v>32526</v>
      </c>
      <c r="S592" t="s">
        <v>32547</v>
      </c>
      <c r="T592" t="s">
        <v>33168</v>
      </c>
      <c r="U592" t="s">
        <v>33914</v>
      </c>
      <c r="W592" t="s">
        <v>29726</v>
      </c>
      <c r="X592" t="s">
        <v>32527</v>
      </c>
    </row>
    <row r="593" spans="1:24">
      <c r="A593">
        <f>HYPERLINK("https://www.philgeps.gov.ph/GEPSNONPILOT/Tender/SplashBidNoticeAbstractUI.aspx?menuIndex=3&amp;refID=7044752&amp;Result=3","7044752")</f>
        <v>0</v>
      </c>
      <c r="B593" t="s">
        <v>272</v>
      </c>
      <c r="C593" t="s">
        <v>3245</v>
      </c>
      <c r="D593" t="s">
        <v>13018</v>
      </c>
      <c r="E593" t="s">
        <v>13640</v>
      </c>
      <c r="F593" t="s">
        <v>22436</v>
      </c>
      <c r="G593" t="s">
        <v>22443</v>
      </c>
      <c r="H593" t="s">
        <v>22452</v>
      </c>
      <c r="I593" t="s">
        <v>2981</v>
      </c>
      <c r="J593" t="s">
        <v>23079</v>
      </c>
      <c r="K593" t="s">
        <v>29337</v>
      </c>
      <c r="M593" t="s">
        <v>29846</v>
      </c>
      <c r="N593" t="s">
        <v>32524</v>
      </c>
      <c r="O593" t="s">
        <v>32525</v>
      </c>
      <c r="P593">
        <v>0</v>
      </c>
      <c r="Q593">
        <v>1</v>
      </c>
      <c r="R593" t="s">
        <v>32526</v>
      </c>
      <c r="S593" t="s">
        <v>32547</v>
      </c>
      <c r="T593" t="s">
        <v>33181</v>
      </c>
      <c r="U593" t="s">
        <v>34152</v>
      </c>
      <c r="W593" t="s">
        <v>29846</v>
      </c>
      <c r="X593" t="s">
        <v>32527</v>
      </c>
    </row>
    <row r="594" spans="1:24">
      <c r="A594">
        <f>HYPERLINK("https://www.philgeps.gov.ph/GEPSNONPILOT/Tender/SplashBidNoticeAbstractUI.aspx?menuIndex=3&amp;refID=7044764&amp;Result=3","7044764")</f>
        <v>0</v>
      </c>
      <c r="B594" t="s">
        <v>273</v>
      </c>
      <c r="C594" t="s">
        <v>3246</v>
      </c>
      <c r="D594" t="s">
        <v>13002</v>
      </c>
      <c r="E594" t="s">
        <v>13641</v>
      </c>
      <c r="F594" t="s">
        <v>22436</v>
      </c>
      <c r="G594" t="s">
        <v>22444</v>
      </c>
      <c r="H594" t="s">
        <v>22452</v>
      </c>
      <c r="I594" t="s">
        <v>22471</v>
      </c>
      <c r="J594" t="s">
        <v>23080</v>
      </c>
      <c r="K594" t="s">
        <v>29338</v>
      </c>
      <c r="M594" t="s">
        <v>29847</v>
      </c>
      <c r="N594" t="s">
        <v>32524</v>
      </c>
      <c r="O594" t="s">
        <v>32525</v>
      </c>
      <c r="P594">
        <v>0</v>
      </c>
      <c r="Q594">
        <v>0</v>
      </c>
      <c r="R594" t="s">
        <v>32526</v>
      </c>
      <c r="S594" t="s">
        <v>32547</v>
      </c>
      <c r="T594" t="s">
        <v>33233</v>
      </c>
      <c r="U594" t="s">
        <v>34153</v>
      </c>
      <c r="W594" t="s">
        <v>29847</v>
      </c>
      <c r="X594" t="s">
        <v>32527</v>
      </c>
    </row>
    <row r="595" spans="1:24">
      <c r="A595">
        <f>HYPERLINK("https://www.philgeps.gov.ph/GEPSNONPILOT/Tender/SplashBidNoticeAbstractUI.aspx?menuIndex=3&amp;refID=7044766&amp;Result=3","7044766")</f>
        <v>0</v>
      </c>
      <c r="B595" t="s">
        <v>166</v>
      </c>
      <c r="C595" t="s">
        <v>3247</v>
      </c>
      <c r="E595" t="s">
        <v>13642</v>
      </c>
      <c r="F595" t="s">
        <v>22436</v>
      </c>
      <c r="G595" t="s">
        <v>22443</v>
      </c>
      <c r="H595" t="s">
        <v>22452</v>
      </c>
      <c r="I595" t="s">
        <v>22492</v>
      </c>
      <c r="J595" t="s">
        <v>23081</v>
      </c>
      <c r="K595" t="s">
        <v>29338</v>
      </c>
      <c r="M595" t="s">
        <v>29738</v>
      </c>
      <c r="N595" t="s">
        <v>32524</v>
      </c>
      <c r="O595" t="s">
        <v>32525</v>
      </c>
      <c r="P595">
        <v>0</v>
      </c>
      <c r="Q595">
        <v>0</v>
      </c>
      <c r="R595" t="s">
        <v>32526</v>
      </c>
      <c r="S595" t="s">
        <v>32547</v>
      </c>
      <c r="T595" t="s">
        <v>33161</v>
      </c>
      <c r="U595" t="s">
        <v>34154</v>
      </c>
      <c r="W595" t="s">
        <v>29738</v>
      </c>
      <c r="X595" t="s">
        <v>32527</v>
      </c>
    </row>
    <row r="596" spans="1:24">
      <c r="A596">
        <f>HYPERLINK("https://www.philgeps.gov.ph/GEPSNONPILOT/Tender/SplashBidNoticeAbstractUI.aspx?menuIndex=3&amp;refID=7044763&amp;Result=3","7044763")</f>
        <v>0</v>
      </c>
      <c r="B596" t="s">
        <v>198</v>
      </c>
      <c r="C596" t="s">
        <v>3248</v>
      </c>
      <c r="D596" t="s">
        <v>13002</v>
      </c>
      <c r="E596" t="s">
        <v>13643</v>
      </c>
      <c r="F596" t="s">
        <v>22436</v>
      </c>
      <c r="G596" t="s">
        <v>22443</v>
      </c>
      <c r="H596" t="s">
        <v>22452</v>
      </c>
      <c r="I596" t="s">
        <v>22489</v>
      </c>
      <c r="J596" t="s">
        <v>23082</v>
      </c>
      <c r="K596" t="s">
        <v>29335</v>
      </c>
      <c r="M596" t="s">
        <v>29771</v>
      </c>
      <c r="N596" t="s">
        <v>32524</v>
      </c>
      <c r="O596" t="s">
        <v>32525</v>
      </c>
      <c r="P596">
        <v>0</v>
      </c>
      <c r="Q596">
        <v>1</v>
      </c>
      <c r="R596" t="s">
        <v>32526</v>
      </c>
      <c r="S596" t="s">
        <v>32547</v>
      </c>
      <c r="T596" t="s">
        <v>33235</v>
      </c>
      <c r="U596" t="s">
        <v>34155</v>
      </c>
      <c r="W596" t="s">
        <v>29771</v>
      </c>
      <c r="X596" t="s">
        <v>32527</v>
      </c>
    </row>
    <row r="597" spans="1:24">
      <c r="A597">
        <f>HYPERLINK("https://www.philgeps.gov.ph/GEPSNONPILOT/Tender/SplashBidNoticeAbstractUI.aspx?menuIndex=3&amp;refID=7044757&amp;Result=3","7044757")</f>
        <v>0</v>
      </c>
      <c r="B597" t="s">
        <v>274</v>
      </c>
      <c r="C597" t="s">
        <v>3249</v>
      </c>
      <c r="D597" t="s">
        <v>13015</v>
      </c>
      <c r="E597" t="s">
        <v>13644</v>
      </c>
      <c r="F597" t="s">
        <v>22436</v>
      </c>
      <c r="G597" t="s">
        <v>22444</v>
      </c>
      <c r="H597" t="s">
        <v>22452</v>
      </c>
      <c r="I597" t="s">
        <v>5194</v>
      </c>
      <c r="J597" t="s">
        <v>23083</v>
      </c>
      <c r="K597" t="s">
        <v>29331</v>
      </c>
      <c r="M597" t="s">
        <v>29848</v>
      </c>
      <c r="N597" t="s">
        <v>32524</v>
      </c>
      <c r="O597" t="s">
        <v>32525</v>
      </c>
      <c r="P597">
        <v>0</v>
      </c>
      <c r="Q597">
        <v>0</v>
      </c>
      <c r="R597" t="s">
        <v>32526</v>
      </c>
      <c r="S597" t="s">
        <v>32547</v>
      </c>
      <c r="T597" t="s">
        <v>33177</v>
      </c>
      <c r="U597" t="s">
        <v>34156</v>
      </c>
      <c r="W597" t="s">
        <v>29848</v>
      </c>
      <c r="X597" t="s">
        <v>32527</v>
      </c>
    </row>
    <row r="598" spans="1:24">
      <c r="A598">
        <f>HYPERLINK("https://www.philgeps.gov.ph/GEPSNONPILOT/Tender/SplashBidNoticeAbstractUI.aspx?menuIndex=3&amp;refID=7044779&amp;Result=3","7044779")</f>
        <v>0</v>
      </c>
      <c r="B598" t="s">
        <v>240</v>
      </c>
      <c r="C598" t="s">
        <v>3250</v>
      </c>
      <c r="D598" t="s">
        <v>12988</v>
      </c>
      <c r="E598" t="s">
        <v>13645</v>
      </c>
      <c r="F598" t="s">
        <v>22436</v>
      </c>
      <c r="G598" t="s">
        <v>22444</v>
      </c>
      <c r="H598" t="s">
        <v>22452</v>
      </c>
      <c r="I598" t="s">
        <v>22504</v>
      </c>
      <c r="J598" t="s">
        <v>22960</v>
      </c>
      <c r="K598" t="s">
        <v>29335</v>
      </c>
      <c r="M598" t="s">
        <v>29814</v>
      </c>
      <c r="N598" t="s">
        <v>32524</v>
      </c>
      <c r="O598" t="s">
        <v>32525</v>
      </c>
      <c r="P598">
        <v>0</v>
      </c>
      <c r="Q598">
        <v>5</v>
      </c>
      <c r="R598" t="s">
        <v>32526</v>
      </c>
      <c r="S598" t="s">
        <v>32547</v>
      </c>
      <c r="T598" t="s">
        <v>33246</v>
      </c>
      <c r="U598" t="s">
        <v>34157</v>
      </c>
      <c r="V598" t="s">
        <v>42478</v>
      </c>
      <c r="W598" t="s">
        <v>29814</v>
      </c>
      <c r="X598" t="s">
        <v>32527</v>
      </c>
    </row>
    <row r="599" spans="1:24">
      <c r="A599">
        <f>HYPERLINK("https://www.philgeps.gov.ph/GEPSNONPILOT/Tender/SplashBidNoticeAbstractUI.aspx?menuIndex=3&amp;refID=7044769&amp;Result=3","7044769")</f>
        <v>0</v>
      </c>
      <c r="B599" t="s">
        <v>275</v>
      </c>
      <c r="C599" t="s">
        <v>3251</v>
      </c>
      <c r="E599" t="s">
        <v>13646</v>
      </c>
      <c r="F599" t="s">
        <v>22436</v>
      </c>
      <c r="G599" t="s">
        <v>22443</v>
      </c>
      <c r="H599" t="s">
        <v>22452</v>
      </c>
      <c r="I599" t="s">
        <v>3027</v>
      </c>
      <c r="J599" t="s">
        <v>23084</v>
      </c>
      <c r="K599" t="s">
        <v>29338</v>
      </c>
      <c r="M599" t="s">
        <v>29849</v>
      </c>
      <c r="N599" t="s">
        <v>32524</v>
      </c>
      <c r="O599" t="s">
        <v>32525</v>
      </c>
      <c r="P599">
        <v>0</v>
      </c>
      <c r="Q599">
        <v>0</v>
      </c>
      <c r="R599" t="s">
        <v>32526</v>
      </c>
      <c r="S599" t="s">
        <v>32547</v>
      </c>
      <c r="T599" t="s">
        <v>33250</v>
      </c>
      <c r="U599" t="s">
        <v>34158</v>
      </c>
      <c r="V599" t="s">
        <v>42484</v>
      </c>
      <c r="W599" t="s">
        <v>29849</v>
      </c>
      <c r="X599" t="s">
        <v>32527</v>
      </c>
    </row>
    <row r="600" spans="1:24">
      <c r="A600">
        <f>HYPERLINK("https://www.philgeps.gov.ph/GEPSNONPILOT/Tender/SplashBidNoticeAbstractUI.aspx?menuIndex=3&amp;refID=7044756&amp;Result=3","7044756")</f>
        <v>0</v>
      </c>
      <c r="B600" t="s">
        <v>233</v>
      </c>
      <c r="C600" t="s">
        <v>3252</v>
      </c>
      <c r="D600" t="s">
        <v>13000</v>
      </c>
      <c r="E600" t="s">
        <v>13647</v>
      </c>
      <c r="F600" t="s">
        <v>22436</v>
      </c>
      <c r="G600" t="s">
        <v>22443</v>
      </c>
      <c r="H600" t="s">
        <v>22452</v>
      </c>
      <c r="I600" t="s">
        <v>3529</v>
      </c>
      <c r="J600" t="s">
        <v>23068</v>
      </c>
      <c r="K600" t="s">
        <v>29356</v>
      </c>
      <c r="M600" t="s">
        <v>29806</v>
      </c>
      <c r="N600" t="s">
        <v>32524</v>
      </c>
      <c r="O600" t="s">
        <v>32525</v>
      </c>
      <c r="P600">
        <v>0</v>
      </c>
      <c r="Q600">
        <v>0</v>
      </c>
      <c r="R600" t="s">
        <v>32526</v>
      </c>
      <c r="S600" t="s">
        <v>32547</v>
      </c>
      <c r="T600" t="s">
        <v>33163</v>
      </c>
      <c r="U600" t="s">
        <v>34159</v>
      </c>
      <c r="W600" t="s">
        <v>29806</v>
      </c>
      <c r="X600" t="s">
        <v>32527</v>
      </c>
    </row>
    <row r="601" spans="1:24">
      <c r="A601">
        <f>HYPERLINK("https://www.philgeps.gov.ph/GEPSNONPILOT/Tender/SplashBidNoticeAbstractUI.aspx?menuIndex=3&amp;refID=7044774&amp;Result=3","7044774")</f>
        <v>0</v>
      </c>
      <c r="B601" t="s">
        <v>38</v>
      </c>
      <c r="C601" t="s">
        <v>3253</v>
      </c>
      <c r="D601" t="s">
        <v>13000</v>
      </c>
      <c r="E601" t="s">
        <v>13503</v>
      </c>
      <c r="F601" t="s">
        <v>22436</v>
      </c>
      <c r="G601" t="s">
        <v>22444</v>
      </c>
      <c r="H601" t="s">
        <v>22454</v>
      </c>
      <c r="I601" t="s">
        <v>7738</v>
      </c>
      <c r="J601" t="s">
        <v>23085</v>
      </c>
      <c r="K601" t="s">
        <v>29374</v>
      </c>
      <c r="M601" t="s">
        <v>29608</v>
      </c>
      <c r="N601" t="s">
        <v>32524</v>
      </c>
      <c r="O601" t="s">
        <v>32525</v>
      </c>
      <c r="P601">
        <v>0</v>
      </c>
      <c r="Q601">
        <v>1</v>
      </c>
      <c r="R601" t="s">
        <v>32526</v>
      </c>
      <c r="S601" t="s">
        <v>32547</v>
      </c>
      <c r="T601" t="s">
        <v>33163</v>
      </c>
      <c r="U601" t="s">
        <v>34160</v>
      </c>
      <c r="W601" t="s">
        <v>29608</v>
      </c>
      <c r="X601" t="s">
        <v>32527</v>
      </c>
    </row>
    <row r="602" spans="1:24">
      <c r="A602">
        <f>HYPERLINK("https://www.philgeps.gov.ph/GEPSNONPILOT/Tender/SplashBidNoticeAbstractUI.aspx?menuIndex=3&amp;refID=7044772&amp;Result=3","7044772")</f>
        <v>0</v>
      </c>
      <c r="B602" t="s">
        <v>199</v>
      </c>
      <c r="C602" t="s">
        <v>3254</v>
      </c>
      <c r="D602" t="s">
        <v>13009</v>
      </c>
      <c r="E602" t="s">
        <v>13648</v>
      </c>
      <c r="F602" t="s">
        <v>22436</v>
      </c>
      <c r="G602" t="s">
        <v>22447</v>
      </c>
      <c r="H602" t="s">
        <v>22452</v>
      </c>
      <c r="I602" t="s">
        <v>3827</v>
      </c>
      <c r="J602" t="s">
        <v>22588</v>
      </c>
      <c r="K602" t="s">
        <v>29338</v>
      </c>
      <c r="M602" t="s">
        <v>29772</v>
      </c>
      <c r="N602" t="s">
        <v>32524</v>
      </c>
      <c r="O602" t="s">
        <v>32525</v>
      </c>
      <c r="P602">
        <v>0</v>
      </c>
      <c r="Q602">
        <v>0</v>
      </c>
      <c r="R602" t="s">
        <v>32526</v>
      </c>
      <c r="S602" t="s">
        <v>32547</v>
      </c>
      <c r="T602" t="s">
        <v>33181</v>
      </c>
      <c r="U602" t="s">
        <v>34161</v>
      </c>
      <c r="W602" t="s">
        <v>29772</v>
      </c>
      <c r="X602" t="s">
        <v>32527</v>
      </c>
    </row>
    <row r="603" spans="1:24">
      <c r="A603">
        <f>HYPERLINK("https://www.philgeps.gov.ph/GEPSNONPILOT/Tender/SplashBidNoticeAbstractUI.aspx?menuIndex=3&amp;refID=7044778&amp;Result=3","7044778")</f>
        <v>0</v>
      </c>
      <c r="B603" t="s">
        <v>114</v>
      </c>
      <c r="C603" t="s">
        <v>3255</v>
      </c>
      <c r="D603" t="s">
        <v>12999</v>
      </c>
      <c r="E603" t="s">
        <v>13649</v>
      </c>
      <c r="F603" t="s">
        <v>22436</v>
      </c>
      <c r="G603" t="s">
        <v>22443</v>
      </c>
      <c r="H603" t="s">
        <v>22454</v>
      </c>
      <c r="I603" t="s">
        <v>7738</v>
      </c>
      <c r="J603" t="s">
        <v>22788</v>
      </c>
      <c r="K603" t="s">
        <v>29338</v>
      </c>
      <c r="M603" t="s">
        <v>29686</v>
      </c>
      <c r="N603" t="s">
        <v>32524</v>
      </c>
      <c r="O603" t="s">
        <v>32525</v>
      </c>
      <c r="P603">
        <v>0</v>
      </c>
      <c r="Q603">
        <v>0</v>
      </c>
      <c r="R603" t="s">
        <v>32526</v>
      </c>
      <c r="S603" t="s">
        <v>32547</v>
      </c>
      <c r="T603" t="s">
        <v>33154</v>
      </c>
      <c r="U603" t="s">
        <v>33861</v>
      </c>
      <c r="W603" t="s">
        <v>29686</v>
      </c>
      <c r="X603" t="s">
        <v>32527</v>
      </c>
    </row>
    <row r="604" spans="1:24">
      <c r="A604">
        <f>HYPERLINK("https://www.philgeps.gov.ph/GEPSNONPILOT/Tender/SplashBidNoticeAbstractUI.aspx?menuIndex=3&amp;refID=7044760&amp;Result=3","7044760")</f>
        <v>0</v>
      </c>
      <c r="B604" t="s">
        <v>276</v>
      </c>
      <c r="C604" t="s">
        <v>3256</v>
      </c>
      <c r="D604" t="s">
        <v>13012</v>
      </c>
      <c r="E604" t="s">
        <v>13487</v>
      </c>
      <c r="F604" t="s">
        <v>22436</v>
      </c>
      <c r="G604" t="s">
        <v>22443</v>
      </c>
      <c r="H604" t="s">
        <v>22452</v>
      </c>
      <c r="I604" t="s">
        <v>6421</v>
      </c>
      <c r="J604" t="s">
        <v>23086</v>
      </c>
      <c r="K604" t="s">
        <v>29356</v>
      </c>
      <c r="M604" t="s">
        <v>29850</v>
      </c>
      <c r="N604" t="s">
        <v>32524</v>
      </c>
      <c r="O604" t="s">
        <v>32525</v>
      </c>
      <c r="P604">
        <v>0</v>
      </c>
      <c r="Q604">
        <v>2</v>
      </c>
      <c r="R604" t="s">
        <v>32526</v>
      </c>
      <c r="S604" t="s">
        <v>32547</v>
      </c>
      <c r="T604" t="s">
        <v>33250</v>
      </c>
      <c r="U604" t="s">
        <v>34162</v>
      </c>
      <c r="W604" t="s">
        <v>29850</v>
      </c>
      <c r="X604" t="s">
        <v>32527</v>
      </c>
    </row>
    <row r="605" spans="1:24">
      <c r="A605">
        <f>HYPERLINK("https://www.philgeps.gov.ph/GEPSNONPILOT/Tender/SplashBidNoticeAbstractUI.aspx?menuIndex=3&amp;refID=7044792&amp;Result=3","7044792")</f>
        <v>0</v>
      </c>
      <c r="B605" t="s">
        <v>277</v>
      </c>
      <c r="C605" t="s">
        <v>3257</v>
      </c>
      <c r="E605" t="s">
        <v>13650</v>
      </c>
      <c r="F605" t="s">
        <v>22436</v>
      </c>
      <c r="G605" t="s">
        <v>22443</v>
      </c>
      <c r="H605" t="s">
        <v>22453</v>
      </c>
      <c r="I605" t="s">
        <v>22468</v>
      </c>
      <c r="J605" t="s">
        <v>22747</v>
      </c>
      <c r="K605" t="s">
        <v>29334</v>
      </c>
      <c r="M605" t="s">
        <v>29851</v>
      </c>
      <c r="N605" t="s">
        <v>32524</v>
      </c>
      <c r="O605" t="s">
        <v>32525</v>
      </c>
      <c r="P605">
        <v>0</v>
      </c>
      <c r="Q605">
        <v>3</v>
      </c>
      <c r="R605" t="s">
        <v>32526</v>
      </c>
      <c r="S605" t="s">
        <v>32547</v>
      </c>
      <c r="T605" t="s">
        <v>33182</v>
      </c>
      <c r="U605" t="s">
        <v>34163</v>
      </c>
      <c r="W605" t="s">
        <v>29851</v>
      </c>
      <c r="X605" t="s">
        <v>32527</v>
      </c>
    </row>
    <row r="606" spans="1:24">
      <c r="A606">
        <f>HYPERLINK("https://www.philgeps.gov.ph/GEPSNONPILOT/Tender/SplashBidNoticeAbstractUI.aspx?menuIndex=3&amp;refID=7044789&amp;Result=3","7044789")</f>
        <v>0</v>
      </c>
      <c r="B606" t="s">
        <v>278</v>
      </c>
      <c r="C606" t="s">
        <v>3258</v>
      </c>
      <c r="E606" t="s">
        <v>13651</v>
      </c>
      <c r="F606" t="s">
        <v>22436</v>
      </c>
      <c r="G606" t="s">
        <v>22443</v>
      </c>
      <c r="H606" t="s">
        <v>22452</v>
      </c>
      <c r="I606" t="s">
        <v>5194</v>
      </c>
      <c r="J606" t="s">
        <v>23087</v>
      </c>
      <c r="K606" t="s">
        <v>29338</v>
      </c>
      <c r="M606" t="s">
        <v>29852</v>
      </c>
      <c r="N606" t="s">
        <v>32524</v>
      </c>
      <c r="O606" t="s">
        <v>32525</v>
      </c>
      <c r="P606">
        <v>0</v>
      </c>
      <c r="Q606">
        <v>2</v>
      </c>
      <c r="R606" t="s">
        <v>32526</v>
      </c>
      <c r="S606" t="s">
        <v>32547</v>
      </c>
      <c r="T606" t="s">
        <v>33167</v>
      </c>
      <c r="U606" t="s">
        <v>34164</v>
      </c>
      <c r="V606" t="s">
        <v>42485</v>
      </c>
      <c r="W606" t="s">
        <v>29852</v>
      </c>
      <c r="X606" t="s">
        <v>32527</v>
      </c>
    </row>
    <row r="607" spans="1:24">
      <c r="A607">
        <f>HYPERLINK("https://www.philgeps.gov.ph/GEPSNONPILOT/Tender/SplashBidNoticeAbstractUI.aspx?menuIndex=3&amp;refID=7044762&amp;Result=3","7044762")</f>
        <v>0</v>
      </c>
      <c r="B607" t="s">
        <v>179</v>
      </c>
      <c r="C607" t="s">
        <v>3259</v>
      </c>
      <c r="D607" t="s">
        <v>12990</v>
      </c>
      <c r="E607" t="s">
        <v>13652</v>
      </c>
      <c r="F607" t="s">
        <v>22437</v>
      </c>
      <c r="G607" t="s">
        <v>22446</v>
      </c>
      <c r="H607" t="s">
        <v>22452</v>
      </c>
      <c r="I607" t="s">
        <v>3529</v>
      </c>
      <c r="J607" t="s">
        <v>23088</v>
      </c>
      <c r="K607" t="s">
        <v>29340</v>
      </c>
      <c r="M607" t="s">
        <v>29751</v>
      </c>
      <c r="N607" t="s">
        <v>32524</v>
      </c>
      <c r="O607" t="s">
        <v>32525</v>
      </c>
      <c r="P607">
        <v>0</v>
      </c>
      <c r="Q607">
        <v>0</v>
      </c>
      <c r="R607" t="s">
        <v>32526</v>
      </c>
      <c r="S607" t="s">
        <v>32547</v>
      </c>
      <c r="T607" t="s">
        <v>33254</v>
      </c>
      <c r="U607" t="s">
        <v>34165</v>
      </c>
      <c r="W607" t="s">
        <v>29751</v>
      </c>
      <c r="X607" t="s">
        <v>32527</v>
      </c>
    </row>
    <row r="608" spans="1:24">
      <c r="A608">
        <f>HYPERLINK("https://www.philgeps.gov.ph/GEPSNONPILOT/Tender/SplashBidNoticeAbstractUI.aspx?menuIndex=3&amp;refID=7044790&amp;Result=3","7044790")</f>
        <v>0</v>
      </c>
      <c r="B608" t="s">
        <v>200</v>
      </c>
      <c r="C608" t="s">
        <v>3260</v>
      </c>
      <c r="D608" t="s">
        <v>13037</v>
      </c>
      <c r="E608" t="s">
        <v>13653</v>
      </c>
      <c r="F608" t="s">
        <v>22436</v>
      </c>
      <c r="G608" t="s">
        <v>22443</v>
      </c>
      <c r="H608" t="s">
        <v>22452</v>
      </c>
      <c r="I608" t="s">
        <v>3529</v>
      </c>
      <c r="J608" t="s">
        <v>23089</v>
      </c>
      <c r="K608" t="s">
        <v>29330</v>
      </c>
      <c r="M608" t="s">
        <v>29773</v>
      </c>
      <c r="N608" t="s">
        <v>32524</v>
      </c>
      <c r="O608" t="s">
        <v>32525</v>
      </c>
      <c r="P608">
        <v>0</v>
      </c>
      <c r="Q608">
        <v>0</v>
      </c>
      <c r="R608" t="s">
        <v>32526</v>
      </c>
      <c r="S608" t="s">
        <v>32547</v>
      </c>
      <c r="T608" t="s">
        <v>33161</v>
      </c>
      <c r="U608" t="s">
        <v>34166</v>
      </c>
      <c r="W608" t="s">
        <v>29773</v>
      </c>
      <c r="X608" t="s">
        <v>32527</v>
      </c>
    </row>
    <row r="609" spans="1:24">
      <c r="A609">
        <f>HYPERLINK("https://www.philgeps.gov.ph/GEPSNONPILOT/Tender/SplashBidNoticeAbstractUI.aspx?menuIndex=3&amp;refID=7044796&amp;Result=3","7044796")</f>
        <v>0</v>
      </c>
      <c r="B609" t="s">
        <v>279</v>
      </c>
      <c r="C609" t="s">
        <v>3261</v>
      </c>
      <c r="D609" t="s">
        <v>13010</v>
      </c>
      <c r="E609" t="s">
        <v>13654</v>
      </c>
      <c r="F609" t="s">
        <v>22436</v>
      </c>
      <c r="G609" t="s">
        <v>22443</v>
      </c>
      <c r="H609" t="s">
        <v>22452</v>
      </c>
      <c r="I609" t="s">
        <v>3027</v>
      </c>
      <c r="J609" t="s">
        <v>23090</v>
      </c>
      <c r="K609" t="s">
        <v>29336</v>
      </c>
      <c r="M609" t="s">
        <v>29853</v>
      </c>
      <c r="N609" t="s">
        <v>32524</v>
      </c>
      <c r="O609" t="s">
        <v>32525</v>
      </c>
      <c r="P609">
        <v>0</v>
      </c>
      <c r="Q609">
        <v>0</v>
      </c>
      <c r="R609" t="s">
        <v>32526</v>
      </c>
      <c r="S609" t="s">
        <v>32547</v>
      </c>
      <c r="T609" t="s">
        <v>33181</v>
      </c>
      <c r="U609" t="s">
        <v>34167</v>
      </c>
      <c r="W609" t="s">
        <v>29853</v>
      </c>
      <c r="X609" t="s">
        <v>32527</v>
      </c>
    </row>
    <row r="610" spans="1:24">
      <c r="A610">
        <f>HYPERLINK("https://www.philgeps.gov.ph/GEPSNONPILOT/Tender/SplashBidNoticeAbstractUI.aspx?menuIndex=3&amp;refID=7044794&amp;Result=3","7044794")</f>
        <v>0</v>
      </c>
      <c r="B610" t="s">
        <v>224</v>
      </c>
      <c r="C610" t="s">
        <v>3262</v>
      </c>
      <c r="D610" t="s">
        <v>13018</v>
      </c>
      <c r="E610" t="s">
        <v>13655</v>
      </c>
      <c r="F610" t="s">
        <v>22436</v>
      </c>
      <c r="G610" t="s">
        <v>22444</v>
      </c>
      <c r="H610" t="s">
        <v>22454</v>
      </c>
      <c r="I610" t="s">
        <v>3529</v>
      </c>
      <c r="J610" t="s">
        <v>23091</v>
      </c>
      <c r="K610" t="s">
        <v>29331</v>
      </c>
      <c r="M610" t="s">
        <v>29797</v>
      </c>
      <c r="N610" t="s">
        <v>32524</v>
      </c>
      <c r="O610" t="s">
        <v>32525</v>
      </c>
      <c r="P610">
        <v>0</v>
      </c>
      <c r="Q610">
        <v>0</v>
      </c>
      <c r="R610" t="s">
        <v>32526</v>
      </c>
      <c r="S610" t="s">
        <v>32547</v>
      </c>
      <c r="T610" t="s">
        <v>33166</v>
      </c>
      <c r="U610" t="s">
        <v>34168</v>
      </c>
      <c r="W610" t="s">
        <v>29797</v>
      </c>
      <c r="X610" t="s">
        <v>32527</v>
      </c>
    </row>
    <row r="611" spans="1:24">
      <c r="A611">
        <f>HYPERLINK("https://www.philgeps.gov.ph/GEPSNONPILOT/Tender/SplashBidNoticeAbstractUI.aspx?menuIndex=3&amp;refID=7044797&amp;Result=3","7044797")</f>
        <v>0</v>
      </c>
      <c r="B611" t="s">
        <v>280</v>
      </c>
      <c r="C611" t="s">
        <v>3263</v>
      </c>
      <c r="D611" t="s">
        <v>13055</v>
      </c>
      <c r="E611" t="s">
        <v>13656</v>
      </c>
      <c r="F611" t="s">
        <v>22436</v>
      </c>
      <c r="G611" t="s">
        <v>22443</v>
      </c>
      <c r="H611" t="s">
        <v>22452</v>
      </c>
      <c r="I611" t="s">
        <v>12358</v>
      </c>
      <c r="J611" t="s">
        <v>23092</v>
      </c>
      <c r="K611" t="s">
        <v>29336</v>
      </c>
      <c r="M611" t="s">
        <v>29854</v>
      </c>
      <c r="N611" t="s">
        <v>32524</v>
      </c>
      <c r="O611" t="s">
        <v>32525</v>
      </c>
      <c r="P611">
        <v>0</v>
      </c>
      <c r="Q611">
        <v>2</v>
      </c>
      <c r="R611" t="s">
        <v>32526</v>
      </c>
      <c r="S611" t="s">
        <v>32547</v>
      </c>
      <c r="T611" t="s">
        <v>33181</v>
      </c>
      <c r="U611" t="s">
        <v>34169</v>
      </c>
      <c r="V611" t="s">
        <v>42486</v>
      </c>
      <c r="W611" t="s">
        <v>29854</v>
      </c>
      <c r="X611" t="s">
        <v>32527</v>
      </c>
    </row>
    <row r="612" spans="1:24">
      <c r="A612">
        <f>HYPERLINK("https://www.philgeps.gov.ph/GEPSNONPILOT/Tender/SplashBidNoticeAbstractUI.aspx?menuIndex=3&amp;refID=7044793&amp;Result=3","7044793")</f>
        <v>0</v>
      </c>
      <c r="B612" t="s">
        <v>281</v>
      </c>
      <c r="C612" t="s">
        <v>3264</v>
      </c>
      <c r="D612" t="s">
        <v>12988</v>
      </c>
      <c r="E612" t="s">
        <v>13657</v>
      </c>
      <c r="F612" t="s">
        <v>22436</v>
      </c>
      <c r="G612" t="s">
        <v>22449</v>
      </c>
      <c r="H612" t="s">
        <v>22455</v>
      </c>
      <c r="I612" t="s">
        <v>22455</v>
      </c>
      <c r="J612" t="s">
        <v>23093</v>
      </c>
      <c r="K612" t="s">
        <v>29375</v>
      </c>
      <c r="M612" t="s">
        <v>29855</v>
      </c>
      <c r="N612" t="s">
        <v>32524</v>
      </c>
      <c r="O612" t="s">
        <v>32525</v>
      </c>
      <c r="P612">
        <v>0</v>
      </c>
      <c r="Q612">
        <v>0</v>
      </c>
      <c r="R612" t="s">
        <v>32526</v>
      </c>
      <c r="S612" t="s">
        <v>32547</v>
      </c>
      <c r="T612" t="s">
        <v>33153</v>
      </c>
      <c r="U612" t="s">
        <v>34170</v>
      </c>
      <c r="V612" t="s">
        <v>42487</v>
      </c>
      <c r="W612" t="s">
        <v>29855</v>
      </c>
      <c r="X612" t="s">
        <v>32527</v>
      </c>
    </row>
    <row r="613" spans="1:24">
      <c r="A613">
        <f>HYPERLINK("https://www.philgeps.gov.ph/GEPSNONPILOT/Tender/SplashBidNoticeAbstractUI.aspx?menuIndex=3&amp;refID=7044786&amp;Result=3","7044786")</f>
        <v>0</v>
      </c>
      <c r="B613" t="s">
        <v>282</v>
      </c>
      <c r="C613" t="s">
        <v>3265</v>
      </c>
      <c r="D613" t="s">
        <v>13002</v>
      </c>
      <c r="E613" t="s">
        <v>13658</v>
      </c>
      <c r="F613" t="s">
        <v>22436</v>
      </c>
      <c r="G613" t="s">
        <v>22443</v>
      </c>
      <c r="H613" t="s">
        <v>22453</v>
      </c>
      <c r="I613" t="s">
        <v>22486</v>
      </c>
      <c r="J613" t="s">
        <v>23094</v>
      </c>
      <c r="K613" t="s">
        <v>29376</v>
      </c>
      <c r="M613" t="s">
        <v>29856</v>
      </c>
      <c r="N613" t="s">
        <v>32524</v>
      </c>
      <c r="O613" t="s">
        <v>32525</v>
      </c>
      <c r="P613">
        <v>0</v>
      </c>
      <c r="Q613">
        <v>0</v>
      </c>
      <c r="R613" t="s">
        <v>32526</v>
      </c>
      <c r="S613" t="s">
        <v>32547</v>
      </c>
      <c r="T613" t="s">
        <v>33167</v>
      </c>
      <c r="U613" t="s">
        <v>34171</v>
      </c>
      <c r="V613" t="s">
        <v>42488</v>
      </c>
      <c r="W613" t="s">
        <v>29856</v>
      </c>
      <c r="X613" t="s">
        <v>32527</v>
      </c>
    </row>
    <row r="614" spans="1:24">
      <c r="A614">
        <f>HYPERLINK("https://www.philgeps.gov.ph/GEPSNONPILOT/Tender/SplashBidNoticeAbstractUI.aspx?menuIndex=3&amp;refID=7044787&amp;Result=3","7044787")</f>
        <v>0</v>
      </c>
      <c r="B614" t="s">
        <v>50</v>
      </c>
      <c r="C614" t="s">
        <v>3266</v>
      </c>
      <c r="D614" t="s">
        <v>13008</v>
      </c>
      <c r="E614" t="s">
        <v>13659</v>
      </c>
      <c r="F614" t="s">
        <v>22436</v>
      </c>
      <c r="G614" t="s">
        <v>22444</v>
      </c>
      <c r="H614" t="s">
        <v>22452</v>
      </c>
      <c r="I614" t="s">
        <v>3827</v>
      </c>
      <c r="J614" t="s">
        <v>23095</v>
      </c>
      <c r="K614" t="s">
        <v>29335</v>
      </c>
      <c r="M614" t="s">
        <v>29622</v>
      </c>
      <c r="N614" t="s">
        <v>32524</v>
      </c>
      <c r="O614" t="s">
        <v>32525</v>
      </c>
      <c r="P614">
        <v>0</v>
      </c>
      <c r="Q614">
        <v>1</v>
      </c>
      <c r="R614" t="s">
        <v>32526</v>
      </c>
      <c r="S614" t="s">
        <v>32547</v>
      </c>
      <c r="T614" t="s">
        <v>33166</v>
      </c>
      <c r="U614" t="s">
        <v>34172</v>
      </c>
      <c r="W614" t="s">
        <v>29622</v>
      </c>
      <c r="X614" t="s">
        <v>32527</v>
      </c>
    </row>
    <row r="615" spans="1:24">
      <c r="A615">
        <f>HYPERLINK("https://www.philgeps.gov.ph/GEPSNONPILOT/Tender/SplashBidNoticeAbstractUI.aspx?menuIndex=3&amp;refID=7044785&amp;Result=3","7044785")</f>
        <v>0</v>
      </c>
      <c r="B615" t="s">
        <v>265</v>
      </c>
      <c r="C615" t="s">
        <v>3267</v>
      </c>
      <c r="D615" t="s">
        <v>13024</v>
      </c>
      <c r="E615" t="s">
        <v>13660</v>
      </c>
      <c r="F615" t="s">
        <v>22437</v>
      </c>
      <c r="G615" t="s">
        <v>22443</v>
      </c>
      <c r="H615" t="s">
        <v>22452</v>
      </c>
      <c r="I615" t="s">
        <v>12358</v>
      </c>
      <c r="J615" t="s">
        <v>23096</v>
      </c>
      <c r="K615" t="s">
        <v>29357</v>
      </c>
      <c r="M615" t="s">
        <v>29839</v>
      </c>
      <c r="N615" t="s">
        <v>32524</v>
      </c>
      <c r="O615" t="s">
        <v>32525</v>
      </c>
      <c r="P615">
        <v>0</v>
      </c>
      <c r="Q615">
        <v>1</v>
      </c>
      <c r="R615" t="s">
        <v>32526</v>
      </c>
      <c r="S615" t="s">
        <v>32547</v>
      </c>
      <c r="T615" t="s">
        <v>33252</v>
      </c>
      <c r="U615" t="s">
        <v>34173</v>
      </c>
      <c r="W615" t="s">
        <v>29839</v>
      </c>
      <c r="X615" t="s">
        <v>32527</v>
      </c>
    </row>
    <row r="616" spans="1:24">
      <c r="A616">
        <f>HYPERLINK("https://www.philgeps.gov.ph/GEPSNONPILOT/Tender/SplashBidNoticeAbstractUI.aspx?menuIndex=3&amp;refID=7044788&amp;Result=3","7044788")</f>
        <v>0</v>
      </c>
      <c r="B616" t="s">
        <v>283</v>
      </c>
      <c r="C616" t="s">
        <v>3268</v>
      </c>
      <c r="D616" t="s">
        <v>13001</v>
      </c>
      <c r="E616" t="s">
        <v>13661</v>
      </c>
      <c r="F616" t="s">
        <v>22436</v>
      </c>
      <c r="G616" t="s">
        <v>22444</v>
      </c>
      <c r="H616" t="s">
        <v>22452</v>
      </c>
      <c r="I616" t="s">
        <v>3529</v>
      </c>
      <c r="J616" t="s">
        <v>22813</v>
      </c>
      <c r="K616" t="s">
        <v>29331</v>
      </c>
      <c r="L616" t="s">
        <v>283</v>
      </c>
      <c r="M616" t="s">
        <v>29857</v>
      </c>
      <c r="N616" t="s">
        <v>32524</v>
      </c>
      <c r="O616" t="s">
        <v>32525</v>
      </c>
      <c r="P616">
        <v>0</v>
      </c>
      <c r="Q616">
        <v>3</v>
      </c>
      <c r="R616" t="s">
        <v>32526</v>
      </c>
      <c r="S616" t="s">
        <v>32547</v>
      </c>
      <c r="T616" t="s">
        <v>33187</v>
      </c>
      <c r="U616" t="s">
        <v>34174</v>
      </c>
      <c r="W616" t="s">
        <v>29857</v>
      </c>
      <c r="X616" t="s">
        <v>32527</v>
      </c>
    </row>
    <row r="617" spans="1:24">
      <c r="A617">
        <f>HYPERLINK("https://www.philgeps.gov.ph/GEPSNONPILOT/Tender/SplashBidNoticeAbstractUI.aspx?menuIndex=3&amp;refID=7044781&amp;Result=3","7044781")</f>
        <v>0</v>
      </c>
      <c r="B617" t="s">
        <v>284</v>
      </c>
      <c r="C617" t="s">
        <v>3269</v>
      </c>
      <c r="D617" t="s">
        <v>13056</v>
      </c>
      <c r="E617" t="s">
        <v>13662</v>
      </c>
      <c r="F617" t="s">
        <v>22436</v>
      </c>
      <c r="G617" t="s">
        <v>22443</v>
      </c>
      <c r="H617" t="s">
        <v>22452</v>
      </c>
      <c r="I617" t="s">
        <v>3122</v>
      </c>
      <c r="J617" t="s">
        <v>23097</v>
      </c>
      <c r="K617" t="s">
        <v>29356</v>
      </c>
      <c r="M617" t="s">
        <v>29858</v>
      </c>
      <c r="N617" t="s">
        <v>32524</v>
      </c>
      <c r="O617" t="s">
        <v>32525</v>
      </c>
      <c r="P617">
        <v>0</v>
      </c>
      <c r="Q617">
        <v>0</v>
      </c>
      <c r="R617" t="s">
        <v>32526</v>
      </c>
      <c r="S617" t="s">
        <v>32547</v>
      </c>
      <c r="T617" t="s">
        <v>33197</v>
      </c>
      <c r="U617" t="s">
        <v>34175</v>
      </c>
      <c r="V617" t="s">
        <v>42489</v>
      </c>
      <c r="W617" t="s">
        <v>29858</v>
      </c>
      <c r="X617" t="s">
        <v>32527</v>
      </c>
    </row>
    <row r="618" spans="1:24">
      <c r="A618">
        <f>HYPERLINK("https://www.philgeps.gov.ph/GEPSNONPILOT/Tender/SplashBidNoticeAbstractUI.aspx?menuIndex=3&amp;refID=7044784&amp;Result=3","7044784")</f>
        <v>0</v>
      </c>
      <c r="B618" t="s">
        <v>285</v>
      </c>
      <c r="C618" t="s">
        <v>3270</v>
      </c>
      <c r="D618" t="s">
        <v>13019</v>
      </c>
      <c r="E618" t="s">
        <v>13663</v>
      </c>
      <c r="F618" t="s">
        <v>22436</v>
      </c>
      <c r="G618" t="s">
        <v>22443</v>
      </c>
      <c r="H618" t="s">
        <v>22452</v>
      </c>
      <c r="I618" t="s">
        <v>22468</v>
      </c>
      <c r="J618" t="s">
        <v>23098</v>
      </c>
      <c r="K618" t="s">
        <v>29335</v>
      </c>
      <c r="M618" t="s">
        <v>29859</v>
      </c>
      <c r="N618" t="s">
        <v>32524</v>
      </c>
      <c r="O618" t="s">
        <v>32525</v>
      </c>
      <c r="P618">
        <v>0</v>
      </c>
      <c r="Q618">
        <v>3</v>
      </c>
      <c r="R618" t="s">
        <v>32526</v>
      </c>
      <c r="S618" t="s">
        <v>32547</v>
      </c>
      <c r="T618" t="s">
        <v>33250</v>
      </c>
      <c r="U618" t="s">
        <v>34176</v>
      </c>
      <c r="W618" t="s">
        <v>29859</v>
      </c>
      <c r="X618" t="s">
        <v>32527</v>
      </c>
    </row>
    <row r="619" spans="1:24">
      <c r="A619">
        <f>HYPERLINK("https://www.philgeps.gov.ph/GEPSNONPILOT/Tender/SplashBidNoticeAbstractUI.aspx?menuIndex=3&amp;refID=7044799&amp;Result=3","7044799")</f>
        <v>0</v>
      </c>
      <c r="B619" t="s">
        <v>286</v>
      </c>
      <c r="C619" t="s">
        <v>3271</v>
      </c>
      <c r="D619" t="s">
        <v>13011</v>
      </c>
      <c r="E619" t="s">
        <v>13664</v>
      </c>
      <c r="F619" t="s">
        <v>22436</v>
      </c>
      <c r="G619" t="s">
        <v>22444</v>
      </c>
      <c r="H619" t="s">
        <v>22452</v>
      </c>
      <c r="I619" t="s">
        <v>22476</v>
      </c>
      <c r="J619" t="s">
        <v>23099</v>
      </c>
      <c r="K619" t="s">
        <v>29333</v>
      </c>
      <c r="M619" t="s">
        <v>29860</v>
      </c>
      <c r="N619" t="s">
        <v>32524</v>
      </c>
      <c r="O619" t="s">
        <v>32525</v>
      </c>
      <c r="P619">
        <v>0</v>
      </c>
      <c r="Q619">
        <v>5</v>
      </c>
      <c r="R619" t="s">
        <v>32526</v>
      </c>
      <c r="S619" t="s">
        <v>32547</v>
      </c>
      <c r="T619" t="s">
        <v>33170</v>
      </c>
      <c r="U619" t="s">
        <v>34177</v>
      </c>
      <c r="V619" t="s">
        <v>42490</v>
      </c>
      <c r="W619" t="s">
        <v>29860</v>
      </c>
      <c r="X619" t="s">
        <v>32527</v>
      </c>
    </row>
    <row r="620" spans="1:24">
      <c r="A620">
        <f>HYPERLINK("https://www.philgeps.gov.ph/GEPSNONPILOT/Tender/SplashBidNoticeAbstractUI.aspx?menuIndex=3&amp;refID=7044780&amp;Result=3","7044780")</f>
        <v>0</v>
      </c>
      <c r="B620" t="s">
        <v>287</v>
      </c>
      <c r="C620" t="s">
        <v>3272</v>
      </c>
      <c r="D620" t="s">
        <v>13007</v>
      </c>
      <c r="E620" t="s">
        <v>13665</v>
      </c>
      <c r="F620" t="s">
        <v>22436</v>
      </c>
      <c r="G620" t="s">
        <v>22443</v>
      </c>
      <c r="H620" t="s">
        <v>22452</v>
      </c>
      <c r="I620" t="s">
        <v>22465</v>
      </c>
      <c r="J620" t="s">
        <v>23100</v>
      </c>
      <c r="K620" t="s">
        <v>29331</v>
      </c>
      <c r="M620" t="s">
        <v>29861</v>
      </c>
      <c r="N620" t="s">
        <v>32524</v>
      </c>
      <c r="O620" t="s">
        <v>32525</v>
      </c>
      <c r="P620">
        <v>0</v>
      </c>
      <c r="Q620">
        <v>0</v>
      </c>
      <c r="R620" t="s">
        <v>32526</v>
      </c>
      <c r="S620" t="s">
        <v>32547</v>
      </c>
      <c r="T620" t="s">
        <v>33154</v>
      </c>
      <c r="U620" t="s">
        <v>34178</v>
      </c>
      <c r="W620" t="s">
        <v>29861</v>
      </c>
      <c r="X620" t="s">
        <v>32527</v>
      </c>
    </row>
    <row r="621" spans="1:24">
      <c r="A621">
        <f>HYPERLINK("https://www.philgeps.gov.ph/GEPSNONPILOT/Tender/SplashBidNoticeAbstractUI.aspx?menuIndex=3&amp;refID=7044782&amp;Result=3","7044782")</f>
        <v>0</v>
      </c>
      <c r="B621" t="s">
        <v>180</v>
      </c>
      <c r="C621" t="s">
        <v>3273</v>
      </c>
      <c r="D621" t="s">
        <v>13026</v>
      </c>
      <c r="E621" t="s">
        <v>13666</v>
      </c>
      <c r="F621" t="s">
        <v>22436</v>
      </c>
      <c r="G621" t="s">
        <v>22443</v>
      </c>
      <c r="H621" t="s">
        <v>22452</v>
      </c>
      <c r="I621" t="s">
        <v>22479</v>
      </c>
      <c r="J621" t="s">
        <v>23101</v>
      </c>
      <c r="K621" t="s">
        <v>29331</v>
      </c>
      <c r="M621" t="s">
        <v>29752</v>
      </c>
      <c r="N621" t="s">
        <v>32524</v>
      </c>
      <c r="O621" t="s">
        <v>32525</v>
      </c>
      <c r="P621">
        <v>0</v>
      </c>
      <c r="Q621">
        <v>0</v>
      </c>
      <c r="R621" t="s">
        <v>32526</v>
      </c>
      <c r="S621" t="s">
        <v>32547</v>
      </c>
      <c r="T621" t="s">
        <v>33167</v>
      </c>
      <c r="U621" t="s">
        <v>34179</v>
      </c>
      <c r="W621" t="s">
        <v>29752</v>
      </c>
      <c r="X621" t="s">
        <v>32527</v>
      </c>
    </row>
    <row r="622" spans="1:24">
      <c r="A622">
        <f>HYPERLINK("https://www.philgeps.gov.ph/GEPSNONPILOT/Tender/SplashBidNoticeAbstractUI.aspx?menuIndex=3&amp;refID=7044816&amp;Result=3","7044816")</f>
        <v>0</v>
      </c>
      <c r="B622" t="s">
        <v>279</v>
      </c>
      <c r="C622" t="s">
        <v>3274</v>
      </c>
      <c r="D622" t="s">
        <v>13010</v>
      </c>
      <c r="E622" t="s">
        <v>13667</v>
      </c>
      <c r="F622" t="s">
        <v>22436</v>
      </c>
      <c r="G622" t="s">
        <v>22443</v>
      </c>
      <c r="H622" t="s">
        <v>22452</v>
      </c>
      <c r="I622" t="s">
        <v>3027</v>
      </c>
      <c r="J622" t="s">
        <v>22817</v>
      </c>
      <c r="K622" t="s">
        <v>29336</v>
      </c>
      <c r="M622" t="s">
        <v>29853</v>
      </c>
      <c r="N622" t="s">
        <v>32524</v>
      </c>
      <c r="O622" t="s">
        <v>32525</v>
      </c>
      <c r="P622">
        <v>0</v>
      </c>
      <c r="Q622">
        <v>0</v>
      </c>
      <c r="R622" t="s">
        <v>32526</v>
      </c>
      <c r="S622" t="s">
        <v>32547</v>
      </c>
      <c r="T622" t="s">
        <v>33181</v>
      </c>
      <c r="U622" t="s">
        <v>34167</v>
      </c>
      <c r="W622" t="s">
        <v>29853</v>
      </c>
      <c r="X622" t="s">
        <v>32527</v>
      </c>
    </row>
    <row r="623" spans="1:24">
      <c r="A623">
        <f>HYPERLINK("https://www.philgeps.gov.ph/GEPSNONPILOT/Tender/SplashBidNoticeAbstractUI.aspx?menuIndex=3&amp;refID=7044800&amp;Result=3","7044800")</f>
        <v>0</v>
      </c>
      <c r="B623" t="s">
        <v>288</v>
      </c>
      <c r="C623" t="s">
        <v>3275</v>
      </c>
      <c r="D623" t="s">
        <v>12988</v>
      </c>
      <c r="E623" t="s">
        <v>13668</v>
      </c>
      <c r="F623" t="s">
        <v>22436</v>
      </c>
      <c r="G623" t="s">
        <v>22446</v>
      </c>
      <c r="H623" t="s">
        <v>22452</v>
      </c>
      <c r="I623" t="s">
        <v>22456</v>
      </c>
      <c r="J623" t="s">
        <v>23102</v>
      </c>
      <c r="K623" t="s">
        <v>29356</v>
      </c>
      <c r="M623" t="s">
        <v>29862</v>
      </c>
      <c r="N623" t="s">
        <v>32524</v>
      </c>
      <c r="O623" t="s">
        <v>32525</v>
      </c>
      <c r="P623">
        <v>0</v>
      </c>
      <c r="Q623">
        <v>16</v>
      </c>
      <c r="R623" t="s">
        <v>32526</v>
      </c>
      <c r="S623" t="s">
        <v>32547</v>
      </c>
      <c r="T623" t="s">
        <v>33185</v>
      </c>
      <c r="U623" t="s">
        <v>34180</v>
      </c>
      <c r="W623" t="s">
        <v>29862</v>
      </c>
      <c r="X623" t="s">
        <v>32527</v>
      </c>
    </row>
    <row r="624" spans="1:24">
      <c r="A624">
        <f>HYPERLINK("https://www.philgeps.gov.ph/GEPSNONPILOT/Tender/SplashBidNoticeAbstractUI.aspx?menuIndex=3&amp;refID=7044814&amp;Result=3","7044814")</f>
        <v>0</v>
      </c>
      <c r="B624" t="s">
        <v>289</v>
      </c>
      <c r="C624" t="s">
        <v>3276</v>
      </c>
      <c r="D624" t="s">
        <v>13057</v>
      </c>
      <c r="E624" t="s">
        <v>13131</v>
      </c>
      <c r="F624" t="s">
        <v>22436</v>
      </c>
      <c r="G624" t="s">
        <v>22444</v>
      </c>
      <c r="H624" t="s">
        <v>22454</v>
      </c>
      <c r="I624" t="s">
        <v>7738</v>
      </c>
      <c r="J624" t="s">
        <v>22747</v>
      </c>
      <c r="K624" t="s">
        <v>29335</v>
      </c>
      <c r="M624" t="s">
        <v>29863</v>
      </c>
      <c r="N624" t="s">
        <v>32524</v>
      </c>
      <c r="O624" t="s">
        <v>32525</v>
      </c>
      <c r="P624">
        <v>0</v>
      </c>
      <c r="Q624">
        <v>0</v>
      </c>
      <c r="R624" t="s">
        <v>32526</v>
      </c>
      <c r="S624" t="s">
        <v>32547</v>
      </c>
      <c r="T624" t="s">
        <v>33166</v>
      </c>
      <c r="U624" t="s">
        <v>34181</v>
      </c>
      <c r="V624" t="s">
        <v>42491</v>
      </c>
      <c r="W624" t="s">
        <v>29863</v>
      </c>
      <c r="X624" t="s">
        <v>32527</v>
      </c>
    </row>
    <row r="625" spans="1:24">
      <c r="A625">
        <f>HYPERLINK("https://www.philgeps.gov.ph/GEPSNONPILOT/Tender/SplashBidNoticeAbstractUI.aspx?menuIndex=3&amp;refID=7044820&amp;Result=3","7044820")</f>
        <v>0</v>
      </c>
      <c r="B625" t="s">
        <v>200</v>
      </c>
      <c r="C625" t="s">
        <v>3277</v>
      </c>
      <c r="D625" t="s">
        <v>13037</v>
      </c>
      <c r="E625" t="s">
        <v>13669</v>
      </c>
      <c r="F625" t="s">
        <v>22436</v>
      </c>
      <c r="G625" t="s">
        <v>22443</v>
      </c>
      <c r="H625" t="s">
        <v>22452</v>
      </c>
      <c r="I625" t="s">
        <v>2981</v>
      </c>
      <c r="J625" t="s">
        <v>23103</v>
      </c>
      <c r="K625" t="s">
        <v>29330</v>
      </c>
      <c r="M625" t="s">
        <v>29773</v>
      </c>
      <c r="N625" t="s">
        <v>32524</v>
      </c>
      <c r="O625" t="s">
        <v>32525</v>
      </c>
      <c r="P625">
        <v>0</v>
      </c>
      <c r="Q625">
        <v>0</v>
      </c>
      <c r="R625" t="s">
        <v>32526</v>
      </c>
      <c r="S625" t="s">
        <v>32547</v>
      </c>
      <c r="T625" t="s">
        <v>33161</v>
      </c>
      <c r="U625" t="s">
        <v>34182</v>
      </c>
      <c r="W625" t="s">
        <v>29773</v>
      </c>
      <c r="X625" t="s">
        <v>32527</v>
      </c>
    </row>
    <row r="626" spans="1:24">
      <c r="A626">
        <f>HYPERLINK("https://www.philgeps.gov.ph/GEPSNONPILOT/Tender/SplashBidNoticeAbstractUI.aspx?menuIndex=3&amp;refID=7044806&amp;Result=3","7044806")</f>
        <v>0</v>
      </c>
      <c r="B626" t="s">
        <v>128</v>
      </c>
      <c r="C626" t="s">
        <v>3278</v>
      </c>
      <c r="D626" t="s">
        <v>13025</v>
      </c>
      <c r="E626" t="s">
        <v>13670</v>
      </c>
      <c r="F626" t="s">
        <v>22436</v>
      </c>
      <c r="G626" t="s">
        <v>22444</v>
      </c>
      <c r="H626" t="s">
        <v>22452</v>
      </c>
      <c r="I626" t="s">
        <v>12358</v>
      </c>
      <c r="J626" t="s">
        <v>23104</v>
      </c>
      <c r="K626" t="s">
        <v>29331</v>
      </c>
      <c r="M626" t="s">
        <v>29700</v>
      </c>
      <c r="N626" t="s">
        <v>32524</v>
      </c>
      <c r="O626" t="s">
        <v>32525</v>
      </c>
      <c r="P626">
        <v>0</v>
      </c>
      <c r="Q626">
        <v>0</v>
      </c>
      <c r="R626" t="s">
        <v>32526</v>
      </c>
      <c r="S626" t="s">
        <v>32547</v>
      </c>
      <c r="T626" t="s">
        <v>33181</v>
      </c>
      <c r="U626" t="s">
        <v>34183</v>
      </c>
      <c r="W626" t="s">
        <v>29700</v>
      </c>
      <c r="X626" t="s">
        <v>32527</v>
      </c>
    </row>
    <row r="627" spans="1:24">
      <c r="A627">
        <f>HYPERLINK("https://www.philgeps.gov.ph/GEPSNONPILOT/Tender/SplashBidNoticeAbstractUI.aspx?menuIndex=3&amp;refID=7044812&amp;Result=3","7044812")</f>
        <v>0</v>
      </c>
      <c r="B627" t="s">
        <v>290</v>
      </c>
      <c r="C627" t="s">
        <v>3279</v>
      </c>
      <c r="D627" t="s">
        <v>13011</v>
      </c>
      <c r="E627" t="s">
        <v>13671</v>
      </c>
      <c r="F627" t="s">
        <v>22436</v>
      </c>
      <c r="G627" t="s">
        <v>22443</v>
      </c>
      <c r="H627" t="s">
        <v>22452</v>
      </c>
      <c r="I627" t="s">
        <v>2981</v>
      </c>
      <c r="J627" t="s">
        <v>23105</v>
      </c>
      <c r="K627" t="s">
        <v>29329</v>
      </c>
      <c r="M627" t="s">
        <v>29864</v>
      </c>
      <c r="N627" t="s">
        <v>32524</v>
      </c>
      <c r="O627" t="s">
        <v>32525</v>
      </c>
      <c r="P627">
        <v>0</v>
      </c>
      <c r="Q627">
        <v>1</v>
      </c>
      <c r="R627" t="s">
        <v>32526</v>
      </c>
      <c r="S627" t="s">
        <v>32547</v>
      </c>
      <c r="T627" t="s">
        <v>33228</v>
      </c>
      <c r="U627" t="s">
        <v>34184</v>
      </c>
      <c r="W627" t="s">
        <v>43676</v>
      </c>
      <c r="X627" t="s">
        <v>32527</v>
      </c>
    </row>
    <row r="628" spans="1:24">
      <c r="A628">
        <f>HYPERLINK("https://www.philgeps.gov.ph/GEPSNONPILOT/Tender/SplashBidNoticeAbstractUI.aspx?menuIndex=3&amp;refID=7044804&amp;Result=3","7044804")</f>
        <v>0</v>
      </c>
      <c r="B628" t="s">
        <v>154</v>
      </c>
      <c r="C628" t="s">
        <v>3280</v>
      </c>
      <c r="D628" t="s">
        <v>13029</v>
      </c>
      <c r="E628" t="s">
        <v>13672</v>
      </c>
      <c r="F628" t="s">
        <v>22436</v>
      </c>
      <c r="G628" t="s">
        <v>22446</v>
      </c>
      <c r="H628" t="s">
        <v>22452</v>
      </c>
      <c r="I628" t="s">
        <v>22460</v>
      </c>
      <c r="J628" t="s">
        <v>23106</v>
      </c>
      <c r="K628" t="s">
        <v>29331</v>
      </c>
      <c r="M628" t="s">
        <v>29726</v>
      </c>
      <c r="N628" t="s">
        <v>32524</v>
      </c>
      <c r="O628" t="s">
        <v>32525</v>
      </c>
      <c r="P628">
        <v>0</v>
      </c>
      <c r="Q628">
        <v>0</v>
      </c>
      <c r="R628" t="s">
        <v>32526</v>
      </c>
      <c r="S628" t="s">
        <v>32547</v>
      </c>
      <c r="T628" t="s">
        <v>33168</v>
      </c>
      <c r="U628" t="s">
        <v>33914</v>
      </c>
      <c r="W628" t="s">
        <v>29726</v>
      </c>
      <c r="X628" t="s">
        <v>32527</v>
      </c>
    </row>
    <row r="629" spans="1:24">
      <c r="A629">
        <f>HYPERLINK("https://www.philgeps.gov.ph/GEPSNONPILOT/Tender/SplashBidNoticeAbstractUI.aspx?menuIndex=3&amp;refID=7044819&amp;Result=3","7044819")</f>
        <v>0</v>
      </c>
      <c r="B629" t="s">
        <v>291</v>
      </c>
      <c r="C629" t="s">
        <v>3281</v>
      </c>
      <c r="D629" t="s">
        <v>13041</v>
      </c>
      <c r="E629" t="s">
        <v>13673</v>
      </c>
      <c r="F629" t="s">
        <v>22436</v>
      </c>
      <c r="G629" t="s">
        <v>22443</v>
      </c>
      <c r="H629" t="s">
        <v>22452</v>
      </c>
      <c r="I629" t="s">
        <v>22469</v>
      </c>
      <c r="J629" t="s">
        <v>23107</v>
      </c>
      <c r="K629" t="s">
        <v>29331</v>
      </c>
      <c r="M629" t="s">
        <v>29865</v>
      </c>
      <c r="N629" t="s">
        <v>32524</v>
      </c>
      <c r="O629" t="s">
        <v>32525</v>
      </c>
      <c r="P629">
        <v>0</v>
      </c>
      <c r="Q629">
        <v>2</v>
      </c>
      <c r="R629" t="s">
        <v>32526</v>
      </c>
      <c r="S629" t="s">
        <v>32547</v>
      </c>
      <c r="T629" t="s">
        <v>33255</v>
      </c>
      <c r="U629" t="s">
        <v>34185</v>
      </c>
      <c r="W629" t="s">
        <v>29865</v>
      </c>
      <c r="X629" t="s">
        <v>32527</v>
      </c>
    </row>
    <row r="630" spans="1:24">
      <c r="A630">
        <f>HYPERLINK("https://www.philgeps.gov.ph/GEPSNONPILOT/Tender/SplashBidNoticeAbstractUI.aspx?menuIndex=3&amp;refID=7044807&amp;Result=3","7044807")</f>
        <v>0</v>
      </c>
      <c r="B630" t="s">
        <v>200</v>
      </c>
      <c r="C630" t="s">
        <v>3282</v>
      </c>
      <c r="D630" t="s">
        <v>13037</v>
      </c>
      <c r="E630" t="s">
        <v>13674</v>
      </c>
      <c r="F630" t="s">
        <v>22436</v>
      </c>
      <c r="G630" t="s">
        <v>22443</v>
      </c>
      <c r="H630" t="s">
        <v>22452</v>
      </c>
      <c r="I630" t="s">
        <v>3827</v>
      </c>
      <c r="J630" t="s">
        <v>23108</v>
      </c>
      <c r="K630" t="s">
        <v>29330</v>
      </c>
      <c r="M630" t="s">
        <v>29773</v>
      </c>
      <c r="N630" t="s">
        <v>32524</v>
      </c>
      <c r="O630" t="s">
        <v>32525</v>
      </c>
      <c r="P630">
        <v>0</v>
      </c>
      <c r="Q630">
        <v>2</v>
      </c>
      <c r="R630" t="s">
        <v>32526</v>
      </c>
      <c r="S630" t="s">
        <v>32547</v>
      </c>
      <c r="T630" t="s">
        <v>33161</v>
      </c>
      <c r="U630" t="s">
        <v>34186</v>
      </c>
      <c r="W630" t="s">
        <v>29773</v>
      </c>
      <c r="X630" t="s">
        <v>32527</v>
      </c>
    </row>
    <row r="631" spans="1:24">
      <c r="A631">
        <f>HYPERLINK("https://www.philgeps.gov.ph/GEPSNONPILOT/Tender/SplashBidNoticeAbstractUI.aspx?menuIndex=3&amp;refID=7044811&amp;Result=3","7044811")</f>
        <v>0</v>
      </c>
      <c r="B631" t="s">
        <v>250</v>
      </c>
      <c r="C631" t="s">
        <v>3283</v>
      </c>
      <c r="D631" t="s">
        <v>12999</v>
      </c>
      <c r="E631" t="s">
        <v>13675</v>
      </c>
      <c r="F631" t="s">
        <v>22436</v>
      </c>
      <c r="G631" t="s">
        <v>22443</v>
      </c>
      <c r="H631" t="s">
        <v>22452</v>
      </c>
      <c r="I631" t="s">
        <v>22461</v>
      </c>
      <c r="J631" t="s">
        <v>23109</v>
      </c>
      <c r="K631" t="s">
        <v>29335</v>
      </c>
      <c r="M631" t="s">
        <v>29824</v>
      </c>
      <c r="N631" t="s">
        <v>32524</v>
      </c>
      <c r="O631" t="s">
        <v>32525</v>
      </c>
      <c r="P631">
        <v>0</v>
      </c>
      <c r="Q631">
        <v>4</v>
      </c>
      <c r="R631" t="s">
        <v>32526</v>
      </c>
      <c r="S631" t="s">
        <v>32547</v>
      </c>
      <c r="T631" t="s">
        <v>33202</v>
      </c>
      <c r="U631" t="s">
        <v>34187</v>
      </c>
      <c r="V631" t="s">
        <v>42481</v>
      </c>
      <c r="W631" t="s">
        <v>29824</v>
      </c>
      <c r="X631" t="s">
        <v>32527</v>
      </c>
    </row>
    <row r="632" spans="1:24">
      <c r="A632">
        <f>HYPERLINK("https://www.philgeps.gov.ph/GEPSNONPILOT/Tender/SplashBidNoticeAbstractUI.aspx?menuIndex=3&amp;refID=7044801&amp;Result=3","7044801")</f>
        <v>0</v>
      </c>
      <c r="B632" t="s">
        <v>220</v>
      </c>
      <c r="C632" t="s">
        <v>3284</v>
      </c>
      <c r="D632" t="s">
        <v>13037</v>
      </c>
      <c r="E632" t="s">
        <v>13676</v>
      </c>
      <c r="F632" t="s">
        <v>22436</v>
      </c>
      <c r="G632" t="s">
        <v>22446</v>
      </c>
      <c r="H632" t="s">
        <v>22452</v>
      </c>
      <c r="I632" t="s">
        <v>22468</v>
      </c>
      <c r="J632" t="s">
        <v>23110</v>
      </c>
      <c r="K632" t="s">
        <v>29336</v>
      </c>
      <c r="M632" t="s">
        <v>29793</v>
      </c>
      <c r="N632" t="s">
        <v>32524</v>
      </c>
      <c r="O632" t="s">
        <v>32525</v>
      </c>
      <c r="P632">
        <v>0</v>
      </c>
      <c r="Q632">
        <v>1</v>
      </c>
      <c r="R632" t="s">
        <v>32526</v>
      </c>
      <c r="S632" t="s">
        <v>32547</v>
      </c>
      <c r="T632" t="s">
        <v>33209</v>
      </c>
      <c r="U632" t="s">
        <v>34035</v>
      </c>
      <c r="W632" t="s">
        <v>29793</v>
      </c>
      <c r="X632" t="s">
        <v>32527</v>
      </c>
    </row>
    <row r="633" spans="1:24">
      <c r="A633">
        <f>HYPERLINK("https://www.philgeps.gov.ph/GEPSNONPILOT/Tender/SplashBidNoticeAbstractUI.aspx?menuIndex=3&amp;refID=7044783&amp;Result=3","7044783")</f>
        <v>0</v>
      </c>
      <c r="B633" t="s">
        <v>192</v>
      </c>
      <c r="C633" t="s">
        <v>3285</v>
      </c>
      <c r="D633" t="s">
        <v>13048</v>
      </c>
      <c r="E633" t="s">
        <v>13677</v>
      </c>
      <c r="F633" t="s">
        <v>22436</v>
      </c>
      <c r="G633" t="s">
        <v>22444</v>
      </c>
      <c r="H633" t="s">
        <v>22454</v>
      </c>
      <c r="I633" t="s">
        <v>7738</v>
      </c>
      <c r="J633" t="s">
        <v>23111</v>
      </c>
      <c r="K633" t="s">
        <v>29338</v>
      </c>
      <c r="M633" t="s">
        <v>29765</v>
      </c>
      <c r="N633" t="s">
        <v>32524</v>
      </c>
      <c r="O633" t="s">
        <v>32525</v>
      </c>
      <c r="P633">
        <v>0</v>
      </c>
      <c r="Q633">
        <v>0</v>
      </c>
      <c r="R633" t="s">
        <v>32526</v>
      </c>
      <c r="S633" t="s">
        <v>32547</v>
      </c>
      <c r="T633" t="s">
        <v>33170</v>
      </c>
      <c r="U633" t="s">
        <v>33981</v>
      </c>
      <c r="W633" t="s">
        <v>29765</v>
      </c>
      <c r="X633" t="s">
        <v>32527</v>
      </c>
    </row>
    <row r="634" spans="1:24">
      <c r="A634">
        <f>HYPERLINK("https://www.philgeps.gov.ph/GEPSNONPILOT/Tender/SplashBidNoticeAbstractUI.aspx?menuIndex=3&amp;refID=7044803&amp;Result=3","7044803")</f>
        <v>0</v>
      </c>
      <c r="B634" t="s">
        <v>292</v>
      </c>
      <c r="C634" t="s">
        <v>3286</v>
      </c>
      <c r="D634" t="s">
        <v>13041</v>
      </c>
      <c r="E634" t="s">
        <v>13678</v>
      </c>
      <c r="F634" t="s">
        <v>22436</v>
      </c>
      <c r="G634" t="s">
        <v>22443</v>
      </c>
      <c r="H634" t="s">
        <v>22452</v>
      </c>
      <c r="I634" t="s">
        <v>22502</v>
      </c>
      <c r="J634" t="s">
        <v>23112</v>
      </c>
      <c r="K634" t="s">
        <v>29333</v>
      </c>
      <c r="M634" t="s">
        <v>29866</v>
      </c>
      <c r="N634" t="s">
        <v>32524</v>
      </c>
      <c r="O634" t="s">
        <v>32525</v>
      </c>
      <c r="P634">
        <v>0</v>
      </c>
      <c r="Q634">
        <v>5</v>
      </c>
      <c r="R634" t="s">
        <v>32526</v>
      </c>
      <c r="S634" t="s">
        <v>32547</v>
      </c>
      <c r="T634" t="s">
        <v>33256</v>
      </c>
      <c r="U634" t="s">
        <v>34188</v>
      </c>
      <c r="W634" t="s">
        <v>29866</v>
      </c>
      <c r="X634" t="s">
        <v>32527</v>
      </c>
    </row>
    <row r="635" spans="1:24">
      <c r="A635">
        <f>HYPERLINK("https://www.philgeps.gov.ph/GEPSNONPILOT/Tender/SplashBidNoticeAbstractUI.aspx?menuIndex=3&amp;refID=7044827&amp;Result=3","7044827")</f>
        <v>0</v>
      </c>
      <c r="B635" t="s">
        <v>293</v>
      </c>
      <c r="C635" t="s">
        <v>3287</v>
      </c>
      <c r="D635" t="s">
        <v>13046</v>
      </c>
      <c r="E635" t="s">
        <v>13679</v>
      </c>
      <c r="F635" t="s">
        <v>22436</v>
      </c>
      <c r="G635" t="s">
        <v>22443</v>
      </c>
      <c r="H635" t="s">
        <v>22452</v>
      </c>
      <c r="I635" t="s">
        <v>3827</v>
      </c>
      <c r="J635" t="s">
        <v>23113</v>
      </c>
      <c r="K635" t="s">
        <v>29341</v>
      </c>
      <c r="M635" t="s">
        <v>29867</v>
      </c>
      <c r="N635" t="s">
        <v>32524</v>
      </c>
      <c r="O635" t="s">
        <v>32525</v>
      </c>
      <c r="P635">
        <v>0</v>
      </c>
      <c r="Q635">
        <v>2</v>
      </c>
      <c r="R635" t="s">
        <v>32526</v>
      </c>
      <c r="S635" t="s">
        <v>32547</v>
      </c>
      <c r="T635" t="s">
        <v>33180</v>
      </c>
      <c r="U635" t="s">
        <v>34189</v>
      </c>
      <c r="W635" t="s">
        <v>29867</v>
      </c>
      <c r="X635" t="s">
        <v>32527</v>
      </c>
    </row>
    <row r="636" spans="1:24">
      <c r="A636">
        <f>HYPERLINK("https://www.philgeps.gov.ph/GEPSNONPILOT/Tender/SplashBidNoticeAbstractUI.aspx?menuIndex=3&amp;refID=7044824&amp;Result=3","7044824")</f>
        <v>0</v>
      </c>
      <c r="B636" t="s">
        <v>241</v>
      </c>
      <c r="C636" t="s">
        <v>3288</v>
      </c>
      <c r="D636" t="s">
        <v>13031</v>
      </c>
      <c r="E636" t="s">
        <v>13680</v>
      </c>
      <c r="F636" t="s">
        <v>22436</v>
      </c>
      <c r="G636" t="s">
        <v>22443</v>
      </c>
      <c r="H636" t="s">
        <v>22452</v>
      </c>
      <c r="I636" t="s">
        <v>22510</v>
      </c>
      <c r="J636" t="s">
        <v>23029</v>
      </c>
      <c r="K636" t="s">
        <v>29329</v>
      </c>
      <c r="M636" t="s">
        <v>29815</v>
      </c>
      <c r="N636" t="s">
        <v>32524</v>
      </c>
      <c r="O636" t="s">
        <v>32525</v>
      </c>
      <c r="P636">
        <v>0</v>
      </c>
      <c r="Q636">
        <v>0</v>
      </c>
      <c r="R636" t="s">
        <v>32526</v>
      </c>
      <c r="S636" t="s">
        <v>32547</v>
      </c>
      <c r="T636" t="s">
        <v>33161</v>
      </c>
      <c r="U636" t="s">
        <v>34190</v>
      </c>
      <c r="W636" t="s">
        <v>29815</v>
      </c>
      <c r="X636" t="s">
        <v>32527</v>
      </c>
    </row>
    <row r="637" spans="1:24">
      <c r="A637">
        <f>HYPERLINK("https://www.philgeps.gov.ph/GEPSNONPILOT/Tender/SplashBidNoticeAbstractUI.aspx?menuIndex=3&amp;refID=7044826&amp;Result=3","7044826")</f>
        <v>0</v>
      </c>
      <c r="B637" t="s">
        <v>294</v>
      </c>
      <c r="C637" t="s">
        <v>3289</v>
      </c>
      <c r="D637" t="s">
        <v>12998</v>
      </c>
      <c r="E637" t="s">
        <v>13681</v>
      </c>
      <c r="F637" t="s">
        <v>22436</v>
      </c>
      <c r="G637" t="s">
        <v>22444</v>
      </c>
      <c r="H637" t="s">
        <v>22454</v>
      </c>
      <c r="I637" t="s">
        <v>7738</v>
      </c>
      <c r="J637" t="s">
        <v>23114</v>
      </c>
      <c r="K637" t="s">
        <v>29347</v>
      </c>
      <c r="M637" t="s">
        <v>29868</v>
      </c>
      <c r="N637" t="s">
        <v>32524</v>
      </c>
      <c r="O637" t="s">
        <v>32525</v>
      </c>
      <c r="P637">
        <v>0</v>
      </c>
      <c r="Q637">
        <v>0</v>
      </c>
      <c r="R637" t="s">
        <v>32526</v>
      </c>
      <c r="S637" t="s">
        <v>32547</v>
      </c>
      <c r="T637" t="s">
        <v>33257</v>
      </c>
      <c r="U637" t="s">
        <v>34191</v>
      </c>
      <c r="W637" t="s">
        <v>29868</v>
      </c>
      <c r="X637" t="s">
        <v>32527</v>
      </c>
    </row>
    <row r="638" spans="1:24">
      <c r="A638">
        <f>HYPERLINK("https://www.philgeps.gov.ph/GEPSNONPILOT/Tender/SplashBidNoticeAbstractUI.aspx?menuIndex=3&amp;refID=7044821&amp;Result=3","7044821")</f>
        <v>0</v>
      </c>
      <c r="B638" t="s">
        <v>295</v>
      </c>
      <c r="C638" t="s">
        <v>3290</v>
      </c>
      <c r="D638" t="s">
        <v>13056</v>
      </c>
      <c r="E638" t="s">
        <v>13682</v>
      </c>
      <c r="F638" t="s">
        <v>22436</v>
      </c>
      <c r="G638" t="s">
        <v>22446</v>
      </c>
      <c r="H638" t="s">
        <v>22452</v>
      </c>
      <c r="I638" t="s">
        <v>22476</v>
      </c>
      <c r="J638" t="s">
        <v>23115</v>
      </c>
      <c r="K638" t="s">
        <v>29340</v>
      </c>
      <c r="L638" t="s">
        <v>295</v>
      </c>
      <c r="M638" t="s">
        <v>29869</v>
      </c>
      <c r="N638" t="s">
        <v>32524</v>
      </c>
      <c r="O638" t="s">
        <v>32525</v>
      </c>
      <c r="P638">
        <v>0</v>
      </c>
      <c r="Q638">
        <v>0</v>
      </c>
      <c r="R638" t="s">
        <v>32526</v>
      </c>
      <c r="S638" t="s">
        <v>32547</v>
      </c>
      <c r="T638" t="s">
        <v>33220</v>
      </c>
      <c r="U638" t="s">
        <v>34192</v>
      </c>
      <c r="W638" t="s">
        <v>29869</v>
      </c>
      <c r="X638" t="s">
        <v>32527</v>
      </c>
    </row>
    <row r="639" spans="1:24">
      <c r="A639">
        <f>HYPERLINK("https://www.philgeps.gov.ph/GEPSNONPILOT/Tender/SplashBidNoticeAbstractUI.aspx?menuIndex=3&amp;refID=7044825&amp;Result=3","7044825")</f>
        <v>0</v>
      </c>
      <c r="B639" t="s">
        <v>246</v>
      </c>
      <c r="C639" t="s">
        <v>3291</v>
      </c>
      <c r="D639" t="s">
        <v>13006</v>
      </c>
      <c r="E639" t="s">
        <v>13683</v>
      </c>
      <c r="F639" t="s">
        <v>22436</v>
      </c>
      <c r="G639" t="s">
        <v>22443</v>
      </c>
      <c r="H639" t="s">
        <v>22452</v>
      </c>
      <c r="I639" t="s">
        <v>22511</v>
      </c>
      <c r="J639" t="s">
        <v>23116</v>
      </c>
      <c r="K639" t="s">
        <v>29371</v>
      </c>
      <c r="M639" t="s">
        <v>29820</v>
      </c>
      <c r="N639" t="s">
        <v>32524</v>
      </c>
      <c r="O639" t="s">
        <v>32525</v>
      </c>
      <c r="P639">
        <v>0</v>
      </c>
      <c r="Q639">
        <v>0</v>
      </c>
      <c r="R639" t="s">
        <v>32526</v>
      </c>
      <c r="S639" t="s">
        <v>32547</v>
      </c>
      <c r="T639" t="s">
        <v>33252</v>
      </c>
      <c r="U639" t="s">
        <v>34193</v>
      </c>
      <c r="W639" t="s">
        <v>29820</v>
      </c>
      <c r="X639" t="s">
        <v>32527</v>
      </c>
    </row>
    <row r="640" spans="1:24">
      <c r="A640">
        <f>HYPERLINK("https://www.philgeps.gov.ph/GEPSNONPILOT/Tender/SplashBidNoticeAbstractUI.aspx?menuIndex=3&amp;refID=7044823&amp;Result=3","7044823")</f>
        <v>0</v>
      </c>
      <c r="B640" t="s">
        <v>296</v>
      </c>
      <c r="C640" t="s">
        <v>3292</v>
      </c>
      <c r="D640" t="s">
        <v>12988</v>
      </c>
      <c r="E640" t="s">
        <v>13684</v>
      </c>
      <c r="F640" t="s">
        <v>22436</v>
      </c>
      <c r="G640" t="s">
        <v>22443</v>
      </c>
      <c r="H640" t="s">
        <v>22452</v>
      </c>
      <c r="I640" t="s">
        <v>22460</v>
      </c>
      <c r="J640" t="s">
        <v>22806</v>
      </c>
      <c r="K640" t="s">
        <v>29331</v>
      </c>
      <c r="M640" t="s">
        <v>29870</v>
      </c>
      <c r="N640" t="s">
        <v>32524</v>
      </c>
      <c r="O640" t="s">
        <v>32525</v>
      </c>
      <c r="P640">
        <v>0</v>
      </c>
      <c r="Q640">
        <v>0</v>
      </c>
      <c r="R640" t="s">
        <v>32526</v>
      </c>
      <c r="S640" t="s">
        <v>32547</v>
      </c>
      <c r="T640" t="s">
        <v>33203</v>
      </c>
      <c r="U640" t="s">
        <v>34194</v>
      </c>
      <c r="W640" t="s">
        <v>29870</v>
      </c>
      <c r="X640" t="s">
        <v>32527</v>
      </c>
    </row>
    <row r="641" spans="1:24">
      <c r="A641">
        <f>HYPERLINK("https://www.philgeps.gov.ph/GEPSNONPILOT/Tender/SplashBidNoticeAbstractUI.aspx?menuIndex=3&amp;refID=7044828&amp;Result=3","7044828")</f>
        <v>0</v>
      </c>
      <c r="B641" t="s">
        <v>297</v>
      </c>
      <c r="C641" t="s">
        <v>3293</v>
      </c>
      <c r="D641" t="s">
        <v>13032</v>
      </c>
      <c r="E641" t="s">
        <v>13685</v>
      </c>
      <c r="F641" t="s">
        <v>22437</v>
      </c>
      <c r="G641" t="s">
        <v>22444</v>
      </c>
      <c r="H641" t="s">
        <v>22454</v>
      </c>
      <c r="I641" t="s">
        <v>7738</v>
      </c>
      <c r="J641" t="s">
        <v>23117</v>
      </c>
      <c r="K641" t="s">
        <v>29377</v>
      </c>
      <c r="L641" t="s">
        <v>297</v>
      </c>
      <c r="M641" t="s">
        <v>29871</v>
      </c>
      <c r="N641" t="s">
        <v>32524</v>
      </c>
      <c r="O641" t="s">
        <v>32525</v>
      </c>
      <c r="P641">
        <v>0</v>
      </c>
      <c r="Q641">
        <v>0</v>
      </c>
      <c r="R641" t="s">
        <v>32526</v>
      </c>
      <c r="S641" t="s">
        <v>32547</v>
      </c>
      <c r="T641" t="s">
        <v>33165</v>
      </c>
      <c r="U641" t="s">
        <v>34195</v>
      </c>
      <c r="W641" t="s">
        <v>29871</v>
      </c>
      <c r="X641" t="s">
        <v>32527</v>
      </c>
    </row>
    <row r="642" spans="1:24">
      <c r="A642">
        <f>HYPERLINK("https://www.philgeps.gov.ph/GEPSNONPILOT/Tender/SplashBidNoticeAbstractUI.aspx?menuIndex=3&amp;refID=7044822&amp;Result=3","7044822")</f>
        <v>0</v>
      </c>
      <c r="B642" t="s">
        <v>124</v>
      </c>
      <c r="C642" t="s">
        <v>3294</v>
      </c>
      <c r="D642" t="s">
        <v>13031</v>
      </c>
      <c r="E642" t="s">
        <v>3294</v>
      </c>
      <c r="F642" t="s">
        <v>22436</v>
      </c>
      <c r="G642" t="s">
        <v>22443</v>
      </c>
      <c r="H642" t="s">
        <v>22452</v>
      </c>
      <c r="I642" t="s">
        <v>2962</v>
      </c>
      <c r="J642" t="s">
        <v>23118</v>
      </c>
      <c r="K642" t="s">
        <v>29338</v>
      </c>
      <c r="M642" t="s">
        <v>29696</v>
      </c>
      <c r="N642" t="s">
        <v>32524</v>
      </c>
      <c r="O642" t="s">
        <v>32525</v>
      </c>
      <c r="P642">
        <v>0</v>
      </c>
      <c r="Q642">
        <v>0</v>
      </c>
      <c r="R642" t="s">
        <v>32526</v>
      </c>
      <c r="S642" t="s">
        <v>32547</v>
      </c>
      <c r="T642" t="s">
        <v>33183</v>
      </c>
      <c r="U642" t="s">
        <v>34196</v>
      </c>
      <c r="W642" t="s">
        <v>29696</v>
      </c>
      <c r="X642" t="s">
        <v>32527</v>
      </c>
    </row>
    <row r="643" spans="1:24">
      <c r="A643">
        <f>HYPERLINK("https://www.philgeps.gov.ph/GEPSNONPILOT/Tender/SplashBidNoticeAbstractUI.aspx?menuIndex=3&amp;refID=7044832&amp;Result=3","7044832")</f>
        <v>0</v>
      </c>
      <c r="B643" t="s">
        <v>220</v>
      </c>
      <c r="C643" t="s">
        <v>3115</v>
      </c>
      <c r="D643" t="s">
        <v>13037</v>
      </c>
      <c r="E643" t="s">
        <v>13686</v>
      </c>
      <c r="F643" t="s">
        <v>22436</v>
      </c>
      <c r="G643" t="s">
        <v>22446</v>
      </c>
      <c r="H643" t="s">
        <v>22452</v>
      </c>
      <c r="I643" t="s">
        <v>22468</v>
      </c>
      <c r="J643" t="s">
        <v>23119</v>
      </c>
      <c r="K643" t="s">
        <v>29336</v>
      </c>
      <c r="M643" t="s">
        <v>29793</v>
      </c>
      <c r="N643" t="s">
        <v>32524</v>
      </c>
      <c r="O643" t="s">
        <v>32525</v>
      </c>
      <c r="P643">
        <v>0</v>
      </c>
      <c r="Q643">
        <v>1</v>
      </c>
      <c r="R643" t="s">
        <v>32526</v>
      </c>
      <c r="S643" t="s">
        <v>32547</v>
      </c>
      <c r="T643" t="s">
        <v>33209</v>
      </c>
      <c r="U643" t="s">
        <v>34035</v>
      </c>
      <c r="W643" t="s">
        <v>29793</v>
      </c>
      <c r="X643" t="s">
        <v>32527</v>
      </c>
    </row>
    <row r="644" spans="1:24">
      <c r="A644">
        <f>HYPERLINK("https://www.philgeps.gov.ph/GEPSNONPILOT/Tender/SplashBidNoticeAbstractUI.aspx?menuIndex=3&amp;refID=7044835&amp;Result=3","7044835")</f>
        <v>0</v>
      </c>
      <c r="B644" t="s">
        <v>124</v>
      </c>
      <c r="C644" t="s">
        <v>3295</v>
      </c>
      <c r="D644" t="s">
        <v>13031</v>
      </c>
      <c r="E644" t="s">
        <v>13687</v>
      </c>
      <c r="F644" t="s">
        <v>22436</v>
      </c>
      <c r="G644" t="s">
        <v>22443</v>
      </c>
      <c r="H644" t="s">
        <v>22452</v>
      </c>
      <c r="I644" t="s">
        <v>22482</v>
      </c>
      <c r="J644" t="s">
        <v>23120</v>
      </c>
      <c r="K644" t="s">
        <v>29338</v>
      </c>
      <c r="M644" t="s">
        <v>29696</v>
      </c>
      <c r="N644" t="s">
        <v>32524</v>
      </c>
      <c r="O644" t="s">
        <v>32525</v>
      </c>
      <c r="P644">
        <v>0</v>
      </c>
      <c r="Q644">
        <v>6</v>
      </c>
      <c r="R644" t="s">
        <v>32526</v>
      </c>
      <c r="S644" t="s">
        <v>32547</v>
      </c>
      <c r="T644" t="s">
        <v>33183</v>
      </c>
      <c r="U644" t="s">
        <v>34197</v>
      </c>
      <c r="W644" t="s">
        <v>29696</v>
      </c>
      <c r="X644" t="s">
        <v>32527</v>
      </c>
    </row>
    <row r="645" spans="1:24">
      <c r="A645">
        <f>HYPERLINK("https://www.philgeps.gov.ph/GEPSNONPILOT/Tender/SplashBidNoticeAbstractUI.aspx?menuIndex=3&amp;refID=7044831&amp;Result=3","7044831")</f>
        <v>0</v>
      </c>
      <c r="B645" t="s">
        <v>279</v>
      </c>
      <c r="C645" t="s">
        <v>3296</v>
      </c>
      <c r="D645" t="s">
        <v>13010</v>
      </c>
      <c r="E645" t="s">
        <v>13688</v>
      </c>
      <c r="F645" t="s">
        <v>22436</v>
      </c>
      <c r="G645" t="s">
        <v>22443</v>
      </c>
      <c r="H645" t="s">
        <v>22452</v>
      </c>
      <c r="I645" t="s">
        <v>3027</v>
      </c>
      <c r="J645" t="s">
        <v>23121</v>
      </c>
      <c r="K645" t="s">
        <v>29336</v>
      </c>
      <c r="M645" t="s">
        <v>29853</v>
      </c>
      <c r="N645" t="s">
        <v>32524</v>
      </c>
      <c r="O645" t="s">
        <v>32525</v>
      </c>
      <c r="P645">
        <v>0</v>
      </c>
      <c r="Q645">
        <v>0</v>
      </c>
      <c r="R645" t="s">
        <v>32526</v>
      </c>
      <c r="S645" t="s">
        <v>32547</v>
      </c>
      <c r="T645" t="s">
        <v>33181</v>
      </c>
      <c r="U645" t="s">
        <v>34167</v>
      </c>
      <c r="W645" t="s">
        <v>29853</v>
      </c>
      <c r="X645" t="s">
        <v>32527</v>
      </c>
    </row>
    <row r="646" spans="1:24">
      <c r="A646">
        <f>HYPERLINK("https://www.philgeps.gov.ph/GEPSNONPILOT/Tender/SplashBidNoticeAbstractUI.aspx?menuIndex=3&amp;refID=7044845&amp;Result=3","7044845")</f>
        <v>0</v>
      </c>
      <c r="B646" t="s">
        <v>298</v>
      </c>
      <c r="C646" t="s">
        <v>3297</v>
      </c>
      <c r="D646" t="s">
        <v>12996</v>
      </c>
      <c r="E646" t="s">
        <v>13689</v>
      </c>
      <c r="F646" t="s">
        <v>22436</v>
      </c>
      <c r="G646" t="s">
        <v>22444</v>
      </c>
      <c r="H646" t="s">
        <v>22454</v>
      </c>
      <c r="I646" t="s">
        <v>7738</v>
      </c>
      <c r="J646" t="s">
        <v>23122</v>
      </c>
      <c r="K646" t="s">
        <v>29333</v>
      </c>
      <c r="M646" t="s">
        <v>29872</v>
      </c>
      <c r="N646" t="s">
        <v>32524</v>
      </c>
      <c r="O646" t="s">
        <v>32525</v>
      </c>
      <c r="P646">
        <v>0</v>
      </c>
      <c r="Q646">
        <v>1</v>
      </c>
      <c r="R646" t="s">
        <v>32526</v>
      </c>
      <c r="S646" t="s">
        <v>32547</v>
      </c>
      <c r="T646" t="s">
        <v>33181</v>
      </c>
      <c r="U646" t="s">
        <v>34198</v>
      </c>
      <c r="W646" t="s">
        <v>29872</v>
      </c>
      <c r="X646" t="s">
        <v>32527</v>
      </c>
    </row>
    <row r="647" spans="1:24">
      <c r="A647">
        <f>HYPERLINK("https://www.philgeps.gov.ph/GEPSNONPILOT/Tender/SplashBidNoticeAbstractUI.aspx?menuIndex=3&amp;refID=7044844&amp;Result=3","7044844")</f>
        <v>0</v>
      </c>
      <c r="B647" t="s">
        <v>267</v>
      </c>
      <c r="C647" t="s">
        <v>3298</v>
      </c>
      <c r="D647" t="s">
        <v>13032</v>
      </c>
      <c r="E647" t="s">
        <v>13690</v>
      </c>
      <c r="F647" t="s">
        <v>22436</v>
      </c>
      <c r="G647" t="s">
        <v>22444</v>
      </c>
      <c r="H647" t="s">
        <v>22454</v>
      </c>
      <c r="I647" t="s">
        <v>7738</v>
      </c>
      <c r="J647" t="s">
        <v>23123</v>
      </c>
      <c r="K647" t="s">
        <v>29347</v>
      </c>
      <c r="M647" t="s">
        <v>29841</v>
      </c>
      <c r="N647" t="s">
        <v>32524</v>
      </c>
      <c r="O647" t="s">
        <v>32525</v>
      </c>
      <c r="P647">
        <v>0</v>
      </c>
      <c r="Q647">
        <v>0</v>
      </c>
      <c r="R647" t="s">
        <v>32526</v>
      </c>
      <c r="S647" t="s">
        <v>32547</v>
      </c>
      <c r="T647" t="s">
        <v>33157</v>
      </c>
      <c r="U647" t="s">
        <v>34199</v>
      </c>
      <c r="W647" t="s">
        <v>43674</v>
      </c>
      <c r="X647" t="s">
        <v>32527</v>
      </c>
    </row>
    <row r="648" spans="1:24">
      <c r="A648">
        <f>HYPERLINK("https://www.philgeps.gov.ph/GEPSNONPILOT/Tender/SplashBidNoticeAbstractUI.aspx?menuIndex=3&amp;refID=7044836&amp;Result=3","7044836")</f>
        <v>0</v>
      </c>
      <c r="B648" t="s">
        <v>200</v>
      </c>
      <c r="C648" t="s">
        <v>3299</v>
      </c>
      <c r="D648" t="s">
        <v>13037</v>
      </c>
      <c r="E648" t="s">
        <v>13691</v>
      </c>
      <c r="F648" t="s">
        <v>22436</v>
      </c>
      <c r="G648" t="s">
        <v>22443</v>
      </c>
      <c r="H648" t="s">
        <v>22452</v>
      </c>
      <c r="I648" t="s">
        <v>2981</v>
      </c>
      <c r="J648" t="s">
        <v>23124</v>
      </c>
      <c r="K648" t="s">
        <v>29330</v>
      </c>
      <c r="M648" t="s">
        <v>29773</v>
      </c>
      <c r="N648" t="s">
        <v>32524</v>
      </c>
      <c r="O648" t="s">
        <v>32525</v>
      </c>
      <c r="P648">
        <v>0</v>
      </c>
      <c r="Q648">
        <v>0</v>
      </c>
      <c r="R648" t="s">
        <v>32526</v>
      </c>
      <c r="S648" t="s">
        <v>32547</v>
      </c>
      <c r="T648" t="s">
        <v>33161</v>
      </c>
      <c r="U648" t="s">
        <v>34200</v>
      </c>
      <c r="W648" t="s">
        <v>29773</v>
      </c>
      <c r="X648" t="s">
        <v>32527</v>
      </c>
    </row>
    <row r="649" spans="1:24">
      <c r="A649">
        <f>HYPERLINK("https://www.philgeps.gov.ph/GEPSNONPILOT/Tender/SplashBidNoticeAbstractUI.aspx?menuIndex=3&amp;refID=7044833&amp;Result=3","7044833")</f>
        <v>0</v>
      </c>
      <c r="B649" t="s">
        <v>264</v>
      </c>
      <c r="C649" t="s">
        <v>3300</v>
      </c>
      <c r="D649" t="s">
        <v>13018</v>
      </c>
      <c r="E649" t="s">
        <v>13692</v>
      </c>
      <c r="F649" t="s">
        <v>22436</v>
      </c>
      <c r="G649" t="s">
        <v>22443</v>
      </c>
      <c r="H649" t="s">
        <v>22452</v>
      </c>
      <c r="I649" t="s">
        <v>22466</v>
      </c>
      <c r="J649" t="s">
        <v>22588</v>
      </c>
      <c r="K649" t="s">
        <v>29338</v>
      </c>
      <c r="M649" t="s">
        <v>29838</v>
      </c>
      <c r="N649" t="s">
        <v>32524</v>
      </c>
      <c r="O649" t="s">
        <v>32525</v>
      </c>
      <c r="P649">
        <v>0</v>
      </c>
      <c r="Q649">
        <v>1</v>
      </c>
      <c r="R649" t="s">
        <v>32526</v>
      </c>
      <c r="S649" t="s">
        <v>32547</v>
      </c>
      <c r="T649" t="s">
        <v>33163</v>
      </c>
      <c r="U649" t="s">
        <v>34201</v>
      </c>
      <c r="W649" t="s">
        <v>29838</v>
      </c>
      <c r="X649" t="s">
        <v>32527</v>
      </c>
    </row>
    <row r="650" spans="1:24">
      <c r="A650">
        <f>HYPERLINK("https://www.philgeps.gov.ph/GEPSNONPILOT/Tender/SplashBidNoticeAbstractUI.aspx?menuIndex=3&amp;refID=7044834&amp;Result=3","7044834")</f>
        <v>0</v>
      </c>
      <c r="B650" t="s">
        <v>299</v>
      </c>
      <c r="C650" t="s">
        <v>3301</v>
      </c>
      <c r="D650" t="s">
        <v>13026</v>
      </c>
      <c r="E650" t="s">
        <v>13693</v>
      </c>
      <c r="F650" t="s">
        <v>22436</v>
      </c>
      <c r="G650" t="s">
        <v>22443</v>
      </c>
      <c r="H650" t="s">
        <v>22452</v>
      </c>
      <c r="I650" t="s">
        <v>4688</v>
      </c>
      <c r="J650" t="s">
        <v>23125</v>
      </c>
      <c r="K650" t="s">
        <v>29333</v>
      </c>
      <c r="M650" t="s">
        <v>29873</v>
      </c>
      <c r="N650" t="s">
        <v>32524</v>
      </c>
      <c r="O650" t="s">
        <v>32525</v>
      </c>
      <c r="P650">
        <v>0</v>
      </c>
      <c r="Q650">
        <v>1</v>
      </c>
      <c r="R650" t="s">
        <v>32526</v>
      </c>
      <c r="S650" t="s">
        <v>32547</v>
      </c>
      <c r="T650" t="s">
        <v>33197</v>
      </c>
      <c r="U650" t="s">
        <v>34202</v>
      </c>
      <c r="W650" t="s">
        <v>29873</v>
      </c>
      <c r="X650" t="s">
        <v>32527</v>
      </c>
    </row>
    <row r="651" spans="1:24">
      <c r="A651">
        <f>HYPERLINK("https://www.philgeps.gov.ph/GEPSNONPILOT/Tender/SplashBidNoticeAbstractUI.aspx?menuIndex=3&amp;refID=7044829&amp;Result=3","7044829")</f>
        <v>0</v>
      </c>
      <c r="B651" t="s">
        <v>300</v>
      </c>
      <c r="C651" t="s">
        <v>3302</v>
      </c>
      <c r="D651" t="s">
        <v>12988</v>
      </c>
      <c r="E651" t="s">
        <v>13182</v>
      </c>
      <c r="F651" t="s">
        <v>22436</v>
      </c>
      <c r="G651" t="s">
        <v>22443</v>
      </c>
      <c r="H651" t="s">
        <v>22452</v>
      </c>
      <c r="I651" t="s">
        <v>22508</v>
      </c>
      <c r="J651" t="s">
        <v>23126</v>
      </c>
      <c r="K651" t="s">
        <v>29336</v>
      </c>
      <c r="M651" t="s">
        <v>29874</v>
      </c>
      <c r="N651" t="s">
        <v>32524</v>
      </c>
      <c r="O651" t="s">
        <v>32525</v>
      </c>
      <c r="P651">
        <v>0</v>
      </c>
      <c r="Q651">
        <v>5</v>
      </c>
      <c r="R651" t="s">
        <v>32526</v>
      </c>
      <c r="S651" t="s">
        <v>32547</v>
      </c>
      <c r="T651" t="s">
        <v>33167</v>
      </c>
      <c r="U651" t="s">
        <v>34203</v>
      </c>
      <c r="V651" t="s">
        <v>42492</v>
      </c>
      <c r="W651" t="s">
        <v>29874</v>
      </c>
      <c r="X651" t="s">
        <v>32527</v>
      </c>
    </row>
    <row r="652" spans="1:24">
      <c r="A652">
        <f>HYPERLINK("https://www.philgeps.gov.ph/GEPSNONPILOT/Tender/SplashBidNoticeAbstractUI.aspx?menuIndex=3&amp;refID=7044843&amp;Result=3","7044843")</f>
        <v>0</v>
      </c>
      <c r="B652" t="s">
        <v>268</v>
      </c>
      <c r="C652" t="s">
        <v>3227</v>
      </c>
      <c r="D652" t="s">
        <v>13015</v>
      </c>
      <c r="E652" t="s">
        <v>13165</v>
      </c>
      <c r="F652" t="s">
        <v>22436</v>
      </c>
      <c r="G652" t="s">
        <v>22444</v>
      </c>
      <c r="H652" t="s">
        <v>22454</v>
      </c>
      <c r="I652" t="s">
        <v>7738</v>
      </c>
      <c r="J652" t="s">
        <v>22779</v>
      </c>
      <c r="K652" t="s">
        <v>29336</v>
      </c>
      <c r="M652" t="s">
        <v>29842</v>
      </c>
      <c r="N652" t="s">
        <v>32524</v>
      </c>
      <c r="O652" t="s">
        <v>32525</v>
      </c>
      <c r="P652">
        <v>0</v>
      </c>
      <c r="Q652">
        <v>0</v>
      </c>
      <c r="R652" t="s">
        <v>32526</v>
      </c>
      <c r="S652" t="s">
        <v>32547</v>
      </c>
      <c r="T652" t="s">
        <v>33199</v>
      </c>
      <c r="U652" t="s">
        <v>34204</v>
      </c>
      <c r="W652" t="s">
        <v>29842</v>
      </c>
      <c r="X652" t="s">
        <v>32527</v>
      </c>
    </row>
    <row r="653" spans="1:24">
      <c r="A653">
        <f>HYPERLINK("https://www.philgeps.gov.ph/GEPSNONPILOT/Tender/SplashBidNoticeAbstractUI.aspx?menuIndex=3&amp;refID=7044840&amp;Result=3","7044840")</f>
        <v>0</v>
      </c>
      <c r="B653" t="s">
        <v>263</v>
      </c>
      <c r="C653" t="s">
        <v>3303</v>
      </c>
      <c r="D653" t="s">
        <v>12988</v>
      </c>
      <c r="E653" t="s">
        <v>13694</v>
      </c>
      <c r="F653" t="s">
        <v>22436</v>
      </c>
      <c r="G653" t="s">
        <v>22443</v>
      </c>
      <c r="H653" t="s">
        <v>22452</v>
      </c>
      <c r="I653" t="s">
        <v>22477</v>
      </c>
      <c r="J653" t="s">
        <v>23127</v>
      </c>
      <c r="K653" t="s">
        <v>29336</v>
      </c>
      <c r="M653" t="s">
        <v>29837</v>
      </c>
      <c r="N653" t="s">
        <v>32524</v>
      </c>
      <c r="O653" t="s">
        <v>32525</v>
      </c>
      <c r="P653">
        <v>0</v>
      </c>
      <c r="Q653">
        <v>2</v>
      </c>
      <c r="R653" t="s">
        <v>32526</v>
      </c>
      <c r="S653" t="s">
        <v>32547</v>
      </c>
      <c r="T653" t="s">
        <v>33210</v>
      </c>
      <c r="U653" t="s">
        <v>34205</v>
      </c>
      <c r="W653" t="s">
        <v>29837</v>
      </c>
      <c r="X653" t="s">
        <v>32527</v>
      </c>
    </row>
    <row r="654" spans="1:24">
      <c r="A654">
        <f>HYPERLINK("https://www.philgeps.gov.ph/GEPSNONPILOT/Tender/SplashBidNoticeAbstractUI.aspx?menuIndex=3&amp;refID=7044838&amp;Result=3","7044838")</f>
        <v>0</v>
      </c>
      <c r="B654" t="s">
        <v>301</v>
      </c>
      <c r="C654" t="s">
        <v>3304</v>
      </c>
      <c r="D654" t="s">
        <v>13010</v>
      </c>
      <c r="E654" t="s">
        <v>13695</v>
      </c>
      <c r="F654" t="s">
        <v>22436</v>
      </c>
      <c r="G654" t="s">
        <v>22444</v>
      </c>
      <c r="H654" t="s">
        <v>22452</v>
      </c>
      <c r="I654" t="s">
        <v>22461</v>
      </c>
      <c r="J654" t="s">
        <v>23128</v>
      </c>
      <c r="K654" t="s">
        <v>29331</v>
      </c>
      <c r="M654" t="s">
        <v>29875</v>
      </c>
      <c r="N654" t="s">
        <v>32524</v>
      </c>
      <c r="O654" t="s">
        <v>32525</v>
      </c>
      <c r="P654">
        <v>0</v>
      </c>
      <c r="Q654">
        <v>3</v>
      </c>
      <c r="R654" t="s">
        <v>32526</v>
      </c>
      <c r="S654" t="s">
        <v>32547</v>
      </c>
      <c r="T654" t="s">
        <v>33258</v>
      </c>
      <c r="U654" t="s">
        <v>34206</v>
      </c>
      <c r="W654" t="s">
        <v>29875</v>
      </c>
      <c r="X654" t="s">
        <v>32527</v>
      </c>
    </row>
    <row r="655" spans="1:24">
      <c r="A655">
        <f>HYPERLINK("https://www.philgeps.gov.ph/GEPSNONPILOT/Tender/SplashBidNoticeAbstractUI.aspx?menuIndex=3&amp;refID=7044830&amp;Result=3","7044830")</f>
        <v>0</v>
      </c>
      <c r="B655" t="s">
        <v>302</v>
      </c>
      <c r="C655" t="s">
        <v>3305</v>
      </c>
      <c r="D655" t="s">
        <v>12991</v>
      </c>
      <c r="E655" t="s">
        <v>13696</v>
      </c>
      <c r="F655" t="s">
        <v>22436</v>
      </c>
      <c r="G655" t="s">
        <v>22443</v>
      </c>
      <c r="H655" t="s">
        <v>22452</v>
      </c>
      <c r="I655" t="s">
        <v>2962</v>
      </c>
      <c r="J655" t="s">
        <v>22654</v>
      </c>
      <c r="K655" t="s">
        <v>29356</v>
      </c>
      <c r="M655" t="s">
        <v>29876</v>
      </c>
      <c r="N655" t="s">
        <v>32524</v>
      </c>
      <c r="O655" t="s">
        <v>32525</v>
      </c>
      <c r="P655">
        <v>0</v>
      </c>
      <c r="Q655">
        <v>1</v>
      </c>
      <c r="R655" t="s">
        <v>32526</v>
      </c>
      <c r="S655" t="s">
        <v>32547</v>
      </c>
      <c r="T655" t="s">
        <v>33230</v>
      </c>
      <c r="U655" t="s">
        <v>34207</v>
      </c>
      <c r="W655" t="s">
        <v>29876</v>
      </c>
      <c r="X655" t="s">
        <v>32527</v>
      </c>
    </row>
    <row r="656" spans="1:24">
      <c r="A656">
        <f>HYPERLINK("https://www.philgeps.gov.ph/GEPSNONPILOT/Tender/SplashBidNoticeAbstractUI.aspx?menuIndex=3&amp;refID=7044848&amp;Result=3","7044848")</f>
        <v>0</v>
      </c>
      <c r="B656" t="s">
        <v>200</v>
      </c>
      <c r="C656" t="s">
        <v>3306</v>
      </c>
      <c r="D656" t="s">
        <v>13037</v>
      </c>
      <c r="E656" t="s">
        <v>13697</v>
      </c>
      <c r="F656" t="s">
        <v>22436</v>
      </c>
      <c r="G656" t="s">
        <v>22443</v>
      </c>
      <c r="H656" t="s">
        <v>22452</v>
      </c>
      <c r="I656" t="s">
        <v>2981</v>
      </c>
      <c r="J656" t="s">
        <v>22583</v>
      </c>
      <c r="K656" t="s">
        <v>29330</v>
      </c>
      <c r="M656" t="s">
        <v>29773</v>
      </c>
      <c r="N656" t="s">
        <v>32524</v>
      </c>
      <c r="O656" t="s">
        <v>32525</v>
      </c>
      <c r="P656">
        <v>0</v>
      </c>
      <c r="Q656">
        <v>0</v>
      </c>
      <c r="R656" t="s">
        <v>32526</v>
      </c>
      <c r="S656" t="s">
        <v>32547</v>
      </c>
      <c r="T656" t="s">
        <v>33161</v>
      </c>
      <c r="U656" t="s">
        <v>34208</v>
      </c>
      <c r="W656" t="s">
        <v>29773</v>
      </c>
      <c r="X656" t="s">
        <v>32527</v>
      </c>
    </row>
    <row r="657" spans="1:24">
      <c r="A657">
        <f>HYPERLINK("https://www.philgeps.gov.ph/GEPSNONPILOT/Tender/SplashBidNoticeAbstractUI.aspx?menuIndex=3&amp;refID=7044842&amp;Result=3","7044842")</f>
        <v>0</v>
      </c>
      <c r="B657" t="s">
        <v>303</v>
      </c>
      <c r="C657" t="s">
        <v>3307</v>
      </c>
      <c r="D657" t="s">
        <v>13026</v>
      </c>
      <c r="E657" t="s">
        <v>13698</v>
      </c>
      <c r="F657" t="s">
        <v>22436</v>
      </c>
      <c r="G657" t="s">
        <v>22443</v>
      </c>
      <c r="H657" t="s">
        <v>22452</v>
      </c>
      <c r="I657" t="s">
        <v>22465</v>
      </c>
      <c r="J657" t="s">
        <v>23129</v>
      </c>
      <c r="K657" t="s">
        <v>29336</v>
      </c>
      <c r="M657" t="s">
        <v>29877</v>
      </c>
      <c r="N657" t="s">
        <v>32524</v>
      </c>
      <c r="O657" t="s">
        <v>32525</v>
      </c>
      <c r="P657">
        <v>0</v>
      </c>
      <c r="Q657">
        <v>0</v>
      </c>
      <c r="R657" t="s">
        <v>32526</v>
      </c>
      <c r="S657" t="s">
        <v>32547</v>
      </c>
      <c r="T657" t="s">
        <v>33181</v>
      </c>
      <c r="U657" t="s">
        <v>34209</v>
      </c>
      <c r="W657" t="s">
        <v>29877</v>
      </c>
      <c r="X657" t="s">
        <v>32527</v>
      </c>
    </row>
    <row r="658" spans="1:24">
      <c r="A658">
        <f>HYPERLINK("https://www.philgeps.gov.ph/GEPSNONPILOT/Tender/SplashBidNoticeAbstractUI.aspx?menuIndex=3&amp;refID=7044851&amp;Result=3","7044851")</f>
        <v>0</v>
      </c>
      <c r="B658" t="s">
        <v>192</v>
      </c>
      <c r="C658" t="s">
        <v>3308</v>
      </c>
      <c r="D658" t="s">
        <v>13048</v>
      </c>
      <c r="E658" t="s">
        <v>13699</v>
      </c>
      <c r="F658" t="s">
        <v>22436</v>
      </c>
      <c r="G658" t="s">
        <v>22444</v>
      </c>
      <c r="H658" t="s">
        <v>22454</v>
      </c>
      <c r="I658" t="s">
        <v>7738</v>
      </c>
      <c r="J658" t="s">
        <v>23130</v>
      </c>
      <c r="K658" t="s">
        <v>29338</v>
      </c>
      <c r="M658" t="s">
        <v>29765</v>
      </c>
      <c r="N658" t="s">
        <v>32524</v>
      </c>
      <c r="O658" t="s">
        <v>32525</v>
      </c>
      <c r="P658">
        <v>0</v>
      </c>
      <c r="Q658">
        <v>0</v>
      </c>
      <c r="R658" t="s">
        <v>32526</v>
      </c>
      <c r="S658" t="s">
        <v>32547</v>
      </c>
      <c r="T658" t="s">
        <v>33170</v>
      </c>
      <c r="U658" t="s">
        <v>33981</v>
      </c>
      <c r="W658" t="s">
        <v>29765</v>
      </c>
      <c r="X658" t="s">
        <v>32527</v>
      </c>
    </row>
    <row r="659" spans="1:24">
      <c r="A659">
        <f>HYPERLINK("https://www.philgeps.gov.ph/GEPSNONPILOT/Tender/SplashBidNoticeAbstractUI.aspx?menuIndex=3&amp;refID=7044837&amp;Result=3","7044837")</f>
        <v>0</v>
      </c>
      <c r="B659" t="s">
        <v>304</v>
      </c>
      <c r="C659" t="s">
        <v>3309</v>
      </c>
      <c r="D659" t="s">
        <v>13000</v>
      </c>
      <c r="E659" t="s">
        <v>13700</v>
      </c>
      <c r="F659" t="s">
        <v>22436</v>
      </c>
      <c r="G659" t="s">
        <v>22443</v>
      </c>
      <c r="H659" t="s">
        <v>22452</v>
      </c>
      <c r="I659" t="s">
        <v>22504</v>
      </c>
      <c r="J659" t="s">
        <v>23079</v>
      </c>
      <c r="K659" t="s">
        <v>29358</v>
      </c>
      <c r="M659" t="s">
        <v>29878</v>
      </c>
      <c r="N659" t="s">
        <v>32524</v>
      </c>
      <c r="O659" t="s">
        <v>32525</v>
      </c>
      <c r="P659">
        <v>0</v>
      </c>
      <c r="Q659">
        <v>1</v>
      </c>
      <c r="R659" t="s">
        <v>32526</v>
      </c>
      <c r="S659" t="s">
        <v>32547</v>
      </c>
      <c r="T659" t="s">
        <v>33167</v>
      </c>
      <c r="U659" t="s">
        <v>34210</v>
      </c>
      <c r="W659" t="s">
        <v>29878</v>
      </c>
      <c r="X659" t="s">
        <v>32527</v>
      </c>
    </row>
    <row r="660" spans="1:24">
      <c r="A660">
        <f>HYPERLINK("https://www.philgeps.gov.ph/GEPSNONPILOT/Tender/SplashBidNoticeAbstractUI.aspx?menuIndex=3&amp;refID=7044850&amp;Result=3","7044850")</f>
        <v>0</v>
      </c>
      <c r="B660" t="s">
        <v>305</v>
      </c>
      <c r="C660" t="s">
        <v>3310</v>
      </c>
      <c r="D660" t="s">
        <v>13006</v>
      </c>
      <c r="E660" t="s">
        <v>13701</v>
      </c>
      <c r="F660" t="s">
        <v>22436</v>
      </c>
      <c r="G660" t="s">
        <v>22444</v>
      </c>
      <c r="H660" t="s">
        <v>22454</v>
      </c>
      <c r="I660" t="s">
        <v>7738</v>
      </c>
      <c r="J660" t="s">
        <v>23131</v>
      </c>
      <c r="K660" t="s">
        <v>29333</v>
      </c>
      <c r="M660" t="s">
        <v>29879</v>
      </c>
      <c r="N660" t="s">
        <v>32524</v>
      </c>
      <c r="O660" t="s">
        <v>32525</v>
      </c>
      <c r="P660">
        <v>0</v>
      </c>
      <c r="Q660">
        <v>0</v>
      </c>
      <c r="R660" t="s">
        <v>32526</v>
      </c>
      <c r="S660" t="s">
        <v>32547</v>
      </c>
      <c r="T660" t="s">
        <v>33182</v>
      </c>
      <c r="U660" t="s">
        <v>34211</v>
      </c>
      <c r="W660" t="s">
        <v>29879</v>
      </c>
      <c r="X660" t="s">
        <v>32527</v>
      </c>
    </row>
    <row r="661" spans="1:24">
      <c r="A661">
        <f>HYPERLINK("https://www.philgeps.gov.ph/GEPSNONPILOT/Tender/SplashBidNoticeAbstractUI.aspx?menuIndex=3&amp;refID=7044849&amp;Result=3","7044849")</f>
        <v>0</v>
      </c>
      <c r="B661" t="s">
        <v>124</v>
      </c>
      <c r="C661" t="s">
        <v>3311</v>
      </c>
      <c r="D661" t="s">
        <v>13031</v>
      </c>
      <c r="E661" t="s">
        <v>13702</v>
      </c>
      <c r="F661" t="s">
        <v>22436</v>
      </c>
      <c r="G661" t="s">
        <v>22443</v>
      </c>
      <c r="H661" t="s">
        <v>22452</v>
      </c>
      <c r="I661" t="s">
        <v>22482</v>
      </c>
      <c r="J661" t="s">
        <v>23132</v>
      </c>
      <c r="K661" t="s">
        <v>29338</v>
      </c>
      <c r="M661" t="s">
        <v>29696</v>
      </c>
      <c r="N661" t="s">
        <v>32524</v>
      </c>
      <c r="O661" t="s">
        <v>32525</v>
      </c>
      <c r="P661">
        <v>0</v>
      </c>
      <c r="Q661">
        <v>5</v>
      </c>
      <c r="R661" t="s">
        <v>32526</v>
      </c>
      <c r="S661" t="s">
        <v>32547</v>
      </c>
      <c r="T661" t="s">
        <v>33183</v>
      </c>
      <c r="U661" t="s">
        <v>34212</v>
      </c>
      <c r="W661" t="s">
        <v>29696</v>
      </c>
      <c r="X661" t="s">
        <v>32527</v>
      </c>
    </row>
    <row r="662" spans="1:24">
      <c r="A662">
        <f>HYPERLINK("https://www.philgeps.gov.ph/GEPSNONPILOT/Tender/SplashBidNoticeAbstractUI.aspx?menuIndex=3&amp;refID=7044852&amp;Result=3","7044852")</f>
        <v>0</v>
      </c>
      <c r="B662" t="s">
        <v>194</v>
      </c>
      <c r="C662" t="s">
        <v>3312</v>
      </c>
      <c r="D662" t="s">
        <v>13031</v>
      </c>
      <c r="E662" t="s">
        <v>13703</v>
      </c>
      <c r="F662" t="s">
        <v>22436</v>
      </c>
      <c r="G662" t="s">
        <v>22443</v>
      </c>
      <c r="H662" t="s">
        <v>22452</v>
      </c>
      <c r="I662" t="s">
        <v>22456</v>
      </c>
      <c r="J662" t="s">
        <v>22874</v>
      </c>
      <c r="K662" t="s">
        <v>29338</v>
      </c>
      <c r="M662" t="s">
        <v>29767</v>
      </c>
      <c r="N662" t="s">
        <v>32524</v>
      </c>
      <c r="O662" t="s">
        <v>32525</v>
      </c>
      <c r="P662">
        <v>0</v>
      </c>
      <c r="Q662">
        <v>1</v>
      </c>
      <c r="R662" t="s">
        <v>32526</v>
      </c>
      <c r="S662" t="s">
        <v>32547</v>
      </c>
      <c r="T662" t="s">
        <v>33177</v>
      </c>
      <c r="U662" t="s">
        <v>33984</v>
      </c>
      <c r="W662" t="s">
        <v>29767</v>
      </c>
      <c r="X662" t="s">
        <v>32527</v>
      </c>
    </row>
    <row r="663" spans="1:24">
      <c r="A663">
        <f>HYPERLINK("https://www.philgeps.gov.ph/GEPSNONPILOT/Tender/SplashBidNoticeAbstractUI.aspx?menuIndex=3&amp;refID=7044854&amp;Result=3","7044854")</f>
        <v>0</v>
      </c>
      <c r="B663" t="s">
        <v>306</v>
      </c>
      <c r="C663" t="s">
        <v>3313</v>
      </c>
      <c r="D663" t="s">
        <v>13022</v>
      </c>
      <c r="E663" t="s">
        <v>13704</v>
      </c>
      <c r="F663" t="s">
        <v>22436</v>
      </c>
      <c r="G663" t="s">
        <v>22445</v>
      </c>
      <c r="H663" t="s">
        <v>22452</v>
      </c>
      <c r="I663" t="s">
        <v>22460</v>
      </c>
      <c r="J663" t="s">
        <v>23133</v>
      </c>
      <c r="K663" t="s">
        <v>29338</v>
      </c>
      <c r="M663" t="s">
        <v>29880</v>
      </c>
      <c r="N663" t="s">
        <v>32524</v>
      </c>
      <c r="O663" t="s">
        <v>32525</v>
      </c>
      <c r="P663">
        <v>0</v>
      </c>
      <c r="Q663">
        <v>2</v>
      </c>
      <c r="R663" t="s">
        <v>32526</v>
      </c>
      <c r="S663" t="s">
        <v>32547</v>
      </c>
      <c r="T663" t="s">
        <v>33154</v>
      </c>
      <c r="U663" t="s">
        <v>33876</v>
      </c>
      <c r="W663" t="s">
        <v>29880</v>
      </c>
      <c r="X663" t="s">
        <v>32527</v>
      </c>
    </row>
    <row r="664" spans="1:24">
      <c r="A664">
        <f>HYPERLINK("https://www.philgeps.gov.ph/GEPSNONPILOT/Tender/SplashBidNoticeAbstractUI.aspx?menuIndex=3&amp;refID=7044860&amp;Result=3","7044860")</f>
        <v>0</v>
      </c>
      <c r="B664" t="s">
        <v>198</v>
      </c>
      <c r="C664" t="s">
        <v>3314</v>
      </c>
      <c r="D664" t="s">
        <v>13002</v>
      </c>
      <c r="E664" t="s">
        <v>13705</v>
      </c>
      <c r="F664" t="s">
        <v>22436</v>
      </c>
      <c r="G664" t="s">
        <v>22443</v>
      </c>
      <c r="H664" t="s">
        <v>22452</v>
      </c>
      <c r="I664" t="s">
        <v>22465</v>
      </c>
      <c r="J664" t="s">
        <v>23134</v>
      </c>
      <c r="K664" t="s">
        <v>29336</v>
      </c>
      <c r="M664" t="s">
        <v>29771</v>
      </c>
      <c r="N664" t="s">
        <v>32524</v>
      </c>
      <c r="O664" t="s">
        <v>32525</v>
      </c>
      <c r="P664">
        <v>0</v>
      </c>
      <c r="Q664">
        <v>0</v>
      </c>
      <c r="R664" t="s">
        <v>32526</v>
      </c>
      <c r="S664" t="s">
        <v>32547</v>
      </c>
      <c r="T664" t="s">
        <v>33215</v>
      </c>
      <c r="U664" t="s">
        <v>34213</v>
      </c>
      <c r="W664" t="s">
        <v>29771</v>
      </c>
      <c r="X664" t="s">
        <v>32527</v>
      </c>
    </row>
    <row r="665" spans="1:24">
      <c r="A665">
        <f>HYPERLINK("https://www.philgeps.gov.ph/GEPSNONPILOT/Tender/SplashBidNoticeAbstractUI.aspx?menuIndex=3&amp;refID=7044853&amp;Result=3","7044853")</f>
        <v>0</v>
      </c>
      <c r="B665" t="s">
        <v>296</v>
      </c>
      <c r="C665" t="s">
        <v>3315</v>
      </c>
      <c r="D665" t="s">
        <v>12988</v>
      </c>
      <c r="E665" t="s">
        <v>13684</v>
      </c>
      <c r="F665" t="s">
        <v>22436</v>
      </c>
      <c r="G665" t="s">
        <v>22443</v>
      </c>
      <c r="H665" t="s">
        <v>22452</v>
      </c>
      <c r="I665" t="s">
        <v>22494</v>
      </c>
      <c r="J665" t="s">
        <v>23135</v>
      </c>
      <c r="K665" t="s">
        <v>29331</v>
      </c>
      <c r="M665" t="s">
        <v>29870</v>
      </c>
      <c r="N665" t="s">
        <v>32524</v>
      </c>
      <c r="O665" t="s">
        <v>32525</v>
      </c>
      <c r="P665">
        <v>0</v>
      </c>
      <c r="Q665">
        <v>0</v>
      </c>
      <c r="R665" t="s">
        <v>32526</v>
      </c>
      <c r="S665" t="s">
        <v>32547</v>
      </c>
      <c r="T665" t="s">
        <v>33203</v>
      </c>
      <c r="U665" t="s">
        <v>34214</v>
      </c>
      <c r="W665" t="s">
        <v>29870</v>
      </c>
      <c r="X665" t="s">
        <v>32527</v>
      </c>
    </row>
    <row r="666" spans="1:24">
      <c r="A666">
        <f>HYPERLINK("https://www.philgeps.gov.ph/GEPSNONPILOT/Tender/SplashBidNoticeAbstractUI.aspx?menuIndex=3&amp;refID=7044858&amp;Result=3","7044858")</f>
        <v>0</v>
      </c>
      <c r="B666" t="s">
        <v>307</v>
      </c>
      <c r="C666" t="s">
        <v>3316</v>
      </c>
      <c r="D666" t="s">
        <v>13032</v>
      </c>
      <c r="E666" t="s">
        <v>13706</v>
      </c>
      <c r="F666" t="s">
        <v>22436</v>
      </c>
      <c r="G666" t="s">
        <v>22444</v>
      </c>
      <c r="H666" t="s">
        <v>22454</v>
      </c>
      <c r="I666" t="s">
        <v>7738</v>
      </c>
      <c r="J666" t="s">
        <v>23136</v>
      </c>
      <c r="K666" t="s">
        <v>29338</v>
      </c>
      <c r="M666" t="s">
        <v>29881</v>
      </c>
      <c r="N666" t="s">
        <v>32524</v>
      </c>
      <c r="O666" t="s">
        <v>32525</v>
      </c>
      <c r="P666">
        <v>0</v>
      </c>
      <c r="Q666">
        <v>0</v>
      </c>
      <c r="R666" t="s">
        <v>32526</v>
      </c>
      <c r="S666" t="s">
        <v>32547</v>
      </c>
      <c r="T666" t="s">
        <v>33259</v>
      </c>
      <c r="U666" t="s">
        <v>34215</v>
      </c>
      <c r="W666" t="s">
        <v>29881</v>
      </c>
      <c r="X666" t="s">
        <v>32527</v>
      </c>
    </row>
    <row r="667" spans="1:24">
      <c r="A667">
        <f>HYPERLINK("https://www.philgeps.gov.ph/GEPSNONPILOT/Tender/SplashBidNoticeAbstractUI.aspx?menuIndex=3&amp;refID=7044857&amp;Result=3","7044857")</f>
        <v>0</v>
      </c>
      <c r="B667" t="s">
        <v>308</v>
      </c>
      <c r="C667" t="s">
        <v>3317</v>
      </c>
      <c r="D667" t="s">
        <v>12999</v>
      </c>
      <c r="E667" t="s">
        <v>13707</v>
      </c>
      <c r="F667" t="s">
        <v>22436</v>
      </c>
      <c r="G667" t="s">
        <v>22443</v>
      </c>
      <c r="H667" t="s">
        <v>22452</v>
      </c>
      <c r="I667" t="s">
        <v>3529</v>
      </c>
      <c r="J667" t="s">
        <v>22724</v>
      </c>
      <c r="K667" t="s">
        <v>29337</v>
      </c>
      <c r="M667" t="s">
        <v>29882</v>
      </c>
      <c r="N667" t="s">
        <v>32524</v>
      </c>
      <c r="O667" t="s">
        <v>32525</v>
      </c>
      <c r="P667">
        <v>0</v>
      </c>
      <c r="Q667">
        <v>1</v>
      </c>
      <c r="R667" t="s">
        <v>32526</v>
      </c>
      <c r="S667" t="s">
        <v>32547</v>
      </c>
      <c r="T667" t="s">
        <v>33194</v>
      </c>
      <c r="U667" t="s">
        <v>34216</v>
      </c>
      <c r="W667" t="s">
        <v>29882</v>
      </c>
      <c r="X667" t="s">
        <v>32527</v>
      </c>
    </row>
    <row r="668" spans="1:24">
      <c r="A668">
        <f>HYPERLINK("https://www.philgeps.gov.ph/GEPSNONPILOT/Tender/SplashBidNoticeAbstractUI.aspx?menuIndex=3&amp;refID=7044859&amp;Result=3","7044859")</f>
        <v>0</v>
      </c>
      <c r="B668" t="s">
        <v>103</v>
      </c>
      <c r="C668" t="s">
        <v>3318</v>
      </c>
      <c r="D668" t="s">
        <v>13030</v>
      </c>
      <c r="E668" t="s">
        <v>13708</v>
      </c>
      <c r="F668" t="s">
        <v>22436</v>
      </c>
      <c r="G668" t="s">
        <v>22444</v>
      </c>
      <c r="H668" t="s">
        <v>22454</v>
      </c>
      <c r="I668" t="s">
        <v>7738</v>
      </c>
      <c r="J668" t="s">
        <v>23093</v>
      </c>
      <c r="K668" t="s">
        <v>29329</v>
      </c>
      <c r="M668" t="s">
        <v>29675</v>
      </c>
      <c r="N668" t="s">
        <v>32524</v>
      </c>
      <c r="O668" t="s">
        <v>32525</v>
      </c>
      <c r="P668">
        <v>0</v>
      </c>
      <c r="Q668">
        <v>0</v>
      </c>
      <c r="R668" t="s">
        <v>32526</v>
      </c>
      <c r="S668" t="s">
        <v>32547</v>
      </c>
      <c r="T668" t="s">
        <v>33175</v>
      </c>
      <c r="U668" t="s">
        <v>34217</v>
      </c>
      <c r="V668" t="s">
        <v>42493</v>
      </c>
      <c r="W668" t="s">
        <v>29675</v>
      </c>
      <c r="X668" t="s">
        <v>32527</v>
      </c>
    </row>
    <row r="669" spans="1:24">
      <c r="A669">
        <f>HYPERLINK("https://www.philgeps.gov.ph/GEPSNONPILOT/Tender/SplashBidNoticeAbstractUI.aspx?menuIndex=3&amp;refID=7044869&amp;Result=3","7044869")</f>
        <v>0</v>
      </c>
      <c r="B669" t="s">
        <v>309</v>
      </c>
      <c r="C669" t="s">
        <v>3319</v>
      </c>
      <c r="D669" t="s">
        <v>12988</v>
      </c>
      <c r="E669" t="s">
        <v>13182</v>
      </c>
      <c r="F669" t="s">
        <v>22436</v>
      </c>
      <c r="G669" t="s">
        <v>22443</v>
      </c>
      <c r="H669" t="s">
        <v>22452</v>
      </c>
      <c r="I669" t="s">
        <v>22508</v>
      </c>
      <c r="J669" t="s">
        <v>22874</v>
      </c>
      <c r="K669" t="s">
        <v>29336</v>
      </c>
      <c r="M669" t="s">
        <v>29883</v>
      </c>
      <c r="N669" t="s">
        <v>32524</v>
      </c>
      <c r="O669" t="s">
        <v>32525</v>
      </c>
      <c r="P669">
        <v>0</v>
      </c>
      <c r="Q669">
        <v>10</v>
      </c>
      <c r="R669" t="s">
        <v>32526</v>
      </c>
      <c r="S669" t="s">
        <v>32547</v>
      </c>
      <c r="T669" t="s">
        <v>33196</v>
      </c>
      <c r="U669" t="s">
        <v>34218</v>
      </c>
      <c r="W669" t="s">
        <v>29883</v>
      </c>
      <c r="X669" t="s">
        <v>32527</v>
      </c>
    </row>
    <row r="670" spans="1:24">
      <c r="A670">
        <f>HYPERLINK("https://www.philgeps.gov.ph/GEPSNONPILOT/Tender/SplashBidNoticeAbstractUI.aspx?menuIndex=3&amp;refID=7044871&amp;Result=3","7044871")</f>
        <v>0</v>
      </c>
      <c r="B670" t="s">
        <v>77</v>
      </c>
      <c r="C670" t="s">
        <v>3320</v>
      </c>
      <c r="D670" t="s">
        <v>13001</v>
      </c>
      <c r="E670" t="s">
        <v>13709</v>
      </c>
      <c r="F670" t="s">
        <v>22436</v>
      </c>
      <c r="G670" t="s">
        <v>22443</v>
      </c>
      <c r="H670" t="s">
        <v>22454</v>
      </c>
      <c r="I670" t="s">
        <v>7738</v>
      </c>
      <c r="J670" t="s">
        <v>23137</v>
      </c>
      <c r="K670" t="s">
        <v>29338</v>
      </c>
      <c r="L670" t="s">
        <v>77</v>
      </c>
      <c r="M670" t="s">
        <v>29884</v>
      </c>
      <c r="N670" t="s">
        <v>32524</v>
      </c>
      <c r="O670" t="s">
        <v>32525</v>
      </c>
      <c r="P670">
        <v>0</v>
      </c>
      <c r="Q670">
        <v>2</v>
      </c>
      <c r="R670" t="s">
        <v>32526</v>
      </c>
      <c r="S670" t="s">
        <v>32547</v>
      </c>
      <c r="T670" t="s">
        <v>33169</v>
      </c>
      <c r="U670" t="s">
        <v>34219</v>
      </c>
      <c r="W670" t="s">
        <v>29884</v>
      </c>
      <c r="X670" t="s">
        <v>32527</v>
      </c>
    </row>
    <row r="671" spans="1:24">
      <c r="A671">
        <f>HYPERLINK("https://www.philgeps.gov.ph/GEPSNONPILOT/Tender/SplashBidNoticeAbstractUI.aspx?menuIndex=3&amp;refID=7044856&amp;Result=3","7044856")</f>
        <v>0</v>
      </c>
      <c r="B671" t="s">
        <v>241</v>
      </c>
      <c r="C671" t="s">
        <v>3321</v>
      </c>
      <c r="D671" t="s">
        <v>13031</v>
      </c>
      <c r="E671" t="s">
        <v>13092</v>
      </c>
      <c r="F671" t="s">
        <v>22436</v>
      </c>
      <c r="G671" t="s">
        <v>22443</v>
      </c>
      <c r="H671" t="s">
        <v>22452</v>
      </c>
      <c r="I671" t="s">
        <v>12358</v>
      </c>
      <c r="J671" t="s">
        <v>22817</v>
      </c>
      <c r="K671" t="s">
        <v>29329</v>
      </c>
      <c r="M671" t="s">
        <v>29815</v>
      </c>
      <c r="N671" t="s">
        <v>32524</v>
      </c>
      <c r="O671" t="s">
        <v>32525</v>
      </c>
      <c r="P671">
        <v>0</v>
      </c>
      <c r="Q671">
        <v>0</v>
      </c>
      <c r="R671" t="s">
        <v>32526</v>
      </c>
      <c r="S671" t="s">
        <v>32547</v>
      </c>
      <c r="T671" t="s">
        <v>33161</v>
      </c>
      <c r="U671" t="s">
        <v>34220</v>
      </c>
      <c r="W671" t="s">
        <v>29815</v>
      </c>
      <c r="X671" t="s">
        <v>32527</v>
      </c>
    </row>
    <row r="672" spans="1:24">
      <c r="A672">
        <f>HYPERLINK("https://www.philgeps.gov.ph/GEPSNONPILOT/Tender/SplashBidNoticeAbstractUI.aspx?menuIndex=3&amp;refID=7044863&amp;Result=3","7044863")</f>
        <v>0</v>
      </c>
      <c r="B672" t="s">
        <v>246</v>
      </c>
      <c r="C672" t="s">
        <v>3175</v>
      </c>
      <c r="D672" t="s">
        <v>13012</v>
      </c>
      <c r="E672" t="s">
        <v>13710</v>
      </c>
      <c r="F672" t="s">
        <v>22436</v>
      </c>
      <c r="G672" t="s">
        <v>22443</v>
      </c>
      <c r="H672" t="s">
        <v>22453</v>
      </c>
      <c r="I672" t="s">
        <v>3027</v>
      </c>
      <c r="J672" t="s">
        <v>23120</v>
      </c>
      <c r="K672" t="s">
        <v>29370</v>
      </c>
      <c r="M672" t="s">
        <v>29820</v>
      </c>
      <c r="N672" t="s">
        <v>32524</v>
      </c>
      <c r="O672" t="s">
        <v>32525</v>
      </c>
      <c r="P672">
        <v>0</v>
      </c>
      <c r="Q672">
        <v>0</v>
      </c>
      <c r="R672" t="s">
        <v>32526</v>
      </c>
      <c r="S672" t="s">
        <v>32547</v>
      </c>
      <c r="T672" t="s">
        <v>33252</v>
      </c>
      <c r="U672" t="s">
        <v>34221</v>
      </c>
      <c r="W672" t="s">
        <v>29820</v>
      </c>
      <c r="X672" t="s">
        <v>32527</v>
      </c>
    </row>
    <row r="673" spans="1:24">
      <c r="A673">
        <f>HYPERLINK("https://www.philgeps.gov.ph/GEPSNONPILOT/Tender/SplashBidNoticeAbstractUI.aspx?menuIndex=3&amp;refID=7044868&amp;Result=3","7044868")</f>
        <v>0</v>
      </c>
      <c r="B673" t="s">
        <v>310</v>
      </c>
      <c r="C673" t="s">
        <v>3322</v>
      </c>
      <c r="D673" t="s">
        <v>13005</v>
      </c>
      <c r="E673" t="s">
        <v>13711</v>
      </c>
      <c r="F673" t="s">
        <v>22436</v>
      </c>
      <c r="G673" t="s">
        <v>22446</v>
      </c>
      <c r="H673" t="s">
        <v>22452</v>
      </c>
      <c r="I673" t="s">
        <v>22460</v>
      </c>
      <c r="J673" t="s">
        <v>23138</v>
      </c>
      <c r="K673" t="s">
        <v>29331</v>
      </c>
      <c r="M673" t="s">
        <v>29885</v>
      </c>
      <c r="N673" t="s">
        <v>32524</v>
      </c>
      <c r="O673" t="s">
        <v>32525</v>
      </c>
      <c r="P673">
        <v>0</v>
      </c>
      <c r="Q673">
        <v>1</v>
      </c>
      <c r="R673" t="s">
        <v>32526</v>
      </c>
      <c r="S673" t="s">
        <v>32547</v>
      </c>
      <c r="T673" t="s">
        <v>33162</v>
      </c>
      <c r="U673" t="s">
        <v>34222</v>
      </c>
      <c r="W673" t="s">
        <v>29885</v>
      </c>
      <c r="X673" t="s">
        <v>32527</v>
      </c>
    </row>
    <row r="674" spans="1:24">
      <c r="A674">
        <f>HYPERLINK("https://www.philgeps.gov.ph/GEPSNONPILOT/Tender/SplashBidNoticeAbstractUI.aspx?menuIndex=3&amp;refID=7044867&amp;Result=3","7044867")</f>
        <v>0</v>
      </c>
      <c r="B674" t="s">
        <v>200</v>
      </c>
      <c r="C674" t="s">
        <v>3323</v>
      </c>
      <c r="D674" t="s">
        <v>13037</v>
      </c>
      <c r="E674" t="s">
        <v>13712</v>
      </c>
      <c r="F674" t="s">
        <v>22436</v>
      </c>
      <c r="G674" t="s">
        <v>22443</v>
      </c>
      <c r="H674" t="s">
        <v>22452</v>
      </c>
      <c r="I674" t="s">
        <v>22468</v>
      </c>
      <c r="J674" t="s">
        <v>23139</v>
      </c>
      <c r="K674" t="s">
        <v>29330</v>
      </c>
      <c r="M674" t="s">
        <v>29773</v>
      </c>
      <c r="N674" t="s">
        <v>32524</v>
      </c>
      <c r="O674" t="s">
        <v>32525</v>
      </c>
      <c r="P674">
        <v>0</v>
      </c>
      <c r="Q674">
        <v>2</v>
      </c>
      <c r="R674" t="s">
        <v>32526</v>
      </c>
      <c r="S674" t="s">
        <v>32547</v>
      </c>
      <c r="T674" t="s">
        <v>33161</v>
      </c>
      <c r="U674" t="s">
        <v>34223</v>
      </c>
      <c r="W674" t="s">
        <v>29773</v>
      </c>
      <c r="X674" t="s">
        <v>32527</v>
      </c>
    </row>
    <row r="675" spans="1:24">
      <c r="A675">
        <f>HYPERLINK("https://www.philgeps.gov.ph/GEPSNONPILOT/Tender/SplashBidNoticeAbstractUI.aspx?menuIndex=3&amp;refID=7044870&amp;Result=3","7044870")</f>
        <v>0</v>
      </c>
      <c r="B675" t="s">
        <v>311</v>
      </c>
      <c r="C675" t="s">
        <v>3324</v>
      </c>
      <c r="D675" t="s">
        <v>13035</v>
      </c>
      <c r="E675" t="s">
        <v>13713</v>
      </c>
      <c r="F675" t="s">
        <v>22436</v>
      </c>
      <c r="G675" t="s">
        <v>22447</v>
      </c>
      <c r="H675" t="s">
        <v>22452</v>
      </c>
      <c r="I675" t="s">
        <v>22504</v>
      </c>
      <c r="J675" t="s">
        <v>22874</v>
      </c>
      <c r="K675" t="s">
        <v>29338</v>
      </c>
      <c r="M675" t="s">
        <v>29886</v>
      </c>
      <c r="N675" t="s">
        <v>32524</v>
      </c>
      <c r="O675" t="s">
        <v>32525</v>
      </c>
      <c r="P675">
        <v>0</v>
      </c>
      <c r="Q675">
        <v>0</v>
      </c>
      <c r="R675" t="s">
        <v>32526</v>
      </c>
      <c r="S675" t="s">
        <v>32547</v>
      </c>
      <c r="T675" t="s">
        <v>33180</v>
      </c>
      <c r="U675" t="s">
        <v>34224</v>
      </c>
      <c r="W675" t="s">
        <v>29886</v>
      </c>
      <c r="X675" t="s">
        <v>32527</v>
      </c>
    </row>
    <row r="676" spans="1:24">
      <c r="A676">
        <f>HYPERLINK("https://www.philgeps.gov.ph/GEPSNONPILOT/Tender/SplashBidNoticeAbstractUI.aspx?menuIndex=3&amp;refID=7044861&amp;Result=3","7044861")</f>
        <v>0</v>
      </c>
      <c r="B676" t="s">
        <v>312</v>
      </c>
      <c r="C676" t="s">
        <v>3325</v>
      </c>
      <c r="D676" t="s">
        <v>13049</v>
      </c>
      <c r="E676" t="s">
        <v>13714</v>
      </c>
      <c r="F676" t="s">
        <v>22436</v>
      </c>
      <c r="G676" t="s">
        <v>22444</v>
      </c>
      <c r="H676" t="s">
        <v>22454</v>
      </c>
      <c r="I676" t="s">
        <v>3529</v>
      </c>
      <c r="J676" t="s">
        <v>23140</v>
      </c>
      <c r="K676" t="s">
        <v>29355</v>
      </c>
      <c r="M676" t="s">
        <v>29887</v>
      </c>
      <c r="N676" t="s">
        <v>32524</v>
      </c>
      <c r="O676" t="s">
        <v>32525</v>
      </c>
      <c r="P676">
        <v>0</v>
      </c>
      <c r="Q676">
        <v>0</v>
      </c>
      <c r="R676" t="s">
        <v>32526</v>
      </c>
      <c r="S676" t="s">
        <v>32547</v>
      </c>
      <c r="T676" t="s">
        <v>33153</v>
      </c>
      <c r="U676" t="s">
        <v>34225</v>
      </c>
      <c r="W676" t="s">
        <v>29887</v>
      </c>
      <c r="X676" t="s">
        <v>32527</v>
      </c>
    </row>
    <row r="677" spans="1:24">
      <c r="A677">
        <f>HYPERLINK("https://www.philgeps.gov.ph/GEPSNONPILOT/Tender/SplashBidNoticeAbstractUI.aspx?menuIndex=3&amp;refID=7044865&amp;Result=3","7044865")</f>
        <v>0</v>
      </c>
      <c r="B677" t="s">
        <v>293</v>
      </c>
      <c r="C677" t="s">
        <v>3326</v>
      </c>
      <c r="D677" t="s">
        <v>13046</v>
      </c>
      <c r="E677" t="s">
        <v>13715</v>
      </c>
      <c r="F677" t="s">
        <v>22436</v>
      </c>
      <c r="G677" t="s">
        <v>22443</v>
      </c>
      <c r="H677" t="s">
        <v>22452</v>
      </c>
      <c r="I677" t="s">
        <v>3827</v>
      </c>
      <c r="J677" t="s">
        <v>23141</v>
      </c>
      <c r="K677" t="s">
        <v>29341</v>
      </c>
      <c r="M677" t="s">
        <v>29867</v>
      </c>
      <c r="N677" t="s">
        <v>32524</v>
      </c>
      <c r="O677" t="s">
        <v>32525</v>
      </c>
      <c r="P677">
        <v>0</v>
      </c>
      <c r="Q677">
        <v>0</v>
      </c>
      <c r="R677" t="s">
        <v>32526</v>
      </c>
      <c r="S677" t="s">
        <v>32547</v>
      </c>
      <c r="T677" t="s">
        <v>33180</v>
      </c>
      <c r="U677" t="s">
        <v>34226</v>
      </c>
      <c r="W677" t="s">
        <v>29867</v>
      </c>
      <c r="X677" t="s">
        <v>32527</v>
      </c>
    </row>
    <row r="678" spans="1:24">
      <c r="A678">
        <f>HYPERLINK("https://www.philgeps.gov.ph/GEPSNONPILOT/Tender/SplashBidNoticeAbstractUI.aspx?menuIndex=3&amp;refID=7044876&amp;Result=3","7044876")</f>
        <v>0</v>
      </c>
      <c r="B678" t="s">
        <v>83</v>
      </c>
      <c r="C678" t="s">
        <v>3327</v>
      </c>
      <c r="D678" t="s">
        <v>12988</v>
      </c>
      <c r="E678" t="s">
        <v>13716</v>
      </c>
      <c r="F678" t="s">
        <v>22436</v>
      </c>
      <c r="G678" t="s">
        <v>22443</v>
      </c>
      <c r="H678" t="s">
        <v>22452</v>
      </c>
      <c r="I678" t="s">
        <v>22512</v>
      </c>
      <c r="J678" t="s">
        <v>23142</v>
      </c>
      <c r="K678" t="s">
        <v>29336</v>
      </c>
      <c r="M678" t="s">
        <v>29888</v>
      </c>
      <c r="N678" t="s">
        <v>32524</v>
      </c>
      <c r="O678" t="s">
        <v>32525</v>
      </c>
      <c r="P678">
        <v>0</v>
      </c>
      <c r="Q678">
        <v>0</v>
      </c>
      <c r="R678" t="s">
        <v>32526</v>
      </c>
      <c r="S678" t="s">
        <v>32547</v>
      </c>
      <c r="T678" t="s">
        <v>33211</v>
      </c>
      <c r="U678" t="s">
        <v>34227</v>
      </c>
      <c r="W678" t="s">
        <v>29888</v>
      </c>
      <c r="X678" t="s">
        <v>32527</v>
      </c>
    </row>
    <row r="679" spans="1:24">
      <c r="A679">
        <f>HYPERLINK("https://www.philgeps.gov.ph/GEPSNONPILOT/Tender/SplashBidNoticeAbstractUI.aspx?menuIndex=3&amp;refID=7044874&amp;Result=3","7044874")</f>
        <v>0</v>
      </c>
      <c r="B679" t="s">
        <v>313</v>
      </c>
      <c r="C679" t="s">
        <v>3328</v>
      </c>
      <c r="D679" t="s">
        <v>12991</v>
      </c>
      <c r="E679" t="s">
        <v>13717</v>
      </c>
      <c r="F679" t="s">
        <v>22436</v>
      </c>
      <c r="G679" t="s">
        <v>22443</v>
      </c>
      <c r="H679" t="s">
        <v>22452</v>
      </c>
      <c r="I679" t="s">
        <v>22486</v>
      </c>
      <c r="J679" t="s">
        <v>23143</v>
      </c>
      <c r="K679" t="s">
        <v>29378</v>
      </c>
      <c r="M679" t="s">
        <v>29889</v>
      </c>
      <c r="N679" t="s">
        <v>32524</v>
      </c>
      <c r="O679" t="s">
        <v>32525</v>
      </c>
      <c r="P679">
        <v>0</v>
      </c>
      <c r="Q679">
        <v>0</v>
      </c>
      <c r="R679" t="s">
        <v>32526</v>
      </c>
      <c r="S679" t="s">
        <v>32547</v>
      </c>
      <c r="T679" t="s">
        <v>33167</v>
      </c>
      <c r="U679" t="s">
        <v>34228</v>
      </c>
      <c r="W679" t="s">
        <v>29889</v>
      </c>
      <c r="X679" t="s">
        <v>32527</v>
      </c>
    </row>
    <row r="680" spans="1:24">
      <c r="A680">
        <f>HYPERLINK("https://www.philgeps.gov.ph/GEPSNONPILOT/Tender/SplashBidNoticeAbstractUI.aspx?menuIndex=3&amp;refID=7044878&amp;Result=3","7044878")</f>
        <v>0</v>
      </c>
      <c r="B680" t="s">
        <v>304</v>
      </c>
      <c r="C680" t="s">
        <v>3329</v>
      </c>
      <c r="D680" t="s">
        <v>13000</v>
      </c>
      <c r="E680" t="s">
        <v>13718</v>
      </c>
      <c r="F680" t="s">
        <v>22436</v>
      </c>
      <c r="G680" t="s">
        <v>22443</v>
      </c>
      <c r="H680" t="s">
        <v>22452</v>
      </c>
      <c r="I680" t="s">
        <v>22466</v>
      </c>
      <c r="J680" t="s">
        <v>22616</v>
      </c>
      <c r="K680" t="s">
        <v>29356</v>
      </c>
      <c r="M680" t="s">
        <v>29878</v>
      </c>
      <c r="N680" t="s">
        <v>32524</v>
      </c>
      <c r="O680" t="s">
        <v>32525</v>
      </c>
      <c r="P680">
        <v>0</v>
      </c>
      <c r="Q680">
        <v>5</v>
      </c>
      <c r="R680" t="s">
        <v>32526</v>
      </c>
      <c r="S680" t="s">
        <v>32547</v>
      </c>
      <c r="T680" t="s">
        <v>33167</v>
      </c>
      <c r="U680" t="s">
        <v>34229</v>
      </c>
      <c r="W680" t="s">
        <v>29878</v>
      </c>
      <c r="X680" t="s">
        <v>32527</v>
      </c>
    </row>
    <row r="681" spans="1:24">
      <c r="A681">
        <f>HYPERLINK("https://www.philgeps.gov.ph/GEPSNONPILOT/Tender/SplashBidNoticeAbstractUI.aspx?menuIndex=3&amp;refID=7044877&amp;Result=3","7044877")</f>
        <v>0</v>
      </c>
      <c r="B681" t="s">
        <v>124</v>
      </c>
      <c r="C681" t="s">
        <v>3330</v>
      </c>
      <c r="D681" t="s">
        <v>13031</v>
      </c>
      <c r="E681" t="s">
        <v>3330</v>
      </c>
      <c r="F681" t="s">
        <v>22436</v>
      </c>
      <c r="G681" t="s">
        <v>22443</v>
      </c>
      <c r="H681" t="s">
        <v>22452</v>
      </c>
      <c r="I681" t="s">
        <v>22483</v>
      </c>
      <c r="J681" t="s">
        <v>22616</v>
      </c>
      <c r="K681" t="s">
        <v>29338</v>
      </c>
      <c r="M681" t="s">
        <v>29696</v>
      </c>
      <c r="N681" t="s">
        <v>32524</v>
      </c>
      <c r="O681" t="s">
        <v>32525</v>
      </c>
      <c r="P681">
        <v>0</v>
      </c>
      <c r="Q681">
        <v>1</v>
      </c>
      <c r="R681" t="s">
        <v>32526</v>
      </c>
      <c r="S681" t="s">
        <v>32547</v>
      </c>
      <c r="T681" t="s">
        <v>33183</v>
      </c>
      <c r="U681" t="s">
        <v>34230</v>
      </c>
      <c r="W681" t="s">
        <v>29696</v>
      </c>
      <c r="X681" t="s">
        <v>32527</v>
      </c>
    </row>
    <row r="682" spans="1:24">
      <c r="A682">
        <f>HYPERLINK("https://www.philgeps.gov.ph/GEPSNONPILOT/Tender/SplashBidNoticeAbstractUI.aspx?menuIndex=3&amp;refID=7044881&amp;Result=3","7044881")</f>
        <v>0</v>
      </c>
      <c r="B682" t="s">
        <v>280</v>
      </c>
      <c r="C682" t="s">
        <v>3331</v>
      </c>
      <c r="D682" t="s">
        <v>13055</v>
      </c>
      <c r="E682" t="s">
        <v>13719</v>
      </c>
      <c r="F682" t="s">
        <v>22436</v>
      </c>
      <c r="G682" t="s">
        <v>22444</v>
      </c>
      <c r="H682" t="s">
        <v>22454</v>
      </c>
      <c r="I682" t="s">
        <v>7738</v>
      </c>
      <c r="J682" t="s">
        <v>23144</v>
      </c>
      <c r="K682" t="s">
        <v>29359</v>
      </c>
      <c r="M682" t="s">
        <v>29854</v>
      </c>
      <c r="N682" t="s">
        <v>32524</v>
      </c>
      <c r="O682" t="s">
        <v>32525</v>
      </c>
      <c r="P682">
        <v>0</v>
      </c>
      <c r="Q682">
        <v>0</v>
      </c>
      <c r="R682" t="s">
        <v>32526</v>
      </c>
      <c r="S682" t="s">
        <v>32547</v>
      </c>
      <c r="T682" t="s">
        <v>33237</v>
      </c>
      <c r="U682" t="s">
        <v>34231</v>
      </c>
      <c r="V682" t="s">
        <v>42486</v>
      </c>
      <c r="W682" t="s">
        <v>29854</v>
      </c>
      <c r="X682" t="s">
        <v>32527</v>
      </c>
    </row>
    <row r="683" spans="1:24">
      <c r="A683">
        <f>HYPERLINK("https://www.philgeps.gov.ph/GEPSNONPILOT/Tender/SplashBidNoticeAbstractUI.aspx?menuIndex=3&amp;refID=7044888&amp;Result=3","7044888")</f>
        <v>0</v>
      </c>
      <c r="B683" t="s">
        <v>314</v>
      </c>
      <c r="C683" t="s">
        <v>3332</v>
      </c>
      <c r="D683" t="s">
        <v>12995</v>
      </c>
      <c r="E683" t="s">
        <v>13182</v>
      </c>
      <c r="F683" t="s">
        <v>22436</v>
      </c>
      <c r="G683" t="s">
        <v>22444</v>
      </c>
      <c r="H683" t="s">
        <v>22452</v>
      </c>
      <c r="I683" t="s">
        <v>3827</v>
      </c>
      <c r="J683" t="s">
        <v>23145</v>
      </c>
      <c r="K683" t="s">
        <v>29336</v>
      </c>
      <c r="M683" t="s">
        <v>29890</v>
      </c>
      <c r="N683" t="s">
        <v>32524</v>
      </c>
      <c r="O683" t="s">
        <v>32525</v>
      </c>
      <c r="P683">
        <v>0</v>
      </c>
      <c r="Q683">
        <v>4</v>
      </c>
      <c r="R683" t="s">
        <v>32526</v>
      </c>
      <c r="S683" t="s">
        <v>32547</v>
      </c>
      <c r="T683" t="s">
        <v>33181</v>
      </c>
      <c r="U683" t="s">
        <v>34232</v>
      </c>
      <c r="W683" t="s">
        <v>29890</v>
      </c>
      <c r="X683" t="s">
        <v>32527</v>
      </c>
    </row>
    <row r="684" spans="1:24">
      <c r="A684">
        <f>HYPERLINK("https://www.philgeps.gov.ph/GEPSNONPILOT/Tender/SplashBidNoticeAbstractUI.aspx?menuIndex=3&amp;refID=7044879&amp;Result=3","7044879")</f>
        <v>0</v>
      </c>
      <c r="B684" t="s">
        <v>306</v>
      </c>
      <c r="C684" t="s">
        <v>3333</v>
      </c>
      <c r="D684" t="s">
        <v>13022</v>
      </c>
      <c r="E684" t="s">
        <v>13720</v>
      </c>
      <c r="F684" t="s">
        <v>22436</v>
      </c>
      <c r="G684" t="s">
        <v>22445</v>
      </c>
      <c r="H684" t="s">
        <v>22452</v>
      </c>
      <c r="I684" t="s">
        <v>22460</v>
      </c>
      <c r="J684" t="s">
        <v>23146</v>
      </c>
      <c r="K684" t="s">
        <v>29338</v>
      </c>
      <c r="M684" t="s">
        <v>29880</v>
      </c>
      <c r="N684" t="s">
        <v>32524</v>
      </c>
      <c r="O684" t="s">
        <v>32525</v>
      </c>
      <c r="P684">
        <v>0</v>
      </c>
      <c r="Q684">
        <v>2</v>
      </c>
      <c r="R684" t="s">
        <v>32526</v>
      </c>
      <c r="S684" t="s">
        <v>32547</v>
      </c>
      <c r="T684" t="s">
        <v>33154</v>
      </c>
      <c r="U684" t="s">
        <v>34233</v>
      </c>
      <c r="W684" t="s">
        <v>29880</v>
      </c>
      <c r="X684" t="s">
        <v>32527</v>
      </c>
    </row>
    <row r="685" spans="1:24">
      <c r="A685">
        <f>HYPERLINK("https://www.philgeps.gov.ph/GEPSNONPILOT/Tender/SplashBidNoticeAbstractUI.aspx?menuIndex=3&amp;refID=7044903&amp;Result=3","7044903")</f>
        <v>0</v>
      </c>
      <c r="B685" t="s">
        <v>315</v>
      </c>
      <c r="C685" t="s">
        <v>3334</v>
      </c>
      <c r="D685" t="s">
        <v>13045</v>
      </c>
      <c r="E685" t="s">
        <v>13721</v>
      </c>
      <c r="F685" t="s">
        <v>22436</v>
      </c>
      <c r="G685" t="s">
        <v>22444</v>
      </c>
      <c r="H685" t="s">
        <v>22452</v>
      </c>
      <c r="I685" t="s">
        <v>2962</v>
      </c>
      <c r="J685" t="s">
        <v>23147</v>
      </c>
      <c r="K685" t="s">
        <v>29331</v>
      </c>
      <c r="M685" t="s">
        <v>29891</v>
      </c>
      <c r="N685" t="s">
        <v>32524</v>
      </c>
      <c r="O685" t="s">
        <v>32525</v>
      </c>
      <c r="P685">
        <v>0</v>
      </c>
      <c r="Q685">
        <v>0</v>
      </c>
      <c r="R685" t="s">
        <v>32526</v>
      </c>
      <c r="S685" t="s">
        <v>32547</v>
      </c>
      <c r="T685" t="s">
        <v>33153</v>
      </c>
      <c r="U685" t="s">
        <v>34234</v>
      </c>
      <c r="W685" t="s">
        <v>29891</v>
      </c>
      <c r="X685" t="s">
        <v>32527</v>
      </c>
    </row>
    <row r="686" spans="1:24">
      <c r="A686">
        <f>HYPERLINK("https://www.philgeps.gov.ph/GEPSNONPILOT/Tender/SplashBidNoticeAbstractUI.aspx?menuIndex=3&amp;refID=7044902&amp;Result=3","7044902")</f>
        <v>0</v>
      </c>
      <c r="B686" t="s">
        <v>316</v>
      </c>
      <c r="C686" t="s">
        <v>3335</v>
      </c>
      <c r="D686" t="s">
        <v>13006</v>
      </c>
      <c r="E686" t="s">
        <v>13722</v>
      </c>
      <c r="F686" t="s">
        <v>22436</v>
      </c>
      <c r="G686" t="s">
        <v>22444</v>
      </c>
      <c r="H686" t="s">
        <v>22454</v>
      </c>
      <c r="I686" t="s">
        <v>7738</v>
      </c>
      <c r="J686" t="s">
        <v>23148</v>
      </c>
      <c r="K686" t="s">
        <v>29337</v>
      </c>
      <c r="M686" t="s">
        <v>29892</v>
      </c>
      <c r="N686" t="s">
        <v>32524</v>
      </c>
      <c r="O686" t="s">
        <v>32525</v>
      </c>
      <c r="P686">
        <v>0</v>
      </c>
      <c r="Q686">
        <v>0</v>
      </c>
      <c r="R686" t="s">
        <v>32526</v>
      </c>
      <c r="S686" t="s">
        <v>32547</v>
      </c>
      <c r="T686" t="s">
        <v>33191</v>
      </c>
      <c r="U686" t="s">
        <v>34235</v>
      </c>
      <c r="W686" t="s">
        <v>29892</v>
      </c>
      <c r="X686" t="s">
        <v>32527</v>
      </c>
    </row>
    <row r="687" spans="1:24">
      <c r="A687">
        <f>HYPERLINK("https://www.philgeps.gov.ph/GEPSNONPILOT/Tender/SplashBidNoticeAbstractUI.aspx?menuIndex=3&amp;refID=7044882&amp;Result=3","7044882")</f>
        <v>0</v>
      </c>
      <c r="B687" t="s">
        <v>268</v>
      </c>
      <c r="C687" t="s">
        <v>3336</v>
      </c>
      <c r="D687" t="s">
        <v>13015</v>
      </c>
      <c r="E687" t="s">
        <v>13127</v>
      </c>
      <c r="F687" t="s">
        <v>22436</v>
      </c>
      <c r="G687" t="s">
        <v>22444</v>
      </c>
      <c r="H687" t="s">
        <v>22454</v>
      </c>
      <c r="I687" t="s">
        <v>7738</v>
      </c>
      <c r="J687" t="s">
        <v>23149</v>
      </c>
      <c r="K687" t="s">
        <v>29334</v>
      </c>
      <c r="M687" t="s">
        <v>29842</v>
      </c>
      <c r="N687" t="s">
        <v>32524</v>
      </c>
      <c r="O687" t="s">
        <v>32525</v>
      </c>
      <c r="P687">
        <v>0</v>
      </c>
      <c r="Q687">
        <v>0</v>
      </c>
      <c r="R687" t="s">
        <v>32526</v>
      </c>
      <c r="S687" t="s">
        <v>32547</v>
      </c>
      <c r="T687" t="s">
        <v>33199</v>
      </c>
      <c r="U687" t="s">
        <v>34236</v>
      </c>
      <c r="W687" t="s">
        <v>29842</v>
      </c>
      <c r="X687" t="s">
        <v>32527</v>
      </c>
    </row>
    <row r="688" spans="1:24">
      <c r="A688">
        <f>HYPERLINK("https://www.philgeps.gov.ph/GEPSNONPILOT/Tender/SplashBidNoticeAbstractUI.aspx?menuIndex=3&amp;refID=7044900&amp;Result=3","7044900")</f>
        <v>0</v>
      </c>
      <c r="B688" t="s">
        <v>306</v>
      </c>
      <c r="C688" t="s">
        <v>3333</v>
      </c>
      <c r="D688" t="s">
        <v>13022</v>
      </c>
      <c r="E688" t="s">
        <v>13723</v>
      </c>
      <c r="F688" t="s">
        <v>22436</v>
      </c>
      <c r="G688" t="s">
        <v>22445</v>
      </c>
      <c r="H688" t="s">
        <v>22452</v>
      </c>
      <c r="I688" t="s">
        <v>5194</v>
      </c>
      <c r="J688" t="s">
        <v>23150</v>
      </c>
      <c r="K688" t="s">
        <v>29338</v>
      </c>
      <c r="M688" t="s">
        <v>29880</v>
      </c>
      <c r="N688" t="s">
        <v>32524</v>
      </c>
      <c r="O688" t="s">
        <v>32525</v>
      </c>
      <c r="P688">
        <v>0</v>
      </c>
      <c r="Q688">
        <v>6</v>
      </c>
      <c r="R688" t="s">
        <v>32526</v>
      </c>
      <c r="S688" t="s">
        <v>32547</v>
      </c>
      <c r="T688" t="s">
        <v>33154</v>
      </c>
      <c r="U688" t="s">
        <v>34233</v>
      </c>
      <c r="W688" t="s">
        <v>29880</v>
      </c>
      <c r="X688" t="s">
        <v>32527</v>
      </c>
    </row>
    <row r="689" spans="1:24">
      <c r="A689">
        <f>HYPERLINK("https://www.philgeps.gov.ph/GEPSNONPILOT/Tender/SplashBidNoticeAbstractUI.aspx?menuIndex=3&amp;refID=7044883&amp;Result=3","7044883")</f>
        <v>0</v>
      </c>
      <c r="B689" t="s">
        <v>200</v>
      </c>
      <c r="C689" t="s">
        <v>3337</v>
      </c>
      <c r="D689" t="s">
        <v>13037</v>
      </c>
      <c r="E689" t="s">
        <v>13724</v>
      </c>
      <c r="F689" t="s">
        <v>22436</v>
      </c>
      <c r="G689" t="s">
        <v>22443</v>
      </c>
      <c r="H689" t="s">
        <v>22452</v>
      </c>
      <c r="I689" t="s">
        <v>22460</v>
      </c>
      <c r="J689" t="s">
        <v>23151</v>
      </c>
      <c r="K689" t="s">
        <v>29330</v>
      </c>
      <c r="M689" t="s">
        <v>29773</v>
      </c>
      <c r="N689" t="s">
        <v>32524</v>
      </c>
      <c r="O689" t="s">
        <v>32525</v>
      </c>
      <c r="P689">
        <v>0</v>
      </c>
      <c r="Q689">
        <v>0</v>
      </c>
      <c r="R689" t="s">
        <v>32526</v>
      </c>
      <c r="S689" t="s">
        <v>32547</v>
      </c>
      <c r="T689" t="s">
        <v>33161</v>
      </c>
      <c r="U689" t="s">
        <v>34237</v>
      </c>
      <c r="W689" t="s">
        <v>29773</v>
      </c>
      <c r="X689" t="s">
        <v>32527</v>
      </c>
    </row>
    <row r="690" spans="1:24">
      <c r="A690">
        <f>HYPERLINK("https://www.philgeps.gov.ph/GEPSNONPILOT/Tender/SplashBidNoticeAbstractUI.aspx?menuIndex=3&amp;refID=7044894&amp;Result=3","7044894")</f>
        <v>0</v>
      </c>
      <c r="B690" t="s">
        <v>180</v>
      </c>
      <c r="C690" t="s">
        <v>3338</v>
      </c>
      <c r="D690" t="s">
        <v>13026</v>
      </c>
      <c r="E690" t="s">
        <v>13725</v>
      </c>
      <c r="F690" t="s">
        <v>22436</v>
      </c>
      <c r="G690" t="s">
        <v>22443</v>
      </c>
      <c r="H690" t="s">
        <v>22454</v>
      </c>
      <c r="I690" t="s">
        <v>7738</v>
      </c>
      <c r="J690" t="s">
        <v>23152</v>
      </c>
      <c r="K690" t="s">
        <v>29331</v>
      </c>
      <c r="M690" t="s">
        <v>29752</v>
      </c>
      <c r="N690" t="s">
        <v>32524</v>
      </c>
      <c r="O690" t="s">
        <v>32525</v>
      </c>
      <c r="P690">
        <v>0</v>
      </c>
      <c r="Q690">
        <v>0</v>
      </c>
      <c r="R690" t="s">
        <v>32526</v>
      </c>
      <c r="S690" t="s">
        <v>32547</v>
      </c>
      <c r="T690" t="s">
        <v>33167</v>
      </c>
      <c r="U690" t="s">
        <v>34238</v>
      </c>
      <c r="W690" t="s">
        <v>29752</v>
      </c>
      <c r="X690" t="s">
        <v>32527</v>
      </c>
    </row>
    <row r="691" spans="1:24">
      <c r="A691">
        <f>HYPERLINK("https://www.philgeps.gov.ph/GEPSNONPILOT/Tender/SplashBidNoticeAbstractUI.aspx?menuIndex=3&amp;refID=7044901&amp;Result=3","7044901")</f>
        <v>0</v>
      </c>
      <c r="B691" t="s">
        <v>317</v>
      </c>
      <c r="C691" t="s">
        <v>3339</v>
      </c>
      <c r="D691" t="s">
        <v>13031</v>
      </c>
      <c r="E691" t="s">
        <v>13726</v>
      </c>
      <c r="F691" t="s">
        <v>22436</v>
      </c>
      <c r="G691" t="s">
        <v>22443</v>
      </c>
      <c r="H691" t="s">
        <v>22452</v>
      </c>
      <c r="I691" t="s">
        <v>22467</v>
      </c>
      <c r="J691" t="s">
        <v>23153</v>
      </c>
      <c r="K691" t="s">
        <v>29336</v>
      </c>
      <c r="M691" t="s">
        <v>29893</v>
      </c>
      <c r="N691" t="s">
        <v>32524</v>
      </c>
      <c r="O691" t="s">
        <v>32525</v>
      </c>
      <c r="P691">
        <v>0</v>
      </c>
      <c r="Q691">
        <v>0</v>
      </c>
      <c r="R691" t="s">
        <v>32526</v>
      </c>
      <c r="S691" t="s">
        <v>32547</v>
      </c>
      <c r="T691" t="s">
        <v>33167</v>
      </c>
      <c r="U691" t="s">
        <v>34239</v>
      </c>
      <c r="W691" t="s">
        <v>43677</v>
      </c>
      <c r="X691" t="s">
        <v>32527</v>
      </c>
    </row>
    <row r="692" spans="1:24">
      <c r="A692">
        <f>HYPERLINK("https://www.philgeps.gov.ph/GEPSNONPILOT/Tender/SplashBidNoticeAbstractUI.aspx?menuIndex=3&amp;refID=7044884&amp;Result=3","7044884")</f>
        <v>0</v>
      </c>
      <c r="B692" t="s">
        <v>194</v>
      </c>
      <c r="C692" t="s">
        <v>3340</v>
      </c>
      <c r="D692" t="s">
        <v>13031</v>
      </c>
      <c r="E692" t="s">
        <v>13727</v>
      </c>
      <c r="F692" t="s">
        <v>22436</v>
      </c>
      <c r="G692" t="s">
        <v>22446</v>
      </c>
      <c r="H692" t="s">
        <v>22452</v>
      </c>
      <c r="I692" t="s">
        <v>22460</v>
      </c>
      <c r="J692" t="s">
        <v>22704</v>
      </c>
      <c r="K692" t="s">
        <v>29338</v>
      </c>
      <c r="M692" t="s">
        <v>29767</v>
      </c>
      <c r="N692" t="s">
        <v>32524</v>
      </c>
      <c r="O692" t="s">
        <v>32525</v>
      </c>
      <c r="P692">
        <v>0</v>
      </c>
      <c r="Q692">
        <v>0</v>
      </c>
      <c r="R692" t="s">
        <v>32526</v>
      </c>
      <c r="S692" t="s">
        <v>32547</v>
      </c>
      <c r="T692" t="s">
        <v>33177</v>
      </c>
      <c r="U692" t="s">
        <v>33984</v>
      </c>
      <c r="W692" t="s">
        <v>29767</v>
      </c>
      <c r="X692" t="s">
        <v>32527</v>
      </c>
    </row>
    <row r="693" spans="1:24">
      <c r="A693">
        <f>HYPERLINK("https://www.philgeps.gov.ph/GEPSNONPILOT/Tender/SplashBidNoticeAbstractUI.aspx?menuIndex=3&amp;refID=7044899&amp;Result=3","7044899")</f>
        <v>0</v>
      </c>
      <c r="B693" t="s">
        <v>279</v>
      </c>
      <c r="C693" t="s">
        <v>3341</v>
      </c>
      <c r="D693" t="s">
        <v>13010</v>
      </c>
      <c r="E693" t="s">
        <v>13728</v>
      </c>
      <c r="F693" t="s">
        <v>22436</v>
      </c>
      <c r="G693" t="s">
        <v>22443</v>
      </c>
      <c r="H693" t="s">
        <v>22452</v>
      </c>
      <c r="I693" t="s">
        <v>22469</v>
      </c>
      <c r="J693" t="s">
        <v>23154</v>
      </c>
      <c r="K693" t="s">
        <v>29336</v>
      </c>
      <c r="M693" t="s">
        <v>29853</v>
      </c>
      <c r="N693" t="s">
        <v>32524</v>
      </c>
      <c r="O693" t="s">
        <v>32525</v>
      </c>
      <c r="P693">
        <v>0</v>
      </c>
      <c r="Q693">
        <v>4</v>
      </c>
      <c r="R693" t="s">
        <v>32526</v>
      </c>
      <c r="S693" t="s">
        <v>32547</v>
      </c>
      <c r="T693" t="s">
        <v>33181</v>
      </c>
      <c r="U693" t="s">
        <v>34167</v>
      </c>
      <c r="W693" t="s">
        <v>29853</v>
      </c>
      <c r="X693" t="s">
        <v>32527</v>
      </c>
    </row>
    <row r="694" spans="1:24">
      <c r="A694">
        <f>HYPERLINK("https://www.philgeps.gov.ph/GEPSNONPILOT/Tender/SplashBidNoticeAbstractUI.aspx?menuIndex=3&amp;refID=7044896&amp;Result=3","7044896")</f>
        <v>0</v>
      </c>
      <c r="B694" t="s">
        <v>178</v>
      </c>
      <c r="C694" t="s">
        <v>3020</v>
      </c>
      <c r="D694" t="s">
        <v>13046</v>
      </c>
      <c r="E694" t="s">
        <v>13729</v>
      </c>
      <c r="F694" t="s">
        <v>22436</v>
      </c>
      <c r="G694" t="s">
        <v>22443</v>
      </c>
      <c r="H694" t="s">
        <v>22452</v>
      </c>
      <c r="I694" t="s">
        <v>22502</v>
      </c>
      <c r="J694" t="s">
        <v>23155</v>
      </c>
      <c r="K694" t="s">
        <v>29341</v>
      </c>
      <c r="M694" t="s">
        <v>29750</v>
      </c>
      <c r="N694" t="s">
        <v>32524</v>
      </c>
      <c r="O694" t="s">
        <v>32525</v>
      </c>
      <c r="P694">
        <v>0</v>
      </c>
      <c r="Q694">
        <v>4</v>
      </c>
      <c r="R694" t="s">
        <v>32526</v>
      </c>
      <c r="S694" t="s">
        <v>32547</v>
      </c>
      <c r="T694" t="s">
        <v>33154</v>
      </c>
      <c r="U694" t="s">
        <v>34240</v>
      </c>
      <c r="V694" t="s">
        <v>42468</v>
      </c>
      <c r="W694" t="s">
        <v>29750</v>
      </c>
      <c r="X694" t="s">
        <v>32527</v>
      </c>
    </row>
    <row r="695" spans="1:24">
      <c r="A695">
        <f>HYPERLINK("https://www.philgeps.gov.ph/GEPSNONPILOT/Tender/SplashBidNoticeAbstractUI.aspx?menuIndex=3&amp;refID=7044890&amp;Result=3","7044890")</f>
        <v>0</v>
      </c>
      <c r="B695" t="s">
        <v>318</v>
      </c>
      <c r="C695" t="s">
        <v>3342</v>
      </c>
      <c r="D695" t="s">
        <v>13051</v>
      </c>
      <c r="E695" t="s">
        <v>13730</v>
      </c>
      <c r="F695" t="s">
        <v>22436</v>
      </c>
      <c r="G695" t="s">
        <v>22443</v>
      </c>
      <c r="H695" t="s">
        <v>22452</v>
      </c>
      <c r="I695" t="s">
        <v>3027</v>
      </c>
      <c r="J695" t="s">
        <v>23156</v>
      </c>
      <c r="K695" t="s">
        <v>29368</v>
      </c>
      <c r="M695" t="s">
        <v>29894</v>
      </c>
      <c r="N695" t="s">
        <v>32524</v>
      </c>
      <c r="O695" t="s">
        <v>32525</v>
      </c>
      <c r="P695">
        <v>0</v>
      </c>
      <c r="Q695">
        <v>0</v>
      </c>
      <c r="R695" t="s">
        <v>32526</v>
      </c>
      <c r="S695" t="s">
        <v>32547</v>
      </c>
      <c r="T695" t="s">
        <v>33161</v>
      </c>
      <c r="U695" t="s">
        <v>34241</v>
      </c>
      <c r="W695" t="s">
        <v>29894</v>
      </c>
      <c r="X695" t="s">
        <v>32527</v>
      </c>
    </row>
    <row r="696" spans="1:24">
      <c r="A696">
        <f>HYPERLINK("https://www.philgeps.gov.ph/GEPSNONPILOT/Tender/SplashBidNoticeAbstractUI.aspx?menuIndex=3&amp;refID=7044892&amp;Result=3","7044892")</f>
        <v>0</v>
      </c>
      <c r="B696" t="s">
        <v>306</v>
      </c>
      <c r="C696" t="s">
        <v>3333</v>
      </c>
      <c r="D696" t="s">
        <v>13022</v>
      </c>
      <c r="E696" t="s">
        <v>13731</v>
      </c>
      <c r="F696" t="s">
        <v>22436</v>
      </c>
      <c r="G696" t="s">
        <v>22445</v>
      </c>
      <c r="H696" t="s">
        <v>22452</v>
      </c>
      <c r="I696" t="s">
        <v>5194</v>
      </c>
      <c r="J696" t="s">
        <v>23157</v>
      </c>
      <c r="K696" t="s">
        <v>29338</v>
      </c>
      <c r="M696" t="s">
        <v>29880</v>
      </c>
      <c r="N696" t="s">
        <v>32524</v>
      </c>
      <c r="O696" t="s">
        <v>32525</v>
      </c>
      <c r="P696">
        <v>0</v>
      </c>
      <c r="Q696">
        <v>4</v>
      </c>
      <c r="R696" t="s">
        <v>32526</v>
      </c>
      <c r="S696" t="s">
        <v>32547</v>
      </c>
      <c r="T696" t="s">
        <v>33154</v>
      </c>
      <c r="U696" t="s">
        <v>34233</v>
      </c>
      <c r="W696" t="s">
        <v>29880</v>
      </c>
      <c r="X696" t="s">
        <v>32527</v>
      </c>
    </row>
    <row r="697" spans="1:24">
      <c r="A697">
        <f>HYPERLINK("https://www.philgeps.gov.ph/GEPSNONPILOT/Tender/SplashBidNoticeAbstractUI.aspx?menuIndex=3&amp;refID=7044897&amp;Result=3","7044897")</f>
        <v>0</v>
      </c>
      <c r="B697" t="s">
        <v>319</v>
      </c>
      <c r="C697" t="s">
        <v>3343</v>
      </c>
      <c r="D697" t="s">
        <v>13037</v>
      </c>
      <c r="E697" t="s">
        <v>13732</v>
      </c>
      <c r="F697" t="s">
        <v>22436</v>
      </c>
      <c r="G697" t="s">
        <v>22446</v>
      </c>
      <c r="H697" t="s">
        <v>22452</v>
      </c>
      <c r="I697" t="s">
        <v>3529</v>
      </c>
      <c r="J697" t="s">
        <v>23158</v>
      </c>
      <c r="K697" t="s">
        <v>29335</v>
      </c>
      <c r="M697" t="s">
        <v>29895</v>
      </c>
      <c r="N697" t="s">
        <v>32524</v>
      </c>
      <c r="O697" t="s">
        <v>32525</v>
      </c>
      <c r="P697">
        <v>0</v>
      </c>
      <c r="Q697">
        <v>0</v>
      </c>
      <c r="R697" t="s">
        <v>32526</v>
      </c>
      <c r="S697" t="s">
        <v>32547</v>
      </c>
      <c r="T697" t="s">
        <v>33211</v>
      </c>
      <c r="U697" t="s">
        <v>34242</v>
      </c>
      <c r="W697" t="s">
        <v>29895</v>
      </c>
      <c r="X697" t="s">
        <v>32527</v>
      </c>
    </row>
    <row r="698" spans="1:24">
      <c r="A698">
        <f>HYPERLINK("https://www.philgeps.gov.ph/GEPSNONPILOT/Tender/SplashBidNoticeAbstractUI.aspx?menuIndex=3&amp;refID=7044904&amp;Result=3","7044904")</f>
        <v>0</v>
      </c>
      <c r="B698" t="s">
        <v>200</v>
      </c>
      <c r="C698" t="s">
        <v>3344</v>
      </c>
      <c r="D698" t="s">
        <v>13037</v>
      </c>
      <c r="E698" t="s">
        <v>13733</v>
      </c>
      <c r="F698" t="s">
        <v>22436</v>
      </c>
      <c r="G698" t="s">
        <v>22443</v>
      </c>
      <c r="H698" t="s">
        <v>22452</v>
      </c>
      <c r="I698" t="s">
        <v>2981</v>
      </c>
      <c r="J698" t="s">
        <v>22836</v>
      </c>
      <c r="K698" t="s">
        <v>29330</v>
      </c>
      <c r="M698" t="s">
        <v>29773</v>
      </c>
      <c r="N698" t="s">
        <v>32524</v>
      </c>
      <c r="O698" t="s">
        <v>32525</v>
      </c>
      <c r="P698">
        <v>0</v>
      </c>
      <c r="Q698">
        <v>0</v>
      </c>
      <c r="R698" t="s">
        <v>32526</v>
      </c>
      <c r="S698" t="s">
        <v>32547</v>
      </c>
      <c r="T698" t="s">
        <v>33161</v>
      </c>
      <c r="U698" t="s">
        <v>34243</v>
      </c>
      <c r="W698" t="s">
        <v>29773</v>
      </c>
      <c r="X698" t="s">
        <v>32527</v>
      </c>
    </row>
    <row r="699" spans="1:24">
      <c r="A699">
        <f>HYPERLINK("https://www.philgeps.gov.ph/GEPSNONPILOT/Tender/SplashBidNoticeAbstractUI.aspx?menuIndex=3&amp;refID=7044891&amp;Result=3","7044891")</f>
        <v>0</v>
      </c>
      <c r="B699" t="s">
        <v>320</v>
      </c>
      <c r="C699" t="s">
        <v>3345</v>
      </c>
      <c r="D699" t="s">
        <v>13031</v>
      </c>
      <c r="E699" t="s">
        <v>13734</v>
      </c>
      <c r="F699" t="s">
        <v>22436</v>
      </c>
      <c r="G699" t="s">
        <v>22443</v>
      </c>
      <c r="H699" t="s">
        <v>22452</v>
      </c>
      <c r="I699" t="s">
        <v>2981</v>
      </c>
      <c r="J699" t="s">
        <v>22657</v>
      </c>
      <c r="K699" t="s">
        <v>29337</v>
      </c>
      <c r="M699" t="s">
        <v>29896</v>
      </c>
      <c r="N699" t="s">
        <v>32524</v>
      </c>
      <c r="O699" t="s">
        <v>32525</v>
      </c>
      <c r="P699">
        <v>0</v>
      </c>
      <c r="Q699">
        <v>0</v>
      </c>
      <c r="R699" t="s">
        <v>32526</v>
      </c>
      <c r="S699" t="s">
        <v>32547</v>
      </c>
      <c r="T699" t="s">
        <v>33163</v>
      </c>
      <c r="U699" t="s">
        <v>34244</v>
      </c>
      <c r="W699" t="s">
        <v>29896</v>
      </c>
      <c r="X699" t="s">
        <v>32527</v>
      </c>
    </row>
    <row r="700" spans="1:24">
      <c r="A700">
        <f>HYPERLINK("https://www.philgeps.gov.ph/GEPSNONPILOT/Tender/SplashBidNoticeAbstractUI.aspx?menuIndex=3&amp;refID=7044905&amp;Result=3","7044905")</f>
        <v>0</v>
      </c>
      <c r="B700" t="s">
        <v>321</v>
      </c>
      <c r="C700" t="s">
        <v>3346</v>
      </c>
      <c r="D700" t="s">
        <v>13045</v>
      </c>
      <c r="E700" t="s">
        <v>13735</v>
      </c>
      <c r="F700" t="s">
        <v>22436</v>
      </c>
      <c r="G700" t="s">
        <v>22443</v>
      </c>
      <c r="H700" t="s">
        <v>22452</v>
      </c>
      <c r="I700" t="s">
        <v>22476</v>
      </c>
      <c r="J700" t="s">
        <v>22661</v>
      </c>
      <c r="K700" t="s">
        <v>29338</v>
      </c>
      <c r="M700" t="s">
        <v>29897</v>
      </c>
      <c r="N700" t="s">
        <v>32524</v>
      </c>
      <c r="O700" t="s">
        <v>32525</v>
      </c>
      <c r="P700">
        <v>0</v>
      </c>
      <c r="Q700">
        <v>0</v>
      </c>
      <c r="R700" t="s">
        <v>32526</v>
      </c>
      <c r="S700" t="s">
        <v>32547</v>
      </c>
      <c r="T700" t="s">
        <v>33154</v>
      </c>
      <c r="U700" t="s">
        <v>34245</v>
      </c>
      <c r="W700" t="s">
        <v>29897</v>
      </c>
      <c r="X700" t="s">
        <v>32527</v>
      </c>
    </row>
    <row r="701" spans="1:24">
      <c r="A701">
        <f>HYPERLINK("https://www.philgeps.gov.ph/GEPSNONPILOT/Tender/SplashBidNoticeAbstractUI.aspx?menuIndex=3&amp;refID=7044906&amp;Result=3","7044906")</f>
        <v>0</v>
      </c>
      <c r="B701" t="s">
        <v>322</v>
      </c>
      <c r="C701" t="s">
        <v>3347</v>
      </c>
      <c r="D701" t="s">
        <v>12988</v>
      </c>
      <c r="E701" t="s">
        <v>13736</v>
      </c>
      <c r="F701" t="s">
        <v>22436</v>
      </c>
      <c r="G701" t="s">
        <v>22443</v>
      </c>
      <c r="H701" t="s">
        <v>22452</v>
      </c>
      <c r="I701" t="s">
        <v>2981</v>
      </c>
      <c r="J701" t="s">
        <v>22585</v>
      </c>
      <c r="K701" t="s">
        <v>29338</v>
      </c>
      <c r="M701" t="s">
        <v>29898</v>
      </c>
      <c r="N701" t="s">
        <v>32524</v>
      </c>
      <c r="O701" t="s">
        <v>32525</v>
      </c>
      <c r="P701">
        <v>0</v>
      </c>
      <c r="Q701">
        <v>0</v>
      </c>
      <c r="R701" t="s">
        <v>32526</v>
      </c>
      <c r="S701" t="s">
        <v>32547</v>
      </c>
      <c r="T701" t="s">
        <v>33169</v>
      </c>
      <c r="U701" t="s">
        <v>34246</v>
      </c>
      <c r="W701" t="s">
        <v>29898</v>
      </c>
      <c r="X701" t="s">
        <v>32527</v>
      </c>
    </row>
    <row r="702" spans="1:24">
      <c r="A702">
        <f>HYPERLINK("https://www.philgeps.gov.ph/GEPSNONPILOT/Tender/SplashBidNoticeAbstractUI.aspx?menuIndex=3&amp;refID=7044889&amp;Result=3","7044889")</f>
        <v>0</v>
      </c>
      <c r="B702" t="s">
        <v>296</v>
      </c>
      <c r="C702" t="s">
        <v>3348</v>
      </c>
      <c r="D702" t="s">
        <v>12988</v>
      </c>
      <c r="E702" t="s">
        <v>13684</v>
      </c>
      <c r="F702" t="s">
        <v>22436</v>
      </c>
      <c r="G702" t="s">
        <v>22443</v>
      </c>
      <c r="H702" t="s">
        <v>22452</v>
      </c>
      <c r="I702" t="s">
        <v>22466</v>
      </c>
      <c r="J702" t="s">
        <v>22640</v>
      </c>
      <c r="K702" t="s">
        <v>29331</v>
      </c>
      <c r="M702" t="s">
        <v>29870</v>
      </c>
      <c r="N702" t="s">
        <v>32524</v>
      </c>
      <c r="O702" t="s">
        <v>32525</v>
      </c>
      <c r="P702">
        <v>0</v>
      </c>
      <c r="Q702">
        <v>7</v>
      </c>
      <c r="R702" t="s">
        <v>32526</v>
      </c>
      <c r="S702" t="s">
        <v>32547</v>
      </c>
      <c r="T702" t="s">
        <v>33203</v>
      </c>
      <c r="U702" t="s">
        <v>34247</v>
      </c>
      <c r="W702" t="s">
        <v>29870</v>
      </c>
      <c r="X702" t="s">
        <v>32527</v>
      </c>
    </row>
    <row r="703" spans="1:24">
      <c r="A703">
        <f>HYPERLINK("https://www.philgeps.gov.ph/GEPSNONPILOT/Tender/SplashBidNoticeAbstractUI.aspx?menuIndex=3&amp;refID=7044916&amp;Result=3","7044916")</f>
        <v>0</v>
      </c>
      <c r="B703" t="s">
        <v>206</v>
      </c>
      <c r="C703" t="s">
        <v>3349</v>
      </c>
      <c r="D703" t="s">
        <v>12992</v>
      </c>
      <c r="E703" t="s">
        <v>13737</v>
      </c>
      <c r="F703" t="s">
        <v>22436</v>
      </c>
      <c r="G703" t="s">
        <v>22444</v>
      </c>
      <c r="H703" t="s">
        <v>22454</v>
      </c>
      <c r="I703" t="s">
        <v>7738</v>
      </c>
      <c r="J703" t="s">
        <v>23159</v>
      </c>
      <c r="K703" t="s">
        <v>29379</v>
      </c>
      <c r="M703" t="s">
        <v>29779</v>
      </c>
      <c r="N703" t="s">
        <v>32524</v>
      </c>
      <c r="O703" t="s">
        <v>32525</v>
      </c>
      <c r="P703">
        <v>0</v>
      </c>
      <c r="Q703">
        <v>0</v>
      </c>
      <c r="R703" t="s">
        <v>32526</v>
      </c>
      <c r="S703" t="s">
        <v>32547</v>
      </c>
      <c r="T703" t="s">
        <v>33166</v>
      </c>
      <c r="U703" t="s">
        <v>34248</v>
      </c>
      <c r="W703" t="s">
        <v>29779</v>
      </c>
      <c r="X703" t="s">
        <v>32527</v>
      </c>
    </row>
    <row r="704" spans="1:24">
      <c r="A704">
        <f>HYPERLINK("https://www.philgeps.gov.ph/GEPSNONPILOT/Tender/SplashBidNoticeAbstractUI.aspx?menuIndex=3&amp;refID=7044913&amp;Result=3","7044913")</f>
        <v>0</v>
      </c>
      <c r="B704" t="s">
        <v>246</v>
      </c>
      <c r="C704" t="s">
        <v>3350</v>
      </c>
      <c r="D704" t="s">
        <v>13012</v>
      </c>
      <c r="E704" t="s">
        <v>13738</v>
      </c>
      <c r="F704" t="s">
        <v>22436</v>
      </c>
      <c r="G704" t="s">
        <v>22443</v>
      </c>
      <c r="H704" t="s">
        <v>22453</v>
      </c>
      <c r="I704" t="s">
        <v>3027</v>
      </c>
      <c r="J704" t="s">
        <v>22858</v>
      </c>
      <c r="K704" t="s">
        <v>29370</v>
      </c>
      <c r="M704" t="s">
        <v>29820</v>
      </c>
      <c r="N704" t="s">
        <v>32524</v>
      </c>
      <c r="O704" t="s">
        <v>32525</v>
      </c>
      <c r="P704">
        <v>0</v>
      </c>
      <c r="Q704">
        <v>0</v>
      </c>
      <c r="R704" t="s">
        <v>32526</v>
      </c>
      <c r="S704" t="s">
        <v>32547</v>
      </c>
      <c r="T704" t="s">
        <v>33252</v>
      </c>
      <c r="U704" t="s">
        <v>34249</v>
      </c>
      <c r="W704" t="s">
        <v>29820</v>
      </c>
      <c r="X704" t="s">
        <v>32527</v>
      </c>
    </row>
    <row r="705" spans="1:24">
      <c r="A705">
        <f>HYPERLINK("https://www.philgeps.gov.ph/GEPSNONPILOT/Tender/SplashBidNoticeAbstractUI.aspx?menuIndex=3&amp;refID=7044921&amp;Result=3","7044921")</f>
        <v>0</v>
      </c>
      <c r="B705" t="s">
        <v>323</v>
      </c>
      <c r="C705" t="s">
        <v>3351</v>
      </c>
      <c r="D705" t="s">
        <v>13013</v>
      </c>
      <c r="E705" t="s">
        <v>13739</v>
      </c>
      <c r="F705" t="s">
        <v>22436</v>
      </c>
      <c r="G705" t="s">
        <v>22444</v>
      </c>
      <c r="H705" t="s">
        <v>22452</v>
      </c>
      <c r="I705" t="s">
        <v>3122</v>
      </c>
      <c r="J705" t="s">
        <v>23160</v>
      </c>
      <c r="K705" t="s">
        <v>29341</v>
      </c>
      <c r="M705" t="s">
        <v>29899</v>
      </c>
      <c r="N705" t="s">
        <v>32524</v>
      </c>
      <c r="O705" t="s">
        <v>32525</v>
      </c>
      <c r="P705">
        <v>0</v>
      </c>
      <c r="Q705">
        <v>0</v>
      </c>
      <c r="R705" t="s">
        <v>32526</v>
      </c>
      <c r="S705" t="s">
        <v>32547</v>
      </c>
      <c r="T705" t="s">
        <v>33187</v>
      </c>
      <c r="U705" t="s">
        <v>34250</v>
      </c>
      <c r="W705" t="s">
        <v>29899</v>
      </c>
      <c r="X705" t="s">
        <v>32527</v>
      </c>
    </row>
    <row r="706" spans="1:24">
      <c r="A706">
        <f>HYPERLINK("https://www.philgeps.gov.ph/GEPSNONPILOT/Tender/SplashBidNoticeAbstractUI.aspx?menuIndex=3&amp;refID=7044912&amp;Result=3","7044912")</f>
        <v>0</v>
      </c>
      <c r="B706" t="s">
        <v>124</v>
      </c>
      <c r="C706" t="s">
        <v>3352</v>
      </c>
      <c r="D706" t="s">
        <v>13031</v>
      </c>
      <c r="E706" t="s">
        <v>13740</v>
      </c>
      <c r="F706" t="s">
        <v>22436</v>
      </c>
      <c r="G706" t="s">
        <v>22443</v>
      </c>
      <c r="H706" t="s">
        <v>22452</v>
      </c>
      <c r="I706" t="s">
        <v>22462</v>
      </c>
      <c r="J706" t="s">
        <v>23161</v>
      </c>
      <c r="K706" t="s">
        <v>29338</v>
      </c>
      <c r="M706" t="s">
        <v>29696</v>
      </c>
      <c r="N706" t="s">
        <v>32524</v>
      </c>
      <c r="O706" t="s">
        <v>32525</v>
      </c>
      <c r="P706">
        <v>0</v>
      </c>
      <c r="Q706">
        <v>1</v>
      </c>
      <c r="R706" t="s">
        <v>32526</v>
      </c>
      <c r="S706" t="s">
        <v>32547</v>
      </c>
      <c r="T706" t="s">
        <v>33183</v>
      </c>
      <c r="U706" t="s">
        <v>34251</v>
      </c>
      <c r="W706" t="s">
        <v>29696</v>
      </c>
      <c r="X706" t="s">
        <v>32527</v>
      </c>
    </row>
    <row r="707" spans="1:24">
      <c r="A707">
        <f>HYPERLINK("https://www.philgeps.gov.ph/GEPSNONPILOT/Tender/SplashBidNoticeAbstractUI.aspx?menuIndex=3&amp;refID=7044920&amp;Result=3","7044920")</f>
        <v>0</v>
      </c>
      <c r="B707" t="s">
        <v>50</v>
      </c>
      <c r="C707" t="s">
        <v>3353</v>
      </c>
      <c r="D707" t="s">
        <v>13008</v>
      </c>
      <c r="E707" t="s">
        <v>13741</v>
      </c>
      <c r="F707" t="s">
        <v>22436</v>
      </c>
      <c r="G707" t="s">
        <v>22444</v>
      </c>
      <c r="H707" t="s">
        <v>22452</v>
      </c>
      <c r="I707" t="s">
        <v>22460</v>
      </c>
      <c r="J707" t="s">
        <v>23162</v>
      </c>
      <c r="K707" t="s">
        <v>29335</v>
      </c>
      <c r="M707" t="s">
        <v>29622</v>
      </c>
      <c r="N707" t="s">
        <v>32524</v>
      </c>
      <c r="O707" t="s">
        <v>32525</v>
      </c>
      <c r="P707">
        <v>0</v>
      </c>
      <c r="Q707">
        <v>0</v>
      </c>
      <c r="R707" t="s">
        <v>32526</v>
      </c>
      <c r="S707" t="s">
        <v>32547</v>
      </c>
      <c r="T707" t="s">
        <v>33166</v>
      </c>
      <c r="U707" t="s">
        <v>34252</v>
      </c>
      <c r="W707" t="s">
        <v>29622</v>
      </c>
      <c r="X707" t="s">
        <v>32527</v>
      </c>
    </row>
    <row r="708" spans="1:24">
      <c r="A708">
        <f>HYPERLINK("https://www.philgeps.gov.ph/GEPSNONPILOT/Tender/SplashBidNoticeAbstractUI.aspx?menuIndex=3&amp;refID=7044909&amp;Result=3","7044909")</f>
        <v>0</v>
      </c>
      <c r="B708" t="s">
        <v>324</v>
      </c>
      <c r="C708" t="s">
        <v>3354</v>
      </c>
      <c r="E708" t="s">
        <v>13742</v>
      </c>
      <c r="F708" t="s">
        <v>22436</v>
      </c>
      <c r="G708" t="s">
        <v>22443</v>
      </c>
      <c r="H708" t="s">
        <v>22452</v>
      </c>
      <c r="I708" t="s">
        <v>5194</v>
      </c>
      <c r="J708" t="s">
        <v>23163</v>
      </c>
      <c r="K708" t="s">
        <v>29338</v>
      </c>
      <c r="M708" t="s">
        <v>29900</v>
      </c>
      <c r="N708" t="s">
        <v>32524</v>
      </c>
      <c r="O708" t="s">
        <v>32525</v>
      </c>
      <c r="P708">
        <v>0</v>
      </c>
      <c r="Q708">
        <v>1</v>
      </c>
      <c r="R708" t="s">
        <v>32526</v>
      </c>
      <c r="S708" t="s">
        <v>32547</v>
      </c>
      <c r="T708" t="s">
        <v>33183</v>
      </c>
      <c r="U708" t="s">
        <v>34253</v>
      </c>
      <c r="W708" t="s">
        <v>29900</v>
      </c>
      <c r="X708" t="s">
        <v>32527</v>
      </c>
    </row>
    <row r="709" spans="1:24">
      <c r="A709">
        <f>HYPERLINK("https://www.philgeps.gov.ph/GEPSNONPILOT/Tender/SplashBidNoticeAbstractUI.aspx?menuIndex=3&amp;refID=7044910&amp;Result=3","7044910")</f>
        <v>0</v>
      </c>
      <c r="B709" t="s">
        <v>325</v>
      </c>
      <c r="C709" t="s">
        <v>3355</v>
      </c>
      <c r="D709" t="s">
        <v>13000</v>
      </c>
      <c r="E709" t="s">
        <v>13743</v>
      </c>
      <c r="F709" t="s">
        <v>22436</v>
      </c>
      <c r="G709" t="s">
        <v>22444</v>
      </c>
      <c r="H709" t="s">
        <v>22454</v>
      </c>
      <c r="I709" t="s">
        <v>7738</v>
      </c>
      <c r="J709" t="s">
        <v>22605</v>
      </c>
      <c r="K709" t="s">
        <v>29335</v>
      </c>
      <c r="M709" t="s">
        <v>29901</v>
      </c>
      <c r="N709" t="s">
        <v>32524</v>
      </c>
      <c r="O709" t="s">
        <v>32525</v>
      </c>
      <c r="P709">
        <v>0</v>
      </c>
      <c r="Q709">
        <v>1</v>
      </c>
      <c r="R709" t="s">
        <v>32526</v>
      </c>
      <c r="S709" t="s">
        <v>32547</v>
      </c>
      <c r="T709" t="s">
        <v>33171</v>
      </c>
      <c r="U709" t="s">
        <v>34254</v>
      </c>
      <c r="W709" t="s">
        <v>29901</v>
      </c>
      <c r="X709" t="s">
        <v>32527</v>
      </c>
    </row>
    <row r="710" spans="1:24">
      <c r="A710">
        <f>HYPERLINK("https://www.philgeps.gov.ph/GEPSNONPILOT/Tender/SplashBidNoticeAbstractUI.aspx?menuIndex=3&amp;refID=7044914&amp;Result=3","7044914")</f>
        <v>0</v>
      </c>
      <c r="B710" t="s">
        <v>326</v>
      </c>
      <c r="C710" t="s">
        <v>3356</v>
      </c>
      <c r="D710" t="s">
        <v>13046</v>
      </c>
      <c r="E710" t="s">
        <v>13744</v>
      </c>
      <c r="F710" t="s">
        <v>22436</v>
      </c>
      <c r="G710" t="s">
        <v>22443</v>
      </c>
      <c r="H710" t="s">
        <v>22452</v>
      </c>
      <c r="I710" t="s">
        <v>22502</v>
      </c>
      <c r="J710" t="s">
        <v>22692</v>
      </c>
      <c r="K710" t="s">
        <v>29341</v>
      </c>
      <c r="M710" t="s">
        <v>29902</v>
      </c>
      <c r="N710" t="s">
        <v>32524</v>
      </c>
      <c r="O710" t="s">
        <v>32525</v>
      </c>
      <c r="P710">
        <v>0</v>
      </c>
      <c r="Q710">
        <v>8</v>
      </c>
      <c r="R710" t="s">
        <v>32526</v>
      </c>
      <c r="S710" t="s">
        <v>32547</v>
      </c>
      <c r="T710" t="s">
        <v>33167</v>
      </c>
      <c r="U710" t="s">
        <v>34255</v>
      </c>
      <c r="W710" t="s">
        <v>29902</v>
      </c>
      <c r="X710" t="s">
        <v>32527</v>
      </c>
    </row>
    <row r="711" spans="1:24">
      <c r="A711">
        <f>HYPERLINK("https://www.philgeps.gov.ph/GEPSNONPILOT/Tender/SplashBidNoticeAbstractUI.aspx?menuIndex=3&amp;refID=7044918&amp;Result=3","7044918")</f>
        <v>0</v>
      </c>
      <c r="B711" t="s">
        <v>327</v>
      </c>
      <c r="C711" t="s">
        <v>3357</v>
      </c>
      <c r="D711" t="s">
        <v>13009</v>
      </c>
      <c r="E711" t="s">
        <v>13487</v>
      </c>
      <c r="F711" t="s">
        <v>22436</v>
      </c>
      <c r="G711" t="s">
        <v>22444</v>
      </c>
      <c r="H711" t="s">
        <v>22452</v>
      </c>
      <c r="I711" t="s">
        <v>3529</v>
      </c>
      <c r="J711" t="s">
        <v>22956</v>
      </c>
      <c r="K711" t="s">
        <v>29335</v>
      </c>
      <c r="M711" t="s">
        <v>29903</v>
      </c>
      <c r="N711" t="s">
        <v>32524</v>
      </c>
      <c r="O711" t="s">
        <v>32525</v>
      </c>
      <c r="P711">
        <v>0</v>
      </c>
      <c r="Q711">
        <v>0</v>
      </c>
      <c r="R711" t="s">
        <v>32526</v>
      </c>
      <c r="S711" t="s">
        <v>32547</v>
      </c>
      <c r="T711" t="s">
        <v>33179</v>
      </c>
      <c r="U711" t="s">
        <v>34256</v>
      </c>
      <c r="W711" t="s">
        <v>29903</v>
      </c>
      <c r="X711" t="s">
        <v>32527</v>
      </c>
    </row>
    <row r="712" spans="1:24">
      <c r="A712">
        <f>HYPERLINK("https://www.philgeps.gov.ph/GEPSNONPILOT/Tender/SplashBidNoticeAbstractUI.aspx?menuIndex=3&amp;refID=7044919&amp;Result=3","7044919")</f>
        <v>0</v>
      </c>
      <c r="B712" t="s">
        <v>328</v>
      </c>
      <c r="C712" t="s">
        <v>3358</v>
      </c>
      <c r="D712" t="s">
        <v>13022</v>
      </c>
      <c r="E712" t="s">
        <v>13745</v>
      </c>
      <c r="F712" t="s">
        <v>22436</v>
      </c>
      <c r="G712" t="s">
        <v>22443</v>
      </c>
      <c r="H712" t="s">
        <v>22452</v>
      </c>
      <c r="I712" t="s">
        <v>3358</v>
      </c>
      <c r="J712" t="s">
        <v>23164</v>
      </c>
      <c r="K712" t="s">
        <v>29335</v>
      </c>
      <c r="M712" t="s">
        <v>29904</v>
      </c>
      <c r="N712" t="s">
        <v>32524</v>
      </c>
      <c r="O712" t="s">
        <v>32525</v>
      </c>
      <c r="P712">
        <v>0</v>
      </c>
      <c r="Q712">
        <v>0</v>
      </c>
      <c r="R712" t="s">
        <v>32526</v>
      </c>
      <c r="S712" t="s">
        <v>32547</v>
      </c>
      <c r="T712" t="s">
        <v>33203</v>
      </c>
      <c r="U712" t="s">
        <v>34257</v>
      </c>
      <c r="W712" t="s">
        <v>29904</v>
      </c>
      <c r="X712" t="s">
        <v>32527</v>
      </c>
    </row>
    <row r="713" spans="1:24">
      <c r="A713">
        <f>HYPERLINK("https://www.philgeps.gov.ph/GEPSNONPILOT/Tender/SplashBidNoticeAbstractUI.aspx?menuIndex=3&amp;refID=7044927&amp;Result=3","7044927")</f>
        <v>0</v>
      </c>
      <c r="B713" t="s">
        <v>248</v>
      </c>
      <c r="C713" t="s">
        <v>3359</v>
      </c>
      <c r="D713" t="s">
        <v>13023</v>
      </c>
      <c r="E713" t="s">
        <v>13746</v>
      </c>
      <c r="F713" t="s">
        <v>22436</v>
      </c>
      <c r="G713" t="s">
        <v>22446</v>
      </c>
      <c r="H713" t="s">
        <v>22452</v>
      </c>
      <c r="I713" t="s">
        <v>22465</v>
      </c>
      <c r="J713" t="s">
        <v>23165</v>
      </c>
      <c r="K713" t="s">
        <v>29340</v>
      </c>
      <c r="M713" t="s">
        <v>29822</v>
      </c>
      <c r="N713" t="s">
        <v>32524</v>
      </c>
      <c r="O713" t="s">
        <v>32525</v>
      </c>
      <c r="P713">
        <v>0</v>
      </c>
      <c r="Q713">
        <v>0</v>
      </c>
      <c r="R713" t="s">
        <v>32526</v>
      </c>
      <c r="S713" t="s">
        <v>32547</v>
      </c>
      <c r="T713" t="s">
        <v>33220</v>
      </c>
      <c r="U713" t="s">
        <v>34258</v>
      </c>
      <c r="W713" t="s">
        <v>29822</v>
      </c>
      <c r="X713" t="s">
        <v>32527</v>
      </c>
    </row>
    <row r="714" spans="1:24">
      <c r="A714">
        <f>HYPERLINK("https://www.philgeps.gov.ph/GEPSNONPILOT/Tender/SplashBidNoticeAbstractUI.aspx?menuIndex=3&amp;refID=7044908&amp;Result=3","7044908")</f>
        <v>0</v>
      </c>
      <c r="B714" t="s">
        <v>329</v>
      </c>
      <c r="C714" t="s">
        <v>3360</v>
      </c>
      <c r="D714" t="s">
        <v>13021</v>
      </c>
      <c r="E714" t="s">
        <v>13747</v>
      </c>
      <c r="F714" t="s">
        <v>22436</v>
      </c>
      <c r="G714" t="s">
        <v>22443</v>
      </c>
      <c r="H714" t="s">
        <v>22452</v>
      </c>
      <c r="I714" t="s">
        <v>2981</v>
      </c>
      <c r="J714" t="s">
        <v>23166</v>
      </c>
      <c r="K714" t="s">
        <v>29341</v>
      </c>
      <c r="M714" t="s">
        <v>29905</v>
      </c>
      <c r="N714" t="s">
        <v>32524</v>
      </c>
      <c r="O714" t="s">
        <v>32525</v>
      </c>
      <c r="P714">
        <v>0</v>
      </c>
      <c r="Q714">
        <v>0</v>
      </c>
      <c r="R714" t="s">
        <v>32526</v>
      </c>
      <c r="S714" t="s">
        <v>32547</v>
      </c>
      <c r="T714" t="s">
        <v>33167</v>
      </c>
      <c r="U714" t="s">
        <v>34259</v>
      </c>
      <c r="W714" t="s">
        <v>29905</v>
      </c>
      <c r="X714" t="s">
        <v>32527</v>
      </c>
    </row>
    <row r="715" spans="1:24">
      <c r="A715">
        <f>HYPERLINK("https://www.philgeps.gov.ph/GEPSNONPILOT/Tender/SplashBidNoticeAbstractUI.aspx?menuIndex=3&amp;refID=7044925&amp;Result=3","7044925")</f>
        <v>0</v>
      </c>
      <c r="B715" t="s">
        <v>330</v>
      </c>
      <c r="C715" t="s">
        <v>3361</v>
      </c>
      <c r="D715" t="s">
        <v>12988</v>
      </c>
      <c r="E715" t="s">
        <v>13748</v>
      </c>
      <c r="F715" t="s">
        <v>22436</v>
      </c>
      <c r="G715" t="s">
        <v>22443</v>
      </c>
      <c r="H715" t="s">
        <v>22452</v>
      </c>
      <c r="I715" t="s">
        <v>22513</v>
      </c>
      <c r="J715" t="s">
        <v>23167</v>
      </c>
      <c r="K715" t="s">
        <v>29341</v>
      </c>
      <c r="M715" t="s">
        <v>29906</v>
      </c>
      <c r="N715" t="s">
        <v>32524</v>
      </c>
      <c r="O715" t="s">
        <v>32525</v>
      </c>
      <c r="P715">
        <v>0</v>
      </c>
      <c r="Q715">
        <v>2</v>
      </c>
      <c r="R715" t="s">
        <v>32526</v>
      </c>
      <c r="S715" t="s">
        <v>32547</v>
      </c>
      <c r="T715" t="s">
        <v>33161</v>
      </c>
      <c r="U715" t="s">
        <v>34260</v>
      </c>
      <c r="V715" t="s">
        <v>42460</v>
      </c>
      <c r="W715" t="s">
        <v>29906</v>
      </c>
      <c r="X715" t="s">
        <v>32527</v>
      </c>
    </row>
    <row r="716" spans="1:24">
      <c r="A716">
        <f>HYPERLINK("https://www.philgeps.gov.ph/GEPSNONPILOT/Tender/SplashBidNoticeAbstractUI.aspx?menuIndex=3&amp;refID=7044928&amp;Result=3","7044928")</f>
        <v>0</v>
      </c>
      <c r="B716" t="s">
        <v>280</v>
      </c>
      <c r="C716" t="s">
        <v>3362</v>
      </c>
      <c r="D716" t="s">
        <v>13055</v>
      </c>
      <c r="E716" t="s">
        <v>13749</v>
      </c>
      <c r="F716" t="s">
        <v>22436</v>
      </c>
      <c r="G716" t="s">
        <v>22443</v>
      </c>
      <c r="H716" t="s">
        <v>22452</v>
      </c>
      <c r="I716" t="s">
        <v>22465</v>
      </c>
      <c r="J716" t="s">
        <v>23168</v>
      </c>
      <c r="K716" t="s">
        <v>29336</v>
      </c>
      <c r="M716" t="s">
        <v>29854</v>
      </c>
      <c r="N716" t="s">
        <v>32524</v>
      </c>
      <c r="O716" t="s">
        <v>32525</v>
      </c>
      <c r="P716">
        <v>0</v>
      </c>
      <c r="Q716">
        <v>0</v>
      </c>
      <c r="R716" t="s">
        <v>32526</v>
      </c>
      <c r="S716" t="s">
        <v>32547</v>
      </c>
      <c r="T716" t="s">
        <v>33181</v>
      </c>
      <c r="U716" t="s">
        <v>34261</v>
      </c>
      <c r="V716" t="s">
        <v>42486</v>
      </c>
      <c r="W716" t="s">
        <v>29854</v>
      </c>
      <c r="X716" t="s">
        <v>32527</v>
      </c>
    </row>
    <row r="717" spans="1:24">
      <c r="A717">
        <f>HYPERLINK("https://www.philgeps.gov.ph/GEPSNONPILOT/Tender/SplashBidNoticeAbstractUI.aspx?menuIndex=3&amp;refID=7044907&amp;Result=3","7044907")</f>
        <v>0</v>
      </c>
      <c r="B717" t="s">
        <v>46</v>
      </c>
      <c r="C717" t="s">
        <v>3363</v>
      </c>
      <c r="D717" t="s">
        <v>13006</v>
      </c>
      <c r="E717" t="s">
        <v>13750</v>
      </c>
      <c r="F717" t="s">
        <v>22436</v>
      </c>
      <c r="G717" t="s">
        <v>22444</v>
      </c>
      <c r="H717" t="s">
        <v>22452</v>
      </c>
      <c r="I717" t="s">
        <v>2962</v>
      </c>
      <c r="J717" t="s">
        <v>23169</v>
      </c>
      <c r="K717" t="s">
        <v>29330</v>
      </c>
      <c r="M717" t="s">
        <v>29760</v>
      </c>
      <c r="N717" t="s">
        <v>32524</v>
      </c>
      <c r="O717" t="s">
        <v>32525</v>
      </c>
      <c r="P717">
        <v>0</v>
      </c>
      <c r="Q717">
        <v>0</v>
      </c>
      <c r="R717" t="s">
        <v>32526</v>
      </c>
      <c r="S717" t="s">
        <v>32547</v>
      </c>
      <c r="T717" t="s">
        <v>33168</v>
      </c>
      <c r="U717" t="s">
        <v>34262</v>
      </c>
      <c r="V717" t="s">
        <v>42461</v>
      </c>
      <c r="W717" t="s">
        <v>29760</v>
      </c>
      <c r="X717" t="s">
        <v>32527</v>
      </c>
    </row>
    <row r="718" spans="1:24">
      <c r="A718">
        <f>HYPERLINK("https://www.philgeps.gov.ph/GEPSNONPILOT/Tender/SplashBidNoticeAbstractUI.aspx?menuIndex=3&amp;refID=7044934&amp;Result=3","7044934")</f>
        <v>0</v>
      </c>
      <c r="B718" t="s">
        <v>224</v>
      </c>
      <c r="C718" t="s">
        <v>2818</v>
      </c>
      <c r="D718" t="s">
        <v>13018</v>
      </c>
      <c r="E718" t="s">
        <v>13751</v>
      </c>
      <c r="F718" t="s">
        <v>22436</v>
      </c>
      <c r="G718" t="s">
        <v>22444</v>
      </c>
      <c r="H718" t="s">
        <v>22452</v>
      </c>
      <c r="I718" t="s">
        <v>5194</v>
      </c>
      <c r="J718" t="s">
        <v>23170</v>
      </c>
      <c r="K718" t="s">
        <v>29331</v>
      </c>
      <c r="M718" t="s">
        <v>29797</v>
      </c>
      <c r="N718" t="s">
        <v>32524</v>
      </c>
      <c r="O718" t="s">
        <v>32525</v>
      </c>
      <c r="P718">
        <v>0</v>
      </c>
      <c r="Q718">
        <v>0</v>
      </c>
      <c r="R718" t="s">
        <v>32526</v>
      </c>
      <c r="S718" t="s">
        <v>32547</v>
      </c>
      <c r="T718" t="s">
        <v>33166</v>
      </c>
      <c r="U718" t="s">
        <v>34263</v>
      </c>
      <c r="W718" t="s">
        <v>29797</v>
      </c>
      <c r="X718" t="s">
        <v>32527</v>
      </c>
    </row>
    <row r="719" spans="1:24">
      <c r="A719">
        <f>HYPERLINK("https://www.philgeps.gov.ph/GEPSNONPILOT/Tender/SplashBidNoticeAbstractUI.aspx?menuIndex=3&amp;refID=7044922&amp;Result=3","7044922")</f>
        <v>0</v>
      </c>
      <c r="B719" t="s">
        <v>331</v>
      </c>
      <c r="C719" t="s">
        <v>3364</v>
      </c>
      <c r="D719" t="s">
        <v>13058</v>
      </c>
      <c r="E719" t="s">
        <v>13752</v>
      </c>
      <c r="F719" t="s">
        <v>22436</v>
      </c>
      <c r="G719" t="s">
        <v>22445</v>
      </c>
      <c r="H719" t="s">
        <v>22452</v>
      </c>
      <c r="I719" t="s">
        <v>5194</v>
      </c>
      <c r="J719" t="s">
        <v>22583</v>
      </c>
      <c r="K719" t="s">
        <v>29335</v>
      </c>
      <c r="M719" t="s">
        <v>29907</v>
      </c>
      <c r="N719" t="s">
        <v>32524</v>
      </c>
      <c r="O719" t="s">
        <v>32525</v>
      </c>
      <c r="P719">
        <v>0</v>
      </c>
      <c r="Q719">
        <v>1</v>
      </c>
      <c r="R719" t="s">
        <v>32526</v>
      </c>
      <c r="S719" t="s">
        <v>32547</v>
      </c>
      <c r="T719" t="s">
        <v>33169</v>
      </c>
      <c r="U719" t="s">
        <v>34264</v>
      </c>
      <c r="W719" t="s">
        <v>29907</v>
      </c>
      <c r="X719" t="s">
        <v>32527</v>
      </c>
    </row>
    <row r="720" spans="1:24">
      <c r="A720">
        <f>HYPERLINK("https://www.philgeps.gov.ph/GEPSNONPILOT/Tender/SplashBidNoticeAbstractUI.aspx?menuIndex=3&amp;refID=7044931&amp;Result=3","7044931")</f>
        <v>0</v>
      </c>
      <c r="B720" t="s">
        <v>268</v>
      </c>
      <c r="C720" t="s">
        <v>3227</v>
      </c>
      <c r="D720" t="s">
        <v>13015</v>
      </c>
      <c r="E720" t="s">
        <v>13396</v>
      </c>
      <c r="F720" t="s">
        <v>22436</v>
      </c>
      <c r="G720" t="s">
        <v>22444</v>
      </c>
      <c r="H720" t="s">
        <v>22454</v>
      </c>
      <c r="I720" t="s">
        <v>7738</v>
      </c>
      <c r="J720" t="s">
        <v>22674</v>
      </c>
      <c r="K720" t="s">
        <v>29336</v>
      </c>
      <c r="M720" t="s">
        <v>29842</v>
      </c>
      <c r="N720" t="s">
        <v>32524</v>
      </c>
      <c r="O720" t="s">
        <v>32525</v>
      </c>
      <c r="P720">
        <v>0</v>
      </c>
      <c r="Q720">
        <v>0</v>
      </c>
      <c r="R720" t="s">
        <v>32526</v>
      </c>
      <c r="S720" t="s">
        <v>32547</v>
      </c>
      <c r="T720" t="s">
        <v>33260</v>
      </c>
      <c r="U720" t="s">
        <v>34265</v>
      </c>
      <c r="W720" t="s">
        <v>29842</v>
      </c>
      <c r="X720" t="s">
        <v>32527</v>
      </c>
    </row>
    <row r="721" spans="1:24">
      <c r="A721">
        <f>HYPERLINK("https://www.philgeps.gov.ph/GEPSNONPILOT/Tender/SplashBidNoticeAbstractUI.aspx?menuIndex=3&amp;refID=7044924&amp;Result=3","7044924")</f>
        <v>0</v>
      </c>
      <c r="B721" t="s">
        <v>279</v>
      </c>
      <c r="C721" t="s">
        <v>3365</v>
      </c>
      <c r="D721" t="s">
        <v>13010</v>
      </c>
      <c r="E721" t="s">
        <v>13753</v>
      </c>
      <c r="F721" t="s">
        <v>22436</v>
      </c>
      <c r="G721" t="s">
        <v>22443</v>
      </c>
      <c r="H721" t="s">
        <v>22452</v>
      </c>
      <c r="I721" t="s">
        <v>3027</v>
      </c>
      <c r="J721" t="s">
        <v>23171</v>
      </c>
      <c r="K721" t="s">
        <v>29336</v>
      </c>
      <c r="M721" t="s">
        <v>29853</v>
      </c>
      <c r="N721" t="s">
        <v>32524</v>
      </c>
      <c r="O721" t="s">
        <v>32525</v>
      </c>
      <c r="P721">
        <v>0</v>
      </c>
      <c r="Q721">
        <v>0</v>
      </c>
      <c r="R721" t="s">
        <v>32526</v>
      </c>
      <c r="S721" t="s">
        <v>32547</v>
      </c>
      <c r="T721" t="s">
        <v>33181</v>
      </c>
      <c r="U721" t="s">
        <v>34167</v>
      </c>
      <c r="W721" t="s">
        <v>29853</v>
      </c>
      <c r="X721" t="s">
        <v>32527</v>
      </c>
    </row>
    <row r="722" spans="1:24">
      <c r="A722">
        <f>HYPERLINK("https://www.philgeps.gov.ph/GEPSNONPILOT/Tender/SplashBidNoticeAbstractUI.aspx?menuIndex=3&amp;refID=7044948&amp;Result=3","7044948")</f>
        <v>0</v>
      </c>
      <c r="B722" t="s">
        <v>124</v>
      </c>
      <c r="C722" t="s">
        <v>3366</v>
      </c>
      <c r="D722" t="s">
        <v>13031</v>
      </c>
      <c r="E722" t="s">
        <v>13754</v>
      </c>
      <c r="F722" t="s">
        <v>22436</v>
      </c>
      <c r="G722" t="s">
        <v>22443</v>
      </c>
      <c r="H722" t="s">
        <v>22452</v>
      </c>
      <c r="I722" t="s">
        <v>22463</v>
      </c>
      <c r="J722" t="s">
        <v>23172</v>
      </c>
      <c r="K722" t="s">
        <v>29338</v>
      </c>
      <c r="M722" t="s">
        <v>29696</v>
      </c>
      <c r="N722" t="s">
        <v>32524</v>
      </c>
      <c r="O722" t="s">
        <v>32525</v>
      </c>
      <c r="P722">
        <v>0</v>
      </c>
      <c r="Q722">
        <v>2</v>
      </c>
      <c r="R722" t="s">
        <v>32526</v>
      </c>
      <c r="S722" t="s">
        <v>32547</v>
      </c>
      <c r="T722" t="s">
        <v>33183</v>
      </c>
      <c r="U722" t="s">
        <v>34266</v>
      </c>
      <c r="W722" t="s">
        <v>29696</v>
      </c>
      <c r="X722" t="s">
        <v>32527</v>
      </c>
    </row>
    <row r="723" spans="1:24">
      <c r="A723">
        <f>HYPERLINK("https://www.philgeps.gov.ph/GEPSNONPILOT/Tender/SplashBidNoticeAbstractUI.aspx?menuIndex=3&amp;refID=7044933&amp;Result=3","7044933")</f>
        <v>0</v>
      </c>
      <c r="B723" t="s">
        <v>267</v>
      </c>
      <c r="C723" t="s">
        <v>3367</v>
      </c>
      <c r="D723" t="s">
        <v>13032</v>
      </c>
      <c r="E723" t="s">
        <v>13755</v>
      </c>
      <c r="F723" t="s">
        <v>22436</v>
      </c>
      <c r="G723" t="s">
        <v>22444</v>
      </c>
      <c r="H723" t="s">
        <v>22454</v>
      </c>
      <c r="I723" t="s">
        <v>7738</v>
      </c>
      <c r="J723" t="s">
        <v>23173</v>
      </c>
      <c r="K723" t="s">
        <v>29347</v>
      </c>
      <c r="M723" t="s">
        <v>29841</v>
      </c>
      <c r="N723" t="s">
        <v>32524</v>
      </c>
      <c r="O723" t="s">
        <v>32525</v>
      </c>
      <c r="P723">
        <v>0</v>
      </c>
      <c r="Q723">
        <v>0</v>
      </c>
      <c r="R723" t="s">
        <v>32526</v>
      </c>
      <c r="S723" t="s">
        <v>32547</v>
      </c>
      <c r="T723" t="s">
        <v>33157</v>
      </c>
      <c r="U723" t="s">
        <v>34267</v>
      </c>
      <c r="W723" t="s">
        <v>43674</v>
      </c>
      <c r="X723" t="s">
        <v>32527</v>
      </c>
    </row>
    <row r="724" spans="1:24">
      <c r="A724">
        <f>HYPERLINK("https://www.philgeps.gov.ph/GEPSNONPILOT/Tender/SplashBidNoticeAbstractUI.aspx?menuIndex=3&amp;refID=7044929&amp;Result=3","7044929")</f>
        <v>0</v>
      </c>
      <c r="B724" t="s">
        <v>200</v>
      </c>
      <c r="C724" t="s">
        <v>3368</v>
      </c>
      <c r="D724" t="s">
        <v>13037</v>
      </c>
      <c r="E724" t="s">
        <v>13756</v>
      </c>
      <c r="F724" t="s">
        <v>22436</v>
      </c>
      <c r="G724" t="s">
        <v>22443</v>
      </c>
      <c r="H724" t="s">
        <v>22452</v>
      </c>
      <c r="I724" t="s">
        <v>3529</v>
      </c>
      <c r="J724" t="s">
        <v>23174</v>
      </c>
      <c r="K724" t="s">
        <v>29330</v>
      </c>
      <c r="M724" t="s">
        <v>29773</v>
      </c>
      <c r="N724" t="s">
        <v>32524</v>
      </c>
      <c r="O724" t="s">
        <v>32525</v>
      </c>
      <c r="P724">
        <v>0</v>
      </c>
      <c r="Q724">
        <v>0</v>
      </c>
      <c r="R724" t="s">
        <v>32526</v>
      </c>
      <c r="S724" t="s">
        <v>32547</v>
      </c>
      <c r="T724" t="s">
        <v>33161</v>
      </c>
      <c r="U724" t="s">
        <v>34268</v>
      </c>
      <c r="W724" t="s">
        <v>29773</v>
      </c>
      <c r="X724" t="s">
        <v>32527</v>
      </c>
    </row>
    <row r="725" spans="1:24">
      <c r="A725">
        <f>HYPERLINK("https://www.philgeps.gov.ph/GEPSNONPILOT/Tender/SplashBidNoticeAbstractUI.aspx?menuIndex=3&amp;refID=7044942&amp;Result=3","7044942")</f>
        <v>0</v>
      </c>
      <c r="B725" t="s">
        <v>332</v>
      </c>
      <c r="C725" t="s">
        <v>3369</v>
      </c>
      <c r="D725" t="s">
        <v>13013</v>
      </c>
      <c r="E725" t="s">
        <v>13757</v>
      </c>
      <c r="F725" t="s">
        <v>22436</v>
      </c>
      <c r="G725" t="s">
        <v>22443</v>
      </c>
      <c r="H725" t="s">
        <v>22452</v>
      </c>
      <c r="I725" t="s">
        <v>22483</v>
      </c>
      <c r="J725" t="s">
        <v>22605</v>
      </c>
      <c r="K725" t="s">
        <v>29335</v>
      </c>
      <c r="M725" t="s">
        <v>29908</v>
      </c>
      <c r="N725" t="s">
        <v>32524</v>
      </c>
      <c r="O725" t="s">
        <v>32525</v>
      </c>
      <c r="P725">
        <v>0</v>
      </c>
      <c r="Q725">
        <v>2</v>
      </c>
      <c r="R725" t="s">
        <v>32526</v>
      </c>
      <c r="S725" t="s">
        <v>32547</v>
      </c>
      <c r="T725" t="s">
        <v>33261</v>
      </c>
      <c r="U725" t="s">
        <v>34269</v>
      </c>
      <c r="W725" t="s">
        <v>43678</v>
      </c>
      <c r="X725" t="s">
        <v>32527</v>
      </c>
    </row>
    <row r="726" spans="1:24">
      <c r="A726">
        <f>HYPERLINK("https://www.philgeps.gov.ph/GEPSNONPILOT/Tender/SplashBidNoticeAbstractUI.aspx?menuIndex=3&amp;refID=7044932&amp;Result=3","7044932")</f>
        <v>0</v>
      </c>
      <c r="B726" t="s">
        <v>240</v>
      </c>
      <c r="C726" t="s">
        <v>3370</v>
      </c>
      <c r="D726" t="s">
        <v>12988</v>
      </c>
      <c r="E726" t="s">
        <v>13758</v>
      </c>
      <c r="F726" t="s">
        <v>22436</v>
      </c>
      <c r="G726" t="s">
        <v>22444</v>
      </c>
      <c r="H726" t="s">
        <v>22452</v>
      </c>
      <c r="I726" t="s">
        <v>22477</v>
      </c>
      <c r="J726" t="s">
        <v>23175</v>
      </c>
      <c r="K726" t="s">
        <v>29335</v>
      </c>
      <c r="M726" t="s">
        <v>29814</v>
      </c>
      <c r="N726" t="s">
        <v>32524</v>
      </c>
      <c r="O726" t="s">
        <v>32525</v>
      </c>
      <c r="P726">
        <v>0</v>
      </c>
      <c r="Q726">
        <v>0</v>
      </c>
      <c r="R726" t="s">
        <v>32526</v>
      </c>
      <c r="S726" t="s">
        <v>32547</v>
      </c>
      <c r="T726" t="s">
        <v>33246</v>
      </c>
      <c r="U726" t="s">
        <v>34270</v>
      </c>
      <c r="V726" t="s">
        <v>42478</v>
      </c>
      <c r="W726" t="s">
        <v>29814</v>
      </c>
      <c r="X726" t="s">
        <v>32527</v>
      </c>
    </row>
    <row r="727" spans="1:24">
      <c r="A727">
        <f>HYPERLINK("https://www.philgeps.gov.ph/GEPSNONPILOT/Tender/SplashBidNoticeAbstractUI.aspx?menuIndex=3&amp;refID=7044944&amp;Result=3","7044944")</f>
        <v>0</v>
      </c>
      <c r="B727" t="s">
        <v>279</v>
      </c>
      <c r="C727" t="s">
        <v>3371</v>
      </c>
      <c r="D727" t="s">
        <v>13010</v>
      </c>
      <c r="E727" t="s">
        <v>13759</v>
      </c>
      <c r="F727" t="s">
        <v>22436</v>
      </c>
      <c r="G727" t="s">
        <v>22443</v>
      </c>
      <c r="H727" t="s">
        <v>22452</v>
      </c>
      <c r="I727" t="s">
        <v>3027</v>
      </c>
      <c r="J727" t="s">
        <v>23176</v>
      </c>
      <c r="K727" t="s">
        <v>29336</v>
      </c>
      <c r="M727" t="s">
        <v>29853</v>
      </c>
      <c r="N727" t="s">
        <v>32524</v>
      </c>
      <c r="O727" t="s">
        <v>32525</v>
      </c>
      <c r="P727">
        <v>0</v>
      </c>
      <c r="Q727">
        <v>0</v>
      </c>
      <c r="R727" t="s">
        <v>32526</v>
      </c>
      <c r="S727" t="s">
        <v>32547</v>
      </c>
      <c r="T727" t="s">
        <v>33181</v>
      </c>
      <c r="U727" t="s">
        <v>34167</v>
      </c>
      <c r="W727" t="s">
        <v>29853</v>
      </c>
      <c r="X727" t="s">
        <v>32527</v>
      </c>
    </row>
    <row r="728" spans="1:24">
      <c r="A728">
        <f>HYPERLINK("https://www.philgeps.gov.ph/GEPSNONPILOT/Tender/SplashBidNoticeAbstractUI.aspx?menuIndex=3&amp;refID=7044917&amp;Result=3","7044917")</f>
        <v>0</v>
      </c>
      <c r="B728" t="s">
        <v>333</v>
      </c>
      <c r="C728" t="s">
        <v>3372</v>
      </c>
      <c r="D728" t="s">
        <v>13000</v>
      </c>
      <c r="E728" t="s">
        <v>13760</v>
      </c>
      <c r="F728" t="s">
        <v>22436</v>
      </c>
      <c r="G728" t="s">
        <v>22443</v>
      </c>
      <c r="H728" t="s">
        <v>22455</v>
      </c>
      <c r="I728" t="s">
        <v>22486</v>
      </c>
      <c r="J728" t="s">
        <v>23177</v>
      </c>
      <c r="K728" t="s">
        <v>29338</v>
      </c>
      <c r="M728" t="s">
        <v>29909</v>
      </c>
      <c r="N728" t="s">
        <v>32524</v>
      </c>
      <c r="O728" t="s">
        <v>32525</v>
      </c>
      <c r="P728">
        <v>0</v>
      </c>
      <c r="Q728">
        <v>0</v>
      </c>
      <c r="R728" t="s">
        <v>32526</v>
      </c>
      <c r="S728" t="s">
        <v>32547</v>
      </c>
      <c r="T728" t="s">
        <v>33167</v>
      </c>
      <c r="U728" t="s">
        <v>34271</v>
      </c>
      <c r="W728" t="s">
        <v>29909</v>
      </c>
      <c r="X728" t="s">
        <v>32527</v>
      </c>
    </row>
    <row r="729" spans="1:24">
      <c r="A729">
        <f>HYPERLINK("https://www.philgeps.gov.ph/GEPSNONPILOT/Tender/SplashBidNoticeAbstractUI.aspx?menuIndex=3&amp;refID=7044941&amp;Result=3","7044941")</f>
        <v>0</v>
      </c>
      <c r="B729" t="s">
        <v>322</v>
      </c>
      <c r="C729" t="s">
        <v>3373</v>
      </c>
      <c r="D729" t="s">
        <v>12988</v>
      </c>
      <c r="E729" t="s">
        <v>13761</v>
      </c>
      <c r="F729" t="s">
        <v>22436</v>
      </c>
      <c r="G729" t="s">
        <v>22443</v>
      </c>
      <c r="H729" t="s">
        <v>22452</v>
      </c>
      <c r="I729" t="s">
        <v>22514</v>
      </c>
      <c r="J729" t="s">
        <v>23178</v>
      </c>
      <c r="K729" t="s">
        <v>29338</v>
      </c>
      <c r="M729" t="s">
        <v>29898</v>
      </c>
      <c r="N729" t="s">
        <v>32524</v>
      </c>
      <c r="O729" t="s">
        <v>32525</v>
      </c>
      <c r="P729">
        <v>0</v>
      </c>
      <c r="Q729">
        <v>0</v>
      </c>
      <c r="R729" t="s">
        <v>32526</v>
      </c>
      <c r="S729" t="s">
        <v>32547</v>
      </c>
      <c r="T729" t="s">
        <v>33169</v>
      </c>
      <c r="U729" t="s">
        <v>34272</v>
      </c>
      <c r="W729" t="s">
        <v>29898</v>
      </c>
      <c r="X729" t="s">
        <v>32527</v>
      </c>
    </row>
    <row r="730" spans="1:24">
      <c r="A730">
        <f>HYPERLINK("https://www.philgeps.gov.ph/GEPSNONPILOT/Tender/SplashBidNoticeAbstractUI.aspx?menuIndex=3&amp;refID=7044939&amp;Result=3","7044939")</f>
        <v>0</v>
      </c>
      <c r="B730" t="s">
        <v>334</v>
      </c>
      <c r="C730" t="s">
        <v>3374</v>
      </c>
      <c r="D730" t="s">
        <v>13024</v>
      </c>
      <c r="E730" t="s">
        <v>13762</v>
      </c>
      <c r="F730" t="s">
        <v>22436</v>
      </c>
      <c r="G730" t="s">
        <v>22444</v>
      </c>
      <c r="H730" t="s">
        <v>22454</v>
      </c>
      <c r="I730" t="s">
        <v>7738</v>
      </c>
      <c r="J730" t="s">
        <v>23179</v>
      </c>
      <c r="K730" t="s">
        <v>29380</v>
      </c>
      <c r="M730" t="s">
        <v>29910</v>
      </c>
      <c r="N730" t="s">
        <v>32524</v>
      </c>
      <c r="O730" t="s">
        <v>32525</v>
      </c>
      <c r="P730">
        <v>0</v>
      </c>
      <c r="Q730">
        <v>0</v>
      </c>
      <c r="R730" t="s">
        <v>32526</v>
      </c>
      <c r="S730" t="s">
        <v>32547</v>
      </c>
      <c r="T730" t="s">
        <v>33165</v>
      </c>
      <c r="U730" t="s">
        <v>34273</v>
      </c>
      <c r="W730" t="s">
        <v>29910</v>
      </c>
      <c r="X730" t="s">
        <v>32527</v>
      </c>
    </row>
    <row r="731" spans="1:24">
      <c r="A731">
        <f>HYPERLINK("https://www.philgeps.gov.ph/GEPSNONPILOT/Tender/SplashBidNoticeAbstractUI.aspx?menuIndex=3&amp;refID=7044943&amp;Result=3","7044943")</f>
        <v>0</v>
      </c>
      <c r="B731" t="s">
        <v>200</v>
      </c>
      <c r="C731" t="s">
        <v>3375</v>
      </c>
      <c r="D731" t="s">
        <v>13037</v>
      </c>
      <c r="E731" t="s">
        <v>13763</v>
      </c>
      <c r="F731" t="s">
        <v>22436</v>
      </c>
      <c r="G731" t="s">
        <v>22443</v>
      </c>
      <c r="H731" t="s">
        <v>22452</v>
      </c>
      <c r="I731" t="s">
        <v>22468</v>
      </c>
      <c r="J731" t="s">
        <v>23180</v>
      </c>
      <c r="K731" t="s">
        <v>29330</v>
      </c>
      <c r="M731" t="s">
        <v>29773</v>
      </c>
      <c r="N731" t="s">
        <v>32524</v>
      </c>
      <c r="O731" t="s">
        <v>32525</v>
      </c>
      <c r="P731">
        <v>0</v>
      </c>
      <c r="Q731">
        <v>2</v>
      </c>
      <c r="R731" t="s">
        <v>32526</v>
      </c>
      <c r="S731" t="s">
        <v>32547</v>
      </c>
      <c r="T731" t="s">
        <v>33161</v>
      </c>
      <c r="U731" t="s">
        <v>34274</v>
      </c>
      <c r="W731" t="s">
        <v>29773</v>
      </c>
      <c r="X731" t="s">
        <v>32527</v>
      </c>
    </row>
    <row r="732" spans="1:24">
      <c r="A732">
        <f>HYPERLINK("https://www.philgeps.gov.ph/GEPSNONPILOT/Tender/SplashBidNoticeAbstractUI.aspx?menuIndex=3&amp;refID=7044954&amp;Result=3","7044954")</f>
        <v>0</v>
      </c>
      <c r="B732" t="s">
        <v>306</v>
      </c>
      <c r="C732" t="s">
        <v>3376</v>
      </c>
      <c r="D732" t="s">
        <v>13022</v>
      </c>
      <c r="E732" t="s">
        <v>13723</v>
      </c>
      <c r="F732" t="s">
        <v>22436</v>
      </c>
      <c r="G732" t="s">
        <v>22443</v>
      </c>
      <c r="H732" t="s">
        <v>22452</v>
      </c>
      <c r="I732" t="s">
        <v>22515</v>
      </c>
      <c r="J732" t="s">
        <v>23181</v>
      </c>
      <c r="K732" t="s">
        <v>29338</v>
      </c>
      <c r="M732" t="s">
        <v>29880</v>
      </c>
      <c r="N732" t="s">
        <v>32524</v>
      </c>
      <c r="O732" t="s">
        <v>32525</v>
      </c>
      <c r="P732">
        <v>0</v>
      </c>
      <c r="Q732">
        <v>2</v>
      </c>
      <c r="R732" t="s">
        <v>32526</v>
      </c>
      <c r="S732" t="s">
        <v>32547</v>
      </c>
      <c r="T732" t="s">
        <v>33182</v>
      </c>
      <c r="U732" t="s">
        <v>33876</v>
      </c>
      <c r="W732" t="s">
        <v>29880</v>
      </c>
      <c r="X732" t="s">
        <v>32527</v>
      </c>
    </row>
    <row r="733" spans="1:24">
      <c r="A733">
        <f>HYPERLINK("https://www.philgeps.gov.ph/GEPSNONPILOT/Tender/SplashBidNoticeAbstractUI.aspx?menuIndex=3&amp;refID=7044940&amp;Result=3","7044940")</f>
        <v>0</v>
      </c>
      <c r="B733" t="s">
        <v>335</v>
      </c>
      <c r="C733" t="s">
        <v>3377</v>
      </c>
      <c r="D733" t="s">
        <v>12988</v>
      </c>
      <c r="E733" t="s">
        <v>13764</v>
      </c>
      <c r="F733" t="s">
        <v>22436</v>
      </c>
      <c r="G733" t="s">
        <v>22443</v>
      </c>
      <c r="H733" t="s">
        <v>22452</v>
      </c>
      <c r="I733" t="s">
        <v>22498</v>
      </c>
      <c r="J733" t="s">
        <v>23182</v>
      </c>
      <c r="K733" t="s">
        <v>29341</v>
      </c>
      <c r="M733" t="s">
        <v>29911</v>
      </c>
      <c r="N733" t="s">
        <v>32524</v>
      </c>
      <c r="O733" t="s">
        <v>32525</v>
      </c>
      <c r="P733">
        <v>0</v>
      </c>
      <c r="Q733">
        <v>7</v>
      </c>
      <c r="R733" t="s">
        <v>32526</v>
      </c>
      <c r="S733" t="s">
        <v>32547</v>
      </c>
      <c r="T733" t="s">
        <v>33167</v>
      </c>
      <c r="U733" t="s">
        <v>34275</v>
      </c>
      <c r="W733" t="s">
        <v>29911</v>
      </c>
      <c r="X733" t="s">
        <v>32527</v>
      </c>
    </row>
    <row r="734" spans="1:24">
      <c r="A734">
        <f>HYPERLINK("https://www.philgeps.gov.ph/GEPSNONPILOT/Tender/SplashBidNoticeAbstractUI.aspx?menuIndex=3&amp;refID=7044953&amp;Result=3","7044953")</f>
        <v>0</v>
      </c>
      <c r="B734" t="s">
        <v>301</v>
      </c>
      <c r="C734" t="s">
        <v>3378</v>
      </c>
      <c r="D734" t="s">
        <v>13010</v>
      </c>
      <c r="E734" t="s">
        <v>13765</v>
      </c>
      <c r="F734" t="s">
        <v>22436</v>
      </c>
      <c r="G734" t="s">
        <v>22444</v>
      </c>
      <c r="H734" t="s">
        <v>22452</v>
      </c>
      <c r="I734" t="s">
        <v>22461</v>
      </c>
      <c r="J734" t="s">
        <v>23183</v>
      </c>
      <c r="K734" t="s">
        <v>29331</v>
      </c>
      <c r="M734" t="s">
        <v>29875</v>
      </c>
      <c r="N734" t="s">
        <v>32524</v>
      </c>
      <c r="O734" t="s">
        <v>32525</v>
      </c>
      <c r="P734">
        <v>0</v>
      </c>
      <c r="Q734">
        <v>3</v>
      </c>
      <c r="R734" t="s">
        <v>32526</v>
      </c>
      <c r="S734" t="s">
        <v>32547</v>
      </c>
      <c r="T734" t="s">
        <v>33258</v>
      </c>
      <c r="U734" t="s">
        <v>34276</v>
      </c>
      <c r="W734" t="s">
        <v>29875</v>
      </c>
      <c r="X734" t="s">
        <v>32527</v>
      </c>
    </row>
    <row r="735" spans="1:24">
      <c r="A735">
        <f>HYPERLINK("https://www.philgeps.gov.ph/GEPSNONPILOT/Tender/SplashBidNoticeAbstractUI.aspx?menuIndex=3&amp;refID=7044938&amp;Result=3","7044938")</f>
        <v>0</v>
      </c>
      <c r="B735" t="s">
        <v>124</v>
      </c>
      <c r="C735" t="s">
        <v>3379</v>
      </c>
      <c r="D735" t="s">
        <v>13031</v>
      </c>
      <c r="E735" t="s">
        <v>13766</v>
      </c>
      <c r="F735" t="s">
        <v>22436</v>
      </c>
      <c r="G735" t="s">
        <v>22443</v>
      </c>
      <c r="H735" t="s">
        <v>22452</v>
      </c>
      <c r="I735" t="s">
        <v>22462</v>
      </c>
      <c r="J735" t="s">
        <v>23184</v>
      </c>
      <c r="K735" t="s">
        <v>29338</v>
      </c>
      <c r="M735" t="s">
        <v>29696</v>
      </c>
      <c r="N735" t="s">
        <v>32524</v>
      </c>
      <c r="O735" t="s">
        <v>32525</v>
      </c>
      <c r="P735">
        <v>0</v>
      </c>
      <c r="Q735">
        <v>2</v>
      </c>
      <c r="R735" t="s">
        <v>32526</v>
      </c>
      <c r="S735" t="s">
        <v>32547</v>
      </c>
      <c r="T735" t="s">
        <v>33183</v>
      </c>
      <c r="U735" t="s">
        <v>34277</v>
      </c>
      <c r="W735" t="s">
        <v>29696</v>
      </c>
      <c r="X735" t="s">
        <v>32527</v>
      </c>
    </row>
    <row r="736" spans="1:24">
      <c r="A736">
        <f>HYPERLINK("https://www.philgeps.gov.ph/GEPSNONPILOT/Tender/SplashBidNoticeAbstractUI.aspx?menuIndex=3&amp;refID=7044935&amp;Result=3","7044935")</f>
        <v>0</v>
      </c>
      <c r="B736" t="s">
        <v>296</v>
      </c>
      <c r="C736" t="s">
        <v>3380</v>
      </c>
      <c r="D736" t="s">
        <v>12988</v>
      </c>
      <c r="E736" t="s">
        <v>13684</v>
      </c>
      <c r="F736" t="s">
        <v>22436</v>
      </c>
      <c r="G736" t="s">
        <v>22443</v>
      </c>
      <c r="H736" t="s">
        <v>22452</v>
      </c>
      <c r="I736" t="s">
        <v>22466</v>
      </c>
      <c r="J736" t="s">
        <v>23185</v>
      </c>
      <c r="K736" t="s">
        <v>29331</v>
      </c>
      <c r="M736" t="s">
        <v>29870</v>
      </c>
      <c r="N736" t="s">
        <v>32524</v>
      </c>
      <c r="O736" t="s">
        <v>32525</v>
      </c>
      <c r="P736">
        <v>0</v>
      </c>
      <c r="Q736">
        <v>7</v>
      </c>
      <c r="R736" t="s">
        <v>32526</v>
      </c>
      <c r="S736" t="s">
        <v>32547</v>
      </c>
      <c r="T736" t="s">
        <v>33203</v>
      </c>
      <c r="U736" t="s">
        <v>34278</v>
      </c>
      <c r="W736" t="s">
        <v>29870</v>
      </c>
      <c r="X736" t="s">
        <v>32527</v>
      </c>
    </row>
    <row r="737" spans="1:24">
      <c r="A737">
        <f>HYPERLINK("https://www.philgeps.gov.ph/GEPSNONPILOT/Tender/SplashBidNoticeAbstractUI.aspx?menuIndex=3&amp;refID=7044955&amp;Result=3","7044955")</f>
        <v>0</v>
      </c>
      <c r="B737" t="s">
        <v>328</v>
      </c>
      <c r="C737" t="s">
        <v>3381</v>
      </c>
      <c r="D737" t="s">
        <v>13022</v>
      </c>
      <c r="E737" t="s">
        <v>13767</v>
      </c>
      <c r="F737" t="s">
        <v>22436</v>
      </c>
      <c r="G737" t="s">
        <v>22443</v>
      </c>
      <c r="H737" t="s">
        <v>22452</v>
      </c>
      <c r="I737" t="s">
        <v>3381</v>
      </c>
      <c r="J737" t="s">
        <v>22874</v>
      </c>
      <c r="K737" t="s">
        <v>29335</v>
      </c>
      <c r="M737" t="s">
        <v>29904</v>
      </c>
      <c r="N737" t="s">
        <v>32524</v>
      </c>
      <c r="O737" t="s">
        <v>32525</v>
      </c>
      <c r="P737">
        <v>0</v>
      </c>
      <c r="Q737">
        <v>0</v>
      </c>
      <c r="R737" t="s">
        <v>32526</v>
      </c>
      <c r="S737" t="s">
        <v>32547</v>
      </c>
      <c r="T737" t="s">
        <v>33203</v>
      </c>
      <c r="U737" t="s">
        <v>34279</v>
      </c>
      <c r="W737" t="s">
        <v>29904</v>
      </c>
      <c r="X737" t="s">
        <v>32527</v>
      </c>
    </row>
    <row r="738" spans="1:24">
      <c r="A738">
        <f>HYPERLINK("https://www.philgeps.gov.ph/GEPSNONPILOT/Tender/SplashBidNoticeAbstractUI.aspx?menuIndex=3&amp;refID=7044950&amp;Result=3","7044950")</f>
        <v>0</v>
      </c>
      <c r="B738" t="s">
        <v>277</v>
      </c>
      <c r="C738" t="s">
        <v>3382</v>
      </c>
      <c r="D738" t="s">
        <v>13007</v>
      </c>
      <c r="E738" t="s">
        <v>13768</v>
      </c>
      <c r="F738" t="s">
        <v>22436</v>
      </c>
      <c r="G738" t="s">
        <v>22443</v>
      </c>
      <c r="H738" t="s">
        <v>22452</v>
      </c>
      <c r="I738" t="s">
        <v>2962</v>
      </c>
      <c r="J738" t="s">
        <v>22640</v>
      </c>
      <c r="K738" t="s">
        <v>29334</v>
      </c>
      <c r="M738" t="s">
        <v>29851</v>
      </c>
      <c r="N738" t="s">
        <v>32524</v>
      </c>
      <c r="O738" t="s">
        <v>32525</v>
      </c>
      <c r="P738">
        <v>0</v>
      </c>
      <c r="Q738">
        <v>0</v>
      </c>
      <c r="R738" t="s">
        <v>32526</v>
      </c>
      <c r="S738" t="s">
        <v>32547</v>
      </c>
      <c r="T738" t="s">
        <v>33155</v>
      </c>
      <c r="U738" t="s">
        <v>34280</v>
      </c>
      <c r="W738" t="s">
        <v>29851</v>
      </c>
      <c r="X738" t="s">
        <v>32527</v>
      </c>
    </row>
    <row r="739" spans="1:24">
      <c r="A739">
        <f>HYPERLINK("https://www.philgeps.gov.ph/GEPSNONPILOT/Tender/SplashBidNoticeAbstractUI.aspx?menuIndex=3&amp;refID=7044952&amp;Result=3","7044952")</f>
        <v>0</v>
      </c>
      <c r="B739" t="s">
        <v>336</v>
      </c>
      <c r="C739" t="s">
        <v>3383</v>
      </c>
      <c r="D739" t="s">
        <v>13058</v>
      </c>
      <c r="E739" t="s">
        <v>13769</v>
      </c>
      <c r="F739" t="s">
        <v>22436</v>
      </c>
      <c r="G739" t="s">
        <v>22443</v>
      </c>
      <c r="H739" t="s">
        <v>22452</v>
      </c>
      <c r="I739" t="s">
        <v>3529</v>
      </c>
      <c r="J739" t="s">
        <v>23186</v>
      </c>
      <c r="K739" t="s">
        <v>29335</v>
      </c>
      <c r="M739" t="s">
        <v>29912</v>
      </c>
      <c r="N739" t="s">
        <v>32524</v>
      </c>
      <c r="O739" t="s">
        <v>32525</v>
      </c>
      <c r="P739">
        <v>0</v>
      </c>
      <c r="Q739">
        <v>0</v>
      </c>
      <c r="R739" t="s">
        <v>32526</v>
      </c>
      <c r="S739" t="s">
        <v>32547</v>
      </c>
      <c r="T739" t="s">
        <v>33183</v>
      </c>
      <c r="U739" t="s">
        <v>34281</v>
      </c>
      <c r="W739" t="s">
        <v>43679</v>
      </c>
      <c r="X739" t="s">
        <v>32527</v>
      </c>
    </row>
    <row r="740" spans="1:24">
      <c r="A740">
        <f>HYPERLINK("https://www.philgeps.gov.ph/GEPSNONPILOT/Tender/SplashBidNoticeAbstractUI.aspx?menuIndex=3&amp;refID=7044949&amp;Result=3","7044949")</f>
        <v>0</v>
      </c>
      <c r="B740" t="s">
        <v>293</v>
      </c>
      <c r="C740" t="s">
        <v>3384</v>
      </c>
      <c r="D740" t="s">
        <v>13046</v>
      </c>
      <c r="E740" t="s">
        <v>13770</v>
      </c>
      <c r="F740" t="s">
        <v>22436</v>
      </c>
      <c r="G740" t="s">
        <v>22443</v>
      </c>
      <c r="H740" t="s">
        <v>22452</v>
      </c>
      <c r="I740" t="s">
        <v>22476</v>
      </c>
      <c r="J740" t="s">
        <v>22788</v>
      </c>
      <c r="K740" t="s">
        <v>29341</v>
      </c>
      <c r="M740" t="s">
        <v>29867</v>
      </c>
      <c r="N740" t="s">
        <v>32524</v>
      </c>
      <c r="O740" t="s">
        <v>32525</v>
      </c>
      <c r="P740">
        <v>0</v>
      </c>
      <c r="Q740">
        <v>0</v>
      </c>
      <c r="R740" t="s">
        <v>32526</v>
      </c>
      <c r="S740" t="s">
        <v>32547</v>
      </c>
      <c r="T740" t="s">
        <v>33180</v>
      </c>
      <c r="U740" t="s">
        <v>34282</v>
      </c>
      <c r="W740" t="s">
        <v>29867</v>
      </c>
      <c r="X740" t="s">
        <v>32527</v>
      </c>
    </row>
    <row r="741" spans="1:24">
      <c r="A741">
        <f>HYPERLINK("https://www.philgeps.gov.ph/GEPSNONPILOT/Tender/SplashBidNoticeAbstractUI.aspx?menuIndex=3&amp;refID=7044959&amp;Result=3","7044959")</f>
        <v>0</v>
      </c>
      <c r="B741" t="s">
        <v>306</v>
      </c>
      <c r="C741" t="s">
        <v>3385</v>
      </c>
      <c r="D741" t="s">
        <v>13022</v>
      </c>
      <c r="E741" t="s">
        <v>13771</v>
      </c>
      <c r="F741" t="s">
        <v>22436</v>
      </c>
      <c r="G741" t="s">
        <v>22446</v>
      </c>
      <c r="H741" t="s">
        <v>22452</v>
      </c>
      <c r="I741" t="s">
        <v>3827</v>
      </c>
      <c r="J741" t="s">
        <v>23187</v>
      </c>
      <c r="K741" t="s">
        <v>29338</v>
      </c>
      <c r="M741" t="s">
        <v>29880</v>
      </c>
      <c r="N741" t="s">
        <v>32524</v>
      </c>
      <c r="O741" t="s">
        <v>32525</v>
      </c>
      <c r="P741">
        <v>0</v>
      </c>
      <c r="Q741">
        <v>2</v>
      </c>
      <c r="R741" t="s">
        <v>32526</v>
      </c>
      <c r="S741" t="s">
        <v>32547</v>
      </c>
      <c r="T741" t="s">
        <v>33182</v>
      </c>
      <c r="U741" t="s">
        <v>33876</v>
      </c>
      <c r="W741" t="s">
        <v>29880</v>
      </c>
      <c r="X741" t="s">
        <v>32527</v>
      </c>
    </row>
    <row r="742" spans="1:24">
      <c r="A742">
        <f>HYPERLINK("https://www.philgeps.gov.ph/GEPSNONPILOT/Tender/SplashBidNoticeAbstractUI.aspx?menuIndex=3&amp;refID=7044951&amp;Result=3","7044951")</f>
        <v>0</v>
      </c>
      <c r="B742" t="s">
        <v>337</v>
      </c>
      <c r="C742" t="s">
        <v>3386</v>
      </c>
      <c r="D742" t="s">
        <v>13022</v>
      </c>
      <c r="E742" t="s">
        <v>13772</v>
      </c>
      <c r="F742" t="s">
        <v>22436</v>
      </c>
      <c r="G742" t="s">
        <v>22443</v>
      </c>
      <c r="H742" t="s">
        <v>22452</v>
      </c>
      <c r="I742" t="s">
        <v>3529</v>
      </c>
      <c r="J742" t="s">
        <v>23188</v>
      </c>
      <c r="K742" t="s">
        <v>29356</v>
      </c>
      <c r="M742" t="s">
        <v>29913</v>
      </c>
      <c r="N742" t="s">
        <v>32524</v>
      </c>
      <c r="O742" t="s">
        <v>32525</v>
      </c>
      <c r="P742">
        <v>0</v>
      </c>
      <c r="Q742">
        <v>0</v>
      </c>
      <c r="R742" t="s">
        <v>32526</v>
      </c>
      <c r="S742" t="s">
        <v>32547</v>
      </c>
      <c r="T742" t="s">
        <v>33161</v>
      </c>
      <c r="U742" t="s">
        <v>34283</v>
      </c>
      <c r="W742" t="s">
        <v>29913</v>
      </c>
      <c r="X742" t="s">
        <v>32527</v>
      </c>
    </row>
    <row r="743" spans="1:24">
      <c r="A743">
        <f>HYPERLINK("https://www.philgeps.gov.ph/GEPSNONPILOT/Tender/SplashBidNoticeAbstractUI.aspx?menuIndex=3&amp;refID=7044956&amp;Result=3","7044956")</f>
        <v>0</v>
      </c>
      <c r="B743" t="s">
        <v>338</v>
      </c>
      <c r="C743" t="s">
        <v>3387</v>
      </c>
      <c r="D743" t="s">
        <v>13043</v>
      </c>
      <c r="E743" t="s">
        <v>13773</v>
      </c>
      <c r="F743" t="s">
        <v>22436</v>
      </c>
      <c r="G743" t="s">
        <v>22443</v>
      </c>
      <c r="H743" t="s">
        <v>22452</v>
      </c>
      <c r="I743" t="s">
        <v>3827</v>
      </c>
      <c r="J743" t="s">
        <v>22692</v>
      </c>
      <c r="K743" t="s">
        <v>29338</v>
      </c>
      <c r="M743" t="s">
        <v>29914</v>
      </c>
      <c r="N743" t="s">
        <v>32524</v>
      </c>
      <c r="O743" t="s">
        <v>32525</v>
      </c>
      <c r="P743">
        <v>0</v>
      </c>
      <c r="Q743">
        <v>1</v>
      </c>
      <c r="R743" t="s">
        <v>32526</v>
      </c>
      <c r="S743" t="s">
        <v>32547</v>
      </c>
      <c r="T743" t="s">
        <v>33162</v>
      </c>
      <c r="U743" t="s">
        <v>34284</v>
      </c>
      <c r="W743" t="s">
        <v>29914</v>
      </c>
      <c r="X743" t="s">
        <v>32527</v>
      </c>
    </row>
    <row r="744" spans="1:24">
      <c r="A744">
        <f>HYPERLINK("https://www.philgeps.gov.ph/GEPSNONPILOT/Tender/SplashBidNoticeAbstractUI.aspx?menuIndex=3&amp;refID=7044975&amp;Result=3","7044975")</f>
        <v>0</v>
      </c>
      <c r="B744" t="s">
        <v>339</v>
      </c>
      <c r="C744" t="s">
        <v>3388</v>
      </c>
      <c r="D744" t="s">
        <v>12990</v>
      </c>
      <c r="E744" t="s">
        <v>13774</v>
      </c>
      <c r="F744" t="s">
        <v>22436</v>
      </c>
      <c r="G744" t="s">
        <v>22444</v>
      </c>
      <c r="H744" t="s">
        <v>22454</v>
      </c>
      <c r="I744" t="s">
        <v>7738</v>
      </c>
      <c r="J744" t="s">
        <v>23189</v>
      </c>
      <c r="K744" t="s">
        <v>29329</v>
      </c>
      <c r="M744" t="s">
        <v>29915</v>
      </c>
      <c r="N744" t="s">
        <v>32524</v>
      </c>
      <c r="O744" t="s">
        <v>32525</v>
      </c>
      <c r="P744">
        <v>0</v>
      </c>
      <c r="Q744">
        <v>0</v>
      </c>
      <c r="R744" t="s">
        <v>32526</v>
      </c>
      <c r="S744" t="s">
        <v>32547</v>
      </c>
      <c r="T744" t="s">
        <v>33262</v>
      </c>
      <c r="U744" t="s">
        <v>34285</v>
      </c>
      <c r="W744" t="s">
        <v>29915</v>
      </c>
      <c r="X744" t="s">
        <v>32527</v>
      </c>
    </row>
    <row r="745" spans="1:24">
      <c r="A745">
        <f>HYPERLINK("https://www.philgeps.gov.ph/GEPSNONPILOT/Tender/SplashBidNoticeAbstractUI.aspx?menuIndex=3&amp;refID=7044958&amp;Result=3","7044958")</f>
        <v>0</v>
      </c>
      <c r="B745" t="s">
        <v>296</v>
      </c>
      <c r="C745" t="s">
        <v>3389</v>
      </c>
      <c r="D745" t="s">
        <v>12988</v>
      </c>
      <c r="E745" t="s">
        <v>13684</v>
      </c>
      <c r="F745" t="s">
        <v>22436</v>
      </c>
      <c r="G745" t="s">
        <v>22443</v>
      </c>
      <c r="H745" t="s">
        <v>22452</v>
      </c>
      <c r="I745" t="s">
        <v>22494</v>
      </c>
      <c r="J745" t="s">
        <v>23190</v>
      </c>
      <c r="K745" t="s">
        <v>29331</v>
      </c>
      <c r="M745" t="s">
        <v>29870</v>
      </c>
      <c r="N745" t="s">
        <v>32524</v>
      </c>
      <c r="O745" t="s">
        <v>32525</v>
      </c>
      <c r="P745">
        <v>0</v>
      </c>
      <c r="Q745">
        <v>0</v>
      </c>
      <c r="R745" t="s">
        <v>32526</v>
      </c>
      <c r="S745" t="s">
        <v>32547</v>
      </c>
      <c r="T745" t="s">
        <v>33203</v>
      </c>
      <c r="U745" t="s">
        <v>34286</v>
      </c>
      <c r="W745" t="s">
        <v>29870</v>
      </c>
      <c r="X745" t="s">
        <v>32527</v>
      </c>
    </row>
    <row r="746" spans="1:24">
      <c r="A746">
        <f>HYPERLINK("https://www.philgeps.gov.ph/GEPSNONPILOT/Tender/SplashBidNoticeAbstractUI.aspx?menuIndex=3&amp;refID=7044971&amp;Result=3","7044971")</f>
        <v>0</v>
      </c>
      <c r="B746" t="s">
        <v>340</v>
      </c>
      <c r="C746" t="s">
        <v>3390</v>
      </c>
      <c r="D746" t="s">
        <v>13007</v>
      </c>
      <c r="E746" t="s">
        <v>13775</v>
      </c>
      <c r="F746" t="s">
        <v>22438</v>
      </c>
      <c r="G746" t="s">
        <v>22445</v>
      </c>
      <c r="H746" t="s">
        <v>22452</v>
      </c>
      <c r="I746" t="s">
        <v>22466</v>
      </c>
      <c r="J746" t="s">
        <v>23191</v>
      </c>
      <c r="K746" t="s">
        <v>29356</v>
      </c>
      <c r="M746" t="s">
        <v>29916</v>
      </c>
      <c r="N746" t="s">
        <v>32524</v>
      </c>
      <c r="O746" t="s">
        <v>32525</v>
      </c>
      <c r="P746">
        <v>0</v>
      </c>
      <c r="Q746">
        <v>1</v>
      </c>
      <c r="R746" t="s">
        <v>32526</v>
      </c>
      <c r="S746" t="s">
        <v>32547</v>
      </c>
      <c r="T746" t="s">
        <v>33182</v>
      </c>
      <c r="U746" t="s">
        <v>34287</v>
      </c>
      <c r="W746" t="s">
        <v>29916</v>
      </c>
      <c r="X746" t="s">
        <v>32527</v>
      </c>
    </row>
    <row r="747" spans="1:24">
      <c r="A747">
        <f>HYPERLINK("https://www.philgeps.gov.ph/GEPSNONPILOT/Tender/SplashBidNoticeAbstractUI.aspx?menuIndex=3&amp;refID=7044970&amp;Result=3","7044970")</f>
        <v>0</v>
      </c>
      <c r="B747" t="s">
        <v>124</v>
      </c>
      <c r="C747" t="s">
        <v>3391</v>
      </c>
      <c r="D747" t="s">
        <v>13031</v>
      </c>
      <c r="E747" t="s">
        <v>13776</v>
      </c>
      <c r="F747" t="s">
        <v>22436</v>
      </c>
      <c r="G747" t="s">
        <v>22443</v>
      </c>
      <c r="H747" t="s">
        <v>22452</v>
      </c>
      <c r="I747" t="s">
        <v>22466</v>
      </c>
      <c r="J747" t="s">
        <v>23192</v>
      </c>
      <c r="K747" t="s">
        <v>29338</v>
      </c>
      <c r="M747" t="s">
        <v>29696</v>
      </c>
      <c r="N747" t="s">
        <v>32524</v>
      </c>
      <c r="O747" t="s">
        <v>32525</v>
      </c>
      <c r="P747">
        <v>0</v>
      </c>
      <c r="Q747">
        <v>5</v>
      </c>
      <c r="R747" t="s">
        <v>32526</v>
      </c>
      <c r="S747" t="s">
        <v>32547</v>
      </c>
      <c r="T747" t="s">
        <v>33183</v>
      </c>
      <c r="U747" t="s">
        <v>34288</v>
      </c>
      <c r="W747" t="s">
        <v>29696</v>
      </c>
      <c r="X747" t="s">
        <v>32527</v>
      </c>
    </row>
    <row r="748" spans="1:24">
      <c r="A748">
        <f>HYPERLINK("https://www.philgeps.gov.ph/GEPSNONPILOT/Tender/SplashBidNoticeAbstractUI.aspx?menuIndex=3&amp;refID=7044974&amp;Result=3","7044974")</f>
        <v>0</v>
      </c>
      <c r="B748" t="s">
        <v>341</v>
      </c>
      <c r="C748" t="s">
        <v>3392</v>
      </c>
      <c r="D748" t="s">
        <v>12999</v>
      </c>
      <c r="E748" t="s">
        <v>13777</v>
      </c>
      <c r="F748" t="s">
        <v>22436</v>
      </c>
      <c r="G748" t="s">
        <v>22443</v>
      </c>
      <c r="H748" t="s">
        <v>22452</v>
      </c>
      <c r="I748" t="s">
        <v>22469</v>
      </c>
      <c r="J748" t="s">
        <v>23193</v>
      </c>
      <c r="K748" t="s">
        <v>29341</v>
      </c>
      <c r="M748" t="s">
        <v>29917</v>
      </c>
      <c r="N748" t="s">
        <v>32524</v>
      </c>
      <c r="O748" t="s">
        <v>32525</v>
      </c>
      <c r="P748">
        <v>0</v>
      </c>
      <c r="Q748">
        <v>0</v>
      </c>
      <c r="R748" t="s">
        <v>32526</v>
      </c>
      <c r="S748" t="s">
        <v>32547</v>
      </c>
      <c r="T748" t="s">
        <v>33263</v>
      </c>
      <c r="U748" t="s">
        <v>34289</v>
      </c>
      <c r="W748" t="s">
        <v>29917</v>
      </c>
      <c r="X748" t="s">
        <v>32527</v>
      </c>
    </row>
    <row r="749" spans="1:24">
      <c r="A749">
        <f>HYPERLINK("https://www.philgeps.gov.ph/GEPSNONPILOT/Tender/SplashBidNoticeAbstractUI.aspx?menuIndex=3&amp;refID=7044960&amp;Result=3","7044960")</f>
        <v>0</v>
      </c>
      <c r="B749" t="s">
        <v>124</v>
      </c>
      <c r="C749" t="s">
        <v>3393</v>
      </c>
      <c r="D749" t="s">
        <v>13031</v>
      </c>
      <c r="E749" t="s">
        <v>13778</v>
      </c>
      <c r="F749" t="s">
        <v>22436</v>
      </c>
      <c r="G749" t="s">
        <v>22443</v>
      </c>
      <c r="H749" t="s">
        <v>22452</v>
      </c>
      <c r="I749" t="s">
        <v>22465</v>
      </c>
      <c r="J749" t="s">
        <v>23194</v>
      </c>
      <c r="K749" t="s">
        <v>29338</v>
      </c>
      <c r="M749" t="s">
        <v>29696</v>
      </c>
      <c r="N749" t="s">
        <v>32524</v>
      </c>
      <c r="O749" t="s">
        <v>32525</v>
      </c>
      <c r="P749">
        <v>0</v>
      </c>
      <c r="Q749">
        <v>2</v>
      </c>
      <c r="R749" t="s">
        <v>32526</v>
      </c>
      <c r="S749" t="s">
        <v>32547</v>
      </c>
      <c r="T749" t="s">
        <v>33183</v>
      </c>
      <c r="U749" t="s">
        <v>34290</v>
      </c>
      <c r="W749" t="s">
        <v>29696</v>
      </c>
      <c r="X749" t="s">
        <v>32527</v>
      </c>
    </row>
    <row r="750" spans="1:24">
      <c r="A750">
        <f>HYPERLINK("https://www.philgeps.gov.ph/GEPSNONPILOT/Tender/SplashBidNoticeAbstractUI.aspx?menuIndex=3&amp;refID=7044969&amp;Result=3","7044969")</f>
        <v>0</v>
      </c>
      <c r="B750" t="s">
        <v>306</v>
      </c>
      <c r="C750" t="s">
        <v>3394</v>
      </c>
      <c r="D750" t="s">
        <v>13022</v>
      </c>
      <c r="E750" t="s">
        <v>13779</v>
      </c>
      <c r="F750" t="s">
        <v>22436</v>
      </c>
      <c r="G750" t="s">
        <v>22443</v>
      </c>
      <c r="H750" t="s">
        <v>22452</v>
      </c>
      <c r="I750" t="s">
        <v>22493</v>
      </c>
      <c r="J750" t="s">
        <v>23195</v>
      </c>
      <c r="K750" t="s">
        <v>29338</v>
      </c>
      <c r="M750" t="s">
        <v>29880</v>
      </c>
      <c r="N750" t="s">
        <v>32524</v>
      </c>
      <c r="O750" t="s">
        <v>32525</v>
      </c>
      <c r="P750">
        <v>0</v>
      </c>
      <c r="Q750">
        <v>0</v>
      </c>
      <c r="R750" t="s">
        <v>32526</v>
      </c>
      <c r="S750" t="s">
        <v>32547</v>
      </c>
      <c r="T750" t="s">
        <v>33182</v>
      </c>
      <c r="U750" t="s">
        <v>34233</v>
      </c>
      <c r="W750" t="s">
        <v>29880</v>
      </c>
      <c r="X750" t="s">
        <v>32527</v>
      </c>
    </row>
    <row r="751" spans="1:24">
      <c r="A751">
        <f>HYPERLINK("https://www.philgeps.gov.ph/GEPSNONPILOT/Tender/SplashBidNoticeAbstractUI.aspx?menuIndex=3&amp;refID=7044964&amp;Result=3","7044964")</f>
        <v>0</v>
      </c>
      <c r="B751" t="s">
        <v>110</v>
      </c>
      <c r="C751" t="s">
        <v>3395</v>
      </c>
      <c r="D751" t="s">
        <v>13028</v>
      </c>
      <c r="E751" t="s">
        <v>13780</v>
      </c>
      <c r="F751" t="s">
        <v>22436</v>
      </c>
      <c r="G751" t="s">
        <v>22444</v>
      </c>
      <c r="H751" t="s">
        <v>22452</v>
      </c>
      <c r="I751" t="s">
        <v>22504</v>
      </c>
      <c r="J751" t="s">
        <v>22893</v>
      </c>
      <c r="K751" t="s">
        <v>29335</v>
      </c>
      <c r="M751" t="s">
        <v>29682</v>
      </c>
      <c r="N751" t="s">
        <v>32524</v>
      </c>
      <c r="O751" t="s">
        <v>32525</v>
      </c>
      <c r="P751">
        <v>0</v>
      </c>
      <c r="Q751">
        <v>1</v>
      </c>
      <c r="R751" t="s">
        <v>32526</v>
      </c>
      <c r="S751" t="s">
        <v>32547</v>
      </c>
      <c r="T751" t="s">
        <v>33207</v>
      </c>
      <c r="U751" t="s">
        <v>34291</v>
      </c>
      <c r="W751" t="s">
        <v>29682</v>
      </c>
      <c r="X751" t="s">
        <v>32527</v>
      </c>
    </row>
    <row r="752" spans="1:24">
      <c r="A752">
        <f>HYPERLINK("https://www.philgeps.gov.ph/GEPSNONPILOT/Tender/SplashBidNoticeAbstractUI.aspx?menuIndex=3&amp;refID=7044968&amp;Result=3","7044968")</f>
        <v>0</v>
      </c>
      <c r="B752" t="s">
        <v>29</v>
      </c>
      <c r="C752" t="s">
        <v>3396</v>
      </c>
      <c r="D752" t="s">
        <v>12993</v>
      </c>
      <c r="E752" t="s">
        <v>13781</v>
      </c>
      <c r="F752" t="s">
        <v>22436</v>
      </c>
      <c r="G752" t="s">
        <v>22446</v>
      </c>
      <c r="H752" t="s">
        <v>22452</v>
      </c>
      <c r="I752" t="s">
        <v>22469</v>
      </c>
      <c r="J752" t="s">
        <v>23196</v>
      </c>
      <c r="K752" t="s">
        <v>29336</v>
      </c>
      <c r="M752" t="s">
        <v>29599</v>
      </c>
      <c r="N752" t="s">
        <v>32524</v>
      </c>
      <c r="O752" t="s">
        <v>32525</v>
      </c>
      <c r="P752">
        <v>0</v>
      </c>
      <c r="Q752">
        <v>4</v>
      </c>
      <c r="R752" t="s">
        <v>32526</v>
      </c>
      <c r="S752" t="s">
        <v>32547</v>
      </c>
      <c r="T752" t="s">
        <v>33167</v>
      </c>
      <c r="U752" t="s">
        <v>34292</v>
      </c>
      <c r="W752" t="s">
        <v>29599</v>
      </c>
      <c r="X752" t="s">
        <v>32527</v>
      </c>
    </row>
    <row r="753" spans="1:24">
      <c r="A753">
        <f>HYPERLINK("https://www.philgeps.gov.ph/GEPSNONPILOT/Tender/SplashBidNoticeAbstractUI.aspx?menuIndex=3&amp;refID=7044957&amp;Result=3","7044957")</f>
        <v>0</v>
      </c>
      <c r="B753" t="s">
        <v>342</v>
      </c>
      <c r="C753" t="s">
        <v>3397</v>
      </c>
      <c r="D753" t="s">
        <v>13011</v>
      </c>
      <c r="E753" t="s">
        <v>13782</v>
      </c>
      <c r="F753" t="s">
        <v>22436</v>
      </c>
      <c r="G753" t="s">
        <v>22443</v>
      </c>
      <c r="H753" t="s">
        <v>22452</v>
      </c>
      <c r="I753" t="s">
        <v>3027</v>
      </c>
      <c r="J753" t="s">
        <v>23197</v>
      </c>
      <c r="K753" t="s">
        <v>29338</v>
      </c>
      <c r="M753" t="s">
        <v>29918</v>
      </c>
      <c r="N753" t="s">
        <v>32524</v>
      </c>
      <c r="O753" t="s">
        <v>32525</v>
      </c>
      <c r="P753">
        <v>0</v>
      </c>
      <c r="Q753">
        <v>0</v>
      </c>
      <c r="R753" t="s">
        <v>32526</v>
      </c>
      <c r="S753" t="s">
        <v>32547</v>
      </c>
      <c r="T753" t="s">
        <v>33230</v>
      </c>
      <c r="U753" t="s">
        <v>34293</v>
      </c>
      <c r="W753" t="s">
        <v>32126</v>
      </c>
      <c r="X753" t="s">
        <v>32527</v>
      </c>
    </row>
    <row r="754" spans="1:24">
      <c r="A754">
        <f>HYPERLINK("https://www.philgeps.gov.ph/GEPSNONPILOT/Tender/SplashBidNoticeAbstractUI.aspx?menuIndex=3&amp;refID=7044979&amp;Result=3","7044979")</f>
        <v>0</v>
      </c>
      <c r="B754" t="s">
        <v>71</v>
      </c>
      <c r="C754" t="s">
        <v>3398</v>
      </c>
      <c r="D754" t="s">
        <v>13007</v>
      </c>
      <c r="E754" t="s">
        <v>13783</v>
      </c>
      <c r="F754" t="s">
        <v>22436</v>
      </c>
      <c r="G754" t="s">
        <v>22444</v>
      </c>
      <c r="H754" t="s">
        <v>22452</v>
      </c>
      <c r="I754" t="s">
        <v>22467</v>
      </c>
      <c r="J754" t="s">
        <v>23198</v>
      </c>
      <c r="K754" t="s">
        <v>29338</v>
      </c>
      <c r="M754" t="s">
        <v>29643</v>
      </c>
      <c r="N754" t="s">
        <v>32524</v>
      </c>
      <c r="O754" t="s">
        <v>32525</v>
      </c>
      <c r="P754">
        <v>0</v>
      </c>
      <c r="Q754">
        <v>0</v>
      </c>
      <c r="R754" t="s">
        <v>32526</v>
      </c>
      <c r="S754" t="s">
        <v>32547</v>
      </c>
      <c r="T754" t="s">
        <v>33186</v>
      </c>
      <c r="U754" t="s">
        <v>34294</v>
      </c>
      <c r="V754" t="s">
        <v>42441</v>
      </c>
      <c r="W754" t="s">
        <v>29643</v>
      </c>
      <c r="X754" t="s">
        <v>32527</v>
      </c>
    </row>
    <row r="755" spans="1:24">
      <c r="A755">
        <f>HYPERLINK("https://www.philgeps.gov.ph/GEPSNONPILOT/Tender/SplashBidNoticeAbstractUI.aspx?menuIndex=3&amp;refID=7044985&amp;Result=3","7044985")</f>
        <v>0</v>
      </c>
      <c r="B755" t="s">
        <v>277</v>
      </c>
      <c r="C755" t="s">
        <v>3399</v>
      </c>
      <c r="D755" t="s">
        <v>13007</v>
      </c>
      <c r="E755" t="s">
        <v>13784</v>
      </c>
      <c r="F755" t="s">
        <v>22436</v>
      </c>
      <c r="G755" t="s">
        <v>22443</v>
      </c>
      <c r="H755" t="s">
        <v>22454</v>
      </c>
      <c r="I755" t="s">
        <v>6387</v>
      </c>
      <c r="J755" t="s">
        <v>23199</v>
      </c>
      <c r="K755" t="s">
        <v>29334</v>
      </c>
      <c r="M755" t="s">
        <v>29851</v>
      </c>
      <c r="N755" t="s">
        <v>32524</v>
      </c>
      <c r="O755" t="s">
        <v>32525</v>
      </c>
      <c r="P755">
        <v>0</v>
      </c>
      <c r="Q755">
        <v>2</v>
      </c>
      <c r="R755" t="s">
        <v>32526</v>
      </c>
      <c r="S755" t="s">
        <v>32547</v>
      </c>
      <c r="T755" t="s">
        <v>33155</v>
      </c>
      <c r="U755" t="s">
        <v>34280</v>
      </c>
      <c r="W755" t="s">
        <v>29851</v>
      </c>
      <c r="X755" t="s">
        <v>32527</v>
      </c>
    </row>
    <row r="756" spans="1:24">
      <c r="A756">
        <f>HYPERLINK("https://www.philgeps.gov.ph/GEPSNONPILOT/Tender/SplashBidNoticeAbstractUI.aspx?menuIndex=3&amp;refID=7044967&amp;Result=3","7044967")</f>
        <v>0</v>
      </c>
      <c r="B756" t="s">
        <v>331</v>
      </c>
      <c r="C756" t="s">
        <v>3400</v>
      </c>
      <c r="D756" t="s">
        <v>13058</v>
      </c>
      <c r="E756" t="s">
        <v>13785</v>
      </c>
      <c r="F756" t="s">
        <v>22436</v>
      </c>
      <c r="G756" t="s">
        <v>22445</v>
      </c>
      <c r="H756" t="s">
        <v>22452</v>
      </c>
      <c r="I756" t="s">
        <v>3358</v>
      </c>
      <c r="J756" t="s">
        <v>23200</v>
      </c>
      <c r="K756" t="s">
        <v>29335</v>
      </c>
      <c r="M756" t="s">
        <v>29907</v>
      </c>
      <c r="N756" t="s">
        <v>32524</v>
      </c>
      <c r="O756" t="s">
        <v>32525</v>
      </c>
      <c r="P756">
        <v>0</v>
      </c>
      <c r="Q756">
        <v>0</v>
      </c>
      <c r="R756" t="s">
        <v>32526</v>
      </c>
      <c r="S756" t="s">
        <v>32547</v>
      </c>
      <c r="T756" t="s">
        <v>33169</v>
      </c>
      <c r="U756" t="s">
        <v>34295</v>
      </c>
      <c r="W756" t="s">
        <v>29907</v>
      </c>
      <c r="X756" t="s">
        <v>32527</v>
      </c>
    </row>
    <row r="757" spans="1:24">
      <c r="A757">
        <f>HYPERLINK("https://www.philgeps.gov.ph/GEPSNONPILOT/Tender/SplashBidNoticeAbstractUI.aspx?menuIndex=3&amp;refID=7044976&amp;Result=3","7044976")</f>
        <v>0</v>
      </c>
      <c r="B757" t="s">
        <v>280</v>
      </c>
      <c r="C757" t="s">
        <v>3401</v>
      </c>
      <c r="D757" t="s">
        <v>13055</v>
      </c>
      <c r="E757" t="s">
        <v>13786</v>
      </c>
      <c r="F757" t="s">
        <v>22436</v>
      </c>
      <c r="G757" t="s">
        <v>22444</v>
      </c>
      <c r="H757" t="s">
        <v>22454</v>
      </c>
      <c r="I757" t="s">
        <v>7738</v>
      </c>
      <c r="J757" t="s">
        <v>23201</v>
      </c>
      <c r="K757" t="s">
        <v>29333</v>
      </c>
      <c r="M757" t="s">
        <v>29854</v>
      </c>
      <c r="N757" t="s">
        <v>32524</v>
      </c>
      <c r="O757" t="s">
        <v>32525</v>
      </c>
      <c r="P757">
        <v>0</v>
      </c>
      <c r="Q757">
        <v>0</v>
      </c>
      <c r="R757" t="s">
        <v>32526</v>
      </c>
      <c r="S757" t="s">
        <v>32547</v>
      </c>
      <c r="T757" t="s">
        <v>33237</v>
      </c>
      <c r="U757" t="s">
        <v>34296</v>
      </c>
      <c r="V757" t="s">
        <v>42486</v>
      </c>
      <c r="W757" t="s">
        <v>29854</v>
      </c>
      <c r="X757" t="s">
        <v>32527</v>
      </c>
    </row>
    <row r="758" spans="1:24">
      <c r="A758">
        <f>HYPERLINK("https://www.philgeps.gov.ph/GEPSNONPILOT/Tender/SplashBidNoticeAbstractUI.aspx?menuIndex=3&amp;refID=7044984&amp;Result=3","7044984")</f>
        <v>0</v>
      </c>
      <c r="B758" t="s">
        <v>306</v>
      </c>
      <c r="C758" t="s">
        <v>3402</v>
      </c>
      <c r="D758" t="s">
        <v>13022</v>
      </c>
      <c r="E758" t="s">
        <v>13787</v>
      </c>
      <c r="F758" t="s">
        <v>22436</v>
      </c>
      <c r="G758" t="s">
        <v>22443</v>
      </c>
      <c r="H758" t="s">
        <v>22452</v>
      </c>
      <c r="I758" t="s">
        <v>22493</v>
      </c>
      <c r="J758" t="s">
        <v>22817</v>
      </c>
      <c r="K758" t="s">
        <v>29338</v>
      </c>
      <c r="M758" t="s">
        <v>29880</v>
      </c>
      <c r="N758" t="s">
        <v>32524</v>
      </c>
      <c r="O758" t="s">
        <v>32525</v>
      </c>
      <c r="P758">
        <v>0</v>
      </c>
      <c r="Q758">
        <v>1</v>
      </c>
      <c r="R758" t="s">
        <v>32526</v>
      </c>
      <c r="S758" t="s">
        <v>32547</v>
      </c>
      <c r="T758" t="s">
        <v>33182</v>
      </c>
      <c r="U758" t="s">
        <v>33876</v>
      </c>
      <c r="W758" t="s">
        <v>29880</v>
      </c>
      <c r="X758" t="s">
        <v>32527</v>
      </c>
    </row>
    <row r="759" spans="1:24">
      <c r="A759">
        <f>HYPERLINK("https://www.philgeps.gov.ph/GEPSNONPILOT/Tender/SplashBidNoticeAbstractUI.aspx?menuIndex=3&amp;refID=7044977&amp;Result=3","7044977")</f>
        <v>0</v>
      </c>
      <c r="B759" t="s">
        <v>343</v>
      </c>
      <c r="C759" t="s">
        <v>3403</v>
      </c>
      <c r="D759" t="s">
        <v>13049</v>
      </c>
      <c r="E759" t="s">
        <v>13788</v>
      </c>
      <c r="F759" t="s">
        <v>22436</v>
      </c>
      <c r="G759" t="s">
        <v>22444</v>
      </c>
      <c r="H759" t="s">
        <v>22454</v>
      </c>
      <c r="I759" t="s">
        <v>7738</v>
      </c>
      <c r="J759" t="s">
        <v>23202</v>
      </c>
      <c r="K759" t="s">
        <v>29381</v>
      </c>
      <c r="M759" t="s">
        <v>29919</v>
      </c>
      <c r="N759" t="s">
        <v>32524</v>
      </c>
      <c r="O759" t="s">
        <v>32525</v>
      </c>
      <c r="P759">
        <v>0</v>
      </c>
      <c r="Q759">
        <v>0</v>
      </c>
      <c r="R759" t="s">
        <v>32526</v>
      </c>
      <c r="S759" t="s">
        <v>32547</v>
      </c>
      <c r="T759" t="s">
        <v>33234</v>
      </c>
      <c r="U759" t="s">
        <v>34297</v>
      </c>
      <c r="W759" t="s">
        <v>29919</v>
      </c>
      <c r="X759" t="s">
        <v>32527</v>
      </c>
    </row>
    <row r="760" spans="1:24">
      <c r="A760">
        <f>HYPERLINK("https://www.philgeps.gov.ph/GEPSNONPILOT/Tender/SplashBidNoticeAbstractUI.aspx?menuIndex=3&amp;refID=7044981&amp;Result=3","7044981")</f>
        <v>0</v>
      </c>
      <c r="B760" t="s">
        <v>244</v>
      </c>
      <c r="C760" t="s">
        <v>3404</v>
      </c>
      <c r="D760" t="s">
        <v>13019</v>
      </c>
      <c r="E760" t="s">
        <v>13789</v>
      </c>
      <c r="F760" t="s">
        <v>22436</v>
      </c>
      <c r="G760" t="s">
        <v>22443</v>
      </c>
      <c r="H760" t="s">
        <v>22452</v>
      </c>
      <c r="I760" t="s">
        <v>22472</v>
      </c>
      <c r="J760" t="s">
        <v>22640</v>
      </c>
      <c r="K760" t="s">
        <v>29336</v>
      </c>
      <c r="M760" t="s">
        <v>29818</v>
      </c>
      <c r="N760" t="s">
        <v>32524</v>
      </c>
      <c r="O760" t="s">
        <v>32525</v>
      </c>
      <c r="P760">
        <v>0</v>
      </c>
      <c r="Q760">
        <v>1</v>
      </c>
      <c r="R760" t="s">
        <v>32526</v>
      </c>
      <c r="S760" t="s">
        <v>32547</v>
      </c>
      <c r="T760" t="s">
        <v>33196</v>
      </c>
      <c r="U760" t="s">
        <v>34298</v>
      </c>
      <c r="W760" t="s">
        <v>29818</v>
      </c>
      <c r="X760" t="s">
        <v>32527</v>
      </c>
    </row>
    <row r="761" spans="1:24">
      <c r="A761">
        <f>HYPERLINK("https://www.philgeps.gov.ph/GEPSNONPILOT/Tender/SplashBidNoticeAbstractUI.aspx?menuIndex=3&amp;refID=7044978&amp;Result=3","7044978")</f>
        <v>0</v>
      </c>
      <c r="B761" t="s">
        <v>264</v>
      </c>
      <c r="C761" t="s">
        <v>3405</v>
      </c>
      <c r="D761" t="s">
        <v>13018</v>
      </c>
      <c r="E761" t="s">
        <v>13790</v>
      </c>
      <c r="F761" t="s">
        <v>22436</v>
      </c>
      <c r="G761" t="s">
        <v>22446</v>
      </c>
      <c r="H761" t="s">
        <v>22452</v>
      </c>
      <c r="I761" t="s">
        <v>2981</v>
      </c>
      <c r="J761" t="s">
        <v>23203</v>
      </c>
      <c r="K761" t="s">
        <v>29338</v>
      </c>
      <c r="M761" t="s">
        <v>29838</v>
      </c>
      <c r="N761" t="s">
        <v>32524</v>
      </c>
      <c r="O761" t="s">
        <v>32525</v>
      </c>
      <c r="P761">
        <v>0</v>
      </c>
      <c r="Q761">
        <v>2</v>
      </c>
      <c r="R761" t="s">
        <v>32526</v>
      </c>
      <c r="S761" t="s">
        <v>32547</v>
      </c>
      <c r="T761" t="s">
        <v>33163</v>
      </c>
      <c r="U761" t="s">
        <v>34299</v>
      </c>
      <c r="W761" t="s">
        <v>29838</v>
      </c>
      <c r="X761" t="s">
        <v>32527</v>
      </c>
    </row>
    <row r="762" spans="1:24">
      <c r="A762">
        <f>HYPERLINK("https://www.philgeps.gov.ph/GEPSNONPILOT/Tender/SplashBidNoticeAbstractUI.aspx?menuIndex=3&amp;refID=7044963&amp;Result=3","7044963")</f>
        <v>0</v>
      </c>
      <c r="B762" t="s">
        <v>344</v>
      </c>
      <c r="C762" t="s">
        <v>3406</v>
      </c>
      <c r="D762" t="s">
        <v>13051</v>
      </c>
      <c r="E762" t="s">
        <v>13791</v>
      </c>
      <c r="F762" t="s">
        <v>22436</v>
      </c>
      <c r="G762" t="s">
        <v>22443</v>
      </c>
      <c r="H762" t="s">
        <v>22452</v>
      </c>
      <c r="I762" t="s">
        <v>22472</v>
      </c>
      <c r="J762" t="s">
        <v>23204</v>
      </c>
      <c r="K762" t="s">
        <v>29337</v>
      </c>
      <c r="M762" t="s">
        <v>29920</v>
      </c>
      <c r="N762" t="s">
        <v>32524</v>
      </c>
      <c r="O762" t="s">
        <v>32525</v>
      </c>
      <c r="P762">
        <v>0</v>
      </c>
      <c r="Q762">
        <v>2</v>
      </c>
      <c r="R762" t="s">
        <v>32526</v>
      </c>
      <c r="S762" t="s">
        <v>32547</v>
      </c>
      <c r="T762" t="s">
        <v>33154</v>
      </c>
      <c r="U762" t="s">
        <v>34300</v>
      </c>
      <c r="W762" t="s">
        <v>29920</v>
      </c>
      <c r="X762" t="s">
        <v>32527</v>
      </c>
    </row>
    <row r="763" spans="1:24">
      <c r="A763">
        <f>HYPERLINK("https://www.philgeps.gov.ph/GEPSNONPILOT/Tender/SplashBidNoticeAbstractUI.aspx?menuIndex=3&amp;refID=7044995&amp;Result=3","7044995")</f>
        <v>0</v>
      </c>
      <c r="B763" t="s">
        <v>268</v>
      </c>
      <c r="C763" t="s">
        <v>3227</v>
      </c>
      <c r="D763" t="s">
        <v>13015</v>
      </c>
      <c r="E763" t="s">
        <v>13416</v>
      </c>
      <c r="F763" t="s">
        <v>22436</v>
      </c>
      <c r="G763" t="s">
        <v>22444</v>
      </c>
      <c r="H763" t="s">
        <v>22454</v>
      </c>
      <c r="I763" t="s">
        <v>7738</v>
      </c>
      <c r="J763" t="s">
        <v>23205</v>
      </c>
      <c r="K763" t="s">
        <v>29334</v>
      </c>
      <c r="M763" t="s">
        <v>29842</v>
      </c>
      <c r="N763" t="s">
        <v>32524</v>
      </c>
      <c r="O763" t="s">
        <v>32525</v>
      </c>
      <c r="P763">
        <v>0</v>
      </c>
      <c r="Q763">
        <v>0</v>
      </c>
      <c r="R763" t="s">
        <v>32526</v>
      </c>
      <c r="S763" t="s">
        <v>32547</v>
      </c>
      <c r="T763" t="s">
        <v>33199</v>
      </c>
      <c r="U763" t="s">
        <v>34301</v>
      </c>
      <c r="W763" t="s">
        <v>29842</v>
      </c>
      <c r="X763" t="s">
        <v>32527</v>
      </c>
    </row>
    <row r="764" spans="1:24">
      <c r="A764">
        <f>HYPERLINK("https://www.philgeps.gov.ph/GEPSNONPILOT/Tender/SplashBidNoticeAbstractUI.aspx?menuIndex=3&amp;refID=7044982&amp;Result=3","7044982")</f>
        <v>0</v>
      </c>
      <c r="B764" t="s">
        <v>345</v>
      </c>
      <c r="C764" t="s">
        <v>3407</v>
      </c>
      <c r="D764" t="s">
        <v>13024</v>
      </c>
      <c r="E764" t="s">
        <v>13792</v>
      </c>
      <c r="F764" t="s">
        <v>22436</v>
      </c>
      <c r="G764" t="s">
        <v>22443</v>
      </c>
      <c r="H764" t="s">
        <v>22452</v>
      </c>
      <c r="I764" t="s">
        <v>22505</v>
      </c>
      <c r="J764" t="s">
        <v>22818</v>
      </c>
      <c r="K764" t="s">
        <v>29335</v>
      </c>
      <c r="M764" t="s">
        <v>29921</v>
      </c>
      <c r="N764" t="s">
        <v>32524</v>
      </c>
      <c r="O764" t="s">
        <v>32525</v>
      </c>
      <c r="P764">
        <v>0</v>
      </c>
      <c r="Q764">
        <v>0</v>
      </c>
      <c r="R764" t="s">
        <v>32526</v>
      </c>
      <c r="S764" t="s">
        <v>32547</v>
      </c>
      <c r="T764" t="s">
        <v>33161</v>
      </c>
      <c r="U764" t="s">
        <v>34302</v>
      </c>
      <c r="W764" t="s">
        <v>29921</v>
      </c>
      <c r="X764" t="s">
        <v>32527</v>
      </c>
    </row>
    <row r="765" spans="1:24">
      <c r="A765">
        <f>HYPERLINK("https://www.philgeps.gov.ph/GEPSNONPILOT/Tender/SplashBidNoticeAbstractUI.aspx?menuIndex=3&amp;refID=7044962&amp;Result=3","7044962")</f>
        <v>0</v>
      </c>
      <c r="B765" t="s">
        <v>53</v>
      </c>
      <c r="C765" t="s">
        <v>2728</v>
      </c>
      <c r="D765" t="s">
        <v>13010</v>
      </c>
      <c r="E765" t="s">
        <v>13793</v>
      </c>
      <c r="F765" t="s">
        <v>22436</v>
      </c>
      <c r="G765" t="s">
        <v>22446</v>
      </c>
      <c r="H765" t="s">
        <v>22452</v>
      </c>
      <c r="I765" t="s">
        <v>2993</v>
      </c>
      <c r="J765" t="s">
        <v>23206</v>
      </c>
      <c r="K765" t="s">
        <v>29356</v>
      </c>
      <c r="M765" t="s">
        <v>29625</v>
      </c>
      <c r="N765" t="s">
        <v>32524</v>
      </c>
      <c r="O765" t="s">
        <v>32525</v>
      </c>
      <c r="P765">
        <v>0</v>
      </c>
      <c r="Q765">
        <v>0</v>
      </c>
      <c r="R765" t="s">
        <v>32526</v>
      </c>
      <c r="S765" t="s">
        <v>32547</v>
      </c>
      <c r="T765" t="s">
        <v>33172</v>
      </c>
      <c r="U765" t="s">
        <v>34303</v>
      </c>
      <c r="W765" t="s">
        <v>29625</v>
      </c>
      <c r="X765" t="s">
        <v>32527</v>
      </c>
    </row>
    <row r="766" spans="1:24">
      <c r="A766">
        <f>HYPERLINK("https://www.philgeps.gov.ph/GEPSNONPILOT/Tender/SplashBidNoticeAbstractUI.aspx?menuIndex=3&amp;refID=7044980&amp;Result=3","7044980")</f>
        <v>0</v>
      </c>
      <c r="B766" t="s">
        <v>246</v>
      </c>
      <c r="C766" t="s">
        <v>3408</v>
      </c>
      <c r="D766" t="s">
        <v>13007</v>
      </c>
      <c r="E766" t="s">
        <v>13794</v>
      </c>
      <c r="F766" t="s">
        <v>22436</v>
      </c>
      <c r="G766" t="s">
        <v>22443</v>
      </c>
      <c r="H766" t="s">
        <v>22453</v>
      </c>
      <c r="I766" t="s">
        <v>3027</v>
      </c>
      <c r="J766" t="s">
        <v>23207</v>
      </c>
      <c r="K766" t="s">
        <v>29370</v>
      </c>
      <c r="M766" t="s">
        <v>29820</v>
      </c>
      <c r="N766" t="s">
        <v>32524</v>
      </c>
      <c r="O766" t="s">
        <v>32525</v>
      </c>
      <c r="P766">
        <v>0</v>
      </c>
      <c r="Q766">
        <v>0</v>
      </c>
      <c r="R766" t="s">
        <v>32526</v>
      </c>
      <c r="S766" t="s">
        <v>32547</v>
      </c>
      <c r="T766" t="s">
        <v>33252</v>
      </c>
      <c r="U766" t="s">
        <v>34304</v>
      </c>
      <c r="W766" t="s">
        <v>29820</v>
      </c>
      <c r="X766" t="s">
        <v>32527</v>
      </c>
    </row>
    <row r="767" spans="1:24">
      <c r="A767">
        <f>HYPERLINK("https://www.philgeps.gov.ph/GEPSNONPILOT/Tender/SplashBidNoticeAbstractUI.aspx?menuIndex=3&amp;refID=7044997&amp;Result=3","7044997")</f>
        <v>0</v>
      </c>
      <c r="B767" t="s">
        <v>71</v>
      </c>
      <c r="C767" t="s">
        <v>3409</v>
      </c>
      <c r="D767" t="s">
        <v>13007</v>
      </c>
      <c r="E767" t="s">
        <v>13795</v>
      </c>
      <c r="F767" t="s">
        <v>22436</v>
      </c>
      <c r="G767" t="s">
        <v>22444</v>
      </c>
      <c r="H767" t="s">
        <v>22452</v>
      </c>
      <c r="I767" t="s">
        <v>6421</v>
      </c>
      <c r="J767" t="s">
        <v>23208</v>
      </c>
      <c r="K767" t="s">
        <v>29338</v>
      </c>
      <c r="M767" t="s">
        <v>29643</v>
      </c>
      <c r="N767" t="s">
        <v>32524</v>
      </c>
      <c r="O767" t="s">
        <v>32525</v>
      </c>
      <c r="P767">
        <v>0</v>
      </c>
      <c r="Q767">
        <v>3</v>
      </c>
      <c r="R767" t="s">
        <v>32526</v>
      </c>
      <c r="S767" t="s">
        <v>32547</v>
      </c>
      <c r="T767" t="s">
        <v>33186</v>
      </c>
      <c r="U767" t="s">
        <v>34305</v>
      </c>
      <c r="V767" t="s">
        <v>42494</v>
      </c>
      <c r="W767" t="s">
        <v>29643</v>
      </c>
      <c r="X767" t="s">
        <v>32527</v>
      </c>
    </row>
    <row r="768" spans="1:24">
      <c r="A768">
        <f>HYPERLINK("https://www.philgeps.gov.ph/GEPSNONPILOT/Tender/SplashBidNoticeAbstractUI.aspx?menuIndex=3&amp;refID=7044994&amp;Result=3","7044994")</f>
        <v>0</v>
      </c>
      <c r="B768" t="s">
        <v>346</v>
      </c>
      <c r="C768" t="s">
        <v>3410</v>
      </c>
      <c r="D768" t="s">
        <v>13041</v>
      </c>
      <c r="E768" t="s">
        <v>13796</v>
      </c>
      <c r="F768" t="s">
        <v>22436</v>
      </c>
      <c r="G768" t="s">
        <v>22443</v>
      </c>
      <c r="H768" t="s">
        <v>22452</v>
      </c>
      <c r="I768" t="s">
        <v>22460</v>
      </c>
      <c r="J768" t="s">
        <v>23209</v>
      </c>
      <c r="K768" t="s">
        <v>29338</v>
      </c>
      <c r="M768" t="s">
        <v>29922</v>
      </c>
      <c r="N768" t="s">
        <v>32524</v>
      </c>
      <c r="O768" t="s">
        <v>32525</v>
      </c>
      <c r="P768">
        <v>0</v>
      </c>
      <c r="Q768">
        <v>1</v>
      </c>
      <c r="R768" t="s">
        <v>32526</v>
      </c>
      <c r="S768" t="s">
        <v>32547</v>
      </c>
      <c r="T768" t="s">
        <v>33169</v>
      </c>
      <c r="U768" t="s">
        <v>34306</v>
      </c>
      <c r="W768" t="s">
        <v>29922</v>
      </c>
      <c r="X768" t="s">
        <v>32527</v>
      </c>
    </row>
    <row r="769" spans="1:24">
      <c r="A769">
        <f>HYPERLINK("https://www.philgeps.gov.ph/GEPSNONPILOT/Tender/SplashBidNoticeAbstractUI.aspx?menuIndex=3&amp;refID=7044993&amp;Result=3","7044993")</f>
        <v>0</v>
      </c>
      <c r="B769" t="s">
        <v>347</v>
      </c>
      <c r="C769" t="s">
        <v>3411</v>
      </c>
      <c r="D769" t="s">
        <v>13009</v>
      </c>
      <c r="E769" t="s">
        <v>13797</v>
      </c>
      <c r="F769" t="s">
        <v>22436</v>
      </c>
      <c r="G769" t="s">
        <v>22443</v>
      </c>
      <c r="H769" t="s">
        <v>22452</v>
      </c>
      <c r="I769" t="s">
        <v>22461</v>
      </c>
      <c r="J769" t="s">
        <v>23210</v>
      </c>
      <c r="K769" t="s">
        <v>29338</v>
      </c>
      <c r="M769" t="s">
        <v>29923</v>
      </c>
      <c r="N769" t="s">
        <v>32524</v>
      </c>
      <c r="O769" t="s">
        <v>32525</v>
      </c>
      <c r="P769">
        <v>0</v>
      </c>
      <c r="Q769">
        <v>0</v>
      </c>
      <c r="R769" t="s">
        <v>32526</v>
      </c>
      <c r="S769" t="s">
        <v>32547</v>
      </c>
      <c r="T769" t="s">
        <v>33250</v>
      </c>
      <c r="U769" t="s">
        <v>34307</v>
      </c>
      <c r="W769" t="s">
        <v>29923</v>
      </c>
      <c r="X769" t="s">
        <v>32527</v>
      </c>
    </row>
    <row r="770" spans="1:24">
      <c r="A770">
        <f>HYPERLINK("https://www.philgeps.gov.ph/GEPSNONPILOT/Tender/SplashBidNoticeAbstractUI.aspx?menuIndex=3&amp;refID=7044987&amp;Result=3","7044987")</f>
        <v>0</v>
      </c>
      <c r="B770" t="s">
        <v>348</v>
      </c>
      <c r="C770" t="s">
        <v>3412</v>
      </c>
      <c r="D770" t="s">
        <v>13038</v>
      </c>
      <c r="E770" t="s">
        <v>13798</v>
      </c>
      <c r="F770" t="s">
        <v>22436</v>
      </c>
      <c r="G770" t="s">
        <v>22444</v>
      </c>
      <c r="H770" t="s">
        <v>22452</v>
      </c>
      <c r="I770" t="s">
        <v>3529</v>
      </c>
      <c r="J770" t="s">
        <v>23211</v>
      </c>
      <c r="K770" t="s">
        <v>29335</v>
      </c>
      <c r="L770" t="s">
        <v>348</v>
      </c>
      <c r="M770" t="s">
        <v>29924</v>
      </c>
      <c r="N770" t="s">
        <v>32524</v>
      </c>
      <c r="O770" t="s">
        <v>32525</v>
      </c>
      <c r="P770">
        <v>0</v>
      </c>
      <c r="Q770">
        <v>0</v>
      </c>
      <c r="R770" t="s">
        <v>32526</v>
      </c>
      <c r="S770" t="s">
        <v>32547</v>
      </c>
      <c r="T770" t="s">
        <v>33264</v>
      </c>
      <c r="U770" t="s">
        <v>34308</v>
      </c>
      <c r="W770" t="s">
        <v>29924</v>
      </c>
      <c r="X770" t="s">
        <v>32527</v>
      </c>
    </row>
    <row r="771" spans="1:24">
      <c r="A771">
        <f>HYPERLINK("https://www.philgeps.gov.ph/GEPSNONPILOT/Tender/SplashBidNoticeAbstractUI.aspx?menuIndex=3&amp;refID=7044989&amp;Result=3","7044989")</f>
        <v>0</v>
      </c>
      <c r="B771" t="s">
        <v>181</v>
      </c>
      <c r="C771" t="s">
        <v>3413</v>
      </c>
      <c r="D771" t="s">
        <v>13032</v>
      </c>
      <c r="E771" t="s">
        <v>13799</v>
      </c>
      <c r="F771" t="s">
        <v>22436</v>
      </c>
      <c r="G771" t="s">
        <v>22444</v>
      </c>
      <c r="H771" t="s">
        <v>22452</v>
      </c>
      <c r="I771" t="s">
        <v>3529</v>
      </c>
      <c r="J771" t="s">
        <v>23212</v>
      </c>
      <c r="K771" t="s">
        <v>29341</v>
      </c>
      <c r="M771" t="s">
        <v>29753</v>
      </c>
      <c r="N771" t="s">
        <v>32524</v>
      </c>
      <c r="O771" t="s">
        <v>32525</v>
      </c>
      <c r="P771">
        <v>0</v>
      </c>
      <c r="Q771">
        <v>0</v>
      </c>
      <c r="R771" t="s">
        <v>32526</v>
      </c>
      <c r="S771" t="s">
        <v>32547</v>
      </c>
      <c r="T771" t="s">
        <v>33227</v>
      </c>
      <c r="U771" t="s">
        <v>34309</v>
      </c>
      <c r="W771" t="s">
        <v>29753</v>
      </c>
      <c r="X771" t="s">
        <v>32527</v>
      </c>
    </row>
    <row r="772" spans="1:24">
      <c r="A772">
        <f>HYPERLINK("https://www.philgeps.gov.ph/GEPSNONPILOT/Tender/SplashBidNoticeAbstractUI.aspx?menuIndex=3&amp;refID=7045003&amp;Result=3","7045003")</f>
        <v>0</v>
      </c>
      <c r="B772" t="s">
        <v>194</v>
      </c>
      <c r="C772" t="s">
        <v>3414</v>
      </c>
      <c r="D772" t="s">
        <v>13031</v>
      </c>
      <c r="E772" t="s">
        <v>13800</v>
      </c>
      <c r="F772" t="s">
        <v>22436</v>
      </c>
      <c r="G772" t="s">
        <v>22443</v>
      </c>
      <c r="H772" t="s">
        <v>22452</v>
      </c>
      <c r="I772" t="s">
        <v>22467</v>
      </c>
      <c r="J772" t="s">
        <v>23213</v>
      </c>
      <c r="K772" t="s">
        <v>29338</v>
      </c>
      <c r="M772" t="s">
        <v>29767</v>
      </c>
      <c r="N772" t="s">
        <v>32524</v>
      </c>
      <c r="O772" t="s">
        <v>32525</v>
      </c>
      <c r="P772">
        <v>0</v>
      </c>
      <c r="Q772">
        <v>0</v>
      </c>
      <c r="R772" t="s">
        <v>32526</v>
      </c>
      <c r="S772" t="s">
        <v>32547</v>
      </c>
      <c r="T772" t="s">
        <v>33177</v>
      </c>
      <c r="U772" t="s">
        <v>33984</v>
      </c>
      <c r="W772" t="s">
        <v>29767</v>
      </c>
      <c r="X772" t="s">
        <v>32527</v>
      </c>
    </row>
    <row r="773" spans="1:24">
      <c r="A773">
        <f>HYPERLINK("https://www.philgeps.gov.ph/GEPSNONPILOT/Tender/SplashBidNoticeAbstractUI.aspx?menuIndex=3&amp;refID=7045006&amp;Result=3","7045006")</f>
        <v>0</v>
      </c>
      <c r="B773" t="s">
        <v>135</v>
      </c>
      <c r="C773" t="s">
        <v>3415</v>
      </c>
      <c r="D773" t="s">
        <v>12988</v>
      </c>
      <c r="E773" t="s">
        <v>13801</v>
      </c>
      <c r="F773" t="s">
        <v>22436</v>
      </c>
      <c r="G773" t="s">
        <v>22443</v>
      </c>
      <c r="H773" t="s">
        <v>22452</v>
      </c>
      <c r="I773" t="s">
        <v>2981</v>
      </c>
      <c r="J773" t="s">
        <v>23214</v>
      </c>
      <c r="K773" t="s">
        <v>29335</v>
      </c>
      <c r="M773" t="s">
        <v>29925</v>
      </c>
      <c r="N773" t="s">
        <v>32524</v>
      </c>
      <c r="O773" t="s">
        <v>32525</v>
      </c>
      <c r="P773">
        <v>0</v>
      </c>
      <c r="Q773">
        <v>2</v>
      </c>
      <c r="R773" t="s">
        <v>32526</v>
      </c>
      <c r="S773" t="s">
        <v>32547</v>
      </c>
      <c r="T773" t="s">
        <v>33197</v>
      </c>
      <c r="U773" t="s">
        <v>34310</v>
      </c>
      <c r="W773" t="s">
        <v>29925</v>
      </c>
      <c r="X773" t="s">
        <v>32527</v>
      </c>
    </row>
    <row r="774" spans="1:24">
      <c r="A774">
        <f>HYPERLINK("https://www.philgeps.gov.ph/GEPSNONPILOT/Tender/SplashBidNoticeAbstractUI.aspx?menuIndex=3&amp;refID=7045008&amp;Result=3","7045008")</f>
        <v>0</v>
      </c>
      <c r="B774" t="s">
        <v>349</v>
      </c>
      <c r="C774" t="s">
        <v>3416</v>
      </c>
      <c r="D774" t="s">
        <v>12994</v>
      </c>
      <c r="E774" t="s">
        <v>13802</v>
      </c>
      <c r="F774" t="s">
        <v>22436</v>
      </c>
      <c r="G774" t="s">
        <v>22443</v>
      </c>
      <c r="H774" t="s">
        <v>22452</v>
      </c>
      <c r="I774" t="s">
        <v>22512</v>
      </c>
      <c r="J774" t="s">
        <v>23215</v>
      </c>
      <c r="K774" t="s">
        <v>29341</v>
      </c>
      <c r="M774" t="s">
        <v>29926</v>
      </c>
      <c r="N774" t="s">
        <v>32524</v>
      </c>
      <c r="O774" t="s">
        <v>32525</v>
      </c>
      <c r="P774">
        <v>0</v>
      </c>
      <c r="Q774">
        <v>1</v>
      </c>
      <c r="R774" t="s">
        <v>32526</v>
      </c>
      <c r="S774" t="s">
        <v>32547</v>
      </c>
      <c r="T774" t="s">
        <v>33159</v>
      </c>
      <c r="U774" t="s">
        <v>34311</v>
      </c>
      <c r="W774" t="s">
        <v>29926</v>
      </c>
      <c r="X774" t="s">
        <v>32527</v>
      </c>
    </row>
    <row r="775" spans="1:24">
      <c r="A775">
        <f>HYPERLINK("https://www.philgeps.gov.ph/GEPSNONPILOT/Tender/SplashBidNoticeAbstractUI.aspx?menuIndex=3&amp;refID=7045007&amp;Result=3","7045007")</f>
        <v>0</v>
      </c>
      <c r="B775" t="s">
        <v>83</v>
      </c>
      <c r="C775" t="s">
        <v>3417</v>
      </c>
      <c r="D775" t="s">
        <v>12988</v>
      </c>
      <c r="E775" t="s">
        <v>13803</v>
      </c>
      <c r="F775" t="s">
        <v>22436</v>
      </c>
      <c r="G775" t="s">
        <v>22443</v>
      </c>
      <c r="H775" t="s">
        <v>22452</v>
      </c>
      <c r="I775" t="s">
        <v>3122</v>
      </c>
      <c r="J775" t="s">
        <v>23216</v>
      </c>
      <c r="K775" t="s">
        <v>29336</v>
      </c>
      <c r="M775" t="s">
        <v>29888</v>
      </c>
      <c r="N775" t="s">
        <v>32524</v>
      </c>
      <c r="O775" t="s">
        <v>32525</v>
      </c>
      <c r="P775">
        <v>0</v>
      </c>
      <c r="Q775">
        <v>0</v>
      </c>
      <c r="R775" t="s">
        <v>32526</v>
      </c>
      <c r="S775" t="s">
        <v>32547</v>
      </c>
      <c r="T775" t="s">
        <v>33211</v>
      </c>
      <c r="U775" t="s">
        <v>34312</v>
      </c>
      <c r="W775" t="s">
        <v>29888</v>
      </c>
      <c r="X775" t="s">
        <v>32527</v>
      </c>
    </row>
    <row r="776" spans="1:24">
      <c r="A776">
        <f>HYPERLINK("https://www.philgeps.gov.ph/GEPSNONPILOT/Tender/SplashBidNoticeAbstractUI.aspx?menuIndex=3&amp;refID=7045001&amp;Result=3","7045001")</f>
        <v>0</v>
      </c>
      <c r="B776" t="s">
        <v>231</v>
      </c>
      <c r="C776" t="s">
        <v>3418</v>
      </c>
      <c r="D776" t="s">
        <v>13054</v>
      </c>
      <c r="E776" t="s">
        <v>13804</v>
      </c>
      <c r="F776" t="s">
        <v>22436</v>
      </c>
      <c r="G776" t="s">
        <v>22444</v>
      </c>
      <c r="H776" t="s">
        <v>22454</v>
      </c>
      <c r="I776" t="s">
        <v>7738</v>
      </c>
      <c r="J776" t="s">
        <v>22911</v>
      </c>
      <c r="K776" t="s">
        <v>29342</v>
      </c>
      <c r="M776" t="s">
        <v>29804</v>
      </c>
      <c r="N776" t="s">
        <v>32524</v>
      </c>
      <c r="O776" t="s">
        <v>32525</v>
      </c>
      <c r="P776">
        <v>0</v>
      </c>
      <c r="Q776">
        <v>0</v>
      </c>
      <c r="R776" t="s">
        <v>32526</v>
      </c>
      <c r="S776" t="s">
        <v>32547</v>
      </c>
      <c r="T776" t="s">
        <v>33166</v>
      </c>
      <c r="U776" t="s">
        <v>34313</v>
      </c>
      <c r="W776" t="s">
        <v>29804</v>
      </c>
      <c r="X776" t="s">
        <v>32527</v>
      </c>
    </row>
    <row r="777" spans="1:24">
      <c r="A777">
        <f>HYPERLINK("https://www.philgeps.gov.ph/GEPSNONPILOT/Tender/SplashBidNoticeAbstractUI.aspx?menuIndex=3&amp;refID=7045005&amp;Result=3","7045005")</f>
        <v>0</v>
      </c>
      <c r="B777" t="s">
        <v>29</v>
      </c>
      <c r="C777" t="s">
        <v>3419</v>
      </c>
      <c r="D777" t="s">
        <v>12993</v>
      </c>
      <c r="E777" t="s">
        <v>13805</v>
      </c>
      <c r="F777" t="s">
        <v>22436</v>
      </c>
      <c r="G777" t="s">
        <v>22446</v>
      </c>
      <c r="H777" t="s">
        <v>22452</v>
      </c>
      <c r="I777" t="s">
        <v>22469</v>
      </c>
      <c r="J777" t="s">
        <v>23217</v>
      </c>
      <c r="K777" t="s">
        <v>29336</v>
      </c>
      <c r="M777" t="s">
        <v>29599</v>
      </c>
      <c r="N777" t="s">
        <v>32524</v>
      </c>
      <c r="O777" t="s">
        <v>32525</v>
      </c>
      <c r="P777">
        <v>0</v>
      </c>
      <c r="Q777">
        <v>5</v>
      </c>
      <c r="R777" t="s">
        <v>32526</v>
      </c>
      <c r="S777" t="s">
        <v>32547</v>
      </c>
      <c r="T777" t="s">
        <v>33167</v>
      </c>
      <c r="U777" t="s">
        <v>34314</v>
      </c>
      <c r="W777" t="s">
        <v>29599</v>
      </c>
      <c r="X777" t="s">
        <v>32527</v>
      </c>
    </row>
    <row r="778" spans="1:24">
      <c r="A778">
        <f>HYPERLINK("https://www.philgeps.gov.ph/GEPSNONPILOT/Tender/SplashBidNoticeAbstractUI.aspx?menuIndex=3&amp;refID=7045002&amp;Result=3","7045002")</f>
        <v>0</v>
      </c>
      <c r="B778" t="s">
        <v>350</v>
      </c>
      <c r="C778" t="s">
        <v>3420</v>
      </c>
      <c r="D778" t="s">
        <v>13031</v>
      </c>
      <c r="E778" t="s">
        <v>13806</v>
      </c>
      <c r="F778" t="s">
        <v>22436</v>
      </c>
      <c r="G778" t="s">
        <v>22446</v>
      </c>
      <c r="H778" t="s">
        <v>22452</v>
      </c>
      <c r="I778" t="s">
        <v>22493</v>
      </c>
      <c r="J778" t="s">
        <v>22874</v>
      </c>
      <c r="K778" t="s">
        <v>29335</v>
      </c>
      <c r="M778" t="s">
        <v>29927</v>
      </c>
      <c r="N778" t="s">
        <v>32524</v>
      </c>
      <c r="O778" t="s">
        <v>32525</v>
      </c>
      <c r="P778">
        <v>0</v>
      </c>
      <c r="Q778">
        <v>1</v>
      </c>
      <c r="R778" t="s">
        <v>32526</v>
      </c>
      <c r="S778" t="s">
        <v>32547</v>
      </c>
      <c r="T778" t="s">
        <v>33209</v>
      </c>
      <c r="U778" t="s">
        <v>34315</v>
      </c>
      <c r="W778" t="s">
        <v>29927</v>
      </c>
      <c r="X778" t="s">
        <v>32527</v>
      </c>
    </row>
    <row r="779" spans="1:24">
      <c r="A779">
        <f>HYPERLINK("https://www.philgeps.gov.ph/GEPSNONPILOT/Tender/SplashBidNoticeAbstractUI.aspx?menuIndex=3&amp;refID=7045009&amp;Result=3","7045009")</f>
        <v>0</v>
      </c>
      <c r="B779" t="s">
        <v>351</v>
      </c>
      <c r="C779" t="s">
        <v>3421</v>
      </c>
      <c r="D779" t="s">
        <v>12996</v>
      </c>
      <c r="E779" t="s">
        <v>13807</v>
      </c>
      <c r="F779" t="s">
        <v>22436</v>
      </c>
      <c r="G779" t="s">
        <v>22444</v>
      </c>
      <c r="H779" t="s">
        <v>22452</v>
      </c>
      <c r="I779" t="s">
        <v>3529</v>
      </c>
      <c r="J779" t="s">
        <v>23218</v>
      </c>
      <c r="K779" t="s">
        <v>29331</v>
      </c>
      <c r="M779" t="s">
        <v>29928</v>
      </c>
      <c r="N779" t="s">
        <v>32524</v>
      </c>
      <c r="O779" t="s">
        <v>32525</v>
      </c>
      <c r="P779">
        <v>0</v>
      </c>
      <c r="Q779">
        <v>0</v>
      </c>
      <c r="R779" t="s">
        <v>32526</v>
      </c>
      <c r="S779" t="s">
        <v>32547</v>
      </c>
      <c r="T779" t="s">
        <v>33173</v>
      </c>
      <c r="U779" t="s">
        <v>34316</v>
      </c>
      <c r="W779" t="s">
        <v>29928</v>
      </c>
      <c r="X779" t="s">
        <v>32527</v>
      </c>
    </row>
    <row r="780" spans="1:24">
      <c r="A780">
        <f>HYPERLINK("https://www.philgeps.gov.ph/GEPSNONPILOT/Tender/SplashBidNoticeAbstractUI.aspx?menuIndex=3&amp;refID=7044998&amp;Result=3","7044998")</f>
        <v>0</v>
      </c>
      <c r="B780" t="s">
        <v>124</v>
      </c>
      <c r="C780" t="s">
        <v>3422</v>
      </c>
      <c r="D780" t="s">
        <v>13031</v>
      </c>
      <c r="E780" t="s">
        <v>3422</v>
      </c>
      <c r="F780" t="s">
        <v>22436</v>
      </c>
      <c r="G780" t="s">
        <v>22443</v>
      </c>
      <c r="H780" t="s">
        <v>22452</v>
      </c>
      <c r="I780" t="s">
        <v>22511</v>
      </c>
      <c r="J780" t="s">
        <v>23219</v>
      </c>
      <c r="K780" t="s">
        <v>29338</v>
      </c>
      <c r="M780" t="s">
        <v>29696</v>
      </c>
      <c r="N780" t="s">
        <v>32524</v>
      </c>
      <c r="O780" t="s">
        <v>32525</v>
      </c>
      <c r="P780">
        <v>0</v>
      </c>
      <c r="Q780">
        <v>1</v>
      </c>
      <c r="R780" t="s">
        <v>32526</v>
      </c>
      <c r="S780" t="s">
        <v>32547</v>
      </c>
      <c r="T780" t="s">
        <v>33183</v>
      </c>
      <c r="U780" t="s">
        <v>34317</v>
      </c>
      <c r="W780" t="s">
        <v>29696</v>
      </c>
      <c r="X780" t="s">
        <v>32527</v>
      </c>
    </row>
    <row r="781" spans="1:24">
      <c r="A781">
        <f>HYPERLINK("https://www.philgeps.gov.ph/GEPSNONPILOT/Tender/SplashBidNoticeAbstractUI.aspx?menuIndex=3&amp;refID=7045004&amp;Result=3","7045004")</f>
        <v>0</v>
      </c>
      <c r="B781" t="s">
        <v>352</v>
      </c>
      <c r="C781" t="s">
        <v>3423</v>
      </c>
      <c r="D781" t="s">
        <v>13040</v>
      </c>
      <c r="E781" t="s">
        <v>13808</v>
      </c>
      <c r="F781" t="s">
        <v>22436</v>
      </c>
      <c r="G781" t="s">
        <v>22444</v>
      </c>
      <c r="H781" t="s">
        <v>22454</v>
      </c>
      <c r="I781" t="s">
        <v>7738</v>
      </c>
      <c r="J781" t="s">
        <v>22877</v>
      </c>
      <c r="K781" t="s">
        <v>29338</v>
      </c>
      <c r="M781" t="s">
        <v>29929</v>
      </c>
      <c r="N781" t="s">
        <v>32524</v>
      </c>
      <c r="O781" t="s">
        <v>32525</v>
      </c>
      <c r="P781">
        <v>0</v>
      </c>
      <c r="Q781">
        <v>0</v>
      </c>
      <c r="R781" t="s">
        <v>32526</v>
      </c>
      <c r="S781" t="s">
        <v>32547</v>
      </c>
      <c r="T781" t="s">
        <v>33170</v>
      </c>
      <c r="U781" t="s">
        <v>34318</v>
      </c>
      <c r="W781" t="s">
        <v>29929</v>
      </c>
      <c r="X781" t="s">
        <v>32527</v>
      </c>
    </row>
    <row r="782" spans="1:24">
      <c r="A782">
        <f>HYPERLINK("https://www.philgeps.gov.ph/GEPSNONPILOT/Tender/SplashBidNoticeAbstractUI.aspx?menuIndex=3&amp;refID=7045015&amp;Result=3","7045015")</f>
        <v>0</v>
      </c>
      <c r="B782" t="s">
        <v>307</v>
      </c>
      <c r="C782" t="s">
        <v>3424</v>
      </c>
      <c r="D782" t="s">
        <v>13032</v>
      </c>
      <c r="E782" t="s">
        <v>13809</v>
      </c>
      <c r="F782" t="s">
        <v>22436</v>
      </c>
      <c r="G782" t="s">
        <v>22444</v>
      </c>
      <c r="H782" t="s">
        <v>22453</v>
      </c>
      <c r="I782" t="s">
        <v>22471</v>
      </c>
      <c r="J782" t="s">
        <v>23220</v>
      </c>
      <c r="K782" t="s">
        <v>29335</v>
      </c>
      <c r="M782" t="s">
        <v>29881</v>
      </c>
      <c r="N782" t="s">
        <v>32524</v>
      </c>
      <c r="O782" t="s">
        <v>32525</v>
      </c>
      <c r="P782">
        <v>0</v>
      </c>
      <c r="Q782">
        <v>0</v>
      </c>
      <c r="R782" t="s">
        <v>32526</v>
      </c>
      <c r="S782" t="s">
        <v>32547</v>
      </c>
      <c r="T782" t="s">
        <v>33259</v>
      </c>
      <c r="U782" t="s">
        <v>34319</v>
      </c>
      <c r="W782" t="s">
        <v>29881</v>
      </c>
      <c r="X782" t="s">
        <v>32527</v>
      </c>
    </row>
    <row r="783" spans="1:24">
      <c r="A783">
        <f>HYPERLINK("https://www.philgeps.gov.ph/GEPSNONPILOT/Tender/SplashBidNoticeAbstractUI.aspx?menuIndex=3&amp;refID=7044999&amp;Result=3","7044999")</f>
        <v>0</v>
      </c>
      <c r="B783" t="s">
        <v>306</v>
      </c>
      <c r="C783" t="s">
        <v>3425</v>
      </c>
      <c r="D783" t="s">
        <v>13022</v>
      </c>
      <c r="E783" t="s">
        <v>13810</v>
      </c>
      <c r="F783" t="s">
        <v>22436</v>
      </c>
      <c r="G783" t="s">
        <v>22443</v>
      </c>
      <c r="H783" t="s">
        <v>22452</v>
      </c>
      <c r="I783" t="s">
        <v>5194</v>
      </c>
      <c r="J783" t="s">
        <v>23221</v>
      </c>
      <c r="K783" t="s">
        <v>29338</v>
      </c>
      <c r="M783" t="s">
        <v>29880</v>
      </c>
      <c r="N783" t="s">
        <v>32524</v>
      </c>
      <c r="O783" t="s">
        <v>32525</v>
      </c>
      <c r="P783">
        <v>0</v>
      </c>
      <c r="Q783">
        <v>5</v>
      </c>
      <c r="R783" t="s">
        <v>32526</v>
      </c>
      <c r="S783" t="s">
        <v>32547</v>
      </c>
      <c r="T783" t="s">
        <v>33182</v>
      </c>
      <c r="U783" t="s">
        <v>33876</v>
      </c>
      <c r="W783" t="s">
        <v>29880</v>
      </c>
      <c r="X783" t="s">
        <v>32527</v>
      </c>
    </row>
    <row r="784" spans="1:24">
      <c r="A784">
        <f>HYPERLINK("https://www.philgeps.gov.ph/GEPSNONPILOT/Tender/SplashBidNoticeAbstractUI.aspx?menuIndex=3&amp;refID=7045010&amp;Result=3","7045010")</f>
        <v>0</v>
      </c>
      <c r="B784" t="s">
        <v>353</v>
      </c>
      <c r="C784" t="s">
        <v>3426</v>
      </c>
      <c r="D784" t="s">
        <v>13034</v>
      </c>
      <c r="E784" t="s">
        <v>13811</v>
      </c>
      <c r="F784" t="s">
        <v>22436</v>
      </c>
      <c r="G784" t="s">
        <v>22444</v>
      </c>
      <c r="H784" t="s">
        <v>22454</v>
      </c>
      <c r="I784" t="s">
        <v>7738</v>
      </c>
      <c r="J784" t="s">
        <v>22893</v>
      </c>
      <c r="K784" t="s">
        <v>29333</v>
      </c>
      <c r="M784" t="s">
        <v>29930</v>
      </c>
      <c r="N784" t="s">
        <v>32524</v>
      </c>
      <c r="O784" t="s">
        <v>32525</v>
      </c>
      <c r="P784">
        <v>0</v>
      </c>
      <c r="Q784">
        <v>0</v>
      </c>
      <c r="R784" t="s">
        <v>32526</v>
      </c>
      <c r="S784" t="s">
        <v>32547</v>
      </c>
      <c r="T784" t="s">
        <v>33165</v>
      </c>
      <c r="U784" t="s">
        <v>34320</v>
      </c>
      <c r="W784" t="s">
        <v>29930</v>
      </c>
      <c r="X784" t="s">
        <v>32527</v>
      </c>
    </row>
    <row r="785" spans="1:24">
      <c r="A785">
        <f>HYPERLINK("https://www.philgeps.gov.ph/GEPSNONPILOT/Tender/SplashBidNoticeAbstractUI.aspx?menuIndex=3&amp;refID=7045032&amp;Result=3","7045032")</f>
        <v>0</v>
      </c>
      <c r="B785" t="s">
        <v>199</v>
      </c>
      <c r="C785" t="s">
        <v>3254</v>
      </c>
      <c r="D785" t="s">
        <v>13009</v>
      </c>
      <c r="E785" t="s">
        <v>13648</v>
      </c>
      <c r="F785" t="s">
        <v>22436</v>
      </c>
      <c r="G785" t="s">
        <v>22447</v>
      </c>
      <c r="H785" t="s">
        <v>22452</v>
      </c>
      <c r="I785" t="s">
        <v>3827</v>
      </c>
      <c r="J785" t="s">
        <v>23222</v>
      </c>
      <c r="K785" t="s">
        <v>29338</v>
      </c>
      <c r="M785" t="s">
        <v>29772</v>
      </c>
      <c r="N785" t="s">
        <v>32524</v>
      </c>
      <c r="O785" t="s">
        <v>32525</v>
      </c>
      <c r="P785">
        <v>0</v>
      </c>
      <c r="Q785">
        <v>0</v>
      </c>
      <c r="R785" t="s">
        <v>32526</v>
      </c>
      <c r="S785" t="s">
        <v>32547</v>
      </c>
      <c r="T785" t="s">
        <v>33181</v>
      </c>
      <c r="U785" t="s">
        <v>34321</v>
      </c>
      <c r="W785" t="s">
        <v>29772</v>
      </c>
      <c r="X785" t="s">
        <v>32527</v>
      </c>
    </row>
    <row r="786" spans="1:24">
      <c r="A786">
        <f>HYPERLINK("https://www.philgeps.gov.ph/GEPSNONPILOT/Tender/SplashBidNoticeAbstractUI.aspx?menuIndex=3&amp;refID=7045013&amp;Result=3","7045013")</f>
        <v>0</v>
      </c>
      <c r="B786" t="s">
        <v>354</v>
      </c>
      <c r="C786" t="s">
        <v>3427</v>
      </c>
      <c r="D786" t="s">
        <v>13022</v>
      </c>
      <c r="E786" t="s">
        <v>13812</v>
      </c>
      <c r="F786" t="s">
        <v>22436</v>
      </c>
      <c r="G786" t="s">
        <v>22448</v>
      </c>
      <c r="H786" t="s">
        <v>22452</v>
      </c>
      <c r="I786" t="s">
        <v>2981</v>
      </c>
      <c r="J786" t="s">
        <v>22695</v>
      </c>
      <c r="K786" t="s">
        <v>29331</v>
      </c>
      <c r="M786" t="s">
        <v>29931</v>
      </c>
      <c r="N786" t="s">
        <v>32524</v>
      </c>
      <c r="O786" t="s">
        <v>32525</v>
      </c>
      <c r="P786">
        <v>0</v>
      </c>
      <c r="Q786">
        <v>0</v>
      </c>
      <c r="R786" t="s">
        <v>32526</v>
      </c>
      <c r="S786" t="s">
        <v>32547</v>
      </c>
      <c r="T786" t="s">
        <v>33163</v>
      </c>
      <c r="U786" t="s">
        <v>34322</v>
      </c>
      <c r="W786" t="s">
        <v>29931</v>
      </c>
      <c r="X786" t="s">
        <v>32527</v>
      </c>
    </row>
    <row r="787" spans="1:24">
      <c r="A787">
        <f>HYPERLINK("https://www.philgeps.gov.ph/GEPSNONPILOT/Tender/SplashBidNoticeAbstractUI.aspx?menuIndex=3&amp;refID=7045011&amp;Result=3","7045011")</f>
        <v>0</v>
      </c>
      <c r="B787" t="s">
        <v>328</v>
      </c>
      <c r="C787" t="s">
        <v>3428</v>
      </c>
      <c r="D787" t="s">
        <v>13022</v>
      </c>
      <c r="E787" t="s">
        <v>13813</v>
      </c>
      <c r="F787" t="s">
        <v>22436</v>
      </c>
      <c r="G787" t="s">
        <v>22443</v>
      </c>
      <c r="H787" t="s">
        <v>22452</v>
      </c>
      <c r="I787" t="s">
        <v>22488</v>
      </c>
      <c r="J787" t="s">
        <v>23223</v>
      </c>
      <c r="K787" t="s">
        <v>29335</v>
      </c>
      <c r="M787" t="s">
        <v>29904</v>
      </c>
      <c r="N787" t="s">
        <v>32524</v>
      </c>
      <c r="O787" t="s">
        <v>32525</v>
      </c>
      <c r="P787">
        <v>0</v>
      </c>
      <c r="Q787">
        <v>0</v>
      </c>
      <c r="R787" t="s">
        <v>32526</v>
      </c>
      <c r="S787" t="s">
        <v>32547</v>
      </c>
      <c r="T787" t="s">
        <v>33203</v>
      </c>
      <c r="U787" t="s">
        <v>34323</v>
      </c>
      <c r="W787" t="s">
        <v>29904</v>
      </c>
      <c r="X787" t="s">
        <v>32527</v>
      </c>
    </row>
    <row r="788" spans="1:24">
      <c r="A788">
        <f>HYPERLINK("https://www.philgeps.gov.ph/GEPSNONPILOT/Tender/SplashBidNoticeAbstractUI.aspx?menuIndex=3&amp;refID=7045033&amp;Result=3","7045033")</f>
        <v>0</v>
      </c>
      <c r="B788" t="s">
        <v>282</v>
      </c>
      <c r="C788" t="s">
        <v>3429</v>
      </c>
      <c r="D788" t="s">
        <v>13002</v>
      </c>
      <c r="E788" t="s">
        <v>13814</v>
      </c>
      <c r="F788" t="s">
        <v>22436</v>
      </c>
      <c r="G788" t="s">
        <v>22443</v>
      </c>
      <c r="H788" t="s">
        <v>22453</v>
      </c>
      <c r="I788" t="s">
        <v>22486</v>
      </c>
      <c r="J788" t="s">
        <v>22712</v>
      </c>
      <c r="K788" t="s">
        <v>29382</v>
      </c>
      <c r="M788" t="s">
        <v>29856</v>
      </c>
      <c r="N788" t="s">
        <v>32524</v>
      </c>
      <c r="O788" t="s">
        <v>32525</v>
      </c>
      <c r="P788">
        <v>0</v>
      </c>
      <c r="Q788">
        <v>1</v>
      </c>
      <c r="R788" t="s">
        <v>32526</v>
      </c>
      <c r="S788" t="s">
        <v>32547</v>
      </c>
      <c r="T788" t="s">
        <v>33230</v>
      </c>
      <c r="U788" t="s">
        <v>34324</v>
      </c>
      <c r="V788" t="s">
        <v>42495</v>
      </c>
      <c r="W788" t="s">
        <v>29856</v>
      </c>
      <c r="X788" t="s">
        <v>32527</v>
      </c>
    </row>
    <row r="789" spans="1:24">
      <c r="A789">
        <f>HYPERLINK("https://www.philgeps.gov.ph/GEPSNONPILOT/Tender/SplashBidNoticeAbstractUI.aspx?menuIndex=3&amp;refID=7045031&amp;Result=3","7045031")</f>
        <v>0</v>
      </c>
      <c r="B789" t="s">
        <v>355</v>
      </c>
      <c r="C789" t="s">
        <v>3430</v>
      </c>
      <c r="D789" t="s">
        <v>13010</v>
      </c>
      <c r="E789" t="s">
        <v>13815</v>
      </c>
      <c r="F789" t="s">
        <v>22436</v>
      </c>
      <c r="G789" t="s">
        <v>22444</v>
      </c>
      <c r="H789" t="s">
        <v>22452</v>
      </c>
      <c r="I789" t="s">
        <v>22467</v>
      </c>
      <c r="J789" t="s">
        <v>23224</v>
      </c>
      <c r="K789" t="s">
        <v>29331</v>
      </c>
      <c r="M789" t="s">
        <v>29932</v>
      </c>
      <c r="N789" t="s">
        <v>32524</v>
      </c>
      <c r="O789" t="s">
        <v>32525</v>
      </c>
      <c r="P789">
        <v>0</v>
      </c>
      <c r="Q789">
        <v>0</v>
      </c>
      <c r="R789" t="s">
        <v>32526</v>
      </c>
      <c r="S789" t="s">
        <v>32547</v>
      </c>
      <c r="T789" t="s">
        <v>33265</v>
      </c>
      <c r="U789" t="s">
        <v>34325</v>
      </c>
      <c r="V789" t="s">
        <v>42496</v>
      </c>
      <c r="W789" t="s">
        <v>29932</v>
      </c>
      <c r="X789" t="s">
        <v>32527</v>
      </c>
    </row>
    <row r="790" spans="1:24">
      <c r="A790">
        <f>HYPERLINK("https://www.philgeps.gov.ph/GEPSNONPILOT/Tender/SplashBidNoticeAbstractUI.aspx?menuIndex=3&amp;refID=7045030&amp;Result=3","7045030")</f>
        <v>0</v>
      </c>
      <c r="B790" t="s">
        <v>356</v>
      </c>
      <c r="C790" t="s">
        <v>3431</v>
      </c>
      <c r="D790" t="s">
        <v>12993</v>
      </c>
      <c r="E790" t="s">
        <v>13816</v>
      </c>
      <c r="F790" t="s">
        <v>22436</v>
      </c>
      <c r="G790" t="s">
        <v>22443</v>
      </c>
      <c r="H790" t="s">
        <v>22453</v>
      </c>
      <c r="I790" t="s">
        <v>22516</v>
      </c>
      <c r="J790" t="s">
        <v>22607</v>
      </c>
      <c r="K790" t="s">
        <v>29356</v>
      </c>
      <c r="M790" t="s">
        <v>29933</v>
      </c>
      <c r="N790" t="s">
        <v>32524</v>
      </c>
      <c r="O790" t="s">
        <v>32525</v>
      </c>
      <c r="P790">
        <v>0</v>
      </c>
      <c r="Q790">
        <v>0</v>
      </c>
      <c r="R790" t="s">
        <v>32526</v>
      </c>
      <c r="S790" t="s">
        <v>32547</v>
      </c>
      <c r="T790" t="s">
        <v>33154</v>
      </c>
      <c r="U790" t="s">
        <v>34326</v>
      </c>
      <c r="W790" t="s">
        <v>29933</v>
      </c>
      <c r="X790" t="s">
        <v>32527</v>
      </c>
    </row>
    <row r="791" spans="1:24">
      <c r="A791">
        <f>HYPERLINK("https://www.philgeps.gov.ph/GEPSNONPILOT/Tender/SplashBidNoticeAbstractUI.aspx?menuIndex=3&amp;refID=7045012&amp;Result=3","7045012")</f>
        <v>0</v>
      </c>
      <c r="B791" t="s">
        <v>103</v>
      </c>
      <c r="C791" t="s">
        <v>3432</v>
      </c>
      <c r="D791" t="s">
        <v>13030</v>
      </c>
      <c r="E791" t="s">
        <v>13817</v>
      </c>
      <c r="F791" t="s">
        <v>22436</v>
      </c>
      <c r="G791" t="s">
        <v>22444</v>
      </c>
      <c r="H791" t="s">
        <v>22452</v>
      </c>
      <c r="I791" t="s">
        <v>3827</v>
      </c>
      <c r="J791" t="s">
        <v>22654</v>
      </c>
      <c r="K791" t="s">
        <v>29337</v>
      </c>
      <c r="M791" t="s">
        <v>29675</v>
      </c>
      <c r="N791" t="s">
        <v>32524</v>
      </c>
      <c r="O791" t="s">
        <v>32525</v>
      </c>
      <c r="P791">
        <v>0</v>
      </c>
      <c r="Q791">
        <v>0</v>
      </c>
      <c r="R791" t="s">
        <v>32526</v>
      </c>
      <c r="S791" t="s">
        <v>32547</v>
      </c>
      <c r="T791" t="s">
        <v>33159</v>
      </c>
      <c r="U791" t="s">
        <v>34327</v>
      </c>
      <c r="V791" t="s">
        <v>42497</v>
      </c>
      <c r="W791" t="s">
        <v>29675</v>
      </c>
      <c r="X791" t="s">
        <v>32527</v>
      </c>
    </row>
    <row r="792" spans="1:24">
      <c r="A792">
        <f>HYPERLINK("https://www.philgeps.gov.ph/GEPSNONPILOT/Tender/SplashBidNoticeAbstractUI.aspx?menuIndex=3&amp;refID=7045028&amp;Result=3","7045028")</f>
        <v>0</v>
      </c>
      <c r="B792" t="s">
        <v>357</v>
      </c>
      <c r="C792" t="s">
        <v>3433</v>
      </c>
      <c r="D792" t="s">
        <v>13037</v>
      </c>
      <c r="E792" t="s">
        <v>13818</v>
      </c>
      <c r="F792" t="s">
        <v>22436</v>
      </c>
      <c r="G792" t="s">
        <v>22443</v>
      </c>
      <c r="H792" t="s">
        <v>22454</v>
      </c>
      <c r="I792" t="s">
        <v>7738</v>
      </c>
      <c r="J792" t="s">
        <v>22661</v>
      </c>
      <c r="K792" t="s">
        <v>29341</v>
      </c>
      <c r="M792" t="s">
        <v>29934</v>
      </c>
      <c r="N792" t="s">
        <v>32524</v>
      </c>
      <c r="O792" t="s">
        <v>32525</v>
      </c>
      <c r="P792">
        <v>0</v>
      </c>
      <c r="Q792">
        <v>0</v>
      </c>
      <c r="R792" t="s">
        <v>32526</v>
      </c>
      <c r="S792" t="s">
        <v>32547</v>
      </c>
      <c r="T792" t="s">
        <v>33169</v>
      </c>
      <c r="U792" t="s">
        <v>34328</v>
      </c>
      <c r="W792" t="s">
        <v>29934</v>
      </c>
      <c r="X792" t="s">
        <v>32527</v>
      </c>
    </row>
    <row r="793" spans="1:24">
      <c r="A793">
        <f>HYPERLINK("https://www.philgeps.gov.ph/GEPSNONPILOT/Tender/SplashBidNoticeAbstractUI.aspx?menuIndex=3&amp;refID=7045024&amp;Result=3","7045024")</f>
        <v>0</v>
      </c>
      <c r="B793" t="s">
        <v>358</v>
      </c>
      <c r="C793" t="s">
        <v>3434</v>
      </c>
      <c r="D793" t="s">
        <v>13034</v>
      </c>
      <c r="E793" t="s">
        <v>13819</v>
      </c>
      <c r="F793" t="s">
        <v>22436</v>
      </c>
      <c r="G793" t="s">
        <v>22443</v>
      </c>
      <c r="H793" t="s">
        <v>22452</v>
      </c>
      <c r="I793" t="s">
        <v>3529</v>
      </c>
      <c r="J793" t="s">
        <v>23225</v>
      </c>
      <c r="K793" t="s">
        <v>29335</v>
      </c>
      <c r="M793" t="s">
        <v>29935</v>
      </c>
      <c r="N793" t="s">
        <v>32524</v>
      </c>
      <c r="O793" t="s">
        <v>32525</v>
      </c>
      <c r="P793">
        <v>0</v>
      </c>
      <c r="Q793">
        <v>0</v>
      </c>
      <c r="R793" t="s">
        <v>32526</v>
      </c>
      <c r="S793" t="s">
        <v>32547</v>
      </c>
      <c r="T793" t="s">
        <v>33180</v>
      </c>
      <c r="U793" t="s">
        <v>34329</v>
      </c>
      <c r="V793" t="s">
        <v>42498</v>
      </c>
      <c r="W793" t="s">
        <v>29935</v>
      </c>
      <c r="X793" t="s">
        <v>32527</v>
      </c>
    </row>
    <row r="794" spans="1:24">
      <c r="A794">
        <f>HYPERLINK("https://www.philgeps.gov.ph/GEPSNONPILOT/Tender/SplashBidNoticeAbstractUI.aspx?menuIndex=3&amp;refID=7045026&amp;Result=3","7045026")</f>
        <v>0</v>
      </c>
      <c r="B794" t="s">
        <v>135</v>
      </c>
      <c r="C794" t="s">
        <v>3435</v>
      </c>
      <c r="D794" t="s">
        <v>12988</v>
      </c>
      <c r="E794" t="s">
        <v>13820</v>
      </c>
      <c r="F794" t="s">
        <v>22436</v>
      </c>
      <c r="G794" t="s">
        <v>22443</v>
      </c>
      <c r="H794" t="s">
        <v>22452</v>
      </c>
      <c r="I794" t="s">
        <v>2981</v>
      </c>
      <c r="J794" t="s">
        <v>23226</v>
      </c>
      <c r="K794" t="s">
        <v>29356</v>
      </c>
      <c r="M794" t="s">
        <v>29925</v>
      </c>
      <c r="N794" t="s">
        <v>32524</v>
      </c>
      <c r="O794" t="s">
        <v>32525</v>
      </c>
      <c r="P794">
        <v>0</v>
      </c>
      <c r="Q794">
        <v>0</v>
      </c>
      <c r="R794" t="s">
        <v>32526</v>
      </c>
      <c r="S794" t="s">
        <v>32547</v>
      </c>
      <c r="T794" t="s">
        <v>33197</v>
      </c>
      <c r="U794" t="s">
        <v>34330</v>
      </c>
      <c r="W794" t="s">
        <v>29925</v>
      </c>
      <c r="X794" t="s">
        <v>32527</v>
      </c>
    </row>
    <row r="795" spans="1:24">
      <c r="A795">
        <f>HYPERLINK("https://www.philgeps.gov.ph/GEPSNONPILOT/Tender/SplashBidNoticeAbstractUI.aspx?menuIndex=3&amp;refID=7045025&amp;Result=3","7045025")</f>
        <v>0</v>
      </c>
      <c r="B795" t="s">
        <v>359</v>
      </c>
      <c r="C795" t="s">
        <v>3436</v>
      </c>
      <c r="D795" t="s">
        <v>13044</v>
      </c>
      <c r="E795" t="s">
        <v>13821</v>
      </c>
      <c r="F795" t="s">
        <v>22436</v>
      </c>
      <c r="G795" t="s">
        <v>22443</v>
      </c>
      <c r="H795" t="s">
        <v>22452</v>
      </c>
      <c r="I795" t="s">
        <v>3529</v>
      </c>
      <c r="J795" t="s">
        <v>23227</v>
      </c>
      <c r="K795" t="s">
        <v>29331</v>
      </c>
      <c r="M795" t="s">
        <v>29936</v>
      </c>
      <c r="N795" t="s">
        <v>32524</v>
      </c>
      <c r="O795" t="s">
        <v>32525</v>
      </c>
      <c r="P795">
        <v>0</v>
      </c>
      <c r="Q795">
        <v>0</v>
      </c>
      <c r="R795" t="s">
        <v>32526</v>
      </c>
      <c r="S795" t="s">
        <v>32547</v>
      </c>
      <c r="T795" t="s">
        <v>33196</v>
      </c>
      <c r="U795" t="s">
        <v>34331</v>
      </c>
      <c r="W795" t="s">
        <v>29936</v>
      </c>
      <c r="X795" t="s">
        <v>32527</v>
      </c>
    </row>
    <row r="796" spans="1:24">
      <c r="A796">
        <f>HYPERLINK("https://www.philgeps.gov.ph/GEPSNONPILOT/Tender/SplashBidNoticeAbstractUI.aspx?menuIndex=3&amp;refID=7045017&amp;Result=3","7045017")</f>
        <v>0</v>
      </c>
      <c r="B796" t="s">
        <v>331</v>
      </c>
      <c r="C796" t="s">
        <v>3437</v>
      </c>
      <c r="D796" t="s">
        <v>13058</v>
      </c>
      <c r="E796" t="s">
        <v>13822</v>
      </c>
      <c r="F796" t="s">
        <v>22436</v>
      </c>
      <c r="G796" t="s">
        <v>22445</v>
      </c>
      <c r="H796" t="s">
        <v>22452</v>
      </c>
      <c r="I796" t="s">
        <v>3840</v>
      </c>
      <c r="J796" t="s">
        <v>23228</v>
      </c>
      <c r="K796" t="s">
        <v>29335</v>
      </c>
      <c r="M796" t="s">
        <v>29907</v>
      </c>
      <c r="N796" t="s">
        <v>32524</v>
      </c>
      <c r="O796" t="s">
        <v>32525</v>
      </c>
      <c r="P796">
        <v>0</v>
      </c>
      <c r="Q796">
        <v>0</v>
      </c>
      <c r="R796" t="s">
        <v>32526</v>
      </c>
      <c r="S796" t="s">
        <v>32547</v>
      </c>
      <c r="T796" t="s">
        <v>33169</v>
      </c>
      <c r="U796" t="s">
        <v>34332</v>
      </c>
      <c r="W796" t="s">
        <v>29907</v>
      </c>
      <c r="X796" t="s">
        <v>32527</v>
      </c>
    </row>
    <row r="797" spans="1:24">
      <c r="A797">
        <f>HYPERLINK("https://www.philgeps.gov.ph/GEPSNONPILOT/Tender/SplashBidNoticeAbstractUI.aspx?menuIndex=3&amp;refID=7045029&amp;Result=3","7045029")</f>
        <v>0</v>
      </c>
      <c r="B797" t="s">
        <v>317</v>
      </c>
      <c r="C797" t="s">
        <v>3438</v>
      </c>
      <c r="D797" t="s">
        <v>13031</v>
      </c>
      <c r="E797" t="s">
        <v>13823</v>
      </c>
      <c r="F797" t="s">
        <v>22436</v>
      </c>
      <c r="G797" t="s">
        <v>22443</v>
      </c>
      <c r="H797" t="s">
        <v>22452</v>
      </c>
      <c r="I797" t="s">
        <v>6236</v>
      </c>
      <c r="J797" t="s">
        <v>23229</v>
      </c>
      <c r="K797" t="s">
        <v>29336</v>
      </c>
      <c r="M797" t="s">
        <v>29893</v>
      </c>
      <c r="N797" t="s">
        <v>32524</v>
      </c>
      <c r="O797" t="s">
        <v>32525</v>
      </c>
      <c r="P797">
        <v>0</v>
      </c>
      <c r="Q797">
        <v>0</v>
      </c>
      <c r="R797" t="s">
        <v>32526</v>
      </c>
      <c r="S797" t="s">
        <v>32547</v>
      </c>
      <c r="T797" t="s">
        <v>33167</v>
      </c>
      <c r="U797" t="s">
        <v>34239</v>
      </c>
      <c r="W797" t="s">
        <v>43677</v>
      </c>
      <c r="X797" t="s">
        <v>32527</v>
      </c>
    </row>
    <row r="798" spans="1:24">
      <c r="A798">
        <f>HYPERLINK("https://www.philgeps.gov.ph/GEPSNONPILOT/Tender/SplashBidNoticeAbstractUI.aspx?menuIndex=3&amp;refID=7045016&amp;Result=3","7045016")</f>
        <v>0</v>
      </c>
      <c r="B798" t="s">
        <v>306</v>
      </c>
      <c r="C798" t="s">
        <v>3333</v>
      </c>
      <c r="D798" t="s">
        <v>13022</v>
      </c>
      <c r="E798" t="s">
        <v>13824</v>
      </c>
      <c r="F798" t="s">
        <v>22436</v>
      </c>
      <c r="G798" t="s">
        <v>22443</v>
      </c>
      <c r="H798" t="s">
        <v>22452</v>
      </c>
      <c r="I798" t="s">
        <v>5194</v>
      </c>
      <c r="J798" t="s">
        <v>22806</v>
      </c>
      <c r="K798" t="s">
        <v>29338</v>
      </c>
      <c r="M798" t="s">
        <v>29880</v>
      </c>
      <c r="N798" t="s">
        <v>32524</v>
      </c>
      <c r="O798" t="s">
        <v>32525</v>
      </c>
      <c r="P798">
        <v>0</v>
      </c>
      <c r="Q798">
        <v>7</v>
      </c>
      <c r="R798" t="s">
        <v>32526</v>
      </c>
      <c r="S798" t="s">
        <v>32547</v>
      </c>
      <c r="T798" t="s">
        <v>33182</v>
      </c>
      <c r="U798" t="s">
        <v>33876</v>
      </c>
      <c r="W798" t="s">
        <v>29880</v>
      </c>
      <c r="X798" t="s">
        <v>32527</v>
      </c>
    </row>
    <row r="799" spans="1:24">
      <c r="A799">
        <f>HYPERLINK("https://www.philgeps.gov.ph/GEPSNONPILOT/Tender/SplashBidNoticeAbstractUI.aspx?menuIndex=3&amp;refID=7045034&amp;Result=3","7045034")</f>
        <v>0</v>
      </c>
      <c r="B799" t="s">
        <v>50</v>
      </c>
      <c r="C799" t="s">
        <v>3439</v>
      </c>
      <c r="D799" t="s">
        <v>13008</v>
      </c>
      <c r="E799" t="s">
        <v>13825</v>
      </c>
      <c r="F799" t="s">
        <v>22436</v>
      </c>
      <c r="G799" t="s">
        <v>22444</v>
      </c>
      <c r="H799" t="s">
        <v>22452</v>
      </c>
      <c r="I799" t="s">
        <v>6421</v>
      </c>
      <c r="J799" t="s">
        <v>23230</v>
      </c>
      <c r="K799" t="s">
        <v>29335</v>
      </c>
      <c r="M799" t="s">
        <v>29622</v>
      </c>
      <c r="N799" t="s">
        <v>32524</v>
      </c>
      <c r="O799" t="s">
        <v>32525</v>
      </c>
      <c r="P799">
        <v>0</v>
      </c>
      <c r="Q799">
        <v>4</v>
      </c>
      <c r="R799" t="s">
        <v>32526</v>
      </c>
      <c r="S799" t="s">
        <v>32547</v>
      </c>
      <c r="T799" t="s">
        <v>33166</v>
      </c>
      <c r="U799" t="s">
        <v>34333</v>
      </c>
      <c r="W799" t="s">
        <v>29622</v>
      </c>
      <c r="X799" t="s">
        <v>32527</v>
      </c>
    </row>
    <row r="800" spans="1:24">
      <c r="A800">
        <f>HYPERLINK("https://www.philgeps.gov.ph/GEPSNONPILOT/Tender/SplashBidNoticeAbstractUI.aspx?menuIndex=3&amp;refID=7045023&amp;Result=3","7045023")</f>
        <v>0</v>
      </c>
      <c r="B800" t="s">
        <v>146</v>
      </c>
      <c r="C800" t="s">
        <v>3440</v>
      </c>
      <c r="D800" t="s">
        <v>13042</v>
      </c>
      <c r="E800" t="s">
        <v>13826</v>
      </c>
      <c r="F800" t="s">
        <v>22436</v>
      </c>
      <c r="G800" t="s">
        <v>22444</v>
      </c>
      <c r="H800" t="s">
        <v>22452</v>
      </c>
      <c r="I800" t="s">
        <v>22470</v>
      </c>
      <c r="J800" t="s">
        <v>23231</v>
      </c>
      <c r="K800" t="s">
        <v>29336</v>
      </c>
      <c r="M800" t="s">
        <v>29937</v>
      </c>
      <c r="N800" t="s">
        <v>32524</v>
      </c>
      <c r="O800" t="s">
        <v>32525</v>
      </c>
      <c r="P800">
        <v>0</v>
      </c>
      <c r="Q800">
        <v>0</v>
      </c>
      <c r="R800" t="s">
        <v>32526</v>
      </c>
      <c r="S800" t="s">
        <v>32547</v>
      </c>
      <c r="T800" t="s">
        <v>33266</v>
      </c>
      <c r="U800" t="s">
        <v>34334</v>
      </c>
      <c r="W800" t="s">
        <v>29937</v>
      </c>
      <c r="X800" t="s">
        <v>32527</v>
      </c>
    </row>
    <row r="801" spans="1:24">
      <c r="A801">
        <f>HYPERLINK("https://www.philgeps.gov.ph/GEPSNONPILOT/Tender/SplashBidNoticeAbstractUI.aspx?menuIndex=3&amp;refID=7045035&amp;Result=3","7045035")</f>
        <v>0</v>
      </c>
      <c r="B801" t="s">
        <v>349</v>
      </c>
      <c r="C801" t="s">
        <v>3441</v>
      </c>
      <c r="D801" t="s">
        <v>12994</v>
      </c>
      <c r="E801" t="s">
        <v>13827</v>
      </c>
      <c r="F801" t="s">
        <v>22436</v>
      </c>
      <c r="G801" t="s">
        <v>22447</v>
      </c>
      <c r="H801" t="s">
        <v>22452</v>
      </c>
      <c r="I801" t="s">
        <v>22493</v>
      </c>
      <c r="J801" t="s">
        <v>23232</v>
      </c>
      <c r="K801" t="s">
        <v>29335</v>
      </c>
      <c r="M801" t="s">
        <v>29926</v>
      </c>
      <c r="N801" t="s">
        <v>32524</v>
      </c>
      <c r="O801" t="s">
        <v>32525</v>
      </c>
      <c r="P801">
        <v>0</v>
      </c>
      <c r="Q801">
        <v>1</v>
      </c>
      <c r="R801" t="s">
        <v>32526</v>
      </c>
      <c r="S801" t="s">
        <v>32547</v>
      </c>
      <c r="T801" t="s">
        <v>33159</v>
      </c>
      <c r="U801" t="s">
        <v>34335</v>
      </c>
      <c r="W801" t="s">
        <v>29926</v>
      </c>
      <c r="X801" t="s">
        <v>32527</v>
      </c>
    </row>
    <row r="802" spans="1:24">
      <c r="A802">
        <f>HYPERLINK("https://www.philgeps.gov.ph/GEPSNONPILOT/Tender/SplashBidNoticeAbstractUI.aspx?menuIndex=3&amp;refID=7045027&amp;Result=3","7045027")</f>
        <v>0</v>
      </c>
      <c r="B802" t="s">
        <v>280</v>
      </c>
      <c r="C802" t="s">
        <v>3442</v>
      </c>
      <c r="D802" t="s">
        <v>13055</v>
      </c>
      <c r="E802" t="s">
        <v>13828</v>
      </c>
      <c r="F802" t="s">
        <v>22436</v>
      </c>
      <c r="G802" t="s">
        <v>22443</v>
      </c>
      <c r="H802" t="s">
        <v>22452</v>
      </c>
      <c r="I802" t="s">
        <v>22467</v>
      </c>
      <c r="J802" t="s">
        <v>22607</v>
      </c>
      <c r="K802" t="s">
        <v>29336</v>
      </c>
      <c r="M802" t="s">
        <v>29854</v>
      </c>
      <c r="N802" t="s">
        <v>32524</v>
      </c>
      <c r="O802" t="s">
        <v>32525</v>
      </c>
      <c r="P802">
        <v>0</v>
      </c>
      <c r="Q802">
        <v>0</v>
      </c>
      <c r="R802" t="s">
        <v>32526</v>
      </c>
      <c r="S802" t="s">
        <v>32547</v>
      </c>
      <c r="T802" t="s">
        <v>33181</v>
      </c>
      <c r="U802" t="s">
        <v>34336</v>
      </c>
      <c r="V802" t="s">
        <v>42486</v>
      </c>
      <c r="W802" t="s">
        <v>29854</v>
      </c>
      <c r="X802" t="s">
        <v>32527</v>
      </c>
    </row>
    <row r="803" spans="1:24">
      <c r="A803">
        <f>HYPERLINK("https://www.philgeps.gov.ph/GEPSNONPILOT/Tender/SplashBidNoticeAbstractUI.aspx?menuIndex=3&amp;refID=7045042&amp;Result=3","7045042")</f>
        <v>0</v>
      </c>
      <c r="B803" t="s">
        <v>360</v>
      </c>
      <c r="C803" t="s">
        <v>3443</v>
      </c>
      <c r="D803" t="s">
        <v>12988</v>
      </c>
      <c r="E803" t="s">
        <v>13829</v>
      </c>
      <c r="F803" t="s">
        <v>22436</v>
      </c>
      <c r="G803" t="s">
        <v>22445</v>
      </c>
      <c r="H803" t="s">
        <v>22452</v>
      </c>
      <c r="I803" t="s">
        <v>12358</v>
      </c>
      <c r="J803" t="s">
        <v>23120</v>
      </c>
      <c r="K803" t="s">
        <v>29338</v>
      </c>
      <c r="M803" t="s">
        <v>29938</v>
      </c>
      <c r="N803" t="s">
        <v>32524</v>
      </c>
      <c r="O803" t="s">
        <v>32525</v>
      </c>
      <c r="P803">
        <v>0</v>
      </c>
      <c r="Q803">
        <v>2</v>
      </c>
      <c r="R803" t="s">
        <v>32526</v>
      </c>
      <c r="S803" t="s">
        <v>32547</v>
      </c>
      <c r="T803" t="s">
        <v>33183</v>
      </c>
      <c r="U803" t="s">
        <v>34337</v>
      </c>
      <c r="W803" t="s">
        <v>29938</v>
      </c>
      <c r="X803" t="s">
        <v>32527</v>
      </c>
    </row>
    <row r="804" spans="1:24">
      <c r="A804">
        <f>HYPERLINK("https://www.philgeps.gov.ph/GEPSNONPILOT/Tender/SplashBidNoticeAbstractUI.aspx?menuIndex=3&amp;refID=7045044&amp;Result=3","7045044")</f>
        <v>0</v>
      </c>
      <c r="B804" t="s">
        <v>354</v>
      </c>
      <c r="C804" t="s">
        <v>3444</v>
      </c>
      <c r="D804" t="s">
        <v>13022</v>
      </c>
      <c r="E804" t="s">
        <v>13830</v>
      </c>
      <c r="F804" t="s">
        <v>22436</v>
      </c>
      <c r="G804" t="s">
        <v>22448</v>
      </c>
      <c r="H804" t="s">
        <v>22452</v>
      </c>
      <c r="I804" t="s">
        <v>22460</v>
      </c>
      <c r="J804" t="s">
        <v>22878</v>
      </c>
      <c r="K804" t="s">
        <v>29331</v>
      </c>
      <c r="M804" t="s">
        <v>29931</v>
      </c>
      <c r="N804" t="s">
        <v>32524</v>
      </c>
      <c r="O804" t="s">
        <v>32525</v>
      </c>
      <c r="P804">
        <v>0</v>
      </c>
      <c r="Q804">
        <v>0</v>
      </c>
      <c r="R804" t="s">
        <v>32526</v>
      </c>
      <c r="S804" t="s">
        <v>32547</v>
      </c>
      <c r="T804" t="s">
        <v>33163</v>
      </c>
      <c r="U804" t="s">
        <v>34338</v>
      </c>
      <c r="W804" t="s">
        <v>29931</v>
      </c>
      <c r="X804" t="s">
        <v>32527</v>
      </c>
    </row>
    <row r="805" spans="1:24">
      <c r="A805">
        <f>HYPERLINK("https://www.philgeps.gov.ph/GEPSNONPILOT/Tender/SplashBidNoticeAbstractUI.aspx?menuIndex=3&amp;refID=7045041&amp;Result=3","7045041")</f>
        <v>0</v>
      </c>
      <c r="B805" t="s">
        <v>348</v>
      </c>
      <c r="C805" t="s">
        <v>3445</v>
      </c>
      <c r="D805" t="s">
        <v>13038</v>
      </c>
      <c r="E805" t="s">
        <v>13831</v>
      </c>
      <c r="F805" t="s">
        <v>22436</v>
      </c>
      <c r="G805" t="s">
        <v>22444</v>
      </c>
      <c r="H805" t="s">
        <v>22452</v>
      </c>
      <c r="I805" t="s">
        <v>22467</v>
      </c>
      <c r="J805" t="s">
        <v>23233</v>
      </c>
      <c r="K805" t="s">
        <v>29335</v>
      </c>
      <c r="L805" t="s">
        <v>348</v>
      </c>
      <c r="M805" t="s">
        <v>29924</v>
      </c>
      <c r="N805" t="s">
        <v>32524</v>
      </c>
      <c r="O805" t="s">
        <v>32525</v>
      </c>
      <c r="P805">
        <v>0</v>
      </c>
      <c r="Q805">
        <v>0</v>
      </c>
      <c r="R805" t="s">
        <v>32526</v>
      </c>
      <c r="S805" t="s">
        <v>32547</v>
      </c>
      <c r="T805" t="s">
        <v>33264</v>
      </c>
      <c r="U805" t="s">
        <v>34339</v>
      </c>
      <c r="W805" t="s">
        <v>29924</v>
      </c>
      <c r="X805" t="s">
        <v>32527</v>
      </c>
    </row>
    <row r="806" spans="1:24">
      <c r="A806">
        <f>HYPERLINK("https://www.philgeps.gov.ph/GEPSNONPILOT/Tender/SplashBidNoticeAbstractUI.aspx?menuIndex=3&amp;refID=7045047&amp;Result=3","7045047")</f>
        <v>0</v>
      </c>
      <c r="B806" t="s">
        <v>361</v>
      </c>
      <c r="C806" t="s">
        <v>3446</v>
      </c>
      <c r="D806" t="s">
        <v>13002</v>
      </c>
      <c r="E806" t="s">
        <v>13832</v>
      </c>
      <c r="F806" t="s">
        <v>22436</v>
      </c>
      <c r="G806" t="s">
        <v>22446</v>
      </c>
      <c r="H806" t="s">
        <v>22452</v>
      </c>
      <c r="I806" t="s">
        <v>2981</v>
      </c>
      <c r="J806" t="s">
        <v>23234</v>
      </c>
      <c r="K806" t="s">
        <v>29338</v>
      </c>
      <c r="M806" t="s">
        <v>29939</v>
      </c>
      <c r="N806" t="s">
        <v>32524</v>
      </c>
      <c r="O806" t="s">
        <v>32525</v>
      </c>
      <c r="P806">
        <v>0</v>
      </c>
      <c r="Q806">
        <v>0</v>
      </c>
      <c r="R806" t="s">
        <v>32526</v>
      </c>
      <c r="S806" t="s">
        <v>32547</v>
      </c>
      <c r="T806" t="s">
        <v>33229</v>
      </c>
      <c r="U806" t="s">
        <v>34340</v>
      </c>
      <c r="W806" t="s">
        <v>29939</v>
      </c>
      <c r="X806" t="s">
        <v>32527</v>
      </c>
    </row>
    <row r="807" spans="1:24">
      <c r="A807">
        <f>HYPERLINK("https://www.philgeps.gov.ph/GEPSNONPILOT/Tender/SplashBidNoticeAbstractUI.aspx?menuIndex=3&amp;refID=7045043&amp;Result=3","7045043")</f>
        <v>0</v>
      </c>
      <c r="B807" t="s">
        <v>362</v>
      </c>
      <c r="C807" t="s">
        <v>3447</v>
      </c>
      <c r="D807" t="s">
        <v>13000</v>
      </c>
      <c r="E807" t="s">
        <v>13743</v>
      </c>
      <c r="F807" t="s">
        <v>22436</v>
      </c>
      <c r="G807" t="s">
        <v>22444</v>
      </c>
      <c r="H807" t="s">
        <v>22452</v>
      </c>
      <c r="I807" t="s">
        <v>22499</v>
      </c>
      <c r="J807" t="s">
        <v>23235</v>
      </c>
      <c r="K807" t="s">
        <v>29356</v>
      </c>
      <c r="M807" t="s">
        <v>29940</v>
      </c>
      <c r="N807" t="s">
        <v>32524</v>
      </c>
      <c r="O807" t="s">
        <v>32525</v>
      </c>
      <c r="P807">
        <v>0</v>
      </c>
      <c r="Q807">
        <v>0</v>
      </c>
      <c r="R807" t="s">
        <v>32526</v>
      </c>
      <c r="S807" t="s">
        <v>32547</v>
      </c>
      <c r="T807" t="s">
        <v>33182</v>
      </c>
      <c r="U807" t="s">
        <v>34341</v>
      </c>
      <c r="W807" t="s">
        <v>43680</v>
      </c>
      <c r="X807" t="s">
        <v>32527</v>
      </c>
    </row>
    <row r="808" spans="1:24">
      <c r="A808">
        <f>HYPERLINK("https://www.philgeps.gov.ph/GEPSNONPILOT/Tender/SplashBidNoticeAbstractUI.aspx?menuIndex=3&amp;refID=7045039&amp;Result=3","7045039")</f>
        <v>0</v>
      </c>
      <c r="B808" t="s">
        <v>246</v>
      </c>
      <c r="C808" t="s">
        <v>3448</v>
      </c>
      <c r="D808" t="s">
        <v>13021</v>
      </c>
      <c r="E808" t="s">
        <v>13833</v>
      </c>
      <c r="F808" t="s">
        <v>22436</v>
      </c>
      <c r="G808" t="s">
        <v>22443</v>
      </c>
      <c r="H808" t="s">
        <v>22453</v>
      </c>
      <c r="I808" t="s">
        <v>3027</v>
      </c>
      <c r="J808" t="s">
        <v>22616</v>
      </c>
      <c r="K808" t="s">
        <v>29370</v>
      </c>
      <c r="M808" t="s">
        <v>29820</v>
      </c>
      <c r="N808" t="s">
        <v>32524</v>
      </c>
      <c r="O808" t="s">
        <v>32525</v>
      </c>
      <c r="P808">
        <v>0</v>
      </c>
      <c r="Q808">
        <v>1</v>
      </c>
      <c r="R808" t="s">
        <v>32526</v>
      </c>
      <c r="S808" t="s">
        <v>32547</v>
      </c>
      <c r="T808" t="s">
        <v>33252</v>
      </c>
      <c r="U808" t="s">
        <v>34342</v>
      </c>
      <c r="W808" t="s">
        <v>29820</v>
      </c>
      <c r="X808" t="s">
        <v>32527</v>
      </c>
    </row>
    <row r="809" spans="1:24">
      <c r="A809">
        <f>HYPERLINK("https://www.philgeps.gov.ph/GEPSNONPILOT/Tender/SplashBidNoticeAbstractUI.aspx?menuIndex=3&amp;refID=7045048&amp;Result=3","7045048")</f>
        <v>0</v>
      </c>
      <c r="B809" t="s">
        <v>363</v>
      </c>
      <c r="C809" t="s">
        <v>3449</v>
      </c>
      <c r="D809" t="s">
        <v>13029</v>
      </c>
      <c r="E809" t="s">
        <v>13834</v>
      </c>
      <c r="F809" t="s">
        <v>22436</v>
      </c>
      <c r="G809" t="s">
        <v>22443</v>
      </c>
      <c r="H809" t="s">
        <v>22452</v>
      </c>
      <c r="I809" t="s">
        <v>22463</v>
      </c>
      <c r="J809" t="s">
        <v>23236</v>
      </c>
      <c r="K809" t="s">
        <v>29341</v>
      </c>
      <c r="M809" t="s">
        <v>29941</v>
      </c>
      <c r="N809" t="s">
        <v>32524</v>
      </c>
      <c r="O809" t="s">
        <v>32525</v>
      </c>
      <c r="P809">
        <v>0</v>
      </c>
      <c r="Q809">
        <v>3</v>
      </c>
      <c r="R809" t="s">
        <v>32526</v>
      </c>
      <c r="S809" t="s">
        <v>32547</v>
      </c>
      <c r="T809" t="s">
        <v>33154</v>
      </c>
      <c r="U809" t="s">
        <v>34343</v>
      </c>
      <c r="W809" t="s">
        <v>43681</v>
      </c>
      <c r="X809" t="s">
        <v>32527</v>
      </c>
    </row>
    <row r="810" spans="1:24">
      <c r="A810">
        <f>HYPERLINK("https://www.philgeps.gov.ph/GEPSNONPILOT/Tender/SplashBidNoticeAbstractUI.aspx?menuIndex=3&amp;refID=7045038&amp;Result=3","7045038")</f>
        <v>0</v>
      </c>
      <c r="B810" t="s">
        <v>364</v>
      </c>
      <c r="C810" t="s">
        <v>3450</v>
      </c>
      <c r="D810" t="s">
        <v>13011</v>
      </c>
      <c r="E810" t="s">
        <v>13835</v>
      </c>
      <c r="F810" t="s">
        <v>22436</v>
      </c>
      <c r="G810" t="s">
        <v>22444</v>
      </c>
      <c r="H810" t="s">
        <v>22453</v>
      </c>
      <c r="I810" t="s">
        <v>22457</v>
      </c>
      <c r="J810" t="s">
        <v>23237</v>
      </c>
      <c r="K810" t="s">
        <v>29371</v>
      </c>
      <c r="M810" t="s">
        <v>29942</v>
      </c>
      <c r="N810" t="s">
        <v>32524</v>
      </c>
      <c r="O810" t="s">
        <v>32525</v>
      </c>
      <c r="P810">
        <v>0</v>
      </c>
      <c r="Q810">
        <v>0</v>
      </c>
      <c r="R810" t="s">
        <v>32526</v>
      </c>
      <c r="S810" t="s">
        <v>32547</v>
      </c>
      <c r="T810" t="s">
        <v>33166</v>
      </c>
      <c r="U810" t="s">
        <v>34344</v>
      </c>
      <c r="W810" t="s">
        <v>29942</v>
      </c>
      <c r="X810" t="s">
        <v>32527</v>
      </c>
    </row>
    <row r="811" spans="1:24">
      <c r="A811">
        <f>HYPERLINK("https://www.philgeps.gov.ph/GEPSNONPILOT/Tender/SplashBidNoticeAbstractUI.aspx?menuIndex=3&amp;refID=7045045&amp;Result=3","7045045")</f>
        <v>0</v>
      </c>
      <c r="B811" t="s">
        <v>124</v>
      </c>
      <c r="C811" t="s">
        <v>3451</v>
      </c>
      <c r="D811" t="s">
        <v>13031</v>
      </c>
      <c r="E811" t="s">
        <v>13836</v>
      </c>
      <c r="F811" t="s">
        <v>22436</v>
      </c>
      <c r="G811" t="s">
        <v>22443</v>
      </c>
      <c r="H811" t="s">
        <v>22452</v>
      </c>
      <c r="I811" t="s">
        <v>22508</v>
      </c>
      <c r="J811" t="s">
        <v>22785</v>
      </c>
      <c r="K811" t="s">
        <v>29338</v>
      </c>
      <c r="M811" t="s">
        <v>29696</v>
      </c>
      <c r="N811" t="s">
        <v>32524</v>
      </c>
      <c r="O811" t="s">
        <v>32525</v>
      </c>
      <c r="P811">
        <v>0</v>
      </c>
      <c r="Q811">
        <v>4</v>
      </c>
      <c r="R811" t="s">
        <v>32526</v>
      </c>
      <c r="S811" t="s">
        <v>32547</v>
      </c>
      <c r="T811" t="s">
        <v>33183</v>
      </c>
      <c r="U811" t="s">
        <v>34345</v>
      </c>
      <c r="W811" t="s">
        <v>29696</v>
      </c>
      <c r="X811" t="s">
        <v>32527</v>
      </c>
    </row>
    <row r="812" spans="1:24">
      <c r="A812">
        <f>HYPERLINK("https://www.philgeps.gov.ph/GEPSNONPILOT/Tender/SplashBidNoticeAbstractUI.aspx?menuIndex=3&amp;refID=7045040&amp;Result=3","7045040")</f>
        <v>0</v>
      </c>
      <c r="B812" t="s">
        <v>365</v>
      </c>
      <c r="C812" t="s">
        <v>3452</v>
      </c>
      <c r="D812" t="s">
        <v>12988</v>
      </c>
      <c r="E812" t="s">
        <v>13837</v>
      </c>
      <c r="F812" t="s">
        <v>22436</v>
      </c>
      <c r="G812" t="s">
        <v>22443</v>
      </c>
      <c r="H812" t="s">
        <v>22452</v>
      </c>
      <c r="I812" t="s">
        <v>22466</v>
      </c>
      <c r="J812" t="s">
        <v>22874</v>
      </c>
      <c r="K812" t="s">
        <v>29335</v>
      </c>
      <c r="M812" t="s">
        <v>29943</v>
      </c>
      <c r="N812" t="s">
        <v>32524</v>
      </c>
      <c r="O812" t="s">
        <v>32525</v>
      </c>
      <c r="P812">
        <v>0</v>
      </c>
      <c r="Q812">
        <v>4</v>
      </c>
      <c r="R812" t="s">
        <v>32526</v>
      </c>
      <c r="S812" t="s">
        <v>32547</v>
      </c>
      <c r="T812" t="s">
        <v>33169</v>
      </c>
      <c r="U812" t="s">
        <v>34346</v>
      </c>
      <c r="V812" t="s">
        <v>42499</v>
      </c>
      <c r="W812" t="s">
        <v>29943</v>
      </c>
      <c r="X812" t="s">
        <v>32527</v>
      </c>
    </row>
    <row r="813" spans="1:24">
      <c r="A813">
        <f>HYPERLINK("https://www.philgeps.gov.ph/GEPSNONPILOT/Tender/SplashBidNoticeAbstractUI.aspx?menuIndex=3&amp;refID=7045052&amp;Result=3","7045052")</f>
        <v>0</v>
      </c>
      <c r="B813" t="s">
        <v>358</v>
      </c>
      <c r="C813" t="s">
        <v>3453</v>
      </c>
      <c r="D813" t="s">
        <v>13034</v>
      </c>
      <c r="E813" t="s">
        <v>13838</v>
      </c>
      <c r="F813" t="s">
        <v>22436</v>
      </c>
      <c r="G813" t="s">
        <v>22443</v>
      </c>
      <c r="H813" t="s">
        <v>22452</v>
      </c>
      <c r="I813" t="s">
        <v>22517</v>
      </c>
      <c r="J813" t="s">
        <v>22798</v>
      </c>
      <c r="K813" t="s">
        <v>29335</v>
      </c>
      <c r="M813" t="s">
        <v>29935</v>
      </c>
      <c r="N813" t="s">
        <v>32524</v>
      </c>
      <c r="O813" t="s">
        <v>32525</v>
      </c>
      <c r="P813">
        <v>0</v>
      </c>
      <c r="Q813">
        <v>1</v>
      </c>
      <c r="R813" t="s">
        <v>32526</v>
      </c>
      <c r="S813" t="s">
        <v>32547</v>
      </c>
      <c r="T813" t="s">
        <v>33180</v>
      </c>
      <c r="U813" t="s">
        <v>34347</v>
      </c>
      <c r="V813" t="s">
        <v>42500</v>
      </c>
      <c r="W813" t="s">
        <v>29935</v>
      </c>
      <c r="X813" t="s">
        <v>32527</v>
      </c>
    </row>
    <row r="814" spans="1:24">
      <c r="A814">
        <f>HYPERLINK("https://www.philgeps.gov.ph/GEPSNONPILOT/Tender/SplashBidNoticeAbstractUI.aspx?menuIndex=3&amp;refID=7045053&amp;Result=3","7045053")</f>
        <v>0</v>
      </c>
      <c r="B814" t="s">
        <v>366</v>
      </c>
      <c r="C814" t="s">
        <v>3454</v>
      </c>
      <c r="D814" t="s">
        <v>13007</v>
      </c>
      <c r="E814" t="s">
        <v>13839</v>
      </c>
      <c r="F814" t="s">
        <v>22436</v>
      </c>
      <c r="G814" t="s">
        <v>22443</v>
      </c>
      <c r="H814" t="s">
        <v>22452</v>
      </c>
      <c r="I814" t="s">
        <v>22460</v>
      </c>
      <c r="J814" t="s">
        <v>23238</v>
      </c>
      <c r="K814" t="s">
        <v>29356</v>
      </c>
      <c r="M814" t="s">
        <v>29944</v>
      </c>
      <c r="N814" t="s">
        <v>32524</v>
      </c>
      <c r="O814" t="s">
        <v>32525</v>
      </c>
      <c r="P814">
        <v>0</v>
      </c>
      <c r="Q814">
        <v>0</v>
      </c>
      <c r="R814" t="s">
        <v>32526</v>
      </c>
      <c r="S814" t="s">
        <v>32547</v>
      </c>
      <c r="T814" t="s">
        <v>33154</v>
      </c>
      <c r="U814" t="s">
        <v>34348</v>
      </c>
      <c r="W814" t="s">
        <v>29944</v>
      </c>
      <c r="X814" t="s">
        <v>32527</v>
      </c>
    </row>
    <row r="815" spans="1:24">
      <c r="A815">
        <f>HYPERLINK("https://www.philgeps.gov.ph/GEPSNONPILOT/Tender/SplashBidNoticeAbstractUI.aspx?menuIndex=3&amp;refID=7045061&amp;Result=3","7045061")</f>
        <v>0</v>
      </c>
      <c r="B815" t="s">
        <v>367</v>
      </c>
      <c r="C815" t="s">
        <v>3455</v>
      </c>
      <c r="D815" t="s">
        <v>12988</v>
      </c>
      <c r="E815" t="s">
        <v>13840</v>
      </c>
      <c r="F815" t="s">
        <v>22436</v>
      </c>
      <c r="G815" t="s">
        <v>22443</v>
      </c>
      <c r="H815" t="s">
        <v>22452</v>
      </c>
      <c r="I815" t="s">
        <v>22469</v>
      </c>
      <c r="J815" t="s">
        <v>23239</v>
      </c>
      <c r="K815" t="s">
        <v>29336</v>
      </c>
      <c r="M815" t="s">
        <v>29945</v>
      </c>
      <c r="N815" t="s">
        <v>32524</v>
      </c>
      <c r="O815" t="s">
        <v>32525</v>
      </c>
      <c r="P815">
        <v>0</v>
      </c>
      <c r="Q815">
        <v>9</v>
      </c>
      <c r="R815" t="s">
        <v>32526</v>
      </c>
      <c r="S815" t="s">
        <v>32547</v>
      </c>
      <c r="T815" t="s">
        <v>33228</v>
      </c>
      <c r="U815" t="s">
        <v>34349</v>
      </c>
      <c r="V815" t="s">
        <v>42501</v>
      </c>
      <c r="W815" t="s">
        <v>29945</v>
      </c>
      <c r="X815" t="s">
        <v>32527</v>
      </c>
    </row>
    <row r="816" spans="1:24">
      <c r="A816">
        <f>HYPERLINK("https://www.philgeps.gov.ph/GEPSNONPILOT/Tender/SplashBidNoticeAbstractUI.aspx?menuIndex=3&amp;refID=7045058&amp;Result=3","7045058")</f>
        <v>0</v>
      </c>
      <c r="B816" t="s">
        <v>29</v>
      </c>
      <c r="C816" t="s">
        <v>3456</v>
      </c>
      <c r="D816" t="s">
        <v>12993</v>
      </c>
      <c r="E816" t="s">
        <v>13841</v>
      </c>
      <c r="F816" t="s">
        <v>22436</v>
      </c>
      <c r="G816" t="s">
        <v>22446</v>
      </c>
      <c r="H816" t="s">
        <v>22452</v>
      </c>
      <c r="I816" t="s">
        <v>22482</v>
      </c>
      <c r="J816" t="s">
        <v>22874</v>
      </c>
      <c r="K816" t="s">
        <v>29336</v>
      </c>
      <c r="M816" t="s">
        <v>29599</v>
      </c>
      <c r="N816" t="s">
        <v>32524</v>
      </c>
      <c r="O816" t="s">
        <v>32525</v>
      </c>
      <c r="P816">
        <v>0</v>
      </c>
      <c r="Q816">
        <v>4</v>
      </c>
      <c r="R816" t="s">
        <v>32526</v>
      </c>
      <c r="S816" t="s">
        <v>32547</v>
      </c>
      <c r="T816" t="s">
        <v>33167</v>
      </c>
      <c r="U816" t="s">
        <v>34350</v>
      </c>
      <c r="W816" t="s">
        <v>29599</v>
      </c>
      <c r="X816" t="s">
        <v>32527</v>
      </c>
    </row>
    <row r="817" spans="1:24">
      <c r="A817">
        <f>HYPERLINK("https://www.philgeps.gov.ph/GEPSNONPILOT/Tender/SplashBidNoticeAbstractUI.aspx?menuIndex=3&amp;refID=7045057&amp;Result=3","7045057")</f>
        <v>0</v>
      </c>
      <c r="B817" t="s">
        <v>146</v>
      </c>
      <c r="C817" t="s">
        <v>3457</v>
      </c>
      <c r="D817" t="s">
        <v>13042</v>
      </c>
      <c r="E817" t="s">
        <v>13842</v>
      </c>
      <c r="F817" t="s">
        <v>22436</v>
      </c>
      <c r="G817" t="s">
        <v>22444</v>
      </c>
      <c r="H817" t="s">
        <v>22452</v>
      </c>
      <c r="I817" t="s">
        <v>3529</v>
      </c>
      <c r="J817" t="s">
        <v>23240</v>
      </c>
      <c r="K817" t="s">
        <v>29336</v>
      </c>
      <c r="M817" t="s">
        <v>29937</v>
      </c>
      <c r="N817" t="s">
        <v>32524</v>
      </c>
      <c r="O817" t="s">
        <v>32525</v>
      </c>
      <c r="P817">
        <v>0</v>
      </c>
      <c r="Q817">
        <v>1</v>
      </c>
      <c r="R817" t="s">
        <v>32526</v>
      </c>
      <c r="S817" t="s">
        <v>32547</v>
      </c>
      <c r="T817" t="s">
        <v>33266</v>
      </c>
      <c r="U817" t="s">
        <v>34351</v>
      </c>
      <c r="W817" t="s">
        <v>29937</v>
      </c>
      <c r="X817" t="s">
        <v>32527</v>
      </c>
    </row>
    <row r="818" spans="1:24">
      <c r="A818">
        <f>HYPERLINK("https://www.philgeps.gov.ph/GEPSNONPILOT/Tender/SplashBidNoticeAbstractUI.aspx?menuIndex=3&amp;refID=7045051&amp;Result=3","7045051")</f>
        <v>0</v>
      </c>
      <c r="B818" t="s">
        <v>350</v>
      </c>
      <c r="C818" t="s">
        <v>3458</v>
      </c>
      <c r="D818" t="s">
        <v>13031</v>
      </c>
      <c r="E818" t="s">
        <v>13843</v>
      </c>
      <c r="F818" t="s">
        <v>22436</v>
      </c>
      <c r="G818" t="s">
        <v>22443</v>
      </c>
      <c r="H818" t="s">
        <v>22452</v>
      </c>
      <c r="I818" t="s">
        <v>22498</v>
      </c>
      <c r="J818" t="s">
        <v>22616</v>
      </c>
      <c r="K818" t="s">
        <v>29338</v>
      </c>
      <c r="M818" t="s">
        <v>29927</v>
      </c>
      <c r="N818" t="s">
        <v>32524</v>
      </c>
      <c r="O818" t="s">
        <v>32525</v>
      </c>
      <c r="P818">
        <v>0</v>
      </c>
      <c r="Q818">
        <v>5</v>
      </c>
      <c r="R818" t="s">
        <v>32526</v>
      </c>
      <c r="S818" t="s">
        <v>32547</v>
      </c>
      <c r="T818" t="s">
        <v>33169</v>
      </c>
      <c r="U818" t="s">
        <v>34315</v>
      </c>
      <c r="W818" t="s">
        <v>29927</v>
      </c>
      <c r="X818" t="s">
        <v>32527</v>
      </c>
    </row>
    <row r="819" spans="1:24">
      <c r="A819">
        <f>HYPERLINK("https://www.philgeps.gov.ph/GEPSNONPILOT/Tender/SplashBidNoticeAbstractUI.aspx?menuIndex=3&amp;refID=7045036&amp;Result=3","7045036")</f>
        <v>0</v>
      </c>
      <c r="B819" t="s">
        <v>368</v>
      </c>
      <c r="C819" t="s">
        <v>3459</v>
      </c>
      <c r="D819" t="s">
        <v>13056</v>
      </c>
      <c r="E819" t="s">
        <v>13844</v>
      </c>
      <c r="F819" t="s">
        <v>22436</v>
      </c>
      <c r="G819" t="s">
        <v>22443</v>
      </c>
      <c r="H819" t="s">
        <v>22452</v>
      </c>
      <c r="I819" t="s">
        <v>22469</v>
      </c>
      <c r="J819" t="s">
        <v>23241</v>
      </c>
      <c r="K819" t="s">
        <v>29338</v>
      </c>
      <c r="M819" t="s">
        <v>29946</v>
      </c>
      <c r="N819" t="s">
        <v>32524</v>
      </c>
      <c r="O819" t="s">
        <v>32525</v>
      </c>
      <c r="P819">
        <v>0</v>
      </c>
      <c r="Q819">
        <v>0</v>
      </c>
      <c r="R819" t="s">
        <v>32526</v>
      </c>
      <c r="S819" t="s">
        <v>32547</v>
      </c>
      <c r="T819" t="s">
        <v>33161</v>
      </c>
      <c r="U819" t="s">
        <v>34352</v>
      </c>
      <c r="W819" t="s">
        <v>29946</v>
      </c>
      <c r="X819" t="s">
        <v>32527</v>
      </c>
    </row>
    <row r="820" spans="1:24">
      <c r="A820">
        <f>HYPERLINK("https://www.philgeps.gov.ph/GEPSNONPILOT/Tender/SplashBidNoticeAbstractUI.aspx?menuIndex=3&amp;refID=7045055&amp;Result=3","7045055")</f>
        <v>0</v>
      </c>
      <c r="B820" t="s">
        <v>181</v>
      </c>
      <c r="C820" t="s">
        <v>3460</v>
      </c>
      <c r="D820" t="s">
        <v>13032</v>
      </c>
      <c r="E820" t="s">
        <v>13845</v>
      </c>
      <c r="F820" t="s">
        <v>22436</v>
      </c>
      <c r="G820" t="s">
        <v>22444</v>
      </c>
      <c r="H820" t="s">
        <v>22454</v>
      </c>
      <c r="I820" t="s">
        <v>7738</v>
      </c>
      <c r="J820" t="s">
        <v>23242</v>
      </c>
      <c r="K820" t="s">
        <v>29334</v>
      </c>
      <c r="M820" t="s">
        <v>29753</v>
      </c>
      <c r="N820" t="s">
        <v>32524</v>
      </c>
      <c r="O820" t="s">
        <v>32525</v>
      </c>
      <c r="P820">
        <v>0</v>
      </c>
      <c r="Q820">
        <v>0</v>
      </c>
      <c r="R820" t="s">
        <v>32526</v>
      </c>
      <c r="S820" t="s">
        <v>32547</v>
      </c>
      <c r="T820" t="s">
        <v>33267</v>
      </c>
      <c r="U820" t="s">
        <v>34353</v>
      </c>
      <c r="W820" t="s">
        <v>29753</v>
      </c>
      <c r="X820" t="s">
        <v>32527</v>
      </c>
    </row>
    <row r="821" spans="1:24">
      <c r="A821">
        <f>HYPERLINK("https://www.philgeps.gov.ph/GEPSNONPILOT/Tender/SplashBidNoticeAbstractUI.aspx?menuIndex=3&amp;refID=7045054&amp;Result=3","7045054")</f>
        <v>0</v>
      </c>
      <c r="B821" t="s">
        <v>277</v>
      </c>
      <c r="C821" t="s">
        <v>3461</v>
      </c>
      <c r="D821" t="s">
        <v>13007</v>
      </c>
      <c r="E821" t="s">
        <v>13846</v>
      </c>
      <c r="F821" t="s">
        <v>22436</v>
      </c>
      <c r="G821" t="s">
        <v>22443</v>
      </c>
      <c r="H821" t="s">
        <v>22452</v>
      </c>
      <c r="I821" t="s">
        <v>2981</v>
      </c>
      <c r="J821" t="s">
        <v>22616</v>
      </c>
      <c r="K821" t="s">
        <v>29333</v>
      </c>
      <c r="M821" t="s">
        <v>29851</v>
      </c>
      <c r="N821" t="s">
        <v>32524</v>
      </c>
      <c r="O821" t="s">
        <v>32525</v>
      </c>
      <c r="P821">
        <v>0</v>
      </c>
      <c r="Q821">
        <v>1</v>
      </c>
      <c r="R821" t="s">
        <v>32526</v>
      </c>
      <c r="S821" t="s">
        <v>32547</v>
      </c>
      <c r="T821" t="s">
        <v>33155</v>
      </c>
      <c r="U821" t="s">
        <v>34280</v>
      </c>
      <c r="W821" t="s">
        <v>29851</v>
      </c>
      <c r="X821" t="s">
        <v>32527</v>
      </c>
    </row>
    <row r="822" spans="1:24">
      <c r="A822">
        <f>HYPERLINK("https://www.philgeps.gov.ph/GEPSNONPILOT/Tender/SplashBidNoticeAbstractUI.aspx?menuIndex=3&amp;refID=7045064&amp;Result=3","7045064")</f>
        <v>0</v>
      </c>
      <c r="B822" t="s">
        <v>192</v>
      </c>
      <c r="C822" t="s">
        <v>3462</v>
      </c>
      <c r="D822" t="s">
        <v>13048</v>
      </c>
      <c r="E822" t="s">
        <v>13847</v>
      </c>
      <c r="F822" t="s">
        <v>22436</v>
      </c>
      <c r="G822" t="s">
        <v>22444</v>
      </c>
      <c r="H822" t="s">
        <v>22454</v>
      </c>
      <c r="I822" t="s">
        <v>7738</v>
      </c>
      <c r="J822" t="s">
        <v>23093</v>
      </c>
      <c r="K822" t="s">
        <v>29338</v>
      </c>
      <c r="M822" t="s">
        <v>29765</v>
      </c>
      <c r="N822" t="s">
        <v>32524</v>
      </c>
      <c r="O822" t="s">
        <v>32525</v>
      </c>
      <c r="P822">
        <v>0</v>
      </c>
      <c r="Q822">
        <v>0</v>
      </c>
      <c r="R822" t="s">
        <v>32526</v>
      </c>
      <c r="S822" t="s">
        <v>32547</v>
      </c>
      <c r="T822" t="s">
        <v>33170</v>
      </c>
      <c r="U822" t="s">
        <v>33981</v>
      </c>
      <c r="W822" t="s">
        <v>29765</v>
      </c>
      <c r="X822" t="s">
        <v>32527</v>
      </c>
    </row>
    <row r="823" spans="1:24">
      <c r="A823">
        <f>HYPERLINK("https://www.philgeps.gov.ph/GEPSNONPILOT/Tender/SplashBidNoticeAbstractUI.aspx?menuIndex=3&amp;refID=7045067&amp;Result=3","7045067")</f>
        <v>0</v>
      </c>
      <c r="B823" t="s">
        <v>369</v>
      </c>
      <c r="C823" t="s">
        <v>3463</v>
      </c>
      <c r="E823" t="s">
        <v>13848</v>
      </c>
      <c r="F823" t="s">
        <v>22436</v>
      </c>
      <c r="G823" t="s">
        <v>22444</v>
      </c>
      <c r="H823" t="s">
        <v>22454</v>
      </c>
      <c r="I823" t="s">
        <v>7738</v>
      </c>
      <c r="J823" t="s">
        <v>23243</v>
      </c>
      <c r="K823" t="s">
        <v>29383</v>
      </c>
      <c r="M823" t="s">
        <v>29947</v>
      </c>
      <c r="N823" t="s">
        <v>32524</v>
      </c>
      <c r="O823" t="s">
        <v>32525</v>
      </c>
      <c r="P823">
        <v>0</v>
      </c>
      <c r="Q823">
        <v>0</v>
      </c>
      <c r="R823" t="s">
        <v>32526</v>
      </c>
      <c r="S823" t="s">
        <v>32547</v>
      </c>
      <c r="T823" t="s">
        <v>33233</v>
      </c>
      <c r="U823" t="s">
        <v>34354</v>
      </c>
      <c r="W823" t="s">
        <v>29947</v>
      </c>
      <c r="X823" t="s">
        <v>32527</v>
      </c>
    </row>
    <row r="824" spans="1:24">
      <c r="A824">
        <f>HYPERLINK("https://www.philgeps.gov.ph/GEPSNONPILOT/Tender/SplashBidNoticeAbstractUI.aspx?menuIndex=3&amp;refID=7045062&amp;Result=3","7045062")</f>
        <v>0</v>
      </c>
      <c r="B824" t="s">
        <v>370</v>
      </c>
      <c r="C824" t="s">
        <v>3464</v>
      </c>
      <c r="D824" t="s">
        <v>13007</v>
      </c>
      <c r="E824" t="s">
        <v>13849</v>
      </c>
      <c r="F824" t="s">
        <v>22436</v>
      </c>
      <c r="G824" t="s">
        <v>22444</v>
      </c>
      <c r="H824" t="s">
        <v>22452</v>
      </c>
      <c r="I824" t="s">
        <v>5194</v>
      </c>
      <c r="J824" t="s">
        <v>23244</v>
      </c>
      <c r="K824" t="s">
        <v>29329</v>
      </c>
      <c r="M824" t="s">
        <v>29948</v>
      </c>
      <c r="N824" t="s">
        <v>32524</v>
      </c>
      <c r="O824" t="s">
        <v>32525</v>
      </c>
      <c r="P824">
        <v>0</v>
      </c>
      <c r="Q824">
        <v>4</v>
      </c>
      <c r="R824" t="s">
        <v>32526</v>
      </c>
      <c r="S824" t="s">
        <v>32547</v>
      </c>
      <c r="T824" t="s">
        <v>33168</v>
      </c>
      <c r="U824" t="s">
        <v>34355</v>
      </c>
      <c r="W824" t="s">
        <v>30422</v>
      </c>
      <c r="X824" t="s">
        <v>32527</v>
      </c>
    </row>
    <row r="825" spans="1:24">
      <c r="A825">
        <f>HYPERLINK("https://www.philgeps.gov.ph/GEPSNONPILOT/Tender/SplashBidNoticeAbstractUI.aspx?menuIndex=3&amp;refID=7045084&amp;Result=3","7045084")</f>
        <v>0</v>
      </c>
      <c r="B825" t="s">
        <v>348</v>
      </c>
      <c r="C825" t="s">
        <v>3465</v>
      </c>
      <c r="D825" t="s">
        <v>13038</v>
      </c>
      <c r="E825" t="s">
        <v>13850</v>
      </c>
      <c r="F825" t="s">
        <v>22436</v>
      </c>
      <c r="G825" t="s">
        <v>22444</v>
      </c>
      <c r="H825" t="s">
        <v>22452</v>
      </c>
      <c r="I825" t="s">
        <v>22478</v>
      </c>
      <c r="J825" t="s">
        <v>23245</v>
      </c>
      <c r="K825" t="s">
        <v>29335</v>
      </c>
      <c r="L825" t="s">
        <v>348</v>
      </c>
      <c r="M825" t="s">
        <v>29924</v>
      </c>
      <c r="N825" t="s">
        <v>32524</v>
      </c>
      <c r="O825" t="s">
        <v>32525</v>
      </c>
      <c r="P825">
        <v>0</v>
      </c>
      <c r="Q825">
        <v>3</v>
      </c>
      <c r="R825" t="s">
        <v>32526</v>
      </c>
      <c r="S825" t="s">
        <v>32547</v>
      </c>
      <c r="T825" t="s">
        <v>33264</v>
      </c>
      <c r="U825" t="s">
        <v>34356</v>
      </c>
      <c r="W825" t="s">
        <v>29924</v>
      </c>
      <c r="X825" t="s">
        <v>32527</v>
      </c>
    </row>
    <row r="826" spans="1:24">
      <c r="A826">
        <f>HYPERLINK("https://www.philgeps.gov.ph/GEPSNONPILOT/Tender/SplashBidNoticeAbstractUI.aspx?menuIndex=3&amp;refID=7045066&amp;Result=3","7045066")</f>
        <v>0</v>
      </c>
      <c r="B826" t="s">
        <v>311</v>
      </c>
      <c r="C826" t="s">
        <v>3466</v>
      </c>
      <c r="D826" t="s">
        <v>13035</v>
      </c>
      <c r="E826" t="s">
        <v>13851</v>
      </c>
      <c r="F826" t="s">
        <v>22436</v>
      </c>
      <c r="G826" t="s">
        <v>22447</v>
      </c>
      <c r="H826" t="s">
        <v>22452</v>
      </c>
      <c r="I826" t="s">
        <v>22471</v>
      </c>
      <c r="J826" t="s">
        <v>23246</v>
      </c>
      <c r="K826" t="s">
        <v>29338</v>
      </c>
      <c r="M826" t="s">
        <v>29886</v>
      </c>
      <c r="N826" t="s">
        <v>32524</v>
      </c>
      <c r="O826" t="s">
        <v>32525</v>
      </c>
      <c r="P826">
        <v>0</v>
      </c>
      <c r="Q826">
        <v>1</v>
      </c>
      <c r="R826" t="s">
        <v>32526</v>
      </c>
      <c r="S826" t="s">
        <v>32547</v>
      </c>
      <c r="T826" t="s">
        <v>33180</v>
      </c>
      <c r="U826" t="s">
        <v>34357</v>
      </c>
      <c r="W826" t="s">
        <v>29886</v>
      </c>
      <c r="X826" t="s">
        <v>32527</v>
      </c>
    </row>
    <row r="827" spans="1:24">
      <c r="A827">
        <f>HYPERLINK("https://www.philgeps.gov.ph/GEPSNONPILOT/Tender/SplashBidNoticeAbstractUI.aspx?menuIndex=3&amp;refID=7045080&amp;Result=3","7045080")</f>
        <v>0</v>
      </c>
      <c r="B827" t="s">
        <v>331</v>
      </c>
      <c r="C827" t="s">
        <v>3467</v>
      </c>
      <c r="D827" t="s">
        <v>13058</v>
      </c>
      <c r="E827" t="s">
        <v>13852</v>
      </c>
      <c r="F827" t="s">
        <v>22436</v>
      </c>
      <c r="G827" t="s">
        <v>22445</v>
      </c>
      <c r="H827" t="s">
        <v>22452</v>
      </c>
      <c r="I827" t="s">
        <v>12358</v>
      </c>
      <c r="J827" t="s">
        <v>23247</v>
      </c>
      <c r="K827" t="s">
        <v>29335</v>
      </c>
      <c r="M827" t="s">
        <v>29907</v>
      </c>
      <c r="N827" t="s">
        <v>32524</v>
      </c>
      <c r="O827" t="s">
        <v>32525</v>
      </c>
      <c r="P827">
        <v>0</v>
      </c>
      <c r="Q827">
        <v>0</v>
      </c>
      <c r="R827" t="s">
        <v>32526</v>
      </c>
      <c r="S827" t="s">
        <v>32547</v>
      </c>
      <c r="T827" t="s">
        <v>33169</v>
      </c>
      <c r="U827" t="s">
        <v>34358</v>
      </c>
      <c r="W827" t="s">
        <v>29907</v>
      </c>
      <c r="X827" t="s">
        <v>32527</v>
      </c>
    </row>
    <row r="828" spans="1:24">
      <c r="A828">
        <f>HYPERLINK("https://www.philgeps.gov.ph/GEPSNONPILOT/Tender/SplashBidNoticeAbstractUI.aspx?menuIndex=3&amp;refID=7045077&amp;Result=3","7045077")</f>
        <v>0</v>
      </c>
      <c r="B828" t="s">
        <v>368</v>
      </c>
      <c r="C828" t="s">
        <v>3468</v>
      </c>
      <c r="D828" t="s">
        <v>13056</v>
      </c>
      <c r="E828" t="s">
        <v>13853</v>
      </c>
      <c r="F828" t="s">
        <v>22436</v>
      </c>
      <c r="G828" t="s">
        <v>22443</v>
      </c>
      <c r="H828" t="s">
        <v>22452</v>
      </c>
      <c r="I828" t="s">
        <v>5194</v>
      </c>
      <c r="J828" t="s">
        <v>23248</v>
      </c>
      <c r="K828" t="s">
        <v>29338</v>
      </c>
      <c r="M828" t="s">
        <v>29946</v>
      </c>
      <c r="N828" t="s">
        <v>32524</v>
      </c>
      <c r="O828" t="s">
        <v>32525</v>
      </c>
      <c r="P828">
        <v>0</v>
      </c>
      <c r="Q828">
        <v>0</v>
      </c>
      <c r="R828" t="s">
        <v>32526</v>
      </c>
      <c r="S828" t="s">
        <v>32547</v>
      </c>
      <c r="T828" t="s">
        <v>33161</v>
      </c>
      <c r="U828" t="s">
        <v>34359</v>
      </c>
      <c r="W828" t="s">
        <v>29946</v>
      </c>
      <c r="X828" t="s">
        <v>32527</v>
      </c>
    </row>
    <row r="829" spans="1:24">
      <c r="A829">
        <f>HYPERLINK("https://www.philgeps.gov.ph/GEPSNONPILOT/Tender/SplashBidNoticeAbstractUI.aspx?menuIndex=3&amp;refID=7045081&amp;Result=3","7045081")</f>
        <v>0</v>
      </c>
      <c r="B829" t="s">
        <v>29</v>
      </c>
      <c r="C829" t="s">
        <v>3469</v>
      </c>
      <c r="D829" t="s">
        <v>12993</v>
      </c>
      <c r="E829" t="s">
        <v>13854</v>
      </c>
      <c r="F829" t="s">
        <v>22436</v>
      </c>
      <c r="G829" t="s">
        <v>22446</v>
      </c>
      <c r="H829" t="s">
        <v>22452</v>
      </c>
      <c r="I829" t="s">
        <v>22469</v>
      </c>
      <c r="J829" t="s">
        <v>23249</v>
      </c>
      <c r="K829" t="s">
        <v>29336</v>
      </c>
      <c r="M829" t="s">
        <v>29599</v>
      </c>
      <c r="N829" t="s">
        <v>32524</v>
      </c>
      <c r="O829" t="s">
        <v>32525</v>
      </c>
      <c r="P829">
        <v>0</v>
      </c>
      <c r="Q829">
        <v>0</v>
      </c>
      <c r="R829" t="s">
        <v>32526</v>
      </c>
      <c r="S829" t="s">
        <v>32547</v>
      </c>
      <c r="T829" t="s">
        <v>33167</v>
      </c>
      <c r="U829" t="s">
        <v>34360</v>
      </c>
      <c r="W829" t="s">
        <v>29599</v>
      </c>
      <c r="X829" t="s">
        <v>32527</v>
      </c>
    </row>
    <row r="830" spans="1:24">
      <c r="A830">
        <f>HYPERLINK("https://www.philgeps.gov.ph/GEPSNONPILOT/Tender/SplashBidNoticeAbstractUI.aspx?menuIndex=3&amp;refID=7045068&amp;Result=3","7045068")</f>
        <v>0</v>
      </c>
      <c r="B830" t="s">
        <v>328</v>
      </c>
      <c r="C830" t="s">
        <v>3470</v>
      </c>
      <c r="D830" t="s">
        <v>13022</v>
      </c>
      <c r="E830" t="s">
        <v>13855</v>
      </c>
      <c r="F830" t="s">
        <v>22436</v>
      </c>
      <c r="G830" t="s">
        <v>22443</v>
      </c>
      <c r="H830" t="s">
        <v>22452</v>
      </c>
      <c r="I830" t="s">
        <v>3122</v>
      </c>
      <c r="J830" t="s">
        <v>22640</v>
      </c>
      <c r="K830" t="s">
        <v>29335</v>
      </c>
      <c r="M830" t="s">
        <v>29904</v>
      </c>
      <c r="N830" t="s">
        <v>32524</v>
      </c>
      <c r="O830" t="s">
        <v>32525</v>
      </c>
      <c r="P830">
        <v>0</v>
      </c>
      <c r="Q830">
        <v>0</v>
      </c>
      <c r="R830" t="s">
        <v>32526</v>
      </c>
      <c r="S830" t="s">
        <v>32547</v>
      </c>
      <c r="T830" t="s">
        <v>33203</v>
      </c>
      <c r="U830" t="s">
        <v>34361</v>
      </c>
      <c r="W830" t="s">
        <v>29904</v>
      </c>
      <c r="X830" t="s">
        <v>32527</v>
      </c>
    </row>
    <row r="831" spans="1:24">
      <c r="A831">
        <f>HYPERLINK("https://www.philgeps.gov.ph/GEPSNONPILOT/Tender/SplashBidNoticeAbstractUI.aspx?menuIndex=3&amp;refID=7045075&amp;Result=3","7045075")</f>
        <v>0</v>
      </c>
      <c r="B831" t="s">
        <v>124</v>
      </c>
      <c r="C831" t="s">
        <v>3471</v>
      </c>
      <c r="D831" t="s">
        <v>13031</v>
      </c>
      <c r="E831" t="s">
        <v>3471</v>
      </c>
      <c r="F831" t="s">
        <v>22436</v>
      </c>
      <c r="G831" t="s">
        <v>22443</v>
      </c>
      <c r="H831" t="s">
        <v>22452</v>
      </c>
      <c r="I831" t="s">
        <v>12358</v>
      </c>
      <c r="J831" t="s">
        <v>23250</v>
      </c>
      <c r="K831" t="s">
        <v>29338</v>
      </c>
      <c r="M831" t="s">
        <v>29696</v>
      </c>
      <c r="N831" t="s">
        <v>32524</v>
      </c>
      <c r="O831" t="s">
        <v>32525</v>
      </c>
      <c r="P831">
        <v>0</v>
      </c>
      <c r="Q831">
        <v>1</v>
      </c>
      <c r="R831" t="s">
        <v>32526</v>
      </c>
      <c r="S831" t="s">
        <v>32547</v>
      </c>
      <c r="T831" t="s">
        <v>33183</v>
      </c>
      <c r="U831" t="s">
        <v>34362</v>
      </c>
      <c r="W831" t="s">
        <v>29696</v>
      </c>
      <c r="X831" t="s">
        <v>32527</v>
      </c>
    </row>
    <row r="832" spans="1:24">
      <c r="A832">
        <f>HYPERLINK("https://www.philgeps.gov.ph/GEPSNONPILOT/Tender/SplashBidNoticeAbstractUI.aspx?menuIndex=3&amp;refID=7045083&amp;Result=3","7045083")</f>
        <v>0</v>
      </c>
      <c r="B832" t="s">
        <v>371</v>
      </c>
      <c r="C832" t="s">
        <v>3472</v>
      </c>
      <c r="D832" t="s">
        <v>13035</v>
      </c>
      <c r="E832" t="s">
        <v>13856</v>
      </c>
      <c r="F832" t="s">
        <v>22436</v>
      </c>
      <c r="G832" t="s">
        <v>22444</v>
      </c>
      <c r="H832" t="s">
        <v>22452</v>
      </c>
      <c r="I832" t="s">
        <v>22460</v>
      </c>
      <c r="J832" t="s">
        <v>23251</v>
      </c>
      <c r="K832" t="s">
        <v>29331</v>
      </c>
      <c r="M832" t="s">
        <v>29949</v>
      </c>
      <c r="N832" t="s">
        <v>32524</v>
      </c>
      <c r="O832" t="s">
        <v>32525</v>
      </c>
      <c r="P832">
        <v>0</v>
      </c>
      <c r="Q832">
        <v>1</v>
      </c>
      <c r="R832" t="s">
        <v>32526</v>
      </c>
      <c r="S832" t="s">
        <v>32547</v>
      </c>
      <c r="T832" t="s">
        <v>33242</v>
      </c>
      <c r="U832" t="s">
        <v>34363</v>
      </c>
      <c r="W832" t="s">
        <v>29949</v>
      </c>
      <c r="X832" t="s">
        <v>32527</v>
      </c>
    </row>
    <row r="833" spans="1:24">
      <c r="A833">
        <f>HYPERLINK("https://www.philgeps.gov.ph/GEPSNONPILOT/Tender/SplashBidNoticeAbstractUI.aspx?menuIndex=3&amp;refID=7045073&amp;Result=3","7045073")</f>
        <v>0</v>
      </c>
      <c r="B833" t="s">
        <v>372</v>
      </c>
      <c r="C833" t="s">
        <v>3473</v>
      </c>
      <c r="D833" t="s">
        <v>13018</v>
      </c>
      <c r="E833" t="s">
        <v>13857</v>
      </c>
      <c r="F833" t="s">
        <v>22436</v>
      </c>
      <c r="G833" t="s">
        <v>22443</v>
      </c>
      <c r="H833" t="s">
        <v>22452</v>
      </c>
      <c r="I833" t="s">
        <v>22502</v>
      </c>
      <c r="J833" t="s">
        <v>23120</v>
      </c>
      <c r="K833" t="s">
        <v>29341</v>
      </c>
      <c r="M833" t="s">
        <v>29950</v>
      </c>
      <c r="N833" t="s">
        <v>32524</v>
      </c>
      <c r="O833" t="s">
        <v>32525</v>
      </c>
      <c r="P833">
        <v>0</v>
      </c>
      <c r="Q833">
        <v>4</v>
      </c>
      <c r="R833" t="s">
        <v>32526</v>
      </c>
      <c r="S833" t="s">
        <v>32547</v>
      </c>
      <c r="T833" t="s">
        <v>33161</v>
      </c>
      <c r="U833" t="s">
        <v>33876</v>
      </c>
      <c r="W833" t="s">
        <v>29950</v>
      </c>
      <c r="X833" t="s">
        <v>32527</v>
      </c>
    </row>
    <row r="834" spans="1:24">
      <c r="A834">
        <f>HYPERLINK("https://www.philgeps.gov.ph/GEPSNONPILOT/Tender/SplashBidNoticeAbstractUI.aspx?menuIndex=3&amp;refID=7045082&amp;Result=3","7045082")</f>
        <v>0</v>
      </c>
      <c r="B834" t="s">
        <v>282</v>
      </c>
      <c r="C834" t="s">
        <v>3474</v>
      </c>
      <c r="D834" t="s">
        <v>13002</v>
      </c>
      <c r="E834" t="s">
        <v>13858</v>
      </c>
      <c r="F834" t="s">
        <v>22436</v>
      </c>
      <c r="G834" t="s">
        <v>22443</v>
      </c>
      <c r="H834" t="s">
        <v>22453</v>
      </c>
      <c r="I834" t="s">
        <v>22486</v>
      </c>
      <c r="J834" t="s">
        <v>22667</v>
      </c>
      <c r="K834" t="s">
        <v>29361</v>
      </c>
      <c r="M834" t="s">
        <v>29856</v>
      </c>
      <c r="N834" t="s">
        <v>32524</v>
      </c>
      <c r="O834" t="s">
        <v>32525</v>
      </c>
      <c r="P834">
        <v>0</v>
      </c>
      <c r="Q834">
        <v>0</v>
      </c>
      <c r="R834" t="s">
        <v>32526</v>
      </c>
      <c r="S834" t="s">
        <v>32547</v>
      </c>
      <c r="T834" t="s">
        <v>33230</v>
      </c>
      <c r="U834" t="s">
        <v>34364</v>
      </c>
      <c r="V834" t="s">
        <v>42488</v>
      </c>
      <c r="W834" t="s">
        <v>29856</v>
      </c>
      <c r="X834" t="s">
        <v>32527</v>
      </c>
    </row>
    <row r="835" spans="1:24">
      <c r="A835">
        <f>HYPERLINK("https://www.philgeps.gov.ph/GEPSNONPILOT/Tender/SplashBidNoticeAbstractUI.aspx?menuIndex=3&amp;refID=7045076&amp;Result=3","7045076")</f>
        <v>0</v>
      </c>
      <c r="B835" t="s">
        <v>373</v>
      </c>
      <c r="C835" t="s">
        <v>3475</v>
      </c>
      <c r="D835" t="s">
        <v>13045</v>
      </c>
      <c r="E835" t="s">
        <v>13859</v>
      </c>
      <c r="F835" t="s">
        <v>22436</v>
      </c>
      <c r="G835" t="s">
        <v>22443</v>
      </c>
      <c r="H835" t="s">
        <v>22452</v>
      </c>
      <c r="I835" t="s">
        <v>22467</v>
      </c>
      <c r="J835" t="s">
        <v>23235</v>
      </c>
      <c r="K835" t="s">
        <v>29338</v>
      </c>
      <c r="M835" t="s">
        <v>29951</v>
      </c>
      <c r="N835" t="s">
        <v>32524</v>
      </c>
      <c r="O835" t="s">
        <v>32525</v>
      </c>
      <c r="P835">
        <v>0</v>
      </c>
      <c r="Q835">
        <v>0</v>
      </c>
      <c r="R835" t="s">
        <v>32526</v>
      </c>
      <c r="S835" t="s">
        <v>32547</v>
      </c>
      <c r="T835" t="s">
        <v>33172</v>
      </c>
      <c r="U835" t="s">
        <v>34365</v>
      </c>
      <c r="W835" t="s">
        <v>29951</v>
      </c>
      <c r="X835" t="s">
        <v>32527</v>
      </c>
    </row>
    <row r="836" spans="1:24">
      <c r="A836">
        <f>HYPERLINK("https://www.philgeps.gov.ph/GEPSNONPILOT/Tender/SplashBidNoticeAbstractUI.aspx?menuIndex=3&amp;refID=7045069&amp;Result=3","7045069")</f>
        <v>0</v>
      </c>
      <c r="B836" t="s">
        <v>374</v>
      </c>
      <c r="C836" t="s">
        <v>3476</v>
      </c>
      <c r="D836" t="s">
        <v>13041</v>
      </c>
      <c r="E836" t="s">
        <v>13860</v>
      </c>
      <c r="F836" t="s">
        <v>22436</v>
      </c>
      <c r="G836" t="s">
        <v>22444</v>
      </c>
      <c r="H836" t="s">
        <v>22454</v>
      </c>
      <c r="I836" t="s">
        <v>7738</v>
      </c>
      <c r="J836" t="s">
        <v>22911</v>
      </c>
      <c r="K836" t="s">
        <v>29362</v>
      </c>
      <c r="M836" t="s">
        <v>29952</v>
      </c>
      <c r="N836" t="s">
        <v>32524</v>
      </c>
      <c r="O836" t="s">
        <v>32525</v>
      </c>
      <c r="P836">
        <v>0</v>
      </c>
      <c r="Q836">
        <v>0</v>
      </c>
      <c r="R836" t="s">
        <v>32526</v>
      </c>
      <c r="S836" t="s">
        <v>32547</v>
      </c>
      <c r="T836" t="s">
        <v>33188</v>
      </c>
      <c r="U836" t="s">
        <v>34366</v>
      </c>
      <c r="V836" t="s">
        <v>42502</v>
      </c>
      <c r="W836" t="s">
        <v>29952</v>
      </c>
      <c r="X836" t="s">
        <v>32527</v>
      </c>
    </row>
    <row r="837" spans="1:24">
      <c r="A837">
        <f>HYPERLINK("https://www.philgeps.gov.ph/GEPSNONPILOT/Tender/SplashBidNoticeAbstractUI.aspx?menuIndex=3&amp;refID=7045087&amp;Result=3","7045087")</f>
        <v>0</v>
      </c>
      <c r="B837" t="s">
        <v>375</v>
      </c>
      <c r="C837" t="s">
        <v>3477</v>
      </c>
      <c r="D837" t="s">
        <v>13020</v>
      </c>
      <c r="E837" t="s">
        <v>13861</v>
      </c>
      <c r="F837" t="s">
        <v>22436</v>
      </c>
      <c r="G837" t="s">
        <v>22443</v>
      </c>
      <c r="H837" t="s">
        <v>22452</v>
      </c>
      <c r="I837" t="s">
        <v>22482</v>
      </c>
      <c r="J837" t="s">
        <v>22874</v>
      </c>
      <c r="K837" t="s">
        <v>29336</v>
      </c>
      <c r="M837" t="s">
        <v>29953</v>
      </c>
      <c r="N837" t="s">
        <v>32524</v>
      </c>
      <c r="O837" t="s">
        <v>32525</v>
      </c>
      <c r="P837">
        <v>0</v>
      </c>
      <c r="Q837">
        <v>3</v>
      </c>
      <c r="R837" t="s">
        <v>32526</v>
      </c>
      <c r="S837" t="s">
        <v>32547</v>
      </c>
      <c r="T837" t="s">
        <v>33168</v>
      </c>
      <c r="U837" t="s">
        <v>34367</v>
      </c>
      <c r="V837" t="s">
        <v>42503</v>
      </c>
      <c r="W837" t="s">
        <v>29953</v>
      </c>
      <c r="X837" t="s">
        <v>32527</v>
      </c>
    </row>
    <row r="838" spans="1:24">
      <c r="A838">
        <f>HYPERLINK("https://www.philgeps.gov.ph/GEPSNONPILOT/Tender/SplashBidNoticeAbstractUI.aspx?menuIndex=3&amp;refID=7045086&amp;Result=3","7045086")</f>
        <v>0</v>
      </c>
      <c r="B838" t="s">
        <v>376</v>
      </c>
      <c r="C838" t="s">
        <v>3478</v>
      </c>
      <c r="D838" t="s">
        <v>12999</v>
      </c>
      <c r="E838" t="s">
        <v>13487</v>
      </c>
      <c r="F838" t="s">
        <v>22436</v>
      </c>
      <c r="G838" t="s">
        <v>22446</v>
      </c>
      <c r="H838" t="s">
        <v>22452</v>
      </c>
      <c r="I838" t="s">
        <v>22482</v>
      </c>
      <c r="J838" t="s">
        <v>23191</v>
      </c>
      <c r="K838" t="s">
        <v>29336</v>
      </c>
      <c r="M838" t="s">
        <v>29954</v>
      </c>
      <c r="N838" t="s">
        <v>32524</v>
      </c>
      <c r="O838" t="s">
        <v>32525</v>
      </c>
      <c r="P838">
        <v>0</v>
      </c>
      <c r="Q838">
        <v>1</v>
      </c>
      <c r="R838" t="s">
        <v>32526</v>
      </c>
      <c r="S838" t="s">
        <v>32547</v>
      </c>
      <c r="T838" t="s">
        <v>33238</v>
      </c>
      <c r="U838" t="s">
        <v>34368</v>
      </c>
      <c r="W838" t="s">
        <v>29954</v>
      </c>
      <c r="X838" t="s">
        <v>32527</v>
      </c>
    </row>
    <row r="839" spans="1:24">
      <c r="A839">
        <f>HYPERLINK("https://www.philgeps.gov.ph/GEPSNONPILOT/Tender/SplashBidNoticeAbstractUI.aspx?menuIndex=3&amp;refID=7045078&amp;Result=3","7045078")</f>
        <v>0</v>
      </c>
      <c r="B839" t="s">
        <v>364</v>
      </c>
      <c r="C839" t="s">
        <v>3479</v>
      </c>
      <c r="D839" t="s">
        <v>13011</v>
      </c>
      <c r="E839" t="s">
        <v>13862</v>
      </c>
      <c r="F839" t="s">
        <v>22436</v>
      </c>
      <c r="G839" t="s">
        <v>22444</v>
      </c>
      <c r="H839" t="s">
        <v>22453</v>
      </c>
      <c r="I839" t="s">
        <v>4170</v>
      </c>
      <c r="J839" t="s">
        <v>23252</v>
      </c>
      <c r="K839" t="s">
        <v>29371</v>
      </c>
      <c r="M839" t="s">
        <v>29942</v>
      </c>
      <c r="N839" t="s">
        <v>32524</v>
      </c>
      <c r="O839" t="s">
        <v>32525</v>
      </c>
      <c r="P839">
        <v>0</v>
      </c>
      <c r="Q839">
        <v>2</v>
      </c>
      <c r="R839" t="s">
        <v>32526</v>
      </c>
      <c r="S839" t="s">
        <v>32547</v>
      </c>
      <c r="T839" t="s">
        <v>33166</v>
      </c>
      <c r="U839" t="s">
        <v>34369</v>
      </c>
      <c r="W839" t="s">
        <v>29942</v>
      </c>
      <c r="X839" t="s">
        <v>32527</v>
      </c>
    </row>
    <row r="840" spans="1:24">
      <c r="A840">
        <f>HYPERLINK("https://www.philgeps.gov.ph/GEPSNONPILOT/Tender/SplashBidNoticeAbstractUI.aspx?menuIndex=3&amp;refID=7045072&amp;Result=3","7045072")</f>
        <v>0</v>
      </c>
      <c r="B840" t="s">
        <v>377</v>
      </c>
      <c r="C840" t="s">
        <v>2981</v>
      </c>
      <c r="D840" t="s">
        <v>13041</v>
      </c>
      <c r="E840" t="s">
        <v>13863</v>
      </c>
      <c r="F840" t="s">
        <v>22436</v>
      </c>
      <c r="G840" t="s">
        <v>22443</v>
      </c>
      <c r="H840" t="s">
        <v>22452</v>
      </c>
      <c r="I840" t="s">
        <v>2981</v>
      </c>
      <c r="J840" t="s">
        <v>23253</v>
      </c>
      <c r="K840" t="s">
        <v>29336</v>
      </c>
      <c r="M840" t="s">
        <v>29955</v>
      </c>
      <c r="N840" t="s">
        <v>32524</v>
      </c>
      <c r="O840" t="s">
        <v>32525</v>
      </c>
      <c r="P840">
        <v>0</v>
      </c>
      <c r="Q840">
        <v>0</v>
      </c>
      <c r="R840" t="s">
        <v>32526</v>
      </c>
      <c r="S840" t="s">
        <v>32547</v>
      </c>
      <c r="T840" t="s">
        <v>33167</v>
      </c>
      <c r="U840" t="s">
        <v>34370</v>
      </c>
      <c r="W840" t="s">
        <v>29955</v>
      </c>
      <c r="X840" t="s">
        <v>32527</v>
      </c>
    </row>
    <row r="841" spans="1:24">
      <c r="A841">
        <f>HYPERLINK("https://www.philgeps.gov.ph/GEPSNONPILOT/Tender/SplashBidNoticeAbstractUI.aspx?menuIndex=3&amp;refID=7045085&amp;Result=3","7045085")</f>
        <v>0</v>
      </c>
      <c r="B841" t="s">
        <v>146</v>
      </c>
      <c r="C841" t="s">
        <v>3480</v>
      </c>
      <c r="D841" t="s">
        <v>13042</v>
      </c>
      <c r="E841" t="s">
        <v>13864</v>
      </c>
      <c r="F841" t="s">
        <v>22436</v>
      </c>
      <c r="G841" t="s">
        <v>22444</v>
      </c>
      <c r="H841" t="s">
        <v>22452</v>
      </c>
      <c r="I841" t="s">
        <v>22482</v>
      </c>
      <c r="J841" t="s">
        <v>23254</v>
      </c>
      <c r="K841" t="s">
        <v>29336</v>
      </c>
      <c r="M841" t="s">
        <v>29937</v>
      </c>
      <c r="N841" t="s">
        <v>32524</v>
      </c>
      <c r="O841" t="s">
        <v>32525</v>
      </c>
      <c r="P841">
        <v>0</v>
      </c>
      <c r="Q841">
        <v>3</v>
      </c>
      <c r="R841" t="s">
        <v>32526</v>
      </c>
      <c r="S841" t="s">
        <v>32547</v>
      </c>
      <c r="T841" t="s">
        <v>33266</v>
      </c>
      <c r="U841" t="s">
        <v>34371</v>
      </c>
      <c r="W841" t="s">
        <v>29937</v>
      </c>
      <c r="X841" t="s">
        <v>32527</v>
      </c>
    </row>
    <row r="842" spans="1:24">
      <c r="A842">
        <f>HYPERLINK("https://www.philgeps.gov.ph/GEPSNONPILOT/Tender/SplashBidNoticeAbstractUI.aspx?menuIndex=3&amp;refID=7045088&amp;Result=3","7045088")</f>
        <v>0</v>
      </c>
      <c r="B842" t="s">
        <v>378</v>
      </c>
      <c r="C842" t="s">
        <v>3481</v>
      </c>
      <c r="D842" t="s">
        <v>13018</v>
      </c>
      <c r="E842" t="s">
        <v>13865</v>
      </c>
      <c r="F842" t="s">
        <v>22436</v>
      </c>
      <c r="G842" t="s">
        <v>22444</v>
      </c>
      <c r="H842" t="s">
        <v>22452</v>
      </c>
      <c r="I842" t="s">
        <v>22465</v>
      </c>
      <c r="J842" t="s">
        <v>23255</v>
      </c>
      <c r="K842" t="s">
        <v>29330</v>
      </c>
      <c r="M842" t="s">
        <v>29956</v>
      </c>
      <c r="N842" t="s">
        <v>32524</v>
      </c>
      <c r="O842" t="s">
        <v>32525</v>
      </c>
      <c r="P842">
        <v>0</v>
      </c>
      <c r="Q842">
        <v>0</v>
      </c>
      <c r="R842" t="s">
        <v>32526</v>
      </c>
      <c r="S842" t="s">
        <v>32547</v>
      </c>
      <c r="T842" t="s">
        <v>33268</v>
      </c>
      <c r="U842" t="s">
        <v>34372</v>
      </c>
      <c r="W842" t="s">
        <v>29956</v>
      </c>
      <c r="X842" t="s">
        <v>32527</v>
      </c>
    </row>
    <row r="843" spans="1:24">
      <c r="A843">
        <f>HYPERLINK("https://www.philgeps.gov.ph/GEPSNONPILOT/Tender/SplashBidNoticeAbstractUI.aspx?menuIndex=3&amp;refID=7045100&amp;Result=3","7045100")</f>
        <v>0</v>
      </c>
      <c r="B843" t="s">
        <v>29</v>
      </c>
      <c r="C843" t="s">
        <v>3482</v>
      </c>
      <c r="D843" t="s">
        <v>12993</v>
      </c>
      <c r="E843" t="s">
        <v>13866</v>
      </c>
      <c r="F843" t="s">
        <v>22436</v>
      </c>
      <c r="G843" t="s">
        <v>22446</v>
      </c>
      <c r="H843" t="s">
        <v>22452</v>
      </c>
      <c r="I843" t="s">
        <v>22461</v>
      </c>
      <c r="J843" t="s">
        <v>23256</v>
      </c>
      <c r="K843" t="s">
        <v>29336</v>
      </c>
      <c r="M843" t="s">
        <v>29599</v>
      </c>
      <c r="N843" t="s">
        <v>32524</v>
      </c>
      <c r="O843" t="s">
        <v>32525</v>
      </c>
      <c r="P843">
        <v>0</v>
      </c>
      <c r="Q843">
        <v>1</v>
      </c>
      <c r="R843" t="s">
        <v>32526</v>
      </c>
      <c r="S843" t="s">
        <v>32547</v>
      </c>
      <c r="T843" t="s">
        <v>33167</v>
      </c>
      <c r="U843" t="s">
        <v>34373</v>
      </c>
      <c r="W843" t="s">
        <v>29599</v>
      </c>
      <c r="X843" t="s">
        <v>32527</v>
      </c>
    </row>
    <row r="844" spans="1:24">
      <c r="A844">
        <f>HYPERLINK("https://www.philgeps.gov.ph/GEPSNONPILOT/Tender/SplashBidNoticeAbstractUI.aspx?menuIndex=3&amp;refID=7045107&amp;Result=3","7045107")</f>
        <v>0</v>
      </c>
      <c r="B844" t="s">
        <v>360</v>
      </c>
      <c r="C844" t="s">
        <v>3483</v>
      </c>
      <c r="D844" t="s">
        <v>12988</v>
      </c>
      <c r="E844" t="s">
        <v>13867</v>
      </c>
      <c r="F844" t="s">
        <v>22436</v>
      </c>
      <c r="G844" t="s">
        <v>22445</v>
      </c>
      <c r="H844" t="s">
        <v>22452</v>
      </c>
      <c r="I844" t="s">
        <v>22460</v>
      </c>
      <c r="J844" t="s">
        <v>22788</v>
      </c>
      <c r="K844" t="s">
        <v>29338</v>
      </c>
      <c r="M844" t="s">
        <v>29938</v>
      </c>
      <c r="N844" t="s">
        <v>32524</v>
      </c>
      <c r="O844" t="s">
        <v>32525</v>
      </c>
      <c r="P844">
        <v>0</v>
      </c>
      <c r="Q844">
        <v>3</v>
      </c>
      <c r="R844" t="s">
        <v>32526</v>
      </c>
      <c r="S844" t="s">
        <v>32547</v>
      </c>
      <c r="T844" t="s">
        <v>33154</v>
      </c>
      <c r="U844" t="s">
        <v>34374</v>
      </c>
      <c r="W844" t="s">
        <v>29938</v>
      </c>
      <c r="X844" t="s">
        <v>32527</v>
      </c>
    </row>
    <row r="845" spans="1:24">
      <c r="A845">
        <f>HYPERLINK("https://www.philgeps.gov.ph/GEPSNONPILOT/Tender/SplashBidNoticeAbstractUI.aspx?menuIndex=3&amp;refID=7045103&amp;Result=3","7045103")</f>
        <v>0</v>
      </c>
      <c r="B845" t="s">
        <v>316</v>
      </c>
      <c r="C845" t="s">
        <v>3484</v>
      </c>
      <c r="D845" t="s">
        <v>13006</v>
      </c>
      <c r="E845" t="s">
        <v>13868</v>
      </c>
      <c r="F845" t="s">
        <v>22436</v>
      </c>
      <c r="G845" t="s">
        <v>22444</v>
      </c>
      <c r="H845" t="s">
        <v>22452</v>
      </c>
      <c r="I845" t="s">
        <v>3529</v>
      </c>
      <c r="J845" t="s">
        <v>23257</v>
      </c>
      <c r="K845" t="s">
        <v>29331</v>
      </c>
      <c r="M845" t="s">
        <v>29892</v>
      </c>
      <c r="N845" t="s">
        <v>32524</v>
      </c>
      <c r="O845" t="s">
        <v>32525</v>
      </c>
      <c r="P845">
        <v>0</v>
      </c>
      <c r="Q845">
        <v>0</v>
      </c>
      <c r="R845" t="s">
        <v>32526</v>
      </c>
      <c r="S845" t="s">
        <v>32547</v>
      </c>
      <c r="T845" t="s">
        <v>33191</v>
      </c>
      <c r="U845" t="s">
        <v>34375</v>
      </c>
      <c r="W845" t="s">
        <v>29892</v>
      </c>
      <c r="X845" t="s">
        <v>32527</v>
      </c>
    </row>
    <row r="846" spans="1:24">
      <c r="A846">
        <f>HYPERLINK("https://www.philgeps.gov.ph/GEPSNONPILOT/Tender/SplashBidNoticeAbstractUI.aspx?menuIndex=3&amp;refID=7045109&amp;Result=3","7045109")</f>
        <v>0</v>
      </c>
      <c r="B846" t="s">
        <v>379</v>
      </c>
      <c r="C846" t="s">
        <v>3485</v>
      </c>
      <c r="D846" t="s">
        <v>13042</v>
      </c>
      <c r="E846" t="s">
        <v>13321</v>
      </c>
      <c r="F846" t="s">
        <v>22436</v>
      </c>
      <c r="G846" t="s">
        <v>22444</v>
      </c>
      <c r="H846" t="s">
        <v>22454</v>
      </c>
      <c r="I846" t="s">
        <v>2981</v>
      </c>
      <c r="J846" t="s">
        <v>23258</v>
      </c>
      <c r="K846" t="s">
        <v>29335</v>
      </c>
      <c r="M846" t="s">
        <v>29957</v>
      </c>
      <c r="N846" t="s">
        <v>32524</v>
      </c>
      <c r="O846" t="s">
        <v>32525</v>
      </c>
      <c r="P846">
        <v>0</v>
      </c>
      <c r="Q846">
        <v>0</v>
      </c>
      <c r="R846" t="s">
        <v>32526</v>
      </c>
      <c r="S846" t="s">
        <v>32547</v>
      </c>
      <c r="T846" t="s">
        <v>33269</v>
      </c>
      <c r="U846" t="s">
        <v>34376</v>
      </c>
      <c r="W846" t="s">
        <v>29957</v>
      </c>
      <c r="X846" t="s">
        <v>32527</v>
      </c>
    </row>
    <row r="847" spans="1:24">
      <c r="A847">
        <f>HYPERLINK("https://www.philgeps.gov.ph/GEPSNONPILOT/Tender/SplashBidNoticeAbstractUI.aspx?menuIndex=3&amp;refID=7045111&amp;Result=3","7045111")</f>
        <v>0</v>
      </c>
      <c r="B847" t="s">
        <v>146</v>
      </c>
      <c r="C847" t="s">
        <v>3486</v>
      </c>
      <c r="D847" t="s">
        <v>13042</v>
      </c>
      <c r="E847" t="s">
        <v>13869</v>
      </c>
      <c r="F847" t="s">
        <v>22436</v>
      </c>
      <c r="G847" t="s">
        <v>22444</v>
      </c>
      <c r="H847" t="s">
        <v>22452</v>
      </c>
      <c r="I847" t="s">
        <v>22458</v>
      </c>
      <c r="J847" t="s">
        <v>23259</v>
      </c>
      <c r="K847" t="s">
        <v>29336</v>
      </c>
      <c r="M847" t="s">
        <v>29937</v>
      </c>
      <c r="N847" t="s">
        <v>32524</v>
      </c>
      <c r="O847" t="s">
        <v>32525</v>
      </c>
      <c r="P847">
        <v>0</v>
      </c>
      <c r="Q847">
        <v>14</v>
      </c>
      <c r="R847" t="s">
        <v>32526</v>
      </c>
      <c r="S847" t="s">
        <v>32547</v>
      </c>
      <c r="T847" t="s">
        <v>33266</v>
      </c>
      <c r="U847" t="s">
        <v>34377</v>
      </c>
      <c r="W847" t="s">
        <v>29937</v>
      </c>
      <c r="X847" t="s">
        <v>32527</v>
      </c>
    </row>
    <row r="848" spans="1:24">
      <c r="A848">
        <f>HYPERLINK("https://www.philgeps.gov.ph/GEPSNONPILOT/Tender/SplashBidNoticeAbstractUI.aspx?menuIndex=3&amp;refID=7045092&amp;Result=3","7045092")</f>
        <v>0</v>
      </c>
      <c r="B848" t="s">
        <v>277</v>
      </c>
      <c r="C848" t="s">
        <v>3487</v>
      </c>
      <c r="D848" t="s">
        <v>13007</v>
      </c>
      <c r="E848" t="s">
        <v>13870</v>
      </c>
      <c r="F848" t="s">
        <v>22436</v>
      </c>
      <c r="G848" t="s">
        <v>22443</v>
      </c>
      <c r="H848" t="s">
        <v>22452</v>
      </c>
      <c r="I848" t="s">
        <v>3840</v>
      </c>
      <c r="J848" t="s">
        <v>22605</v>
      </c>
      <c r="K848" t="s">
        <v>29335</v>
      </c>
      <c r="M848" t="s">
        <v>29851</v>
      </c>
      <c r="N848" t="s">
        <v>32524</v>
      </c>
      <c r="O848" t="s">
        <v>32525</v>
      </c>
      <c r="P848">
        <v>0</v>
      </c>
      <c r="Q848">
        <v>1</v>
      </c>
      <c r="R848" t="s">
        <v>32526</v>
      </c>
      <c r="S848" t="s">
        <v>32547</v>
      </c>
      <c r="T848" t="s">
        <v>33155</v>
      </c>
      <c r="U848" t="s">
        <v>34280</v>
      </c>
      <c r="W848" t="s">
        <v>29851</v>
      </c>
      <c r="X848" t="s">
        <v>32527</v>
      </c>
    </row>
    <row r="849" spans="1:24">
      <c r="A849">
        <f>HYPERLINK("https://www.philgeps.gov.ph/GEPSNONPILOT/Tender/SplashBidNoticeAbstractUI.aspx?menuIndex=3&amp;refID=7045090&amp;Result=3","7045090")</f>
        <v>0</v>
      </c>
      <c r="B849" t="s">
        <v>380</v>
      </c>
      <c r="C849" t="s">
        <v>3488</v>
      </c>
      <c r="D849" t="s">
        <v>12996</v>
      </c>
      <c r="E849" t="s">
        <v>13752</v>
      </c>
      <c r="F849" t="s">
        <v>22436</v>
      </c>
      <c r="G849" t="s">
        <v>22446</v>
      </c>
      <c r="H849" t="s">
        <v>22452</v>
      </c>
      <c r="I849" t="s">
        <v>6421</v>
      </c>
      <c r="J849" t="s">
        <v>23260</v>
      </c>
      <c r="K849" t="s">
        <v>29338</v>
      </c>
      <c r="M849" t="s">
        <v>29958</v>
      </c>
      <c r="N849" t="s">
        <v>32524</v>
      </c>
      <c r="O849" t="s">
        <v>32525</v>
      </c>
      <c r="P849">
        <v>0</v>
      </c>
      <c r="Q849">
        <v>6</v>
      </c>
      <c r="R849" t="s">
        <v>32526</v>
      </c>
      <c r="S849" t="s">
        <v>32547</v>
      </c>
      <c r="T849" t="s">
        <v>33228</v>
      </c>
      <c r="U849" t="s">
        <v>34378</v>
      </c>
      <c r="W849" t="s">
        <v>29958</v>
      </c>
      <c r="X849" t="s">
        <v>32527</v>
      </c>
    </row>
    <row r="850" spans="1:24">
      <c r="A850">
        <f>HYPERLINK("https://www.philgeps.gov.ph/GEPSNONPILOT/Tender/SplashBidNoticeAbstractUI.aspx?menuIndex=3&amp;refID=7045095&amp;Result=3","7045095")</f>
        <v>0</v>
      </c>
      <c r="B850" t="s">
        <v>341</v>
      </c>
      <c r="C850" t="s">
        <v>3489</v>
      </c>
      <c r="D850" t="s">
        <v>12999</v>
      </c>
      <c r="E850" t="s">
        <v>13871</v>
      </c>
      <c r="F850" t="s">
        <v>22436</v>
      </c>
      <c r="G850" t="s">
        <v>22443</v>
      </c>
      <c r="H850" t="s">
        <v>22452</v>
      </c>
      <c r="I850" t="s">
        <v>22469</v>
      </c>
      <c r="J850" t="s">
        <v>23261</v>
      </c>
      <c r="K850" t="s">
        <v>29341</v>
      </c>
      <c r="M850" t="s">
        <v>29917</v>
      </c>
      <c r="N850" t="s">
        <v>32524</v>
      </c>
      <c r="O850" t="s">
        <v>32525</v>
      </c>
      <c r="P850">
        <v>0</v>
      </c>
      <c r="Q850">
        <v>2</v>
      </c>
      <c r="R850" t="s">
        <v>32526</v>
      </c>
      <c r="S850" t="s">
        <v>32547</v>
      </c>
      <c r="T850" t="s">
        <v>33154</v>
      </c>
      <c r="U850" t="s">
        <v>34289</v>
      </c>
      <c r="W850" t="s">
        <v>29917</v>
      </c>
      <c r="X850" t="s">
        <v>32527</v>
      </c>
    </row>
    <row r="851" spans="1:24">
      <c r="A851">
        <f>HYPERLINK("https://www.philgeps.gov.ph/GEPSNONPILOT/Tender/SplashBidNoticeAbstractUI.aspx?menuIndex=3&amp;refID=7045099&amp;Result=3","7045099")</f>
        <v>0</v>
      </c>
      <c r="B851" t="s">
        <v>380</v>
      </c>
      <c r="C851" t="s">
        <v>3490</v>
      </c>
      <c r="D851" t="s">
        <v>12996</v>
      </c>
      <c r="E851" t="s">
        <v>13872</v>
      </c>
      <c r="F851" t="s">
        <v>22436</v>
      </c>
      <c r="G851" t="s">
        <v>22446</v>
      </c>
      <c r="H851" t="s">
        <v>22452</v>
      </c>
      <c r="I851" t="s">
        <v>22472</v>
      </c>
      <c r="J851" t="s">
        <v>23262</v>
      </c>
      <c r="K851" t="s">
        <v>29338</v>
      </c>
      <c r="M851" t="s">
        <v>29958</v>
      </c>
      <c r="N851" t="s">
        <v>32524</v>
      </c>
      <c r="O851" t="s">
        <v>32525</v>
      </c>
      <c r="P851">
        <v>0</v>
      </c>
      <c r="Q851">
        <v>5</v>
      </c>
      <c r="R851" t="s">
        <v>32526</v>
      </c>
      <c r="S851" t="s">
        <v>32547</v>
      </c>
      <c r="T851" t="s">
        <v>33228</v>
      </c>
      <c r="U851" t="s">
        <v>34379</v>
      </c>
      <c r="W851" t="s">
        <v>29958</v>
      </c>
      <c r="X851" t="s">
        <v>32527</v>
      </c>
    </row>
    <row r="852" spans="1:24">
      <c r="A852">
        <f>HYPERLINK("https://www.philgeps.gov.ph/GEPSNONPILOT/Tender/SplashBidNoticeAbstractUI.aspx?menuIndex=3&amp;refID=7045104&amp;Result=3","7045104")</f>
        <v>0</v>
      </c>
      <c r="B852" t="s">
        <v>381</v>
      </c>
      <c r="C852" t="s">
        <v>3472</v>
      </c>
      <c r="D852" t="s">
        <v>13059</v>
      </c>
      <c r="E852" t="s">
        <v>13873</v>
      </c>
      <c r="F852" t="s">
        <v>22436</v>
      </c>
      <c r="G852" t="s">
        <v>22446</v>
      </c>
      <c r="H852" t="s">
        <v>22452</v>
      </c>
      <c r="I852" t="s">
        <v>22460</v>
      </c>
      <c r="J852" t="s">
        <v>23263</v>
      </c>
      <c r="K852" t="s">
        <v>29338</v>
      </c>
      <c r="M852" t="s">
        <v>29959</v>
      </c>
      <c r="N852" t="s">
        <v>32524</v>
      </c>
      <c r="O852" t="s">
        <v>32525</v>
      </c>
      <c r="P852">
        <v>0</v>
      </c>
      <c r="Q852">
        <v>1</v>
      </c>
      <c r="R852" t="s">
        <v>32526</v>
      </c>
      <c r="S852" t="s">
        <v>32547</v>
      </c>
      <c r="T852" t="s">
        <v>33270</v>
      </c>
      <c r="U852" t="s">
        <v>34380</v>
      </c>
      <c r="W852" t="s">
        <v>29959</v>
      </c>
      <c r="X852" t="s">
        <v>32527</v>
      </c>
    </row>
    <row r="853" spans="1:24">
      <c r="A853">
        <f>HYPERLINK("https://www.philgeps.gov.ph/GEPSNONPILOT/Tender/SplashBidNoticeAbstractUI.aspx?menuIndex=3&amp;refID=7045114&amp;Result=3","7045114")</f>
        <v>0</v>
      </c>
      <c r="B853" t="s">
        <v>378</v>
      </c>
      <c r="C853" t="s">
        <v>3491</v>
      </c>
      <c r="D853" t="s">
        <v>13018</v>
      </c>
      <c r="E853" t="s">
        <v>13874</v>
      </c>
      <c r="F853" t="s">
        <v>22436</v>
      </c>
      <c r="G853" t="s">
        <v>22444</v>
      </c>
      <c r="H853" t="s">
        <v>22454</v>
      </c>
      <c r="I853" t="s">
        <v>7738</v>
      </c>
      <c r="J853" t="s">
        <v>22605</v>
      </c>
      <c r="K853" t="s">
        <v>29335</v>
      </c>
      <c r="M853" t="s">
        <v>29956</v>
      </c>
      <c r="N853" t="s">
        <v>32524</v>
      </c>
      <c r="O853" t="s">
        <v>32525</v>
      </c>
      <c r="P853">
        <v>0</v>
      </c>
      <c r="Q853">
        <v>0</v>
      </c>
      <c r="R853" t="s">
        <v>32526</v>
      </c>
      <c r="S853" t="s">
        <v>32547</v>
      </c>
      <c r="T853" t="s">
        <v>33191</v>
      </c>
      <c r="U853" t="s">
        <v>34381</v>
      </c>
      <c r="W853" t="s">
        <v>29956</v>
      </c>
      <c r="X853" t="s">
        <v>32527</v>
      </c>
    </row>
    <row r="854" spans="1:24">
      <c r="A854">
        <f>HYPERLINK("https://www.philgeps.gov.ph/GEPSNONPILOT/Tender/SplashBidNoticeAbstractUI.aspx?menuIndex=3&amp;refID=7045117&amp;Result=3","7045117")</f>
        <v>0</v>
      </c>
      <c r="B854" t="s">
        <v>357</v>
      </c>
      <c r="C854" t="s">
        <v>3492</v>
      </c>
      <c r="D854" t="s">
        <v>13037</v>
      </c>
      <c r="E854" t="s">
        <v>13875</v>
      </c>
      <c r="F854" t="s">
        <v>22436</v>
      </c>
      <c r="G854" t="s">
        <v>22443</v>
      </c>
      <c r="H854" t="s">
        <v>22454</v>
      </c>
      <c r="I854" t="s">
        <v>7738</v>
      </c>
      <c r="J854" t="s">
        <v>23264</v>
      </c>
      <c r="K854" t="s">
        <v>29341</v>
      </c>
      <c r="M854" t="s">
        <v>29934</v>
      </c>
      <c r="N854" t="s">
        <v>32524</v>
      </c>
      <c r="O854" t="s">
        <v>32525</v>
      </c>
      <c r="P854">
        <v>0</v>
      </c>
      <c r="Q854">
        <v>0</v>
      </c>
      <c r="R854" t="s">
        <v>32526</v>
      </c>
      <c r="S854" t="s">
        <v>32547</v>
      </c>
      <c r="T854" t="s">
        <v>33169</v>
      </c>
      <c r="U854" t="s">
        <v>34382</v>
      </c>
      <c r="W854" t="s">
        <v>29934</v>
      </c>
      <c r="X854" t="s">
        <v>32527</v>
      </c>
    </row>
    <row r="855" spans="1:24">
      <c r="A855">
        <f>HYPERLINK("https://www.philgeps.gov.ph/GEPSNONPILOT/Tender/SplashBidNoticeAbstractUI.aspx?menuIndex=3&amp;refID=7045118&amp;Result=3","7045118")</f>
        <v>0</v>
      </c>
      <c r="B855" t="s">
        <v>308</v>
      </c>
      <c r="C855" t="s">
        <v>3493</v>
      </c>
      <c r="D855" t="s">
        <v>12999</v>
      </c>
      <c r="E855" t="s">
        <v>13876</v>
      </c>
      <c r="F855" t="s">
        <v>22436</v>
      </c>
      <c r="G855" t="s">
        <v>22443</v>
      </c>
      <c r="H855" t="s">
        <v>22452</v>
      </c>
      <c r="I855" t="s">
        <v>22504</v>
      </c>
      <c r="J855" t="s">
        <v>23265</v>
      </c>
      <c r="K855" t="s">
        <v>29335</v>
      </c>
      <c r="M855" t="s">
        <v>29882</v>
      </c>
      <c r="N855" t="s">
        <v>32524</v>
      </c>
      <c r="O855" t="s">
        <v>32525</v>
      </c>
      <c r="P855">
        <v>0</v>
      </c>
      <c r="Q855">
        <v>3</v>
      </c>
      <c r="R855" t="s">
        <v>32526</v>
      </c>
      <c r="S855" t="s">
        <v>32547</v>
      </c>
      <c r="T855" t="s">
        <v>33183</v>
      </c>
      <c r="U855" t="s">
        <v>34383</v>
      </c>
      <c r="W855" t="s">
        <v>29882</v>
      </c>
      <c r="X855" t="s">
        <v>32527</v>
      </c>
    </row>
    <row r="856" spans="1:24">
      <c r="A856">
        <f>HYPERLINK("https://www.philgeps.gov.ph/GEPSNONPILOT/Tender/SplashBidNoticeAbstractUI.aspx?menuIndex=3&amp;refID=7045105&amp;Result=3","7045105")</f>
        <v>0</v>
      </c>
      <c r="B856" t="s">
        <v>292</v>
      </c>
      <c r="C856" t="s">
        <v>3494</v>
      </c>
      <c r="D856" t="s">
        <v>13041</v>
      </c>
      <c r="E856" t="s">
        <v>13877</v>
      </c>
      <c r="F856" t="s">
        <v>22436</v>
      </c>
      <c r="G856" t="s">
        <v>22443</v>
      </c>
      <c r="H856" t="s">
        <v>22452</v>
      </c>
      <c r="I856" t="s">
        <v>22458</v>
      </c>
      <c r="J856" t="s">
        <v>23266</v>
      </c>
      <c r="K856" t="s">
        <v>29341</v>
      </c>
      <c r="M856" t="s">
        <v>29960</v>
      </c>
      <c r="N856" t="s">
        <v>32524</v>
      </c>
      <c r="O856" t="s">
        <v>32525</v>
      </c>
      <c r="P856">
        <v>0</v>
      </c>
      <c r="Q856">
        <v>4</v>
      </c>
      <c r="R856" t="s">
        <v>32526</v>
      </c>
      <c r="S856" t="s">
        <v>32547</v>
      </c>
      <c r="T856" t="s">
        <v>33196</v>
      </c>
      <c r="U856" t="s">
        <v>34384</v>
      </c>
      <c r="W856" t="s">
        <v>29960</v>
      </c>
      <c r="X856" t="s">
        <v>32527</v>
      </c>
    </row>
    <row r="857" spans="1:24">
      <c r="A857">
        <f>HYPERLINK("https://www.philgeps.gov.ph/GEPSNONPILOT/Tender/SplashBidNoticeAbstractUI.aspx?menuIndex=3&amp;refID=7045097&amp;Result=3","7045097")</f>
        <v>0</v>
      </c>
      <c r="B857" t="s">
        <v>382</v>
      </c>
      <c r="C857" t="s">
        <v>3495</v>
      </c>
      <c r="D857" t="s">
        <v>12988</v>
      </c>
      <c r="E857" t="s">
        <v>13878</v>
      </c>
      <c r="F857" t="s">
        <v>22436</v>
      </c>
      <c r="G857" t="s">
        <v>22443</v>
      </c>
      <c r="H857" t="s">
        <v>22452</v>
      </c>
      <c r="I857" t="s">
        <v>22472</v>
      </c>
      <c r="J857" t="s">
        <v>23267</v>
      </c>
      <c r="K857" t="s">
        <v>29341</v>
      </c>
      <c r="M857" t="s">
        <v>29961</v>
      </c>
      <c r="N857" t="s">
        <v>32524</v>
      </c>
      <c r="O857" t="s">
        <v>32525</v>
      </c>
      <c r="P857">
        <v>0</v>
      </c>
      <c r="Q857">
        <v>0</v>
      </c>
      <c r="R857" t="s">
        <v>32526</v>
      </c>
      <c r="S857" t="s">
        <v>32547</v>
      </c>
      <c r="T857" t="s">
        <v>33215</v>
      </c>
      <c r="U857" t="s">
        <v>34385</v>
      </c>
      <c r="W857" t="s">
        <v>29961</v>
      </c>
      <c r="X857" t="s">
        <v>32527</v>
      </c>
    </row>
    <row r="858" spans="1:24">
      <c r="A858">
        <f>HYPERLINK("https://www.philgeps.gov.ph/GEPSNONPILOT/Tender/SplashBidNoticeAbstractUI.aspx?menuIndex=3&amp;refID=7045113&amp;Result=3","7045113")</f>
        <v>0</v>
      </c>
      <c r="B858" t="s">
        <v>383</v>
      </c>
      <c r="C858" t="s">
        <v>3496</v>
      </c>
      <c r="D858" t="s">
        <v>13018</v>
      </c>
      <c r="E858" t="s">
        <v>13879</v>
      </c>
      <c r="F858" t="s">
        <v>22436</v>
      </c>
      <c r="G858" t="s">
        <v>22444</v>
      </c>
      <c r="H858" t="s">
        <v>22452</v>
      </c>
      <c r="I858" t="s">
        <v>22469</v>
      </c>
      <c r="J858" t="s">
        <v>23268</v>
      </c>
      <c r="K858" t="s">
        <v>29344</v>
      </c>
      <c r="M858" t="s">
        <v>29962</v>
      </c>
      <c r="N858" t="s">
        <v>32524</v>
      </c>
      <c r="O858" t="s">
        <v>32525</v>
      </c>
      <c r="P858">
        <v>0</v>
      </c>
      <c r="Q858">
        <v>3</v>
      </c>
      <c r="R858" t="s">
        <v>32526</v>
      </c>
      <c r="S858" t="s">
        <v>32547</v>
      </c>
      <c r="T858" t="s">
        <v>33257</v>
      </c>
      <c r="U858" t="s">
        <v>34386</v>
      </c>
      <c r="V858" t="s">
        <v>42504</v>
      </c>
      <c r="W858" t="s">
        <v>29962</v>
      </c>
      <c r="X858" t="s">
        <v>32527</v>
      </c>
    </row>
    <row r="859" spans="1:24">
      <c r="A859">
        <f>HYPERLINK("https://www.philgeps.gov.ph/GEPSNONPILOT/Tender/SplashBidNoticeAbstractUI.aspx?menuIndex=3&amp;refID=7045119&amp;Result=3","7045119")</f>
        <v>0</v>
      </c>
      <c r="B859" t="s">
        <v>376</v>
      </c>
      <c r="C859" t="s">
        <v>3497</v>
      </c>
      <c r="D859" t="s">
        <v>12999</v>
      </c>
      <c r="E859" t="s">
        <v>13521</v>
      </c>
      <c r="F859" t="s">
        <v>22436</v>
      </c>
      <c r="G859" t="s">
        <v>22446</v>
      </c>
      <c r="H859" t="s">
        <v>22452</v>
      </c>
      <c r="I859" t="s">
        <v>3827</v>
      </c>
      <c r="J859" t="s">
        <v>22986</v>
      </c>
      <c r="K859" t="s">
        <v>29336</v>
      </c>
      <c r="M859" t="s">
        <v>29954</v>
      </c>
      <c r="N859" t="s">
        <v>32524</v>
      </c>
      <c r="O859" t="s">
        <v>32525</v>
      </c>
      <c r="P859">
        <v>0</v>
      </c>
      <c r="Q859">
        <v>0</v>
      </c>
      <c r="R859" t="s">
        <v>32526</v>
      </c>
      <c r="S859" t="s">
        <v>32547</v>
      </c>
      <c r="T859" t="s">
        <v>33238</v>
      </c>
      <c r="U859" t="s">
        <v>34387</v>
      </c>
      <c r="W859" t="s">
        <v>29954</v>
      </c>
      <c r="X859" t="s">
        <v>32527</v>
      </c>
    </row>
    <row r="860" spans="1:24">
      <c r="A860">
        <f>HYPERLINK("https://www.philgeps.gov.ph/GEPSNONPILOT/Tender/SplashBidNoticeAbstractUI.aspx?menuIndex=3&amp;refID=7045106&amp;Result=3","7045106")</f>
        <v>0</v>
      </c>
      <c r="B860" t="s">
        <v>50</v>
      </c>
      <c r="C860" t="s">
        <v>3498</v>
      </c>
      <c r="D860" t="s">
        <v>13008</v>
      </c>
      <c r="E860" t="s">
        <v>13880</v>
      </c>
      <c r="F860" t="s">
        <v>22436</v>
      </c>
      <c r="G860" t="s">
        <v>22444</v>
      </c>
      <c r="H860" t="s">
        <v>22452</v>
      </c>
      <c r="I860" t="s">
        <v>22518</v>
      </c>
      <c r="J860" t="s">
        <v>22970</v>
      </c>
      <c r="K860" t="s">
        <v>29335</v>
      </c>
      <c r="M860" t="s">
        <v>29622</v>
      </c>
      <c r="N860" t="s">
        <v>32524</v>
      </c>
      <c r="O860" t="s">
        <v>32525</v>
      </c>
      <c r="P860">
        <v>0</v>
      </c>
      <c r="Q860">
        <v>8</v>
      </c>
      <c r="R860" t="s">
        <v>32526</v>
      </c>
      <c r="S860" t="s">
        <v>32547</v>
      </c>
      <c r="T860" t="s">
        <v>33166</v>
      </c>
      <c r="U860" t="s">
        <v>34388</v>
      </c>
      <c r="W860" t="s">
        <v>29622</v>
      </c>
      <c r="X860" t="s">
        <v>32527</v>
      </c>
    </row>
    <row r="861" spans="1:24">
      <c r="A861">
        <f>HYPERLINK("https://www.philgeps.gov.ph/GEPSNONPILOT/Tender/SplashBidNoticeAbstractUI.aspx?menuIndex=3&amp;refID=7045129&amp;Result=3","7045129")</f>
        <v>0</v>
      </c>
      <c r="B861" t="s">
        <v>384</v>
      </c>
      <c r="C861" t="s">
        <v>3499</v>
      </c>
      <c r="D861" t="s">
        <v>13004</v>
      </c>
      <c r="E861" t="s">
        <v>13881</v>
      </c>
      <c r="F861" t="s">
        <v>22436</v>
      </c>
      <c r="G861" t="s">
        <v>22444</v>
      </c>
      <c r="H861" t="s">
        <v>22452</v>
      </c>
      <c r="I861" t="s">
        <v>3529</v>
      </c>
      <c r="J861" t="s">
        <v>23269</v>
      </c>
      <c r="K861" t="s">
        <v>29335</v>
      </c>
      <c r="M861" t="s">
        <v>29963</v>
      </c>
      <c r="N861" t="s">
        <v>32524</v>
      </c>
      <c r="O861" t="s">
        <v>32525</v>
      </c>
      <c r="P861">
        <v>0</v>
      </c>
      <c r="Q861">
        <v>0</v>
      </c>
      <c r="R861" t="s">
        <v>32526</v>
      </c>
      <c r="S861" t="s">
        <v>32547</v>
      </c>
      <c r="T861" t="s">
        <v>33158</v>
      </c>
      <c r="U861" t="s">
        <v>34389</v>
      </c>
      <c r="W861" t="s">
        <v>29963</v>
      </c>
      <c r="X861" t="s">
        <v>32527</v>
      </c>
    </row>
    <row r="862" spans="1:24">
      <c r="A862">
        <f>HYPERLINK("https://www.philgeps.gov.ph/GEPSNONPILOT/Tender/SplashBidNoticeAbstractUI.aspx?menuIndex=3&amp;refID=7045134&amp;Result=3","7045134")</f>
        <v>0</v>
      </c>
      <c r="B862" t="s">
        <v>313</v>
      </c>
      <c r="C862" t="s">
        <v>3500</v>
      </c>
      <c r="D862" t="s">
        <v>12991</v>
      </c>
      <c r="E862" t="s">
        <v>13882</v>
      </c>
      <c r="F862" t="s">
        <v>22436</v>
      </c>
      <c r="G862" t="s">
        <v>22443</v>
      </c>
      <c r="H862" t="s">
        <v>22452</v>
      </c>
      <c r="I862" t="s">
        <v>22486</v>
      </c>
      <c r="J862" t="s">
        <v>23270</v>
      </c>
      <c r="K862" t="s">
        <v>29384</v>
      </c>
      <c r="M862" t="s">
        <v>29889</v>
      </c>
      <c r="N862" t="s">
        <v>32524</v>
      </c>
      <c r="O862" t="s">
        <v>32525</v>
      </c>
      <c r="P862">
        <v>0</v>
      </c>
      <c r="Q862">
        <v>0</v>
      </c>
      <c r="R862" t="s">
        <v>32526</v>
      </c>
      <c r="S862" t="s">
        <v>32547</v>
      </c>
      <c r="T862" t="s">
        <v>33167</v>
      </c>
      <c r="U862" t="s">
        <v>34390</v>
      </c>
      <c r="W862" t="s">
        <v>29889</v>
      </c>
      <c r="X862" t="s">
        <v>32527</v>
      </c>
    </row>
    <row r="863" spans="1:24">
      <c r="A863">
        <f>HYPERLINK("https://www.philgeps.gov.ph/GEPSNONPILOT/Tender/SplashBidNoticeAbstractUI.aspx?menuIndex=3&amp;refID=7045116&amp;Result=3","7045116")</f>
        <v>0</v>
      </c>
      <c r="B863" t="s">
        <v>385</v>
      </c>
      <c r="C863" t="s">
        <v>3501</v>
      </c>
      <c r="D863" t="s">
        <v>13056</v>
      </c>
      <c r="E863" t="s">
        <v>13883</v>
      </c>
      <c r="F863" t="s">
        <v>22436</v>
      </c>
      <c r="G863" t="s">
        <v>22444</v>
      </c>
      <c r="H863" t="s">
        <v>22452</v>
      </c>
      <c r="I863" t="s">
        <v>3529</v>
      </c>
      <c r="J863" t="s">
        <v>23271</v>
      </c>
      <c r="K863" t="s">
        <v>29335</v>
      </c>
      <c r="M863" t="s">
        <v>29964</v>
      </c>
      <c r="N863" t="s">
        <v>32524</v>
      </c>
      <c r="O863" t="s">
        <v>32525</v>
      </c>
      <c r="P863">
        <v>0</v>
      </c>
      <c r="Q863">
        <v>0</v>
      </c>
      <c r="R863" t="s">
        <v>32526</v>
      </c>
      <c r="S863" t="s">
        <v>32547</v>
      </c>
      <c r="T863" t="s">
        <v>33218</v>
      </c>
      <c r="U863" t="s">
        <v>34391</v>
      </c>
      <c r="V863" t="s">
        <v>42505</v>
      </c>
      <c r="W863" t="s">
        <v>29964</v>
      </c>
      <c r="X863" t="s">
        <v>32527</v>
      </c>
    </row>
    <row r="864" spans="1:24">
      <c r="A864">
        <f>HYPERLINK("https://www.philgeps.gov.ph/GEPSNONPILOT/Tender/SplashBidNoticeAbstractUI.aspx?menuIndex=3&amp;refID=7045128&amp;Result=3","7045128")</f>
        <v>0</v>
      </c>
      <c r="B864" t="s">
        <v>386</v>
      </c>
      <c r="C864" t="s">
        <v>3502</v>
      </c>
      <c r="D864" t="s">
        <v>12988</v>
      </c>
      <c r="E864" t="s">
        <v>13884</v>
      </c>
      <c r="F864" t="s">
        <v>22436</v>
      </c>
      <c r="G864" t="s">
        <v>22445</v>
      </c>
      <c r="H864" t="s">
        <v>22452</v>
      </c>
      <c r="I864" t="s">
        <v>3827</v>
      </c>
      <c r="J864" t="s">
        <v>23120</v>
      </c>
      <c r="K864" t="s">
        <v>29335</v>
      </c>
      <c r="M864" t="s">
        <v>29965</v>
      </c>
      <c r="N864" t="s">
        <v>32524</v>
      </c>
      <c r="O864" t="s">
        <v>32525</v>
      </c>
      <c r="P864">
        <v>0</v>
      </c>
      <c r="Q864">
        <v>6</v>
      </c>
      <c r="R864" t="s">
        <v>32526</v>
      </c>
      <c r="S864" t="s">
        <v>32547</v>
      </c>
      <c r="T864" t="s">
        <v>33167</v>
      </c>
      <c r="U864" t="s">
        <v>34392</v>
      </c>
      <c r="W864" t="s">
        <v>29965</v>
      </c>
      <c r="X864" t="s">
        <v>32527</v>
      </c>
    </row>
    <row r="865" spans="1:24">
      <c r="A865">
        <f>HYPERLINK("https://www.philgeps.gov.ph/GEPSNONPILOT/Tender/SplashBidNoticeAbstractUI.aspx?menuIndex=3&amp;refID=7045131&amp;Result=3","7045131")</f>
        <v>0</v>
      </c>
      <c r="B865" t="s">
        <v>307</v>
      </c>
      <c r="C865" t="s">
        <v>3503</v>
      </c>
      <c r="D865" t="s">
        <v>13032</v>
      </c>
      <c r="E865" t="s">
        <v>13885</v>
      </c>
      <c r="F865" t="s">
        <v>22436</v>
      </c>
      <c r="G865" t="s">
        <v>22444</v>
      </c>
      <c r="H865" t="s">
        <v>22454</v>
      </c>
      <c r="I865" t="s">
        <v>7738</v>
      </c>
      <c r="J865" t="s">
        <v>23272</v>
      </c>
      <c r="K865" t="s">
        <v>29338</v>
      </c>
      <c r="M865" t="s">
        <v>29881</v>
      </c>
      <c r="N865" t="s">
        <v>32524</v>
      </c>
      <c r="O865" t="s">
        <v>32525</v>
      </c>
      <c r="P865">
        <v>0</v>
      </c>
      <c r="Q865">
        <v>0</v>
      </c>
      <c r="R865" t="s">
        <v>32526</v>
      </c>
      <c r="S865" t="s">
        <v>32547</v>
      </c>
      <c r="T865" t="s">
        <v>33259</v>
      </c>
      <c r="U865" t="s">
        <v>34393</v>
      </c>
      <c r="W865" t="s">
        <v>29881</v>
      </c>
      <c r="X865" t="s">
        <v>32527</v>
      </c>
    </row>
    <row r="866" spans="1:24">
      <c r="A866">
        <f>HYPERLINK("https://www.philgeps.gov.ph/GEPSNONPILOT/Tender/SplashBidNoticeAbstractUI.aspx?menuIndex=3&amp;refID=7045124&amp;Result=3","7045124")</f>
        <v>0</v>
      </c>
      <c r="B866" t="s">
        <v>277</v>
      </c>
      <c r="C866" t="s">
        <v>3504</v>
      </c>
      <c r="D866" t="s">
        <v>13007</v>
      </c>
      <c r="E866" t="s">
        <v>13886</v>
      </c>
      <c r="F866" t="s">
        <v>22436</v>
      </c>
      <c r="G866" t="s">
        <v>22443</v>
      </c>
      <c r="H866" t="s">
        <v>22452</v>
      </c>
      <c r="I866" t="s">
        <v>3840</v>
      </c>
      <c r="J866" t="s">
        <v>22692</v>
      </c>
      <c r="K866" t="s">
        <v>29335</v>
      </c>
      <c r="M866" t="s">
        <v>29851</v>
      </c>
      <c r="N866" t="s">
        <v>32524</v>
      </c>
      <c r="O866" t="s">
        <v>32525</v>
      </c>
      <c r="P866">
        <v>0</v>
      </c>
      <c r="Q866">
        <v>1</v>
      </c>
      <c r="R866" t="s">
        <v>32526</v>
      </c>
      <c r="S866" t="s">
        <v>32547</v>
      </c>
      <c r="T866" t="s">
        <v>33214</v>
      </c>
      <c r="U866" t="s">
        <v>34280</v>
      </c>
      <c r="W866" t="s">
        <v>29851</v>
      </c>
      <c r="X866" t="s">
        <v>32527</v>
      </c>
    </row>
    <row r="867" spans="1:24">
      <c r="A867">
        <f>HYPERLINK("https://www.philgeps.gov.ph/GEPSNONPILOT/Tender/SplashBidNoticeAbstractUI.aspx?menuIndex=3&amp;refID=7045127&amp;Result=3","7045127")</f>
        <v>0</v>
      </c>
      <c r="B867" t="s">
        <v>64</v>
      </c>
      <c r="C867" t="s">
        <v>3505</v>
      </c>
      <c r="D867" t="s">
        <v>13016</v>
      </c>
      <c r="E867" t="s">
        <v>13887</v>
      </c>
      <c r="F867" t="s">
        <v>22436</v>
      </c>
      <c r="G867" t="s">
        <v>22446</v>
      </c>
      <c r="H867" t="s">
        <v>22452</v>
      </c>
      <c r="I867" t="s">
        <v>22489</v>
      </c>
      <c r="J867" t="s">
        <v>22654</v>
      </c>
      <c r="K867" t="s">
        <v>29335</v>
      </c>
      <c r="M867" t="s">
        <v>29636</v>
      </c>
      <c r="N867" t="s">
        <v>32524</v>
      </c>
      <c r="O867" t="s">
        <v>32525</v>
      </c>
      <c r="P867">
        <v>0</v>
      </c>
      <c r="Q867">
        <v>2</v>
      </c>
      <c r="R867" t="s">
        <v>32526</v>
      </c>
      <c r="S867" t="s">
        <v>32547</v>
      </c>
      <c r="T867" t="s">
        <v>33181</v>
      </c>
      <c r="U867" t="s">
        <v>34394</v>
      </c>
      <c r="V867" t="s">
        <v>42432</v>
      </c>
      <c r="W867" t="s">
        <v>29636</v>
      </c>
      <c r="X867" t="s">
        <v>32527</v>
      </c>
    </row>
    <row r="868" spans="1:24">
      <c r="A868">
        <f>HYPERLINK("https://www.philgeps.gov.ph/GEPSNONPILOT/Tender/SplashBidNoticeAbstractUI.aspx?menuIndex=3&amp;refID=7045133&amp;Result=3","7045133")</f>
        <v>0</v>
      </c>
      <c r="B868" t="s">
        <v>352</v>
      </c>
      <c r="C868" t="s">
        <v>3506</v>
      </c>
      <c r="D868" t="s">
        <v>13040</v>
      </c>
      <c r="E868" t="s">
        <v>13888</v>
      </c>
      <c r="F868" t="s">
        <v>22436</v>
      </c>
      <c r="G868" t="s">
        <v>22444</v>
      </c>
      <c r="H868" t="s">
        <v>22452</v>
      </c>
      <c r="I868" t="s">
        <v>3827</v>
      </c>
      <c r="J868" t="s">
        <v>23273</v>
      </c>
      <c r="K868" t="s">
        <v>29338</v>
      </c>
      <c r="M868" t="s">
        <v>29929</v>
      </c>
      <c r="N868" t="s">
        <v>32524</v>
      </c>
      <c r="O868" t="s">
        <v>32525</v>
      </c>
      <c r="P868">
        <v>0</v>
      </c>
      <c r="Q868">
        <v>1</v>
      </c>
      <c r="R868" t="s">
        <v>32526</v>
      </c>
      <c r="S868" t="s">
        <v>32547</v>
      </c>
      <c r="T868" t="s">
        <v>33170</v>
      </c>
      <c r="U868" t="s">
        <v>34395</v>
      </c>
      <c r="W868" t="s">
        <v>29929</v>
      </c>
      <c r="X868" t="s">
        <v>32527</v>
      </c>
    </row>
    <row r="869" spans="1:24">
      <c r="A869">
        <f>HYPERLINK("https://www.philgeps.gov.ph/GEPSNONPILOT/Tender/SplashBidNoticeAbstractUI.aspx?menuIndex=3&amp;refID=7045112&amp;Result=3","7045112")</f>
        <v>0</v>
      </c>
      <c r="B869" t="s">
        <v>387</v>
      </c>
      <c r="C869" t="s">
        <v>3507</v>
      </c>
      <c r="D869" t="s">
        <v>12988</v>
      </c>
      <c r="E869" t="s">
        <v>13889</v>
      </c>
      <c r="F869" t="s">
        <v>22436</v>
      </c>
      <c r="G869" t="s">
        <v>22444</v>
      </c>
      <c r="H869" t="s">
        <v>22452</v>
      </c>
      <c r="I869" t="s">
        <v>22469</v>
      </c>
      <c r="J869" t="s">
        <v>23274</v>
      </c>
      <c r="K869" t="s">
        <v>29338</v>
      </c>
      <c r="M869" t="s">
        <v>29966</v>
      </c>
      <c r="N869" t="s">
        <v>32524</v>
      </c>
      <c r="O869" t="s">
        <v>32525</v>
      </c>
      <c r="P869">
        <v>0</v>
      </c>
      <c r="Q869">
        <v>16</v>
      </c>
      <c r="R869" t="s">
        <v>32526</v>
      </c>
      <c r="S869" t="s">
        <v>32547</v>
      </c>
      <c r="T869" t="s">
        <v>33165</v>
      </c>
      <c r="U869" t="s">
        <v>34396</v>
      </c>
      <c r="W869" t="s">
        <v>29966</v>
      </c>
      <c r="X869" t="s">
        <v>32527</v>
      </c>
    </row>
    <row r="870" spans="1:24">
      <c r="A870">
        <f>HYPERLINK("https://www.philgeps.gov.ph/GEPSNONPILOT/Tender/SplashBidNoticeAbstractUI.aspx?menuIndex=3&amp;refID=7045121&amp;Result=3","7045121")</f>
        <v>0</v>
      </c>
      <c r="B870" t="s">
        <v>388</v>
      </c>
      <c r="C870" t="s">
        <v>3508</v>
      </c>
      <c r="D870" t="s">
        <v>13046</v>
      </c>
      <c r="E870" t="s">
        <v>13380</v>
      </c>
      <c r="F870" t="s">
        <v>22436</v>
      </c>
      <c r="G870" t="s">
        <v>22443</v>
      </c>
      <c r="H870" t="s">
        <v>22452</v>
      </c>
      <c r="I870" t="s">
        <v>22460</v>
      </c>
      <c r="J870" t="s">
        <v>23275</v>
      </c>
      <c r="K870" t="s">
        <v>29336</v>
      </c>
      <c r="M870" t="s">
        <v>29967</v>
      </c>
      <c r="N870" t="s">
        <v>32524</v>
      </c>
      <c r="O870" t="s">
        <v>32525</v>
      </c>
      <c r="P870">
        <v>0</v>
      </c>
      <c r="Q870">
        <v>0</v>
      </c>
      <c r="R870" t="s">
        <v>32526</v>
      </c>
      <c r="S870" t="s">
        <v>32547</v>
      </c>
      <c r="T870" t="s">
        <v>33203</v>
      </c>
      <c r="U870" t="s">
        <v>34397</v>
      </c>
      <c r="W870" t="s">
        <v>29967</v>
      </c>
      <c r="X870" t="s">
        <v>32527</v>
      </c>
    </row>
    <row r="871" spans="1:24">
      <c r="A871">
        <f>HYPERLINK("https://www.philgeps.gov.ph/GEPSNONPILOT/Tender/SplashBidNoticeAbstractUI.aspx?menuIndex=3&amp;refID=7045125&amp;Result=3","7045125")</f>
        <v>0</v>
      </c>
      <c r="B871" t="s">
        <v>222</v>
      </c>
      <c r="C871" t="s">
        <v>3509</v>
      </c>
      <c r="D871" t="s">
        <v>12989</v>
      </c>
      <c r="E871" t="s">
        <v>13890</v>
      </c>
      <c r="F871" t="s">
        <v>22436</v>
      </c>
      <c r="G871" t="s">
        <v>22443</v>
      </c>
      <c r="H871" t="s">
        <v>22452</v>
      </c>
      <c r="I871" t="s">
        <v>22476</v>
      </c>
      <c r="J871" t="s">
        <v>22785</v>
      </c>
      <c r="K871" t="s">
        <v>29335</v>
      </c>
      <c r="M871" t="s">
        <v>29795</v>
      </c>
      <c r="N871" t="s">
        <v>32524</v>
      </c>
      <c r="O871" t="s">
        <v>32525</v>
      </c>
      <c r="P871">
        <v>0</v>
      </c>
      <c r="Q871">
        <v>0</v>
      </c>
      <c r="R871" t="s">
        <v>32526</v>
      </c>
      <c r="S871" t="s">
        <v>32547</v>
      </c>
      <c r="T871" t="s">
        <v>33271</v>
      </c>
      <c r="U871" t="s">
        <v>34398</v>
      </c>
      <c r="W871" t="s">
        <v>43672</v>
      </c>
      <c r="X871" t="s">
        <v>32527</v>
      </c>
    </row>
    <row r="872" spans="1:24">
      <c r="A872">
        <f>HYPERLINK("https://www.philgeps.gov.ph/GEPSNONPILOT/Tender/SplashBidNoticeAbstractUI.aspx?menuIndex=3&amp;refID=7045142&amp;Result=3","7045142")</f>
        <v>0</v>
      </c>
      <c r="B872" t="s">
        <v>340</v>
      </c>
      <c r="C872" t="s">
        <v>3510</v>
      </c>
      <c r="D872" t="s">
        <v>13007</v>
      </c>
      <c r="E872" t="s">
        <v>13891</v>
      </c>
      <c r="F872" t="s">
        <v>22438</v>
      </c>
      <c r="G872" t="s">
        <v>22445</v>
      </c>
      <c r="H872" t="s">
        <v>22452</v>
      </c>
      <c r="I872" t="s">
        <v>22466</v>
      </c>
      <c r="J872" t="s">
        <v>22986</v>
      </c>
      <c r="K872" t="s">
        <v>29356</v>
      </c>
      <c r="M872" t="s">
        <v>29916</v>
      </c>
      <c r="N872" t="s">
        <v>32524</v>
      </c>
      <c r="O872" t="s">
        <v>32525</v>
      </c>
      <c r="P872">
        <v>0</v>
      </c>
      <c r="Q872">
        <v>3</v>
      </c>
      <c r="R872" t="s">
        <v>32526</v>
      </c>
      <c r="S872" t="s">
        <v>32547</v>
      </c>
      <c r="T872" t="s">
        <v>33182</v>
      </c>
      <c r="U872" t="s">
        <v>34399</v>
      </c>
      <c r="W872" t="s">
        <v>29916</v>
      </c>
      <c r="X872" t="s">
        <v>32527</v>
      </c>
    </row>
    <row r="873" spans="1:24">
      <c r="A873">
        <f>HYPERLINK("https://www.philgeps.gov.ph/GEPSNONPILOT/Tender/SplashBidNoticeAbstractUI.aspx?menuIndex=3&amp;refID=7045123&amp;Result=3","7045123")</f>
        <v>0</v>
      </c>
      <c r="B873" t="s">
        <v>348</v>
      </c>
      <c r="C873" t="s">
        <v>3511</v>
      </c>
      <c r="D873" t="s">
        <v>13038</v>
      </c>
      <c r="E873" t="s">
        <v>13892</v>
      </c>
      <c r="F873" t="s">
        <v>22436</v>
      </c>
      <c r="G873" t="s">
        <v>22444</v>
      </c>
      <c r="H873" t="s">
        <v>22452</v>
      </c>
      <c r="I873" t="s">
        <v>22458</v>
      </c>
      <c r="J873" t="s">
        <v>23276</v>
      </c>
      <c r="K873" t="s">
        <v>29333</v>
      </c>
      <c r="L873" t="s">
        <v>348</v>
      </c>
      <c r="M873" t="s">
        <v>29924</v>
      </c>
      <c r="N873" t="s">
        <v>32524</v>
      </c>
      <c r="O873" t="s">
        <v>32525</v>
      </c>
      <c r="P873">
        <v>0</v>
      </c>
      <c r="Q873">
        <v>12</v>
      </c>
      <c r="R873" t="s">
        <v>32526</v>
      </c>
      <c r="S873" t="s">
        <v>32547</v>
      </c>
      <c r="T873" t="s">
        <v>33264</v>
      </c>
      <c r="U873" t="s">
        <v>34400</v>
      </c>
      <c r="W873" t="s">
        <v>29924</v>
      </c>
      <c r="X873" t="s">
        <v>32527</v>
      </c>
    </row>
    <row r="874" spans="1:24">
      <c r="A874">
        <f>HYPERLINK("https://www.philgeps.gov.ph/GEPSNONPILOT/Tender/SplashBidNoticeAbstractUI.aspx?menuIndex=3&amp;refID=7045141&amp;Result=3","7045141")</f>
        <v>0</v>
      </c>
      <c r="B874" t="s">
        <v>389</v>
      </c>
      <c r="C874" t="s">
        <v>3512</v>
      </c>
      <c r="D874" t="s">
        <v>13022</v>
      </c>
      <c r="E874" t="s">
        <v>13893</v>
      </c>
      <c r="F874" t="s">
        <v>22436</v>
      </c>
      <c r="G874" t="s">
        <v>22443</v>
      </c>
      <c r="H874" t="s">
        <v>22452</v>
      </c>
      <c r="I874" t="s">
        <v>22493</v>
      </c>
      <c r="J874" t="s">
        <v>23277</v>
      </c>
      <c r="K874" t="s">
        <v>29356</v>
      </c>
      <c r="M874" t="s">
        <v>29968</v>
      </c>
      <c r="N874" t="s">
        <v>32524</v>
      </c>
      <c r="O874" t="s">
        <v>32525</v>
      </c>
      <c r="P874">
        <v>0</v>
      </c>
      <c r="Q874">
        <v>1</v>
      </c>
      <c r="R874" t="s">
        <v>32526</v>
      </c>
      <c r="S874" t="s">
        <v>32547</v>
      </c>
      <c r="T874" t="s">
        <v>33169</v>
      </c>
      <c r="U874" t="s">
        <v>34401</v>
      </c>
      <c r="V874" t="s">
        <v>42506</v>
      </c>
      <c r="W874" t="s">
        <v>29968</v>
      </c>
      <c r="X874" t="s">
        <v>32527</v>
      </c>
    </row>
    <row r="875" spans="1:24">
      <c r="A875">
        <f>HYPERLINK("https://www.philgeps.gov.ph/GEPSNONPILOT/Tender/SplashBidNoticeAbstractUI.aspx?menuIndex=3&amp;refID=7045120&amp;Result=3","7045120")</f>
        <v>0</v>
      </c>
      <c r="B875" t="s">
        <v>358</v>
      </c>
      <c r="C875" t="s">
        <v>3513</v>
      </c>
      <c r="D875" t="s">
        <v>13034</v>
      </c>
      <c r="E875" t="s">
        <v>13894</v>
      </c>
      <c r="F875" t="s">
        <v>22436</v>
      </c>
      <c r="G875" t="s">
        <v>22443</v>
      </c>
      <c r="H875" t="s">
        <v>22454</v>
      </c>
      <c r="I875" t="s">
        <v>7738</v>
      </c>
      <c r="J875" t="s">
        <v>22640</v>
      </c>
      <c r="K875" t="s">
        <v>29333</v>
      </c>
      <c r="M875" t="s">
        <v>29935</v>
      </c>
      <c r="N875" t="s">
        <v>32524</v>
      </c>
      <c r="O875" t="s">
        <v>32525</v>
      </c>
      <c r="P875">
        <v>0</v>
      </c>
      <c r="Q875">
        <v>0</v>
      </c>
      <c r="R875" t="s">
        <v>32526</v>
      </c>
      <c r="S875" t="s">
        <v>32547</v>
      </c>
      <c r="T875" t="s">
        <v>33180</v>
      </c>
      <c r="U875" t="s">
        <v>34402</v>
      </c>
      <c r="V875" t="s">
        <v>42500</v>
      </c>
      <c r="W875" t="s">
        <v>29935</v>
      </c>
      <c r="X875" t="s">
        <v>32527</v>
      </c>
    </row>
    <row r="876" spans="1:24">
      <c r="A876">
        <f>HYPERLINK("https://www.philgeps.gov.ph/GEPSNONPILOT/Tender/SplashBidNoticeAbstractUI.aspx?menuIndex=3&amp;refID=7045136&amp;Result=3","7045136")</f>
        <v>0</v>
      </c>
      <c r="B876" t="s">
        <v>146</v>
      </c>
      <c r="C876" t="s">
        <v>3514</v>
      </c>
      <c r="D876" t="s">
        <v>13042</v>
      </c>
      <c r="E876" t="s">
        <v>13895</v>
      </c>
      <c r="F876" t="s">
        <v>22436</v>
      </c>
      <c r="G876" t="s">
        <v>22444</v>
      </c>
      <c r="H876" t="s">
        <v>22452</v>
      </c>
      <c r="I876" t="s">
        <v>22479</v>
      </c>
      <c r="J876" t="s">
        <v>23278</v>
      </c>
      <c r="K876" t="s">
        <v>29336</v>
      </c>
      <c r="M876" t="s">
        <v>29937</v>
      </c>
      <c r="N876" t="s">
        <v>32524</v>
      </c>
      <c r="O876" t="s">
        <v>32525</v>
      </c>
      <c r="P876">
        <v>0</v>
      </c>
      <c r="Q876">
        <v>1</v>
      </c>
      <c r="R876" t="s">
        <v>32526</v>
      </c>
      <c r="S876" t="s">
        <v>32547</v>
      </c>
      <c r="T876" t="s">
        <v>33266</v>
      </c>
      <c r="U876" t="s">
        <v>34403</v>
      </c>
      <c r="W876" t="s">
        <v>29937</v>
      </c>
      <c r="X876" t="s">
        <v>32527</v>
      </c>
    </row>
    <row r="877" spans="1:24">
      <c r="A877">
        <f>HYPERLINK("https://www.philgeps.gov.ph/GEPSNONPILOT/Tender/SplashBidNoticeAbstractUI.aspx?menuIndex=3&amp;refID=7045140&amp;Result=3","7045140")</f>
        <v>0</v>
      </c>
      <c r="B877" t="s">
        <v>390</v>
      </c>
      <c r="C877" t="s">
        <v>3515</v>
      </c>
      <c r="D877" t="s">
        <v>13013</v>
      </c>
      <c r="E877" t="s">
        <v>13896</v>
      </c>
      <c r="F877" t="s">
        <v>22436</v>
      </c>
      <c r="G877" t="s">
        <v>22447</v>
      </c>
      <c r="H877" t="s">
        <v>22452</v>
      </c>
      <c r="I877" t="s">
        <v>3827</v>
      </c>
      <c r="J877" t="s">
        <v>23279</v>
      </c>
      <c r="K877" t="s">
        <v>29341</v>
      </c>
      <c r="M877" t="s">
        <v>29969</v>
      </c>
      <c r="N877" t="s">
        <v>32524</v>
      </c>
      <c r="O877" t="s">
        <v>32525</v>
      </c>
      <c r="P877">
        <v>0</v>
      </c>
      <c r="Q877">
        <v>2</v>
      </c>
      <c r="R877" t="s">
        <v>32526</v>
      </c>
      <c r="S877" t="s">
        <v>32547</v>
      </c>
      <c r="T877" t="s">
        <v>33230</v>
      </c>
      <c r="U877" t="s">
        <v>34404</v>
      </c>
      <c r="W877" t="s">
        <v>29969</v>
      </c>
      <c r="X877" t="s">
        <v>32527</v>
      </c>
    </row>
    <row r="878" spans="1:24">
      <c r="A878">
        <f>HYPERLINK("https://www.philgeps.gov.ph/GEPSNONPILOT/Tender/SplashBidNoticeAbstractUI.aspx?menuIndex=3&amp;refID=7045137&amp;Result=3","7045137")</f>
        <v>0</v>
      </c>
      <c r="B878" t="s">
        <v>311</v>
      </c>
      <c r="C878" t="s">
        <v>3516</v>
      </c>
      <c r="D878" t="s">
        <v>13035</v>
      </c>
      <c r="E878" t="s">
        <v>13897</v>
      </c>
      <c r="F878" t="s">
        <v>22436</v>
      </c>
      <c r="G878" t="s">
        <v>22447</v>
      </c>
      <c r="H878" t="s">
        <v>22452</v>
      </c>
      <c r="I878" t="s">
        <v>22465</v>
      </c>
      <c r="J878" t="s">
        <v>23280</v>
      </c>
      <c r="K878" t="s">
        <v>29338</v>
      </c>
      <c r="M878" t="s">
        <v>29886</v>
      </c>
      <c r="N878" t="s">
        <v>32524</v>
      </c>
      <c r="O878" t="s">
        <v>32525</v>
      </c>
      <c r="P878">
        <v>0</v>
      </c>
      <c r="Q878">
        <v>0</v>
      </c>
      <c r="R878" t="s">
        <v>32526</v>
      </c>
      <c r="S878" t="s">
        <v>32547</v>
      </c>
      <c r="T878" t="s">
        <v>33180</v>
      </c>
      <c r="U878" t="s">
        <v>34405</v>
      </c>
      <c r="W878" t="s">
        <v>29886</v>
      </c>
      <c r="X878" t="s">
        <v>32527</v>
      </c>
    </row>
    <row r="879" spans="1:24">
      <c r="A879">
        <f>HYPERLINK("https://www.philgeps.gov.ph/GEPSNONPILOT/Tender/SplashBidNoticeAbstractUI.aspx?menuIndex=3&amp;refID=7045122&amp;Result=3","7045122")</f>
        <v>0</v>
      </c>
      <c r="B879" t="s">
        <v>391</v>
      </c>
      <c r="C879" t="s">
        <v>3517</v>
      </c>
      <c r="D879" t="s">
        <v>13000</v>
      </c>
      <c r="E879" t="s">
        <v>13898</v>
      </c>
      <c r="F879" t="s">
        <v>22436</v>
      </c>
      <c r="G879" t="s">
        <v>22446</v>
      </c>
      <c r="H879" t="s">
        <v>22452</v>
      </c>
      <c r="I879" t="s">
        <v>3827</v>
      </c>
      <c r="J879" t="s">
        <v>22617</v>
      </c>
      <c r="K879" t="s">
        <v>29356</v>
      </c>
      <c r="M879" t="s">
        <v>29970</v>
      </c>
      <c r="N879" t="s">
        <v>32524</v>
      </c>
      <c r="O879" t="s">
        <v>32525</v>
      </c>
      <c r="P879">
        <v>0</v>
      </c>
      <c r="Q879">
        <v>1</v>
      </c>
      <c r="R879" t="s">
        <v>32526</v>
      </c>
      <c r="S879" t="s">
        <v>32547</v>
      </c>
      <c r="T879" t="s">
        <v>33172</v>
      </c>
      <c r="U879" t="s">
        <v>34406</v>
      </c>
      <c r="W879" t="s">
        <v>29970</v>
      </c>
      <c r="X879" t="s">
        <v>32527</v>
      </c>
    </row>
    <row r="880" spans="1:24">
      <c r="A880">
        <f>HYPERLINK("https://www.philgeps.gov.ph/GEPSNONPILOT/Tender/SplashBidNoticeAbstractUI.aspx?menuIndex=3&amp;refID=7045143&amp;Result=3","7045143")</f>
        <v>0</v>
      </c>
      <c r="B880" t="s">
        <v>268</v>
      </c>
      <c r="C880" t="s">
        <v>3227</v>
      </c>
      <c r="D880" t="s">
        <v>13015</v>
      </c>
      <c r="E880" t="s">
        <v>13899</v>
      </c>
      <c r="F880" t="s">
        <v>22436</v>
      </c>
      <c r="G880" t="s">
        <v>22444</v>
      </c>
      <c r="H880" t="s">
        <v>22454</v>
      </c>
      <c r="I880" t="s">
        <v>7738</v>
      </c>
      <c r="J880" t="s">
        <v>22674</v>
      </c>
      <c r="K880" t="s">
        <v>29333</v>
      </c>
      <c r="M880" t="s">
        <v>29842</v>
      </c>
      <c r="N880" t="s">
        <v>32524</v>
      </c>
      <c r="O880" t="s">
        <v>32525</v>
      </c>
      <c r="P880">
        <v>0</v>
      </c>
      <c r="Q880">
        <v>0</v>
      </c>
      <c r="R880" t="s">
        <v>32526</v>
      </c>
      <c r="S880" t="s">
        <v>32547</v>
      </c>
      <c r="T880" t="s">
        <v>33199</v>
      </c>
      <c r="U880" t="s">
        <v>34301</v>
      </c>
      <c r="W880" t="s">
        <v>29842</v>
      </c>
      <c r="X880" t="s">
        <v>32527</v>
      </c>
    </row>
    <row r="881" spans="1:24">
      <c r="A881">
        <f>HYPERLINK("https://www.philgeps.gov.ph/GEPSNONPILOT/Tender/SplashBidNoticeAbstractUI.aspx?menuIndex=3&amp;refID=7045138&amp;Result=3","7045138")</f>
        <v>0</v>
      </c>
      <c r="B881" t="s">
        <v>392</v>
      </c>
      <c r="C881" t="s">
        <v>3518</v>
      </c>
      <c r="E881" t="s">
        <v>13900</v>
      </c>
      <c r="F881" t="s">
        <v>22436</v>
      </c>
      <c r="G881" t="s">
        <v>22444</v>
      </c>
      <c r="H881" t="s">
        <v>22452</v>
      </c>
      <c r="I881" t="s">
        <v>7738</v>
      </c>
      <c r="J881" t="s">
        <v>23281</v>
      </c>
      <c r="K881" t="s">
        <v>29338</v>
      </c>
      <c r="M881" t="s">
        <v>29971</v>
      </c>
      <c r="N881" t="s">
        <v>32524</v>
      </c>
      <c r="O881" t="s">
        <v>32525</v>
      </c>
      <c r="P881">
        <v>0</v>
      </c>
      <c r="Q881">
        <v>1</v>
      </c>
      <c r="R881" t="s">
        <v>32526</v>
      </c>
      <c r="S881" t="s">
        <v>32547</v>
      </c>
      <c r="T881" t="s">
        <v>33272</v>
      </c>
      <c r="U881" t="s">
        <v>34407</v>
      </c>
      <c r="W881" t="s">
        <v>29971</v>
      </c>
      <c r="X881" t="s">
        <v>32527</v>
      </c>
    </row>
    <row r="882" spans="1:24">
      <c r="A882">
        <f>HYPERLINK("https://www.philgeps.gov.ph/GEPSNONPILOT/Tender/SplashBidNoticeAbstractUI.aspx?menuIndex=3&amp;refID=7045144&amp;Result=3","7045144")</f>
        <v>0</v>
      </c>
      <c r="B882" t="s">
        <v>355</v>
      </c>
      <c r="C882" t="s">
        <v>3519</v>
      </c>
      <c r="D882" t="s">
        <v>13010</v>
      </c>
      <c r="E882" t="s">
        <v>13901</v>
      </c>
      <c r="F882" t="s">
        <v>22436</v>
      </c>
      <c r="G882" t="s">
        <v>22444</v>
      </c>
      <c r="H882" t="s">
        <v>22452</v>
      </c>
      <c r="I882" t="s">
        <v>22479</v>
      </c>
      <c r="J882" t="s">
        <v>23282</v>
      </c>
      <c r="K882" t="s">
        <v>29335</v>
      </c>
      <c r="M882" t="s">
        <v>29932</v>
      </c>
      <c r="N882" t="s">
        <v>32524</v>
      </c>
      <c r="O882" t="s">
        <v>32525</v>
      </c>
      <c r="P882">
        <v>0</v>
      </c>
      <c r="Q882">
        <v>2</v>
      </c>
      <c r="R882" t="s">
        <v>32526</v>
      </c>
      <c r="S882" t="s">
        <v>32547</v>
      </c>
      <c r="T882" t="s">
        <v>33265</v>
      </c>
      <c r="U882" t="s">
        <v>34408</v>
      </c>
      <c r="V882" t="s">
        <v>42507</v>
      </c>
      <c r="W882" t="s">
        <v>29932</v>
      </c>
      <c r="X882" t="s">
        <v>32527</v>
      </c>
    </row>
    <row r="883" spans="1:24">
      <c r="A883">
        <f>HYPERLINK("https://www.philgeps.gov.ph/GEPSNONPILOT/Tender/SplashBidNoticeAbstractUI.aspx?menuIndex=3&amp;refID=7045146&amp;Result=3","7045146")</f>
        <v>0</v>
      </c>
      <c r="B883" t="s">
        <v>393</v>
      </c>
      <c r="C883" t="s">
        <v>3520</v>
      </c>
      <c r="D883" t="s">
        <v>13011</v>
      </c>
      <c r="E883" t="s">
        <v>13902</v>
      </c>
      <c r="F883" t="s">
        <v>22436</v>
      </c>
      <c r="G883" t="s">
        <v>22443</v>
      </c>
      <c r="H883" t="s">
        <v>22454</v>
      </c>
      <c r="I883" t="s">
        <v>3529</v>
      </c>
      <c r="J883" t="s">
        <v>23283</v>
      </c>
      <c r="K883" t="s">
        <v>29336</v>
      </c>
      <c r="M883" t="s">
        <v>29972</v>
      </c>
      <c r="N883" t="s">
        <v>32524</v>
      </c>
      <c r="O883" t="s">
        <v>32525</v>
      </c>
      <c r="P883">
        <v>0</v>
      </c>
      <c r="Q883">
        <v>0</v>
      </c>
      <c r="R883" t="s">
        <v>32526</v>
      </c>
      <c r="S883" t="s">
        <v>32547</v>
      </c>
      <c r="T883" t="s">
        <v>33215</v>
      </c>
      <c r="U883" t="s">
        <v>34409</v>
      </c>
      <c r="W883" t="s">
        <v>29972</v>
      </c>
      <c r="X883" t="s">
        <v>32527</v>
      </c>
    </row>
    <row r="884" spans="1:24">
      <c r="A884">
        <f>HYPERLINK("https://www.philgeps.gov.ph/GEPSNONPILOT/Tender/SplashBidNoticeAbstractUI.aspx?menuIndex=3&amp;refID=7045145&amp;Result=3","7045145")</f>
        <v>0</v>
      </c>
      <c r="B884" t="s">
        <v>277</v>
      </c>
      <c r="C884" t="s">
        <v>3521</v>
      </c>
      <c r="D884" t="s">
        <v>13007</v>
      </c>
      <c r="E884" t="s">
        <v>13903</v>
      </c>
      <c r="F884" t="s">
        <v>22436</v>
      </c>
      <c r="G884" t="s">
        <v>22443</v>
      </c>
      <c r="H884" t="s">
        <v>22452</v>
      </c>
      <c r="I884" t="s">
        <v>12358</v>
      </c>
      <c r="J884" t="s">
        <v>23284</v>
      </c>
      <c r="K884" t="s">
        <v>29335</v>
      </c>
      <c r="M884" t="s">
        <v>29851</v>
      </c>
      <c r="N884" t="s">
        <v>32524</v>
      </c>
      <c r="O884" t="s">
        <v>32525</v>
      </c>
      <c r="P884">
        <v>0</v>
      </c>
      <c r="Q884">
        <v>0</v>
      </c>
      <c r="R884" t="s">
        <v>32526</v>
      </c>
      <c r="S884" t="s">
        <v>32547</v>
      </c>
      <c r="T884" t="s">
        <v>33155</v>
      </c>
      <c r="U884" t="s">
        <v>34280</v>
      </c>
      <c r="W884" t="s">
        <v>29851</v>
      </c>
      <c r="X884" t="s">
        <v>32527</v>
      </c>
    </row>
    <row r="885" spans="1:24">
      <c r="A885">
        <f>HYPERLINK("https://www.philgeps.gov.ph/GEPSNONPILOT/Tender/SplashBidNoticeAbstractUI.aspx?menuIndex=3&amp;refID=7045139&amp;Result=3","7045139")</f>
        <v>0</v>
      </c>
      <c r="B885" t="s">
        <v>280</v>
      </c>
      <c r="C885" t="s">
        <v>3522</v>
      </c>
      <c r="D885" t="s">
        <v>13055</v>
      </c>
      <c r="E885" t="s">
        <v>13904</v>
      </c>
      <c r="F885" t="s">
        <v>22436</v>
      </c>
      <c r="G885" t="s">
        <v>22443</v>
      </c>
      <c r="H885" t="s">
        <v>22452</v>
      </c>
      <c r="I885" t="s">
        <v>3027</v>
      </c>
      <c r="J885" t="s">
        <v>23285</v>
      </c>
      <c r="K885" t="s">
        <v>29336</v>
      </c>
      <c r="M885" t="s">
        <v>29854</v>
      </c>
      <c r="N885" t="s">
        <v>32524</v>
      </c>
      <c r="O885" t="s">
        <v>32525</v>
      </c>
      <c r="P885">
        <v>0</v>
      </c>
      <c r="Q885">
        <v>0</v>
      </c>
      <c r="R885" t="s">
        <v>32526</v>
      </c>
      <c r="S885" t="s">
        <v>32547</v>
      </c>
      <c r="T885" t="s">
        <v>33181</v>
      </c>
      <c r="U885" t="s">
        <v>34336</v>
      </c>
      <c r="V885" t="s">
        <v>42486</v>
      </c>
      <c r="W885" t="s">
        <v>29854</v>
      </c>
      <c r="X885" t="s">
        <v>32527</v>
      </c>
    </row>
    <row r="886" spans="1:24">
      <c r="A886">
        <f>HYPERLINK("https://www.philgeps.gov.ph/GEPSNONPILOT/Tender/SplashBidNoticeAbstractUI.aspx?menuIndex=3&amp;refID=7045149&amp;Result=3","7045149")</f>
        <v>0</v>
      </c>
      <c r="B886" t="s">
        <v>291</v>
      </c>
      <c r="C886" t="s">
        <v>3523</v>
      </c>
      <c r="D886" t="s">
        <v>13041</v>
      </c>
      <c r="E886" t="s">
        <v>13905</v>
      </c>
      <c r="F886" t="s">
        <v>22436</v>
      </c>
      <c r="G886" t="s">
        <v>22443</v>
      </c>
      <c r="H886" t="s">
        <v>22452</v>
      </c>
      <c r="I886" t="s">
        <v>22469</v>
      </c>
      <c r="J886" t="s">
        <v>22706</v>
      </c>
      <c r="K886" t="s">
        <v>29331</v>
      </c>
      <c r="M886" t="s">
        <v>29865</v>
      </c>
      <c r="N886" t="s">
        <v>32524</v>
      </c>
      <c r="O886" t="s">
        <v>32525</v>
      </c>
      <c r="P886">
        <v>0</v>
      </c>
      <c r="Q886">
        <v>1</v>
      </c>
      <c r="R886" t="s">
        <v>32526</v>
      </c>
      <c r="S886" t="s">
        <v>32547</v>
      </c>
      <c r="T886" t="s">
        <v>33255</v>
      </c>
      <c r="U886" t="s">
        <v>34185</v>
      </c>
      <c r="W886" t="s">
        <v>29865</v>
      </c>
      <c r="X886" t="s">
        <v>32527</v>
      </c>
    </row>
    <row r="887" spans="1:24">
      <c r="A887">
        <f>HYPERLINK("https://www.philgeps.gov.ph/GEPSNONPILOT/Tender/SplashBidNoticeAbstractUI.aspx?menuIndex=3&amp;refID=7045150&amp;Result=3","7045150")</f>
        <v>0</v>
      </c>
      <c r="B887" t="s">
        <v>50</v>
      </c>
      <c r="C887" t="s">
        <v>3524</v>
      </c>
      <c r="D887" t="s">
        <v>13008</v>
      </c>
      <c r="E887" t="s">
        <v>13906</v>
      </c>
      <c r="F887" t="s">
        <v>22436</v>
      </c>
      <c r="G887" t="s">
        <v>22444</v>
      </c>
      <c r="H887" t="s">
        <v>22452</v>
      </c>
      <c r="I887" t="s">
        <v>3027</v>
      </c>
      <c r="J887" t="s">
        <v>23286</v>
      </c>
      <c r="K887" t="s">
        <v>29335</v>
      </c>
      <c r="M887" t="s">
        <v>29622</v>
      </c>
      <c r="N887" t="s">
        <v>32524</v>
      </c>
      <c r="O887" t="s">
        <v>32525</v>
      </c>
      <c r="P887">
        <v>0</v>
      </c>
      <c r="Q887">
        <v>0</v>
      </c>
      <c r="R887" t="s">
        <v>32526</v>
      </c>
      <c r="S887" t="s">
        <v>32547</v>
      </c>
      <c r="T887" t="s">
        <v>33166</v>
      </c>
      <c r="U887" t="s">
        <v>34410</v>
      </c>
      <c r="W887" t="s">
        <v>29622</v>
      </c>
      <c r="X887" t="s">
        <v>32527</v>
      </c>
    </row>
    <row r="888" spans="1:24">
      <c r="A888">
        <f>HYPERLINK("https://www.philgeps.gov.ph/GEPSNONPILOT/Tender/SplashBidNoticeAbstractUI.aspx?menuIndex=3&amp;refID=7045148&amp;Result=3","7045148")</f>
        <v>0</v>
      </c>
      <c r="B888" t="s">
        <v>350</v>
      </c>
      <c r="C888" t="s">
        <v>3525</v>
      </c>
      <c r="D888" t="s">
        <v>13031</v>
      </c>
      <c r="E888" t="s">
        <v>13907</v>
      </c>
      <c r="F888" t="s">
        <v>22436</v>
      </c>
      <c r="G888" t="s">
        <v>22443</v>
      </c>
      <c r="H888" t="s">
        <v>22452</v>
      </c>
      <c r="I888" t="s">
        <v>22519</v>
      </c>
      <c r="J888" t="s">
        <v>23287</v>
      </c>
      <c r="K888" t="s">
        <v>29338</v>
      </c>
      <c r="M888" t="s">
        <v>29927</v>
      </c>
      <c r="N888" t="s">
        <v>32524</v>
      </c>
      <c r="O888" t="s">
        <v>32525</v>
      </c>
      <c r="P888">
        <v>0</v>
      </c>
      <c r="Q888">
        <v>1</v>
      </c>
      <c r="R888" t="s">
        <v>32526</v>
      </c>
      <c r="S888" t="s">
        <v>32547</v>
      </c>
      <c r="T888" t="s">
        <v>33273</v>
      </c>
      <c r="U888" t="s">
        <v>34315</v>
      </c>
      <c r="W888" t="s">
        <v>29927</v>
      </c>
      <c r="X888" t="s">
        <v>32527</v>
      </c>
    </row>
    <row r="889" spans="1:24">
      <c r="A889">
        <f>HYPERLINK("https://www.philgeps.gov.ph/GEPSNONPILOT/Tender/SplashBidNoticeAbstractUI.aspx?menuIndex=3&amp;refID=7045162&amp;Result=3","7045162")</f>
        <v>0</v>
      </c>
      <c r="B889" t="s">
        <v>394</v>
      </c>
      <c r="C889" t="s">
        <v>3526</v>
      </c>
      <c r="D889" t="s">
        <v>13060</v>
      </c>
      <c r="E889" t="s">
        <v>13908</v>
      </c>
      <c r="F889" t="s">
        <v>22436</v>
      </c>
      <c r="G889" t="s">
        <v>22443</v>
      </c>
      <c r="H889" t="s">
        <v>22452</v>
      </c>
      <c r="I889" t="s">
        <v>2981</v>
      </c>
      <c r="J889" t="s">
        <v>23288</v>
      </c>
      <c r="K889" t="s">
        <v>29357</v>
      </c>
      <c r="M889" t="s">
        <v>29973</v>
      </c>
      <c r="N889" t="s">
        <v>32524</v>
      </c>
      <c r="O889" t="s">
        <v>32525</v>
      </c>
      <c r="P889">
        <v>0</v>
      </c>
      <c r="Q889">
        <v>0</v>
      </c>
      <c r="R889" t="s">
        <v>32526</v>
      </c>
      <c r="S889" t="s">
        <v>32547</v>
      </c>
      <c r="T889" t="s">
        <v>33167</v>
      </c>
      <c r="U889" t="s">
        <v>34411</v>
      </c>
      <c r="W889" t="s">
        <v>29973</v>
      </c>
      <c r="X889" t="s">
        <v>32527</v>
      </c>
    </row>
    <row r="890" spans="1:24">
      <c r="A890">
        <f>HYPERLINK("https://www.philgeps.gov.ph/GEPSNONPILOT/Tender/SplashBidNoticeAbstractUI.aspx?menuIndex=3&amp;refID=7045147&amp;Result=3","7045147")</f>
        <v>0</v>
      </c>
      <c r="B890" t="s">
        <v>395</v>
      </c>
      <c r="C890" t="s">
        <v>3527</v>
      </c>
      <c r="D890" t="s">
        <v>12999</v>
      </c>
      <c r="E890" t="s">
        <v>13487</v>
      </c>
      <c r="F890" t="s">
        <v>22436</v>
      </c>
      <c r="G890" t="s">
        <v>22446</v>
      </c>
      <c r="H890" t="s">
        <v>22452</v>
      </c>
      <c r="I890" t="s">
        <v>2981</v>
      </c>
      <c r="J890" t="s">
        <v>23289</v>
      </c>
      <c r="K890" t="s">
        <v>29336</v>
      </c>
      <c r="M890" t="s">
        <v>29974</v>
      </c>
      <c r="N890" t="s">
        <v>32524</v>
      </c>
      <c r="O890" t="s">
        <v>32525</v>
      </c>
      <c r="P890">
        <v>0</v>
      </c>
      <c r="Q890">
        <v>0</v>
      </c>
      <c r="R890" t="s">
        <v>32526</v>
      </c>
      <c r="S890" t="s">
        <v>32547</v>
      </c>
      <c r="T890" t="s">
        <v>33238</v>
      </c>
      <c r="U890" t="s">
        <v>34412</v>
      </c>
      <c r="W890" t="s">
        <v>29974</v>
      </c>
      <c r="X890" t="s">
        <v>32527</v>
      </c>
    </row>
    <row r="891" spans="1:24">
      <c r="A891">
        <f>HYPERLINK("https://www.philgeps.gov.ph/GEPSNONPILOT/Tender/SplashBidNoticeAbstractUI.aspx?menuIndex=3&amp;refID=7045160&amp;Result=3","7045160")</f>
        <v>0</v>
      </c>
      <c r="B891" t="s">
        <v>280</v>
      </c>
      <c r="C891" t="s">
        <v>3528</v>
      </c>
      <c r="D891" t="s">
        <v>13055</v>
      </c>
      <c r="E891" t="s">
        <v>13909</v>
      </c>
      <c r="F891" t="s">
        <v>22436</v>
      </c>
      <c r="G891" t="s">
        <v>22443</v>
      </c>
      <c r="H891" t="s">
        <v>22452</v>
      </c>
      <c r="I891" t="s">
        <v>22467</v>
      </c>
      <c r="J891" t="s">
        <v>22692</v>
      </c>
      <c r="K891" t="s">
        <v>29334</v>
      </c>
      <c r="M891" t="s">
        <v>29854</v>
      </c>
      <c r="N891" t="s">
        <v>32524</v>
      </c>
      <c r="O891" t="s">
        <v>32525</v>
      </c>
      <c r="P891">
        <v>0</v>
      </c>
      <c r="Q891">
        <v>0</v>
      </c>
      <c r="R891" t="s">
        <v>32526</v>
      </c>
      <c r="S891" t="s">
        <v>32547</v>
      </c>
      <c r="T891" t="s">
        <v>33181</v>
      </c>
      <c r="U891" t="s">
        <v>34336</v>
      </c>
      <c r="V891" t="s">
        <v>42486</v>
      </c>
      <c r="W891" t="s">
        <v>29854</v>
      </c>
      <c r="X891" t="s">
        <v>32527</v>
      </c>
    </row>
    <row r="892" spans="1:24">
      <c r="A892">
        <f>HYPERLINK("https://www.philgeps.gov.ph/GEPSNONPILOT/Tender/SplashBidNoticeAbstractUI.aspx?menuIndex=3&amp;refID=7045152&amp;Result=3","7045152")</f>
        <v>0</v>
      </c>
      <c r="B892" t="s">
        <v>224</v>
      </c>
      <c r="C892" t="s">
        <v>3529</v>
      </c>
      <c r="D892" t="s">
        <v>13018</v>
      </c>
      <c r="E892" t="s">
        <v>13910</v>
      </c>
      <c r="F892" t="s">
        <v>22436</v>
      </c>
      <c r="G892" t="s">
        <v>22444</v>
      </c>
      <c r="H892" t="s">
        <v>22454</v>
      </c>
      <c r="I892" t="s">
        <v>3529</v>
      </c>
      <c r="J892" t="s">
        <v>23290</v>
      </c>
      <c r="K892" t="s">
        <v>29331</v>
      </c>
      <c r="M892" t="s">
        <v>29797</v>
      </c>
      <c r="N892" t="s">
        <v>32524</v>
      </c>
      <c r="O892" t="s">
        <v>32525</v>
      </c>
      <c r="P892">
        <v>0</v>
      </c>
      <c r="Q892">
        <v>0</v>
      </c>
      <c r="R892" t="s">
        <v>32526</v>
      </c>
      <c r="S892" t="s">
        <v>32547</v>
      </c>
      <c r="T892" t="s">
        <v>33166</v>
      </c>
      <c r="U892" t="s">
        <v>34413</v>
      </c>
      <c r="W892" t="s">
        <v>29797</v>
      </c>
      <c r="X892" t="s">
        <v>32527</v>
      </c>
    </row>
    <row r="893" spans="1:24">
      <c r="A893">
        <f>HYPERLINK("https://www.philgeps.gov.ph/GEPSNONPILOT/Tender/SplashBidNoticeAbstractUI.aspx?menuIndex=3&amp;refID=7045156&amp;Result=3","7045156")</f>
        <v>0</v>
      </c>
      <c r="B893" t="s">
        <v>396</v>
      </c>
      <c r="C893" t="s">
        <v>3530</v>
      </c>
      <c r="D893" t="s">
        <v>13000</v>
      </c>
      <c r="E893" t="s">
        <v>13911</v>
      </c>
      <c r="F893" t="s">
        <v>22436</v>
      </c>
      <c r="G893" t="s">
        <v>22443</v>
      </c>
      <c r="H893" t="s">
        <v>22452</v>
      </c>
      <c r="I893" t="s">
        <v>22463</v>
      </c>
      <c r="J893" t="s">
        <v>23291</v>
      </c>
      <c r="K893" t="s">
        <v>29338</v>
      </c>
      <c r="M893" t="s">
        <v>29975</v>
      </c>
      <c r="N893" t="s">
        <v>32524</v>
      </c>
      <c r="O893" t="s">
        <v>32525</v>
      </c>
      <c r="P893">
        <v>0</v>
      </c>
      <c r="Q893">
        <v>1</v>
      </c>
      <c r="R893" t="s">
        <v>32526</v>
      </c>
      <c r="S893" t="s">
        <v>32547</v>
      </c>
      <c r="T893" t="s">
        <v>33154</v>
      </c>
      <c r="U893" t="s">
        <v>34414</v>
      </c>
      <c r="W893" t="s">
        <v>29975</v>
      </c>
      <c r="X893" t="s">
        <v>32527</v>
      </c>
    </row>
    <row r="894" spans="1:24">
      <c r="A894">
        <f>HYPERLINK("https://www.philgeps.gov.ph/GEPSNONPILOT/Tender/SplashBidNoticeAbstractUI.aspx?menuIndex=3&amp;refID=7045155&amp;Result=3","7045155")</f>
        <v>0</v>
      </c>
      <c r="B894" t="s">
        <v>395</v>
      </c>
      <c r="C894" t="s">
        <v>3531</v>
      </c>
      <c r="D894" t="s">
        <v>12999</v>
      </c>
      <c r="E894" t="s">
        <v>13521</v>
      </c>
      <c r="F894" t="s">
        <v>22436</v>
      </c>
      <c r="G894" t="s">
        <v>22446</v>
      </c>
      <c r="H894" t="s">
        <v>22452</v>
      </c>
      <c r="I894" t="s">
        <v>11896</v>
      </c>
      <c r="J894" t="s">
        <v>22865</v>
      </c>
      <c r="K894" t="s">
        <v>29336</v>
      </c>
      <c r="M894" t="s">
        <v>29974</v>
      </c>
      <c r="N894" t="s">
        <v>32524</v>
      </c>
      <c r="O894" t="s">
        <v>32525</v>
      </c>
      <c r="P894">
        <v>0</v>
      </c>
      <c r="Q894">
        <v>0</v>
      </c>
      <c r="R894" t="s">
        <v>32526</v>
      </c>
      <c r="S894" t="s">
        <v>32547</v>
      </c>
      <c r="T894" t="s">
        <v>33238</v>
      </c>
      <c r="U894" t="s">
        <v>34415</v>
      </c>
      <c r="W894" t="s">
        <v>29974</v>
      </c>
      <c r="X894" t="s">
        <v>32527</v>
      </c>
    </row>
    <row r="895" spans="1:24">
      <c r="A895">
        <f>HYPERLINK("https://www.philgeps.gov.ph/GEPSNONPILOT/Tender/SplashBidNoticeAbstractUI.aspx?menuIndex=3&amp;refID=7045157&amp;Result=3","7045157")</f>
        <v>0</v>
      </c>
      <c r="B895" t="s">
        <v>356</v>
      </c>
      <c r="C895" t="s">
        <v>3532</v>
      </c>
      <c r="D895" t="s">
        <v>12993</v>
      </c>
      <c r="E895" t="s">
        <v>13912</v>
      </c>
      <c r="F895" t="s">
        <v>22436</v>
      </c>
      <c r="G895" t="s">
        <v>22443</v>
      </c>
      <c r="H895" t="s">
        <v>22452</v>
      </c>
      <c r="I895" t="s">
        <v>22516</v>
      </c>
      <c r="J895" t="s">
        <v>22640</v>
      </c>
      <c r="K895" t="s">
        <v>29356</v>
      </c>
      <c r="M895" t="s">
        <v>29933</v>
      </c>
      <c r="N895" t="s">
        <v>32524</v>
      </c>
      <c r="O895" t="s">
        <v>32525</v>
      </c>
      <c r="P895">
        <v>0</v>
      </c>
      <c r="Q895">
        <v>0</v>
      </c>
      <c r="R895" t="s">
        <v>32526</v>
      </c>
      <c r="S895" t="s">
        <v>32547</v>
      </c>
      <c r="T895" t="s">
        <v>33154</v>
      </c>
      <c r="U895" t="s">
        <v>34416</v>
      </c>
      <c r="W895" t="s">
        <v>29933</v>
      </c>
      <c r="X895" t="s">
        <v>32527</v>
      </c>
    </row>
    <row r="896" spans="1:24">
      <c r="A896">
        <f>HYPERLINK("https://www.philgeps.gov.ph/GEPSNONPILOT/Tender/SplashBidNoticeAbstractUI.aspx?menuIndex=3&amp;refID=7045166&amp;Result=3","7045166")</f>
        <v>0</v>
      </c>
      <c r="B896" t="s">
        <v>331</v>
      </c>
      <c r="C896" t="s">
        <v>3533</v>
      </c>
      <c r="D896" t="s">
        <v>13058</v>
      </c>
      <c r="E896" t="s">
        <v>13872</v>
      </c>
      <c r="F896" t="s">
        <v>22436</v>
      </c>
      <c r="G896" t="s">
        <v>22445</v>
      </c>
      <c r="H896" t="s">
        <v>22452</v>
      </c>
      <c r="I896" t="s">
        <v>22510</v>
      </c>
      <c r="J896" t="s">
        <v>23217</v>
      </c>
      <c r="K896" t="s">
        <v>29335</v>
      </c>
      <c r="M896" t="s">
        <v>29907</v>
      </c>
      <c r="N896" t="s">
        <v>32524</v>
      </c>
      <c r="O896" t="s">
        <v>32525</v>
      </c>
      <c r="P896">
        <v>0</v>
      </c>
      <c r="Q896">
        <v>1</v>
      </c>
      <c r="R896" t="s">
        <v>32526</v>
      </c>
      <c r="S896" t="s">
        <v>32547</v>
      </c>
      <c r="T896" t="s">
        <v>33169</v>
      </c>
      <c r="U896" t="s">
        <v>34417</v>
      </c>
      <c r="W896" t="s">
        <v>29907</v>
      </c>
      <c r="X896" t="s">
        <v>32527</v>
      </c>
    </row>
    <row r="897" spans="1:24">
      <c r="A897">
        <f>HYPERLINK("https://www.philgeps.gov.ph/GEPSNONPILOT/Tender/SplashBidNoticeAbstractUI.aspx?menuIndex=3&amp;refID=7045153&amp;Result=3","7045153")</f>
        <v>0</v>
      </c>
      <c r="B897" t="s">
        <v>192</v>
      </c>
      <c r="C897" t="s">
        <v>3534</v>
      </c>
      <c r="D897" t="s">
        <v>13048</v>
      </c>
      <c r="E897" t="s">
        <v>13913</v>
      </c>
      <c r="F897" t="s">
        <v>22436</v>
      </c>
      <c r="G897" t="s">
        <v>22444</v>
      </c>
      <c r="H897" t="s">
        <v>22454</v>
      </c>
      <c r="I897" t="s">
        <v>7738</v>
      </c>
      <c r="J897" t="s">
        <v>22669</v>
      </c>
      <c r="K897" t="s">
        <v>29338</v>
      </c>
      <c r="M897" t="s">
        <v>29765</v>
      </c>
      <c r="N897" t="s">
        <v>32524</v>
      </c>
      <c r="O897" t="s">
        <v>32525</v>
      </c>
      <c r="P897">
        <v>0</v>
      </c>
      <c r="Q897">
        <v>0</v>
      </c>
      <c r="R897" t="s">
        <v>32526</v>
      </c>
      <c r="S897" t="s">
        <v>32547</v>
      </c>
      <c r="T897" t="s">
        <v>33170</v>
      </c>
      <c r="U897" t="s">
        <v>33981</v>
      </c>
      <c r="W897" t="s">
        <v>29765</v>
      </c>
      <c r="X897" t="s">
        <v>32527</v>
      </c>
    </row>
    <row r="898" spans="1:24">
      <c r="A898">
        <f>HYPERLINK("https://www.philgeps.gov.ph/GEPSNONPILOT/Tender/SplashBidNoticeAbstractUI.aspx?menuIndex=3&amp;refID=7045151&amp;Result=3","7045151")</f>
        <v>0</v>
      </c>
      <c r="B898" t="s">
        <v>358</v>
      </c>
      <c r="C898" t="s">
        <v>3535</v>
      </c>
      <c r="D898" t="s">
        <v>13034</v>
      </c>
      <c r="E898" t="s">
        <v>13914</v>
      </c>
      <c r="F898" t="s">
        <v>22436</v>
      </c>
      <c r="G898" t="s">
        <v>22444</v>
      </c>
      <c r="H898" t="s">
        <v>22452</v>
      </c>
      <c r="I898" t="s">
        <v>22463</v>
      </c>
      <c r="J898" t="s">
        <v>23292</v>
      </c>
      <c r="K898" t="s">
        <v>29335</v>
      </c>
      <c r="M898" t="s">
        <v>29935</v>
      </c>
      <c r="N898" t="s">
        <v>32524</v>
      </c>
      <c r="O898" t="s">
        <v>32525</v>
      </c>
      <c r="P898">
        <v>0</v>
      </c>
      <c r="Q898">
        <v>3</v>
      </c>
      <c r="R898" t="s">
        <v>32526</v>
      </c>
      <c r="S898" t="s">
        <v>32547</v>
      </c>
      <c r="T898" t="s">
        <v>33157</v>
      </c>
      <c r="U898" t="s">
        <v>34418</v>
      </c>
      <c r="V898" t="s">
        <v>42500</v>
      </c>
      <c r="W898" t="s">
        <v>29935</v>
      </c>
      <c r="X898" t="s">
        <v>32527</v>
      </c>
    </row>
    <row r="899" spans="1:24">
      <c r="A899">
        <f>HYPERLINK("https://www.philgeps.gov.ph/GEPSNONPILOT/Tender/SplashBidNoticeAbstractUI.aspx?menuIndex=3&amp;refID=7045167&amp;Result=3","7045167")</f>
        <v>0</v>
      </c>
      <c r="B899" t="s">
        <v>171</v>
      </c>
      <c r="C899" t="s">
        <v>3536</v>
      </c>
      <c r="D899" t="s">
        <v>13025</v>
      </c>
      <c r="E899" t="s">
        <v>13915</v>
      </c>
      <c r="F899" t="s">
        <v>22436</v>
      </c>
      <c r="G899" t="s">
        <v>22443</v>
      </c>
      <c r="H899" t="s">
        <v>22452</v>
      </c>
      <c r="I899" t="s">
        <v>7738</v>
      </c>
      <c r="J899" t="s">
        <v>23293</v>
      </c>
      <c r="K899" t="s">
        <v>29336</v>
      </c>
      <c r="M899" t="s">
        <v>29743</v>
      </c>
      <c r="N899" t="s">
        <v>32524</v>
      </c>
      <c r="O899" t="s">
        <v>32525</v>
      </c>
      <c r="P899">
        <v>0</v>
      </c>
      <c r="Q899">
        <v>0</v>
      </c>
      <c r="R899" t="s">
        <v>32526</v>
      </c>
      <c r="S899" t="s">
        <v>32547</v>
      </c>
      <c r="T899" t="s">
        <v>33274</v>
      </c>
      <c r="U899" t="s">
        <v>34419</v>
      </c>
      <c r="W899" t="s">
        <v>29743</v>
      </c>
      <c r="X899" t="s">
        <v>32527</v>
      </c>
    </row>
    <row r="900" spans="1:24">
      <c r="A900">
        <f>HYPERLINK("https://www.philgeps.gov.ph/GEPSNONPILOT/Tender/SplashBidNoticeAbstractUI.aspx?menuIndex=3&amp;refID=7045164&amp;Result=3","7045164")</f>
        <v>0</v>
      </c>
      <c r="B900" t="s">
        <v>363</v>
      </c>
      <c r="C900" t="s">
        <v>3537</v>
      </c>
      <c r="D900" t="s">
        <v>13029</v>
      </c>
      <c r="E900" t="s">
        <v>13916</v>
      </c>
      <c r="F900" t="s">
        <v>22436</v>
      </c>
      <c r="G900" t="s">
        <v>22443</v>
      </c>
      <c r="H900" t="s">
        <v>22452</v>
      </c>
      <c r="I900" t="s">
        <v>3529</v>
      </c>
      <c r="J900" t="s">
        <v>23294</v>
      </c>
      <c r="K900" t="s">
        <v>29341</v>
      </c>
      <c r="M900" t="s">
        <v>29941</v>
      </c>
      <c r="N900" t="s">
        <v>32524</v>
      </c>
      <c r="O900" t="s">
        <v>32525</v>
      </c>
      <c r="P900">
        <v>0</v>
      </c>
      <c r="Q900">
        <v>0</v>
      </c>
      <c r="R900" t="s">
        <v>32526</v>
      </c>
      <c r="S900" t="s">
        <v>32547</v>
      </c>
      <c r="T900" t="s">
        <v>33154</v>
      </c>
      <c r="U900" t="s">
        <v>34343</v>
      </c>
      <c r="W900" t="s">
        <v>43681</v>
      </c>
      <c r="X900" t="s">
        <v>32527</v>
      </c>
    </row>
    <row r="901" spans="1:24">
      <c r="A901">
        <f>HYPERLINK("https://www.philgeps.gov.ph/GEPSNONPILOT/Tender/SplashBidNoticeAbstractUI.aspx?menuIndex=3&amp;refID=7045168&amp;Result=3","7045168")</f>
        <v>0</v>
      </c>
      <c r="B901" t="s">
        <v>397</v>
      </c>
      <c r="C901" t="s">
        <v>3538</v>
      </c>
      <c r="E901" t="s">
        <v>13917</v>
      </c>
      <c r="F901" t="s">
        <v>22436</v>
      </c>
      <c r="G901" t="s">
        <v>22445</v>
      </c>
      <c r="H901" t="s">
        <v>22452</v>
      </c>
      <c r="I901" t="s">
        <v>22460</v>
      </c>
      <c r="J901" t="s">
        <v>22616</v>
      </c>
      <c r="K901" t="s">
        <v>29341</v>
      </c>
      <c r="M901" t="s">
        <v>29976</v>
      </c>
      <c r="N901" t="s">
        <v>32524</v>
      </c>
      <c r="O901" t="s">
        <v>32525</v>
      </c>
      <c r="P901">
        <v>0</v>
      </c>
      <c r="Q901">
        <v>0</v>
      </c>
      <c r="R901" t="s">
        <v>32526</v>
      </c>
      <c r="S901" t="s">
        <v>32547</v>
      </c>
      <c r="T901" t="s">
        <v>33154</v>
      </c>
      <c r="U901" t="s">
        <v>34065</v>
      </c>
      <c r="W901" t="s">
        <v>29976</v>
      </c>
      <c r="X901" t="s">
        <v>32527</v>
      </c>
    </row>
    <row r="902" spans="1:24">
      <c r="A902">
        <f>HYPERLINK("https://www.philgeps.gov.ph/GEPSNONPILOT/Tender/SplashBidNoticeAbstractUI.aspx?menuIndex=3&amp;refID=7045181&amp;Result=3","7045181")</f>
        <v>0</v>
      </c>
      <c r="B902" t="s">
        <v>398</v>
      </c>
      <c r="C902" t="s">
        <v>3539</v>
      </c>
      <c r="D902" t="s">
        <v>13018</v>
      </c>
      <c r="E902" t="s">
        <v>13918</v>
      </c>
      <c r="F902" t="s">
        <v>22436</v>
      </c>
      <c r="G902" t="s">
        <v>22443</v>
      </c>
      <c r="H902" t="s">
        <v>22452</v>
      </c>
      <c r="I902" t="s">
        <v>22520</v>
      </c>
      <c r="J902" t="s">
        <v>23295</v>
      </c>
      <c r="K902" t="s">
        <v>29341</v>
      </c>
      <c r="M902" t="s">
        <v>29977</v>
      </c>
      <c r="N902" t="s">
        <v>32524</v>
      </c>
      <c r="O902" t="s">
        <v>32525</v>
      </c>
      <c r="P902">
        <v>0</v>
      </c>
      <c r="Q902">
        <v>0</v>
      </c>
      <c r="R902" t="s">
        <v>32526</v>
      </c>
      <c r="S902" t="s">
        <v>32547</v>
      </c>
      <c r="T902" t="s">
        <v>33181</v>
      </c>
      <c r="U902" t="s">
        <v>34420</v>
      </c>
      <c r="W902" t="s">
        <v>29977</v>
      </c>
      <c r="X902" t="s">
        <v>32527</v>
      </c>
    </row>
    <row r="903" spans="1:24">
      <c r="A903">
        <f>HYPERLINK("https://www.philgeps.gov.ph/GEPSNONPILOT/Tender/SplashBidNoticeAbstractUI.aspx?menuIndex=3&amp;refID=7045161&amp;Result=3","7045161")</f>
        <v>0</v>
      </c>
      <c r="B903" t="s">
        <v>395</v>
      </c>
      <c r="C903" t="s">
        <v>3540</v>
      </c>
      <c r="D903" t="s">
        <v>12999</v>
      </c>
      <c r="E903" t="s">
        <v>13096</v>
      </c>
      <c r="F903" t="s">
        <v>22436</v>
      </c>
      <c r="G903" t="s">
        <v>22446</v>
      </c>
      <c r="H903" t="s">
        <v>22452</v>
      </c>
      <c r="I903" t="s">
        <v>22521</v>
      </c>
      <c r="J903" t="s">
        <v>22993</v>
      </c>
      <c r="K903" t="s">
        <v>29336</v>
      </c>
      <c r="M903" t="s">
        <v>29974</v>
      </c>
      <c r="N903" t="s">
        <v>32524</v>
      </c>
      <c r="O903" t="s">
        <v>32525</v>
      </c>
      <c r="P903">
        <v>0</v>
      </c>
      <c r="Q903">
        <v>0</v>
      </c>
      <c r="R903" t="s">
        <v>32526</v>
      </c>
      <c r="S903" t="s">
        <v>32547</v>
      </c>
      <c r="T903" t="s">
        <v>33238</v>
      </c>
      <c r="U903" t="s">
        <v>34421</v>
      </c>
      <c r="W903" t="s">
        <v>29974</v>
      </c>
      <c r="X903" t="s">
        <v>32527</v>
      </c>
    </row>
    <row r="904" spans="1:24">
      <c r="A904">
        <f>HYPERLINK("https://www.philgeps.gov.ph/GEPSNONPILOT/Tender/SplashBidNoticeAbstractUI.aspx?menuIndex=3&amp;refID=7045180&amp;Result=3","7045180")</f>
        <v>0</v>
      </c>
      <c r="B904" t="s">
        <v>231</v>
      </c>
      <c r="C904" t="s">
        <v>3541</v>
      </c>
      <c r="D904" t="s">
        <v>13054</v>
      </c>
      <c r="E904" t="s">
        <v>13919</v>
      </c>
      <c r="F904" t="s">
        <v>22436</v>
      </c>
      <c r="G904" t="s">
        <v>22444</v>
      </c>
      <c r="H904" t="s">
        <v>22454</v>
      </c>
      <c r="I904" t="s">
        <v>7738</v>
      </c>
      <c r="J904" t="s">
        <v>23296</v>
      </c>
      <c r="K904" t="s">
        <v>29385</v>
      </c>
      <c r="M904" t="s">
        <v>29804</v>
      </c>
      <c r="N904" t="s">
        <v>32524</v>
      </c>
      <c r="O904" t="s">
        <v>32525</v>
      </c>
      <c r="P904">
        <v>0</v>
      </c>
      <c r="Q904">
        <v>0</v>
      </c>
      <c r="R904" t="s">
        <v>32526</v>
      </c>
      <c r="S904" t="s">
        <v>32547</v>
      </c>
      <c r="T904" t="s">
        <v>33166</v>
      </c>
      <c r="U904" t="s">
        <v>34422</v>
      </c>
      <c r="W904" t="s">
        <v>29804</v>
      </c>
      <c r="X904" t="s">
        <v>32527</v>
      </c>
    </row>
    <row r="905" spans="1:24">
      <c r="A905">
        <f>HYPERLINK("https://www.philgeps.gov.ph/GEPSNONPILOT/Tender/SplashBidNoticeAbstractUI.aspx?menuIndex=3&amp;refID=7045163&amp;Result=3","7045163")</f>
        <v>0</v>
      </c>
      <c r="B905" t="s">
        <v>277</v>
      </c>
      <c r="C905" t="s">
        <v>3542</v>
      </c>
      <c r="D905" t="s">
        <v>13007</v>
      </c>
      <c r="E905" t="s">
        <v>13920</v>
      </c>
      <c r="F905" t="s">
        <v>22436</v>
      </c>
      <c r="G905" t="s">
        <v>22443</v>
      </c>
      <c r="H905" t="s">
        <v>22452</v>
      </c>
      <c r="I905" t="s">
        <v>22493</v>
      </c>
      <c r="J905" t="s">
        <v>23297</v>
      </c>
      <c r="K905" t="s">
        <v>29335</v>
      </c>
      <c r="M905" t="s">
        <v>29851</v>
      </c>
      <c r="N905" t="s">
        <v>32524</v>
      </c>
      <c r="O905" t="s">
        <v>32525</v>
      </c>
      <c r="P905">
        <v>0</v>
      </c>
      <c r="Q905">
        <v>1</v>
      </c>
      <c r="R905" t="s">
        <v>32526</v>
      </c>
      <c r="S905" t="s">
        <v>32547</v>
      </c>
      <c r="T905" t="s">
        <v>33155</v>
      </c>
      <c r="U905" t="s">
        <v>34280</v>
      </c>
      <c r="W905" t="s">
        <v>29851</v>
      </c>
      <c r="X905" t="s">
        <v>32527</v>
      </c>
    </row>
    <row r="906" spans="1:24">
      <c r="A906">
        <f>HYPERLINK("https://www.philgeps.gov.ph/GEPSNONPILOT/Tender/SplashBidNoticeAbstractUI.aspx?menuIndex=3&amp;refID=7045185&amp;Result=3","7045185")</f>
        <v>0</v>
      </c>
      <c r="B906" t="s">
        <v>399</v>
      </c>
      <c r="C906" t="s">
        <v>3543</v>
      </c>
      <c r="D906" t="s">
        <v>13025</v>
      </c>
      <c r="E906" t="s">
        <v>13921</v>
      </c>
      <c r="F906" t="s">
        <v>22436</v>
      </c>
      <c r="G906" t="s">
        <v>22444</v>
      </c>
      <c r="H906" t="s">
        <v>22452</v>
      </c>
      <c r="I906" t="s">
        <v>22522</v>
      </c>
      <c r="J906" t="s">
        <v>23298</v>
      </c>
      <c r="K906" t="s">
        <v>29338</v>
      </c>
      <c r="M906" t="s">
        <v>29978</v>
      </c>
      <c r="N906" t="s">
        <v>32524</v>
      </c>
      <c r="O906" t="s">
        <v>32525</v>
      </c>
      <c r="P906">
        <v>0</v>
      </c>
      <c r="Q906">
        <v>0</v>
      </c>
      <c r="R906" t="s">
        <v>32526</v>
      </c>
      <c r="S906" t="s">
        <v>32547</v>
      </c>
      <c r="T906" t="s">
        <v>33186</v>
      </c>
      <c r="U906" t="s">
        <v>34423</v>
      </c>
      <c r="W906" t="s">
        <v>29978</v>
      </c>
      <c r="X906" t="s">
        <v>32527</v>
      </c>
    </row>
    <row r="907" spans="1:24">
      <c r="A907">
        <f>HYPERLINK("https://www.philgeps.gov.ph/GEPSNONPILOT/Tender/SplashBidNoticeAbstractUI.aspx?menuIndex=3&amp;refID=7045176&amp;Result=3","7045176")</f>
        <v>0</v>
      </c>
      <c r="B907" t="s">
        <v>400</v>
      </c>
      <c r="C907" t="s">
        <v>3544</v>
      </c>
      <c r="D907" t="s">
        <v>13045</v>
      </c>
      <c r="E907" t="s">
        <v>13922</v>
      </c>
      <c r="F907" t="s">
        <v>22436</v>
      </c>
      <c r="G907" t="s">
        <v>22443</v>
      </c>
      <c r="H907" t="s">
        <v>22452</v>
      </c>
      <c r="I907" t="s">
        <v>22476</v>
      </c>
      <c r="J907" t="s">
        <v>22929</v>
      </c>
      <c r="K907" t="s">
        <v>29356</v>
      </c>
      <c r="M907" t="s">
        <v>29979</v>
      </c>
      <c r="N907" t="s">
        <v>32524</v>
      </c>
      <c r="O907" t="s">
        <v>32525</v>
      </c>
      <c r="P907">
        <v>0</v>
      </c>
      <c r="Q907">
        <v>0</v>
      </c>
      <c r="R907" t="s">
        <v>32526</v>
      </c>
      <c r="S907" t="s">
        <v>32547</v>
      </c>
      <c r="T907" t="s">
        <v>33196</v>
      </c>
      <c r="U907" t="s">
        <v>34424</v>
      </c>
      <c r="W907" t="s">
        <v>29979</v>
      </c>
      <c r="X907" t="s">
        <v>32527</v>
      </c>
    </row>
    <row r="908" spans="1:24">
      <c r="A908">
        <f>HYPERLINK("https://www.philgeps.gov.ph/GEPSNONPILOT/Tender/SplashBidNoticeAbstractUI.aspx?menuIndex=3&amp;refID=7045177&amp;Result=3","7045177")</f>
        <v>0</v>
      </c>
      <c r="B908" t="s">
        <v>56</v>
      </c>
      <c r="C908" t="s">
        <v>3545</v>
      </c>
      <c r="D908" t="s">
        <v>13012</v>
      </c>
      <c r="E908" t="s">
        <v>13923</v>
      </c>
      <c r="F908" t="s">
        <v>22436</v>
      </c>
      <c r="G908" t="s">
        <v>22444</v>
      </c>
      <c r="H908" t="s">
        <v>22452</v>
      </c>
      <c r="I908" t="s">
        <v>22467</v>
      </c>
      <c r="J908" t="s">
        <v>23299</v>
      </c>
      <c r="K908" t="s">
        <v>29336</v>
      </c>
      <c r="M908" t="s">
        <v>29628</v>
      </c>
      <c r="N908" t="s">
        <v>32524</v>
      </c>
      <c r="O908" t="s">
        <v>32525</v>
      </c>
      <c r="P908">
        <v>0</v>
      </c>
      <c r="Q908">
        <v>0</v>
      </c>
      <c r="R908" t="s">
        <v>32526</v>
      </c>
      <c r="S908" t="s">
        <v>32547</v>
      </c>
      <c r="T908" t="s">
        <v>33275</v>
      </c>
      <c r="U908" t="s">
        <v>34425</v>
      </c>
      <c r="V908" t="s">
        <v>42428</v>
      </c>
      <c r="W908" t="s">
        <v>29628</v>
      </c>
      <c r="X908" t="s">
        <v>32527</v>
      </c>
    </row>
    <row r="909" spans="1:24">
      <c r="A909">
        <f>HYPERLINK("https://www.philgeps.gov.ph/GEPSNONPILOT/Tender/SplashBidNoticeAbstractUI.aspx?menuIndex=3&amp;refID=7045182&amp;Result=3","7045182")</f>
        <v>0</v>
      </c>
      <c r="B909" t="s">
        <v>401</v>
      </c>
      <c r="C909" t="s">
        <v>3546</v>
      </c>
      <c r="D909" t="s">
        <v>13044</v>
      </c>
      <c r="E909" t="s">
        <v>13924</v>
      </c>
      <c r="F909" t="s">
        <v>22436</v>
      </c>
      <c r="G909" t="s">
        <v>22444</v>
      </c>
      <c r="H909" t="s">
        <v>22454</v>
      </c>
      <c r="I909" t="s">
        <v>7738</v>
      </c>
      <c r="J909" t="s">
        <v>22893</v>
      </c>
      <c r="K909" t="s">
        <v>29386</v>
      </c>
      <c r="M909" t="s">
        <v>29980</v>
      </c>
      <c r="N909" t="s">
        <v>32524</v>
      </c>
      <c r="O909" t="s">
        <v>32525</v>
      </c>
      <c r="P909">
        <v>0</v>
      </c>
      <c r="Q909">
        <v>0</v>
      </c>
      <c r="R909" t="s">
        <v>32526</v>
      </c>
      <c r="S909" t="s">
        <v>32547</v>
      </c>
      <c r="T909" t="s">
        <v>33276</v>
      </c>
      <c r="U909" t="s">
        <v>34426</v>
      </c>
      <c r="W909" t="s">
        <v>29980</v>
      </c>
      <c r="X909" t="s">
        <v>32527</v>
      </c>
    </row>
    <row r="910" spans="1:24">
      <c r="A910">
        <f>HYPERLINK("https://www.philgeps.gov.ph/GEPSNONPILOT/Tender/SplashBidNoticeAbstractUI.aspx?menuIndex=3&amp;refID=7045172&amp;Result=3","7045172")</f>
        <v>0</v>
      </c>
      <c r="B910" t="s">
        <v>402</v>
      </c>
      <c r="C910" t="s">
        <v>3547</v>
      </c>
      <c r="D910" t="s">
        <v>13002</v>
      </c>
      <c r="E910" t="s">
        <v>13925</v>
      </c>
      <c r="F910" t="s">
        <v>22436</v>
      </c>
      <c r="G910" t="s">
        <v>22444</v>
      </c>
      <c r="H910" t="s">
        <v>22452</v>
      </c>
      <c r="I910" t="s">
        <v>22463</v>
      </c>
      <c r="J910" t="s">
        <v>23300</v>
      </c>
      <c r="K910" t="s">
        <v>29338</v>
      </c>
      <c r="M910" t="s">
        <v>29981</v>
      </c>
      <c r="N910" t="s">
        <v>32524</v>
      </c>
      <c r="O910" t="s">
        <v>32525</v>
      </c>
      <c r="P910">
        <v>0</v>
      </c>
      <c r="Q910">
        <v>0</v>
      </c>
      <c r="R910" t="s">
        <v>32526</v>
      </c>
      <c r="S910" t="s">
        <v>32547</v>
      </c>
      <c r="T910" t="s">
        <v>33233</v>
      </c>
      <c r="U910" t="s">
        <v>34427</v>
      </c>
      <c r="W910" t="s">
        <v>29981</v>
      </c>
      <c r="X910" t="s">
        <v>32527</v>
      </c>
    </row>
    <row r="911" spans="1:24">
      <c r="A911">
        <f>HYPERLINK("https://www.philgeps.gov.ph/GEPSNONPILOT/Tender/SplashBidNoticeAbstractUI.aspx?menuIndex=3&amp;refID=7045179&amp;Result=3","7045179")</f>
        <v>0</v>
      </c>
      <c r="B911" t="s">
        <v>403</v>
      </c>
      <c r="C911" t="s">
        <v>3548</v>
      </c>
      <c r="D911" t="s">
        <v>13006</v>
      </c>
      <c r="E911" t="s">
        <v>13926</v>
      </c>
      <c r="F911" t="s">
        <v>22437</v>
      </c>
      <c r="G911" t="s">
        <v>22444</v>
      </c>
      <c r="H911" t="s">
        <v>22452</v>
      </c>
      <c r="I911" t="s">
        <v>22488</v>
      </c>
      <c r="J911" t="s">
        <v>23301</v>
      </c>
      <c r="K911" t="s">
        <v>29335</v>
      </c>
      <c r="M911" t="s">
        <v>29982</v>
      </c>
      <c r="N911" t="s">
        <v>32524</v>
      </c>
      <c r="O911" t="s">
        <v>32525</v>
      </c>
      <c r="P911">
        <v>0</v>
      </c>
      <c r="Q911">
        <v>0</v>
      </c>
      <c r="R911" t="s">
        <v>32526</v>
      </c>
      <c r="S911" t="s">
        <v>32547</v>
      </c>
      <c r="T911" t="s">
        <v>33277</v>
      </c>
      <c r="U911" t="s">
        <v>34428</v>
      </c>
      <c r="W911" t="s">
        <v>29982</v>
      </c>
      <c r="X911" t="s">
        <v>32527</v>
      </c>
    </row>
    <row r="912" spans="1:24">
      <c r="A912">
        <f>HYPERLINK("https://www.philgeps.gov.ph/GEPSNONPILOT/Tender/SplashBidNoticeAbstractUI.aspx?menuIndex=3&amp;refID=7045184&amp;Result=3","7045184")</f>
        <v>0</v>
      </c>
      <c r="B912" t="s">
        <v>404</v>
      </c>
      <c r="C912" t="s">
        <v>3549</v>
      </c>
      <c r="D912" t="s">
        <v>13002</v>
      </c>
      <c r="E912" t="s">
        <v>13927</v>
      </c>
      <c r="F912" t="s">
        <v>22436</v>
      </c>
      <c r="G912" t="s">
        <v>22444</v>
      </c>
      <c r="H912" t="s">
        <v>22455</v>
      </c>
      <c r="I912" t="s">
        <v>22523</v>
      </c>
      <c r="J912" t="s">
        <v>23302</v>
      </c>
      <c r="K912" t="s">
        <v>29329</v>
      </c>
      <c r="M912" t="s">
        <v>29983</v>
      </c>
      <c r="N912" t="s">
        <v>32524</v>
      </c>
      <c r="O912" t="s">
        <v>32525</v>
      </c>
      <c r="P912">
        <v>0</v>
      </c>
      <c r="Q912">
        <v>2</v>
      </c>
      <c r="R912" t="s">
        <v>32526</v>
      </c>
      <c r="S912" t="s">
        <v>32547</v>
      </c>
      <c r="T912" t="s">
        <v>33182</v>
      </c>
      <c r="U912" t="s">
        <v>34429</v>
      </c>
      <c r="W912" t="s">
        <v>29983</v>
      </c>
      <c r="X912" t="s">
        <v>32527</v>
      </c>
    </row>
    <row r="913" spans="1:24">
      <c r="A913">
        <f>HYPERLINK("https://www.philgeps.gov.ph/GEPSNONPILOT/Tender/SplashBidNoticeAbstractUI.aspx?menuIndex=3&amp;refID=7045169&amp;Result=3","7045169")</f>
        <v>0</v>
      </c>
      <c r="B913" t="s">
        <v>146</v>
      </c>
      <c r="C913" t="s">
        <v>3550</v>
      </c>
      <c r="D913" t="s">
        <v>13042</v>
      </c>
      <c r="E913" t="s">
        <v>13928</v>
      </c>
      <c r="F913" t="s">
        <v>22436</v>
      </c>
      <c r="G913" t="s">
        <v>22444</v>
      </c>
      <c r="H913" t="s">
        <v>22452</v>
      </c>
      <c r="I913" t="s">
        <v>22480</v>
      </c>
      <c r="J913" t="s">
        <v>23303</v>
      </c>
      <c r="K913" t="s">
        <v>29336</v>
      </c>
      <c r="M913" t="s">
        <v>29937</v>
      </c>
      <c r="N913" t="s">
        <v>32524</v>
      </c>
      <c r="O913" t="s">
        <v>32525</v>
      </c>
      <c r="P913">
        <v>0</v>
      </c>
      <c r="Q913">
        <v>0</v>
      </c>
      <c r="R913" t="s">
        <v>32526</v>
      </c>
      <c r="S913" t="s">
        <v>32547</v>
      </c>
      <c r="T913" t="s">
        <v>33266</v>
      </c>
      <c r="U913" t="s">
        <v>34430</v>
      </c>
      <c r="W913" t="s">
        <v>29937</v>
      </c>
      <c r="X913" t="s">
        <v>32527</v>
      </c>
    </row>
    <row r="914" spans="1:24">
      <c r="A914">
        <f>HYPERLINK("https://www.philgeps.gov.ph/GEPSNONPILOT/Tender/SplashBidNoticeAbstractUI.aspx?menuIndex=3&amp;refID=7045188&amp;Result=3","7045188")</f>
        <v>0</v>
      </c>
      <c r="B914" t="s">
        <v>313</v>
      </c>
      <c r="C914" t="s">
        <v>3551</v>
      </c>
      <c r="D914" t="s">
        <v>12991</v>
      </c>
      <c r="E914" t="s">
        <v>13929</v>
      </c>
      <c r="F914" t="s">
        <v>22436</v>
      </c>
      <c r="G914" t="s">
        <v>22443</v>
      </c>
      <c r="H914" t="s">
        <v>22452</v>
      </c>
      <c r="I914" t="s">
        <v>22486</v>
      </c>
      <c r="J914" t="s">
        <v>23304</v>
      </c>
      <c r="K914" t="s">
        <v>29387</v>
      </c>
      <c r="M914" t="s">
        <v>29889</v>
      </c>
      <c r="N914" t="s">
        <v>32524</v>
      </c>
      <c r="O914" t="s">
        <v>32525</v>
      </c>
      <c r="P914">
        <v>0</v>
      </c>
      <c r="Q914">
        <v>0</v>
      </c>
      <c r="R914" t="s">
        <v>32526</v>
      </c>
      <c r="S914" t="s">
        <v>32547</v>
      </c>
      <c r="T914" t="s">
        <v>33167</v>
      </c>
      <c r="U914" t="s">
        <v>34228</v>
      </c>
      <c r="W914" t="s">
        <v>29889</v>
      </c>
      <c r="X914" t="s">
        <v>32527</v>
      </c>
    </row>
    <row r="915" spans="1:24">
      <c r="A915">
        <f>HYPERLINK("https://www.philgeps.gov.ph/GEPSNONPILOT/Tender/SplashBidNoticeAbstractUI.aspx?menuIndex=3&amp;refID=7045173&amp;Result=3","7045173")</f>
        <v>0</v>
      </c>
      <c r="B915" t="s">
        <v>405</v>
      </c>
      <c r="C915" t="s">
        <v>3540</v>
      </c>
      <c r="D915" t="s">
        <v>12999</v>
      </c>
      <c r="E915" t="s">
        <v>13487</v>
      </c>
      <c r="F915" t="s">
        <v>22436</v>
      </c>
      <c r="G915" t="s">
        <v>22446</v>
      </c>
      <c r="H915" t="s">
        <v>22452</v>
      </c>
      <c r="I915" t="s">
        <v>22521</v>
      </c>
      <c r="J915" t="s">
        <v>22993</v>
      </c>
      <c r="K915" t="s">
        <v>29336</v>
      </c>
      <c r="M915" t="s">
        <v>29984</v>
      </c>
      <c r="N915" t="s">
        <v>32524</v>
      </c>
      <c r="O915" t="s">
        <v>32525</v>
      </c>
      <c r="P915">
        <v>0</v>
      </c>
      <c r="Q915">
        <v>1</v>
      </c>
      <c r="R915" t="s">
        <v>32526</v>
      </c>
      <c r="S915" t="s">
        <v>32547</v>
      </c>
      <c r="T915" t="s">
        <v>33238</v>
      </c>
      <c r="U915" t="s">
        <v>34421</v>
      </c>
      <c r="W915" t="s">
        <v>29984</v>
      </c>
      <c r="X915" t="s">
        <v>32527</v>
      </c>
    </row>
    <row r="916" spans="1:24">
      <c r="A916">
        <f>HYPERLINK("https://www.philgeps.gov.ph/GEPSNONPILOT/Tender/SplashBidNoticeAbstractUI.aspx?menuIndex=3&amp;refID=7045183&amp;Result=3","7045183")</f>
        <v>0</v>
      </c>
      <c r="B916" t="s">
        <v>220</v>
      </c>
      <c r="C916" t="s">
        <v>3552</v>
      </c>
      <c r="D916" t="s">
        <v>13037</v>
      </c>
      <c r="E916" t="s">
        <v>13930</v>
      </c>
      <c r="F916" t="s">
        <v>22436</v>
      </c>
      <c r="G916" t="s">
        <v>22446</v>
      </c>
      <c r="H916" t="s">
        <v>22452</v>
      </c>
      <c r="I916" t="s">
        <v>2981</v>
      </c>
      <c r="J916" t="s">
        <v>23305</v>
      </c>
      <c r="K916" t="s">
        <v>29336</v>
      </c>
      <c r="M916" t="s">
        <v>29793</v>
      </c>
      <c r="N916" t="s">
        <v>32524</v>
      </c>
      <c r="O916" t="s">
        <v>32525</v>
      </c>
      <c r="P916">
        <v>0</v>
      </c>
      <c r="Q916">
        <v>0</v>
      </c>
      <c r="R916" t="s">
        <v>32526</v>
      </c>
      <c r="S916" t="s">
        <v>32547</v>
      </c>
      <c r="T916" t="s">
        <v>33209</v>
      </c>
      <c r="U916" t="s">
        <v>34035</v>
      </c>
      <c r="W916" t="s">
        <v>29793</v>
      </c>
      <c r="X916" t="s">
        <v>32527</v>
      </c>
    </row>
    <row r="917" spans="1:24">
      <c r="A917">
        <f>HYPERLINK("https://www.philgeps.gov.ph/GEPSNONPILOT/Tender/SplashBidNoticeAbstractUI.aspx?menuIndex=3&amp;refID=7045190&amp;Result=3","7045190")</f>
        <v>0</v>
      </c>
      <c r="B917" t="s">
        <v>341</v>
      </c>
      <c r="C917" t="s">
        <v>3553</v>
      </c>
      <c r="D917" t="s">
        <v>12999</v>
      </c>
      <c r="E917" t="s">
        <v>13931</v>
      </c>
      <c r="F917" t="s">
        <v>22436</v>
      </c>
      <c r="G917" t="s">
        <v>22443</v>
      </c>
      <c r="H917" t="s">
        <v>22452</v>
      </c>
      <c r="I917" t="s">
        <v>22469</v>
      </c>
      <c r="J917" t="s">
        <v>23306</v>
      </c>
      <c r="K917" t="s">
        <v>29341</v>
      </c>
      <c r="M917" t="s">
        <v>29917</v>
      </c>
      <c r="N917" t="s">
        <v>32524</v>
      </c>
      <c r="O917" t="s">
        <v>32525</v>
      </c>
      <c r="P917">
        <v>0</v>
      </c>
      <c r="Q917">
        <v>1</v>
      </c>
      <c r="R917" t="s">
        <v>32526</v>
      </c>
      <c r="S917" t="s">
        <v>32547</v>
      </c>
      <c r="T917" t="s">
        <v>33263</v>
      </c>
      <c r="U917" t="s">
        <v>34289</v>
      </c>
      <c r="W917" t="s">
        <v>29917</v>
      </c>
      <c r="X917" t="s">
        <v>32527</v>
      </c>
    </row>
    <row r="918" spans="1:24">
      <c r="A918">
        <f>HYPERLINK("https://www.philgeps.gov.ph/GEPSNONPILOT/Tender/SplashBidNoticeAbstractUI.aspx?menuIndex=3&amp;refID=7045187&amp;Result=3","7045187")</f>
        <v>0</v>
      </c>
      <c r="B918" t="s">
        <v>358</v>
      </c>
      <c r="C918" t="s">
        <v>3554</v>
      </c>
      <c r="D918" t="s">
        <v>13017</v>
      </c>
      <c r="E918" t="s">
        <v>13932</v>
      </c>
      <c r="F918" t="s">
        <v>22439</v>
      </c>
      <c r="G918" t="s">
        <v>22443</v>
      </c>
      <c r="H918" t="s">
        <v>22455</v>
      </c>
      <c r="I918" t="s">
        <v>22486</v>
      </c>
      <c r="J918" t="s">
        <v>23307</v>
      </c>
      <c r="K918" t="s">
        <v>29335</v>
      </c>
      <c r="M918" t="s">
        <v>29935</v>
      </c>
      <c r="N918" t="s">
        <v>32524</v>
      </c>
      <c r="O918" t="s">
        <v>32525</v>
      </c>
      <c r="P918">
        <v>0</v>
      </c>
      <c r="Q918">
        <v>0</v>
      </c>
      <c r="R918" t="s">
        <v>32526</v>
      </c>
      <c r="S918" t="s">
        <v>32547</v>
      </c>
      <c r="T918" t="s">
        <v>33278</v>
      </c>
      <c r="U918" t="s">
        <v>34431</v>
      </c>
      <c r="V918" t="s">
        <v>42500</v>
      </c>
      <c r="W918" t="s">
        <v>29935</v>
      </c>
      <c r="X918" t="s">
        <v>32527</v>
      </c>
    </row>
    <row r="919" spans="1:24">
      <c r="A919">
        <f>HYPERLINK("https://www.philgeps.gov.ph/GEPSNONPILOT/Tender/SplashBidNoticeAbstractUI.aspx?menuIndex=3&amp;refID=7045192&amp;Result=3","7045192")</f>
        <v>0</v>
      </c>
      <c r="B919" t="s">
        <v>406</v>
      </c>
      <c r="C919" t="s">
        <v>3555</v>
      </c>
      <c r="D919" t="s">
        <v>13003</v>
      </c>
      <c r="E919" t="s">
        <v>13933</v>
      </c>
      <c r="F919" t="s">
        <v>22436</v>
      </c>
      <c r="G919" t="s">
        <v>22443</v>
      </c>
      <c r="H919" t="s">
        <v>22452</v>
      </c>
      <c r="I919" t="s">
        <v>3027</v>
      </c>
      <c r="J919" t="s">
        <v>23308</v>
      </c>
      <c r="K919" t="s">
        <v>29356</v>
      </c>
      <c r="M919" t="s">
        <v>29985</v>
      </c>
      <c r="N919" t="s">
        <v>32524</v>
      </c>
      <c r="O919" t="s">
        <v>32525</v>
      </c>
      <c r="P919">
        <v>0</v>
      </c>
      <c r="Q919">
        <v>0</v>
      </c>
      <c r="R919" t="s">
        <v>32526</v>
      </c>
      <c r="S919" t="s">
        <v>32547</v>
      </c>
      <c r="T919" t="s">
        <v>33203</v>
      </c>
      <c r="U919" t="s">
        <v>34432</v>
      </c>
      <c r="W919" t="s">
        <v>29985</v>
      </c>
      <c r="X919" t="s">
        <v>32527</v>
      </c>
    </row>
    <row r="920" spans="1:24">
      <c r="A920">
        <f>HYPERLINK("https://www.philgeps.gov.ph/GEPSNONPILOT/Tender/SplashBidNoticeAbstractUI.aspx?menuIndex=3&amp;refID=7045189&amp;Result=3","7045189")</f>
        <v>0</v>
      </c>
      <c r="B920" t="s">
        <v>407</v>
      </c>
      <c r="C920" t="s">
        <v>3556</v>
      </c>
      <c r="D920" t="s">
        <v>12997</v>
      </c>
      <c r="E920" t="s">
        <v>13934</v>
      </c>
      <c r="F920" t="s">
        <v>22436</v>
      </c>
      <c r="G920" t="s">
        <v>22445</v>
      </c>
      <c r="H920" t="s">
        <v>22452</v>
      </c>
      <c r="I920" t="s">
        <v>22509</v>
      </c>
      <c r="J920" t="s">
        <v>23309</v>
      </c>
      <c r="K920" t="s">
        <v>29356</v>
      </c>
      <c r="M920" t="s">
        <v>29986</v>
      </c>
      <c r="N920" t="s">
        <v>32524</v>
      </c>
      <c r="O920" t="s">
        <v>32525</v>
      </c>
      <c r="P920">
        <v>0</v>
      </c>
      <c r="Q920">
        <v>0</v>
      </c>
      <c r="R920" t="s">
        <v>32526</v>
      </c>
      <c r="S920" t="s">
        <v>32547</v>
      </c>
      <c r="T920" t="s">
        <v>33196</v>
      </c>
      <c r="U920" t="s">
        <v>34433</v>
      </c>
      <c r="W920" t="s">
        <v>29986</v>
      </c>
      <c r="X920" t="s">
        <v>32527</v>
      </c>
    </row>
    <row r="921" spans="1:24">
      <c r="A921">
        <f>HYPERLINK("https://www.philgeps.gov.ph/GEPSNONPILOT/Tender/SplashBidNoticeAbstractUI.aspx?menuIndex=3&amp;refID=7045171&amp;Result=3","7045171")</f>
        <v>0</v>
      </c>
      <c r="B921" t="s">
        <v>408</v>
      </c>
      <c r="C921" t="s">
        <v>2818</v>
      </c>
      <c r="D921" t="s">
        <v>13011</v>
      </c>
      <c r="E921" t="s">
        <v>13935</v>
      </c>
      <c r="F921" t="s">
        <v>22436</v>
      </c>
      <c r="G921" t="s">
        <v>22443</v>
      </c>
      <c r="H921" t="s">
        <v>22452</v>
      </c>
      <c r="I921" t="s">
        <v>22460</v>
      </c>
      <c r="J921" t="s">
        <v>22922</v>
      </c>
      <c r="K921" t="s">
        <v>29356</v>
      </c>
      <c r="M921" t="s">
        <v>29987</v>
      </c>
      <c r="N921" t="s">
        <v>32524</v>
      </c>
      <c r="O921" t="s">
        <v>32525</v>
      </c>
      <c r="P921">
        <v>0</v>
      </c>
      <c r="Q921">
        <v>1</v>
      </c>
      <c r="R921" t="s">
        <v>32526</v>
      </c>
      <c r="S921" t="s">
        <v>32547</v>
      </c>
      <c r="T921" t="s">
        <v>33167</v>
      </c>
      <c r="U921" t="s">
        <v>34434</v>
      </c>
      <c r="W921" t="s">
        <v>29987</v>
      </c>
      <c r="X921" t="s">
        <v>32527</v>
      </c>
    </row>
    <row r="922" spans="1:24">
      <c r="A922">
        <f>HYPERLINK("https://www.philgeps.gov.ph/GEPSNONPILOT/Tender/SplashBidNoticeAbstractUI.aspx?menuIndex=3&amp;refID=7045193&amp;Result=3","7045193")</f>
        <v>0</v>
      </c>
      <c r="B922" t="s">
        <v>75</v>
      </c>
      <c r="C922" t="s">
        <v>3557</v>
      </c>
      <c r="D922" t="s">
        <v>13021</v>
      </c>
      <c r="E922" t="s">
        <v>13936</v>
      </c>
      <c r="F922" t="s">
        <v>22436</v>
      </c>
      <c r="G922" t="s">
        <v>22445</v>
      </c>
      <c r="H922" t="s">
        <v>22452</v>
      </c>
      <c r="I922" t="s">
        <v>3529</v>
      </c>
      <c r="J922" t="s">
        <v>23310</v>
      </c>
      <c r="K922" t="s">
        <v>29335</v>
      </c>
      <c r="M922" t="s">
        <v>29647</v>
      </c>
      <c r="N922" t="s">
        <v>32524</v>
      </c>
      <c r="O922" t="s">
        <v>32525</v>
      </c>
      <c r="P922">
        <v>0</v>
      </c>
      <c r="Q922">
        <v>0</v>
      </c>
      <c r="R922" t="s">
        <v>32526</v>
      </c>
      <c r="S922" t="s">
        <v>32547</v>
      </c>
      <c r="T922" t="s">
        <v>33167</v>
      </c>
      <c r="U922" t="s">
        <v>34435</v>
      </c>
      <c r="W922" t="s">
        <v>29647</v>
      </c>
      <c r="X922" t="s">
        <v>32527</v>
      </c>
    </row>
    <row r="923" spans="1:24">
      <c r="A923">
        <f>HYPERLINK("https://www.philgeps.gov.ph/GEPSNONPILOT/Tender/SplashBidNoticeAbstractUI.aspx?menuIndex=3&amp;refID=7045194&amp;Result=3","7045194")</f>
        <v>0</v>
      </c>
      <c r="B923" t="s">
        <v>409</v>
      </c>
      <c r="C923" t="s">
        <v>3558</v>
      </c>
      <c r="D923" t="s">
        <v>13018</v>
      </c>
      <c r="E923" t="s">
        <v>13865</v>
      </c>
      <c r="F923" t="s">
        <v>22436</v>
      </c>
      <c r="G923" t="s">
        <v>22444</v>
      </c>
      <c r="H923" t="s">
        <v>22452</v>
      </c>
      <c r="I923" t="s">
        <v>3529</v>
      </c>
      <c r="J923" t="s">
        <v>23311</v>
      </c>
      <c r="K923" t="s">
        <v>29331</v>
      </c>
      <c r="M923" t="s">
        <v>29988</v>
      </c>
      <c r="N923" t="s">
        <v>32524</v>
      </c>
      <c r="O923" t="s">
        <v>32525</v>
      </c>
      <c r="P923">
        <v>0</v>
      </c>
      <c r="Q923">
        <v>0</v>
      </c>
      <c r="R923" t="s">
        <v>32526</v>
      </c>
      <c r="S923" t="s">
        <v>32547</v>
      </c>
      <c r="T923" t="s">
        <v>33268</v>
      </c>
      <c r="U923" t="s">
        <v>34436</v>
      </c>
      <c r="V923" t="s">
        <v>34436</v>
      </c>
      <c r="W923" t="s">
        <v>29988</v>
      </c>
      <c r="X923" t="s">
        <v>32527</v>
      </c>
    </row>
    <row r="924" spans="1:24">
      <c r="A924">
        <f>HYPERLINK("https://www.philgeps.gov.ph/GEPSNONPILOT/Tender/SplashBidNoticeAbstractUI.aspx?menuIndex=3&amp;refID=7045195&amp;Result=3","7045195")</f>
        <v>0</v>
      </c>
      <c r="B924" t="s">
        <v>186</v>
      </c>
      <c r="C924" t="s">
        <v>3559</v>
      </c>
      <c r="D924" t="s">
        <v>13034</v>
      </c>
      <c r="E924" t="s">
        <v>13937</v>
      </c>
      <c r="F924" t="s">
        <v>22436</v>
      </c>
      <c r="G924" t="s">
        <v>22443</v>
      </c>
      <c r="H924" t="s">
        <v>22452</v>
      </c>
      <c r="I924" t="s">
        <v>3529</v>
      </c>
      <c r="J924" t="s">
        <v>23312</v>
      </c>
      <c r="K924" t="s">
        <v>29356</v>
      </c>
      <c r="L924" t="s">
        <v>186</v>
      </c>
      <c r="M924" t="s">
        <v>29758</v>
      </c>
      <c r="N924" t="s">
        <v>32524</v>
      </c>
      <c r="O924" t="s">
        <v>32525</v>
      </c>
      <c r="P924">
        <v>0</v>
      </c>
      <c r="Q924">
        <v>0</v>
      </c>
      <c r="R924" t="s">
        <v>32526</v>
      </c>
      <c r="S924" t="s">
        <v>32547</v>
      </c>
      <c r="T924" t="s">
        <v>33161</v>
      </c>
      <c r="U924" t="s">
        <v>33969</v>
      </c>
      <c r="W924" t="s">
        <v>29758</v>
      </c>
      <c r="X924" t="s">
        <v>32527</v>
      </c>
    </row>
    <row r="925" spans="1:24">
      <c r="A925">
        <f>HYPERLINK("https://www.philgeps.gov.ph/GEPSNONPILOT/Tender/SplashBidNoticeAbstractUI.aspx?menuIndex=3&amp;refID=7045211&amp;Result=3","7045211")</f>
        <v>0</v>
      </c>
      <c r="B925" t="s">
        <v>410</v>
      </c>
      <c r="C925" t="s">
        <v>3560</v>
      </c>
      <c r="D925" t="s">
        <v>12994</v>
      </c>
      <c r="E925" t="s">
        <v>13865</v>
      </c>
      <c r="F925" t="s">
        <v>22436</v>
      </c>
      <c r="G925" t="s">
        <v>22446</v>
      </c>
      <c r="H925" t="s">
        <v>22452</v>
      </c>
      <c r="I925" t="s">
        <v>22465</v>
      </c>
      <c r="J925" t="s">
        <v>23313</v>
      </c>
      <c r="K925" t="s">
        <v>29340</v>
      </c>
      <c r="M925" t="s">
        <v>29989</v>
      </c>
      <c r="N925" t="s">
        <v>32524</v>
      </c>
      <c r="O925" t="s">
        <v>32525</v>
      </c>
      <c r="P925">
        <v>0</v>
      </c>
      <c r="Q925">
        <v>0</v>
      </c>
      <c r="R925" t="s">
        <v>32526</v>
      </c>
      <c r="S925" t="s">
        <v>32547</v>
      </c>
      <c r="T925" t="s">
        <v>33167</v>
      </c>
      <c r="U925" t="s">
        <v>34437</v>
      </c>
      <c r="W925" t="s">
        <v>29989</v>
      </c>
      <c r="X925" t="s">
        <v>32527</v>
      </c>
    </row>
    <row r="926" spans="1:24">
      <c r="A926">
        <f>HYPERLINK("https://www.philgeps.gov.ph/GEPSNONPILOT/Tender/SplashBidNoticeAbstractUI.aspx?menuIndex=3&amp;refID=7045208&amp;Result=3","7045208")</f>
        <v>0</v>
      </c>
      <c r="B926" t="s">
        <v>358</v>
      </c>
      <c r="C926" t="s">
        <v>3561</v>
      </c>
      <c r="D926" t="s">
        <v>13034</v>
      </c>
      <c r="E926" t="s">
        <v>13938</v>
      </c>
      <c r="F926" t="s">
        <v>22436</v>
      </c>
      <c r="G926" t="s">
        <v>22443</v>
      </c>
      <c r="H926" t="s">
        <v>22452</v>
      </c>
      <c r="I926" t="s">
        <v>22486</v>
      </c>
      <c r="J926" t="s">
        <v>22640</v>
      </c>
      <c r="K926" t="s">
        <v>29333</v>
      </c>
      <c r="M926" t="s">
        <v>29935</v>
      </c>
      <c r="N926" t="s">
        <v>32524</v>
      </c>
      <c r="O926" t="s">
        <v>32525</v>
      </c>
      <c r="P926">
        <v>0</v>
      </c>
      <c r="Q926">
        <v>1</v>
      </c>
      <c r="R926" t="s">
        <v>32526</v>
      </c>
      <c r="S926" t="s">
        <v>32547</v>
      </c>
      <c r="T926" t="s">
        <v>33180</v>
      </c>
      <c r="U926" t="s">
        <v>34438</v>
      </c>
      <c r="V926" t="s">
        <v>42498</v>
      </c>
      <c r="W926" t="s">
        <v>29935</v>
      </c>
      <c r="X926" t="s">
        <v>32527</v>
      </c>
    </row>
    <row r="927" spans="1:24">
      <c r="A927">
        <f>HYPERLINK("https://www.philgeps.gov.ph/GEPSNONPILOT/Tender/SplashBidNoticeAbstractUI.aspx?menuIndex=3&amp;refID=7045197&amp;Result=3","7045197")</f>
        <v>0</v>
      </c>
      <c r="B927" t="s">
        <v>50</v>
      </c>
      <c r="C927" t="s">
        <v>3562</v>
      </c>
      <c r="D927" t="s">
        <v>13008</v>
      </c>
      <c r="E927" t="s">
        <v>13939</v>
      </c>
      <c r="F927" t="s">
        <v>22436</v>
      </c>
      <c r="G927" t="s">
        <v>22444</v>
      </c>
      <c r="H927" t="s">
        <v>22452</v>
      </c>
      <c r="I927" t="s">
        <v>2981</v>
      </c>
      <c r="J927" t="s">
        <v>23314</v>
      </c>
      <c r="K927" t="s">
        <v>29335</v>
      </c>
      <c r="M927" t="s">
        <v>29622</v>
      </c>
      <c r="N927" t="s">
        <v>32524</v>
      </c>
      <c r="O927" t="s">
        <v>32525</v>
      </c>
      <c r="P927">
        <v>0</v>
      </c>
      <c r="Q927">
        <v>0</v>
      </c>
      <c r="R927" t="s">
        <v>32526</v>
      </c>
      <c r="S927" t="s">
        <v>32547</v>
      </c>
      <c r="T927" t="s">
        <v>33166</v>
      </c>
      <c r="U927" t="s">
        <v>34439</v>
      </c>
      <c r="W927" t="s">
        <v>29622</v>
      </c>
      <c r="X927" t="s">
        <v>32527</v>
      </c>
    </row>
    <row r="928" spans="1:24">
      <c r="A928">
        <f>HYPERLINK("https://www.philgeps.gov.ph/GEPSNONPILOT/Tender/SplashBidNoticeAbstractUI.aspx?menuIndex=3&amp;refID=7045209&amp;Result=3","7045209")</f>
        <v>0</v>
      </c>
      <c r="B928" t="s">
        <v>411</v>
      </c>
      <c r="C928" t="s">
        <v>3563</v>
      </c>
      <c r="D928" t="s">
        <v>13015</v>
      </c>
      <c r="E928" t="s">
        <v>13940</v>
      </c>
      <c r="F928" t="s">
        <v>22436</v>
      </c>
      <c r="G928" t="s">
        <v>22444</v>
      </c>
      <c r="H928" t="s">
        <v>22454</v>
      </c>
      <c r="I928" t="s">
        <v>7738</v>
      </c>
      <c r="J928" t="s">
        <v>22877</v>
      </c>
      <c r="K928" t="s">
        <v>29334</v>
      </c>
      <c r="M928" t="s">
        <v>29990</v>
      </c>
      <c r="N928" t="s">
        <v>32524</v>
      </c>
      <c r="O928" t="s">
        <v>32525</v>
      </c>
      <c r="P928">
        <v>0</v>
      </c>
      <c r="Q928">
        <v>0</v>
      </c>
      <c r="R928" t="s">
        <v>32526</v>
      </c>
      <c r="S928" t="s">
        <v>32547</v>
      </c>
      <c r="T928" t="s">
        <v>33170</v>
      </c>
      <c r="U928" t="s">
        <v>34440</v>
      </c>
      <c r="W928" t="s">
        <v>29990</v>
      </c>
      <c r="X928" t="s">
        <v>32527</v>
      </c>
    </row>
    <row r="929" spans="1:24">
      <c r="A929">
        <f>HYPERLINK("https://www.philgeps.gov.ph/GEPSNONPILOT/Tender/SplashBidNoticeAbstractUI.aspx?menuIndex=3&amp;refID=7045202&amp;Result=3","7045202")</f>
        <v>0</v>
      </c>
      <c r="B929" t="s">
        <v>151</v>
      </c>
      <c r="C929" t="s">
        <v>3564</v>
      </c>
      <c r="D929" t="s">
        <v>13039</v>
      </c>
      <c r="E929" t="s">
        <v>13381</v>
      </c>
      <c r="F929" t="s">
        <v>22436</v>
      </c>
      <c r="G929" t="s">
        <v>22443</v>
      </c>
      <c r="H929" t="s">
        <v>22452</v>
      </c>
      <c r="I929" t="s">
        <v>3027</v>
      </c>
      <c r="J929" t="s">
        <v>23315</v>
      </c>
      <c r="K929" t="s">
        <v>29356</v>
      </c>
      <c r="M929" t="s">
        <v>29723</v>
      </c>
      <c r="N929" t="s">
        <v>32524</v>
      </c>
      <c r="O929" t="s">
        <v>32525</v>
      </c>
      <c r="P929">
        <v>0</v>
      </c>
      <c r="Q929">
        <v>0</v>
      </c>
      <c r="R929" t="s">
        <v>32526</v>
      </c>
      <c r="S929" t="s">
        <v>32547</v>
      </c>
      <c r="T929" t="s">
        <v>33167</v>
      </c>
      <c r="U929" t="s">
        <v>34441</v>
      </c>
      <c r="W929" t="s">
        <v>29723</v>
      </c>
      <c r="X929" t="s">
        <v>32527</v>
      </c>
    </row>
    <row r="930" spans="1:24">
      <c r="A930">
        <f>HYPERLINK("https://www.philgeps.gov.ph/GEPSNONPILOT/Tender/SplashBidNoticeAbstractUI.aspx?menuIndex=3&amp;refID=7045201&amp;Result=3","7045201")</f>
        <v>0</v>
      </c>
      <c r="B930" t="s">
        <v>412</v>
      </c>
      <c r="C930" t="s">
        <v>3565</v>
      </c>
      <c r="D930" t="s">
        <v>13009</v>
      </c>
      <c r="E930" t="s">
        <v>13941</v>
      </c>
      <c r="F930" t="s">
        <v>22436</v>
      </c>
      <c r="G930" t="s">
        <v>22444</v>
      </c>
      <c r="H930" t="s">
        <v>22454</v>
      </c>
      <c r="I930" t="s">
        <v>7738</v>
      </c>
      <c r="J930" t="s">
        <v>23316</v>
      </c>
      <c r="K930" t="s">
        <v>29345</v>
      </c>
      <c r="M930" t="s">
        <v>29991</v>
      </c>
      <c r="N930" t="s">
        <v>32524</v>
      </c>
      <c r="O930" t="s">
        <v>32525</v>
      </c>
      <c r="P930">
        <v>0</v>
      </c>
      <c r="Q930">
        <v>0</v>
      </c>
      <c r="R930" t="s">
        <v>32526</v>
      </c>
      <c r="S930" t="s">
        <v>32547</v>
      </c>
      <c r="T930" t="s">
        <v>33166</v>
      </c>
      <c r="U930" t="s">
        <v>34442</v>
      </c>
      <c r="W930" t="s">
        <v>29991</v>
      </c>
      <c r="X930" t="s">
        <v>32527</v>
      </c>
    </row>
    <row r="931" spans="1:24">
      <c r="A931">
        <f>HYPERLINK("https://www.philgeps.gov.ph/GEPSNONPILOT/Tender/SplashBidNoticeAbstractUI.aspx?menuIndex=3&amp;refID=7045206&amp;Result=3","7045206")</f>
        <v>0</v>
      </c>
      <c r="B931" t="s">
        <v>386</v>
      </c>
      <c r="C931" t="s">
        <v>3566</v>
      </c>
      <c r="D931" t="s">
        <v>12988</v>
      </c>
      <c r="E931" t="s">
        <v>13942</v>
      </c>
      <c r="F931" t="s">
        <v>22436</v>
      </c>
      <c r="G931" t="s">
        <v>22445</v>
      </c>
      <c r="H931" t="s">
        <v>22452</v>
      </c>
      <c r="I931" t="s">
        <v>22512</v>
      </c>
      <c r="J931" t="s">
        <v>23317</v>
      </c>
      <c r="K931" t="s">
        <v>29341</v>
      </c>
      <c r="M931" t="s">
        <v>29992</v>
      </c>
      <c r="N931" t="s">
        <v>32524</v>
      </c>
      <c r="O931" t="s">
        <v>32525</v>
      </c>
      <c r="P931">
        <v>0</v>
      </c>
      <c r="Q931">
        <v>0</v>
      </c>
      <c r="R931" t="s">
        <v>32526</v>
      </c>
      <c r="S931" t="s">
        <v>32547</v>
      </c>
      <c r="T931" t="s">
        <v>33167</v>
      </c>
      <c r="U931" t="s">
        <v>34392</v>
      </c>
      <c r="W931" t="s">
        <v>29992</v>
      </c>
      <c r="X931" t="s">
        <v>32527</v>
      </c>
    </row>
    <row r="932" spans="1:24">
      <c r="A932">
        <f>HYPERLINK("https://www.philgeps.gov.ph/GEPSNONPILOT/Tender/SplashBidNoticeAbstractUI.aspx?menuIndex=3&amp;refID=7045210&amp;Result=3","7045210")</f>
        <v>0</v>
      </c>
      <c r="B932" t="s">
        <v>146</v>
      </c>
      <c r="C932" t="s">
        <v>3567</v>
      </c>
      <c r="D932" t="s">
        <v>13042</v>
      </c>
      <c r="E932" t="s">
        <v>13943</v>
      </c>
      <c r="F932" t="s">
        <v>22436</v>
      </c>
      <c r="G932" t="s">
        <v>22444</v>
      </c>
      <c r="H932" t="s">
        <v>22452</v>
      </c>
      <c r="I932" t="s">
        <v>22474</v>
      </c>
      <c r="J932" t="s">
        <v>22669</v>
      </c>
      <c r="K932" t="s">
        <v>29336</v>
      </c>
      <c r="M932" t="s">
        <v>29937</v>
      </c>
      <c r="N932" t="s">
        <v>32524</v>
      </c>
      <c r="O932" t="s">
        <v>32525</v>
      </c>
      <c r="P932">
        <v>0</v>
      </c>
      <c r="Q932">
        <v>8</v>
      </c>
      <c r="R932" t="s">
        <v>32526</v>
      </c>
      <c r="S932" t="s">
        <v>32547</v>
      </c>
      <c r="T932" t="s">
        <v>33266</v>
      </c>
      <c r="U932" t="s">
        <v>34443</v>
      </c>
      <c r="W932" t="s">
        <v>29937</v>
      </c>
      <c r="X932" t="s">
        <v>32527</v>
      </c>
    </row>
    <row r="933" spans="1:24">
      <c r="A933">
        <f>HYPERLINK("https://www.philgeps.gov.ph/GEPSNONPILOT/Tender/SplashBidNoticeAbstractUI.aspx?menuIndex=3&amp;refID=7045214&amp;Result=3","7045214")</f>
        <v>0</v>
      </c>
      <c r="B933" t="s">
        <v>413</v>
      </c>
      <c r="C933" t="s">
        <v>3568</v>
      </c>
      <c r="D933" t="s">
        <v>13061</v>
      </c>
      <c r="E933" t="s">
        <v>13944</v>
      </c>
      <c r="F933" t="s">
        <v>22436</v>
      </c>
      <c r="G933" t="s">
        <v>22443</v>
      </c>
      <c r="H933" t="s">
        <v>22452</v>
      </c>
      <c r="I933" t="s">
        <v>22489</v>
      </c>
      <c r="J933" t="s">
        <v>23243</v>
      </c>
      <c r="K933" t="s">
        <v>29335</v>
      </c>
      <c r="M933" t="s">
        <v>29993</v>
      </c>
      <c r="N933" t="s">
        <v>32524</v>
      </c>
      <c r="O933" t="s">
        <v>32525</v>
      </c>
      <c r="P933">
        <v>0</v>
      </c>
      <c r="Q933">
        <v>4</v>
      </c>
      <c r="R933" t="s">
        <v>32526</v>
      </c>
      <c r="S933" t="s">
        <v>32547</v>
      </c>
      <c r="T933" t="s">
        <v>33196</v>
      </c>
      <c r="U933" t="s">
        <v>34444</v>
      </c>
      <c r="W933" t="s">
        <v>29993</v>
      </c>
      <c r="X933" t="s">
        <v>32527</v>
      </c>
    </row>
    <row r="934" spans="1:24">
      <c r="A934">
        <f>HYPERLINK("https://www.philgeps.gov.ph/GEPSNONPILOT/Tender/SplashBidNoticeAbstractUI.aspx?menuIndex=3&amp;refID=7045196&amp;Result=3","7045196")</f>
        <v>0</v>
      </c>
      <c r="B934" t="s">
        <v>414</v>
      </c>
      <c r="C934" t="s">
        <v>3569</v>
      </c>
      <c r="D934" t="s">
        <v>13039</v>
      </c>
      <c r="E934" t="s">
        <v>13945</v>
      </c>
      <c r="F934" t="s">
        <v>22436</v>
      </c>
      <c r="G934" t="s">
        <v>22444</v>
      </c>
      <c r="H934" t="s">
        <v>22454</v>
      </c>
      <c r="I934" t="s">
        <v>7738</v>
      </c>
      <c r="J934" t="s">
        <v>23318</v>
      </c>
      <c r="K934" t="s">
        <v>29347</v>
      </c>
      <c r="M934" t="s">
        <v>29994</v>
      </c>
      <c r="N934" t="s">
        <v>32524</v>
      </c>
      <c r="O934" t="s">
        <v>32525</v>
      </c>
      <c r="P934">
        <v>0</v>
      </c>
      <c r="Q934">
        <v>0</v>
      </c>
      <c r="R934" t="s">
        <v>32526</v>
      </c>
      <c r="S934" t="s">
        <v>32547</v>
      </c>
      <c r="T934" t="s">
        <v>33279</v>
      </c>
      <c r="U934" t="s">
        <v>34445</v>
      </c>
      <c r="W934" t="s">
        <v>29994</v>
      </c>
      <c r="X934" t="s">
        <v>32527</v>
      </c>
    </row>
    <row r="935" spans="1:24">
      <c r="A935">
        <f>HYPERLINK("https://www.philgeps.gov.ph/GEPSNONPILOT/Tender/SplashBidNoticeAbstractUI.aspx?menuIndex=3&amp;refID=7045200&amp;Result=3","7045200")</f>
        <v>0</v>
      </c>
      <c r="B935" t="s">
        <v>363</v>
      </c>
      <c r="C935" t="s">
        <v>3570</v>
      </c>
      <c r="D935" t="s">
        <v>13029</v>
      </c>
      <c r="E935" t="s">
        <v>13946</v>
      </c>
      <c r="F935" t="s">
        <v>22436</v>
      </c>
      <c r="G935" t="s">
        <v>22443</v>
      </c>
      <c r="H935" t="s">
        <v>22452</v>
      </c>
      <c r="I935" t="s">
        <v>3529</v>
      </c>
      <c r="J935" t="s">
        <v>23319</v>
      </c>
      <c r="K935" t="s">
        <v>29341</v>
      </c>
      <c r="M935" t="s">
        <v>29941</v>
      </c>
      <c r="N935" t="s">
        <v>32524</v>
      </c>
      <c r="O935" t="s">
        <v>32525</v>
      </c>
      <c r="P935">
        <v>0</v>
      </c>
      <c r="Q935">
        <v>0</v>
      </c>
      <c r="R935" t="s">
        <v>32526</v>
      </c>
      <c r="S935" t="s">
        <v>32547</v>
      </c>
      <c r="T935" t="s">
        <v>33154</v>
      </c>
      <c r="U935" t="s">
        <v>34343</v>
      </c>
      <c r="W935" t="s">
        <v>43681</v>
      </c>
      <c r="X935" t="s">
        <v>32527</v>
      </c>
    </row>
    <row r="936" spans="1:24">
      <c r="A936">
        <f>HYPERLINK("https://www.philgeps.gov.ph/GEPSNONPILOT/Tender/SplashBidNoticeAbstractUI.aspx?menuIndex=3&amp;refID=7045205&amp;Result=3","7045205")</f>
        <v>0</v>
      </c>
      <c r="B936" t="s">
        <v>415</v>
      </c>
      <c r="C936" t="s">
        <v>3571</v>
      </c>
      <c r="D936" t="s">
        <v>12988</v>
      </c>
      <c r="E936" t="s">
        <v>13947</v>
      </c>
      <c r="F936" t="s">
        <v>22436</v>
      </c>
      <c r="G936" t="s">
        <v>22446</v>
      </c>
      <c r="H936" t="s">
        <v>22452</v>
      </c>
      <c r="I936" t="s">
        <v>22487</v>
      </c>
      <c r="J936" t="s">
        <v>23320</v>
      </c>
      <c r="K936" t="s">
        <v>29331</v>
      </c>
      <c r="M936" t="s">
        <v>29995</v>
      </c>
      <c r="N936" t="s">
        <v>32524</v>
      </c>
      <c r="O936" t="s">
        <v>32525</v>
      </c>
      <c r="P936">
        <v>0</v>
      </c>
      <c r="Q936">
        <v>1</v>
      </c>
      <c r="R936" t="s">
        <v>32526</v>
      </c>
      <c r="S936" t="s">
        <v>32547</v>
      </c>
      <c r="T936" t="s">
        <v>33280</v>
      </c>
      <c r="U936" t="s">
        <v>34446</v>
      </c>
      <c r="V936" t="s">
        <v>42508</v>
      </c>
      <c r="W936" t="s">
        <v>29995</v>
      </c>
      <c r="X936" t="s">
        <v>32527</v>
      </c>
    </row>
    <row r="937" spans="1:24">
      <c r="A937">
        <f>HYPERLINK("https://www.philgeps.gov.ph/GEPSNONPILOT/Tender/SplashBidNoticeAbstractUI.aspx?menuIndex=3&amp;refID=7045213&amp;Result=3","7045213")</f>
        <v>0</v>
      </c>
      <c r="B937" t="s">
        <v>341</v>
      </c>
      <c r="C937" t="s">
        <v>3572</v>
      </c>
      <c r="D937" t="s">
        <v>12999</v>
      </c>
      <c r="E937" t="s">
        <v>13948</v>
      </c>
      <c r="F937" t="s">
        <v>22436</v>
      </c>
      <c r="G937" t="s">
        <v>22443</v>
      </c>
      <c r="H937" t="s">
        <v>22452</v>
      </c>
      <c r="I937" t="s">
        <v>22469</v>
      </c>
      <c r="J937" t="s">
        <v>23321</v>
      </c>
      <c r="K937" t="s">
        <v>29341</v>
      </c>
      <c r="M937" t="s">
        <v>29917</v>
      </c>
      <c r="N937" t="s">
        <v>32524</v>
      </c>
      <c r="O937" t="s">
        <v>32525</v>
      </c>
      <c r="P937">
        <v>0</v>
      </c>
      <c r="Q937">
        <v>0</v>
      </c>
      <c r="R937" t="s">
        <v>32526</v>
      </c>
      <c r="S937" t="s">
        <v>32547</v>
      </c>
      <c r="T937" t="s">
        <v>33263</v>
      </c>
      <c r="U937" t="s">
        <v>34289</v>
      </c>
      <c r="W937" t="s">
        <v>29917</v>
      </c>
      <c r="X937" t="s">
        <v>32527</v>
      </c>
    </row>
    <row r="938" spans="1:24">
      <c r="A938">
        <f>HYPERLINK("https://www.philgeps.gov.ph/GEPSNONPILOT/Tender/SplashBidNoticeAbstractUI.aspx?menuIndex=3&amp;refID=7045215&amp;Result=3","7045215")</f>
        <v>0</v>
      </c>
      <c r="B938" t="s">
        <v>397</v>
      </c>
      <c r="C938" t="s">
        <v>3573</v>
      </c>
      <c r="E938" t="s">
        <v>13949</v>
      </c>
      <c r="F938" t="s">
        <v>22436</v>
      </c>
      <c r="G938" t="s">
        <v>22443</v>
      </c>
      <c r="H938" t="s">
        <v>22452</v>
      </c>
      <c r="I938" t="s">
        <v>3529</v>
      </c>
      <c r="J938" t="s">
        <v>23322</v>
      </c>
      <c r="K938" t="s">
        <v>29341</v>
      </c>
      <c r="M938" t="s">
        <v>29976</v>
      </c>
      <c r="N938" t="s">
        <v>32524</v>
      </c>
      <c r="O938" t="s">
        <v>32525</v>
      </c>
      <c r="P938">
        <v>0</v>
      </c>
      <c r="Q938">
        <v>0</v>
      </c>
      <c r="R938" t="s">
        <v>32526</v>
      </c>
      <c r="S938" t="s">
        <v>32547</v>
      </c>
      <c r="T938" t="s">
        <v>33154</v>
      </c>
      <c r="U938" t="s">
        <v>34447</v>
      </c>
      <c r="W938" t="s">
        <v>29976</v>
      </c>
      <c r="X938" t="s">
        <v>32527</v>
      </c>
    </row>
    <row r="939" spans="1:24">
      <c r="A939">
        <f>HYPERLINK("https://www.philgeps.gov.ph/GEPSNONPILOT/Tender/SplashBidNoticeAbstractUI.aspx?menuIndex=3&amp;refID=7045199&amp;Result=3","7045199")</f>
        <v>0</v>
      </c>
      <c r="B939" t="s">
        <v>397</v>
      </c>
      <c r="C939" t="s">
        <v>3574</v>
      </c>
      <c r="E939" t="s">
        <v>13950</v>
      </c>
      <c r="F939" t="s">
        <v>22436</v>
      </c>
      <c r="G939" t="s">
        <v>22443</v>
      </c>
      <c r="H939" t="s">
        <v>22452</v>
      </c>
      <c r="I939" t="s">
        <v>3529</v>
      </c>
      <c r="J939" t="s">
        <v>22617</v>
      </c>
      <c r="K939" t="s">
        <v>29341</v>
      </c>
      <c r="M939" t="s">
        <v>29976</v>
      </c>
      <c r="N939" t="s">
        <v>32524</v>
      </c>
      <c r="O939" t="s">
        <v>32525</v>
      </c>
      <c r="P939">
        <v>0</v>
      </c>
      <c r="Q939">
        <v>0</v>
      </c>
      <c r="R939" t="s">
        <v>32526</v>
      </c>
      <c r="S939" t="s">
        <v>32547</v>
      </c>
      <c r="T939" t="s">
        <v>33154</v>
      </c>
      <c r="U939" t="s">
        <v>34447</v>
      </c>
      <c r="W939" t="s">
        <v>29976</v>
      </c>
      <c r="X939" t="s">
        <v>32527</v>
      </c>
    </row>
    <row r="940" spans="1:24">
      <c r="A940">
        <f>HYPERLINK("https://www.philgeps.gov.ph/GEPSNONPILOT/Tender/SplashBidNoticeAbstractUI.aspx?menuIndex=3&amp;refID=7045212&amp;Result=3","7045212")</f>
        <v>0</v>
      </c>
      <c r="B940" t="s">
        <v>412</v>
      </c>
      <c r="C940" t="s">
        <v>3575</v>
      </c>
      <c r="D940" t="s">
        <v>13009</v>
      </c>
      <c r="E940" t="s">
        <v>13951</v>
      </c>
      <c r="F940" t="s">
        <v>22436</v>
      </c>
      <c r="G940" t="s">
        <v>22444</v>
      </c>
      <c r="H940" t="s">
        <v>22454</v>
      </c>
      <c r="I940" t="s">
        <v>7738</v>
      </c>
      <c r="J940" t="s">
        <v>23316</v>
      </c>
      <c r="K940" t="s">
        <v>29345</v>
      </c>
      <c r="M940" t="s">
        <v>29991</v>
      </c>
      <c r="N940" t="s">
        <v>32524</v>
      </c>
      <c r="O940" t="s">
        <v>32525</v>
      </c>
      <c r="P940">
        <v>0</v>
      </c>
      <c r="Q940">
        <v>0</v>
      </c>
      <c r="R940" t="s">
        <v>32526</v>
      </c>
      <c r="S940" t="s">
        <v>32547</v>
      </c>
      <c r="T940" t="s">
        <v>33166</v>
      </c>
      <c r="U940" t="s">
        <v>34448</v>
      </c>
      <c r="W940" t="s">
        <v>29991</v>
      </c>
      <c r="X940" t="s">
        <v>32527</v>
      </c>
    </row>
    <row r="941" spans="1:24">
      <c r="A941">
        <f>HYPERLINK("https://www.philgeps.gov.ph/GEPSNONPILOT/Tender/SplashBidNoticeAbstractUI.aspx?menuIndex=3&amp;refID=7045216&amp;Result=3","7045216")</f>
        <v>0</v>
      </c>
      <c r="B941" t="s">
        <v>416</v>
      </c>
      <c r="C941" t="s">
        <v>3576</v>
      </c>
      <c r="D941" t="s">
        <v>13011</v>
      </c>
      <c r="E941" t="s">
        <v>13952</v>
      </c>
      <c r="F941" t="s">
        <v>22436</v>
      </c>
      <c r="G941" t="s">
        <v>22443</v>
      </c>
      <c r="H941" t="s">
        <v>22452</v>
      </c>
      <c r="I941" t="s">
        <v>22495</v>
      </c>
      <c r="J941" t="s">
        <v>23323</v>
      </c>
      <c r="K941" t="s">
        <v>29338</v>
      </c>
      <c r="M941" t="s">
        <v>29996</v>
      </c>
      <c r="N941" t="s">
        <v>32524</v>
      </c>
      <c r="O941" t="s">
        <v>32525</v>
      </c>
      <c r="P941">
        <v>0</v>
      </c>
      <c r="Q941">
        <v>1</v>
      </c>
      <c r="R941" t="s">
        <v>32526</v>
      </c>
      <c r="S941" t="s">
        <v>32547</v>
      </c>
      <c r="T941" t="s">
        <v>33161</v>
      </c>
      <c r="U941" t="s">
        <v>34449</v>
      </c>
      <c r="W941" t="s">
        <v>29996</v>
      </c>
      <c r="X941" t="s">
        <v>32527</v>
      </c>
    </row>
    <row r="942" spans="1:24">
      <c r="A942">
        <f>HYPERLINK("https://www.philgeps.gov.ph/GEPSNONPILOT/Tender/SplashBidNoticeAbstractUI.aspx?menuIndex=3&amp;refID=7045198&amp;Result=3","7045198")</f>
        <v>0</v>
      </c>
      <c r="B942" t="s">
        <v>394</v>
      </c>
      <c r="C942" t="s">
        <v>3577</v>
      </c>
      <c r="D942" t="s">
        <v>13060</v>
      </c>
      <c r="E942" t="s">
        <v>13953</v>
      </c>
      <c r="F942" t="s">
        <v>22436</v>
      </c>
      <c r="G942" t="s">
        <v>22444</v>
      </c>
      <c r="H942" t="s">
        <v>22454</v>
      </c>
      <c r="I942" t="s">
        <v>7738</v>
      </c>
      <c r="J942" t="s">
        <v>22779</v>
      </c>
      <c r="K942" t="s">
        <v>29333</v>
      </c>
      <c r="M942" t="s">
        <v>29973</v>
      </c>
      <c r="N942" t="s">
        <v>32524</v>
      </c>
      <c r="O942" t="s">
        <v>32525</v>
      </c>
      <c r="P942">
        <v>0</v>
      </c>
      <c r="Q942">
        <v>0</v>
      </c>
      <c r="R942" t="s">
        <v>32526</v>
      </c>
      <c r="S942" t="s">
        <v>32547</v>
      </c>
      <c r="T942" t="s">
        <v>33281</v>
      </c>
      <c r="U942" t="s">
        <v>34450</v>
      </c>
      <c r="W942" t="s">
        <v>29973</v>
      </c>
      <c r="X942" t="s">
        <v>32527</v>
      </c>
    </row>
    <row r="943" spans="1:24">
      <c r="A943">
        <f>HYPERLINK("https://www.philgeps.gov.ph/GEPSNONPILOT/Tender/SplashBidNoticeAbstractUI.aspx?menuIndex=3&amp;refID=7045233&amp;Result=3","7045233")</f>
        <v>0</v>
      </c>
      <c r="B943" t="s">
        <v>353</v>
      </c>
      <c r="C943" t="s">
        <v>3578</v>
      </c>
      <c r="D943" t="s">
        <v>13034</v>
      </c>
      <c r="E943" t="s">
        <v>13954</v>
      </c>
      <c r="F943" t="s">
        <v>22436</v>
      </c>
      <c r="G943" t="s">
        <v>22444</v>
      </c>
      <c r="H943" t="s">
        <v>22454</v>
      </c>
      <c r="I943" t="s">
        <v>7738</v>
      </c>
      <c r="J943" t="s">
        <v>22893</v>
      </c>
      <c r="K943" t="s">
        <v>29362</v>
      </c>
      <c r="M943" t="s">
        <v>29930</v>
      </c>
      <c r="N943" t="s">
        <v>32524</v>
      </c>
      <c r="O943" t="s">
        <v>32525</v>
      </c>
      <c r="P943">
        <v>0</v>
      </c>
      <c r="Q943">
        <v>0</v>
      </c>
      <c r="R943" t="s">
        <v>32526</v>
      </c>
      <c r="S943" t="s">
        <v>32547</v>
      </c>
      <c r="T943" t="s">
        <v>33165</v>
      </c>
      <c r="U943" t="s">
        <v>34451</v>
      </c>
      <c r="W943" t="s">
        <v>29930</v>
      </c>
      <c r="X943" t="s">
        <v>32527</v>
      </c>
    </row>
    <row r="944" spans="1:24">
      <c r="A944">
        <f>HYPERLINK("https://www.philgeps.gov.ph/GEPSNONPILOT/Tender/SplashBidNoticeAbstractUI.aspx?menuIndex=3&amp;refID=7045228&amp;Result=3","7045228")</f>
        <v>0</v>
      </c>
      <c r="B944" t="s">
        <v>346</v>
      </c>
      <c r="C944" t="s">
        <v>3579</v>
      </c>
      <c r="D944" t="s">
        <v>13041</v>
      </c>
      <c r="E944" t="s">
        <v>3579</v>
      </c>
      <c r="F944" t="s">
        <v>22436</v>
      </c>
      <c r="G944" t="s">
        <v>22443</v>
      </c>
      <c r="H944" t="s">
        <v>22452</v>
      </c>
      <c r="I944" t="s">
        <v>3840</v>
      </c>
      <c r="J944" t="s">
        <v>23324</v>
      </c>
      <c r="K944" t="s">
        <v>29338</v>
      </c>
      <c r="M944" t="s">
        <v>29922</v>
      </c>
      <c r="N944" t="s">
        <v>32524</v>
      </c>
      <c r="O944" t="s">
        <v>32525</v>
      </c>
      <c r="P944">
        <v>0</v>
      </c>
      <c r="Q944">
        <v>1</v>
      </c>
      <c r="R944" t="s">
        <v>32526</v>
      </c>
      <c r="S944" t="s">
        <v>32547</v>
      </c>
      <c r="T944" t="s">
        <v>33169</v>
      </c>
      <c r="U944" t="s">
        <v>34452</v>
      </c>
      <c r="W944" t="s">
        <v>29922</v>
      </c>
      <c r="X944" t="s">
        <v>32527</v>
      </c>
    </row>
    <row r="945" spans="1:24">
      <c r="A945">
        <f>HYPERLINK("https://www.philgeps.gov.ph/GEPSNONPILOT/Tender/SplashBidNoticeAbstractUI.aspx?menuIndex=3&amp;refID=7045224&amp;Result=3","7045224")</f>
        <v>0</v>
      </c>
      <c r="B945" t="s">
        <v>417</v>
      </c>
      <c r="C945" t="s">
        <v>3580</v>
      </c>
      <c r="D945" t="s">
        <v>13019</v>
      </c>
      <c r="E945" t="s">
        <v>13955</v>
      </c>
      <c r="F945" t="s">
        <v>22436</v>
      </c>
      <c r="G945" t="s">
        <v>22446</v>
      </c>
      <c r="H945" t="s">
        <v>22452</v>
      </c>
      <c r="I945" t="s">
        <v>5194</v>
      </c>
      <c r="J945" t="s">
        <v>23325</v>
      </c>
      <c r="K945" t="s">
        <v>29338</v>
      </c>
      <c r="L945" t="s">
        <v>417</v>
      </c>
      <c r="M945" t="s">
        <v>29997</v>
      </c>
      <c r="N945" t="s">
        <v>32524</v>
      </c>
      <c r="O945" t="s">
        <v>32525</v>
      </c>
      <c r="P945">
        <v>0</v>
      </c>
      <c r="Q945">
        <v>3</v>
      </c>
      <c r="R945" t="s">
        <v>32526</v>
      </c>
      <c r="S945" t="s">
        <v>32547</v>
      </c>
      <c r="T945" t="s">
        <v>33203</v>
      </c>
      <c r="U945" t="s">
        <v>34453</v>
      </c>
      <c r="W945" t="s">
        <v>29997</v>
      </c>
      <c r="X945" t="s">
        <v>32527</v>
      </c>
    </row>
    <row r="946" spans="1:24">
      <c r="A946">
        <f>HYPERLINK("https://www.philgeps.gov.ph/GEPSNONPILOT/Tender/SplashBidNoticeAbstractUI.aspx?menuIndex=3&amp;refID=7045220&amp;Result=3","7045220")</f>
        <v>0</v>
      </c>
      <c r="B946" t="s">
        <v>418</v>
      </c>
      <c r="C946" t="s">
        <v>3581</v>
      </c>
      <c r="D946" t="s">
        <v>12998</v>
      </c>
      <c r="E946" t="s">
        <v>13956</v>
      </c>
      <c r="F946" t="s">
        <v>22436</v>
      </c>
      <c r="G946" t="s">
        <v>22444</v>
      </c>
      <c r="H946" t="s">
        <v>22454</v>
      </c>
      <c r="I946" t="s">
        <v>7738</v>
      </c>
      <c r="J946" t="s">
        <v>23326</v>
      </c>
      <c r="K946" t="s">
        <v>29335</v>
      </c>
      <c r="M946" t="s">
        <v>29998</v>
      </c>
      <c r="N946" t="s">
        <v>32524</v>
      </c>
      <c r="O946" t="s">
        <v>32525</v>
      </c>
      <c r="P946">
        <v>0</v>
      </c>
      <c r="Q946">
        <v>0</v>
      </c>
      <c r="R946" t="s">
        <v>32526</v>
      </c>
      <c r="S946" t="s">
        <v>32547</v>
      </c>
      <c r="T946" t="s">
        <v>33172</v>
      </c>
      <c r="U946" t="s">
        <v>34454</v>
      </c>
      <c r="W946" t="s">
        <v>43682</v>
      </c>
      <c r="X946" t="s">
        <v>32527</v>
      </c>
    </row>
    <row r="947" spans="1:24">
      <c r="A947">
        <f>HYPERLINK("https://www.philgeps.gov.ph/GEPSNONPILOT/Tender/SplashBidNoticeAbstractUI.aspx?menuIndex=3&amp;refID=7045219&amp;Result=3","7045219")</f>
        <v>0</v>
      </c>
      <c r="B947" t="s">
        <v>419</v>
      </c>
      <c r="C947" t="s">
        <v>2703</v>
      </c>
      <c r="D947" t="s">
        <v>13058</v>
      </c>
      <c r="E947" t="s">
        <v>13957</v>
      </c>
      <c r="F947" t="s">
        <v>22436</v>
      </c>
      <c r="G947" t="s">
        <v>22443</v>
      </c>
      <c r="H947" t="s">
        <v>22452</v>
      </c>
      <c r="I947" t="s">
        <v>3827</v>
      </c>
      <c r="J947" t="s">
        <v>23327</v>
      </c>
      <c r="K947" t="s">
        <v>29336</v>
      </c>
      <c r="M947" t="s">
        <v>29999</v>
      </c>
      <c r="N947" t="s">
        <v>32524</v>
      </c>
      <c r="O947" t="s">
        <v>32525</v>
      </c>
      <c r="P947">
        <v>0</v>
      </c>
      <c r="Q947">
        <v>1</v>
      </c>
      <c r="R947" t="s">
        <v>32526</v>
      </c>
      <c r="S947" t="s">
        <v>32547</v>
      </c>
      <c r="T947" t="s">
        <v>33256</v>
      </c>
      <c r="U947" t="s">
        <v>34455</v>
      </c>
      <c r="W947" t="s">
        <v>29999</v>
      </c>
      <c r="X947" t="s">
        <v>32527</v>
      </c>
    </row>
    <row r="948" spans="1:24">
      <c r="A948">
        <f>HYPERLINK("https://www.philgeps.gov.ph/GEPSNONPILOT/Tender/SplashBidNoticeAbstractUI.aspx?menuIndex=3&amp;refID=7045231&amp;Result=3","7045231")</f>
        <v>0</v>
      </c>
      <c r="B948" t="s">
        <v>50</v>
      </c>
      <c r="C948" t="s">
        <v>3582</v>
      </c>
      <c r="D948" t="s">
        <v>13008</v>
      </c>
      <c r="E948" t="s">
        <v>13958</v>
      </c>
      <c r="F948" t="s">
        <v>22436</v>
      </c>
      <c r="G948" t="s">
        <v>22444</v>
      </c>
      <c r="H948" t="s">
        <v>22452</v>
      </c>
      <c r="I948" t="s">
        <v>22464</v>
      </c>
      <c r="J948" t="s">
        <v>23328</v>
      </c>
      <c r="K948" t="s">
        <v>29335</v>
      </c>
      <c r="M948" t="s">
        <v>29622</v>
      </c>
      <c r="N948" t="s">
        <v>32524</v>
      </c>
      <c r="O948" t="s">
        <v>32525</v>
      </c>
      <c r="P948">
        <v>0</v>
      </c>
      <c r="Q948">
        <v>0</v>
      </c>
      <c r="R948" t="s">
        <v>32526</v>
      </c>
      <c r="S948" t="s">
        <v>32547</v>
      </c>
      <c r="T948" t="s">
        <v>33166</v>
      </c>
      <c r="U948" t="s">
        <v>34456</v>
      </c>
      <c r="W948" t="s">
        <v>29622</v>
      </c>
      <c r="X948" t="s">
        <v>32527</v>
      </c>
    </row>
    <row r="949" spans="1:24">
      <c r="A949">
        <f>HYPERLINK("https://www.philgeps.gov.ph/GEPSNONPILOT/Tender/SplashBidNoticeAbstractUI.aspx?menuIndex=3&amp;refID=7045221&amp;Result=3","7045221")</f>
        <v>0</v>
      </c>
      <c r="B949" t="s">
        <v>394</v>
      </c>
      <c r="C949" t="s">
        <v>3583</v>
      </c>
      <c r="D949" t="s">
        <v>13060</v>
      </c>
      <c r="E949" t="s">
        <v>13959</v>
      </c>
      <c r="F949" t="s">
        <v>22436</v>
      </c>
      <c r="G949" t="s">
        <v>22444</v>
      </c>
      <c r="H949" t="s">
        <v>22454</v>
      </c>
      <c r="I949" t="s">
        <v>7738</v>
      </c>
      <c r="J949" t="s">
        <v>22960</v>
      </c>
      <c r="K949" t="s">
        <v>29345</v>
      </c>
      <c r="M949" t="s">
        <v>29973</v>
      </c>
      <c r="N949" t="s">
        <v>32524</v>
      </c>
      <c r="O949" t="s">
        <v>32525</v>
      </c>
      <c r="P949">
        <v>0</v>
      </c>
      <c r="Q949">
        <v>0</v>
      </c>
      <c r="R949" t="s">
        <v>32526</v>
      </c>
      <c r="S949" t="s">
        <v>32547</v>
      </c>
      <c r="T949" t="s">
        <v>33219</v>
      </c>
      <c r="U949" t="s">
        <v>34457</v>
      </c>
      <c r="W949" t="s">
        <v>29973</v>
      </c>
      <c r="X949" t="s">
        <v>32527</v>
      </c>
    </row>
    <row r="950" spans="1:24">
      <c r="A950">
        <f>HYPERLINK("https://www.philgeps.gov.ph/GEPSNONPILOT/Tender/SplashBidNoticeAbstractUI.aspx?menuIndex=3&amp;refID=7045230&amp;Result=3","7045230")</f>
        <v>0</v>
      </c>
      <c r="B950" t="s">
        <v>303</v>
      </c>
      <c r="C950" t="s">
        <v>3584</v>
      </c>
      <c r="D950" t="s">
        <v>13026</v>
      </c>
      <c r="E950" t="s">
        <v>13960</v>
      </c>
      <c r="F950" t="s">
        <v>22436</v>
      </c>
      <c r="G950" t="s">
        <v>22443</v>
      </c>
      <c r="H950" t="s">
        <v>22452</v>
      </c>
      <c r="I950" t="s">
        <v>2981</v>
      </c>
      <c r="J950" t="s">
        <v>23329</v>
      </c>
      <c r="K950" t="s">
        <v>29336</v>
      </c>
      <c r="M950" t="s">
        <v>29877</v>
      </c>
      <c r="N950" t="s">
        <v>32524</v>
      </c>
      <c r="O950" t="s">
        <v>32525</v>
      </c>
      <c r="P950">
        <v>0</v>
      </c>
      <c r="Q950">
        <v>0</v>
      </c>
      <c r="R950" t="s">
        <v>32526</v>
      </c>
      <c r="S950" t="s">
        <v>32547</v>
      </c>
      <c r="T950" t="s">
        <v>33181</v>
      </c>
      <c r="U950" t="s">
        <v>34458</v>
      </c>
      <c r="W950" t="s">
        <v>29877</v>
      </c>
      <c r="X950" t="s">
        <v>32527</v>
      </c>
    </row>
    <row r="951" spans="1:24">
      <c r="A951">
        <f>HYPERLINK("https://www.philgeps.gov.ph/GEPSNONPILOT/Tender/SplashBidNoticeAbstractUI.aspx?menuIndex=3&amp;refID=7045223&amp;Result=3","7045223")</f>
        <v>0</v>
      </c>
      <c r="B951" t="s">
        <v>399</v>
      </c>
      <c r="C951" t="s">
        <v>3585</v>
      </c>
      <c r="D951" t="s">
        <v>13025</v>
      </c>
      <c r="E951" t="s">
        <v>13961</v>
      </c>
      <c r="F951" t="s">
        <v>22436</v>
      </c>
      <c r="G951" t="s">
        <v>22444</v>
      </c>
      <c r="H951" t="s">
        <v>22452</v>
      </c>
      <c r="I951" t="s">
        <v>22469</v>
      </c>
      <c r="J951" t="s">
        <v>22766</v>
      </c>
      <c r="K951" t="s">
        <v>29338</v>
      </c>
      <c r="M951" t="s">
        <v>29978</v>
      </c>
      <c r="N951" t="s">
        <v>32524</v>
      </c>
      <c r="O951" t="s">
        <v>32525</v>
      </c>
      <c r="P951">
        <v>0</v>
      </c>
      <c r="Q951">
        <v>0</v>
      </c>
      <c r="R951" t="s">
        <v>32526</v>
      </c>
      <c r="S951" t="s">
        <v>32547</v>
      </c>
      <c r="T951" t="s">
        <v>33186</v>
      </c>
      <c r="U951" t="s">
        <v>34459</v>
      </c>
      <c r="W951" t="s">
        <v>29978</v>
      </c>
      <c r="X951" t="s">
        <v>32527</v>
      </c>
    </row>
    <row r="952" spans="1:24">
      <c r="A952">
        <f>HYPERLINK("https://www.philgeps.gov.ph/GEPSNONPILOT/Tender/SplashBidNoticeAbstractUI.aspx?menuIndex=3&amp;refID=7045217&amp;Result=3","7045217")</f>
        <v>0</v>
      </c>
      <c r="B952" t="s">
        <v>399</v>
      </c>
      <c r="C952" t="s">
        <v>3586</v>
      </c>
      <c r="D952" t="s">
        <v>13025</v>
      </c>
      <c r="E952" t="s">
        <v>13962</v>
      </c>
      <c r="F952" t="s">
        <v>22436</v>
      </c>
      <c r="G952" t="s">
        <v>22444</v>
      </c>
      <c r="H952" t="s">
        <v>22452</v>
      </c>
      <c r="I952" t="s">
        <v>6421</v>
      </c>
      <c r="J952" t="s">
        <v>23330</v>
      </c>
      <c r="K952" t="s">
        <v>29338</v>
      </c>
      <c r="M952" t="s">
        <v>29978</v>
      </c>
      <c r="N952" t="s">
        <v>32524</v>
      </c>
      <c r="O952" t="s">
        <v>32525</v>
      </c>
      <c r="P952">
        <v>0</v>
      </c>
      <c r="Q952">
        <v>2</v>
      </c>
      <c r="R952" t="s">
        <v>32526</v>
      </c>
      <c r="S952" t="s">
        <v>32547</v>
      </c>
      <c r="T952" t="s">
        <v>33186</v>
      </c>
      <c r="U952" t="s">
        <v>34460</v>
      </c>
      <c r="W952" t="s">
        <v>29978</v>
      </c>
      <c r="X952" t="s">
        <v>32527</v>
      </c>
    </row>
    <row r="953" spans="1:24">
      <c r="A953">
        <f>HYPERLINK("https://www.philgeps.gov.ph/GEPSNONPILOT/Tender/SplashBidNoticeAbstractUI.aspx?menuIndex=3&amp;refID=7045229&amp;Result=3","7045229")</f>
        <v>0</v>
      </c>
      <c r="B953" t="s">
        <v>420</v>
      </c>
      <c r="C953" t="s">
        <v>3587</v>
      </c>
      <c r="D953" t="s">
        <v>13007</v>
      </c>
      <c r="E953" t="s">
        <v>13963</v>
      </c>
      <c r="F953" t="s">
        <v>22436</v>
      </c>
      <c r="G953" t="s">
        <v>22445</v>
      </c>
      <c r="H953" t="s">
        <v>22452</v>
      </c>
      <c r="I953" t="s">
        <v>3827</v>
      </c>
      <c r="J953" t="s">
        <v>23227</v>
      </c>
      <c r="K953" t="s">
        <v>29356</v>
      </c>
      <c r="M953" t="s">
        <v>30000</v>
      </c>
      <c r="N953" t="s">
        <v>32524</v>
      </c>
      <c r="O953" t="s">
        <v>32525</v>
      </c>
      <c r="P953">
        <v>0</v>
      </c>
      <c r="Q953">
        <v>0</v>
      </c>
      <c r="R953" t="s">
        <v>32526</v>
      </c>
      <c r="S953" t="s">
        <v>32547</v>
      </c>
      <c r="T953" t="s">
        <v>33161</v>
      </c>
      <c r="U953" t="s">
        <v>34461</v>
      </c>
      <c r="W953" t="s">
        <v>30000</v>
      </c>
      <c r="X953" t="s">
        <v>32527</v>
      </c>
    </row>
    <row r="954" spans="1:24">
      <c r="A954">
        <f>HYPERLINK("https://www.philgeps.gov.ph/GEPSNONPILOT/Tender/SplashBidNoticeAbstractUI.aspx?menuIndex=3&amp;refID=7045241&amp;Result=3","7045241")</f>
        <v>0</v>
      </c>
      <c r="B954" t="s">
        <v>380</v>
      </c>
      <c r="C954" t="s">
        <v>3588</v>
      </c>
      <c r="D954" t="s">
        <v>12996</v>
      </c>
      <c r="E954" t="s">
        <v>13411</v>
      </c>
      <c r="F954" t="s">
        <v>22436</v>
      </c>
      <c r="G954" t="s">
        <v>22446</v>
      </c>
      <c r="H954" t="s">
        <v>22452</v>
      </c>
      <c r="I954" t="s">
        <v>22472</v>
      </c>
      <c r="J954" t="s">
        <v>23331</v>
      </c>
      <c r="K954" t="s">
        <v>29338</v>
      </c>
      <c r="M954" t="s">
        <v>29958</v>
      </c>
      <c r="N954" t="s">
        <v>32524</v>
      </c>
      <c r="O954" t="s">
        <v>32525</v>
      </c>
      <c r="P954">
        <v>0</v>
      </c>
      <c r="Q954">
        <v>4</v>
      </c>
      <c r="R954" t="s">
        <v>32526</v>
      </c>
      <c r="S954" t="s">
        <v>32547</v>
      </c>
      <c r="T954" t="s">
        <v>33228</v>
      </c>
      <c r="U954" t="s">
        <v>34462</v>
      </c>
      <c r="W954" t="s">
        <v>29958</v>
      </c>
      <c r="X954" t="s">
        <v>32527</v>
      </c>
    </row>
    <row r="955" spans="1:24">
      <c r="A955">
        <f>HYPERLINK("https://www.philgeps.gov.ph/GEPSNONPILOT/Tender/SplashBidNoticeAbstractUI.aspx?menuIndex=3&amp;refID=7045235&amp;Result=3","7045235")</f>
        <v>0</v>
      </c>
      <c r="B955" t="s">
        <v>421</v>
      </c>
      <c r="C955" t="s">
        <v>3589</v>
      </c>
      <c r="D955" t="s">
        <v>13022</v>
      </c>
      <c r="E955" t="s">
        <v>13964</v>
      </c>
      <c r="F955" t="s">
        <v>22436</v>
      </c>
      <c r="G955" t="s">
        <v>22446</v>
      </c>
      <c r="H955" t="s">
        <v>22452</v>
      </c>
      <c r="I955" t="s">
        <v>22456</v>
      </c>
      <c r="J955" t="s">
        <v>22605</v>
      </c>
      <c r="K955" t="s">
        <v>29336</v>
      </c>
      <c r="M955" t="s">
        <v>30001</v>
      </c>
      <c r="N955" t="s">
        <v>32524</v>
      </c>
      <c r="O955" t="s">
        <v>32525</v>
      </c>
      <c r="P955">
        <v>0</v>
      </c>
      <c r="Q955">
        <v>2</v>
      </c>
      <c r="R955" t="s">
        <v>32526</v>
      </c>
      <c r="S955" t="s">
        <v>32547</v>
      </c>
      <c r="T955" t="s">
        <v>33230</v>
      </c>
      <c r="U955" t="s">
        <v>34463</v>
      </c>
      <c r="W955" t="s">
        <v>30001</v>
      </c>
      <c r="X955" t="s">
        <v>32527</v>
      </c>
    </row>
    <row r="956" spans="1:24">
      <c r="A956">
        <f>HYPERLINK("https://www.philgeps.gov.ph/GEPSNONPILOT/Tender/SplashBidNoticeAbstractUI.aspx?menuIndex=3&amp;refID=7045234&amp;Result=3","7045234")</f>
        <v>0</v>
      </c>
      <c r="B956" t="s">
        <v>422</v>
      </c>
      <c r="C956" t="s">
        <v>3590</v>
      </c>
      <c r="D956" t="s">
        <v>13034</v>
      </c>
      <c r="E956" t="s">
        <v>13965</v>
      </c>
      <c r="F956" t="s">
        <v>22436</v>
      </c>
      <c r="G956" t="s">
        <v>22443</v>
      </c>
      <c r="H956" t="s">
        <v>22452</v>
      </c>
      <c r="I956" t="s">
        <v>22524</v>
      </c>
      <c r="J956" t="s">
        <v>22892</v>
      </c>
      <c r="K956" t="s">
        <v>29331</v>
      </c>
      <c r="M956" t="s">
        <v>30002</v>
      </c>
      <c r="N956" t="s">
        <v>32524</v>
      </c>
      <c r="O956" t="s">
        <v>32525</v>
      </c>
      <c r="P956">
        <v>0</v>
      </c>
      <c r="Q956">
        <v>2</v>
      </c>
      <c r="R956" t="s">
        <v>32526</v>
      </c>
      <c r="S956" t="s">
        <v>32547</v>
      </c>
      <c r="T956" t="s">
        <v>33167</v>
      </c>
      <c r="U956" t="s">
        <v>34464</v>
      </c>
      <c r="V956" t="s">
        <v>42509</v>
      </c>
      <c r="W956" t="s">
        <v>30002</v>
      </c>
      <c r="X956" t="s">
        <v>32527</v>
      </c>
    </row>
    <row r="957" spans="1:24">
      <c r="A957">
        <f>HYPERLINK("https://www.philgeps.gov.ph/GEPSNONPILOT/Tender/SplashBidNoticeAbstractUI.aspx?menuIndex=3&amp;refID=7045236&amp;Result=3","7045236")</f>
        <v>0</v>
      </c>
      <c r="B957" t="s">
        <v>423</v>
      </c>
      <c r="C957" t="s">
        <v>3591</v>
      </c>
      <c r="D957" t="s">
        <v>12999</v>
      </c>
      <c r="E957" t="s">
        <v>13966</v>
      </c>
      <c r="F957" t="s">
        <v>22436</v>
      </c>
      <c r="G957" t="s">
        <v>22447</v>
      </c>
      <c r="H957" t="s">
        <v>22454</v>
      </c>
      <c r="I957" t="s">
        <v>7738</v>
      </c>
      <c r="J957" t="s">
        <v>23332</v>
      </c>
      <c r="K957" t="s">
        <v>29333</v>
      </c>
      <c r="M957" t="s">
        <v>30003</v>
      </c>
      <c r="N957" t="s">
        <v>32524</v>
      </c>
      <c r="O957" t="s">
        <v>32525</v>
      </c>
      <c r="P957">
        <v>0</v>
      </c>
      <c r="Q957">
        <v>0</v>
      </c>
      <c r="R957" t="s">
        <v>32526</v>
      </c>
      <c r="S957" t="s">
        <v>32547</v>
      </c>
      <c r="T957" t="s">
        <v>33168</v>
      </c>
      <c r="U957" t="s">
        <v>34465</v>
      </c>
      <c r="W957" t="s">
        <v>30003</v>
      </c>
      <c r="X957" t="s">
        <v>32527</v>
      </c>
    </row>
    <row r="958" spans="1:24">
      <c r="A958">
        <f>HYPERLINK("https://www.philgeps.gov.ph/GEPSNONPILOT/Tender/SplashBidNoticeAbstractUI.aspx?menuIndex=3&amp;refID=7045237&amp;Result=3","7045237")</f>
        <v>0</v>
      </c>
      <c r="B958" t="s">
        <v>399</v>
      </c>
      <c r="C958" t="s">
        <v>3592</v>
      </c>
      <c r="D958" t="s">
        <v>13025</v>
      </c>
      <c r="E958" t="s">
        <v>13967</v>
      </c>
      <c r="F958" t="s">
        <v>22436</v>
      </c>
      <c r="G958" t="s">
        <v>22444</v>
      </c>
      <c r="H958" t="s">
        <v>22452</v>
      </c>
      <c r="I958" t="s">
        <v>22460</v>
      </c>
      <c r="J958" t="s">
        <v>22802</v>
      </c>
      <c r="K958" t="s">
        <v>29338</v>
      </c>
      <c r="M958" t="s">
        <v>29978</v>
      </c>
      <c r="N958" t="s">
        <v>32524</v>
      </c>
      <c r="O958" t="s">
        <v>32525</v>
      </c>
      <c r="P958">
        <v>0</v>
      </c>
      <c r="Q958">
        <v>0</v>
      </c>
      <c r="R958" t="s">
        <v>32526</v>
      </c>
      <c r="S958" t="s">
        <v>32547</v>
      </c>
      <c r="T958" t="s">
        <v>33186</v>
      </c>
      <c r="U958" t="s">
        <v>34466</v>
      </c>
      <c r="W958" t="s">
        <v>29978</v>
      </c>
      <c r="X958" t="s">
        <v>32527</v>
      </c>
    </row>
    <row r="959" spans="1:24">
      <c r="A959">
        <f>HYPERLINK("https://www.philgeps.gov.ph/GEPSNONPILOT/Tender/SplashBidNoticeAbstractUI.aspx?menuIndex=3&amp;refID=7045226&amp;Result=3","7045226")</f>
        <v>0</v>
      </c>
      <c r="B959" t="s">
        <v>424</v>
      </c>
      <c r="C959" t="s">
        <v>3593</v>
      </c>
      <c r="D959" t="s">
        <v>13004</v>
      </c>
      <c r="E959" t="s">
        <v>13968</v>
      </c>
      <c r="F959" t="s">
        <v>22436</v>
      </c>
      <c r="G959" t="s">
        <v>22443</v>
      </c>
      <c r="H959" t="s">
        <v>22452</v>
      </c>
      <c r="I959" t="s">
        <v>3827</v>
      </c>
      <c r="J959" t="s">
        <v>22788</v>
      </c>
      <c r="K959" t="s">
        <v>29341</v>
      </c>
      <c r="M959" t="s">
        <v>30004</v>
      </c>
      <c r="N959" t="s">
        <v>32524</v>
      </c>
      <c r="O959" t="s">
        <v>32525</v>
      </c>
      <c r="P959">
        <v>0</v>
      </c>
      <c r="Q959">
        <v>0</v>
      </c>
      <c r="R959" t="s">
        <v>32526</v>
      </c>
      <c r="S959" t="s">
        <v>32547</v>
      </c>
      <c r="T959" t="s">
        <v>33167</v>
      </c>
      <c r="U959" t="s">
        <v>34467</v>
      </c>
      <c r="W959" t="s">
        <v>30004</v>
      </c>
      <c r="X959" t="s">
        <v>32527</v>
      </c>
    </row>
    <row r="960" spans="1:24">
      <c r="A960">
        <f>HYPERLINK("https://www.philgeps.gov.ph/GEPSNONPILOT/Tender/SplashBidNoticeAbstractUI.aspx?menuIndex=3&amp;refID=7045225&amp;Result=3","7045225")</f>
        <v>0</v>
      </c>
      <c r="B960" t="s">
        <v>341</v>
      </c>
      <c r="C960" t="s">
        <v>3594</v>
      </c>
      <c r="D960" t="s">
        <v>12999</v>
      </c>
      <c r="E960" t="s">
        <v>13969</v>
      </c>
      <c r="F960" t="s">
        <v>22436</v>
      </c>
      <c r="G960" t="s">
        <v>22443</v>
      </c>
      <c r="H960" t="s">
        <v>22452</v>
      </c>
      <c r="I960" t="s">
        <v>22469</v>
      </c>
      <c r="J960" t="s">
        <v>22583</v>
      </c>
      <c r="K960" t="s">
        <v>29341</v>
      </c>
      <c r="M960" t="s">
        <v>29917</v>
      </c>
      <c r="N960" t="s">
        <v>32524</v>
      </c>
      <c r="O960" t="s">
        <v>32525</v>
      </c>
      <c r="P960">
        <v>0</v>
      </c>
      <c r="Q960">
        <v>2</v>
      </c>
      <c r="R960" t="s">
        <v>32526</v>
      </c>
      <c r="S960" t="s">
        <v>32547</v>
      </c>
      <c r="T960" t="s">
        <v>33263</v>
      </c>
      <c r="U960" t="s">
        <v>34289</v>
      </c>
      <c r="W960" t="s">
        <v>29917</v>
      </c>
      <c r="X960" t="s">
        <v>32527</v>
      </c>
    </row>
    <row r="961" spans="1:24">
      <c r="A961">
        <f>HYPERLINK("https://www.philgeps.gov.ph/GEPSNONPILOT/Tender/SplashBidNoticeAbstractUI.aspx?menuIndex=3&amp;refID=7045238&amp;Result=3","7045238")</f>
        <v>0</v>
      </c>
      <c r="B961" t="s">
        <v>425</v>
      </c>
      <c r="C961" t="s">
        <v>3595</v>
      </c>
      <c r="D961" t="s">
        <v>13003</v>
      </c>
      <c r="E961" t="s">
        <v>13970</v>
      </c>
      <c r="F961" t="s">
        <v>22436</v>
      </c>
      <c r="G961" t="s">
        <v>22444</v>
      </c>
      <c r="H961" t="s">
        <v>22454</v>
      </c>
      <c r="I961" t="s">
        <v>7738</v>
      </c>
      <c r="J961" t="s">
        <v>23333</v>
      </c>
      <c r="K961" t="s">
        <v>29342</v>
      </c>
      <c r="M961" t="s">
        <v>30005</v>
      </c>
      <c r="N961" t="s">
        <v>32524</v>
      </c>
      <c r="O961" t="s">
        <v>32525</v>
      </c>
      <c r="P961">
        <v>0</v>
      </c>
      <c r="Q961">
        <v>0</v>
      </c>
      <c r="R961" t="s">
        <v>32526</v>
      </c>
      <c r="S961" t="s">
        <v>32547</v>
      </c>
      <c r="T961" t="s">
        <v>33277</v>
      </c>
      <c r="U961" t="s">
        <v>34468</v>
      </c>
      <c r="V961" t="s">
        <v>42510</v>
      </c>
      <c r="W961" t="s">
        <v>30005</v>
      </c>
      <c r="X961" t="s">
        <v>32527</v>
      </c>
    </row>
    <row r="962" spans="1:24">
      <c r="A962">
        <f>HYPERLINK("https://www.philgeps.gov.ph/GEPSNONPILOT/Tender/SplashBidNoticeAbstractUI.aspx?menuIndex=3&amp;refID=7045246&amp;Result=3","7045246")</f>
        <v>0</v>
      </c>
      <c r="B962" t="s">
        <v>339</v>
      </c>
      <c r="C962" t="s">
        <v>3596</v>
      </c>
      <c r="D962" t="s">
        <v>12990</v>
      </c>
      <c r="E962" t="s">
        <v>13971</v>
      </c>
      <c r="F962" t="s">
        <v>22436</v>
      </c>
      <c r="G962" t="s">
        <v>22444</v>
      </c>
      <c r="H962" t="s">
        <v>22454</v>
      </c>
      <c r="I962" t="s">
        <v>6387</v>
      </c>
      <c r="J962" t="s">
        <v>23334</v>
      </c>
      <c r="K962" t="s">
        <v>29329</v>
      </c>
      <c r="M962" t="s">
        <v>29915</v>
      </c>
      <c r="N962" t="s">
        <v>32524</v>
      </c>
      <c r="O962" t="s">
        <v>32525</v>
      </c>
      <c r="P962">
        <v>0</v>
      </c>
      <c r="Q962">
        <v>1</v>
      </c>
      <c r="R962" t="s">
        <v>32526</v>
      </c>
      <c r="S962" t="s">
        <v>32547</v>
      </c>
      <c r="T962" t="s">
        <v>33262</v>
      </c>
      <c r="U962" t="s">
        <v>34469</v>
      </c>
      <c r="W962" t="s">
        <v>29915</v>
      </c>
      <c r="X962" t="s">
        <v>32527</v>
      </c>
    </row>
    <row r="963" spans="1:24">
      <c r="A963">
        <f>HYPERLINK("https://www.philgeps.gov.ph/GEPSNONPILOT/Tender/SplashBidNoticeAbstractUI.aspx?menuIndex=3&amp;refID=7045242&amp;Result=3","7045242")</f>
        <v>0</v>
      </c>
      <c r="B963" t="s">
        <v>386</v>
      </c>
      <c r="C963" t="s">
        <v>3597</v>
      </c>
      <c r="D963" t="s">
        <v>12988</v>
      </c>
      <c r="E963" t="s">
        <v>13972</v>
      </c>
      <c r="F963" t="s">
        <v>22436</v>
      </c>
      <c r="G963" t="s">
        <v>22445</v>
      </c>
      <c r="H963" t="s">
        <v>22452</v>
      </c>
      <c r="I963" t="s">
        <v>3827</v>
      </c>
      <c r="J963" t="s">
        <v>23335</v>
      </c>
      <c r="K963" t="s">
        <v>29341</v>
      </c>
      <c r="M963" t="s">
        <v>30006</v>
      </c>
      <c r="N963" t="s">
        <v>32524</v>
      </c>
      <c r="O963" t="s">
        <v>32525</v>
      </c>
      <c r="P963">
        <v>0</v>
      </c>
      <c r="Q963">
        <v>1</v>
      </c>
      <c r="R963" t="s">
        <v>32526</v>
      </c>
      <c r="S963" t="s">
        <v>32547</v>
      </c>
      <c r="T963" t="s">
        <v>33167</v>
      </c>
      <c r="U963" t="s">
        <v>34470</v>
      </c>
      <c r="W963" t="s">
        <v>30006</v>
      </c>
      <c r="X963" t="s">
        <v>32527</v>
      </c>
    </row>
    <row r="964" spans="1:24">
      <c r="A964">
        <f>HYPERLINK("https://www.philgeps.gov.ph/GEPSNONPILOT/Tender/SplashBidNoticeAbstractUI.aspx?menuIndex=3&amp;refID=7045262&amp;Result=3","7045262")</f>
        <v>0</v>
      </c>
      <c r="B964" t="s">
        <v>426</v>
      </c>
      <c r="C964" t="s">
        <v>3598</v>
      </c>
      <c r="D964" t="s">
        <v>12990</v>
      </c>
      <c r="E964" t="s">
        <v>13973</v>
      </c>
      <c r="F964" t="s">
        <v>22436</v>
      </c>
      <c r="G964" t="s">
        <v>22443</v>
      </c>
      <c r="H964" t="s">
        <v>22452</v>
      </c>
      <c r="I964" t="s">
        <v>3827</v>
      </c>
      <c r="J964" t="s">
        <v>23336</v>
      </c>
      <c r="K964" t="s">
        <v>29338</v>
      </c>
      <c r="M964" t="s">
        <v>30007</v>
      </c>
      <c r="N964" t="s">
        <v>32524</v>
      </c>
      <c r="O964" t="s">
        <v>32525</v>
      </c>
      <c r="P964">
        <v>0</v>
      </c>
      <c r="Q964">
        <v>0</v>
      </c>
      <c r="R964" t="s">
        <v>32526</v>
      </c>
      <c r="S964" t="s">
        <v>32547</v>
      </c>
      <c r="T964" t="s">
        <v>33154</v>
      </c>
      <c r="U964" t="s">
        <v>34471</v>
      </c>
      <c r="W964" t="s">
        <v>30007</v>
      </c>
      <c r="X964" t="s">
        <v>32527</v>
      </c>
    </row>
    <row r="965" spans="1:24">
      <c r="A965">
        <f>HYPERLINK("https://www.philgeps.gov.ph/GEPSNONPILOT/Tender/SplashBidNoticeAbstractUI.aspx?menuIndex=3&amp;refID=7045259&amp;Result=3","7045259")</f>
        <v>0</v>
      </c>
      <c r="B965" t="s">
        <v>50</v>
      </c>
      <c r="C965" t="s">
        <v>3599</v>
      </c>
      <c r="D965" t="s">
        <v>13008</v>
      </c>
      <c r="E965" t="s">
        <v>13974</v>
      </c>
      <c r="F965" t="s">
        <v>22436</v>
      </c>
      <c r="G965" t="s">
        <v>22445</v>
      </c>
      <c r="H965" t="s">
        <v>22452</v>
      </c>
      <c r="I965" t="s">
        <v>22460</v>
      </c>
      <c r="J965" t="s">
        <v>23337</v>
      </c>
      <c r="K965" t="s">
        <v>29337</v>
      </c>
      <c r="M965" t="s">
        <v>29622</v>
      </c>
      <c r="N965" t="s">
        <v>32524</v>
      </c>
      <c r="O965" t="s">
        <v>32525</v>
      </c>
      <c r="P965">
        <v>0</v>
      </c>
      <c r="Q965">
        <v>0</v>
      </c>
      <c r="R965" t="s">
        <v>32526</v>
      </c>
      <c r="S965" t="s">
        <v>32547</v>
      </c>
      <c r="T965" t="s">
        <v>33167</v>
      </c>
      <c r="U965" t="s">
        <v>34472</v>
      </c>
      <c r="W965" t="s">
        <v>29622</v>
      </c>
      <c r="X965" t="s">
        <v>32527</v>
      </c>
    </row>
    <row r="966" spans="1:24">
      <c r="A966">
        <f>HYPERLINK("https://www.philgeps.gov.ph/GEPSNONPILOT/Tender/SplashBidNoticeAbstractUI.aspx?menuIndex=3&amp;refID=7045252&amp;Result=3","7045252")</f>
        <v>0</v>
      </c>
      <c r="B966" t="s">
        <v>427</v>
      </c>
      <c r="C966" t="s">
        <v>3600</v>
      </c>
      <c r="D966" t="s">
        <v>13007</v>
      </c>
      <c r="E966" t="s">
        <v>13975</v>
      </c>
      <c r="F966" t="s">
        <v>22436</v>
      </c>
      <c r="G966" t="s">
        <v>22443</v>
      </c>
      <c r="H966" t="s">
        <v>22452</v>
      </c>
      <c r="I966" t="s">
        <v>3529</v>
      </c>
      <c r="J966" t="s">
        <v>23338</v>
      </c>
      <c r="K966" t="s">
        <v>29358</v>
      </c>
      <c r="M966" t="s">
        <v>30008</v>
      </c>
      <c r="N966" t="s">
        <v>32524</v>
      </c>
      <c r="O966" t="s">
        <v>32525</v>
      </c>
      <c r="P966">
        <v>0</v>
      </c>
      <c r="Q966">
        <v>0</v>
      </c>
      <c r="R966" t="s">
        <v>32526</v>
      </c>
      <c r="S966" t="s">
        <v>32547</v>
      </c>
      <c r="T966" t="s">
        <v>33169</v>
      </c>
      <c r="U966" t="s">
        <v>34473</v>
      </c>
      <c r="W966" t="s">
        <v>30008</v>
      </c>
      <c r="X966" t="s">
        <v>32527</v>
      </c>
    </row>
    <row r="967" spans="1:24">
      <c r="A967">
        <f>HYPERLINK("https://www.philgeps.gov.ph/GEPSNONPILOT/Tender/SplashBidNoticeAbstractUI.aspx?menuIndex=3&amp;refID=7045245&amp;Result=3","7045245")</f>
        <v>0</v>
      </c>
      <c r="B967" t="s">
        <v>326</v>
      </c>
      <c r="C967" t="s">
        <v>3601</v>
      </c>
      <c r="D967" t="s">
        <v>13046</v>
      </c>
      <c r="E967" t="s">
        <v>13976</v>
      </c>
      <c r="F967" t="s">
        <v>22436</v>
      </c>
      <c r="G967" t="s">
        <v>22443</v>
      </c>
      <c r="H967" t="s">
        <v>22452</v>
      </c>
      <c r="I967" t="s">
        <v>22502</v>
      </c>
      <c r="J967" t="s">
        <v>23339</v>
      </c>
      <c r="K967" t="s">
        <v>29341</v>
      </c>
      <c r="M967" t="s">
        <v>29902</v>
      </c>
      <c r="N967" t="s">
        <v>32524</v>
      </c>
      <c r="O967" t="s">
        <v>32525</v>
      </c>
      <c r="P967">
        <v>0</v>
      </c>
      <c r="Q967">
        <v>6</v>
      </c>
      <c r="R967" t="s">
        <v>32526</v>
      </c>
      <c r="S967" t="s">
        <v>32547</v>
      </c>
      <c r="T967" t="s">
        <v>33167</v>
      </c>
      <c r="U967" t="s">
        <v>34474</v>
      </c>
      <c r="W967" t="s">
        <v>29902</v>
      </c>
      <c r="X967" t="s">
        <v>32527</v>
      </c>
    </row>
    <row r="968" spans="1:24">
      <c r="A968">
        <f>HYPERLINK("https://www.philgeps.gov.ph/GEPSNONPILOT/Tender/SplashBidNoticeAbstractUI.aspx?menuIndex=3&amp;refID=7045250&amp;Result=3","7045250")</f>
        <v>0</v>
      </c>
      <c r="B968" t="s">
        <v>415</v>
      </c>
      <c r="C968" t="s">
        <v>3602</v>
      </c>
      <c r="D968" t="s">
        <v>12988</v>
      </c>
      <c r="E968" t="s">
        <v>13977</v>
      </c>
      <c r="F968" t="s">
        <v>22436</v>
      </c>
      <c r="G968" t="s">
        <v>22446</v>
      </c>
      <c r="H968" t="s">
        <v>22452</v>
      </c>
      <c r="I968" t="s">
        <v>22487</v>
      </c>
      <c r="J968" t="s">
        <v>23340</v>
      </c>
      <c r="K968" t="s">
        <v>29331</v>
      </c>
      <c r="M968" t="s">
        <v>29995</v>
      </c>
      <c r="N968" t="s">
        <v>32524</v>
      </c>
      <c r="O968" t="s">
        <v>32525</v>
      </c>
      <c r="P968">
        <v>0</v>
      </c>
      <c r="Q968">
        <v>1</v>
      </c>
      <c r="R968" t="s">
        <v>32526</v>
      </c>
      <c r="S968" t="s">
        <v>32547</v>
      </c>
      <c r="T968" t="s">
        <v>33280</v>
      </c>
      <c r="U968" t="s">
        <v>34475</v>
      </c>
      <c r="V968" t="s">
        <v>42508</v>
      </c>
      <c r="W968" t="s">
        <v>29995</v>
      </c>
      <c r="X968" t="s">
        <v>32527</v>
      </c>
    </row>
    <row r="969" spans="1:24">
      <c r="A969">
        <f>HYPERLINK("https://www.philgeps.gov.ph/GEPSNONPILOT/Tender/SplashBidNoticeAbstractUI.aspx?menuIndex=3&amp;refID=7045249&amp;Result=3","7045249")</f>
        <v>0</v>
      </c>
      <c r="B969" t="s">
        <v>411</v>
      </c>
      <c r="C969" t="s">
        <v>3603</v>
      </c>
      <c r="D969" t="s">
        <v>13015</v>
      </c>
      <c r="E969" t="s">
        <v>13978</v>
      </c>
      <c r="F969" t="s">
        <v>22436</v>
      </c>
      <c r="G969" t="s">
        <v>22444</v>
      </c>
      <c r="H969" t="s">
        <v>22454</v>
      </c>
      <c r="I969" t="s">
        <v>7738</v>
      </c>
      <c r="J969" t="s">
        <v>22779</v>
      </c>
      <c r="K969" t="s">
        <v>29388</v>
      </c>
      <c r="M969" t="s">
        <v>29990</v>
      </c>
      <c r="N969" t="s">
        <v>32524</v>
      </c>
      <c r="O969" t="s">
        <v>32525</v>
      </c>
      <c r="P969">
        <v>0</v>
      </c>
      <c r="Q969">
        <v>0</v>
      </c>
      <c r="R969" t="s">
        <v>32526</v>
      </c>
      <c r="S969" t="s">
        <v>32547</v>
      </c>
      <c r="T969" t="s">
        <v>33170</v>
      </c>
      <c r="U969" t="s">
        <v>34476</v>
      </c>
      <c r="W969" t="s">
        <v>29990</v>
      </c>
      <c r="X969" t="s">
        <v>32527</v>
      </c>
    </row>
    <row r="970" spans="1:24">
      <c r="A970">
        <f>HYPERLINK("https://www.philgeps.gov.ph/GEPSNONPILOT/Tender/SplashBidNoticeAbstractUI.aspx?menuIndex=3&amp;refID=7045253&amp;Result=3","7045253")</f>
        <v>0</v>
      </c>
      <c r="B970" t="s">
        <v>428</v>
      </c>
      <c r="C970" t="s">
        <v>3604</v>
      </c>
      <c r="D970" t="s">
        <v>13062</v>
      </c>
      <c r="E970" t="s">
        <v>13979</v>
      </c>
      <c r="F970" t="s">
        <v>22436</v>
      </c>
      <c r="G970" t="s">
        <v>22443</v>
      </c>
      <c r="H970" t="s">
        <v>22452</v>
      </c>
      <c r="I970" t="s">
        <v>22494</v>
      </c>
      <c r="J970" t="s">
        <v>22692</v>
      </c>
      <c r="K970" t="s">
        <v>29331</v>
      </c>
      <c r="M970" t="s">
        <v>30009</v>
      </c>
      <c r="N970" t="s">
        <v>32524</v>
      </c>
      <c r="O970" t="s">
        <v>32525</v>
      </c>
      <c r="P970">
        <v>0</v>
      </c>
      <c r="Q970">
        <v>0</v>
      </c>
      <c r="R970" t="s">
        <v>32526</v>
      </c>
      <c r="S970" t="s">
        <v>32547</v>
      </c>
      <c r="T970" t="s">
        <v>33196</v>
      </c>
      <c r="U970" t="s">
        <v>34477</v>
      </c>
      <c r="W970" t="s">
        <v>30009</v>
      </c>
      <c r="X970" t="s">
        <v>32527</v>
      </c>
    </row>
    <row r="971" spans="1:24">
      <c r="A971">
        <f>HYPERLINK("https://www.philgeps.gov.ph/GEPSNONPILOT/Tender/SplashBidNoticeAbstractUI.aspx?menuIndex=3&amp;refID=7045248&amp;Result=3","7045248")</f>
        <v>0</v>
      </c>
      <c r="B971" t="s">
        <v>372</v>
      </c>
      <c r="C971" t="s">
        <v>3605</v>
      </c>
      <c r="D971" t="s">
        <v>13018</v>
      </c>
      <c r="E971" t="s">
        <v>13980</v>
      </c>
      <c r="F971" t="s">
        <v>22436</v>
      </c>
      <c r="G971" t="s">
        <v>22443</v>
      </c>
      <c r="H971" t="s">
        <v>22452</v>
      </c>
      <c r="I971" t="s">
        <v>3027</v>
      </c>
      <c r="J971" t="s">
        <v>23120</v>
      </c>
      <c r="K971" t="s">
        <v>29333</v>
      </c>
      <c r="M971" t="s">
        <v>29950</v>
      </c>
      <c r="N971" t="s">
        <v>32524</v>
      </c>
      <c r="O971" t="s">
        <v>32525</v>
      </c>
      <c r="P971">
        <v>0</v>
      </c>
      <c r="Q971">
        <v>1</v>
      </c>
      <c r="R971" t="s">
        <v>32526</v>
      </c>
      <c r="S971" t="s">
        <v>32547</v>
      </c>
      <c r="T971" t="s">
        <v>33161</v>
      </c>
      <c r="U971" t="s">
        <v>34478</v>
      </c>
      <c r="W971" t="s">
        <v>29950</v>
      </c>
      <c r="X971" t="s">
        <v>32527</v>
      </c>
    </row>
    <row r="972" spans="1:24">
      <c r="A972">
        <f>HYPERLINK("https://www.philgeps.gov.ph/GEPSNONPILOT/Tender/SplashBidNoticeAbstractUI.aspx?menuIndex=3&amp;refID=7045243&amp;Result=3","7045243")</f>
        <v>0</v>
      </c>
      <c r="B972" t="s">
        <v>429</v>
      </c>
      <c r="C972" t="s">
        <v>3606</v>
      </c>
      <c r="D972" t="s">
        <v>13011</v>
      </c>
      <c r="E972" t="s">
        <v>13981</v>
      </c>
      <c r="F972" t="s">
        <v>22436</v>
      </c>
      <c r="G972" t="s">
        <v>22446</v>
      </c>
      <c r="H972" t="s">
        <v>22452</v>
      </c>
      <c r="I972" t="s">
        <v>3529</v>
      </c>
      <c r="J972" t="s">
        <v>23341</v>
      </c>
      <c r="K972" t="s">
        <v>29331</v>
      </c>
      <c r="M972" t="s">
        <v>30010</v>
      </c>
      <c r="N972" t="s">
        <v>32524</v>
      </c>
      <c r="O972" t="s">
        <v>32525</v>
      </c>
      <c r="P972">
        <v>0</v>
      </c>
      <c r="Q972">
        <v>1</v>
      </c>
      <c r="R972" t="s">
        <v>32526</v>
      </c>
      <c r="S972" t="s">
        <v>32547</v>
      </c>
      <c r="T972" t="s">
        <v>33167</v>
      </c>
      <c r="U972" t="s">
        <v>34479</v>
      </c>
      <c r="W972" t="s">
        <v>30010</v>
      </c>
      <c r="X972" t="s">
        <v>32527</v>
      </c>
    </row>
    <row r="973" spans="1:24">
      <c r="A973">
        <f>HYPERLINK("https://www.philgeps.gov.ph/GEPSNONPILOT/Tender/SplashBidNoticeAbstractUI.aspx?menuIndex=3&amp;refID=7045247&amp;Result=3","7045247")</f>
        <v>0</v>
      </c>
      <c r="B973" t="s">
        <v>430</v>
      </c>
      <c r="C973" t="s">
        <v>3607</v>
      </c>
      <c r="D973" t="s">
        <v>13027</v>
      </c>
      <c r="E973" t="s">
        <v>13982</v>
      </c>
      <c r="F973" t="s">
        <v>22438</v>
      </c>
      <c r="G973" t="s">
        <v>22446</v>
      </c>
      <c r="H973" t="s">
        <v>22454</v>
      </c>
      <c r="I973" t="s">
        <v>22467</v>
      </c>
      <c r="J973" t="s">
        <v>23342</v>
      </c>
      <c r="K973" t="s">
        <v>29338</v>
      </c>
      <c r="M973" t="s">
        <v>30011</v>
      </c>
      <c r="N973" t="s">
        <v>32524</v>
      </c>
      <c r="O973" t="s">
        <v>32525</v>
      </c>
      <c r="P973">
        <v>0</v>
      </c>
      <c r="Q973">
        <v>0</v>
      </c>
      <c r="R973" t="s">
        <v>32526</v>
      </c>
      <c r="S973" t="s">
        <v>32547</v>
      </c>
      <c r="T973" t="s">
        <v>33161</v>
      </c>
      <c r="U973" t="s">
        <v>34480</v>
      </c>
      <c r="W973" t="s">
        <v>30011</v>
      </c>
      <c r="X973" t="s">
        <v>32527</v>
      </c>
    </row>
    <row r="974" spans="1:24">
      <c r="A974">
        <f>HYPERLINK("https://www.philgeps.gov.ph/GEPSNONPILOT/Tender/SplashBidNoticeAbstractUI.aspx?menuIndex=3&amp;refID=7045261&amp;Result=3","7045261")</f>
        <v>0</v>
      </c>
      <c r="B974" t="s">
        <v>319</v>
      </c>
      <c r="C974" t="s">
        <v>3608</v>
      </c>
      <c r="D974" t="s">
        <v>13037</v>
      </c>
      <c r="E974" t="s">
        <v>13983</v>
      </c>
      <c r="F974" t="s">
        <v>22436</v>
      </c>
      <c r="G974" t="s">
        <v>22444</v>
      </c>
      <c r="H974" t="s">
        <v>22454</v>
      </c>
      <c r="I974" t="s">
        <v>7738</v>
      </c>
      <c r="J974" t="s">
        <v>23343</v>
      </c>
      <c r="K974" t="s">
        <v>29389</v>
      </c>
      <c r="M974" t="s">
        <v>29895</v>
      </c>
      <c r="N974" t="s">
        <v>32524</v>
      </c>
      <c r="O974" t="s">
        <v>32525</v>
      </c>
      <c r="P974">
        <v>0</v>
      </c>
      <c r="Q974">
        <v>0</v>
      </c>
      <c r="R974" t="s">
        <v>32526</v>
      </c>
      <c r="S974" t="s">
        <v>32547</v>
      </c>
      <c r="T974" t="s">
        <v>33157</v>
      </c>
      <c r="U974" t="s">
        <v>34481</v>
      </c>
      <c r="W974" t="s">
        <v>29895</v>
      </c>
      <c r="X974" t="s">
        <v>32527</v>
      </c>
    </row>
    <row r="975" spans="1:24">
      <c r="A975">
        <f>HYPERLINK("https://www.philgeps.gov.ph/GEPSNONPILOT/Tender/SplashBidNoticeAbstractUI.aspx?menuIndex=3&amp;refID=7045258&amp;Result=3","7045258")</f>
        <v>0</v>
      </c>
      <c r="B975" t="s">
        <v>56</v>
      </c>
      <c r="C975" t="s">
        <v>3609</v>
      </c>
      <c r="D975" t="s">
        <v>13012</v>
      </c>
      <c r="E975" t="s">
        <v>13984</v>
      </c>
      <c r="F975" t="s">
        <v>22436</v>
      </c>
      <c r="G975" t="s">
        <v>22444</v>
      </c>
      <c r="H975" t="s">
        <v>22454</v>
      </c>
      <c r="I975" t="s">
        <v>7738</v>
      </c>
      <c r="J975" t="s">
        <v>23344</v>
      </c>
      <c r="K975" t="s">
        <v>29390</v>
      </c>
      <c r="M975" t="s">
        <v>29628</v>
      </c>
      <c r="N975" t="s">
        <v>32524</v>
      </c>
      <c r="O975" t="s">
        <v>32525</v>
      </c>
      <c r="P975">
        <v>0</v>
      </c>
      <c r="Q975">
        <v>0</v>
      </c>
      <c r="R975" t="s">
        <v>32526</v>
      </c>
      <c r="S975" t="s">
        <v>32547</v>
      </c>
      <c r="T975" t="s">
        <v>33282</v>
      </c>
      <c r="U975" t="s">
        <v>34482</v>
      </c>
      <c r="V975" t="s">
        <v>42428</v>
      </c>
      <c r="W975" t="s">
        <v>29628</v>
      </c>
      <c r="X975" t="s">
        <v>32527</v>
      </c>
    </row>
    <row r="976" spans="1:24">
      <c r="A976">
        <f>HYPERLINK("https://www.philgeps.gov.ph/GEPSNONPILOT/Tender/SplashBidNoticeAbstractUI.aspx?menuIndex=3&amp;refID=7045267&amp;Result=3","7045267")</f>
        <v>0</v>
      </c>
      <c r="B976" t="s">
        <v>431</v>
      </c>
      <c r="C976" t="s">
        <v>3610</v>
      </c>
      <c r="D976" t="s">
        <v>12988</v>
      </c>
      <c r="E976" t="s">
        <v>13985</v>
      </c>
      <c r="F976" t="s">
        <v>22436</v>
      </c>
      <c r="G976" t="s">
        <v>22446</v>
      </c>
      <c r="H976" t="s">
        <v>22454</v>
      </c>
      <c r="I976" t="s">
        <v>22501</v>
      </c>
      <c r="J976" t="s">
        <v>22674</v>
      </c>
      <c r="K976" t="s">
        <v>29357</v>
      </c>
      <c r="M976" t="s">
        <v>30012</v>
      </c>
      <c r="N976" t="s">
        <v>32524</v>
      </c>
      <c r="O976" t="s">
        <v>32525</v>
      </c>
      <c r="P976">
        <v>0</v>
      </c>
      <c r="Q976">
        <v>0</v>
      </c>
      <c r="R976" t="s">
        <v>32526</v>
      </c>
      <c r="S976" t="s">
        <v>32547</v>
      </c>
      <c r="T976" t="s">
        <v>33155</v>
      </c>
      <c r="U976" t="s">
        <v>34483</v>
      </c>
      <c r="W976" t="s">
        <v>30012</v>
      </c>
      <c r="X976" t="s">
        <v>32527</v>
      </c>
    </row>
    <row r="977" spans="1:24">
      <c r="A977">
        <f>HYPERLINK("https://www.philgeps.gov.ph/GEPSNONPILOT/Tender/SplashBidNoticeAbstractUI.aspx?menuIndex=3&amp;refID=7045276&amp;Result=3","7045276")</f>
        <v>0</v>
      </c>
      <c r="B977" t="s">
        <v>81</v>
      </c>
      <c r="C977" t="s">
        <v>3611</v>
      </c>
      <c r="D977" t="s">
        <v>13063</v>
      </c>
      <c r="E977" t="s">
        <v>13986</v>
      </c>
      <c r="F977" t="s">
        <v>22436</v>
      </c>
      <c r="G977" t="s">
        <v>22443</v>
      </c>
      <c r="H977" t="s">
        <v>22452</v>
      </c>
      <c r="I977" t="s">
        <v>3122</v>
      </c>
      <c r="J977" t="s">
        <v>23345</v>
      </c>
      <c r="K977" t="s">
        <v>29341</v>
      </c>
      <c r="M977" t="s">
        <v>29653</v>
      </c>
      <c r="N977" t="s">
        <v>32524</v>
      </c>
      <c r="O977" t="s">
        <v>32525</v>
      </c>
      <c r="P977">
        <v>0</v>
      </c>
      <c r="Q977">
        <v>0</v>
      </c>
      <c r="R977" t="s">
        <v>32526</v>
      </c>
      <c r="S977" t="s">
        <v>32547</v>
      </c>
      <c r="T977" t="s">
        <v>33206</v>
      </c>
      <c r="U977" t="s">
        <v>34484</v>
      </c>
      <c r="W977" t="s">
        <v>29653</v>
      </c>
      <c r="X977" t="s">
        <v>32527</v>
      </c>
    </row>
    <row r="978" spans="1:24">
      <c r="A978">
        <f>HYPERLINK("https://www.philgeps.gov.ph/GEPSNONPILOT/Tender/SplashBidNoticeAbstractUI.aspx?menuIndex=3&amp;refID=7045263&amp;Result=3","7045263")</f>
        <v>0</v>
      </c>
      <c r="B978" t="s">
        <v>220</v>
      </c>
      <c r="C978" t="s">
        <v>3612</v>
      </c>
      <c r="D978" t="s">
        <v>13037</v>
      </c>
      <c r="E978" t="s">
        <v>13987</v>
      </c>
      <c r="F978" t="s">
        <v>22436</v>
      </c>
      <c r="G978" t="s">
        <v>22446</v>
      </c>
      <c r="H978" t="s">
        <v>22452</v>
      </c>
      <c r="I978" t="s">
        <v>2981</v>
      </c>
      <c r="J978" t="s">
        <v>23346</v>
      </c>
      <c r="K978" t="s">
        <v>29336</v>
      </c>
      <c r="M978" t="s">
        <v>29793</v>
      </c>
      <c r="N978" t="s">
        <v>32524</v>
      </c>
      <c r="O978" t="s">
        <v>32525</v>
      </c>
      <c r="P978">
        <v>0</v>
      </c>
      <c r="Q978">
        <v>0</v>
      </c>
      <c r="R978" t="s">
        <v>32526</v>
      </c>
      <c r="S978" t="s">
        <v>32547</v>
      </c>
      <c r="T978" t="s">
        <v>33209</v>
      </c>
      <c r="U978" t="s">
        <v>34035</v>
      </c>
      <c r="W978" t="s">
        <v>29793</v>
      </c>
      <c r="X978" t="s">
        <v>32527</v>
      </c>
    </row>
    <row r="979" spans="1:24">
      <c r="A979">
        <f>HYPERLINK("https://www.philgeps.gov.ph/GEPSNONPILOT/Tender/SplashBidNoticeAbstractUI.aspx?menuIndex=3&amp;refID=7045256&amp;Result=3","7045256")</f>
        <v>0</v>
      </c>
      <c r="B979" t="s">
        <v>118</v>
      </c>
      <c r="C979" t="s">
        <v>3613</v>
      </c>
      <c r="D979" t="s">
        <v>13018</v>
      </c>
      <c r="E979" t="s">
        <v>13988</v>
      </c>
      <c r="F979" t="s">
        <v>22436</v>
      </c>
      <c r="G979" t="s">
        <v>22443</v>
      </c>
      <c r="H979" t="s">
        <v>22452</v>
      </c>
      <c r="I979" t="s">
        <v>3358</v>
      </c>
      <c r="J979" t="s">
        <v>22929</v>
      </c>
      <c r="K979" t="s">
        <v>29338</v>
      </c>
      <c r="M979" t="s">
        <v>29690</v>
      </c>
      <c r="N979" t="s">
        <v>32524</v>
      </c>
      <c r="O979" t="s">
        <v>32525</v>
      </c>
      <c r="P979">
        <v>0</v>
      </c>
      <c r="Q979">
        <v>0</v>
      </c>
      <c r="R979" t="s">
        <v>32526</v>
      </c>
      <c r="S979" t="s">
        <v>32547</v>
      </c>
      <c r="T979" t="s">
        <v>33167</v>
      </c>
      <c r="U979" t="s">
        <v>34485</v>
      </c>
      <c r="W979" t="s">
        <v>29690</v>
      </c>
      <c r="X979" t="s">
        <v>32527</v>
      </c>
    </row>
    <row r="980" spans="1:24">
      <c r="A980">
        <f>HYPERLINK("https://www.philgeps.gov.ph/GEPSNONPILOT/Tender/SplashBidNoticeAbstractUI.aspx?menuIndex=3&amp;refID=7045275&amp;Result=3","7045275")</f>
        <v>0</v>
      </c>
      <c r="B980" t="s">
        <v>192</v>
      </c>
      <c r="C980" t="s">
        <v>3614</v>
      </c>
      <c r="D980" t="s">
        <v>13048</v>
      </c>
      <c r="E980" t="s">
        <v>13989</v>
      </c>
      <c r="F980" t="s">
        <v>22436</v>
      </c>
      <c r="G980" t="s">
        <v>22444</v>
      </c>
      <c r="H980" t="s">
        <v>22454</v>
      </c>
      <c r="I980" t="s">
        <v>7738</v>
      </c>
      <c r="J980" t="s">
        <v>22779</v>
      </c>
      <c r="K980" t="s">
        <v>29338</v>
      </c>
      <c r="M980" t="s">
        <v>29765</v>
      </c>
      <c r="N980" t="s">
        <v>32524</v>
      </c>
      <c r="O980" t="s">
        <v>32525</v>
      </c>
      <c r="P980">
        <v>0</v>
      </c>
      <c r="Q980">
        <v>0</v>
      </c>
      <c r="R980" t="s">
        <v>32526</v>
      </c>
      <c r="S980" t="s">
        <v>32547</v>
      </c>
      <c r="T980" t="s">
        <v>33170</v>
      </c>
      <c r="U980" t="s">
        <v>33981</v>
      </c>
      <c r="W980" t="s">
        <v>29765</v>
      </c>
      <c r="X980" t="s">
        <v>32527</v>
      </c>
    </row>
    <row r="981" spans="1:24">
      <c r="A981">
        <f>HYPERLINK("https://www.philgeps.gov.ph/GEPSNONPILOT/Tender/SplashBidNoticeAbstractUI.aspx?menuIndex=3&amp;refID=7045265&amp;Result=3","7045265")</f>
        <v>0</v>
      </c>
      <c r="B981" t="s">
        <v>432</v>
      </c>
      <c r="C981" t="s">
        <v>3615</v>
      </c>
      <c r="D981" t="s">
        <v>13028</v>
      </c>
      <c r="E981" t="s">
        <v>13990</v>
      </c>
      <c r="F981" t="s">
        <v>22436</v>
      </c>
      <c r="G981" t="s">
        <v>22444</v>
      </c>
      <c r="H981" t="s">
        <v>22454</v>
      </c>
      <c r="I981" t="s">
        <v>7738</v>
      </c>
      <c r="J981" t="s">
        <v>23347</v>
      </c>
      <c r="K981" t="s">
        <v>29334</v>
      </c>
      <c r="M981" t="s">
        <v>30013</v>
      </c>
      <c r="N981" t="s">
        <v>32524</v>
      </c>
      <c r="O981" t="s">
        <v>32525</v>
      </c>
      <c r="P981">
        <v>0</v>
      </c>
      <c r="Q981">
        <v>0</v>
      </c>
      <c r="R981" t="s">
        <v>32526</v>
      </c>
      <c r="S981" t="s">
        <v>32547</v>
      </c>
      <c r="T981" t="s">
        <v>33165</v>
      </c>
      <c r="U981" t="s">
        <v>34486</v>
      </c>
      <c r="V981" t="s">
        <v>42511</v>
      </c>
      <c r="W981" t="s">
        <v>30013</v>
      </c>
      <c r="X981" t="s">
        <v>32527</v>
      </c>
    </row>
    <row r="982" spans="1:24">
      <c r="A982">
        <f>HYPERLINK("https://www.philgeps.gov.ph/GEPSNONPILOT/Tender/SplashBidNoticeAbstractUI.aspx?menuIndex=3&amp;refID=7045274&amp;Result=3","7045274")</f>
        <v>0</v>
      </c>
      <c r="B982" t="s">
        <v>433</v>
      </c>
      <c r="C982" t="s">
        <v>3616</v>
      </c>
      <c r="D982" t="s">
        <v>13015</v>
      </c>
      <c r="E982" t="s">
        <v>13991</v>
      </c>
      <c r="F982" t="s">
        <v>22436</v>
      </c>
      <c r="G982" t="s">
        <v>22444</v>
      </c>
      <c r="H982" t="s">
        <v>22452</v>
      </c>
      <c r="I982" t="s">
        <v>3122</v>
      </c>
      <c r="J982" t="s">
        <v>23348</v>
      </c>
      <c r="K982" t="s">
        <v>29338</v>
      </c>
      <c r="M982" t="s">
        <v>30014</v>
      </c>
      <c r="N982" t="s">
        <v>32524</v>
      </c>
      <c r="O982" t="s">
        <v>32525</v>
      </c>
      <c r="P982">
        <v>0</v>
      </c>
      <c r="Q982">
        <v>1</v>
      </c>
      <c r="R982" t="s">
        <v>32526</v>
      </c>
      <c r="S982" t="s">
        <v>32547</v>
      </c>
      <c r="T982" t="s">
        <v>33283</v>
      </c>
      <c r="U982" t="s">
        <v>34487</v>
      </c>
      <c r="W982" t="s">
        <v>30014</v>
      </c>
      <c r="X982" t="s">
        <v>32527</v>
      </c>
    </row>
    <row r="983" spans="1:24">
      <c r="A983">
        <f>HYPERLINK("https://www.philgeps.gov.ph/GEPSNONPILOT/Tender/SplashBidNoticeAbstractUI.aspx?menuIndex=3&amp;refID=7045255&amp;Result=3","7045255")</f>
        <v>0</v>
      </c>
      <c r="B983" t="s">
        <v>416</v>
      </c>
      <c r="C983" t="s">
        <v>3617</v>
      </c>
      <c r="D983" t="s">
        <v>13011</v>
      </c>
      <c r="E983" t="s">
        <v>13992</v>
      </c>
      <c r="F983" t="s">
        <v>22436</v>
      </c>
      <c r="G983" t="s">
        <v>22443</v>
      </c>
      <c r="H983" t="s">
        <v>22452</v>
      </c>
      <c r="I983" t="s">
        <v>22495</v>
      </c>
      <c r="J983" t="s">
        <v>23349</v>
      </c>
      <c r="K983" t="s">
        <v>29338</v>
      </c>
      <c r="M983" t="s">
        <v>29996</v>
      </c>
      <c r="N983" t="s">
        <v>32524</v>
      </c>
      <c r="O983" t="s">
        <v>32525</v>
      </c>
      <c r="P983">
        <v>0</v>
      </c>
      <c r="Q983">
        <v>1</v>
      </c>
      <c r="R983" t="s">
        <v>32526</v>
      </c>
      <c r="S983" t="s">
        <v>32547</v>
      </c>
      <c r="T983" t="s">
        <v>33161</v>
      </c>
      <c r="U983" t="s">
        <v>34449</v>
      </c>
      <c r="W983" t="s">
        <v>29996</v>
      </c>
      <c r="X983" t="s">
        <v>32527</v>
      </c>
    </row>
    <row r="984" spans="1:24">
      <c r="A984">
        <f>HYPERLINK("https://www.philgeps.gov.ph/GEPSNONPILOT/Tender/SplashBidNoticeAbstractUI.aspx?menuIndex=3&amp;refID=7045264&amp;Result=3","7045264")</f>
        <v>0</v>
      </c>
      <c r="B984" t="s">
        <v>434</v>
      </c>
      <c r="C984" t="s">
        <v>3618</v>
      </c>
      <c r="D984" t="s">
        <v>13007</v>
      </c>
      <c r="E984" t="s">
        <v>13993</v>
      </c>
      <c r="F984" t="s">
        <v>22436</v>
      </c>
      <c r="G984" t="s">
        <v>22443</v>
      </c>
      <c r="H984" t="s">
        <v>22452</v>
      </c>
      <c r="I984" t="s">
        <v>22465</v>
      </c>
      <c r="J984" t="s">
        <v>22893</v>
      </c>
      <c r="K984" t="s">
        <v>29335</v>
      </c>
      <c r="M984" t="s">
        <v>30015</v>
      </c>
      <c r="N984" t="s">
        <v>32524</v>
      </c>
      <c r="O984" t="s">
        <v>32525</v>
      </c>
      <c r="P984">
        <v>0</v>
      </c>
      <c r="Q984">
        <v>0</v>
      </c>
      <c r="R984" t="s">
        <v>32526</v>
      </c>
      <c r="S984" t="s">
        <v>32547</v>
      </c>
      <c r="T984" t="s">
        <v>33167</v>
      </c>
      <c r="U984" t="s">
        <v>34488</v>
      </c>
      <c r="V984" t="s">
        <v>42512</v>
      </c>
      <c r="W984" t="s">
        <v>30015</v>
      </c>
      <c r="X984" t="s">
        <v>32527</v>
      </c>
    </row>
    <row r="985" spans="1:24">
      <c r="A985">
        <f>HYPERLINK("https://www.philgeps.gov.ph/GEPSNONPILOT/Tender/SplashBidNoticeAbstractUI.aspx?menuIndex=3&amp;refID=7045269&amp;Result=3","7045269")</f>
        <v>0</v>
      </c>
      <c r="B985" t="s">
        <v>50</v>
      </c>
      <c r="C985" t="s">
        <v>3619</v>
      </c>
      <c r="D985" t="s">
        <v>13008</v>
      </c>
      <c r="E985" t="s">
        <v>13994</v>
      </c>
      <c r="F985" t="s">
        <v>22436</v>
      </c>
      <c r="G985" t="s">
        <v>22443</v>
      </c>
      <c r="H985" t="s">
        <v>22452</v>
      </c>
      <c r="I985" t="s">
        <v>22473</v>
      </c>
      <c r="J985" t="s">
        <v>23350</v>
      </c>
      <c r="K985" t="s">
        <v>29337</v>
      </c>
      <c r="M985" t="s">
        <v>29622</v>
      </c>
      <c r="N985" t="s">
        <v>32524</v>
      </c>
      <c r="O985" t="s">
        <v>32525</v>
      </c>
      <c r="P985">
        <v>0</v>
      </c>
      <c r="Q985">
        <v>0</v>
      </c>
      <c r="R985" t="s">
        <v>32526</v>
      </c>
      <c r="S985" t="s">
        <v>32547</v>
      </c>
      <c r="T985" t="s">
        <v>33167</v>
      </c>
      <c r="U985" t="s">
        <v>34489</v>
      </c>
      <c r="W985" t="s">
        <v>29622</v>
      </c>
      <c r="X985" t="s">
        <v>32527</v>
      </c>
    </row>
    <row r="986" spans="1:24">
      <c r="A986">
        <f>HYPERLINK("https://www.philgeps.gov.ph/GEPSNONPILOT/Tender/SplashBidNoticeAbstractUI.aspx?menuIndex=3&amp;refID=7045266&amp;Result=3","7045266")</f>
        <v>0</v>
      </c>
      <c r="B986" t="s">
        <v>231</v>
      </c>
      <c r="C986" t="s">
        <v>3620</v>
      </c>
      <c r="D986" t="s">
        <v>13054</v>
      </c>
      <c r="E986" t="s">
        <v>13995</v>
      </c>
      <c r="F986" t="s">
        <v>22436</v>
      </c>
      <c r="G986" t="s">
        <v>22444</v>
      </c>
      <c r="H986" t="s">
        <v>22454</v>
      </c>
      <c r="I986" t="s">
        <v>7738</v>
      </c>
      <c r="J986" t="s">
        <v>23351</v>
      </c>
      <c r="K986" t="s">
        <v>29391</v>
      </c>
      <c r="M986" t="s">
        <v>29804</v>
      </c>
      <c r="N986" t="s">
        <v>32524</v>
      </c>
      <c r="O986" t="s">
        <v>32525</v>
      </c>
      <c r="P986">
        <v>0</v>
      </c>
      <c r="Q986">
        <v>0</v>
      </c>
      <c r="R986" t="s">
        <v>32526</v>
      </c>
      <c r="S986" t="s">
        <v>32547</v>
      </c>
      <c r="T986" t="s">
        <v>33166</v>
      </c>
      <c r="U986" t="s">
        <v>34490</v>
      </c>
      <c r="W986" t="s">
        <v>29804</v>
      </c>
      <c r="X986" t="s">
        <v>32527</v>
      </c>
    </row>
    <row r="987" spans="1:24">
      <c r="A987">
        <f>HYPERLINK("https://www.philgeps.gov.ph/GEPSNONPILOT/Tender/SplashBidNoticeAbstractUI.aspx?menuIndex=3&amp;refID=7045272&amp;Result=3","7045272")</f>
        <v>0</v>
      </c>
      <c r="B987" t="s">
        <v>370</v>
      </c>
      <c r="C987" t="s">
        <v>3621</v>
      </c>
      <c r="D987" t="s">
        <v>13007</v>
      </c>
      <c r="E987" t="s">
        <v>13996</v>
      </c>
      <c r="F987" t="s">
        <v>22436</v>
      </c>
      <c r="G987" t="s">
        <v>22444</v>
      </c>
      <c r="H987" t="s">
        <v>22452</v>
      </c>
      <c r="I987" t="s">
        <v>22525</v>
      </c>
      <c r="J987" t="s">
        <v>23352</v>
      </c>
      <c r="K987" t="s">
        <v>29329</v>
      </c>
      <c r="M987" t="s">
        <v>29948</v>
      </c>
      <c r="N987" t="s">
        <v>32524</v>
      </c>
      <c r="O987" t="s">
        <v>32525</v>
      </c>
      <c r="P987">
        <v>0</v>
      </c>
      <c r="Q987">
        <v>3</v>
      </c>
      <c r="R987" t="s">
        <v>32526</v>
      </c>
      <c r="S987" t="s">
        <v>32547</v>
      </c>
      <c r="T987" t="s">
        <v>33164</v>
      </c>
      <c r="U987" t="s">
        <v>34491</v>
      </c>
      <c r="W987" t="s">
        <v>30422</v>
      </c>
      <c r="X987" t="s">
        <v>32527</v>
      </c>
    </row>
    <row r="988" spans="1:24">
      <c r="A988">
        <f>HYPERLINK("https://www.philgeps.gov.ph/GEPSNONPILOT/Tender/SplashBidNoticeAbstractUI.aspx?menuIndex=3&amp;refID=7045286&amp;Result=3","7045286")</f>
        <v>0</v>
      </c>
      <c r="B988" t="s">
        <v>415</v>
      </c>
      <c r="C988" t="s">
        <v>3622</v>
      </c>
      <c r="D988" t="s">
        <v>12988</v>
      </c>
      <c r="E988" t="s">
        <v>13997</v>
      </c>
      <c r="F988" t="s">
        <v>22436</v>
      </c>
      <c r="G988" t="s">
        <v>22446</v>
      </c>
      <c r="H988" t="s">
        <v>22452</v>
      </c>
      <c r="I988" t="s">
        <v>22487</v>
      </c>
      <c r="J988" t="s">
        <v>23353</v>
      </c>
      <c r="K988" t="s">
        <v>29331</v>
      </c>
      <c r="M988" t="s">
        <v>29995</v>
      </c>
      <c r="N988" t="s">
        <v>32524</v>
      </c>
      <c r="O988" t="s">
        <v>32525</v>
      </c>
      <c r="P988">
        <v>0</v>
      </c>
      <c r="Q988">
        <v>2</v>
      </c>
      <c r="R988" t="s">
        <v>32526</v>
      </c>
      <c r="S988" t="s">
        <v>32547</v>
      </c>
      <c r="T988" t="s">
        <v>33280</v>
      </c>
      <c r="U988" t="s">
        <v>34492</v>
      </c>
      <c r="V988" t="s">
        <v>42508</v>
      </c>
      <c r="W988" t="s">
        <v>29995</v>
      </c>
      <c r="X988" t="s">
        <v>32527</v>
      </c>
    </row>
    <row r="989" spans="1:24">
      <c r="A989">
        <f>HYPERLINK("https://www.philgeps.gov.ph/GEPSNONPILOT/Tender/SplashBidNoticeAbstractUI.aspx?menuIndex=3&amp;refID=7045273&amp;Result=3","7045273")</f>
        <v>0</v>
      </c>
      <c r="B989" t="s">
        <v>415</v>
      </c>
      <c r="C989" t="s">
        <v>3623</v>
      </c>
      <c r="D989" t="s">
        <v>12988</v>
      </c>
      <c r="E989" t="s">
        <v>13998</v>
      </c>
      <c r="F989" t="s">
        <v>22436</v>
      </c>
      <c r="G989" t="s">
        <v>22446</v>
      </c>
      <c r="H989" t="s">
        <v>22452</v>
      </c>
      <c r="I989" t="s">
        <v>2981</v>
      </c>
      <c r="J989" t="s">
        <v>23354</v>
      </c>
      <c r="K989" t="s">
        <v>29331</v>
      </c>
      <c r="M989" t="s">
        <v>29995</v>
      </c>
      <c r="N989" t="s">
        <v>32524</v>
      </c>
      <c r="O989" t="s">
        <v>32525</v>
      </c>
      <c r="P989">
        <v>0</v>
      </c>
      <c r="Q989">
        <v>1</v>
      </c>
      <c r="R989" t="s">
        <v>32526</v>
      </c>
      <c r="S989" t="s">
        <v>32547</v>
      </c>
      <c r="T989" t="s">
        <v>33280</v>
      </c>
      <c r="U989" t="s">
        <v>34493</v>
      </c>
      <c r="V989" t="s">
        <v>42508</v>
      </c>
      <c r="W989" t="s">
        <v>29995</v>
      </c>
      <c r="X989" t="s">
        <v>32527</v>
      </c>
    </row>
    <row r="990" spans="1:24">
      <c r="A990">
        <f>HYPERLINK("https://www.philgeps.gov.ph/GEPSNONPILOT/Tender/SplashBidNoticeAbstractUI.aspx?menuIndex=3&amp;refID=7045287&amp;Result=3","7045287")</f>
        <v>0</v>
      </c>
      <c r="B990" t="s">
        <v>435</v>
      </c>
      <c r="C990" t="s">
        <v>3624</v>
      </c>
      <c r="E990" t="s">
        <v>13999</v>
      </c>
      <c r="F990" t="s">
        <v>22436</v>
      </c>
      <c r="G990" t="s">
        <v>22444</v>
      </c>
      <c r="H990" t="s">
        <v>22452</v>
      </c>
      <c r="I990" t="s">
        <v>22468</v>
      </c>
      <c r="J990" t="s">
        <v>23355</v>
      </c>
      <c r="K990" t="s">
        <v>29338</v>
      </c>
      <c r="M990" t="s">
        <v>30016</v>
      </c>
      <c r="N990" t="s">
        <v>32524</v>
      </c>
      <c r="O990" t="s">
        <v>32525</v>
      </c>
      <c r="P990">
        <v>0</v>
      </c>
      <c r="Q990">
        <v>0</v>
      </c>
      <c r="R990" t="s">
        <v>32526</v>
      </c>
      <c r="S990" t="s">
        <v>32547</v>
      </c>
      <c r="T990" t="s">
        <v>33241</v>
      </c>
      <c r="U990" t="s">
        <v>34494</v>
      </c>
      <c r="W990" t="s">
        <v>30016</v>
      </c>
      <c r="X990" t="s">
        <v>32527</v>
      </c>
    </row>
    <row r="991" spans="1:24">
      <c r="A991">
        <f>HYPERLINK("https://www.philgeps.gov.ph/GEPSNONPILOT/Tender/SplashBidNoticeAbstractUI.aspx?menuIndex=3&amp;refID=7045271&amp;Result=3","7045271")</f>
        <v>0</v>
      </c>
      <c r="B991" t="s">
        <v>436</v>
      </c>
      <c r="C991" t="s">
        <v>3625</v>
      </c>
      <c r="D991" t="s">
        <v>13022</v>
      </c>
      <c r="E991" t="s">
        <v>14000</v>
      </c>
      <c r="F991" t="s">
        <v>22436</v>
      </c>
      <c r="G991" t="s">
        <v>22444</v>
      </c>
      <c r="H991" t="s">
        <v>22452</v>
      </c>
      <c r="I991" t="s">
        <v>22525</v>
      </c>
      <c r="J991" t="s">
        <v>23356</v>
      </c>
      <c r="K991" t="s">
        <v>29335</v>
      </c>
      <c r="M991" t="s">
        <v>30017</v>
      </c>
      <c r="N991" t="s">
        <v>32524</v>
      </c>
      <c r="O991" t="s">
        <v>32525</v>
      </c>
      <c r="P991">
        <v>0</v>
      </c>
      <c r="Q991">
        <v>2</v>
      </c>
      <c r="R991" t="s">
        <v>32526</v>
      </c>
      <c r="S991" t="s">
        <v>32547</v>
      </c>
      <c r="T991" t="s">
        <v>33284</v>
      </c>
      <c r="U991" t="s">
        <v>34495</v>
      </c>
      <c r="W991" t="s">
        <v>30017</v>
      </c>
      <c r="X991" t="s">
        <v>32527</v>
      </c>
    </row>
    <row r="992" spans="1:24">
      <c r="A992">
        <f>HYPERLINK("https://www.philgeps.gov.ph/GEPSNONPILOT/Tender/SplashBidNoticeAbstractUI.aspx?menuIndex=3&amp;refID=7045285&amp;Result=3","7045285")</f>
        <v>0</v>
      </c>
      <c r="B992" t="s">
        <v>391</v>
      </c>
      <c r="C992" t="s">
        <v>3626</v>
      </c>
      <c r="D992" t="s">
        <v>13000</v>
      </c>
      <c r="E992" t="s">
        <v>14001</v>
      </c>
      <c r="F992" t="s">
        <v>22436</v>
      </c>
      <c r="G992" t="s">
        <v>22446</v>
      </c>
      <c r="H992" t="s">
        <v>22452</v>
      </c>
      <c r="I992" t="s">
        <v>22469</v>
      </c>
      <c r="J992" t="s">
        <v>22605</v>
      </c>
      <c r="K992" t="s">
        <v>29356</v>
      </c>
      <c r="M992" t="s">
        <v>29970</v>
      </c>
      <c r="N992" t="s">
        <v>32524</v>
      </c>
      <c r="O992" t="s">
        <v>32525</v>
      </c>
      <c r="P992">
        <v>0</v>
      </c>
      <c r="Q992">
        <v>0</v>
      </c>
      <c r="R992" t="s">
        <v>32526</v>
      </c>
      <c r="S992" t="s">
        <v>32547</v>
      </c>
      <c r="T992" t="s">
        <v>33182</v>
      </c>
      <c r="U992" t="s">
        <v>34496</v>
      </c>
      <c r="W992" t="s">
        <v>29970</v>
      </c>
      <c r="X992" t="s">
        <v>32527</v>
      </c>
    </row>
    <row r="993" spans="1:24">
      <c r="A993">
        <f>HYPERLINK("https://www.philgeps.gov.ph/GEPSNONPILOT/Tender/SplashBidNoticeAbstractUI.aspx?menuIndex=3&amp;refID=7045284&amp;Result=3","7045284")</f>
        <v>0</v>
      </c>
      <c r="B993" t="s">
        <v>437</v>
      </c>
      <c r="C993" t="s">
        <v>3627</v>
      </c>
      <c r="D993" t="s">
        <v>13023</v>
      </c>
      <c r="E993" t="s">
        <v>13391</v>
      </c>
      <c r="F993" t="s">
        <v>22437</v>
      </c>
      <c r="G993" t="s">
        <v>22446</v>
      </c>
      <c r="H993" t="s">
        <v>22453</v>
      </c>
      <c r="I993" t="s">
        <v>22502</v>
      </c>
      <c r="J993" t="s">
        <v>23357</v>
      </c>
      <c r="K993" t="s">
        <v>29336</v>
      </c>
      <c r="M993" t="s">
        <v>30018</v>
      </c>
      <c r="N993" t="s">
        <v>32524</v>
      </c>
      <c r="O993" t="s">
        <v>32525</v>
      </c>
      <c r="P993">
        <v>0</v>
      </c>
      <c r="Q993">
        <v>4</v>
      </c>
      <c r="R993" t="s">
        <v>32526</v>
      </c>
      <c r="S993" t="s">
        <v>32547</v>
      </c>
      <c r="T993" t="s">
        <v>33285</v>
      </c>
      <c r="U993" t="s">
        <v>34497</v>
      </c>
      <c r="W993" t="s">
        <v>30018</v>
      </c>
      <c r="X993" t="s">
        <v>32527</v>
      </c>
    </row>
    <row r="994" spans="1:24">
      <c r="A994">
        <f>HYPERLINK("https://www.philgeps.gov.ph/GEPSNONPILOT/Tender/SplashBidNoticeAbstractUI.aspx?menuIndex=3&amp;refID=7045288&amp;Result=3","7045288")</f>
        <v>0</v>
      </c>
      <c r="B994" t="s">
        <v>426</v>
      </c>
      <c r="C994" t="s">
        <v>3628</v>
      </c>
      <c r="D994" t="s">
        <v>12990</v>
      </c>
      <c r="E994" t="s">
        <v>14002</v>
      </c>
      <c r="F994" t="s">
        <v>22436</v>
      </c>
      <c r="G994" t="s">
        <v>22443</v>
      </c>
      <c r="H994" t="s">
        <v>22452</v>
      </c>
      <c r="I994" t="s">
        <v>22463</v>
      </c>
      <c r="J994" t="s">
        <v>23358</v>
      </c>
      <c r="K994" t="s">
        <v>29338</v>
      </c>
      <c r="M994" t="s">
        <v>30007</v>
      </c>
      <c r="N994" t="s">
        <v>32524</v>
      </c>
      <c r="O994" t="s">
        <v>32525</v>
      </c>
      <c r="P994">
        <v>0</v>
      </c>
      <c r="Q994">
        <v>0</v>
      </c>
      <c r="R994" t="s">
        <v>32526</v>
      </c>
      <c r="S994" t="s">
        <v>32547</v>
      </c>
      <c r="T994" t="s">
        <v>33154</v>
      </c>
      <c r="U994" t="s">
        <v>34498</v>
      </c>
      <c r="W994" t="s">
        <v>30007</v>
      </c>
      <c r="X994" t="s">
        <v>32527</v>
      </c>
    </row>
    <row r="995" spans="1:24">
      <c r="A995">
        <f>HYPERLINK("https://www.philgeps.gov.ph/GEPSNONPILOT/Tender/SplashBidNoticeAbstractUI.aspx?menuIndex=3&amp;refID=7045268&amp;Result=3","7045268")</f>
        <v>0</v>
      </c>
      <c r="B995" t="s">
        <v>386</v>
      </c>
      <c r="C995" t="s">
        <v>3629</v>
      </c>
      <c r="D995" t="s">
        <v>12988</v>
      </c>
      <c r="E995" t="s">
        <v>14003</v>
      </c>
      <c r="F995" t="s">
        <v>22436</v>
      </c>
      <c r="G995" t="s">
        <v>22445</v>
      </c>
      <c r="H995" t="s">
        <v>22452</v>
      </c>
      <c r="I995" t="s">
        <v>22478</v>
      </c>
      <c r="J995" t="s">
        <v>23359</v>
      </c>
      <c r="K995" t="s">
        <v>29335</v>
      </c>
      <c r="M995" t="s">
        <v>30006</v>
      </c>
      <c r="N995" t="s">
        <v>32524</v>
      </c>
      <c r="O995" t="s">
        <v>32525</v>
      </c>
      <c r="P995">
        <v>0</v>
      </c>
      <c r="Q995">
        <v>0</v>
      </c>
      <c r="R995" t="s">
        <v>32526</v>
      </c>
      <c r="S995" t="s">
        <v>32547</v>
      </c>
      <c r="T995" t="s">
        <v>33167</v>
      </c>
      <c r="U995" t="s">
        <v>34470</v>
      </c>
      <c r="W995" t="s">
        <v>30006</v>
      </c>
      <c r="X995" t="s">
        <v>32527</v>
      </c>
    </row>
    <row r="996" spans="1:24">
      <c r="A996">
        <f>HYPERLINK("https://www.philgeps.gov.ph/GEPSNONPILOT/Tender/SplashBidNoticeAbstractUI.aspx?menuIndex=3&amp;refID=7045279&amp;Result=3","7045279")</f>
        <v>0</v>
      </c>
      <c r="B996" t="s">
        <v>438</v>
      </c>
      <c r="C996" t="s">
        <v>3630</v>
      </c>
      <c r="D996" t="s">
        <v>13040</v>
      </c>
      <c r="E996" t="s">
        <v>14004</v>
      </c>
      <c r="F996" t="s">
        <v>22436</v>
      </c>
      <c r="G996" t="s">
        <v>22443</v>
      </c>
      <c r="H996" t="s">
        <v>22452</v>
      </c>
      <c r="I996" t="s">
        <v>6421</v>
      </c>
      <c r="J996" t="s">
        <v>23360</v>
      </c>
      <c r="K996" t="s">
        <v>29335</v>
      </c>
      <c r="M996" t="s">
        <v>30019</v>
      </c>
      <c r="N996" t="s">
        <v>32524</v>
      </c>
      <c r="O996" t="s">
        <v>32525</v>
      </c>
      <c r="P996">
        <v>0</v>
      </c>
      <c r="Q996">
        <v>1</v>
      </c>
      <c r="R996" t="s">
        <v>32526</v>
      </c>
      <c r="S996" t="s">
        <v>32547</v>
      </c>
      <c r="T996" t="s">
        <v>33167</v>
      </c>
      <c r="U996" t="s">
        <v>34499</v>
      </c>
      <c r="W996" t="s">
        <v>30019</v>
      </c>
      <c r="X996" t="s">
        <v>32527</v>
      </c>
    </row>
    <row r="997" spans="1:24">
      <c r="A997">
        <f>HYPERLINK("https://www.philgeps.gov.ph/GEPSNONPILOT/Tender/SplashBidNoticeAbstractUI.aspx?menuIndex=3&amp;refID=7045289&amp;Result=3","7045289")</f>
        <v>0</v>
      </c>
      <c r="B997" t="s">
        <v>50</v>
      </c>
      <c r="C997" t="s">
        <v>3631</v>
      </c>
      <c r="D997" t="s">
        <v>13008</v>
      </c>
      <c r="E997" t="s">
        <v>14005</v>
      </c>
      <c r="F997" t="s">
        <v>22436</v>
      </c>
      <c r="G997" t="s">
        <v>22443</v>
      </c>
      <c r="H997" t="s">
        <v>22452</v>
      </c>
      <c r="I997" t="s">
        <v>22467</v>
      </c>
      <c r="J997" t="s">
        <v>23120</v>
      </c>
      <c r="K997" t="s">
        <v>29337</v>
      </c>
      <c r="M997" t="s">
        <v>29622</v>
      </c>
      <c r="N997" t="s">
        <v>32524</v>
      </c>
      <c r="O997" t="s">
        <v>32525</v>
      </c>
      <c r="P997">
        <v>0</v>
      </c>
      <c r="Q997">
        <v>0</v>
      </c>
      <c r="R997" t="s">
        <v>32526</v>
      </c>
      <c r="S997" t="s">
        <v>32547</v>
      </c>
      <c r="T997" t="s">
        <v>33167</v>
      </c>
      <c r="U997" t="s">
        <v>34500</v>
      </c>
      <c r="W997" t="s">
        <v>29622</v>
      </c>
      <c r="X997" t="s">
        <v>32527</v>
      </c>
    </row>
    <row r="998" spans="1:24">
      <c r="A998">
        <f>HYPERLINK("https://www.philgeps.gov.ph/GEPSNONPILOT/Tender/SplashBidNoticeAbstractUI.aspx?menuIndex=3&amp;refID=7045277&amp;Result=3","7045277")</f>
        <v>0</v>
      </c>
      <c r="B998" t="s">
        <v>439</v>
      </c>
      <c r="C998" t="s">
        <v>3632</v>
      </c>
      <c r="D998" t="s">
        <v>12988</v>
      </c>
      <c r="E998" t="s">
        <v>14006</v>
      </c>
      <c r="F998" t="s">
        <v>22436</v>
      </c>
      <c r="G998" t="s">
        <v>22445</v>
      </c>
      <c r="H998" t="s">
        <v>22452</v>
      </c>
      <c r="I998" t="s">
        <v>5194</v>
      </c>
      <c r="J998" t="s">
        <v>23361</v>
      </c>
      <c r="K998" t="s">
        <v>29341</v>
      </c>
      <c r="M998" t="s">
        <v>30020</v>
      </c>
      <c r="N998" t="s">
        <v>32524</v>
      </c>
      <c r="O998" t="s">
        <v>32525</v>
      </c>
      <c r="P998">
        <v>0</v>
      </c>
      <c r="Q998">
        <v>5</v>
      </c>
      <c r="R998" t="s">
        <v>32526</v>
      </c>
      <c r="S998" t="s">
        <v>32547</v>
      </c>
      <c r="T998" t="s">
        <v>33183</v>
      </c>
      <c r="U998" t="s">
        <v>34501</v>
      </c>
      <c r="V998" t="s">
        <v>42513</v>
      </c>
      <c r="W998" t="s">
        <v>30020</v>
      </c>
      <c r="X998" t="s">
        <v>32527</v>
      </c>
    </row>
    <row r="999" spans="1:24">
      <c r="A999">
        <f>HYPERLINK("https://www.philgeps.gov.ph/GEPSNONPILOT/Tender/SplashBidNoticeAbstractUI.aspx?menuIndex=3&amp;refID=7045280&amp;Result=3","7045280")</f>
        <v>0</v>
      </c>
      <c r="B999" t="s">
        <v>50</v>
      </c>
      <c r="C999" t="s">
        <v>2862</v>
      </c>
      <c r="D999" t="s">
        <v>13008</v>
      </c>
      <c r="E999" t="s">
        <v>14007</v>
      </c>
      <c r="F999" t="s">
        <v>22436</v>
      </c>
      <c r="G999" t="s">
        <v>22445</v>
      </c>
      <c r="H999" t="s">
        <v>22452</v>
      </c>
      <c r="I999" t="s">
        <v>22460</v>
      </c>
      <c r="J999" t="s">
        <v>23362</v>
      </c>
      <c r="K999" t="s">
        <v>29337</v>
      </c>
      <c r="M999" t="s">
        <v>29622</v>
      </c>
      <c r="N999" t="s">
        <v>32524</v>
      </c>
      <c r="O999" t="s">
        <v>32525</v>
      </c>
      <c r="P999">
        <v>0</v>
      </c>
      <c r="Q999">
        <v>1</v>
      </c>
      <c r="R999" t="s">
        <v>32526</v>
      </c>
      <c r="S999" t="s">
        <v>32547</v>
      </c>
      <c r="T999" t="s">
        <v>33167</v>
      </c>
      <c r="U999" t="s">
        <v>34502</v>
      </c>
      <c r="W999" t="s">
        <v>29622</v>
      </c>
      <c r="X999" t="s">
        <v>32527</v>
      </c>
    </row>
    <row r="1000" spans="1:24">
      <c r="A1000">
        <f>HYPERLINK("https://www.philgeps.gov.ph/GEPSNONPILOT/Tender/SplashBidNoticeAbstractUI.aspx?menuIndex=3&amp;refID=7045278&amp;Result=3","7045278")</f>
        <v>0</v>
      </c>
      <c r="B1000" t="s">
        <v>440</v>
      </c>
      <c r="C1000" t="s">
        <v>3633</v>
      </c>
      <c r="D1000" t="s">
        <v>13000</v>
      </c>
      <c r="E1000" t="s">
        <v>14008</v>
      </c>
      <c r="F1000" t="s">
        <v>22436</v>
      </c>
      <c r="G1000" t="s">
        <v>22443</v>
      </c>
      <c r="H1000" t="s">
        <v>22454</v>
      </c>
      <c r="I1000" t="s">
        <v>7738</v>
      </c>
      <c r="J1000" t="s">
        <v>23363</v>
      </c>
      <c r="K1000" t="s">
        <v>29390</v>
      </c>
      <c r="M1000" t="s">
        <v>30021</v>
      </c>
      <c r="N1000" t="s">
        <v>32524</v>
      </c>
      <c r="O1000" t="s">
        <v>32525</v>
      </c>
      <c r="P1000">
        <v>0</v>
      </c>
      <c r="Q1000">
        <v>0</v>
      </c>
      <c r="R1000" t="s">
        <v>32526</v>
      </c>
      <c r="S1000" t="s">
        <v>32547</v>
      </c>
      <c r="T1000" t="s">
        <v>33167</v>
      </c>
      <c r="U1000" t="s">
        <v>34503</v>
      </c>
      <c r="W1000" t="s">
        <v>30021</v>
      </c>
      <c r="X1000" t="s">
        <v>32527</v>
      </c>
    </row>
    <row r="1001" spans="1:24">
      <c r="A1001">
        <f>HYPERLINK("https://www.philgeps.gov.ph/GEPSNONPILOT/Tender/SplashBidNoticeAbstractUI.aspx?menuIndex=3&amp;refID=7045281&amp;Result=3","7045281")</f>
        <v>0</v>
      </c>
      <c r="B1001" t="s">
        <v>353</v>
      </c>
      <c r="C1001" t="s">
        <v>3634</v>
      </c>
      <c r="D1001" t="s">
        <v>13034</v>
      </c>
      <c r="E1001" t="s">
        <v>14009</v>
      </c>
      <c r="F1001" t="s">
        <v>22436</v>
      </c>
      <c r="G1001" t="s">
        <v>22444</v>
      </c>
      <c r="H1001" t="s">
        <v>22454</v>
      </c>
      <c r="I1001" t="s">
        <v>7738</v>
      </c>
      <c r="J1001" t="s">
        <v>22893</v>
      </c>
      <c r="K1001" t="s">
        <v>29333</v>
      </c>
      <c r="M1001" t="s">
        <v>29930</v>
      </c>
      <c r="N1001" t="s">
        <v>32524</v>
      </c>
      <c r="O1001" t="s">
        <v>32525</v>
      </c>
      <c r="P1001">
        <v>0</v>
      </c>
      <c r="Q1001">
        <v>0</v>
      </c>
      <c r="R1001" t="s">
        <v>32526</v>
      </c>
      <c r="S1001" t="s">
        <v>32547</v>
      </c>
      <c r="T1001" t="s">
        <v>33165</v>
      </c>
      <c r="U1001" t="s">
        <v>34504</v>
      </c>
      <c r="W1001" t="s">
        <v>29930</v>
      </c>
      <c r="X1001" t="s">
        <v>32527</v>
      </c>
    </row>
    <row r="1002" spans="1:24">
      <c r="A1002">
        <f>HYPERLINK("https://www.philgeps.gov.ph/GEPSNONPILOT/Tender/SplashBidNoticeAbstractUI.aspx?menuIndex=3&amp;refID=7045290&amp;Result=3","7045290")</f>
        <v>0</v>
      </c>
      <c r="B1002" t="s">
        <v>441</v>
      </c>
      <c r="C1002" t="s">
        <v>3635</v>
      </c>
      <c r="D1002" t="s">
        <v>13032</v>
      </c>
      <c r="E1002" t="s">
        <v>14010</v>
      </c>
      <c r="F1002" t="s">
        <v>22436</v>
      </c>
      <c r="G1002" t="s">
        <v>22443</v>
      </c>
      <c r="H1002" t="s">
        <v>22452</v>
      </c>
      <c r="I1002" t="s">
        <v>22501</v>
      </c>
      <c r="J1002" t="s">
        <v>22617</v>
      </c>
      <c r="K1002" t="s">
        <v>29335</v>
      </c>
      <c r="M1002" t="s">
        <v>30022</v>
      </c>
      <c r="N1002" t="s">
        <v>32524</v>
      </c>
      <c r="O1002" t="s">
        <v>32525</v>
      </c>
      <c r="P1002">
        <v>0</v>
      </c>
      <c r="Q1002">
        <v>0</v>
      </c>
      <c r="R1002" t="s">
        <v>32526</v>
      </c>
      <c r="S1002" t="s">
        <v>32547</v>
      </c>
      <c r="T1002" t="s">
        <v>33286</v>
      </c>
      <c r="U1002" t="s">
        <v>34505</v>
      </c>
      <c r="V1002" t="s">
        <v>42514</v>
      </c>
      <c r="W1002" t="s">
        <v>30022</v>
      </c>
      <c r="X1002" t="s">
        <v>32527</v>
      </c>
    </row>
    <row r="1003" spans="1:24">
      <c r="A1003">
        <f>HYPERLINK("https://www.philgeps.gov.ph/GEPSNONPILOT/Tender/SplashBidNoticeAbstractUI.aspx?menuIndex=3&amp;refID=7045307&amp;Result=3","7045307")</f>
        <v>0</v>
      </c>
      <c r="B1003" t="s">
        <v>442</v>
      </c>
      <c r="C1003" t="s">
        <v>3636</v>
      </c>
      <c r="D1003" t="s">
        <v>13011</v>
      </c>
      <c r="E1003" t="s">
        <v>14011</v>
      </c>
      <c r="F1003" t="s">
        <v>22436</v>
      </c>
      <c r="G1003" t="s">
        <v>22446</v>
      </c>
      <c r="H1003" t="s">
        <v>22452</v>
      </c>
      <c r="I1003" t="s">
        <v>22463</v>
      </c>
      <c r="J1003" t="s">
        <v>23364</v>
      </c>
      <c r="K1003" t="s">
        <v>29338</v>
      </c>
      <c r="M1003" t="s">
        <v>30023</v>
      </c>
      <c r="N1003" t="s">
        <v>32524</v>
      </c>
      <c r="O1003" t="s">
        <v>32525</v>
      </c>
      <c r="P1003">
        <v>0</v>
      </c>
      <c r="Q1003">
        <v>3</v>
      </c>
      <c r="R1003" t="s">
        <v>32526</v>
      </c>
      <c r="S1003" t="s">
        <v>32547</v>
      </c>
      <c r="T1003" t="s">
        <v>33185</v>
      </c>
      <c r="U1003" t="s">
        <v>34506</v>
      </c>
      <c r="W1003" t="s">
        <v>30023</v>
      </c>
      <c r="X1003" t="s">
        <v>32527</v>
      </c>
    </row>
    <row r="1004" spans="1:24">
      <c r="A1004">
        <f>HYPERLINK("https://www.philgeps.gov.ph/GEPSNONPILOT/Tender/SplashBidNoticeAbstractUI.aspx?menuIndex=3&amp;refID=7045296&amp;Result=3","7045296")</f>
        <v>0</v>
      </c>
      <c r="B1004" t="s">
        <v>224</v>
      </c>
      <c r="C1004" t="s">
        <v>3637</v>
      </c>
      <c r="D1004" t="s">
        <v>13018</v>
      </c>
      <c r="E1004" t="s">
        <v>14012</v>
      </c>
      <c r="F1004" t="s">
        <v>22436</v>
      </c>
      <c r="G1004" t="s">
        <v>22444</v>
      </c>
      <c r="H1004" t="s">
        <v>22452</v>
      </c>
      <c r="I1004" t="s">
        <v>22458</v>
      </c>
      <c r="J1004" t="s">
        <v>23365</v>
      </c>
      <c r="K1004" t="s">
        <v>29331</v>
      </c>
      <c r="M1004" t="s">
        <v>29797</v>
      </c>
      <c r="N1004" t="s">
        <v>32524</v>
      </c>
      <c r="O1004" t="s">
        <v>32525</v>
      </c>
      <c r="P1004">
        <v>0</v>
      </c>
      <c r="Q1004">
        <v>3</v>
      </c>
      <c r="R1004" t="s">
        <v>32526</v>
      </c>
      <c r="S1004" t="s">
        <v>32547</v>
      </c>
      <c r="T1004" t="s">
        <v>33166</v>
      </c>
      <c r="U1004" t="s">
        <v>34507</v>
      </c>
      <c r="W1004" t="s">
        <v>29797</v>
      </c>
      <c r="X1004" t="s">
        <v>32527</v>
      </c>
    </row>
    <row r="1005" spans="1:24">
      <c r="A1005">
        <f>HYPERLINK("https://www.philgeps.gov.ph/GEPSNONPILOT/Tender/SplashBidNoticeAbstractUI.aspx?menuIndex=3&amp;refID=7045297&amp;Result=3","7045297")</f>
        <v>0</v>
      </c>
      <c r="B1005" t="s">
        <v>95</v>
      </c>
      <c r="C1005" t="s">
        <v>3638</v>
      </c>
      <c r="D1005" t="s">
        <v>13028</v>
      </c>
      <c r="E1005" t="s">
        <v>14013</v>
      </c>
      <c r="F1005" t="s">
        <v>22436</v>
      </c>
      <c r="G1005" t="s">
        <v>22444</v>
      </c>
      <c r="H1005" t="s">
        <v>22452</v>
      </c>
      <c r="I1005" t="s">
        <v>22489</v>
      </c>
      <c r="J1005" t="s">
        <v>23366</v>
      </c>
      <c r="K1005" t="s">
        <v>29335</v>
      </c>
      <c r="M1005" t="s">
        <v>30024</v>
      </c>
      <c r="N1005" t="s">
        <v>32524</v>
      </c>
      <c r="O1005" t="s">
        <v>32525</v>
      </c>
      <c r="P1005">
        <v>0</v>
      </c>
      <c r="Q1005">
        <v>1</v>
      </c>
      <c r="R1005" t="s">
        <v>32526</v>
      </c>
      <c r="S1005" t="s">
        <v>32547</v>
      </c>
      <c r="T1005" t="s">
        <v>33181</v>
      </c>
      <c r="U1005" t="s">
        <v>34508</v>
      </c>
      <c r="W1005" t="s">
        <v>30024</v>
      </c>
      <c r="X1005" t="s">
        <v>32527</v>
      </c>
    </row>
    <row r="1006" spans="1:24">
      <c r="A1006">
        <f>HYPERLINK("https://www.philgeps.gov.ph/GEPSNONPILOT/Tender/SplashBidNoticeAbstractUI.aspx?menuIndex=3&amp;refID=7045294&amp;Result=3","7045294")</f>
        <v>0</v>
      </c>
      <c r="B1006" t="s">
        <v>435</v>
      </c>
      <c r="C1006" t="s">
        <v>3639</v>
      </c>
      <c r="E1006" t="s">
        <v>14014</v>
      </c>
      <c r="F1006" t="s">
        <v>22436</v>
      </c>
      <c r="G1006" t="s">
        <v>22444</v>
      </c>
      <c r="H1006" t="s">
        <v>22452</v>
      </c>
      <c r="I1006" t="s">
        <v>3529</v>
      </c>
      <c r="J1006" t="s">
        <v>23367</v>
      </c>
      <c r="K1006" t="s">
        <v>29338</v>
      </c>
      <c r="M1006" t="s">
        <v>30016</v>
      </c>
      <c r="N1006" t="s">
        <v>32524</v>
      </c>
      <c r="O1006" t="s">
        <v>32525</v>
      </c>
      <c r="P1006">
        <v>0</v>
      </c>
      <c r="Q1006">
        <v>0</v>
      </c>
      <c r="R1006" t="s">
        <v>32526</v>
      </c>
      <c r="S1006" t="s">
        <v>32547</v>
      </c>
      <c r="T1006" t="s">
        <v>33287</v>
      </c>
      <c r="U1006" t="s">
        <v>34509</v>
      </c>
      <c r="W1006" t="s">
        <v>30016</v>
      </c>
      <c r="X1006" t="s">
        <v>32527</v>
      </c>
    </row>
    <row r="1007" spans="1:24">
      <c r="A1007">
        <f>HYPERLINK("https://www.philgeps.gov.ph/GEPSNONPILOT/Tender/SplashBidNoticeAbstractUI.aspx?menuIndex=3&amp;refID=7045300&amp;Result=3","7045300")</f>
        <v>0</v>
      </c>
      <c r="B1007" t="s">
        <v>50</v>
      </c>
      <c r="C1007" t="s">
        <v>2862</v>
      </c>
      <c r="D1007" t="s">
        <v>13008</v>
      </c>
      <c r="E1007" t="s">
        <v>14015</v>
      </c>
      <c r="F1007" t="s">
        <v>22436</v>
      </c>
      <c r="G1007" t="s">
        <v>22445</v>
      </c>
      <c r="H1007" t="s">
        <v>22452</v>
      </c>
      <c r="I1007" t="s">
        <v>22460</v>
      </c>
      <c r="J1007" t="s">
        <v>23368</v>
      </c>
      <c r="K1007" t="s">
        <v>29337</v>
      </c>
      <c r="M1007" t="s">
        <v>29622</v>
      </c>
      <c r="N1007" t="s">
        <v>32524</v>
      </c>
      <c r="O1007" t="s">
        <v>32525</v>
      </c>
      <c r="P1007">
        <v>0</v>
      </c>
      <c r="Q1007">
        <v>0</v>
      </c>
      <c r="R1007" t="s">
        <v>32526</v>
      </c>
      <c r="S1007" t="s">
        <v>32547</v>
      </c>
      <c r="T1007" t="s">
        <v>33167</v>
      </c>
      <c r="U1007" t="s">
        <v>34510</v>
      </c>
      <c r="W1007" t="s">
        <v>29622</v>
      </c>
      <c r="X1007" t="s">
        <v>32527</v>
      </c>
    </row>
    <row r="1008" spans="1:24">
      <c r="A1008">
        <f>HYPERLINK("https://www.philgeps.gov.ph/GEPSNONPILOT/Tender/SplashBidNoticeAbstractUI.aspx?menuIndex=3&amp;refID=7045291&amp;Result=3","7045291")</f>
        <v>0</v>
      </c>
      <c r="B1008" t="s">
        <v>443</v>
      </c>
      <c r="C1008" t="s">
        <v>3640</v>
      </c>
      <c r="D1008" t="s">
        <v>13006</v>
      </c>
      <c r="E1008" t="s">
        <v>14016</v>
      </c>
      <c r="F1008" t="s">
        <v>22436</v>
      </c>
      <c r="G1008" t="s">
        <v>22443</v>
      </c>
      <c r="H1008" t="s">
        <v>22452</v>
      </c>
      <c r="I1008" t="s">
        <v>2962</v>
      </c>
      <c r="J1008" t="s">
        <v>23369</v>
      </c>
      <c r="K1008" t="s">
        <v>29337</v>
      </c>
      <c r="M1008" t="s">
        <v>30025</v>
      </c>
      <c r="N1008" t="s">
        <v>32524</v>
      </c>
      <c r="O1008" t="s">
        <v>32525</v>
      </c>
      <c r="P1008">
        <v>0</v>
      </c>
      <c r="Q1008">
        <v>0</v>
      </c>
      <c r="R1008" t="s">
        <v>32526</v>
      </c>
      <c r="S1008" t="s">
        <v>32547</v>
      </c>
      <c r="T1008" t="s">
        <v>33169</v>
      </c>
      <c r="U1008" t="s">
        <v>34511</v>
      </c>
      <c r="W1008" t="s">
        <v>30025</v>
      </c>
      <c r="X1008" t="s">
        <v>32527</v>
      </c>
    </row>
    <row r="1009" spans="1:24">
      <c r="A1009">
        <f>HYPERLINK("https://www.philgeps.gov.ph/GEPSNONPILOT/Tender/SplashBidNoticeAbstractUI.aspx?menuIndex=3&amp;refID=7045312&amp;Result=3","7045312")</f>
        <v>0</v>
      </c>
      <c r="B1009" t="s">
        <v>331</v>
      </c>
      <c r="C1009" t="s">
        <v>3641</v>
      </c>
      <c r="D1009" t="s">
        <v>13058</v>
      </c>
      <c r="E1009" t="s">
        <v>14017</v>
      </c>
      <c r="F1009" t="s">
        <v>22436</v>
      </c>
      <c r="G1009" t="s">
        <v>22445</v>
      </c>
      <c r="H1009" t="s">
        <v>22452</v>
      </c>
      <c r="I1009" t="s">
        <v>12358</v>
      </c>
      <c r="J1009" t="s">
        <v>23370</v>
      </c>
      <c r="K1009" t="s">
        <v>29335</v>
      </c>
      <c r="M1009" t="s">
        <v>29907</v>
      </c>
      <c r="N1009" t="s">
        <v>32524</v>
      </c>
      <c r="O1009" t="s">
        <v>32525</v>
      </c>
      <c r="P1009">
        <v>0</v>
      </c>
      <c r="Q1009">
        <v>1</v>
      </c>
      <c r="R1009" t="s">
        <v>32526</v>
      </c>
      <c r="S1009" t="s">
        <v>32547</v>
      </c>
      <c r="T1009" t="s">
        <v>33169</v>
      </c>
      <c r="U1009" t="s">
        <v>34512</v>
      </c>
      <c r="W1009" t="s">
        <v>29907</v>
      </c>
      <c r="X1009" t="s">
        <v>32527</v>
      </c>
    </row>
    <row r="1010" spans="1:24">
      <c r="A1010">
        <f>HYPERLINK("https://www.philgeps.gov.ph/GEPSNONPILOT/Tender/SplashBidNoticeAbstractUI.aspx?menuIndex=3&amp;refID=7045298&amp;Result=3","7045298")</f>
        <v>0</v>
      </c>
      <c r="B1010" t="s">
        <v>444</v>
      </c>
      <c r="C1010" t="s">
        <v>3642</v>
      </c>
      <c r="D1010" t="s">
        <v>13024</v>
      </c>
      <c r="E1010" t="s">
        <v>14018</v>
      </c>
      <c r="F1010" t="s">
        <v>22436</v>
      </c>
      <c r="G1010" t="s">
        <v>22444</v>
      </c>
      <c r="H1010" t="s">
        <v>22452</v>
      </c>
      <c r="I1010" t="s">
        <v>22458</v>
      </c>
      <c r="J1010" t="s">
        <v>22640</v>
      </c>
      <c r="K1010" t="s">
        <v>29331</v>
      </c>
      <c r="M1010" t="s">
        <v>30026</v>
      </c>
      <c r="N1010" t="s">
        <v>32524</v>
      </c>
      <c r="O1010" t="s">
        <v>32525</v>
      </c>
      <c r="P1010">
        <v>0</v>
      </c>
      <c r="Q1010">
        <v>5</v>
      </c>
      <c r="R1010" t="s">
        <v>32526</v>
      </c>
      <c r="S1010" t="s">
        <v>32547</v>
      </c>
      <c r="T1010" t="s">
        <v>33190</v>
      </c>
      <c r="U1010" t="s">
        <v>34513</v>
      </c>
      <c r="W1010" t="s">
        <v>30026</v>
      </c>
      <c r="X1010" t="s">
        <v>32527</v>
      </c>
    </row>
    <row r="1011" spans="1:24">
      <c r="A1011">
        <f>HYPERLINK("https://www.philgeps.gov.ph/GEPSNONPILOT/Tender/SplashBidNoticeAbstractUI.aspx?menuIndex=3&amp;refID=7045311&amp;Result=3","7045311")</f>
        <v>0</v>
      </c>
      <c r="B1011" t="s">
        <v>287</v>
      </c>
      <c r="C1011" t="s">
        <v>3643</v>
      </c>
      <c r="D1011" t="s">
        <v>13007</v>
      </c>
      <c r="E1011" t="s">
        <v>13665</v>
      </c>
      <c r="F1011" t="s">
        <v>22436</v>
      </c>
      <c r="G1011" t="s">
        <v>22443</v>
      </c>
      <c r="H1011" t="s">
        <v>22452</v>
      </c>
      <c r="I1011" t="s">
        <v>22460</v>
      </c>
      <c r="J1011" t="s">
        <v>23371</v>
      </c>
      <c r="K1011" t="s">
        <v>29331</v>
      </c>
      <c r="M1011" t="s">
        <v>29861</v>
      </c>
      <c r="N1011" t="s">
        <v>32524</v>
      </c>
      <c r="O1011" t="s">
        <v>32525</v>
      </c>
      <c r="P1011">
        <v>0</v>
      </c>
      <c r="Q1011">
        <v>1</v>
      </c>
      <c r="R1011" t="s">
        <v>32526</v>
      </c>
      <c r="S1011" t="s">
        <v>32547</v>
      </c>
      <c r="T1011" t="s">
        <v>33154</v>
      </c>
      <c r="U1011" t="s">
        <v>34514</v>
      </c>
      <c r="W1011" t="s">
        <v>29861</v>
      </c>
      <c r="X1011" t="s">
        <v>32527</v>
      </c>
    </row>
    <row r="1012" spans="1:24">
      <c r="A1012">
        <f>HYPERLINK("https://www.philgeps.gov.ph/GEPSNONPILOT/Tender/SplashBidNoticeAbstractUI.aspx?menuIndex=3&amp;refID=7045304&amp;Result=3","7045304")</f>
        <v>0</v>
      </c>
      <c r="B1012" t="s">
        <v>50</v>
      </c>
      <c r="C1012" t="s">
        <v>3644</v>
      </c>
      <c r="D1012" t="s">
        <v>13008</v>
      </c>
      <c r="E1012" t="s">
        <v>14019</v>
      </c>
      <c r="F1012" t="s">
        <v>22436</v>
      </c>
      <c r="G1012" t="s">
        <v>22443</v>
      </c>
      <c r="H1012" t="s">
        <v>22452</v>
      </c>
      <c r="I1012" t="s">
        <v>22492</v>
      </c>
      <c r="J1012" t="s">
        <v>23372</v>
      </c>
      <c r="K1012" t="s">
        <v>29337</v>
      </c>
      <c r="M1012" t="s">
        <v>29622</v>
      </c>
      <c r="N1012" t="s">
        <v>32524</v>
      </c>
      <c r="O1012" t="s">
        <v>32525</v>
      </c>
      <c r="P1012">
        <v>0</v>
      </c>
      <c r="Q1012">
        <v>0</v>
      </c>
      <c r="R1012" t="s">
        <v>32526</v>
      </c>
      <c r="S1012" t="s">
        <v>32547</v>
      </c>
      <c r="T1012" t="s">
        <v>33167</v>
      </c>
      <c r="U1012" t="s">
        <v>34515</v>
      </c>
      <c r="W1012" t="s">
        <v>29622</v>
      </c>
      <c r="X1012" t="s">
        <v>32527</v>
      </c>
    </row>
    <row r="1013" spans="1:24">
      <c r="A1013">
        <f>HYPERLINK("https://www.philgeps.gov.ph/GEPSNONPILOT/Tender/SplashBidNoticeAbstractUI.aspx?menuIndex=3&amp;refID=7045310&amp;Result=3","7045310")</f>
        <v>0</v>
      </c>
      <c r="B1013" t="s">
        <v>50</v>
      </c>
      <c r="C1013" t="s">
        <v>3645</v>
      </c>
      <c r="D1013" t="s">
        <v>13008</v>
      </c>
      <c r="E1013" t="s">
        <v>14019</v>
      </c>
      <c r="F1013" t="s">
        <v>22436</v>
      </c>
      <c r="G1013" t="s">
        <v>22443</v>
      </c>
      <c r="H1013" t="s">
        <v>22452</v>
      </c>
      <c r="I1013" t="s">
        <v>3381</v>
      </c>
      <c r="J1013" t="s">
        <v>23373</v>
      </c>
      <c r="K1013" t="s">
        <v>29337</v>
      </c>
      <c r="M1013" t="s">
        <v>29622</v>
      </c>
      <c r="N1013" t="s">
        <v>32524</v>
      </c>
      <c r="O1013" t="s">
        <v>32525</v>
      </c>
      <c r="P1013">
        <v>0</v>
      </c>
      <c r="Q1013">
        <v>1</v>
      </c>
      <c r="R1013" t="s">
        <v>32526</v>
      </c>
      <c r="S1013" t="s">
        <v>32547</v>
      </c>
      <c r="T1013" t="s">
        <v>33167</v>
      </c>
      <c r="U1013" t="s">
        <v>34515</v>
      </c>
      <c r="W1013" t="s">
        <v>29622</v>
      </c>
      <c r="X1013" t="s">
        <v>32527</v>
      </c>
    </row>
    <row r="1014" spans="1:24">
      <c r="A1014">
        <f>HYPERLINK("https://www.philgeps.gov.ph/GEPSNONPILOT/Tender/SplashBidNoticeAbstractUI.aspx?menuIndex=3&amp;refID=7045292&amp;Result=3","7045292")</f>
        <v>0</v>
      </c>
      <c r="B1014" t="s">
        <v>445</v>
      </c>
      <c r="C1014" t="s">
        <v>3646</v>
      </c>
      <c r="D1014" t="s">
        <v>13031</v>
      </c>
      <c r="E1014" t="s">
        <v>14020</v>
      </c>
      <c r="F1014" t="s">
        <v>22436</v>
      </c>
      <c r="G1014" t="s">
        <v>22446</v>
      </c>
      <c r="H1014" t="s">
        <v>22452</v>
      </c>
      <c r="I1014" t="s">
        <v>22460</v>
      </c>
      <c r="J1014" t="s">
        <v>23374</v>
      </c>
      <c r="K1014" t="s">
        <v>29331</v>
      </c>
      <c r="M1014" t="s">
        <v>30027</v>
      </c>
      <c r="N1014" t="s">
        <v>32524</v>
      </c>
      <c r="O1014" t="s">
        <v>32525</v>
      </c>
      <c r="P1014">
        <v>0</v>
      </c>
      <c r="Q1014">
        <v>0</v>
      </c>
      <c r="R1014" t="s">
        <v>32526</v>
      </c>
      <c r="S1014" t="s">
        <v>32547</v>
      </c>
      <c r="T1014" t="s">
        <v>33154</v>
      </c>
      <c r="U1014" t="s">
        <v>34516</v>
      </c>
      <c r="W1014" t="s">
        <v>30027</v>
      </c>
      <c r="X1014" t="s">
        <v>32527</v>
      </c>
    </row>
    <row r="1015" spans="1:24">
      <c r="A1015">
        <f>HYPERLINK("https://www.philgeps.gov.ph/GEPSNONPILOT/Tender/SplashBidNoticeAbstractUI.aspx?menuIndex=3&amp;refID=7045315&amp;Result=3","7045315")</f>
        <v>0</v>
      </c>
      <c r="B1015" t="s">
        <v>440</v>
      </c>
      <c r="C1015" t="s">
        <v>3647</v>
      </c>
      <c r="D1015" t="s">
        <v>13000</v>
      </c>
      <c r="E1015" t="s">
        <v>14021</v>
      </c>
      <c r="F1015" t="s">
        <v>22436</v>
      </c>
      <c r="G1015" t="s">
        <v>22443</v>
      </c>
      <c r="H1015" t="s">
        <v>22452</v>
      </c>
      <c r="I1015" t="s">
        <v>3840</v>
      </c>
      <c r="J1015" t="s">
        <v>23098</v>
      </c>
      <c r="K1015" t="s">
        <v>29357</v>
      </c>
      <c r="M1015" t="s">
        <v>30021</v>
      </c>
      <c r="N1015" t="s">
        <v>32524</v>
      </c>
      <c r="O1015" t="s">
        <v>32525</v>
      </c>
      <c r="P1015">
        <v>0</v>
      </c>
      <c r="Q1015">
        <v>1</v>
      </c>
      <c r="R1015" t="s">
        <v>32526</v>
      </c>
      <c r="S1015" t="s">
        <v>32547</v>
      </c>
      <c r="T1015" t="s">
        <v>33167</v>
      </c>
      <c r="U1015" t="s">
        <v>34503</v>
      </c>
      <c r="W1015" t="s">
        <v>30021</v>
      </c>
      <c r="X1015" t="s">
        <v>32527</v>
      </c>
    </row>
    <row r="1016" spans="1:24">
      <c r="A1016">
        <f>HYPERLINK("https://www.philgeps.gov.ph/GEPSNONPILOT/Tender/SplashBidNoticeAbstractUI.aspx?menuIndex=3&amp;refID=7045308&amp;Result=3","7045308")</f>
        <v>0</v>
      </c>
      <c r="B1016" t="s">
        <v>50</v>
      </c>
      <c r="C1016" t="s">
        <v>3648</v>
      </c>
      <c r="D1016" t="s">
        <v>13008</v>
      </c>
      <c r="E1016" t="s">
        <v>14019</v>
      </c>
      <c r="F1016" t="s">
        <v>22436</v>
      </c>
      <c r="G1016" t="s">
        <v>22443</v>
      </c>
      <c r="H1016" t="s">
        <v>22452</v>
      </c>
      <c r="I1016" t="s">
        <v>22461</v>
      </c>
      <c r="J1016" t="s">
        <v>23375</v>
      </c>
      <c r="K1016" t="s">
        <v>29337</v>
      </c>
      <c r="M1016" t="s">
        <v>29622</v>
      </c>
      <c r="N1016" t="s">
        <v>32524</v>
      </c>
      <c r="O1016" t="s">
        <v>32525</v>
      </c>
      <c r="P1016">
        <v>0</v>
      </c>
      <c r="Q1016">
        <v>0</v>
      </c>
      <c r="R1016" t="s">
        <v>32526</v>
      </c>
      <c r="S1016" t="s">
        <v>32547</v>
      </c>
      <c r="T1016" t="s">
        <v>33167</v>
      </c>
      <c r="U1016" t="s">
        <v>34515</v>
      </c>
      <c r="W1016" t="s">
        <v>29622</v>
      </c>
      <c r="X1016" t="s">
        <v>32527</v>
      </c>
    </row>
    <row r="1017" spans="1:24">
      <c r="A1017">
        <f>HYPERLINK("https://www.philgeps.gov.ph/GEPSNONPILOT/Tender/SplashBidNoticeAbstractUI.aspx?menuIndex=3&amp;refID=7045309&amp;Result=3","7045309")</f>
        <v>0</v>
      </c>
      <c r="B1017" t="s">
        <v>446</v>
      </c>
      <c r="C1017" t="s">
        <v>3649</v>
      </c>
      <c r="D1017" t="s">
        <v>13041</v>
      </c>
      <c r="E1017" t="s">
        <v>14022</v>
      </c>
      <c r="F1017" t="s">
        <v>22436</v>
      </c>
      <c r="G1017" t="s">
        <v>22443</v>
      </c>
      <c r="H1017" t="s">
        <v>22452</v>
      </c>
      <c r="I1017" t="s">
        <v>22475</v>
      </c>
      <c r="J1017" t="s">
        <v>23376</v>
      </c>
      <c r="K1017" t="s">
        <v>29333</v>
      </c>
      <c r="M1017" t="s">
        <v>30028</v>
      </c>
      <c r="N1017" t="s">
        <v>32524</v>
      </c>
      <c r="O1017" t="s">
        <v>32525</v>
      </c>
      <c r="P1017">
        <v>0</v>
      </c>
      <c r="Q1017">
        <v>0</v>
      </c>
      <c r="R1017" t="s">
        <v>32526</v>
      </c>
      <c r="S1017" t="s">
        <v>32547</v>
      </c>
      <c r="T1017" t="s">
        <v>33196</v>
      </c>
      <c r="U1017" t="s">
        <v>34517</v>
      </c>
      <c r="W1017" t="s">
        <v>30028</v>
      </c>
      <c r="X1017" t="s">
        <v>32527</v>
      </c>
    </row>
    <row r="1018" spans="1:24">
      <c r="A1018">
        <f>HYPERLINK("https://www.philgeps.gov.ph/GEPSNONPILOT/Tender/SplashBidNoticeAbstractUI.aspx?menuIndex=3&amp;refID=7045301&amp;Result=3","7045301")</f>
        <v>0</v>
      </c>
      <c r="B1018" t="s">
        <v>426</v>
      </c>
      <c r="C1018" t="s">
        <v>3650</v>
      </c>
      <c r="D1018" t="s">
        <v>12990</v>
      </c>
      <c r="E1018" t="s">
        <v>14023</v>
      </c>
      <c r="F1018" t="s">
        <v>22436</v>
      </c>
      <c r="G1018" t="s">
        <v>22446</v>
      </c>
      <c r="H1018" t="s">
        <v>22452</v>
      </c>
      <c r="I1018" t="s">
        <v>22460</v>
      </c>
      <c r="J1018" t="s">
        <v>23377</v>
      </c>
      <c r="K1018" t="s">
        <v>29338</v>
      </c>
      <c r="M1018" t="s">
        <v>30007</v>
      </c>
      <c r="N1018" t="s">
        <v>32524</v>
      </c>
      <c r="O1018" t="s">
        <v>32525</v>
      </c>
      <c r="P1018">
        <v>0</v>
      </c>
      <c r="Q1018">
        <v>1</v>
      </c>
      <c r="R1018" t="s">
        <v>32526</v>
      </c>
      <c r="S1018" t="s">
        <v>32547</v>
      </c>
      <c r="T1018" t="s">
        <v>33154</v>
      </c>
      <c r="U1018" t="s">
        <v>34518</v>
      </c>
      <c r="W1018" t="s">
        <v>30007</v>
      </c>
      <c r="X1018" t="s">
        <v>32527</v>
      </c>
    </row>
    <row r="1019" spans="1:24">
      <c r="A1019">
        <f>HYPERLINK("https://www.philgeps.gov.ph/GEPSNONPILOT/Tender/SplashBidNoticeAbstractUI.aspx?menuIndex=3&amp;refID=7045317&amp;Result=3","7045317")</f>
        <v>0</v>
      </c>
      <c r="B1019" t="s">
        <v>331</v>
      </c>
      <c r="C1019" t="s">
        <v>3651</v>
      </c>
      <c r="D1019" t="s">
        <v>13058</v>
      </c>
      <c r="E1019" t="s">
        <v>14024</v>
      </c>
      <c r="F1019" t="s">
        <v>22436</v>
      </c>
      <c r="G1019" t="s">
        <v>22445</v>
      </c>
      <c r="H1019" t="s">
        <v>22452</v>
      </c>
      <c r="I1019" t="s">
        <v>12358</v>
      </c>
      <c r="J1019" t="s">
        <v>23012</v>
      </c>
      <c r="K1019" t="s">
        <v>29335</v>
      </c>
      <c r="M1019" t="s">
        <v>29907</v>
      </c>
      <c r="N1019" t="s">
        <v>32524</v>
      </c>
      <c r="O1019" t="s">
        <v>32525</v>
      </c>
      <c r="P1019">
        <v>0</v>
      </c>
      <c r="Q1019">
        <v>1</v>
      </c>
      <c r="R1019" t="s">
        <v>32526</v>
      </c>
      <c r="S1019" t="s">
        <v>32547</v>
      </c>
      <c r="T1019" t="s">
        <v>33169</v>
      </c>
      <c r="U1019" t="s">
        <v>34519</v>
      </c>
      <c r="W1019" t="s">
        <v>29907</v>
      </c>
      <c r="X1019" t="s">
        <v>32527</v>
      </c>
    </row>
    <row r="1020" spans="1:24">
      <c r="A1020">
        <f>HYPERLINK("https://www.philgeps.gov.ph/GEPSNONPILOT/Tender/SplashBidNoticeAbstractUI.aspx?menuIndex=3&amp;refID=7045318&amp;Result=3","7045318")</f>
        <v>0</v>
      </c>
      <c r="B1020" t="s">
        <v>431</v>
      </c>
      <c r="C1020" t="s">
        <v>3652</v>
      </c>
      <c r="D1020" t="s">
        <v>12988</v>
      </c>
      <c r="E1020" t="s">
        <v>14025</v>
      </c>
      <c r="F1020" t="s">
        <v>22436</v>
      </c>
      <c r="G1020" t="s">
        <v>22446</v>
      </c>
      <c r="H1020" t="s">
        <v>22452</v>
      </c>
      <c r="I1020" t="s">
        <v>2981</v>
      </c>
      <c r="J1020" t="s">
        <v>22775</v>
      </c>
      <c r="K1020" t="s">
        <v>29356</v>
      </c>
      <c r="M1020" t="s">
        <v>30012</v>
      </c>
      <c r="N1020" t="s">
        <v>32524</v>
      </c>
      <c r="O1020" t="s">
        <v>32525</v>
      </c>
      <c r="P1020">
        <v>0</v>
      </c>
      <c r="Q1020">
        <v>0</v>
      </c>
      <c r="R1020" t="s">
        <v>32526</v>
      </c>
      <c r="S1020" t="s">
        <v>32547</v>
      </c>
      <c r="T1020" t="s">
        <v>33155</v>
      </c>
      <c r="U1020" t="s">
        <v>34520</v>
      </c>
      <c r="W1020" t="s">
        <v>30012</v>
      </c>
      <c r="X1020" t="s">
        <v>32527</v>
      </c>
    </row>
    <row r="1021" spans="1:24">
      <c r="A1021">
        <f>HYPERLINK("https://www.philgeps.gov.ph/GEPSNONPILOT/Tender/SplashBidNoticeAbstractUI.aspx?menuIndex=3&amp;refID=7045322&amp;Result=3","7045322")</f>
        <v>0</v>
      </c>
      <c r="B1021" t="s">
        <v>447</v>
      </c>
      <c r="C1021" t="s">
        <v>3653</v>
      </c>
      <c r="D1021" t="s">
        <v>12991</v>
      </c>
      <c r="E1021" t="s">
        <v>14026</v>
      </c>
      <c r="F1021" t="s">
        <v>22436</v>
      </c>
      <c r="G1021" t="s">
        <v>22443</v>
      </c>
      <c r="H1021" t="s">
        <v>22452</v>
      </c>
      <c r="I1021" t="s">
        <v>22465</v>
      </c>
      <c r="J1021" t="s">
        <v>23378</v>
      </c>
      <c r="K1021" t="s">
        <v>29335</v>
      </c>
      <c r="M1021" t="s">
        <v>30029</v>
      </c>
      <c r="N1021" t="s">
        <v>32524</v>
      </c>
      <c r="O1021" t="s">
        <v>32525</v>
      </c>
      <c r="P1021">
        <v>0</v>
      </c>
      <c r="Q1021">
        <v>1</v>
      </c>
      <c r="R1021" t="s">
        <v>32526</v>
      </c>
      <c r="S1021" t="s">
        <v>32547</v>
      </c>
      <c r="T1021" t="s">
        <v>33210</v>
      </c>
      <c r="U1021" t="s">
        <v>34521</v>
      </c>
      <c r="W1021" t="s">
        <v>30029</v>
      </c>
      <c r="X1021" t="s">
        <v>32527</v>
      </c>
    </row>
    <row r="1022" spans="1:24">
      <c r="A1022">
        <f>HYPERLINK("https://www.philgeps.gov.ph/GEPSNONPILOT/Tender/SplashBidNoticeAbstractUI.aspx?menuIndex=3&amp;refID=7045306&amp;Result=3","7045306")</f>
        <v>0</v>
      </c>
      <c r="B1022" t="s">
        <v>448</v>
      </c>
      <c r="C1022" t="s">
        <v>3654</v>
      </c>
      <c r="D1022" t="s">
        <v>13011</v>
      </c>
      <c r="E1022" t="s">
        <v>14027</v>
      </c>
      <c r="F1022" t="s">
        <v>22436</v>
      </c>
      <c r="G1022" t="s">
        <v>22444</v>
      </c>
      <c r="H1022" t="s">
        <v>22454</v>
      </c>
      <c r="I1022" t="s">
        <v>7738</v>
      </c>
      <c r="J1022" t="s">
        <v>22640</v>
      </c>
      <c r="K1022" t="s">
        <v>29335</v>
      </c>
      <c r="M1022" t="s">
        <v>30030</v>
      </c>
      <c r="N1022" t="s">
        <v>32524</v>
      </c>
      <c r="O1022" t="s">
        <v>32525</v>
      </c>
      <c r="P1022">
        <v>0</v>
      </c>
      <c r="Q1022">
        <v>1</v>
      </c>
      <c r="R1022" t="s">
        <v>32526</v>
      </c>
      <c r="S1022" t="s">
        <v>32547</v>
      </c>
      <c r="T1022" t="s">
        <v>33253</v>
      </c>
      <c r="U1022" t="s">
        <v>34522</v>
      </c>
      <c r="W1022" t="s">
        <v>30030</v>
      </c>
      <c r="X1022" t="s">
        <v>32527</v>
      </c>
    </row>
    <row r="1023" spans="1:24">
      <c r="A1023">
        <f>HYPERLINK("https://www.philgeps.gov.ph/GEPSNONPILOT/Tender/SplashBidNoticeAbstractUI.aspx?menuIndex=3&amp;refID=7045323&amp;Result=3","7045323")</f>
        <v>0</v>
      </c>
      <c r="B1023" t="s">
        <v>323</v>
      </c>
      <c r="C1023" t="s">
        <v>3655</v>
      </c>
      <c r="D1023" t="s">
        <v>13013</v>
      </c>
      <c r="E1023" t="s">
        <v>14028</v>
      </c>
      <c r="F1023" t="s">
        <v>22436</v>
      </c>
      <c r="G1023" t="s">
        <v>22444</v>
      </c>
      <c r="H1023" t="s">
        <v>22452</v>
      </c>
      <c r="I1023" t="s">
        <v>22494</v>
      </c>
      <c r="J1023" t="s">
        <v>23379</v>
      </c>
      <c r="K1023" t="s">
        <v>29341</v>
      </c>
      <c r="M1023" t="s">
        <v>29899</v>
      </c>
      <c r="N1023" t="s">
        <v>32524</v>
      </c>
      <c r="O1023" t="s">
        <v>32525</v>
      </c>
      <c r="P1023">
        <v>0</v>
      </c>
      <c r="Q1023">
        <v>0</v>
      </c>
      <c r="R1023" t="s">
        <v>32526</v>
      </c>
      <c r="S1023" t="s">
        <v>32547</v>
      </c>
      <c r="T1023" t="s">
        <v>33187</v>
      </c>
      <c r="U1023" t="s">
        <v>34523</v>
      </c>
      <c r="W1023" t="s">
        <v>29899</v>
      </c>
      <c r="X1023" t="s">
        <v>32527</v>
      </c>
    </row>
    <row r="1024" spans="1:24">
      <c r="A1024">
        <f>HYPERLINK("https://www.philgeps.gov.ph/GEPSNONPILOT/Tender/SplashBidNoticeAbstractUI.aspx?menuIndex=3&amp;refID=7045305&amp;Result=3","7045305")</f>
        <v>0</v>
      </c>
      <c r="B1024" t="s">
        <v>319</v>
      </c>
      <c r="C1024" t="s">
        <v>3656</v>
      </c>
      <c r="D1024" t="s">
        <v>13037</v>
      </c>
      <c r="E1024" t="s">
        <v>14029</v>
      </c>
      <c r="F1024" t="s">
        <v>22436</v>
      </c>
      <c r="G1024" t="s">
        <v>22444</v>
      </c>
      <c r="H1024" t="s">
        <v>22454</v>
      </c>
      <c r="I1024" t="s">
        <v>7738</v>
      </c>
      <c r="J1024" t="s">
        <v>23380</v>
      </c>
      <c r="K1024" t="s">
        <v>29392</v>
      </c>
      <c r="M1024" t="s">
        <v>29895</v>
      </c>
      <c r="N1024" t="s">
        <v>32524</v>
      </c>
      <c r="O1024" t="s">
        <v>32525</v>
      </c>
      <c r="P1024">
        <v>0</v>
      </c>
      <c r="Q1024">
        <v>0</v>
      </c>
      <c r="R1024" t="s">
        <v>32526</v>
      </c>
      <c r="S1024" t="s">
        <v>32547</v>
      </c>
      <c r="T1024" t="s">
        <v>33157</v>
      </c>
      <c r="U1024" t="s">
        <v>34481</v>
      </c>
      <c r="W1024" t="s">
        <v>29895</v>
      </c>
      <c r="X1024" t="s">
        <v>32527</v>
      </c>
    </row>
    <row r="1025" spans="1:24">
      <c r="A1025">
        <f>HYPERLINK("https://www.philgeps.gov.ph/GEPSNONPILOT/Tender/SplashBidNoticeAbstractUI.aspx?menuIndex=3&amp;refID=7045319&amp;Result=3","7045319")</f>
        <v>0</v>
      </c>
      <c r="B1025" t="s">
        <v>449</v>
      </c>
      <c r="C1025" t="s">
        <v>3657</v>
      </c>
      <c r="D1025" t="s">
        <v>12999</v>
      </c>
      <c r="E1025" t="s">
        <v>14030</v>
      </c>
      <c r="F1025" t="s">
        <v>22436</v>
      </c>
      <c r="G1025" t="s">
        <v>22444</v>
      </c>
      <c r="H1025" t="s">
        <v>22454</v>
      </c>
      <c r="I1025" t="s">
        <v>7738</v>
      </c>
      <c r="J1025" t="s">
        <v>23347</v>
      </c>
      <c r="K1025" t="s">
        <v>29374</v>
      </c>
      <c r="M1025" t="s">
        <v>30031</v>
      </c>
      <c r="N1025" t="s">
        <v>32524</v>
      </c>
      <c r="O1025" t="s">
        <v>32525</v>
      </c>
      <c r="P1025">
        <v>0</v>
      </c>
      <c r="Q1025">
        <v>0</v>
      </c>
      <c r="R1025" t="s">
        <v>32526</v>
      </c>
      <c r="S1025" t="s">
        <v>32547</v>
      </c>
      <c r="T1025" t="s">
        <v>33165</v>
      </c>
      <c r="U1025" t="s">
        <v>34524</v>
      </c>
      <c r="W1025" t="s">
        <v>30031</v>
      </c>
      <c r="X1025" t="s">
        <v>32527</v>
      </c>
    </row>
    <row r="1026" spans="1:24">
      <c r="A1026">
        <f>HYPERLINK("https://www.philgeps.gov.ph/GEPSNONPILOT/Tender/SplashBidNoticeAbstractUI.aspx?menuIndex=3&amp;refID=7045337&amp;Result=3","7045337")</f>
        <v>0</v>
      </c>
      <c r="B1026" t="s">
        <v>450</v>
      </c>
      <c r="C1026" t="s">
        <v>3658</v>
      </c>
      <c r="D1026" t="s">
        <v>13009</v>
      </c>
      <c r="E1026" t="s">
        <v>13915</v>
      </c>
      <c r="F1026" t="s">
        <v>22436</v>
      </c>
      <c r="G1026" t="s">
        <v>22446</v>
      </c>
      <c r="H1026" t="s">
        <v>22452</v>
      </c>
      <c r="I1026" t="s">
        <v>3529</v>
      </c>
      <c r="J1026" t="s">
        <v>23381</v>
      </c>
      <c r="K1026" t="s">
        <v>29340</v>
      </c>
      <c r="M1026" t="s">
        <v>30032</v>
      </c>
      <c r="N1026" t="s">
        <v>32524</v>
      </c>
      <c r="O1026" t="s">
        <v>32525</v>
      </c>
      <c r="P1026">
        <v>0</v>
      </c>
      <c r="Q1026">
        <v>0</v>
      </c>
      <c r="R1026" t="s">
        <v>32526</v>
      </c>
      <c r="S1026" t="s">
        <v>32547</v>
      </c>
      <c r="T1026" t="s">
        <v>33185</v>
      </c>
      <c r="U1026" t="s">
        <v>34525</v>
      </c>
      <c r="W1026" t="s">
        <v>30032</v>
      </c>
      <c r="X1026" t="s">
        <v>32527</v>
      </c>
    </row>
    <row r="1027" spans="1:24">
      <c r="A1027">
        <f>HYPERLINK("https://www.philgeps.gov.ph/GEPSNONPILOT/Tender/SplashBidNoticeAbstractUI.aspx?menuIndex=3&amp;refID=7045338&amp;Result=3","7045338")</f>
        <v>0</v>
      </c>
      <c r="B1027" t="s">
        <v>449</v>
      </c>
      <c r="C1027" t="s">
        <v>3659</v>
      </c>
      <c r="D1027" t="s">
        <v>12999</v>
      </c>
      <c r="E1027" t="s">
        <v>14031</v>
      </c>
      <c r="F1027" t="s">
        <v>22436</v>
      </c>
      <c r="G1027" t="s">
        <v>22444</v>
      </c>
      <c r="H1027" t="s">
        <v>22454</v>
      </c>
      <c r="I1027" t="s">
        <v>7738</v>
      </c>
      <c r="J1027" t="s">
        <v>22963</v>
      </c>
      <c r="K1027" t="s">
        <v>29393</v>
      </c>
      <c r="M1027" t="s">
        <v>30031</v>
      </c>
      <c r="N1027" t="s">
        <v>32524</v>
      </c>
      <c r="O1027" t="s">
        <v>32525</v>
      </c>
      <c r="P1027">
        <v>0</v>
      </c>
      <c r="Q1027">
        <v>0</v>
      </c>
      <c r="R1027" t="s">
        <v>32526</v>
      </c>
      <c r="S1027" t="s">
        <v>32547</v>
      </c>
      <c r="T1027" t="s">
        <v>33165</v>
      </c>
      <c r="U1027" t="s">
        <v>34524</v>
      </c>
      <c r="W1027" t="s">
        <v>30031</v>
      </c>
      <c r="X1027" t="s">
        <v>32527</v>
      </c>
    </row>
    <row r="1028" spans="1:24">
      <c r="A1028">
        <f>HYPERLINK("https://www.philgeps.gov.ph/GEPSNONPILOT/Tender/SplashBidNoticeAbstractUI.aspx?menuIndex=3&amp;refID=7045295&amp;Result=3","7045295")</f>
        <v>0</v>
      </c>
      <c r="B1028" t="s">
        <v>50</v>
      </c>
      <c r="C1028" t="s">
        <v>3660</v>
      </c>
      <c r="D1028" t="s">
        <v>13008</v>
      </c>
      <c r="E1028" t="s">
        <v>14032</v>
      </c>
      <c r="F1028" t="s">
        <v>22436</v>
      </c>
      <c r="G1028" t="s">
        <v>22443</v>
      </c>
      <c r="H1028" t="s">
        <v>22452</v>
      </c>
      <c r="I1028" t="s">
        <v>22511</v>
      </c>
      <c r="J1028" t="s">
        <v>23382</v>
      </c>
      <c r="K1028" t="s">
        <v>29337</v>
      </c>
      <c r="M1028" t="s">
        <v>29622</v>
      </c>
      <c r="N1028" t="s">
        <v>32524</v>
      </c>
      <c r="O1028" t="s">
        <v>32525</v>
      </c>
      <c r="P1028">
        <v>0</v>
      </c>
      <c r="Q1028">
        <v>0</v>
      </c>
      <c r="R1028" t="s">
        <v>32526</v>
      </c>
      <c r="S1028" t="s">
        <v>32547</v>
      </c>
      <c r="T1028" t="s">
        <v>33167</v>
      </c>
      <c r="U1028" t="s">
        <v>34526</v>
      </c>
      <c r="W1028" t="s">
        <v>29622</v>
      </c>
      <c r="X1028" t="s">
        <v>32527</v>
      </c>
    </row>
    <row r="1029" spans="1:24">
      <c r="A1029">
        <f>HYPERLINK("https://www.philgeps.gov.ph/GEPSNONPILOT/Tender/SplashBidNoticeAbstractUI.aspx?menuIndex=3&amp;refID=7045320&amp;Result=3","7045320")</f>
        <v>0</v>
      </c>
      <c r="B1029" t="s">
        <v>437</v>
      </c>
      <c r="C1029" t="s">
        <v>3661</v>
      </c>
      <c r="D1029" t="s">
        <v>13023</v>
      </c>
      <c r="E1029" t="s">
        <v>14033</v>
      </c>
      <c r="F1029" t="s">
        <v>22437</v>
      </c>
      <c r="G1029" t="s">
        <v>22446</v>
      </c>
      <c r="H1029" t="s">
        <v>22452</v>
      </c>
      <c r="I1029" t="s">
        <v>3840</v>
      </c>
      <c r="J1029" t="s">
        <v>23383</v>
      </c>
      <c r="K1029" t="s">
        <v>29336</v>
      </c>
      <c r="M1029" t="s">
        <v>30018</v>
      </c>
      <c r="N1029" t="s">
        <v>32524</v>
      </c>
      <c r="O1029" t="s">
        <v>32525</v>
      </c>
      <c r="P1029">
        <v>0</v>
      </c>
      <c r="Q1029">
        <v>3</v>
      </c>
      <c r="R1029" t="s">
        <v>32526</v>
      </c>
      <c r="S1029" t="s">
        <v>32547</v>
      </c>
      <c r="T1029" t="s">
        <v>33285</v>
      </c>
      <c r="U1029" t="s">
        <v>34527</v>
      </c>
      <c r="W1029" t="s">
        <v>30018</v>
      </c>
      <c r="X1029" t="s">
        <v>32527</v>
      </c>
    </row>
    <row r="1030" spans="1:24">
      <c r="A1030">
        <f>HYPERLINK("https://www.philgeps.gov.ph/GEPSNONPILOT/Tender/SplashBidNoticeAbstractUI.aspx?menuIndex=3&amp;refID=7045336&amp;Result=3","7045336")</f>
        <v>0</v>
      </c>
      <c r="B1030" t="s">
        <v>432</v>
      </c>
      <c r="C1030" t="s">
        <v>3662</v>
      </c>
      <c r="D1030" t="s">
        <v>13028</v>
      </c>
      <c r="E1030" t="s">
        <v>14034</v>
      </c>
      <c r="F1030" t="s">
        <v>22436</v>
      </c>
      <c r="G1030" t="s">
        <v>22444</v>
      </c>
      <c r="H1030" t="s">
        <v>22454</v>
      </c>
      <c r="I1030" t="s">
        <v>7738</v>
      </c>
      <c r="J1030" t="s">
        <v>23384</v>
      </c>
      <c r="K1030" t="s">
        <v>29373</v>
      </c>
      <c r="M1030" t="s">
        <v>30013</v>
      </c>
      <c r="N1030" t="s">
        <v>32524</v>
      </c>
      <c r="O1030" t="s">
        <v>32525</v>
      </c>
      <c r="P1030">
        <v>0</v>
      </c>
      <c r="Q1030">
        <v>0</v>
      </c>
      <c r="R1030" t="s">
        <v>32526</v>
      </c>
      <c r="S1030" t="s">
        <v>32547</v>
      </c>
      <c r="T1030" t="s">
        <v>33165</v>
      </c>
      <c r="U1030" t="s">
        <v>34486</v>
      </c>
      <c r="V1030" t="s">
        <v>42515</v>
      </c>
      <c r="W1030" t="s">
        <v>30013</v>
      </c>
      <c r="X1030" t="s">
        <v>32527</v>
      </c>
    </row>
    <row r="1031" spans="1:24">
      <c r="A1031">
        <f>HYPERLINK("https://www.philgeps.gov.ph/GEPSNONPILOT/Tender/SplashBidNoticeAbstractUI.aspx?menuIndex=3&amp;refID=7045335&amp;Result=3","7045335")</f>
        <v>0</v>
      </c>
      <c r="B1031" t="s">
        <v>451</v>
      </c>
      <c r="C1031" t="s">
        <v>3663</v>
      </c>
      <c r="D1031" t="s">
        <v>12988</v>
      </c>
      <c r="E1031" t="s">
        <v>14035</v>
      </c>
      <c r="F1031" t="s">
        <v>22436</v>
      </c>
      <c r="G1031" t="s">
        <v>22444</v>
      </c>
      <c r="H1031" t="s">
        <v>22452</v>
      </c>
      <c r="I1031" t="s">
        <v>3529</v>
      </c>
      <c r="J1031" t="s">
        <v>22853</v>
      </c>
      <c r="K1031" t="s">
        <v>29338</v>
      </c>
      <c r="M1031" t="s">
        <v>30033</v>
      </c>
      <c r="N1031" t="s">
        <v>32524</v>
      </c>
      <c r="O1031" t="s">
        <v>32525</v>
      </c>
      <c r="P1031">
        <v>0</v>
      </c>
      <c r="Q1031">
        <v>0</v>
      </c>
      <c r="R1031" t="s">
        <v>32526</v>
      </c>
      <c r="S1031" t="s">
        <v>32547</v>
      </c>
      <c r="T1031" t="s">
        <v>33182</v>
      </c>
      <c r="U1031" t="s">
        <v>34528</v>
      </c>
      <c r="W1031" t="s">
        <v>30033</v>
      </c>
      <c r="X1031" t="s">
        <v>32527</v>
      </c>
    </row>
    <row r="1032" spans="1:24">
      <c r="A1032">
        <f>HYPERLINK("https://www.philgeps.gov.ph/GEPSNONPILOT/Tender/SplashBidNoticeAbstractUI.aspx?menuIndex=3&amp;refID=7045332&amp;Result=3","7045332")</f>
        <v>0</v>
      </c>
      <c r="B1032" t="s">
        <v>323</v>
      </c>
      <c r="C1032" t="s">
        <v>3664</v>
      </c>
      <c r="D1032" t="s">
        <v>13013</v>
      </c>
      <c r="E1032" t="s">
        <v>14036</v>
      </c>
      <c r="F1032" t="s">
        <v>22436</v>
      </c>
      <c r="G1032" t="s">
        <v>22444</v>
      </c>
      <c r="H1032" t="s">
        <v>22452</v>
      </c>
      <c r="I1032" t="s">
        <v>22467</v>
      </c>
      <c r="J1032" t="s">
        <v>23385</v>
      </c>
      <c r="K1032" t="s">
        <v>29341</v>
      </c>
      <c r="M1032" t="s">
        <v>29899</v>
      </c>
      <c r="N1032" t="s">
        <v>32524</v>
      </c>
      <c r="O1032" t="s">
        <v>32525</v>
      </c>
      <c r="P1032">
        <v>0</v>
      </c>
      <c r="Q1032">
        <v>0</v>
      </c>
      <c r="R1032" t="s">
        <v>32526</v>
      </c>
      <c r="S1032" t="s">
        <v>32547</v>
      </c>
      <c r="T1032" t="s">
        <v>33187</v>
      </c>
      <c r="U1032" t="s">
        <v>34529</v>
      </c>
      <c r="W1032" t="s">
        <v>29899</v>
      </c>
      <c r="X1032" t="s">
        <v>32527</v>
      </c>
    </row>
    <row r="1033" spans="1:24">
      <c r="A1033">
        <f>HYPERLINK("https://www.philgeps.gov.ph/GEPSNONPILOT/Tender/SplashBidNoticeAbstractUI.aspx?menuIndex=3&amp;refID=7045339&amp;Result=3","7045339")</f>
        <v>0</v>
      </c>
      <c r="B1033" t="s">
        <v>440</v>
      </c>
      <c r="C1033" t="s">
        <v>3665</v>
      </c>
      <c r="D1033" t="s">
        <v>13000</v>
      </c>
      <c r="E1033" t="s">
        <v>14037</v>
      </c>
      <c r="F1033" t="s">
        <v>22436</v>
      </c>
      <c r="G1033" t="s">
        <v>22445</v>
      </c>
      <c r="H1033" t="s">
        <v>22452</v>
      </c>
      <c r="I1033" t="s">
        <v>3827</v>
      </c>
      <c r="J1033" t="s">
        <v>23386</v>
      </c>
      <c r="K1033" t="s">
        <v>29357</v>
      </c>
      <c r="M1033" t="s">
        <v>30021</v>
      </c>
      <c r="N1033" t="s">
        <v>32524</v>
      </c>
      <c r="O1033" t="s">
        <v>32525</v>
      </c>
      <c r="P1033">
        <v>0</v>
      </c>
      <c r="Q1033">
        <v>0</v>
      </c>
      <c r="R1033" t="s">
        <v>32526</v>
      </c>
      <c r="S1033" t="s">
        <v>32547</v>
      </c>
      <c r="T1033" t="s">
        <v>33167</v>
      </c>
      <c r="U1033" t="s">
        <v>34503</v>
      </c>
      <c r="W1033" t="s">
        <v>30021</v>
      </c>
      <c r="X1033" t="s">
        <v>32527</v>
      </c>
    </row>
    <row r="1034" spans="1:24">
      <c r="A1034">
        <f>HYPERLINK("https://www.philgeps.gov.ph/GEPSNONPILOT/Tender/SplashBidNoticeAbstractUI.aspx?menuIndex=3&amp;refID=7045327&amp;Result=3","7045327")</f>
        <v>0</v>
      </c>
      <c r="B1034" t="s">
        <v>452</v>
      </c>
      <c r="C1034" t="s">
        <v>3666</v>
      </c>
      <c r="D1034" t="s">
        <v>12988</v>
      </c>
      <c r="E1034" t="s">
        <v>14038</v>
      </c>
      <c r="F1034" t="s">
        <v>22436</v>
      </c>
      <c r="G1034" t="s">
        <v>22443</v>
      </c>
      <c r="H1034" t="s">
        <v>22452</v>
      </c>
      <c r="I1034" t="s">
        <v>22469</v>
      </c>
      <c r="J1034" t="s">
        <v>22607</v>
      </c>
      <c r="K1034" t="s">
        <v>29341</v>
      </c>
      <c r="M1034" t="s">
        <v>30034</v>
      </c>
      <c r="N1034" t="s">
        <v>32524</v>
      </c>
      <c r="O1034" t="s">
        <v>32525</v>
      </c>
      <c r="P1034">
        <v>0</v>
      </c>
      <c r="Q1034">
        <v>4</v>
      </c>
      <c r="R1034" t="s">
        <v>32526</v>
      </c>
      <c r="S1034" t="s">
        <v>32547</v>
      </c>
      <c r="T1034" t="s">
        <v>33288</v>
      </c>
      <c r="U1034" t="s">
        <v>34530</v>
      </c>
      <c r="V1034" t="s">
        <v>42516</v>
      </c>
      <c r="W1034" t="s">
        <v>30034</v>
      </c>
      <c r="X1034" t="s">
        <v>32527</v>
      </c>
    </row>
    <row r="1035" spans="1:24">
      <c r="A1035">
        <f>HYPERLINK("https://www.philgeps.gov.ph/GEPSNONPILOT/Tender/SplashBidNoticeAbstractUI.aspx?menuIndex=3&amp;refID=7045333&amp;Result=3","7045333")</f>
        <v>0</v>
      </c>
      <c r="B1035" t="s">
        <v>453</v>
      </c>
      <c r="C1035" t="s">
        <v>3667</v>
      </c>
      <c r="D1035" t="s">
        <v>13006</v>
      </c>
      <c r="E1035" t="s">
        <v>14039</v>
      </c>
      <c r="F1035" t="s">
        <v>22436</v>
      </c>
      <c r="G1035" t="s">
        <v>22444</v>
      </c>
      <c r="H1035" t="s">
        <v>22452</v>
      </c>
      <c r="I1035" t="s">
        <v>22474</v>
      </c>
      <c r="J1035" t="s">
        <v>23387</v>
      </c>
      <c r="K1035" t="s">
        <v>29333</v>
      </c>
      <c r="M1035" t="s">
        <v>30035</v>
      </c>
      <c r="N1035" t="s">
        <v>32524</v>
      </c>
      <c r="O1035" t="s">
        <v>32525</v>
      </c>
      <c r="P1035">
        <v>0</v>
      </c>
      <c r="Q1035">
        <v>6</v>
      </c>
      <c r="R1035" t="s">
        <v>32526</v>
      </c>
      <c r="S1035" t="s">
        <v>32547</v>
      </c>
      <c r="T1035" t="s">
        <v>33289</v>
      </c>
      <c r="U1035" t="s">
        <v>34531</v>
      </c>
      <c r="W1035" t="s">
        <v>30035</v>
      </c>
      <c r="X1035" t="s">
        <v>32527</v>
      </c>
    </row>
    <row r="1036" spans="1:24">
      <c r="A1036">
        <f>HYPERLINK("https://www.philgeps.gov.ph/GEPSNONPILOT/Tender/SplashBidNoticeAbstractUI.aspx?menuIndex=3&amp;refID=7045329&amp;Result=3","7045329")</f>
        <v>0</v>
      </c>
      <c r="B1036" t="s">
        <v>331</v>
      </c>
      <c r="C1036" t="s">
        <v>3668</v>
      </c>
      <c r="D1036" t="s">
        <v>13058</v>
      </c>
      <c r="E1036" t="s">
        <v>14040</v>
      </c>
      <c r="F1036" t="s">
        <v>22436</v>
      </c>
      <c r="G1036" t="s">
        <v>22445</v>
      </c>
      <c r="H1036" t="s">
        <v>22452</v>
      </c>
      <c r="I1036" t="s">
        <v>22456</v>
      </c>
      <c r="J1036" t="s">
        <v>23388</v>
      </c>
      <c r="K1036" t="s">
        <v>29335</v>
      </c>
      <c r="M1036" t="s">
        <v>29907</v>
      </c>
      <c r="N1036" t="s">
        <v>32524</v>
      </c>
      <c r="O1036" t="s">
        <v>32525</v>
      </c>
      <c r="P1036">
        <v>0</v>
      </c>
      <c r="Q1036">
        <v>0</v>
      </c>
      <c r="R1036" t="s">
        <v>32526</v>
      </c>
      <c r="S1036" t="s">
        <v>32547</v>
      </c>
      <c r="T1036" t="s">
        <v>33169</v>
      </c>
      <c r="U1036" t="s">
        <v>34532</v>
      </c>
      <c r="W1036" t="s">
        <v>29907</v>
      </c>
      <c r="X1036" t="s">
        <v>32527</v>
      </c>
    </row>
    <row r="1037" spans="1:24">
      <c r="A1037">
        <f>HYPERLINK("https://www.philgeps.gov.ph/GEPSNONPILOT/Tender/SplashBidNoticeAbstractUI.aspx?menuIndex=3&amp;refID=7045325&amp;Result=3","7045325")</f>
        <v>0</v>
      </c>
      <c r="B1037" t="s">
        <v>454</v>
      </c>
      <c r="C1037" t="s">
        <v>3669</v>
      </c>
      <c r="D1037" t="s">
        <v>13000</v>
      </c>
      <c r="E1037" t="s">
        <v>14018</v>
      </c>
      <c r="F1037" t="s">
        <v>22436</v>
      </c>
      <c r="G1037" t="s">
        <v>22444</v>
      </c>
      <c r="H1037" t="s">
        <v>22452</v>
      </c>
      <c r="I1037" t="s">
        <v>22504</v>
      </c>
      <c r="J1037" t="s">
        <v>22704</v>
      </c>
      <c r="K1037" t="s">
        <v>29341</v>
      </c>
      <c r="L1037" t="s">
        <v>454</v>
      </c>
      <c r="M1037" t="s">
        <v>30036</v>
      </c>
      <c r="N1037" t="s">
        <v>32524</v>
      </c>
      <c r="O1037" t="s">
        <v>32525</v>
      </c>
      <c r="P1037">
        <v>0</v>
      </c>
      <c r="Q1037">
        <v>1</v>
      </c>
      <c r="R1037" t="s">
        <v>32526</v>
      </c>
      <c r="S1037" t="s">
        <v>32547</v>
      </c>
      <c r="T1037" t="s">
        <v>33182</v>
      </c>
      <c r="U1037" t="s">
        <v>34533</v>
      </c>
      <c r="V1037" t="s">
        <v>42517</v>
      </c>
      <c r="W1037" t="s">
        <v>30036</v>
      </c>
      <c r="X1037" t="s">
        <v>32527</v>
      </c>
    </row>
    <row r="1038" spans="1:24">
      <c r="A1038">
        <f>HYPERLINK("https://www.philgeps.gov.ph/GEPSNONPILOT/Tender/SplashBidNoticeAbstractUI.aspx?menuIndex=3&amp;refID=7045342&amp;Result=3","7045342")</f>
        <v>0</v>
      </c>
      <c r="B1038" t="s">
        <v>455</v>
      </c>
      <c r="C1038" t="s">
        <v>3670</v>
      </c>
      <c r="D1038" t="s">
        <v>13006</v>
      </c>
      <c r="E1038" t="s">
        <v>14041</v>
      </c>
      <c r="F1038" t="s">
        <v>22436</v>
      </c>
      <c r="G1038" t="s">
        <v>22444</v>
      </c>
      <c r="H1038" t="s">
        <v>22452</v>
      </c>
      <c r="I1038" t="s">
        <v>5194</v>
      </c>
      <c r="J1038" t="s">
        <v>23389</v>
      </c>
      <c r="K1038" t="s">
        <v>29335</v>
      </c>
      <c r="M1038" t="s">
        <v>30037</v>
      </c>
      <c r="N1038" t="s">
        <v>32524</v>
      </c>
      <c r="O1038" t="s">
        <v>32525</v>
      </c>
      <c r="P1038">
        <v>0</v>
      </c>
      <c r="Q1038">
        <v>2</v>
      </c>
      <c r="R1038" t="s">
        <v>32526</v>
      </c>
      <c r="S1038" t="s">
        <v>32547</v>
      </c>
      <c r="T1038" t="s">
        <v>33171</v>
      </c>
      <c r="U1038" t="s">
        <v>34534</v>
      </c>
      <c r="V1038" t="s">
        <v>42518</v>
      </c>
      <c r="W1038" t="s">
        <v>30037</v>
      </c>
      <c r="X1038" t="s">
        <v>32527</v>
      </c>
    </row>
    <row r="1039" spans="1:24">
      <c r="A1039">
        <f>HYPERLINK("https://www.philgeps.gov.ph/GEPSNONPILOT/Tender/SplashBidNoticeAbstractUI.aspx?menuIndex=3&amp;refID=7045328&amp;Result=3","7045328")</f>
        <v>0</v>
      </c>
      <c r="B1039" t="s">
        <v>449</v>
      </c>
      <c r="C1039" t="s">
        <v>3671</v>
      </c>
      <c r="D1039" t="s">
        <v>12999</v>
      </c>
      <c r="E1039" t="s">
        <v>14042</v>
      </c>
      <c r="F1039" t="s">
        <v>22436</v>
      </c>
      <c r="G1039" t="s">
        <v>22444</v>
      </c>
      <c r="H1039" t="s">
        <v>22454</v>
      </c>
      <c r="I1039" t="s">
        <v>7738</v>
      </c>
      <c r="J1039" t="s">
        <v>23093</v>
      </c>
      <c r="K1039" t="s">
        <v>29329</v>
      </c>
      <c r="M1039" t="s">
        <v>30031</v>
      </c>
      <c r="N1039" t="s">
        <v>32524</v>
      </c>
      <c r="O1039" t="s">
        <v>32525</v>
      </c>
      <c r="P1039">
        <v>0</v>
      </c>
      <c r="Q1039">
        <v>0</v>
      </c>
      <c r="R1039" t="s">
        <v>32526</v>
      </c>
      <c r="S1039" t="s">
        <v>32547</v>
      </c>
      <c r="T1039" t="s">
        <v>33165</v>
      </c>
      <c r="U1039" t="s">
        <v>34524</v>
      </c>
      <c r="W1039" t="s">
        <v>30031</v>
      </c>
      <c r="X1039" t="s">
        <v>32527</v>
      </c>
    </row>
    <row r="1040" spans="1:24">
      <c r="A1040">
        <f>HYPERLINK("https://www.philgeps.gov.ph/GEPSNONPILOT/Tender/SplashBidNoticeAbstractUI.aspx?menuIndex=3&amp;refID=7045340&amp;Result=3","7045340")</f>
        <v>0</v>
      </c>
      <c r="B1040" t="s">
        <v>391</v>
      </c>
      <c r="C1040" t="s">
        <v>3672</v>
      </c>
      <c r="D1040" t="s">
        <v>13000</v>
      </c>
      <c r="E1040" t="s">
        <v>14043</v>
      </c>
      <c r="F1040" t="s">
        <v>22436</v>
      </c>
      <c r="G1040" t="s">
        <v>22446</v>
      </c>
      <c r="H1040" t="s">
        <v>22452</v>
      </c>
      <c r="I1040" t="s">
        <v>3827</v>
      </c>
      <c r="J1040" t="s">
        <v>22617</v>
      </c>
      <c r="K1040" t="s">
        <v>29356</v>
      </c>
      <c r="M1040" t="s">
        <v>29970</v>
      </c>
      <c r="N1040" t="s">
        <v>32524</v>
      </c>
      <c r="O1040" t="s">
        <v>32525</v>
      </c>
      <c r="P1040">
        <v>0</v>
      </c>
      <c r="Q1040">
        <v>1</v>
      </c>
      <c r="R1040" t="s">
        <v>32526</v>
      </c>
      <c r="S1040" t="s">
        <v>32547</v>
      </c>
      <c r="T1040" t="s">
        <v>33172</v>
      </c>
      <c r="U1040" t="s">
        <v>34535</v>
      </c>
      <c r="W1040" t="s">
        <v>29970</v>
      </c>
      <c r="X1040" t="s">
        <v>32527</v>
      </c>
    </row>
    <row r="1041" spans="1:24">
      <c r="A1041">
        <f>HYPERLINK("https://www.philgeps.gov.ph/GEPSNONPILOT/Tender/SplashBidNoticeAbstractUI.aspx?menuIndex=3&amp;refID=7045330&amp;Result=3","7045330")</f>
        <v>0</v>
      </c>
      <c r="B1041" t="s">
        <v>451</v>
      </c>
      <c r="C1041" t="s">
        <v>3673</v>
      </c>
      <c r="D1041" t="s">
        <v>12988</v>
      </c>
      <c r="E1041" t="s">
        <v>14044</v>
      </c>
      <c r="F1041" t="s">
        <v>22436</v>
      </c>
      <c r="G1041" t="s">
        <v>22444</v>
      </c>
      <c r="H1041" t="s">
        <v>22452</v>
      </c>
      <c r="I1041" t="s">
        <v>22468</v>
      </c>
      <c r="J1041" t="s">
        <v>23093</v>
      </c>
      <c r="K1041" t="s">
        <v>29338</v>
      </c>
      <c r="M1041" t="s">
        <v>30033</v>
      </c>
      <c r="N1041" t="s">
        <v>32524</v>
      </c>
      <c r="O1041" t="s">
        <v>32525</v>
      </c>
      <c r="P1041">
        <v>0</v>
      </c>
      <c r="Q1041">
        <v>2</v>
      </c>
      <c r="R1041" t="s">
        <v>32526</v>
      </c>
      <c r="S1041" t="s">
        <v>32547</v>
      </c>
      <c r="T1041" t="s">
        <v>33182</v>
      </c>
      <c r="U1041" t="s">
        <v>34536</v>
      </c>
      <c r="W1041" t="s">
        <v>30033</v>
      </c>
      <c r="X1041" t="s">
        <v>32527</v>
      </c>
    </row>
    <row r="1042" spans="1:24">
      <c r="A1042">
        <f>HYPERLINK("https://www.philgeps.gov.ph/GEPSNONPILOT/Tender/SplashBidNoticeAbstractUI.aspx?menuIndex=3&amp;refID=7045343&amp;Result=3","7045343")</f>
        <v>0</v>
      </c>
      <c r="B1042" t="s">
        <v>456</v>
      </c>
      <c r="C1042" t="s">
        <v>3674</v>
      </c>
      <c r="D1042" t="s">
        <v>13045</v>
      </c>
      <c r="E1042" t="s">
        <v>14045</v>
      </c>
      <c r="F1042" t="s">
        <v>22436</v>
      </c>
      <c r="G1042" t="s">
        <v>22444</v>
      </c>
      <c r="H1042" t="s">
        <v>22454</v>
      </c>
      <c r="I1042" t="s">
        <v>7738</v>
      </c>
      <c r="J1042" t="s">
        <v>23390</v>
      </c>
      <c r="K1042" t="s">
        <v>29385</v>
      </c>
      <c r="M1042" t="s">
        <v>30038</v>
      </c>
      <c r="N1042" t="s">
        <v>32524</v>
      </c>
      <c r="O1042" t="s">
        <v>32525</v>
      </c>
      <c r="P1042">
        <v>0</v>
      </c>
      <c r="Q1042">
        <v>1</v>
      </c>
      <c r="R1042" t="s">
        <v>32526</v>
      </c>
      <c r="S1042" t="s">
        <v>32547</v>
      </c>
      <c r="T1042" t="s">
        <v>33290</v>
      </c>
      <c r="U1042" t="s">
        <v>34537</v>
      </c>
      <c r="V1042" t="s">
        <v>42519</v>
      </c>
      <c r="W1042" t="s">
        <v>30038</v>
      </c>
      <c r="X1042" t="s">
        <v>32527</v>
      </c>
    </row>
    <row r="1043" spans="1:24">
      <c r="A1043">
        <f>HYPERLINK("https://www.philgeps.gov.ph/GEPSNONPILOT/Tender/SplashBidNoticeAbstractUI.aspx?menuIndex=3&amp;refID=7045350&amp;Result=3","7045350")</f>
        <v>0</v>
      </c>
      <c r="B1043" t="s">
        <v>457</v>
      </c>
      <c r="C1043" t="s">
        <v>3675</v>
      </c>
      <c r="D1043" t="s">
        <v>13013</v>
      </c>
      <c r="E1043" t="s">
        <v>14046</v>
      </c>
      <c r="F1043" t="s">
        <v>22436</v>
      </c>
      <c r="G1043" t="s">
        <v>22444</v>
      </c>
      <c r="H1043" t="s">
        <v>22452</v>
      </c>
      <c r="I1043" t="s">
        <v>3529</v>
      </c>
      <c r="J1043" t="s">
        <v>23391</v>
      </c>
      <c r="K1043" t="s">
        <v>29331</v>
      </c>
      <c r="M1043" t="s">
        <v>30039</v>
      </c>
      <c r="N1043" t="s">
        <v>32524</v>
      </c>
      <c r="O1043" t="s">
        <v>32525</v>
      </c>
      <c r="P1043">
        <v>0</v>
      </c>
      <c r="Q1043">
        <v>0</v>
      </c>
      <c r="R1043" t="s">
        <v>32526</v>
      </c>
      <c r="S1043" t="s">
        <v>32547</v>
      </c>
      <c r="T1043" t="s">
        <v>33291</v>
      </c>
      <c r="U1043" t="s">
        <v>34538</v>
      </c>
      <c r="W1043" t="s">
        <v>30039</v>
      </c>
      <c r="X1043" t="s">
        <v>32527</v>
      </c>
    </row>
    <row r="1044" spans="1:24">
      <c r="A1044">
        <f>HYPERLINK("https://www.philgeps.gov.ph/GEPSNONPILOT/Tender/SplashBidNoticeAbstractUI.aspx?menuIndex=3&amp;refID=7045348&amp;Result=3","7045348")</f>
        <v>0</v>
      </c>
      <c r="B1044" t="s">
        <v>458</v>
      </c>
      <c r="C1044" t="s">
        <v>3444</v>
      </c>
      <c r="D1044" t="s">
        <v>13013</v>
      </c>
      <c r="E1044" t="s">
        <v>14047</v>
      </c>
      <c r="F1044" t="s">
        <v>22436</v>
      </c>
      <c r="G1044" t="s">
        <v>22443</v>
      </c>
      <c r="H1044" t="s">
        <v>22452</v>
      </c>
      <c r="I1044" t="s">
        <v>22460</v>
      </c>
      <c r="J1044" t="s">
        <v>23392</v>
      </c>
      <c r="K1044" t="s">
        <v>29357</v>
      </c>
      <c r="M1044" t="s">
        <v>30040</v>
      </c>
      <c r="N1044" t="s">
        <v>32524</v>
      </c>
      <c r="O1044" t="s">
        <v>32525</v>
      </c>
      <c r="P1044">
        <v>0</v>
      </c>
      <c r="Q1044">
        <v>0</v>
      </c>
      <c r="R1044" t="s">
        <v>32526</v>
      </c>
      <c r="S1044" t="s">
        <v>32547</v>
      </c>
      <c r="T1044" t="s">
        <v>33183</v>
      </c>
      <c r="U1044" t="s">
        <v>34539</v>
      </c>
      <c r="W1044" t="s">
        <v>30040</v>
      </c>
      <c r="X1044" t="s">
        <v>32527</v>
      </c>
    </row>
    <row r="1045" spans="1:24">
      <c r="A1045">
        <f>HYPERLINK("https://www.philgeps.gov.ph/GEPSNONPILOT/Tender/SplashBidNoticeAbstractUI.aspx?menuIndex=3&amp;refID=7045347&amp;Result=3","7045347")</f>
        <v>0</v>
      </c>
      <c r="B1045" t="s">
        <v>459</v>
      </c>
      <c r="C1045" t="s">
        <v>3676</v>
      </c>
      <c r="D1045" t="s">
        <v>13006</v>
      </c>
      <c r="E1045" t="s">
        <v>14048</v>
      </c>
      <c r="F1045" t="s">
        <v>22436</v>
      </c>
      <c r="G1045" t="s">
        <v>22446</v>
      </c>
      <c r="H1045" t="s">
        <v>22453</v>
      </c>
      <c r="I1045" t="s">
        <v>22456</v>
      </c>
      <c r="J1045" t="s">
        <v>23393</v>
      </c>
      <c r="K1045" t="s">
        <v>29336</v>
      </c>
      <c r="M1045" t="s">
        <v>30041</v>
      </c>
      <c r="N1045" t="s">
        <v>32524</v>
      </c>
      <c r="O1045" t="s">
        <v>32525</v>
      </c>
      <c r="P1045">
        <v>0</v>
      </c>
      <c r="Q1045">
        <v>0</v>
      </c>
      <c r="R1045" t="s">
        <v>32526</v>
      </c>
      <c r="S1045" t="s">
        <v>32547</v>
      </c>
      <c r="T1045" t="s">
        <v>33220</v>
      </c>
      <c r="U1045" t="s">
        <v>34540</v>
      </c>
      <c r="W1045" t="s">
        <v>30041</v>
      </c>
      <c r="X1045" t="s">
        <v>32527</v>
      </c>
    </row>
    <row r="1046" spans="1:24">
      <c r="A1046">
        <f>HYPERLINK("https://www.philgeps.gov.ph/GEPSNONPILOT/Tender/SplashBidNoticeAbstractUI.aspx?menuIndex=3&amp;refID=7045346&amp;Result=3","7045346")</f>
        <v>0</v>
      </c>
      <c r="B1046" t="s">
        <v>460</v>
      </c>
      <c r="C1046" t="s">
        <v>3677</v>
      </c>
      <c r="D1046" t="s">
        <v>13023</v>
      </c>
      <c r="E1046" t="s">
        <v>14049</v>
      </c>
      <c r="F1046" t="s">
        <v>22436</v>
      </c>
      <c r="G1046" t="s">
        <v>22444</v>
      </c>
      <c r="H1046" t="s">
        <v>22454</v>
      </c>
      <c r="I1046" t="s">
        <v>7738</v>
      </c>
      <c r="J1046" t="s">
        <v>23394</v>
      </c>
      <c r="K1046" t="s">
        <v>29329</v>
      </c>
      <c r="M1046" t="s">
        <v>30042</v>
      </c>
      <c r="N1046" t="s">
        <v>32524</v>
      </c>
      <c r="O1046" t="s">
        <v>32525</v>
      </c>
      <c r="P1046">
        <v>0</v>
      </c>
      <c r="Q1046">
        <v>0</v>
      </c>
      <c r="R1046" t="s">
        <v>32526</v>
      </c>
      <c r="S1046" t="s">
        <v>32547</v>
      </c>
      <c r="T1046" t="s">
        <v>33216</v>
      </c>
      <c r="U1046" t="s">
        <v>34541</v>
      </c>
      <c r="W1046" t="s">
        <v>30042</v>
      </c>
      <c r="X1046" t="s">
        <v>32527</v>
      </c>
    </row>
    <row r="1047" spans="1:24">
      <c r="A1047">
        <f>HYPERLINK("https://www.philgeps.gov.ph/GEPSNONPILOT/Tender/SplashBidNoticeAbstractUI.aspx?menuIndex=3&amp;refID=7045354&amp;Result=3","7045354")</f>
        <v>0</v>
      </c>
      <c r="B1047" t="s">
        <v>451</v>
      </c>
      <c r="C1047" t="s">
        <v>3678</v>
      </c>
      <c r="D1047" t="s">
        <v>12988</v>
      </c>
      <c r="E1047" t="s">
        <v>14050</v>
      </c>
      <c r="F1047" t="s">
        <v>22436</v>
      </c>
      <c r="G1047" t="s">
        <v>22444</v>
      </c>
      <c r="H1047" t="s">
        <v>22452</v>
      </c>
      <c r="I1047" t="s">
        <v>2981</v>
      </c>
      <c r="J1047" t="s">
        <v>22788</v>
      </c>
      <c r="K1047" t="s">
        <v>29338</v>
      </c>
      <c r="M1047" t="s">
        <v>30033</v>
      </c>
      <c r="N1047" t="s">
        <v>32524</v>
      </c>
      <c r="O1047" t="s">
        <v>32525</v>
      </c>
      <c r="P1047">
        <v>0</v>
      </c>
      <c r="Q1047">
        <v>0</v>
      </c>
      <c r="R1047" t="s">
        <v>32526</v>
      </c>
      <c r="S1047" t="s">
        <v>32547</v>
      </c>
      <c r="T1047" t="s">
        <v>33182</v>
      </c>
      <c r="U1047" t="s">
        <v>34542</v>
      </c>
      <c r="W1047" t="s">
        <v>30033</v>
      </c>
      <c r="X1047" t="s">
        <v>32527</v>
      </c>
    </row>
    <row r="1048" spans="1:24">
      <c r="A1048">
        <f>HYPERLINK("https://www.philgeps.gov.ph/GEPSNONPILOT/Tender/SplashBidNoticeAbstractUI.aspx?menuIndex=3&amp;refID=7045344&amp;Result=3","7045344")</f>
        <v>0</v>
      </c>
      <c r="B1048" t="s">
        <v>323</v>
      </c>
      <c r="C1048" t="s">
        <v>3679</v>
      </c>
      <c r="D1048" t="s">
        <v>13013</v>
      </c>
      <c r="E1048" t="s">
        <v>14051</v>
      </c>
      <c r="F1048" t="s">
        <v>22436</v>
      </c>
      <c r="G1048" t="s">
        <v>22444</v>
      </c>
      <c r="H1048" t="s">
        <v>22454</v>
      </c>
      <c r="I1048" t="s">
        <v>6387</v>
      </c>
      <c r="J1048" t="s">
        <v>23395</v>
      </c>
      <c r="K1048" t="s">
        <v>29329</v>
      </c>
      <c r="M1048" t="s">
        <v>29899</v>
      </c>
      <c r="N1048" t="s">
        <v>32524</v>
      </c>
      <c r="O1048" t="s">
        <v>32525</v>
      </c>
      <c r="P1048">
        <v>0</v>
      </c>
      <c r="Q1048">
        <v>1</v>
      </c>
      <c r="R1048" t="s">
        <v>32526</v>
      </c>
      <c r="S1048" t="s">
        <v>32547</v>
      </c>
      <c r="T1048" t="s">
        <v>33187</v>
      </c>
      <c r="U1048" t="s">
        <v>34543</v>
      </c>
      <c r="W1048" t="s">
        <v>29899</v>
      </c>
      <c r="X1048" t="s">
        <v>32527</v>
      </c>
    </row>
    <row r="1049" spans="1:24">
      <c r="A1049">
        <f>HYPERLINK("https://www.philgeps.gov.ph/GEPSNONPILOT/Tender/SplashBidNoticeAbstractUI.aspx?menuIndex=3&amp;refID=7045345&amp;Result=3","7045345")</f>
        <v>0</v>
      </c>
      <c r="B1049" t="s">
        <v>461</v>
      </c>
      <c r="C1049" t="s">
        <v>3680</v>
      </c>
      <c r="D1049" t="s">
        <v>12998</v>
      </c>
      <c r="E1049" t="s">
        <v>14052</v>
      </c>
      <c r="F1049" t="s">
        <v>22436</v>
      </c>
      <c r="G1049" t="s">
        <v>22444</v>
      </c>
      <c r="H1049" t="s">
        <v>22454</v>
      </c>
      <c r="I1049" t="s">
        <v>7738</v>
      </c>
      <c r="J1049" t="s">
        <v>22624</v>
      </c>
      <c r="K1049" t="s">
        <v>29338</v>
      </c>
      <c r="M1049" t="s">
        <v>30043</v>
      </c>
      <c r="N1049" t="s">
        <v>32524</v>
      </c>
      <c r="O1049" t="s">
        <v>32525</v>
      </c>
      <c r="P1049">
        <v>0</v>
      </c>
      <c r="Q1049">
        <v>0</v>
      </c>
      <c r="R1049" t="s">
        <v>32526</v>
      </c>
      <c r="S1049" t="s">
        <v>32547</v>
      </c>
      <c r="T1049" t="s">
        <v>33211</v>
      </c>
      <c r="U1049" t="s">
        <v>34544</v>
      </c>
      <c r="W1049" t="s">
        <v>30043</v>
      </c>
      <c r="X1049" t="s">
        <v>32527</v>
      </c>
    </row>
    <row r="1050" spans="1:24">
      <c r="A1050">
        <f>HYPERLINK("https://www.philgeps.gov.ph/GEPSNONPILOT/Tender/SplashBidNoticeAbstractUI.aspx?menuIndex=3&amp;refID=7045370&amp;Result=3","7045370")</f>
        <v>0</v>
      </c>
      <c r="B1050" t="s">
        <v>462</v>
      </c>
      <c r="C1050" t="s">
        <v>3681</v>
      </c>
      <c r="D1050" t="s">
        <v>12988</v>
      </c>
      <c r="E1050" t="s">
        <v>14053</v>
      </c>
      <c r="F1050" t="s">
        <v>22436</v>
      </c>
      <c r="G1050" t="s">
        <v>22445</v>
      </c>
      <c r="H1050" t="s">
        <v>22452</v>
      </c>
      <c r="I1050" t="s">
        <v>7110</v>
      </c>
      <c r="J1050" t="s">
        <v>22975</v>
      </c>
      <c r="K1050" t="s">
        <v>29336</v>
      </c>
      <c r="M1050" t="s">
        <v>30044</v>
      </c>
      <c r="N1050" t="s">
        <v>32524</v>
      </c>
      <c r="O1050" t="s">
        <v>32525</v>
      </c>
      <c r="P1050">
        <v>0</v>
      </c>
      <c r="Q1050">
        <v>7</v>
      </c>
      <c r="R1050" t="s">
        <v>32526</v>
      </c>
      <c r="S1050" t="s">
        <v>32547</v>
      </c>
      <c r="T1050" t="s">
        <v>33155</v>
      </c>
      <c r="U1050" t="s">
        <v>34545</v>
      </c>
      <c r="W1050" t="s">
        <v>43683</v>
      </c>
      <c r="X1050" t="s">
        <v>32527</v>
      </c>
    </row>
    <row r="1051" spans="1:24">
      <c r="A1051">
        <f>HYPERLINK("https://www.philgeps.gov.ph/GEPSNONPILOT/Tender/SplashBidNoticeAbstractUI.aspx?menuIndex=3&amp;refID=7045368&amp;Result=3","7045368")</f>
        <v>0</v>
      </c>
      <c r="B1051" t="s">
        <v>463</v>
      </c>
      <c r="C1051" t="s">
        <v>3682</v>
      </c>
      <c r="D1051" t="s">
        <v>13031</v>
      </c>
      <c r="E1051" t="s">
        <v>14054</v>
      </c>
      <c r="F1051" t="s">
        <v>22436</v>
      </c>
      <c r="G1051" t="s">
        <v>22446</v>
      </c>
      <c r="H1051" t="s">
        <v>22452</v>
      </c>
      <c r="I1051" t="s">
        <v>22512</v>
      </c>
      <c r="J1051" t="s">
        <v>23289</v>
      </c>
      <c r="K1051" t="s">
        <v>29357</v>
      </c>
      <c r="M1051" t="s">
        <v>30045</v>
      </c>
      <c r="N1051" t="s">
        <v>32524</v>
      </c>
      <c r="O1051" t="s">
        <v>32525</v>
      </c>
      <c r="P1051">
        <v>0</v>
      </c>
      <c r="Q1051">
        <v>0</v>
      </c>
      <c r="R1051" t="s">
        <v>32526</v>
      </c>
      <c r="S1051" t="s">
        <v>32547</v>
      </c>
      <c r="T1051" t="s">
        <v>33292</v>
      </c>
      <c r="U1051" t="s">
        <v>34546</v>
      </c>
      <c r="V1051" t="s">
        <v>42520</v>
      </c>
      <c r="W1051" t="s">
        <v>30045</v>
      </c>
      <c r="X1051" t="s">
        <v>32527</v>
      </c>
    </row>
    <row r="1052" spans="1:24">
      <c r="A1052">
        <f>HYPERLINK("https://www.philgeps.gov.ph/GEPSNONPILOT/Tender/SplashBidNoticeAbstractUI.aspx?menuIndex=3&amp;refID=7045356&amp;Result=3","7045356")</f>
        <v>0</v>
      </c>
      <c r="B1052" t="s">
        <v>464</v>
      </c>
      <c r="C1052" t="s">
        <v>3683</v>
      </c>
      <c r="D1052" t="s">
        <v>12994</v>
      </c>
      <c r="E1052" t="s">
        <v>14055</v>
      </c>
      <c r="F1052" t="s">
        <v>22436</v>
      </c>
      <c r="G1052" t="s">
        <v>22443</v>
      </c>
      <c r="H1052" t="s">
        <v>22454</v>
      </c>
      <c r="I1052" t="s">
        <v>7738</v>
      </c>
      <c r="J1052" t="s">
        <v>23396</v>
      </c>
      <c r="K1052" t="s">
        <v>29344</v>
      </c>
      <c r="M1052" t="s">
        <v>30046</v>
      </c>
      <c r="N1052" t="s">
        <v>32524</v>
      </c>
      <c r="O1052" t="s">
        <v>32525</v>
      </c>
      <c r="P1052">
        <v>0</v>
      </c>
      <c r="Q1052">
        <v>2</v>
      </c>
      <c r="R1052" t="s">
        <v>32526</v>
      </c>
      <c r="S1052" t="s">
        <v>32547</v>
      </c>
      <c r="T1052" t="s">
        <v>33264</v>
      </c>
      <c r="U1052" t="s">
        <v>34547</v>
      </c>
      <c r="W1052" t="s">
        <v>30046</v>
      </c>
      <c r="X1052" t="s">
        <v>32527</v>
      </c>
    </row>
    <row r="1053" spans="1:24">
      <c r="A1053">
        <f>HYPERLINK("https://www.philgeps.gov.ph/GEPSNONPILOT/Tender/SplashBidNoticeAbstractUI.aspx?menuIndex=3&amp;refID=7045366&amp;Result=3","7045366")</f>
        <v>0</v>
      </c>
      <c r="B1053" t="s">
        <v>451</v>
      </c>
      <c r="C1053" t="s">
        <v>3684</v>
      </c>
      <c r="D1053" t="s">
        <v>12988</v>
      </c>
      <c r="E1053" t="s">
        <v>14056</v>
      </c>
      <c r="F1053" t="s">
        <v>22436</v>
      </c>
      <c r="G1053" t="s">
        <v>22444</v>
      </c>
      <c r="H1053" t="s">
        <v>22452</v>
      </c>
      <c r="I1053" t="s">
        <v>2981</v>
      </c>
      <c r="J1053" t="s">
        <v>22788</v>
      </c>
      <c r="K1053" t="s">
        <v>29338</v>
      </c>
      <c r="M1053" t="s">
        <v>30033</v>
      </c>
      <c r="N1053" t="s">
        <v>32524</v>
      </c>
      <c r="O1053" t="s">
        <v>32525</v>
      </c>
      <c r="P1053">
        <v>0</v>
      </c>
      <c r="Q1053">
        <v>0</v>
      </c>
      <c r="R1053" t="s">
        <v>32526</v>
      </c>
      <c r="S1053" t="s">
        <v>32547</v>
      </c>
      <c r="T1053" t="s">
        <v>33182</v>
      </c>
      <c r="U1053" t="s">
        <v>34548</v>
      </c>
      <c r="W1053" t="s">
        <v>30033</v>
      </c>
      <c r="X1053" t="s">
        <v>32527</v>
      </c>
    </row>
    <row r="1054" spans="1:24">
      <c r="A1054">
        <f>HYPERLINK("https://www.philgeps.gov.ph/GEPSNONPILOT/Tender/SplashBidNoticeAbstractUI.aspx?menuIndex=3&amp;refID=7045355&amp;Result=3","7045355")</f>
        <v>0</v>
      </c>
      <c r="B1054" t="s">
        <v>455</v>
      </c>
      <c r="C1054" t="s">
        <v>3685</v>
      </c>
      <c r="D1054" t="s">
        <v>13006</v>
      </c>
      <c r="E1054" t="s">
        <v>14057</v>
      </c>
      <c r="F1054" t="s">
        <v>22436</v>
      </c>
      <c r="G1054" t="s">
        <v>22444</v>
      </c>
      <c r="H1054" t="s">
        <v>22452</v>
      </c>
      <c r="I1054" t="s">
        <v>22518</v>
      </c>
      <c r="J1054" t="s">
        <v>23397</v>
      </c>
      <c r="K1054" t="s">
        <v>29329</v>
      </c>
      <c r="M1054" t="s">
        <v>30037</v>
      </c>
      <c r="N1054" t="s">
        <v>32524</v>
      </c>
      <c r="O1054" t="s">
        <v>32525</v>
      </c>
      <c r="P1054">
        <v>0</v>
      </c>
      <c r="Q1054">
        <v>6</v>
      </c>
      <c r="R1054" t="s">
        <v>32526</v>
      </c>
      <c r="S1054" t="s">
        <v>32547</v>
      </c>
      <c r="T1054" t="s">
        <v>33165</v>
      </c>
      <c r="U1054" t="s">
        <v>34549</v>
      </c>
      <c r="V1054" t="s">
        <v>42521</v>
      </c>
      <c r="W1054" t="s">
        <v>30037</v>
      </c>
      <c r="X1054" t="s">
        <v>32527</v>
      </c>
    </row>
    <row r="1055" spans="1:24">
      <c r="A1055">
        <f>HYPERLINK("https://www.philgeps.gov.ph/GEPSNONPILOT/Tender/SplashBidNoticeAbstractUI.aspx?menuIndex=3&amp;refID=7045363&amp;Result=3","7045363")</f>
        <v>0</v>
      </c>
      <c r="B1055" t="s">
        <v>440</v>
      </c>
      <c r="C1055" t="s">
        <v>3686</v>
      </c>
      <c r="D1055" t="s">
        <v>13000</v>
      </c>
      <c r="E1055" t="s">
        <v>14058</v>
      </c>
      <c r="F1055" t="s">
        <v>22436</v>
      </c>
      <c r="G1055" t="s">
        <v>22445</v>
      </c>
      <c r="H1055" t="s">
        <v>22452</v>
      </c>
      <c r="I1055" t="s">
        <v>3827</v>
      </c>
      <c r="J1055" t="s">
        <v>23398</v>
      </c>
      <c r="K1055" t="s">
        <v>29357</v>
      </c>
      <c r="M1055" t="s">
        <v>30021</v>
      </c>
      <c r="N1055" t="s">
        <v>32524</v>
      </c>
      <c r="O1055" t="s">
        <v>32525</v>
      </c>
      <c r="P1055">
        <v>0</v>
      </c>
      <c r="Q1055">
        <v>3</v>
      </c>
      <c r="R1055" t="s">
        <v>32526</v>
      </c>
      <c r="S1055" t="s">
        <v>32547</v>
      </c>
      <c r="T1055" t="s">
        <v>33167</v>
      </c>
      <c r="U1055" t="s">
        <v>34503</v>
      </c>
      <c r="W1055" t="s">
        <v>30021</v>
      </c>
      <c r="X1055" t="s">
        <v>32527</v>
      </c>
    </row>
    <row r="1056" spans="1:24">
      <c r="A1056">
        <f>HYPERLINK("https://www.philgeps.gov.ph/GEPSNONPILOT/Tender/SplashBidNoticeAbstractUI.aspx?menuIndex=3&amp;refID=7045375&amp;Result=3","7045375")</f>
        <v>0</v>
      </c>
      <c r="B1056" t="s">
        <v>465</v>
      </c>
      <c r="C1056" t="s">
        <v>3687</v>
      </c>
      <c r="D1056" t="s">
        <v>13049</v>
      </c>
      <c r="E1056" t="s">
        <v>14059</v>
      </c>
      <c r="F1056" t="s">
        <v>22436</v>
      </c>
      <c r="G1056" t="s">
        <v>22444</v>
      </c>
      <c r="H1056" t="s">
        <v>22454</v>
      </c>
      <c r="I1056" t="s">
        <v>7738</v>
      </c>
      <c r="J1056" t="s">
        <v>23399</v>
      </c>
      <c r="K1056" t="s">
        <v>29334</v>
      </c>
      <c r="M1056" t="s">
        <v>30047</v>
      </c>
      <c r="N1056" t="s">
        <v>32524</v>
      </c>
      <c r="O1056" t="s">
        <v>32525</v>
      </c>
      <c r="P1056">
        <v>0</v>
      </c>
      <c r="Q1056">
        <v>0</v>
      </c>
      <c r="R1056" t="s">
        <v>32526</v>
      </c>
      <c r="S1056" t="s">
        <v>32547</v>
      </c>
      <c r="T1056" t="s">
        <v>33157</v>
      </c>
      <c r="U1056" t="s">
        <v>34550</v>
      </c>
      <c r="W1056" t="s">
        <v>30047</v>
      </c>
      <c r="X1056" t="s">
        <v>32527</v>
      </c>
    </row>
    <row r="1057" spans="1:24">
      <c r="A1057">
        <f>HYPERLINK("https://www.philgeps.gov.ph/GEPSNONPILOT/Tender/SplashBidNoticeAbstractUI.aspx?menuIndex=3&amp;refID=7045349&amp;Result=3","7045349")</f>
        <v>0</v>
      </c>
      <c r="B1057" t="s">
        <v>89</v>
      </c>
      <c r="C1057" t="s">
        <v>3688</v>
      </c>
      <c r="D1057" t="s">
        <v>13022</v>
      </c>
      <c r="E1057" t="s">
        <v>14060</v>
      </c>
      <c r="F1057" t="s">
        <v>22436</v>
      </c>
      <c r="G1057" t="s">
        <v>22444</v>
      </c>
      <c r="H1057" t="s">
        <v>22454</v>
      </c>
      <c r="I1057" t="s">
        <v>7738</v>
      </c>
      <c r="J1057" t="s">
        <v>23400</v>
      </c>
      <c r="K1057" t="s">
        <v>29394</v>
      </c>
      <c r="M1057" t="s">
        <v>29661</v>
      </c>
      <c r="N1057" t="s">
        <v>32524</v>
      </c>
      <c r="O1057" t="s">
        <v>32525</v>
      </c>
      <c r="P1057">
        <v>0</v>
      </c>
      <c r="Q1057">
        <v>1</v>
      </c>
      <c r="R1057" t="s">
        <v>32526</v>
      </c>
      <c r="S1057" t="s">
        <v>32547</v>
      </c>
      <c r="T1057" t="s">
        <v>33170</v>
      </c>
      <c r="U1057" t="s">
        <v>34551</v>
      </c>
      <c r="W1057" t="s">
        <v>29661</v>
      </c>
      <c r="X1057" t="s">
        <v>32527</v>
      </c>
    </row>
    <row r="1058" spans="1:24">
      <c r="A1058">
        <f>HYPERLINK("https://www.philgeps.gov.ph/GEPSNONPILOT/Tender/SplashBidNoticeAbstractUI.aspx?menuIndex=3&amp;refID=7045374&amp;Result=3","7045374")</f>
        <v>0</v>
      </c>
      <c r="B1058" t="s">
        <v>460</v>
      </c>
      <c r="C1058" t="s">
        <v>3689</v>
      </c>
      <c r="D1058" t="s">
        <v>13023</v>
      </c>
      <c r="E1058" t="s">
        <v>14061</v>
      </c>
      <c r="F1058" t="s">
        <v>22436</v>
      </c>
      <c r="G1058" t="s">
        <v>22444</v>
      </c>
      <c r="H1058" t="s">
        <v>22454</v>
      </c>
      <c r="I1058" t="s">
        <v>7738</v>
      </c>
      <c r="J1058" t="s">
        <v>23401</v>
      </c>
      <c r="K1058" t="s">
        <v>29337</v>
      </c>
      <c r="M1058" t="s">
        <v>30042</v>
      </c>
      <c r="N1058" t="s">
        <v>32524</v>
      </c>
      <c r="O1058" t="s">
        <v>32525</v>
      </c>
      <c r="P1058">
        <v>0</v>
      </c>
      <c r="Q1058">
        <v>0</v>
      </c>
      <c r="R1058" t="s">
        <v>32526</v>
      </c>
      <c r="S1058" t="s">
        <v>32547</v>
      </c>
      <c r="T1058" t="s">
        <v>33216</v>
      </c>
      <c r="U1058" t="s">
        <v>34552</v>
      </c>
      <c r="W1058" t="s">
        <v>30042</v>
      </c>
      <c r="X1058" t="s">
        <v>32527</v>
      </c>
    </row>
    <row r="1059" spans="1:24">
      <c r="A1059">
        <f>HYPERLINK("https://www.philgeps.gov.ph/GEPSNONPILOT/Tender/SplashBidNoticeAbstractUI.aspx?menuIndex=3&amp;refID=7045361&amp;Result=3","7045361")</f>
        <v>0</v>
      </c>
      <c r="B1059" t="s">
        <v>89</v>
      </c>
      <c r="C1059" t="s">
        <v>3690</v>
      </c>
      <c r="D1059" t="s">
        <v>13022</v>
      </c>
      <c r="E1059" t="s">
        <v>14062</v>
      </c>
      <c r="F1059" t="s">
        <v>22436</v>
      </c>
      <c r="G1059" t="s">
        <v>22444</v>
      </c>
      <c r="H1059" t="s">
        <v>22454</v>
      </c>
      <c r="I1059" t="s">
        <v>7738</v>
      </c>
      <c r="J1059" t="s">
        <v>23402</v>
      </c>
      <c r="K1059" t="s">
        <v>29333</v>
      </c>
      <c r="M1059" t="s">
        <v>29661</v>
      </c>
      <c r="N1059" t="s">
        <v>32524</v>
      </c>
      <c r="O1059" t="s">
        <v>32525</v>
      </c>
      <c r="P1059">
        <v>0</v>
      </c>
      <c r="Q1059">
        <v>1</v>
      </c>
      <c r="R1059" t="s">
        <v>32526</v>
      </c>
      <c r="S1059" t="s">
        <v>32547</v>
      </c>
      <c r="T1059" t="s">
        <v>33170</v>
      </c>
      <c r="U1059" t="s">
        <v>34553</v>
      </c>
      <c r="W1059" t="s">
        <v>29661</v>
      </c>
      <c r="X1059" t="s">
        <v>32527</v>
      </c>
    </row>
    <row r="1060" spans="1:24">
      <c r="A1060">
        <f>HYPERLINK("https://www.philgeps.gov.ph/GEPSNONPILOT/Tender/SplashBidNoticeAbstractUI.aspx?menuIndex=3&amp;refID=7045359&amp;Result=3","7045359")</f>
        <v>0</v>
      </c>
      <c r="B1060" t="s">
        <v>364</v>
      </c>
      <c r="C1060" t="s">
        <v>3691</v>
      </c>
      <c r="D1060" t="s">
        <v>13011</v>
      </c>
      <c r="E1060" t="s">
        <v>14063</v>
      </c>
      <c r="F1060" t="s">
        <v>22436</v>
      </c>
      <c r="G1060" t="s">
        <v>22446</v>
      </c>
      <c r="H1060" t="s">
        <v>22452</v>
      </c>
      <c r="I1060" t="s">
        <v>22469</v>
      </c>
      <c r="J1060" t="s">
        <v>23403</v>
      </c>
      <c r="K1060" t="s">
        <v>29338</v>
      </c>
      <c r="M1060" t="s">
        <v>29942</v>
      </c>
      <c r="N1060" t="s">
        <v>32524</v>
      </c>
      <c r="O1060" t="s">
        <v>32525</v>
      </c>
      <c r="P1060">
        <v>0</v>
      </c>
      <c r="Q1060">
        <v>7</v>
      </c>
      <c r="R1060" t="s">
        <v>32526</v>
      </c>
      <c r="S1060" t="s">
        <v>32547</v>
      </c>
      <c r="T1060" t="s">
        <v>33293</v>
      </c>
      <c r="U1060" t="s">
        <v>34554</v>
      </c>
      <c r="W1060" t="s">
        <v>29942</v>
      </c>
      <c r="X1060" t="s">
        <v>32527</v>
      </c>
    </row>
    <row r="1061" spans="1:24">
      <c r="A1061">
        <f>HYPERLINK("https://www.philgeps.gov.ph/GEPSNONPILOT/Tender/SplashBidNoticeAbstractUI.aspx?menuIndex=3&amp;refID=7045372&amp;Result=3","7045372")</f>
        <v>0</v>
      </c>
      <c r="B1061" t="s">
        <v>451</v>
      </c>
      <c r="C1061" t="s">
        <v>3483</v>
      </c>
      <c r="D1061" t="s">
        <v>12988</v>
      </c>
      <c r="E1061" t="s">
        <v>14064</v>
      </c>
      <c r="F1061" t="s">
        <v>22436</v>
      </c>
      <c r="G1061" t="s">
        <v>22444</v>
      </c>
      <c r="H1061" t="s">
        <v>22452</v>
      </c>
      <c r="I1061" t="s">
        <v>2981</v>
      </c>
      <c r="J1061" t="s">
        <v>22640</v>
      </c>
      <c r="K1061" t="s">
        <v>29338</v>
      </c>
      <c r="M1061" t="s">
        <v>30033</v>
      </c>
      <c r="N1061" t="s">
        <v>32524</v>
      </c>
      <c r="O1061" t="s">
        <v>32525</v>
      </c>
      <c r="P1061">
        <v>0</v>
      </c>
      <c r="Q1061">
        <v>0</v>
      </c>
      <c r="R1061" t="s">
        <v>32526</v>
      </c>
      <c r="S1061" t="s">
        <v>32547</v>
      </c>
      <c r="T1061" t="s">
        <v>33182</v>
      </c>
      <c r="U1061" t="s">
        <v>34555</v>
      </c>
      <c r="W1061" t="s">
        <v>30033</v>
      </c>
      <c r="X1061" t="s">
        <v>32527</v>
      </c>
    </row>
    <row r="1062" spans="1:24">
      <c r="A1062">
        <f>HYPERLINK("https://www.philgeps.gov.ph/GEPSNONPILOT/Tender/SplashBidNoticeAbstractUI.aspx?menuIndex=3&amp;refID=7045367&amp;Result=3","7045367")</f>
        <v>0</v>
      </c>
      <c r="B1062" t="s">
        <v>95</v>
      </c>
      <c r="C1062" t="s">
        <v>3692</v>
      </c>
      <c r="D1062" t="s">
        <v>13028</v>
      </c>
      <c r="E1062" t="s">
        <v>14065</v>
      </c>
      <c r="F1062" t="s">
        <v>22436</v>
      </c>
      <c r="G1062" t="s">
        <v>22445</v>
      </c>
      <c r="H1062" t="s">
        <v>22452</v>
      </c>
      <c r="I1062" t="s">
        <v>2981</v>
      </c>
      <c r="J1062" t="s">
        <v>23404</v>
      </c>
      <c r="K1062" t="s">
        <v>29335</v>
      </c>
      <c r="M1062" t="s">
        <v>30024</v>
      </c>
      <c r="N1062" t="s">
        <v>32524</v>
      </c>
      <c r="O1062" t="s">
        <v>32525</v>
      </c>
      <c r="P1062">
        <v>0</v>
      </c>
      <c r="Q1062">
        <v>0</v>
      </c>
      <c r="R1062" t="s">
        <v>32526</v>
      </c>
      <c r="S1062" t="s">
        <v>32547</v>
      </c>
      <c r="T1062" t="s">
        <v>33197</v>
      </c>
      <c r="U1062" t="s">
        <v>34556</v>
      </c>
      <c r="W1062" t="s">
        <v>30024</v>
      </c>
      <c r="X1062" t="s">
        <v>32527</v>
      </c>
    </row>
    <row r="1063" spans="1:24">
      <c r="A1063">
        <f>HYPERLINK("https://www.philgeps.gov.ph/GEPSNONPILOT/Tender/SplashBidNoticeAbstractUI.aspx?menuIndex=3&amp;refID=7045381&amp;Result=3","7045381")</f>
        <v>0</v>
      </c>
      <c r="B1063" t="s">
        <v>386</v>
      </c>
      <c r="C1063" t="s">
        <v>3693</v>
      </c>
      <c r="D1063" t="s">
        <v>12988</v>
      </c>
      <c r="E1063" t="s">
        <v>14066</v>
      </c>
      <c r="F1063" t="s">
        <v>22436</v>
      </c>
      <c r="G1063" t="s">
        <v>22443</v>
      </c>
      <c r="H1063" t="s">
        <v>22452</v>
      </c>
      <c r="I1063" t="s">
        <v>2981</v>
      </c>
      <c r="J1063" t="s">
        <v>23405</v>
      </c>
      <c r="K1063" t="s">
        <v>29335</v>
      </c>
      <c r="M1063" t="s">
        <v>30048</v>
      </c>
      <c r="N1063" t="s">
        <v>32524</v>
      </c>
      <c r="O1063" t="s">
        <v>32525</v>
      </c>
      <c r="P1063">
        <v>0</v>
      </c>
      <c r="Q1063">
        <v>1</v>
      </c>
      <c r="R1063" t="s">
        <v>32526</v>
      </c>
      <c r="S1063" t="s">
        <v>32547</v>
      </c>
      <c r="T1063" t="s">
        <v>33167</v>
      </c>
      <c r="U1063" t="s">
        <v>34557</v>
      </c>
      <c r="W1063" t="s">
        <v>30048</v>
      </c>
      <c r="X1063" t="s">
        <v>32527</v>
      </c>
    </row>
    <row r="1064" spans="1:24">
      <c r="A1064">
        <f>HYPERLINK("https://www.philgeps.gov.ph/GEPSNONPILOT/Tender/SplashBidNoticeAbstractUI.aspx?menuIndex=3&amp;refID=7045352&amp;Result=3","7045352")</f>
        <v>0</v>
      </c>
      <c r="B1064" t="s">
        <v>295</v>
      </c>
      <c r="C1064" t="s">
        <v>3694</v>
      </c>
      <c r="D1064" t="s">
        <v>13056</v>
      </c>
      <c r="E1064" t="s">
        <v>14067</v>
      </c>
      <c r="F1064" t="s">
        <v>22436</v>
      </c>
      <c r="G1064" t="s">
        <v>22444</v>
      </c>
      <c r="H1064" t="s">
        <v>22454</v>
      </c>
      <c r="I1064" t="s">
        <v>22455</v>
      </c>
      <c r="J1064" t="s">
        <v>22893</v>
      </c>
      <c r="K1064" t="s">
        <v>29329</v>
      </c>
      <c r="L1064" t="s">
        <v>295</v>
      </c>
      <c r="M1064" t="s">
        <v>29869</v>
      </c>
      <c r="N1064" t="s">
        <v>32524</v>
      </c>
      <c r="O1064" t="s">
        <v>32525</v>
      </c>
      <c r="P1064">
        <v>0</v>
      </c>
      <c r="Q1064">
        <v>0</v>
      </c>
      <c r="R1064" t="s">
        <v>32526</v>
      </c>
      <c r="S1064" t="s">
        <v>32547</v>
      </c>
      <c r="T1064" t="s">
        <v>33181</v>
      </c>
      <c r="U1064" t="s">
        <v>34558</v>
      </c>
      <c r="W1064" t="s">
        <v>29869</v>
      </c>
      <c r="X1064" t="s">
        <v>32527</v>
      </c>
    </row>
    <row r="1065" spans="1:24">
      <c r="A1065">
        <f>HYPERLINK("https://www.philgeps.gov.ph/GEPSNONPILOT/Tender/SplashBidNoticeAbstractUI.aspx?menuIndex=3&amp;refID=7045383&amp;Result=3","7045383")</f>
        <v>0</v>
      </c>
      <c r="B1065" t="s">
        <v>77</v>
      </c>
      <c r="C1065" t="s">
        <v>3695</v>
      </c>
      <c r="D1065" t="s">
        <v>13001</v>
      </c>
      <c r="E1065" t="s">
        <v>14068</v>
      </c>
      <c r="F1065" t="s">
        <v>22436</v>
      </c>
      <c r="G1065" t="s">
        <v>22443</v>
      </c>
      <c r="H1065" t="s">
        <v>22454</v>
      </c>
      <c r="I1065" t="s">
        <v>7738</v>
      </c>
      <c r="J1065" t="s">
        <v>23406</v>
      </c>
      <c r="K1065" t="s">
        <v>29338</v>
      </c>
      <c r="L1065" t="s">
        <v>77</v>
      </c>
      <c r="M1065" t="s">
        <v>29884</v>
      </c>
      <c r="N1065" t="s">
        <v>32524</v>
      </c>
      <c r="O1065" t="s">
        <v>32525</v>
      </c>
      <c r="P1065">
        <v>0</v>
      </c>
      <c r="Q1065">
        <v>2</v>
      </c>
      <c r="R1065" t="s">
        <v>32526</v>
      </c>
      <c r="S1065" t="s">
        <v>32547</v>
      </c>
      <c r="T1065" t="s">
        <v>33169</v>
      </c>
      <c r="U1065" t="s">
        <v>34219</v>
      </c>
      <c r="W1065" t="s">
        <v>29884</v>
      </c>
      <c r="X1065" t="s">
        <v>32527</v>
      </c>
    </row>
    <row r="1066" spans="1:24">
      <c r="A1066">
        <f>HYPERLINK("https://www.philgeps.gov.ph/GEPSNONPILOT/Tender/SplashBidNoticeAbstractUI.aspx?menuIndex=3&amp;refID=7045378&amp;Result=3","7045378")</f>
        <v>0</v>
      </c>
      <c r="B1066" t="s">
        <v>331</v>
      </c>
      <c r="C1066" t="s">
        <v>3696</v>
      </c>
      <c r="D1066" t="s">
        <v>13058</v>
      </c>
      <c r="E1066" t="s">
        <v>14069</v>
      </c>
      <c r="F1066" t="s">
        <v>22436</v>
      </c>
      <c r="G1066" t="s">
        <v>22443</v>
      </c>
      <c r="H1066" t="s">
        <v>22452</v>
      </c>
      <c r="I1066" t="s">
        <v>4688</v>
      </c>
      <c r="J1066" t="s">
        <v>23356</v>
      </c>
      <c r="K1066" t="s">
        <v>29341</v>
      </c>
      <c r="M1066" t="s">
        <v>29907</v>
      </c>
      <c r="N1066" t="s">
        <v>32524</v>
      </c>
      <c r="O1066" t="s">
        <v>32525</v>
      </c>
      <c r="P1066">
        <v>0</v>
      </c>
      <c r="Q1066">
        <v>4</v>
      </c>
      <c r="R1066" t="s">
        <v>32526</v>
      </c>
      <c r="S1066" t="s">
        <v>32547</v>
      </c>
      <c r="T1066" t="s">
        <v>33169</v>
      </c>
      <c r="U1066" t="s">
        <v>34559</v>
      </c>
      <c r="W1066" t="s">
        <v>29907</v>
      </c>
      <c r="X1066" t="s">
        <v>32527</v>
      </c>
    </row>
    <row r="1067" spans="1:24">
      <c r="A1067">
        <f>HYPERLINK("https://www.philgeps.gov.ph/GEPSNONPILOT/Tender/SplashBidNoticeAbstractUI.aspx?menuIndex=3&amp;refID=7045380&amp;Result=3","7045380")</f>
        <v>0</v>
      </c>
      <c r="B1067" t="s">
        <v>451</v>
      </c>
      <c r="C1067" t="s">
        <v>3697</v>
      </c>
      <c r="D1067" t="s">
        <v>12988</v>
      </c>
      <c r="E1067" t="s">
        <v>14070</v>
      </c>
      <c r="F1067" t="s">
        <v>22436</v>
      </c>
      <c r="G1067" t="s">
        <v>22444</v>
      </c>
      <c r="H1067" t="s">
        <v>22452</v>
      </c>
      <c r="I1067" t="s">
        <v>2981</v>
      </c>
      <c r="J1067" t="s">
        <v>22911</v>
      </c>
      <c r="K1067" t="s">
        <v>29338</v>
      </c>
      <c r="M1067" t="s">
        <v>30033</v>
      </c>
      <c r="N1067" t="s">
        <v>32524</v>
      </c>
      <c r="O1067" t="s">
        <v>32525</v>
      </c>
      <c r="P1067">
        <v>0</v>
      </c>
      <c r="Q1067">
        <v>0</v>
      </c>
      <c r="R1067" t="s">
        <v>32526</v>
      </c>
      <c r="S1067" t="s">
        <v>32547</v>
      </c>
      <c r="T1067" t="s">
        <v>33182</v>
      </c>
      <c r="U1067" t="s">
        <v>34560</v>
      </c>
      <c r="W1067" t="s">
        <v>30033</v>
      </c>
      <c r="X1067" t="s">
        <v>32527</v>
      </c>
    </row>
    <row r="1068" spans="1:24">
      <c r="A1068">
        <f>HYPERLINK("https://www.philgeps.gov.ph/GEPSNONPILOT/Tender/SplashBidNoticeAbstractUI.aspx?menuIndex=3&amp;refID=7045397&amp;Result=3","7045397")</f>
        <v>0</v>
      </c>
      <c r="B1068" t="s">
        <v>466</v>
      </c>
      <c r="C1068" t="s">
        <v>3698</v>
      </c>
      <c r="D1068" t="s">
        <v>13045</v>
      </c>
      <c r="E1068" t="s">
        <v>14071</v>
      </c>
      <c r="F1068" t="s">
        <v>22436</v>
      </c>
      <c r="G1068" t="s">
        <v>22443</v>
      </c>
      <c r="H1068" t="s">
        <v>22452</v>
      </c>
      <c r="I1068" t="s">
        <v>22520</v>
      </c>
      <c r="J1068" t="s">
        <v>23407</v>
      </c>
      <c r="K1068" t="s">
        <v>29338</v>
      </c>
      <c r="M1068" t="s">
        <v>30049</v>
      </c>
      <c r="N1068" t="s">
        <v>32524</v>
      </c>
      <c r="O1068" t="s">
        <v>32525</v>
      </c>
      <c r="P1068">
        <v>0</v>
      </c>
      <c r="Q1068">
        <v>3</v>
      </c>
      <c r="R1068" t="s">
        <v>32526</v>
      </c>
      <c r="S1068" t="s">
        <v>32547</v>
      </c>
      <c r="T1068" t="s">
        <v>33228</v>
      </c>
      <c r="U1068" t="s">
        <v>34561</v>
      </c>
      <c r="W1068" t="s">
        <v>30049</v>
      </c>
      <c r="X1068" t="s">
        <v>32527</v>
      </c>
    </row>
    <row r="1069" spans="1:24">
      <c r="A1069">
        <f>HYPERLINK("https://www.philgeps.gov.ph/GEPSNONPILOT/Tender/SplashBidNoticeAbstractUI.aspx?menuIndex=3&amp;refID=7045382&amp;Result=3","7045382")</f>
        <v>0</v>
      </c>
      <c r="B1069" t="s">
        <v>467</v>
      </c>
      <c r="C1069" t="s">
        <v>3699</v>
      </c>
      <c r="D1069" t="s">
        <v>12998</v>
      </c>
      <c r="E1069" t="s">
        <v>13367</v>
      </c>
      <c r="F1069" t="s">
        <v>22437</v>
      </c>
      <c r="G1069" t="s">
        <v>22446</v>
      </c>
      <c r="H1069" t="s">
        <v>22452</v>
      </c>
      <c r="I1069" t="s">
        <v>22504</v>
      </c>
      <c r="J1069" t="s">
        <v>23289</v>
      </c>
      <c r="K1069" t="s">
        <v>29338</v>
      </c>
      <c r="M1069" t="s">
        <v>30050</v>
      </c>
      <c r="N1069" t="s">
        <v>32524</v>
      </c>
      <c r="O1069" t="s">
        <v>32525</v>
      </c>
      <c r="P1069">
        <v>0</v>
      </c>
      <c r="Q1069">
        <v>1</v>
      </c>
      <c r="R1069" t="s">
        <v>32526</v>
      </c>
      <c r="S1069" t="s">
        <v>32547</v>
      </c>
      <c r="T1069" t="s">
        <v>33185</v>
      </c>
      <c r="U1069" t="s">
        <v>34562</v>
      </c>
      <c r="W1069" t="s">
        <v>30050</v>
      </c>
      <c r="X1069" t="s">
        <v>32527</v>
      </c>
    </row>
    <row r="1070" spans="1:24">
      <c r="A1070">
        <f>HYPERLINK("https://www.philgeps.gov.ph/GEPSNONPILOT/Tender/SplashBidNoticeAbstractUI.aspx?menuIndex=3&amp;refID=7045391&amp;Result=3","7045391")</f>
        <v>0</v>
      </c>
      <c r="B1070" t="s">
        <v>199</v>
      </c>
      <c r="C1070" t="s">
        <v>3700</v>
      </c>
      <c r="D1070" t="s">
        <v>13009</v>
      </c>
      <c r="E1070" t="s">
        <v>14072</v>
      </c>
      <c r="F1070" t="s">
        <v>22436</v>
      </c>
      <c r="G1070" t="s">
        <v>22443</v>
      </c>
      <c r="H1070" t="s">
        <v>22452</v>
      </c>
      <c r="I1070" t="s">
        <v>6421</v>
      </c>
      <c r="J1070" t="s">
        <v>23408</v>
      </c>
      <c r="K1070" t="s">
        <v>29338</v>
      </c>
      <c r="M1070" t="s">
        <v>30051</v>
      </c>
      <c r="N1070" t="s">
        <v>32524</v>
      </c>
      <c r="O1070" t="s">
        <v>32525</v>
      </c>
      <c r="P1070">
        <v>0</v>
      </c>
      <c r="Q1070">
        <v>1</v>
      </c>
      <c r="R1070" t="s">
        <v>32526</v>
      </c>
      <c r="S1070" t="s">
        <v>32547</v>
      </c>
      <c r="T1070" t="s">
        <v>33235</v>
      </c>
      <c r="U1070" t="s">
        <v>34563</v>
      </c>
      <c r="W1070" t="s">
        <v>30051</v>
      </c>
      <c r="X1070" t="s">
        <v>32527</v>
      </c>
    </row>
    <row r="1071" spans="1:24">
      <c r="A1071">
        <f>HYPERLINK("https://www.philgeps.gov.ph/GEPSNONPILOT/Tender/SplashBidNoticeAbstractUI.aspx?menuIndex=3&amp;refID=7045351&amp;Result=3","7045351")</f>
        <v>0</v>
      </c>
      <c r="B1071" t="s">
        <v>450</v>
      </c>
      <c r="C1071" t="s">
        <v>3701</v>
      </c>
      <c r="D1071" t="s">
        <v>13009</v>
      </c>
      <c r="E1071" t="s">
        <v>14073</v>
      </c>
      <c r="F1071" t="s">
        <v>22436</v>
      </c>
      <c r="G1071" t="s">
        <v>22446</v>
      </c>
      <c r="H1071" t="s">
        <v>22452</v>
      </c>
      <c r="I1071" t="s">
        <v>3529</v>
      </c>
      <c r="J1071" t="s">
        <v>23409</v>
      </c>
      <c r="K1071" t="s">
        <v>29340</v>
      </c>
      <c r="M1071" t="s">
        <v>30032</v>
      </c>
      <c r="N1071" t="s">
        <v>32524</v>
      </c>
      <c r="O1071" t="s">
        <v>32525</v>
      </c>
      <c r="P1071">
        <v>0</v>
      </c>
      <c r="Q1071">
        <v>0</v>
      </c>
      <c r="R1071" t="s">
        <v>32526</v>
      </c>
      <c r="S1071" t="s">
        <v>32547</v>
      </c>
      <c r="T1071" t="s">
        <v>33185</v>
      </c>
      <c r="U1071" t="s">
        <v>34564</v>
      </c>
      <c r="W1071" t="s">
        <v>30032</v>
      </c>
      <c r="X1071" t="s">
        <v>32527</v>
      </c>
    </row>
    <row r="1072" spans="1:24">
      <c r="A1072">
        <f>HYPERLINK("https://www.philgeps.gov.ph/GEPSNONPILOT/Tender/SplashBidNoticeAbstractUI.aspx?menuIndex=3&amp;refID=7045393&amp;Result=3","7045393")</f>
        <v>0</v>
      </c>
      <c r="B1072" t="s">
        <v>404</v>
      </c>
      <c r="C1072" t="s">
        <v>3702</v>
      </c>
      <c r="D1072" t="s">
        <v>13002</v>
      </c>
      <c r="E1072" t="s">
        <v>14074</v>
      </c>
      <c r="F1072" t="s">
        <v>22436</v>
      </c>
      <c r="G1072" t="s">
        <v>22444</v>
      </c>
      <c r="H1072" t="s">
        <v>22455</v>
      </c>
      <c r="I1072" t="s">
        <v>22523</v>
      </c>
      <c r="J1072" t="s">
        <v>23410</v>
      </c>
      <c r="K1072" t="s">
        <v>29331</v>
      </c>
      <c r="M1072" t="s">
        <v>29983</v>
      </c>
      <c r="N1072" t="s">
        <v>32524</v>
      </c>
      <c r="O1072" t="s">
        <v>32525</v>
      </c>
      <c r="P1072">
        <v>0</v>
      </c>
      <c r="Q1072">
        <v>0</v>
      </c>
      <c r="R1072" t="s">
        <v>32526</v>
      </c>
      <c r="S1072" t="s">
        <v>32547</v>
      </c>
      <c r="T1072" t="s">
        <v>33182</v>
      </c>
      <c r="U1072" t="s">
        <v>34565</v>
      </c>
      <c r="W1072" t="s">
        <v>29983</v>
      </c>
      <c r="X1072" t="s">
        <v>32527</v>
      </c>
    </row>
    <row r="1073" spans="1:24">
      <c r="A1073">
        <f>HYPERLINK("https://www.philgeps.gov.ph/GEPSNONPILOT/Tender/SplashBidNoticeAbstractUI.aspx?menuIndex=3&amp;refID=7045389&amp;Result=3","7045389")</f>
        <v>0</v>
      </c>
      <c r="B1073" t="s">
        <v>203</v>
      </c>
      <c r="C1073" t="s">
        <v>3703</v>
      </c>
      <c r="D1073" t="s">
        <v>13000</v>
      </c>
      <c r="E1073" t="s">
        <v>13483</v>
      </c>
      <c r="F1073" t="s">
        <v>22436</v>
      </c>
      <c r="G1073" t="s">
        <v>22443</v>
      </c>
      <c r="H1073" t="s">
        <v>22453</v>
      </c>
      <c r="I1073" t="s">
        <v>22486</v>
      </c>
      <c r="J1073" t="s">
        <v>22664</v>
      </c>
      <c r="K1073" t="s">
        <v>29368</v>
      </c>
      <c r="M1073" t="s">
        <v>29776</v>
      </c>
      <c r="N1073" t="s">
        <v>32524</v>
      </c>
      <c r="O1073" t="s">
        <v>32525</v>
      </c>
      <c r="P1073">
        <v>0</v>
      </c>
      <c r="Q1073">
        <v>0</v>
      </c>
      <c r="R1073" t="s">
        <v>32526</v>
      </c>
      <c r="S1073" t="s">
        <v>32547</v>
      </c>
      <c r="T1073" t="s">
        <v>33154</v>
      </c>
      <c r="U1073" t="s">
        <v>34566</v>
      </c>
      <c r="W1073" t="s">
        <v>29776</v>
      </c>
      <c r="X1073" t="s">
        <v>32527</v>
      </c>
    </row>
    <row r="1074" spans="1:24">
      <c r="A1074">
        <f>HYPERLINK("https://www.philgeps.gov.ph/GEPSNONPILOT/Tender/SplashBidNoticeAbstractUI.aspx?menuIndex=3&amp;refID=7045390&amp;Result=3","7045390")</f>
        <v>0</v>
      </c>
      <c r="B1074" t="s">
        <v>451</v>
      </c>
      <c r="C1074" t="s">
        <v>3704</v>
      </c>
      <c r="D1074" t="s">
        <v>12988</v>
      </c>
      <c r="E1074" t="s">
        <v>14075</v>
      </c>
      <c r="F1074" t="s">
        <v>22436</v>
      </c>
      <c r="G1074" t="s">
        <v>22444</v>
      </c>
      <c r="H1074" t="s">
        <v>22452</v>
      </c>
      <c r="I1074" t="s">
        <v>2962</v>
      </c>
      <c r="J1074" t="s">
        <v>22893</v>
      </c>
      <c r="K1074" t="s">
        <v>29338</v>
      </c>
      <c r="M1074" t="s">
        <v>30033</v>
      </c>
      <c r="N1074" t="s">
        <v>32524</v>
      </c>
      <c r="O1074" t="s">
        <v>32525</v>
      </c>
      <c r="P1074">
        <v>0</v>
      </c>
      <c r="Q1074">
        <v>0</v>
      </c>
      <c r="R1074" t="s">
        <v>32526</v>
      </c>
      <c r="S1074" t="s">
        <v>32547</v>
      </c>
      <c r="T1074" t="s">
        <v>33182</v>
      </c>
      <c r="U1074" t="s">
        <v>34567</v>
      </c>
      <c r="W1074" t="s">
        <v>30033</v>
      </c>
      <c r="X1074" t="s">
        <v>32527</v>
      </c>
    </row>
    <row r="1075" spans="1:24">
      <c r="A1075">
        <f>HYPERLINK("https://www.philgeps.gov.ph/GEPSNONPILOT/Tender/SplashBidNoticeAbstractUI.aspx?menuIndex=3&amp;refID=7045392&amp;Result=3","7045392")</f>
        <v>0</v>
      </c>
      <c r="B1075" t="s">
        <v>468</v>
      </c>
      <c r="C1075" t="s">
        <v>3705</v>
      </c>
      <c r="D1075" t="s">
        <v>12996</v>
      </c>
      <c r="E1075" t="s">
        <v>13137</v>
      </c>
      <c r="F1075" t="s">
        <v>22436</v>
      </c>
      <c r="G1075" t="s">
        <v>22444</v>
      </c>
      <c r="H1075" t="s">
        <v>22452</v>
      </c>
      <c r="I1075" t="s">
        <v>6387</v>
      </c>
      <c r="J1075" t="s">
        <v>23411</v>
      </c>
      <c r="K1075" t="s">
        <v>29335</v>
      </c>
      <c r="M1075" t="s">
        <v>30052</v>
      </c>
      <c r="N1075" t="s">
        <v>32524</v>
      </c>
      <c r="O1075" t="s">
        <v>32525</v>
      </c>
      <c r="P1075">
        <v>0</v>
      </c>
      <c r="Q1075">
        <v>0</v>
      </c>
      <c r="R1075" t="s">
        <v>32526</v>
      </c>
      <c r="S1075" t="s">
        <v>32547</v>
      </c>
      <c r="T1075" t="s">
        <v>33182</v>
      </c>
      <c r="U1075" t="s">
        <v>34568</v>
      </c>
      <c r="W1075" t="s">
        <v>30052</v>
      </c>
      <c r="X1075" t="s">
        <v>32527</v>
      </c>
    </row>
    <row r="1076" spans="1:24">
      <c r="A1076">
        <f>HYPERLINK("https://www.philgeps.gov.ph/GEPSNONPILOT/Tender/SplashBidNoticeAbstractUI.aspx?menuIndex=3&amp;refID=7045386&amp;Result=3","7045386")</f>
        <v>0</v>
      </c>
      <c r="B1076" t="s">
        <v>31</v>
      </c>
      <c r="C1076" t="s">
        <v>3706</v>
      </c>
      <c r="D1076" t="s">
        <v>12995</v>
      </c>
      <c r="E1076" t="s">
        <v>14076</v>
      </c>
      <c r="F1076" t="s">
        <v>22437</v>
      </c>
      <c r="G1076" t="s">
        <v>22445</v>
      </c>
      <c r="H1076" t="s">
        <v>22452</v>
      </c>
      <c r="I1076" t="s">
        <v>22460</v>
      </c>
      <c r="J1076" t="s">
        <v>22865</v>
      </c>
      <c r="K1076" t="s">
        <v>29336</v>
      </c>
      <c r="M1076" t="s">
        <v>29601</v>
      </c>
      <c r="N1076" t="s">
        <v>32524</v>
      </c>
      <c r="O1076" t="s">
        <v>32525</v>
      </c>
      <c r="P1076">
        <v>0</v>
      </c>
      <c r="Q1076">
        <v>1</v>
      </c>
      <c r="R1076" t="s">
        <v>32526</v>
      </c>
      <c r="S1076" t="s">
        <v>32547</v>
      </c>
      <c r="T1076" t="s">
        <v>33153</v>
      </c>
      <c r="U1076" t="s">
        <v>34569</v>
      </c>
      <c r="W1076" t="s">
        <v>29601</v>
      </c>
      <c r="X1076" t="s">
        <v>32527</v>
      </c>
    </row>
    <row r="1077" spans="1:24">
      <c r="A1077">
        <f>HYPERLINK("https://www.philgeps.gov.ph/GEPSNONPILOT/Tender/SplashBidNoticeAbstractUI.aspx?menuIndex=3&amp;refID=7045387&amp;Result=3","7045387")</f>
        <v>0</v>
      </c>
      <c r="B1077" t="s">
        <v>469</v>
      </c>
      <c r="C1077" t="s">
        <v>3707</v>
      </c>
      <c r="D1077" t="s">
        <v>13055</v>
      </c>
      <c r="E1077" t="s">
        <v>14077</v>
      </c>
      <c r="F1077" t="s">
        <v>22436</v>
      </c>
      <c r="G1077" t="s">
        <v>22443</v>
      </c>
      <c r="H1077" t="s">
        <v>22452</v>
      </c>
      <c r="I1077" t="s">
        <v>22460</v>
      </c>
      <c r="J1077" t="s">
        <v>23412</v>
      </c>
      <c r="K1077" t="s">
        <v>29341</v>
      </c>
      <c r="M1077" t="s">
        <v>30053</v>
      </c>
      <c r="N1077" t="s">
        <v>32524</v>
      </c>
      <c r="O1077" t="s">
        <v>32525</v>
      </c>
      <c r="P1077">
        <v>0</v>
      </c>
      <c r="Q1077">
        <v>0</v>
      </c>
      <c r="R1077" t="s">
        <v>32526</v>
      </c>
      <c r="S1077" t="s">
        <v>32547</v>
      </c>
      <c r="T1077" t="s">
        <v>33210</v>
      </c>
      <c r="U1077" t="s">
        <v>34570</v>
      </c>
      <c r="W1077" t="s">
        <v>30053</v>
      </c>
      <c r="X1077" t="s">
        <v>32527</v>
      </c>
    </row>
    <row r="1078" spans="1:24">
      <c r="A1078">
        <f>HYPERLINK("https://www.philgeps.gov.ph/GEPSNONPILOT/Tender/SplashBidNoticeAbstractUI.aspx?menuIndex=3&amp;refID=7045400&amp;Result=3","7045400")</f>
        <v>0</v>
      </c>
      <c r="B1078" t="s">
        <v>386</v>
      </c>
      <c r="C1078" t="s">
        <v>3708</v>
      </c>
      <c r="D1078" t="s">
        <v>12988</v>
      </c>
      <c r="E1078" t="s">
        <v>14078</v>
      </c>
      <c r="F1078" t="s">
        <v>22436</v>
      </c>
      <c r="G1078" t="s">
        <v>22443</v>
      </c>
      <c r="H1078" t="s">
        <v>22452</v>
      </c>
      <c r="I1078" t="s">
        <v>5194</v>
      </c>
      <c r="J1078" t="s">
        <v>23413</v>
      </c>
      <c r="K1078" t="s">
        <v>29335</v>
      </c>
      <c r="M1078" t="s">
        <v>30048</v>
      </c>
      <c r="N1078" t="s">
        <v>32524</v>
      </c>
      <c r="O1078" t="s">
        <v>32525</v>
      </c>
      <c r="P1078">
        <v>0</v>
      </c>
      <c r="Q1078">
        <v>4</v>
      </c>
      <c r="R1078" t="s">
        <v>32526</v>
      </c>
      <c r="S1078" t="s">
        <v>32547</v>
      </c>
      <c r="T1078" t="s">
        <v>33167</v>
      </c>
      <c r="U1078" t="s">
        <v>34557</v>
      </c>
      <c r="W1078" t="s">
        <v>30048</v>
      </c>
      <c r="X1078" t="s">
        <v>32527</v>
      </c>
    </row>
    <row r="1079" spans="1:24">
      <c r="A1079">
        <f>HYPERLINK("https://www.philgeps.gov.ph/GEPSNONPILOT/Tender/SplashBidNoticeAbstractUI.aspx?menuIndex=3&amp;refID=7045376&amp;Result=3","7045376")</f>
        <v>0</v>
      </c>
      <c r="B1079" t="s">
        <v>450</v>
      </c>
      <c r="C1079" t="s">
        <v>3709</v>
      </c>
      <c r="D1079" t="s">
        <v>13009</v>
      </c>
      <c r="E1079" t="s">
        <v>14079</v>
      </c>
      <c r="F1079" t="s">
        <v>22436</v>
      </c>
      <c r="G1079" t="s">
        <v>22446</v>
      </c>
      <c r="H1079" t="s">
        <v>22452</v>
      </c>
      <c r="I1079" t="s">
        <v>3529</v>
      </c>
      <c r="J1079" t="s">
        <v>23414</v>
      </c>
      <c r="K1079" t="s">
        <v>29340</v>
      </c>
      <c r="M1079" t="s">
        <v>30032</v>
      </c>
      <c r="N1079" t="s">
        <v>32524</v>
      </c>
      <c r="O1079" t="s">
        <v>32525</v>
      </c>
      <c r="P1079">
        <v>0</v>
      </c>
      <c r="Q1079">
        <v>0</v>
      </c>
      <c r="R1079" t="s">
        <v>32526</v>
      </c>
      <c r="S1079" t="s">
        <v>32547</v>
      </c>
      <c r="T1079" t="s">
        <v>33185</v>
      </c>
      <c r="U1079" t="s">
        <v>34571</v>
      </c>
      <c r="W1079" t="s">
        <v>30032</v>
      </c>
      <c r="X1079" t="s">
        <v>32527</v>
      </c>
    </row>
    <row r="1080" spans="1:24">
      <c r="A1080">
        <f>HYPERLINK("https://www.philgeps.gov.ph/GEPSNONPILOT/Tender/SplashBidNoticeAbstractUI.aspx?menuIndex=3&amp;refID=7045404&amp;Result=3","7045404")</f>
        <v>0</v>
      </c>
      <c r="B1080" t="s">
        <v>50</v>
      </c>
      <c r="C1080" t="s">
        <v>3710</v>
      </c>
      <c r="D1080" t="s">
        <v>13008</v>
      </c>
      <c r="E1080" t="s">
        <v>14080</v>
      </c>
      <c r="F1080" t="s">
        <v>22436</v>
      </c>
      <c r="G1080" t="s">
        <v>22444</v>
      </c>
      <c r="H1080" t="s">
        <v>22452</v>
      </c>
      <c r="I1080" t="s">
        <v>22460</v>
      </c>
      <c r="J1080" t="s">
        <v>23415</v>
      </c>
      <c r="K1080" t="s">
        <v>29335</v>
      </c>
      <c r="M1080" t="s">
        <v>29622</v>
      </c>
      <c r="N1080" t="s">
        <v>32524</v>
      </c>
      <c r="O1080" t="s">
        <v>32525</v>
      </c>
      <c r="P1080">
        <v>0</v>
      </c>
      <c r="Q1080">
        <v>0</v>
      </c>
      <c r="R1080" t="s">
        <v>32526</v>
      </c>
      <c r="S1080" t="s">
        <v>32547</v>
      </c>
      <c r="T1080" t="s">
        <v>33166</v>
      </c>
      <c r="U1080" t="s">
        <v>34572</v>
      </c>
      <c r="W1080" t="s">
        <v>29622</v>
      </c>
      <c r="X1080" t="s">
        <v>32527</v>
      </c>
    </row>
    <row r="1081" spans="1:24">
      <c r="A1081">
        <f>HYPERLINK("https://www.philgeps.gov.ph/GEPSNONPILOT/Tender/SplashBidNoticeAbstractUI.aspx?menuIndex=3&amp;refID=7045398&amp;Result=3","7045398")</f>
        <v>0</v>
      </c>
      <c r="B1081" t="s">
        <v>469</v>
      </c>
      <c r="C1081" t="s">
        <v>3711</v>
      </c>
      <c r="D1081" t="s">
        <v>13055</v>
      </c>
      <c r="E1081" t="s">
        <v>14081</v>
      </c>
      <c r="F1081" t="s">
        <v>22436</v>
      </c>
      <c r="G1081" t="s">
        <v>22443</v>
      </c>
      <c r="H1081" t="s">
        <v>22452</v>
      </c>
      <c r="I1081" t="s">
        <v>22474</v>
      </c>
      <c r="J1081" t="s">
        <v>23226</v>
      </c>
      <c r="K1081" t="s">
        <v>29341</v>
      </c>
      <c r="M1081" t="s">
        <v>30053</v>
      </c>
      <c r="N1081" t="s">
        <v>32524</v>
      </c>
      <c r="O1081" t="s">
        <v>32525</v>
      </c>
      <c r="P1081">
        <v>0</v>
      </c>
      <c r="Q1081">
        <v>0</v>
      </c>
      <c r="R1081" t="s">
        <v>32526</v>
      </c>
      <c r="S1081" t="s">
        <v>32547</v>
      </c>
      <c r="T1081" t="s">
        <v>33210</v>
      </c>
      <c r="U1081" t="s">
        <v>34573</v>
      </c>
      <c r="W1081" t="s">
        <v>30053</v>
      </c>
      <c r="X1081" t="s">
        <v>32527</v>
      </c>
    </row>
    <row r="1082" spans="1:24">
      <c r="A1082">
        <f>HYPERLINK("https://www.philgeps.gov.ph/GEPSNONPILOT/Tender/SplashBidNoticeAbstractUI.aspx?menuIndex=3&amp;refID=7045403&amp;Result=3","7045403")</f>
        <v>0</v>
      </c>
      <c r="B1082" t="s">
        <v>81</v>
      </c>
      <c r="C1082" t="s">
        <v>3712</v>
      </c>
      <c r="D1082" t="s">
        <v>13010</v>
      </c>
      <c r="E1082" t="s">
        <v>14082</v>
      </c>
      <c r="F1082" t="s">
        <v>22436</v>
      </c>
      <c r="G1082" t="s">
        <v>22443</v>
      </c>
      <c r="H1082" t="s">
        <v>22452</v>
      </c>
      <c r="I1082" t="s">
        <v>3122</v>
      </c>
      <c r="J1082" t="s">
        <v>22829</v>
      </c>
      <c r="K1082" t="s">
        <v>29341</v>
      </c>
      <c r="M1082" t="s">
        <v>29653</v>
      </c>
      <c r="N1082" t="s">
        <v>32524</v>
      </c>
      <c r="O1082" t="s">
        <v>32525</v>
      </c>
      <c r="P1082">
        <v>0</v>
      </c>
      <c r="Q1082">
        <v>0</v>
      </c>
      <c r="R1082" t="s">
        <v>32526</v>
      </c>
      <c r="S1082" t="s">
        <v>32547</v>
      </c>
      <c r="T1082" t="s">
        <v>33206</v>
      </c>
      <c r="U1082" t="s">
        <v>34574</v>
      </c>
      <c r="W1082" t="s">
        <v>29653</v>
      </c>
      <c r="X1082" t="s">
        <v>32527</v>
      </c>
    </row>
    <row r="1083" spans="1:24">
      <c r="A1083">
        <f>HYPERLINK("https://www.philgeps.gov.ph/GEPSNONPILOT/Tender/SplashBidNoticeAbstractUI.aspx?menuIndex=3&amp;refID=7045413&amp;Result=3","7045413")</f>
        <v>0</v>
      </c>
      <c r="B1083" t="s">
        <v>380</v>
      </c>
      <c r="C1083" t="s">
        <v>3713</v>
      </c>
      <c r="D1083" t="s">
        <v>12996</v>
      </c>
      <c r="E1083" t="s">
        <v>14083</v>
      </c>
      <c r="F1083" t="s">
        <v>22436</v>
      </c>
      <c r="G1083" t="s">
        <v>22446</v>
      </c>
      <c r="H1083" t="s">
        <v>22452</v>
      </c>
      <c r="I1083" t="s">
        <v>22463</v>
      </c>
      <c r="J1083" t="s">
        <v>23416</v>
      </c>
      <c r="K1083" t="s">
        <v>29338</v>
      </c>
      <c r="M1083" t="s">
        <v>29958</v>
      </c>
      <c r="N1083" t="s">
        <v>32524</v>
      </c>
      <c r="O1083" t="s">
        <v>32525</v>
      </c>
      <c r="P1083">
        <v>0</v>
      </c>
      <c r="Q1083">
        <v>2</v>
      </c>
      <c r="R1083" t="s">
        <v>32526</v>
      </c>
      <c r="S1083" t="s">
        <v>32547</v>
      </c>
      <c r="T1083" t="s">
        <v>33294</v>
      </c>
      <c r="U1083" t="s">
        <v>34575</v>
      </c>
      <c r="W1083" t="s">
        <v>29958</v>
      </c>
      <c r="X1083" t="s">
        <v>32527</v>
      </c>
    </row>
    <row r="1084" spans="1:24">
      <c r="A1084">
        <f>HYPERLINK("https://www.philgeps.gov.ph/GEPSNONPILOT/Tender/SplashBidNoticeAbstractUI.aspx?menuIndex=3&amp;refID=7045399&amp;Result=3","7045399")</f>
        <v>0</v>
      </c>
      <c r="B1084" t="s">
        <v>470</v>
      </c>
      <c r="C1084" t="s">
        <v>3714</v>
      </c>
      <c r="D1084" t="s">
        <v>13028</v>
      </c>
      <c r="E1084" t="s">
        <v>14084</v>
      </c>
      <c r="F1084" t="s">
        <v>22436</v>
      </c>
      <c r="G1084" t="s">
        <v>22443</v>
      </c>
      <c r="H1084" t="s">
        <v>22452</v>
      </c>
      <c r="I1084" t="s">
        <v>22526</v>
      </c>
      <c r="J1084" t="s">
        <v>22802</v>
      </c>
      <c r="K1084" t="s">
        <v>29341</v>
      </c>
      <c r="M1084" t="s">
        <v>30054</v>
      </c>
      <c r="N1084" t="s">
        <v>32524</v>
      </c>
      <c r="O1084" t="s">
        <v>32525</v>
      </c>
      <c r="P1084">
        <v>0</v>
      </c>
      <c r="Q1084">
        <v>0</v>
      </c>
      <c r="R1084" t="s">
        <v>32526</v>
      </c>
      <c r="S1084" t="s">
        <v>32547</v>
      </c>
      <c r="T1084" t="s">
        <v>33168</v>
      </c>
      <c r="U1084" t="s">
        <v>34576</v>
      </c>
      <c r="W1084" t="s">
        <v>30054</v>
      </c>
      <c r="X1084" t="s">
        <v>32527</v>
      </c>
    </row>
    <row r="1085" spans="1:24">
      <c r="A1085">
        <f>HYPERLINK("https://www.philgeps.gov.ph/GEPSNONPILOT/Tender/SplashBidNoticeAbstractUI.aspx?menuIndex=3&amp;refID=7045402&amp;Result=3","7045402")</f>
        <v>0</v>
      </c>
      <c r="B1085" t="s">
        <v>304</v>
      </c>
      <c r="C1085" t="s">
        <v>3715</v>
      </c>
      <c r="D1085" t="s">
        <v>13000</v>
      </c>
      <c r="E1085" t="s">
        <v>14085</v>
      </c>
      <c r="F1085" t="s">
        <v>22436</v>
      </c>
      <c r="G1085" t="s">
        <v>22444</v>
      </c>
      <c r="H1085" t="s">
        <v>22452</v>
      </c>
      <c r="I1085" t="s">
        <v>3381</v>
      </c>
      <c r="J1085" t="s">
        <v>22893</v>
      </c>
      <c r="K1085" t="s">
        <v>29341</v>
      </c>
      <c r="M1085" t="s">
        <v>29878</v>
      </c>
      <c r="N1085" t="s">
        <v>32524</v>
      </c>
      <c r="O1085" t="s">
        <v>32525</v>
      </c>
      <c r="P1085">
        <v>0</v>
      </c>
      <c r="Q1085">
        <v>0</v>
      </c>
      <c r="R1085" t="s">
        <v>32526</v>
      </c>
      <c r="S1085" t="s">
        <v>32547</v>
      </c>
      <c r="T1085" t="s">
        <v>33171</v>
      </c>
      <c r="U1085" t="s">
        <v>34577</v>
      </c>
      <c r="V1085" t="s">
        <v>42522</v>
      </c>
      <c r="W1085" t="s">
        <v>29878</v>
      </c>
      <c r="X1085" t="s">
        <v>32527</v>
      </c>
    </row>
    <row r="1086" spans="1:24">
      <c r="A1086">
        <f>HYPERLINK("https://www.philgeps.gov.ph/GEPSNONPILOT/Tender/SplashBidNoticeAbstractUI.aspx?menuIndex=3&amp;refID=7045411&amp;Result=3","7045411")</f>
        <v>0</v>
      </c>
      <c r="B1086" t="s">
        <v>440</v>
      </c>
      <c r="C1086" t="s">
        <v>3716</v>
      </c>
      <c r="D1086" t="s">
        <v>13000</v>
      </c>
      <c r="E1086" t="s">
        <v>14086</v>
      </c>
      <c r="F1086" t="s">
        <v>22436</v>
      </c>
      <c r="G1086" t="s">
        <v>22443</v>
      </c>
      <c r="H1086" t="s">
        <v>22452</v>
      </c>
      <c r="I1086" t="s">
        <v>3027</v>
      </c>
      <c r="J1086" t="s">
        <v>23417</v>
      </c>
      <c r="K1086" t="s">
        <v>29357</v>
      </c>
      <c r="M1086" t="s">
        <v>30021</v>
      </c>
      <c r="N1086" t="s">
        <v>32524</v>
      </c>
      <c r="O1086" t="s">
        <v>32525</v>
      </c>
      <c r="P1086">
        <v>0</v>
      </c>
      <c r="Q1086">
        <v>0</v>
      </c>
      <c r="R1086" t="s">
        <v>32526</v>
      </c>
      <c r="S1086" t="s">
        <v>32547</v>
      </c>
      <c r="T1086" t="s">
        <v>33167</v>
      </c>
      <c r="U1086" t="s">
        <v>34503</v>
      </c>
      <c r="W1086" t="s">
        <v>30021</v>
      </c>
      <c r="X1086" t="s">
        <v>32527</v>
      </c>
    </row>
    <row r="1087" spans="1:24">
      <c r="A1087">
        <f>HYPERLINK("https://www.philgeps.gov.ph/GEPSNONPILOT/Tender/SplashBidNoticeAbstractUI.aspx?menuIndex=3&amp;refID=7045412&amp;Result=3","7045412")</f>
        <v>0</v>
      </c>
      <c r="B1087" t="s">
        <v>471</v>
      </c>
      <c r="C1087" t="s">
        <v>3717</v>
      </c>
      <c r="D1087" t="s">
        <v>13031</v>
      </c>
      <c r="E1087" t="s">
        <v>14087</v>
      </c>
      <c r="F1087" t="s">
        <v>22436</v>
      </c>
      <c r="G1087" t="s">
        <v>22443</v>
      </c>
      <c r="H1087" t="s">
        <v>22452</v>
      </c>
      <c r="I1087" t="s">
        <v>22463</v>
      </c>
      <c r="J1087" t="s">
        <v>22640</v>
      </c>
      <c r="K1087" t="s">
        <v>29331</v>
      </c>
      <c r="M1087" t="s">
        <v>30055</v>
      </c>
      <c r="N1087" t="s">
        <v>32524</v>
      </c>
      <c r="O1087" t="s">
        <v>32525</v>
      </c>
      <c r="P1087">
        <v>0</v>
      </c>
      <c r="Q1087">
        <v>0</v>
      </c>
      <c r="R1087" t="s">
        <v>32526</v>
      </c>
      <c r="S1087" t="s">
        <v>32547</v>
      </c>
      <c r="T1087" t="s">
        <v>33167</v>
      </c>
      <c r="U1087" t="s">
        <v>34578</v>
      </c>
      <c r="V1087" t="s">
        <v>42523</v>
      </c>
      <c r="W1087" t="s">
        <v>30055</v>
      </c>
      <c r="X1087" t="s">
        <v>32527</v>
      </c>
    </row>
    <row r="1088" spans="1:24">
      <c r="A1088">
        <f>HYPERLINK("https://www.philgeps.gov.ph/GEPSNONPILOT/Tender/SplashBidNoticeAbstractUI.aspx?menuIndex=3&amp;refID=7045401&amp;Result=3","7045401")</f>
        <v>0</v>
      </c>
      <c r="B1088" t="s">
        <v>472</v>
      </c>
      <c r="C1088" t="s">
        <v>3718</v>
      </c>
      <c r="D1088" t="s">
        <v>13041</v>
      </c>
      <c r="E1088" t="s">
        <v>14088</v>
      </c>
      <c r="F1088" t="s">
        <v>22436</v>
      </c>
      <c r="G1088" t="s">
        <v>22446</v>
      </c>
      <c r="H1088" t="s">
        <v>22452</v>
      </c>
      <c r="I1088" t="s">
        <v>3529</v>
      </c>
      <c r="J1088" t="s">
        <v>23418</v>
      </c>
      <c r="K1088" t="s">
        <v>29341</v>
      </c>
      <c r="M1088" t="s">
        <v>30056</v>
      </c>
      <c r="N1088" t="s">
        <v>32524</v>
      </c>
      <c r="O1088" t="s">
        <v>32525</v>
      </c>
      <c r="P1088">
        <v>0</v>
      </c>
      <c r="Q1088">
        <v>2</v>
      </c>
      <c r="R1088" t="s">
        <v>32526</v>
      </c>
      <c r="S1088" t="s">
        <v>32547</v>
      </c>
      <c r="T1088" t="s">
        <v>33169</v>
      </c>
      <c r="U1088" t="s">
        <v>34579</v>
      </c>
      <c r="W1088" t="s">
        <v>43684</v>
      </c>
      <c r="X1088" t="s">
        <v>32527</v>
      </c>
    </row>
    <row r="1089" spans="1:24">
      <c r="A1089">
        <f>HYPERLINK("https://www.philgeps.gov.ph/GEPSNONPILOT/Tender/SplashBidNoticeAbstractUI.aspx?menuIndex=3&amp;refID=7045419&amp;Result=3","7045419")</f>
        <v>0</v>
      </c>
      <c r="B1089" t="s">
        <v>199</v>
      </c>
      <c r="C1089" t="s">
        <v>3700</v>
      </c>
      <c r="D1089" t="s">
        <v>13009</v>
      </c>
      <c r="E1089" t="s">
        <v>14089</v>
      </c>
      <c r="F1089" t="s">
        <v>22436</v>
      </c>
      <c r="G1089" t="s">
        <v>22443</v>
      </c>
      <c r="H1089" t="s">
        <v>22452</v>
      </c>
      <c r="I1089" t="s">
        <v>6421</v>
      </c>
      <c r="J1089" t="s">
        <v>23419</v>
      </c>
      <c r="K1089" t="s">
        <v>29338</v>
      </c>
      <c r="M1089" t="s">
        <v>30051</v>
      </c>
      <c r="N1089" t="s">
        <v>32524</v>
      </c>
      <c r="O1089" t="s">
        <v>32525</v>
      </c>
      <c r="P1089">
        <v>0</v>
      </c>
      <c r="Q1089">
        <v>1</v>
      </c>
      <c r="R1089" t="s">
        <v>32526</v>
      </c>
      <c r="S1089" t="s">
        <v>32547</v>
      </c>
      <c r="T1089" t="s">
        <v>33235</v>
      </c>
      <c r="U1089" t="s">
        <v>34580</v>
      </c>
      <c r="W1089" t="s">
        <v>30051</v>
      </c>
      <c r="X1089" t="s">
        <v>32527</v>
      </c>
    </row>
    <row r="1090" spans="1:24">
      <c r="A1090">
        <f>HYPERLINK("https://www.philgeps.gov.ph/GEPSNONPILOT/Tender/SplashBidNoticeAbstractUI.aspx?menuIndex=3&amp;refID=7045418&amp;Result=3","7045418")</f>
        <v>0</v>
      </c>
      <c r="B1090" t="s">
        <v>192</v>
      </c>
      <c r="C1090" t="s">
        <v>3719</v>
      </c>
      <c r="D1090" t="s">
        <v>13048</v>
      </c>
      <c r="E1090" t="s">
        <v>14090</v>
      </c>
      <c r="F1090" t="s">
        <v>22436</v>
      </c>
      <c r="G1090" t="s">
        <v>22444</v>
      </c>
      <c r="H1090" t="s">
        <v>22454</v>
      </c>
      <c r="I1090" t="s">
        <v>7738</v>
      </c>
      <c r="J1090" t="s">
        <v>22779</v>
      </c>
      <c r="K1090" t="s">
        <v>29338</v>
      </c>
      <c r="M1090" t="s">
        <v>29765</v>
      </c>
      <c r="N1090" t="s">
        <v>32524</v>
      </c>
      <c r="O1090" t="s">
        <v>32525</v>
      </c>
      <c r="P1090">
        <v>0</v>
      </c>
      <c r="Q1090">
        <v>0</v>
      </c>
      <c r="R1090" t="s">
        <v>32526</v>
      </c>
      <c r="S1090" t="s">
        <v>32547</v>
      </c>
      <c r="T1090" t="s">
        <v>33170</v>
      </c>
      <c r="U1090" t="s">
        <v>33981</v>
      </c>
      <c r="W1090" t="s">
        <v>29765</v>
      </c>
      <c r="X1090" t="s">
        <v>32527</v>
      </c>
    </row>
    <row r="1091" spans="1:24">
      <c r="A1091">
        <f>HYPERLINK("https://www.philgeps.gov.ph/GEPSNONPILOT/Tender/SplashBidNoticeAbstractUI.aspx?menuIndex=3&amp;refID=7045407&amp;Result=3","7045407")</f>
        <v>0</v>
      </c>
      <c r="B1091" t="s">
        <v>473</v>
      </c>
      <c r="C1091" t="s">
        <v>3720</v>
      </c>
      <c r="D1091" t="s">
        <v>13012</v>
      </c>
      <c r="E1091" t="s">
        <v>14091</v>
      </c>
      <c r="F1091" t="s">
        <v>22436</v>
      </c>
      <c r="G1091" t="s">
        <v>22444</v>
      </c>
      <c r="H1091" t="s">
        <v>22452</v>
      </c>
      <c r="I1091" t="s">
        <v>22502</v>
      </c>
      <c r="J1091" t="s">
        <v>23316</v>
      </c>
      <c r="K1091" t="s">
        <v>29329</v>
      </c>
      <c r="M1091" t="s">
        <v>30057</v>
      </c>
      <c r="N1091" t="s">
        <v>32524</v>
      </c>
      <c r="O1091" t="s">
        <v>32525</v>
      </c>
      <c r="P1091">
        <v>0</v>
      </c>
      <c r="Q1091">
        <v>29</v>
      </c>
      <c r="R1091" t="s">
        <v>32526</v>
      </c>
      <c r="S1091" t="s">
        <v>32547</v>
      </c>
      <c r="T1091" t="s">
        <v>33266</v>
      </c>
      <c r="U1091" t="s">
        <v>34581</v>
      </c>
      <c r="W1091" t="s">
        <v>30057</v>
      </c>
      <c r="X1091" t="s">
        <v>32527</v>
      </c>
    </row>
    <row r="1092" spans="1:24">
      <c r="A1092">
        <f>HYPERLINK("https://www.philgeps.gov.ph/GEPSNONPILOT/Tender/SplashBidNoticeAbstractUI.aspx?menuIndex=3&amp;refID=7045377&amp;Result=3","7045377")</f>
        <v>0</v>
      </c>
      <c r="B1092" t="s">
        <v>474</v>
      </c>
      <c r="C1092" t="s">
        <v>3721</v>
      </c>
      <c r="D1092" t="s">
        <v>13018</v>
      </c>
      <c r="E1092" t="s">
        <v>14092</v>
      </c>
      <c r="F1092" t="s">
        <v>22436</v>
      </c>
      <c r="G1092" t="s">
        <v>22444</v>
      </c>
      <c r="H1092" t="s">
        <v>22454</v>
      </c>
      <c r="I1092" t="s">
        <v>3529</v>
      </c>
      <c r="J1092" t="s">
        <v>22853</v>
      </c>
      <c r="K1092" t="s">
        <v>29334</v>
      </c>
      <c r="M1092" t="s">
        <v>30058</v>
      </c>
      <c r="N1092" t="s">
        <v>32524</v>
      </c>
      <c r="O1092" t="s">
        <v>32525</v>
      </c>
      <c r="P1092">
        <v>0</v>
      </c>
      <c r="Q1092">
        <v>0</v>
      </c>
      <c r="R1092" t="s">
        <v>32526</v>
      </c>
      <c r="S1092" t="s">
        <v>32547</v>
      </c>
      <c r="T1092" t="s">
        <v>33295</v>
      </c>
      <c r="U1092" t="s">
        <v>34582</v>
      </c>
      <c r="W1092" t="s">
        <v>30058</v>
      </c>
      <c r="X1092" t="s">
        <v>32527</v>
      </c>
    </row>
    <row r="1093" spans="1:24">
      <c r="A1093">
        <f>HYPERLINK("https://www.philgeps.gov.ph/GEPSNONPILOT/Tender/SplashBidNoticeAbstractUI.aspx?menuIndex=3&amp;refID=7045417&amp;Result=3","7045417")</f>
        <v>0</v>
      </c>
      <c r="B1093" t="s">
        <v>324</v>
      </c>
      <c r="C1093" t="s">
        <v>3722</v>
      </c>
      <c r="E1093" t="s">
        <v>14093</v>
      </c>
      <c r="F1093" t="s">
        <v>22436</v>
      </c>
      <c r="G1093" t="s">
        <v>22443</v>
      </c>
      <c r="H1093" t="s">
        <v>22452</v>
      </c>
      <c r="I1093" t="s">
        <v>5194</v>
      </c>
      <c r="J1093" t="s">
        <v>23226</v>
      </c>
      <c r="K1093" t="s">
        <v>29338</v>
      </c>
      <c r="M1093" t="s">
        <v>29900</v>
      </c>
      <c r="N1093" t="s">
        <v>32524</v>
      </c>
      <c r="O1093" t="s">
        <v>32525</v>
      </c>
      <c r="P1093">
        <v>0</v>
      </c>
      <c r="Q1093">
        <v>4</v>
      </c>
      <c r="R1093" t="s">
        <v>32526</v>
      </c>
      <c r="S1093" t="s">
        <v>32547</v>
      </c>
      <c r="T1093" t="s">
        <v>33183</v>
      </c>
      <c r="U1093" t="s">
        <v>34583</v>
      </c>
      <c r="W1093" t="s">
        <v>29900</v>
      </c>
      <c r="X1093" t="s">
        <v>32527</v>
      </c>
    </row>
    <row r="1094" spans="1:24">
      <c r="A1094">
        <f>HYPERLINK("https://www.philgeps.gov.ph/GEPSNONPILOT/Tender/SplashBidNoticeAbstractUI.aspx?menuIndex=3&amp;refID=7045410&amp;Result=3","7045410")</f>
        <v>0</v>
      </c>
      <c r="B1094" t="s">
        <v>391</v>
      </c>
      <c r="C1094" t="s">
        <v>3723</v>
      </c>
      <c r="D1094" t="s">
        <v>13000</v>
      </c>
      <c r="E1094" t="s">
        <v>14094</v>
      </c>
      <c r="F1094" t="s">
        <v>22436</v>
      </c>
      <c r="G1094" t="s">
        <v>22446</v>
      </c>
      <c r="H1094" t="s">
        <v>22452</v>
      </c>
      <c r="I1094" t="s">
        <v>22469</v>
      </c>
      <c r="J1094" t="s">
        <v>22692</v>
      </c>
      <c r="K1094" t="s">
        <v>29356</v>
      </c>
      <c r="M1094" t="s">
        <v>29970</v>
      </c>
      <c r="N1094" t="s">
        <v>32524</v>
      </c>
      <c r="O1094" t="s">
        <v>32525</v>
      </c>
      <c r="P1094">
        <v>0</v>
      </c>
      <c r="Q1094">
        <v>0</v>
      </c>
      <c r="R1094" t="s">
        <v>32526</v>
      </c>
      <c r="S1094" t="s">
        <v>32547</v>
      </c>
      <c r="T1094" t="s">
        <v>33172</v>
      </c>
      <c r="U1094" t="s">
        <v>34584</v>
      </c>
      <c r="W1094" t="s">
        <v>29970</v>
      </c>
      <c r="X1094" t="s">
        <v>32527</v>
      </c>
    </row>
    <row r="1095" spans="1:24">
      <c r="A1095">
        <f>HYPERLINK("https://www.philgeps.gov.ph/GEPSNONPILOT/Tender/SplashBidNoticeAbstractUI.aspx?menuIndex=3&amp;refID=7045416&amp;Result=3","7045416")</f>
        <v>0</v>
      </c>
      <c r="B1095" t="s">
        <v>49</v>
      </c>
      <c r="C1095" t="s">
        <v>3724</v>
      </c>
      <c r="D1095" t="s">
        <v>13006</v>
      </c>
      <c r="E1095" t="s">
        <v>14095</v>
      </c>
      <c r="F1095" t="s">
        <v>22436</v>
      </c>
      <c r="G1095" t="s">
        <v>22444</v>
      </c>
      <c r="H1095" t="s">
        <v>22452</v>
      </c>
      <c r="I1095" t="s">
        <v>3529</v>
      </c>
      <c r="J1095" t="s">
        <v>23420</v>
      </c>
      <c r="K1095" t="s">
        <v>29335</v>
      </c>
      <c r="M1095" t="s">
        <v>29621</v>
      </c>
      <c r="N1095" t="s">
        <v>32524</v>
      </c>
      <c r="O1095" t="s">
        <v>32525</v>
      </c>
      <c r="P1095">
        <v>0</v>
      </c>
      <c r="Q1095">
        <v>0</v>
      </c>
      <c r="R1095" t="s">
        <v>32526</v>
      </c>
      <c r="S1095" t="s">
        <v>32547</v>
      </c>
      <c r="T1095" t="s">
        <v>33170</v>
      </c>
      <c r="U1095" t="s">
        <v>34585</v>
      </c>
      <c r="V1095" t="s">
        <v>42425</v>
      </c>
      <c r="W1095" t="s">
        <v>29621</v>
      </c>
      <c r="X1095" t="s">
        <v>32527</v>
      </c>
    </row>
    <row r="1096" spans="1:24">
      <c r="A1096">
        <f>HYPERLINK("https://www.philgeps.gov.ph/GEPSNONPILOT/Tender/SplashBidNoticeAbstractUI.aspx?menuIndex=3&amp;refID=7045414&amp;Result=3","7045414")</f>
        <v>0</v>
      </c>
      <c r="B1096" t="s">
        <v>475</v>
      </c>
      <c r="C1096" t="s">
        <v>3725</v>
      </c>
      <c r="E1096" t="s">
        <v>14096</v>
      </c>
      <c r="F1096" t="s">
        <v>22436</v>
      </c>
      <c r="G1096" t="s">
        <v>22443</v>
      </c>
      <c r="H1096" t="s">
        <v>22452</v>
      </c>
      <c r="I1096" t="s">
        <v>22527</v>
      </c>
      <c r="J1096" t="s">
        <v>23421</v>
      </c>
      <c r="K1096" t="s">
        <v>29338</v>
      </c>
      <c r="M1096" t="s">
        <v>30059</v>
      </c>
      <c r="N1096" t="s">
        <v>32524</v>
      </c>
      <c r="O1096" t="s">
        <v>32525</v>
      </c>
      <c r="P1096">
        <v>0</v>
      </c>
      <c r="Q1096">
        <v>0</v>
      </c>
      <c r="R1096" t="s">
        <v>32526</v>
      </c>
      <c r="S1096" t="s">
        <v>32547</v>
      </c>
      <c r="T1096" t="s">
        <v>33196</v>
      </c>
      <c r="U1096" t="s">
        <v>34586</v>
      </c>
      <c r="W1096" t="s">
        <v>30059</v>
      </c>
      <c r="X1096" t="s">
        <v>32527</v>
      </c>
    </row>
    <row r="1097" spans="1:24">
      <c r="A1097">
        <f>HYPERLINK("https://www.philgeps.gov.ph/GEPSNONPILOT/Tender/SplashBidNoticeAbstractUI.aspx?menuIndex=3&amp;refID=7045415&amp;Result=3","7045415")</f>
        <v>0</v>
      </c>
      <c r="B1097" t="s">
        <v>472</v>
      </c>
      <c r="C1097" t="s">
        <v>3726</v>
      </c>
      <c r="D1097" t="s">
        <v>13041</v>
      </c>
      <c r="E1097" t="s">
        <v>14097</v>
      </c>
      <c r="F1097" t="s">
        <v>22436</v>
      </c>
      <c r="G1097" t="s">
        <v>22443</v>
      </c>
      <c r="H1097" t="s">
        <v>22452</v>
      </c>
      <c r="I1097" t="s">
        <v>22463</v>
      </c>
      <c r="J1097" t="s">
        <v>23356</v>
      </c>
      <c r="K1097" t="s">
        <v>29341</v>
      </c>
      <c r="M1097" t="s">
        <v>30056</v>
      </c>
      <c r="N1097" t="s">
        <v>32524</v>
      </c>
      <c r="O1097" t="s">
        <v>32525</v>
      </c>
      <c r="P1097">
        <v>0</v>
      </c>
      <c r="Q1097">
        <v>10</v>
      </c>
      <c r="R1097" t="s">
        <v>32526</v>
      </c>
      <c r="S1097" t="s">
        <v>32547</v>
      </c>
      <c r="T1097" t="s">
        <v>33169</v>
      </c>
      <c r="U1097" t="s">
        <v>34587</v>
      </c>
      <c r="W1097" t="s">
        <v>43684</v>
      </c>
      <c r="X1097" t="s">
        <v>32527</v>
      </c>
    </row>
    <row r="1098" spans="1:24">
      <c r="A1098">
        <f>HYPERLINK("https://www.philgeps.gov.ph/GEPSNONPILOT/Tender/SplashBidNoticeAbstractUI.aspx?menuIndex=3&amp;refID=7045384&amp;Result=3","7045384")</f>
        <v>0</v>
      </c>
      <c r="B1098" t="s">
        <v>110</v>
      </c>
      <c r="C1098" t="s">
        <v>3727</v>
      </c>
      <c r="D1098" t="s">
        <v>13028</v>
      </c>
      <c r="E1098" t="s">
        <v>14098</v>
      </c>
      <c r="F1098" t="s">
        <v>22436</v>
      </c>
      <c r="G1098" t="s">
        <v>22443</v>
      </c>
      <c r="H1098" t="s">
        <v>22452</v>
      </c>
      <c r="I1098" t="s">
        <v>22469</v>
      </c>
      <c r="J1098" t="s">
        <v>23422</v>
      </c>
      <c r="K1098" t="s">
        <v>29341</v>
      </c>
      <c r="M1098" t="s">
        <v>29682</v>
      </c>
      <c r="N1098" t="s">
        <v>32524</v>
      </c>
      <c r="O1098" t="s">
        <v>32525</v>
      </c>
      <c r="P1098">
        <v>0</v>
      </c>
      <c r="Q1098">
        <v>0</v>
      </c>
      <c r="R1098" t="s">
        <v>32526</v>
      </c>
      <c r="S1098" t="s">
        <v>32547</v>
      </c>
      <c r="T1098" t="s">
        <v>33211</v>
      </c>
      <c r="U1098" t="s">
        <v>34588</v>
      </c>
      <c r="W1098" t="s">
        <v>29682</v>
      </c>
      <c r="X1098" t="s">
        <v>32527</v>
      </c>
    </row>
    <row r="1099" spans="1:24">
      <c r="A1099">
        <f>HYPERLINK("https://www.philgeps.gov.ph/GEPSNONPILOT/Tender/SplashBidNoticeAbstractUI.aspx?menuIndex=3&amp;refID=7045406&amp;Result=3","7045406")</f>
        <v>0</v>
      </c>
      <c r="B1099" t="s">
        <v>476</v>
      </c>
      <c r="C1099" t="s">
        <v>3728</v>
      </c>
      <c r="D1099" t="s">
        <v>13064</v>
      </c>
      <c r="E1099" t="s">
        <v>13487</v>
      </c>
      <c r="F1099" t="s">
        <v>22436</v>
      </c>
      <c r="G1099" t="s">
        <v>22446</v>
      </c>
      <c r="H1099" t="s">
        <v>22452</v>
      </c>
      <c r="I1099" t="s">
        <v>5194</v>
      </c>
      <c r="J1099" t="s">
        <v>23423</v>
      </c>
      <c r="K1099" t="s">
        <v>29335</v>
      </c>
      <c r="M1099" t="s">
        <v>30060</v>
      </c>
      <c r="N1099" t="s">
        <v>32524</v>
      </c>
      <c r="O1099" t="s">
        <v>32525</v>
      </c>
      <c r="P1099">
        <v>0</v>
      </c>
      <c r="Q1099">
        <v>0</v>
      </c>
      <c r="R1099" t="s">
        <v>32526</v>
      </c>
      <c r="S1099" t="s">
        <v>32547</v>
      </c>
      <c r="T1099" t="s">
        <v>33296</v>
      </c>
      <c r="U1099" t="s">
        <v>34589</v>
      </c>
      <c r="V1099" t="s">
        <v>42524</v>
      </c>
      <c r="W1099" t="s">
        <v>30060</v>
      </c>
      <c r="X1099" t="s">
        <v>32527</v>
      </c>
    </row>
    <row r="1100" spans="1:24">
      <c r="A1100">
        <f>HYPERLINK("https://www.philgeps.gov.ph/GEPSNONPILOT/Tender/SplashBidNoticeAbstractUI.aspx?menuIndex=3&amp;refID=7045421&amp;Result=3","7045421")</f>
        <v>0</v>
      </c>
      <c r="B1100" t="s">
        <v>477</v>
      </c>
      <c r="C1100" t="s">
        <v>3729</v>
      </c>
      <c r="D1100" t="s">
        <v>13016</v>
      </c>
      <c r="E1100" t="s">
        <v>14099</v>
      </c>
      <c r="F1100" t="s">
        <v>22436</v>
      </c>
      <c r="G1100" t="s">
        <v>22443</v>
      </c>
      <c r="H1100" t="s">
        <v>22452</v>
      </c>
      <c r="I1100" t="s">
        <v>3122</v>
      </c>
      <c r="J1100" t="s">
        <v>23424</v>
      </c>
      <c r="K1100" t="s">
        <v>29338</v>
      </c>
      <c r="M1100" t="s">
        <v>30061</v>
      </c>
      <c r="N1100" t="s">
        <v>32524</v>
      </c>
      <c r="O1100" t="s">
        <v>32525</v>
      </c>
      <c r="P1100">
        <v>0</v>
      </c>
      <c r="Q1100">
        <v>0</v>
      </c>
      <c r="R1100" t="s">
        <v>32526</v>
      </c>
      <c r="S1100" t="s">
        <v>32547</v>
      </c>
      <c r="T1100" t="s">
        <v>33235</v>
      </c>
      <c r="U1100" t="s">
        <v>34590</v>
      </c>
      <c r="W1100" t="s">
        <v>30061</v>
      </c>
      <c r="X1100" t="s">
        <v>32527</v>
      </c>
    </row>
    <row r="1101" spans="1:24">
      <c r="A1101">
        <f>HYPERLINK("https://www.philgeps.gov.ph/GEPSNONPILOT/Tender/SplashBidNoticeAbstractUI.aspx?menuIndex=3&amp;refID=7045408&amp;Result=3","7045408")</f>
        <v>0</v>
      </c>
      <c r="B1101" t="s">
        <v>462</v>
      </c>
      <c r="C1101" t="s">
        <v>3730</v>
      </c>
      <c r="D1101" t="s">
        <v>12988</v>
      </c>
      <c r="E1101" t="s">
        <v>14100</v>
      </c>
      <c r="F1101" t="s">
        <v>22436</v>
      </c>
      <c r="G1101" t="s">
        <v>22445</v>
      </c>
      <c r="H1101" t="s">
        <v>22452</v>
      </c>
      <c r="I1101" t="s">
        <v>22465</v>
      </c>
      <c r="J1101" t="s">
        <v>23425</v>
      </c>
      <c r="K1101" t="s">
        <v>29336</v>
      </c>
      <c r="M1101" t="s">
        <v>30044</v>
      </c>
      <c r="N1101" t="s">
        <v>32524</v>
      </c>
      <c r="O1101" t="s">
        <v>32525</v>
      </c>
      <c r="P1101">
        <v>0</v>
      </c>
      <c r="Q1101">
        <v>0</v>
      </c>
      <c r="R1101" t="s">
        <v>32526</v>
      </c>
      <c r="S1101" t="s">
        <v>32547</v>
      </c>
      <c r="T1101" t="s">
        <v>33155</v>
      </c>
      <c r="U1101" t="s">
        <v>34591</v>
      </c>
      <c r="W1101" t="s">
        <v>43683</v>
      </c>
      <c r="X1101" t="s">
        <v>32527</v>
      </c>
    </row>
    <row r="1102" spans="1:24">
      <c r="A1102">
        <f>HYPERLINK("https://www.philgeps.gov.ph/GEPSNONPILOT/Tender/SplashBidNoticeAbstractUI.aspx?menuIndex=3&amp;refID=7045385&amp;Result=3","7045385")</f>
        <v>0</v>
      </c>
      <c r="B1102" t="s">
        <v>478</v>
      </c>
      <c r="C1102" t="s">
        <v>3731</v>
      </c>
      <c r="D1102" t="s">
        <v>13007</v>
      </c>
      <c r="E1102" t="s">
        <v>14101</v>
      </c>
      <c r="F1102" t="s">
        <v>22436</v>
      </c>
      <c r="G1102" t="s">
        <v>22444</v>
      </c>
      <c r="H1102" t="s">
        <v>22454</v>
      </c>
      <c r="I1102" t="s">
        <v>3529</v>
      </c>
      <c r="J1102" t="s">
        <v>22692</v>
      </c>
      <c r="K1102" t="s">
        <v>29340</v>
      </c>
      <c r="M1102" t="s">
        <v>30062</v>
      </c>
      <c r="N1102" t="s">
        <v>32524</v>
      </c>
      <c r="O1102" t="s">
        <v>32525</v>
      </c>
      <c r="P1102">
        <v>0</v>
      </c>
      <c r="Q1102">
        <v>0</v>
      </c>
      <c r="R1102" t="s">
        <v>32526</v>
      </c>
      <c r="S1102" t="s">
        <v>32547</v>
      </c>
      <c r="T1102" t="s">
        <v>33297</v>
      </c>
      <c r="U1102" t="s">
        <v>34592</v>
      </c>
      <c r="W1102" t="s">
        <v>30062</v>
      </c>
      <c r="X1102" t="s">
        <v>32527</v>
      </c>
    </row>
    <row r="1103" spans="1:24">
      <c r="A1103">
        <f>HYPERLINK("https://www.philgeps.gov.ph/GEPSNONPILOT/Tender/SplashBidNoticeAbstractUI.aspx?menuIndex=3&amp;refID=7045432&amp;Result=3","7045432")</f>
        <v>0</v>
      </c>
      <c r="B1103" t="s">
        <v>350</v>
      </c>
      <c r="C1103" t="s">
        <v>3732</v>
      </c>
      <c r="D1103" t="s">
        <v>13031</v>
      </c>
      <c r="E1103" t="s">
        <v>14102</v>
      </c>
      <c r="F1103" t="s">
        <v>22436</v>
      </c>
      <c r="G1103" t="s">
        <v>22443</v>
      </c>
      <c r="H1103" t="s">
        <v>22452</v>
      </c>
      <c r="I1103" t="s">
        <v>22515</v>
      </c>
      <c r="J1103" t="s">
        <v>22798</v>
      </c>
      <c r="K1103" t="s">
        <v>29338</v>
      </c>
      <c r="M1103" t="s">
        <v>29927</v>
      </c>
      <c r="N1103" t="s">
        <v>32524</v>
      </c>
      <c r="O1103" t="s">
        <v>32525</v>
      </c>
      <c r="P1103">
        <v>0</v>
      </c>
      <c r="Q1103">
        <v>0</v>
      </c>
      <c r="R1103" t="s">
        <v>32526</v>
      </c>
      <c r="S1103" t="s">
        <v>32547</v>
      </c>
      <c r="T1103" t="s">
        <v>33263</v>
      </c>
      <c r="U1103" t="s">
        <v>34315</v>
      </c>
      <c r="W1103" t="s">
        <v>29927</v>
      </c>
      <c r="X1103" t="s">
        <v>32527</v>
      </c>
    </row>
    <row r="1104" spans="1:24">
      <c r="A1104">
        <f>HYPERLINK("https://www.philgeps.gov.ph/GEPSNONPILOT/Tender/SplashBidNoticeAbstractUI.aspx?menuIndex=3&amp;refID=7045422&amp;Result=3","7045422")</f>
        <v>0</v>
      </c>
      <c r="B1104" t="s">
        <v>470</v>
      </c>
      <c r="C1104" t="s">
        <v>3733</v>
      </c>
      <c r="D1104" t="s">
        <v>13028</v>
      </c>
      <c r="E1104" t="s">
        <v>14103</v>
      </c>
      <c r="F1104" t="s">
        <v>22436</v>
      </c>
      <c r="G1104" t="s">
        <v>22443</v>
      </c>
      <c r="H1104" t="s">
        <v>22452</v>
      </c>
      <c r="I1104" t="s">
        <v>22528</v>
      </c>
      <c r="J1104" t="s">
        <v>23426</v>
      </c>
      <c r="K1104" t="s">
        <v>29335</v>
      </c>
      <c r="M1104" t="s">
        <v>30054</v>
      </c>
      <c r="N1104" t="s">
        <v>32524</v>
      </c>
      <c r="O1104" t="s">
        <v>32525</v>
      </c>
      <c r="P1104">
        <v>0</v>
      </c>
      <c r="Q1104">
        <v>2</v>
      </c>
      <c r="R1104" t="s">
        <v>32526</v>
      </c>
      <c r="S1104" t="s">
        <v>32547</v>
      </c>
      <c r="T1104" t="s">
        <v>33242</v>
      </c>
      <c r="U1104" t="s">
        <v>34593</v>
      </c>
      <c r="W1104" t="s">
        <v>30054</v>
      </c>
      <c r="X1104" t="s">
        <v>32527</v>
      </c>
    </row>
    <row r="1105" spans="1:24">
      <c r="A1105">
        <f>HYPERLINK("https://www.philgeps.gov.ph/GEPSNONPILOT/Tender/SplashBidNoticeAbstractUI.aspx?menuIndex=3&amp;refID=7045433&amp;Result=3","7045433")</f>
        <v>0</v>
      </c>
      <c r="B1105" t="s">
        <v>326</v>
      </c>
      <c r="C1105" t="s">
        <v>3601</v>
      </c>
      <c r="D1105" t="s">
        <v>13046</v>
      </c>
      <c r="E1105" t="s">
        <v>14104</v>
      </c>
      <c r="F1105" t="s">
        <v>22436</v>
      </c>
      <c r="G1105" t="s">
        <v>22443</v>
      </c>
      <c r="H1105" t="s">
        <v>22452</v>
      </c>
      <c r="I1105" t="s">
        <v>22502</v>
      </c>
      <c r="J1105" t="s">
        <v>23427</v>
      </c>
      <c r="K1105" t="s">
        <v>29341</v>
      </c>
      <c r="M1105" t="s">
        <v>29902</v>
      </c>
      <c r="N1105" t="s">
        <v>32524</v>
      </c>
      <c r="O1105" t="s">
        <v>32525</v>
      </c>
      <c r="P1105">
        <v>0</v>
      </c>
      <c r="Q1105">
        <v>1</v>
      </c>
      <c r="R1105" t="s">
        <v>32526</v>
      </c>
      <c r="S1105" t="s">
        <v>32547</v>
      </c>
      <c r="T1105" t="s">
        <v>33167</v>
      </c>
      <c r="U1105" t="s">
        <v>34594</v>
      </c>
      <c r="W1105" t="s">
        <v>29902</v>
      </c>
      <c r="X1105" t="s">
        <v>32527</v>
      </c>
    </row>
    <row r="1106" spans="1:24">
      <c r="A1106">
        <f>HYPERLINK("https://www.philgeps.gov.ph/GEPSNONPILOT/Tender/SplashBidNoticeAbstractUI.aspx?menuIndex=3&amp;refID=7045420&amp;Result=3","7045420")</f>
        <v>0</v>
      </c>
      <c r="B1106" t="s">
        <v>250</v>
      </c>
      <c r="C1106" t="s">
        <v>3734</v>
      </c>
      <c r="D1106" t="s">
        <v>13055</v>
      </c>
      <c r="E1106" t="s">
        <v>14105</v>
      </c>
      <c r="F1106" t="s">
        <v>22436</v>
      </c>
      <c r="G1106" t="s">
        <v>22443</v>
      </c>
      <c r="H1106" t="s">
        <v>22452</v>
      </c>
      <c r="I1106" t="s">
        <v>22488</v>
      </c>
      <c r="J1106" t="s">
        <v>23428</v>
      </c>
      <c r="K1106" t="s">
        <v>29336</v>
      </c>
      <c r="M1106" t="s">
        <v>29824</v>
      </c>
      <c r="N1106" t="s">
        <v>32524</v>
      </c>
      <c r="O1106" t="s">
        <v>32525</v>
      </c>
      <c r="P1106">
        <v>0</v>
      </c>
      <c r="Q1106">
        <v>0</v>
      </c>
      <c r="R1106" t="s">
        <v>32526</v>
      </c>
      <c r="S1106" t="s">
        <v>32547</v>
      </c>
      <c r="T1106" t="s">
        <v>33182</v>
      </c>
      <c r="U1106" t="s">
        <v>34595</v>
      </c>
      <c r="W1106" t="s">
        <v>29824</v>
      </c>
      <c r="X1106" t="s">
        <v>32527</v>
      </c>
    </row>
    <row r="1107" spans="1:24">
      <c r="A1107">
        <f>HYPERLINK("https://www.philgeps.gov.ph/GEPSNONPILOT/Tender/SplashBidNoticeAbstractUI.aspx?menuIndex=3&amp;refID=7045441&amp;Result=3","7045441")</f>
        <v>0</v>
      </c>
      <c r="B1107" t="s">
        <v>77</v>
      </c>
      <c r="C1107" t="s">
        <v>3735</v>
      </c>
      <c r="D1107" t="s">
        <v>13001</v>
      </c>
      <c r="E1107" t="s">
        <v>14106</v>
      </c>
      <c r="F1107" t="s">
        <v>22436</v>
      </c>
      <c r="G1107" t="s">
        <v>22443</v>
      </c>
      <c r="H1107" t="s">
        <v>22452</v>
      </c>
      <c r="I1107" t="s">
        <v>22469</v>
      </c>
      <c r="J1107" t="s">
        <v>23429</v>
      </c>
      <c r="K1107" t="s">
        <v>29338</v>
      </c>
      <c r="L1107" t="s">
        <v>77</v>
      </c>
      <c r="M1107" t="s">
        <v>29884</v>
      </c>
      <c r="N1107" t="s">
        <v>32524</v>
      </c>
      <c r="O1107" t="s">
        <v>32525</v>
      </c>
      <c r="P1107">
        <v>0</v>
      </c>
      <c r="Q1107">
        <v>3</v>
      </c>
      <c r="R1107" t="s">
        <v>32526</v>
      </c>
      <c r="S1107" t="s">
        <v>32547</v>
      </c>
      <c r="T1107" t="s">
        <v>33169</v>
      </c>
      <c r="U1107" t="s">
        <v>34219</v>
      </c>
      <c r="W1107" t="s">
        <v>29884</v>
      </c>
      <c r="X1107" t="s">
        <v>32527</v>
      </c>
    </row>
    <row r="1108" spans="1:24">
      <c r="A1108">
        <f>HYPERLINK("https://www.philgeps.gov.ph/GEPSNONPILOT/Tender/SplashBidNoticeAbstractUI.aspx?menuIndex=3&amp;refID=7045437&amp;Result=3","7045437")</f>
        <v>0</v>
      </c>
      <c r="B1108" t="s">
        <v>56</v>
      </c>
      <c r="C1108" t="s">
        <v>3736</v>
      </c>
      <c r="D1108" t="s">
        <v>13012</v>
      </c>
      <c r="E1108" t="s">
        <v>14107</v>
      </c>
      <c r="F1108" t="s">
        <v>22436</v>
      </c>
      <c r="G1108" t="s">
        <v>22444</v>
      </c>
      <c r="H1108" t="s">
        <v>22452</v>
      </c>
      <c r="I1108" t="s">
        <v>7738</v>
      </c>
      <c r="J1108" t="s">
        <v>23430</v>
      </c>
      <c r="K1108" t="s">
        <v>29336</v>
      </c>
      <c r="M1108" t="s">
        <v>29628</v>
      </c>
      <c r="N1108" t="s">
        <v>32524</v>
      </c>
      <c r="O1108" t="s">
        <v>32525</v>
      </c>
      <c r="P1108">
        <v>0</v>
      </c>
      <c r="Q1108">
        <v>0</v>
      </c>
      <c r="R1108" t="s">
        <v>32526</v>
      </c>
      <c r="S1108" t="s">
        <v>32547</v>
      </c>
      <c r="T1108" t="s">
        <v>33298</v>
      </c>
      <c r="U1108" t="s">
        <v>34596</v>
      </c>
      <c r="V1108" t="s">
        <v>42428</v>
      </c>
      <c r="W1108" t="s">
        <v>29628</v>
      </c>
      <c r="X1108" t="s">
        <v>32527</v>
      </c>
    </row>
    <row r="1109" spans="1:24">
      <c r="A1109">
        <f>HYPERLINK("https://www.philgeps.gov.ph/GEPSNONPILOT/Tender/SplashBidNoticeAbstractUI.aspx?menuIndex=3&amp;refID=7045439&amp;Result=3","7045439")</f>
        <v>0</v>
      </c>
      <c r="B1109" t="s">
        <v>321</v>
      </c>
      <c r="C1109" t="s">
        <v>3737</v>
      </c>
      <c r="D1109" t="s">
        <v>13045</v>
      </c>
      <c r="E1109" t="s">
        <v>14108</v>
      </c>
      <c r="F1109" t="s">
        <v>22436</v>
      </c>
      <c r="G1109" t="s">
        <v>22443</v>
      </c>
      <c r="H1109" t="s">
        <v>22452</v>
      </c>
      <c r="I1109" t="s">
        <v>22461</v>
      </c>
      <c r="J1109" t="s">
        <v>23431</v>
      </c>
      <c r="K1109" t="s">
        <v>29338</v>
      </c>
      <c r="M1109" t="s">
        <v>29897</v>
      </c>
      <c r="N1109" t="s">
        <v>32524</v>
      </c>
      <c r="O1109" t="s">
        <v>32525</v>
      </c>
      <c r="P1109">
        <v>0</v>
      </c>
      <c r="Q1109">
        <v>2</v>
      </c>
      <c r="R1109" t="s">
        <v>32526</v>
      </c>
      <c r="S1109" t="s">
        <v>32547</v>
      </c>
      <c r="T1109" t="s">
        <v>33154</v>
      </c>
      <c r="U1109" t="s">
        <v>34597</v>
      </c>
      <c r="W1109" t="s">
        <v>29897</v>
      </c>
      <c r="X1109" t="s">
        <v>32527</v>
      </c>
    </row>
    <row r="1110" spans="1:24">
      <c r="A1110">
        <f>HYPERLINK("https://www.philgeps.gov.ph/GEPSNONPILOT/Tender/SplashBidNoticeAbstractUI.aspx?menuIndex=3&amp;refID=7045431&amp;Result=3","7045431")</f>
        <v>0</v>
      </c>
      <c r="B1110" t="s">
        <v>199</v>
      </c>
      <c r="C1110" t="s">
        <v>3700</v>
      </c>
      <c r="D1110" t="s">
        <v>13009</v>
      </c>
      <c r="E1110" t="s">
        <v>14109</v>
      </c>
      <c r="F1110" t="s">
        <v>22436</v>
      </c>
      <c r="G1110" t="s">
        <v>22443</v>
      </c>
      <c r="H1110" t="s">
        <v>22452</v>
      </c>
      <c r="I1110" t="s">
        <v>6421</v>
      </c>
      <c r="J1110" t="s">
        <v>23432</v>
      </c>
      <c r="K1110" t="s">
        <v>29338</v>
      </c>
      <c r="M1110" t="s">
        <v>30051</v>
      </c>
      <c r="N1110" t="s">
        <v>32524</v>
      </c>
      <c r="O1110" t="s">
        <v>32525</v>
      </c>
      <c r="P1110">
        <v>0</v>
      </c>
      <c r="Q1110">
        <v>1</v>
      </c>
      <c r="R1110" t="s">
        <v>32526</v>
      </c>
      <c r="S1110" t="s">
        <v>32547</v>
      </c>
      <c r="T1110" t="s">
        <v>33235</v>
      </c>
      <c r="U1110" t="s">
        <v>34563</v>
      </c>
      <c r="W1110" t="s">
        <v>30051</v>
      </c>
      <c r="X1110" t="s">
        <v>32527</v>
      </c>
    </row>
    <row r="1111" spans="1:24">
      <c r="A1111">
        <f>HYPERLINK("https://www.philgeps.gov.ph/GEPSNONPILOT/Tender/SplashBidNoticeAbstractUI.aspx?menuIndex=3&amp;refID=7045430&amp;Result=3","7045430")</f>
        <v>0</v>
      </c>
      <c r="B1111" t="s">
        <v>321</v>
      </c>
      <c r="C1111" t="s">
        <v>3738</v>
      </c>
      <c r="D1111" t="s">
        <v>13045</v>
      </c>
      <c r="E1111" t="s">
        <v>14110</v>
      </c>
      <c r="F1111" t="s">
        <v>22436</v>
      </c>
      <c r="G1111" t="s">
        <v>22443</v>
      </c>
      <c r="H1111" t="s">
        <v>22452</v>
      </c>
      <c r="I1111" t="s">
        <v>3027</v>
      </c>
      <c r="J1111" t="s">
        <v>23433</v>
      </c>
      <c r="K1111" t="s">
        <v>29338</v>
      </c>
      <c r="M1111" t="s">
        <v>29897</v>
      </c>
      <c r="N1111" t="s">
        <v>32524</v>
      </c>
      <c r="O1111" t="s">
        <v>32525</v>
      </c>
      <c r="P1111">
        <v>0</v>
      </c>
      <c r="Q1111">
        <v>0</v>
      </c>
      <c r="R1111" t="s">
        <v>32526</v>
      </c>
      <c r="S1111" t="s">
        <v>32547</v>
      </c>
      <c r="T1111" t="s">
        <v>33154</v>
      </c>
      <c r="U1111" t="s">
        <v>34598</v>
      </c>
      <c r="W1111" t="s">
        <v>29897</v>
      </c>
      <c r="X1111" t="s">
        <v>32527</v>
      </c>
    </row>
    <row r="1112" spans="1:24">
      <c r="A1112">
        <f>HYPERLINK("https://www.philgeps.gov.ph/GEPSNONPILOT/Tender/SplashBidNoticeAbstractUI.aspx?menuIndex=3&amp;refID=7045438&amp;Result=3","7045438")</f>
        <v>0</v>
      </c>
      <c r="B1112" t="s">
        <v>432</v>
      </c>
      <c r="C1112" t="s">
        <v>3739</v>
      </c>
      <c r="D1112" t="s">
        <v>13028</v>
      </c>
      <c r="E1112" t="s">
        <v>14111</v>
      </c>
      <c r="F1112" t="s">
        <v>22436</v>
      </c>
      <c r="G1112" t="s">
        <v>22444</v>
      </c>
      <c r="H1112" t="s">
        <v>22454</v>
      </c>
      <c r="I1112" t="s">
        <v>7738</v>
      </c>
      <c r="J1112" t="s">
        <v>23384</v>
      </c>
      <c r="K1112" t="s">
        <v>29373</v>
      </c>
      <c r="M1112" t="s">
        <v>30013</v>
      </c>
      <c r="N1112" t="s">
        <v>32524</v>
      </c>
      <c r="O1112" t="s">
        <v>32525</v>
      </c>
      <c r="P1112">
        <v>0</v>
      </c>
      <c r="Q1112">
        <v>0</v>
      </c>
      <c r="R1112" t="s">
        <v>32526</v>
      </c>
      <c r="S1112" t="s">
        <v>32547</v>
      </c>
      <c r="T1112" t="s">
        <v>33165</v>
      </c>
      <c r="U1112" t="s">
        <v>34486</v>
      </c>
      <c r="V1112" t="s">
        <v>42525</v>
      </c>
      <c r="W1112" t="s">
        <v>30013</v>
      </c>
      <c r="X1112" t="s">
        <v>32527</v>
      </c>
    </row>
    <row r="1113" spans="1:24">
      <c r="A1113">
        <f>HYPERLINK("https://www.philgeps.gov.ph/GEPSNONPILOT/Tender/SplashBidNoticeAbstractUI.aspx?menuIndex=3&amp;refID=7045428&amp;Result=3","7045428")</f>
        <v>0</v>
      </c>
      <c r="B1113" t="s">
        <v>479</v>
      </c>
      <c r="C1113" t="s">
        <v>3740</v>
      </c>
      <c r="D1113" t="s">
        <v>13008</v>
      </c>
      <c r="E1113" t="s">
        <v>14112</v>
      </c>
      <c r="F1113" t="s">
        <v>22436</v>
      </c>
      <c r="G1113" t="s">
        <v>22443</v>
      </c>
      <c r="H1113" t="s">
        <v>22452</v>
      </c>
      <c r="I1113" t="s">
        <v>22471</v>
      </c>
      <c r="J1113" t="s">
        <v>23434</v>
      </c>
      <c r="K1113" t="s">
        <v>29341</v>
      </c>
      <c r="M1113" t="s">
        <v>30063</v>
      </c>
      <c r="N1113" t="s">
        <v>32524</v>
      </c>
      <c r="O1113" t="s">
        <v>32525</v>
      </c>
      <c r="P1113">
        <v>0</v>
      </c>
      <c r="Q1113">
        <v>3</v>
      </c>
      <c r="R1113" t="s">
        <v>32526</v>
      </c>
      <c r="S1113" t="s">
        <v>32547</v>
      </c>
      <c r="T1113" t="s">
        <v>33203</v>
      </c>
      <c r="U1113" t="s">
        <v>34599</v>
      </c>
      <c r="W1113" t="s">
        <v>30063</v>
      </c>
      <c r="X1113" t="s">
        <v>32527</v>
      </c>
    </row>
    <row r="1114" spans="1:24">
      <c r="A1114">
        <f>HYPERLINK("https://www.philgeps.gov.ph/GEPSNONPILOT/Tender/SplashBidNoticeAbstractUI.aspx?menuIndex=3&amp;refID=7045440&amp;Result=3","7045440")</f>
        <v>0</v>
      </c>
      <c r="B1114" t="s">
        <v>480</v>
      </c>
      <c r="C1114" t="s">
        <v>3741</v>
      </c>
      <c r="D1114" t="s">
        <v>13001</v>
      </c>
      <c r="E1114" t="s">
        <v>14113</v>
      </c>
      <c r="F1114" t="s">
        <v>22436</v>
      </c>
      <c r="G1114" t="s">
        <v>22446</v>
      </c>
      <c r="H1114" t="s">
        <v>22452</v>
      </c>
      <c r="I1114" t="s">
        <v>22457</v>
      </c>
      <c r="J1114" t="s">
        <v>23435</v>
      </c>
      <c r="K1114" t="s">
        <v>29395</v>
      </c>
      <c r="M1114" t="s">
        <v>30064</v>
      </c>
      <c r="N1114" t="s">
        <v>32524</v>
      </c>
      <c r="O1114" t="s">
        <v>32525</v>
      </c>
      <c r="P1114">
        <v>0</v>
      </c>
      <c r="Q1114">
        <v>1</v>
      </c>
      <c r="R1114" t="s">
        <v>32526</v>
      </c>
      <c r="S1114" t="s">
        <v>32547</v>
      </c>
      <c r="T1114" t="s">
        <v>33161</v>
      </c>
      <c r="U1114" t="s">
        <v>34600</v>
      </c>
      <c r="W1114" t="s">
        <v>30064</v>
      </c>
      <c r="X1114" t="s">
        <v>32527</v>
      </c>
    </row>
    <row r="1115" spans="1:24">
      <c r="A1115">
        <f>HYPERLINK("https://www.philgeps.gov.ph/GEPSNONPILOT/Tender/SplashBidNoticeAbstractUI.aspx?menuIndex=3&amp;refID=7045425&amp;Result=3","7045425")</f>
        <v>0</v>
      </c>
      <c r="B1115" t="s">
        <v>473</v>
      </c>
      <c r="C1115" t="s">
        <v>3742</v>
      </c>
      <c r="D1115" t="s">
        <v>13012</v>
      </c>
      <c r="E1115" t="s">
        <v>14114</v>
      </c>
      <c r="F1115" t="s">
        <v>22436</v>
      </c>
      <c r="G1115" t="s">
        <v>22444</v>
      </c>
      <c r="H1115" t="s">
        <v>22452</v>
      </c>
      <c r="I1115" t="s">
        <v>22466</v>
      </c>
      <c r="J1115" t="s">
        <v>23436</v>
      </c>
      <c r="K1115" t="s">
        <v>29334</v>
      </c>
      <c r="M1115" t="s">
        <v>30057</v>
      </c>
      <c r="N1115" t="s">
        <v>32524</v>
      </c>
      <c r="O1115" t="s">
        <v>32525</v>
      </c>
      <c r="P1115">
        <v>0</v>
      </c>
      <c r="Q1115">
        <v>9</v>
      </c>
      <c r="R1115" t="s">
        <v>32526</v>
      </c>
      <c r="S1115" t="s">
        <v>32547</v>
      </c>
      <c r="T1115" t="s">
        <v>33299</v>
      </c>
      <c r="U1115" t="s">
        <v>34601</v>
      </c>
      <c r="W1115" t="s">
        <v>30057</v>
      </c>
      <c r="X1115" t="s">
        <v>32527</v>
      </c>
    </row>
    <row r="1116" spans="1:24">
      <c r="A1116">
        <f>HYPERLINK("https://www.philgeps.gov.ph/GEPSNONPILOT/Tender/SplashBidNoticeAbstractUI.aspx?menuIndex=3&amp;refID=7045442&amp;Result=3","7045442")</f>
        <v>0</v>
      </c>
      <c r="B1116" t="s">
        <v>199</v>
      </c>
      <c r="C1116" t="s">
        <v>3743</v>
      </c>
      <c r="D1116" t="s">
        <v>13009</v>
      </c>
      <c r="E1116" t="s">
        <v>14115</v>
      </c>
      <c r="F1116" t="s">
        <v>22436</v>
      </c>
      <c r="G1116" t="s">
        <v>22443</v>
      </c>
      <c r="H1116" t="s">
        <v>22452</v>
      </c>
      <c r="I1116" t="s">
        <v>22463</v>
      </c>
      <c r="J1116" t="s">
        <v>23437</v>
      </c>
      <c r="K1116" t="s">
        <v>29338</v>
      </c>
      <c r="M1116" t="s">
        <v>30051</v>
      </c>
      <c r="N1116" t="s">
        <v>32524</v>
      </c>
      <c r="O1116" t="s">
        <v>32525</v>
      </c>
      <c r="P1116">
        <v>0</v>
      </c>
      <c r="Q1116">
        <v>1</v>
      </c>
      <c r="R1116" t="s">
        <v>32526</v>
      </c>
      <c r="S1116" t="s">
        <v>32547</v>
      </c>
      <c r="T1116" t="s">
        <v>33235</v>
      </c>
      <c r="U1116" t="s">
        <v>34563</v>
      </c>
      <c r="W1116" t="s">
        <v>30051</v>
      </c>
      <c r="X1116" t="s">
        <v>32527</v>
      </c>
    </row>
    <row r="1117" spans="1:24">
      <c r="A1117">
        <f>HYPERLINK("https://www.philgeps.gov.ph/GEPSNONPILOT/Tender/SplashBidNoticeAbstractUI.aspx?menuIndex=3&amp;refID=7045445&amp;Result=3","7045445")</f>
        <v>0</v>
      </c>
      <c r="B1117" t="s">
        <v>470</v>
      </c>
      <c r="C1117" t="s">
        <v>3744</v>
      </c>
      <c r="D1117" t="s">
        <v>13028</v>
      </c>
      <c r="E1117" t="s">
        <v>14116</v>
      </c>
      <c r="F1117" t="s">
        <v>22436</v>
      </c>
      <c r="G1117" t="s">
        <v>22443</v>
      </c>
      <c r="H1117" t="s">
        <v>22452</v>
      </c>
      <c r="I1117" t="s">
        <v>22456</v>
      </c>
      <c r="J1117" t="s">
        <v>22911</v>
      </c>
      <c r="K1117" t="s">
        <v>29335</v>
      </c>
      <c r="M1117" t="s">
        <v>30054</v>
      </c>
      <c r="N1117" t="s">
        <v>32524</v>
      </c>
      <c r="O1117" t="s">
        <v>32525</v>
      </c>
      <c r="P1117">
        <v>0</v>
      </c>
      <c r="Q1117">
        <v>4</v>
      </c>
      <c r="R1117" t="s">
        <v>32526</v>
      </c>
      <c r="S1117" t="s">
        <v>32547</v>
      </c>
      <c r="T1117" t="s">
        <v>33242</v>
      </c>
      <c r="U1117" t="s">
        <v>34602</v>
      </c>
      <c r="W1117" t="s">
        <v>30054</v>
      </c>
      <c r="X1117" t="s">
        <v>32527</v>
      </c>
    </row>
    <row r="1118" spans="1:24">
      <c r="A1118">
        <f>HYPERLINK("https://www.philgeps.gov.ph/GEPSNONPILOT/Tender/SplashBidNoticeAbstractUI.aspx?menuIndex=3&amp;refID=7045427&amp;Result=3","7045427")</f>
        <v>0</v>
      </c>
      <c r="B1118" t="s">
        <v>481</v>
      </c>
      <c r="C1118" t="s">
        <v>3745</v>
      </c>
      <c r="D1118" t="s">
        <v>12994</v>
      </c>
      <c r="E1118" t="s">
        <v>14117</v>
      </c>
      <c r="F1118" t="s">
        <v>22436</v>
      </c>
      <c r="G1118" t="s">
        <v>22444</v>
      </c>
      <c r="H1118" t="s">
        <v>22452</v>
      </c>
      <c r="I1118" t="s">
        <v>3122</v>
      </c>
      <c r="J1118" t="s">
        <v>23438</v>
      </c>
      <c r="K1118" t="s">
        <v>29357</v>
      </c>
      <c r="M1118" t="s">
        <v>30065</v>
      </c>
      <c r="N1118" t="s">
        <v>32524</v>
      </c>
      <c r="O1118" t="s">
        <v>32525</v>
      </c>
      <c r="P1118">
        <v>0</v>
      </c>
      <c r="Q1118">
        <v>0</v>
      </c>
      <c r="R1118" t="s">
        <v>32526</v>
      </c>
      <c r="S1118" t="s">
        <v>32547</v>
      </c>
      <c r="T1118" t="s">
        <v>33177</v>
      </c>
      <c r="U1118" t="s">
        <v>34603</v>
      </c>
      <c r="W1118" t="s">
        <v>30065</v>
      </c>
      <c r="X1118" t="s">
        <v>32527</v>
      </c>
    </row>
    <row r="1119" spans="1:24">
      <c r="A1119">
        <f>HYPERLINK("https://www.philgeps.gov.ph/GEPSNONPILOT/Tender/SplashBidNoticeAbstractUI.aspx?menuIndex=3&amp;refID=7045426&amp;Result=3","7045426")</f>
        <v>0</v>
      </c>
      <c r="B1119" t="s">
        <v>482</v>
      </c>
      <c r="C1119" t="s">
        <v>3746</v>
      </c>
      <c r="D1119" t="s">
        <v>13053</v>
      </c>
      <c r="E1119" t="s">
        <v>14118</v>
      </c>
      <c r="F1119" t="s">
        <v>22436</v>
      </c>
      <c r="G1119" t="s">
        <v>22444</v>
      </c>
      <c r="H1119" t="s">
        <v>22452</v>
      </c>
      <c r="I1119" t="s">
        <v>12358</v>
      </c>
      <c r="J1119" t="s">
        <v>23439</v>
      </c>
      <c r="K1119" t="s">
        <v>29335</v>
      </c>
      <c r="M1119" t="s">
        <v>30066</v>
      </c>
      <c r="N1119" t="s">
        <v>32524</v>
      </c>
      <c r="O1119" t="s">
        <v>32525</v>
      </c>
      <c r="P1119">
        <v>0</v>
      </c>
      <c r="Q1119">
        <v>1</v>
      </c>
      <c r="R1119" t="s">
        <v>32526</v>
      </c>
      <c r="S1119" t="s">
        <v>32547</v>
      </c>
      <c r="T1119" t="s">
        <v>33170</v>
      </c>
      <c r="U1119" t="s">
        <v>34604</v>
      </c>
      <c r="W1119" t="s">
        <v>30066</v>
      </c>
      <c r="X1119" t="s">
        <v>32527</v>
      </c>
    </row>
    <row r="1120" spans="1:24">
      <c r="A1120">
        <f>HYPERLINK("https://www.philgeps.gov.ph/GEPSNONPILOT/Tender/SplashBidNoticeAbstractUI.aspx?menuIndex=3&amp;refID=7045429&amp;Result=3","7045429")</f>
        <v>0</v>
      </c>
      <c r="B1120" t="s">
        <v>91</v>
      </c>
      <c r="C1120" t="s">
        <v>3747</v>
      </c>
      <c r="D1120" t="s">
        <v>13027</v>
      </c>
      <c r="E1120" t="s">
        <v>14119</v>
      </c>
      <c r="F1120" t="s">
        <v>22436</v>
      </c>
      <c r="G1120" t="s">
        <v>22443</v>
      </c>
      <c r="H1120" t="s">
        <v>22452</v>
      </c>
      <c r="I1120" t="s">
        <v>22463</v>
      </c>
      <c r="J1120" t="s">
        <v>22692</v>
      </c>
      <c r="K1120" t="s">
        <v>29335</v>
      </c>
      <c r="M1120" t="s">
        <v>29663</v>
      </c>
      <c r="N1120" t="s">
        <v>32524</v>
      </c>
      <c r="O1120" t="s">
        <v>32525</v>
      </c>
      <c r="P1120">
        <v>0</v>
      </c>
      <c r="Q1120">
        <v>1</v>
      </c>
      <c r="R1120" t="s">
        <v>32526</v>
      </c>
      <c r="S1120" t="s">
        <v>32547</v>
      </c>
      <c r="T1120" t="s">
        <v>33197</v>
      </c>
      <c r="U1120" t="s">
        <v>33799</v>
      </c>
      <c r="W1120" t="s">
        <v>29663</v>
      </c>
      <c r="X1120" t="s">
        <v>32527</v>
      </c>
    </row>
    <row r="1121" spans="1:24">
      <c r="A1121">
        <f>HYPERLINK("https://www.philgeps.gov.ph/GEPSNONPILOT/Tender/SplashBidNoticeAbstractUI.aspx?menuIndex=3&amp;refID=7045459&amp;Result=3","7045459")</f>
        <v>0</v>
      </c>
      <c r="B1121" t="s">
        <v>50</v>
      </c>
      <c r="C1121" t="s">
        <v>3748</v>
      </c>
      <c r="D1121" t="s">
        <v>13008</v>
      </c>
      <c r="E1121" t="s">
        <v>14120</v>
      </c>
      <c r="F1121" t="s">
        <v>22436</v>
      </c>
      <c r="G1121" t="s">
        <v>22444</v>
      </c>
      <c r="H1121" t="s">
        <v>22452</v>
      </c>
      <c r="I1121" t="s">
        <v>22469</v>
      </c>
      <c r="J1121" t="s">
        <v>23440</v>
      </c>
      <c r="K1121" t="s">
        <v>29335</v>
      </c>
      <c r="M1121" t="s">
        <v>29622</v>
      </c>
      <c r="N1121" t="s">
        <v>32524</v>
      </c>
      <c r="O1121" t="s">
        <v>32525</v>
      </c>
      <c r="P1121">
        <v>0</v>
      </c>
      <c r="Q1121">
        <v>2</v>
      </c>
      <c r="R1121" t="s">
        <v>32526</v>
      </c>
      <c r="S1121" t="s">
        <v>32547</v>
      </c>
      <c r="T1121" t="s">
        <v>33166</v>
      </c>
      <c r="U1121" t="s">
        <v>34605</v>
      </c>
      <c r="W1121" t="s">
        <v>29622</v>
      </c>
      <c r="X1121" t="s">
        <v>32527</v>
      </c>
    </row>
    <row r="1122" spans="1:24">
      <c r="A1122">
        <f>HYPERLINK("https://www.philgeps.gov.ph/GEPSNONPILOT/Tender/SplashBidNoticeAbstractUI.aspx?menuIndex=3&amp;refID=7045436&amp;Result=3","7045436")</f>
        <v>0</v>
      </c>
      <c r="B1122" t="s">
        <v>443</v>
      </c>
      <c r="C1122" t="s">
        <v>3749</v>
      </c>
      <c r="D1122" t="s">
        <v>13006</v>
      </c>
      <c r="E1122" t="s">
        <v>14054</v>
      </c>
      <c r="F1122" t="s">
        <v>22436</v>
      </c>
      <c r="G1122" t="s">
        <v>22443</v>
      </c>
      <c r="H1122" t="s">
        <v>22452</v>
      </c>
      <c r="I1122" t="s">
        <v>3529</v>
      </c>
      <c r="J1122" t="s">
        <v>23090</v>
      </c>
      <c r="K1122" t="s">
        <v>29337</v>
      </c>
      <c r="M1122" t="s">
        <v>30025</v>
      </c>
      <c r="N1122" t="s">
        <v>32524</v>
      </c>
      <c r="O1122" t="s">
        <v>32525</v>
      </c>
      <c r="P1122">
        <v>0</v>
      </c>
      <c r="Q1122">
        <v>0</v>
      </c>
      <c r="R1122" t="s">
        <v>32526</v>
      </c>
      <c r="S1122" t="s">
        <v>32547</v>
      </c>
      <c r="T1122" t="s">
        <v>33263</v>
      </c>
      <c r="U1122" t="s">
        <v>34511</v>
      </c>
      <c r="W1122" t="s">
        <v>30025</v>
      </c>
      <c r="X1122" t="s">
        <v>32527</v>
      </c>
    </row>
    <row r="1123" spans="1:24">
      <c r="A1123">
        <f>HYPERLINK("https://www.philgeps.gov.ph/GEPSNONPILOT/Tender/SplashBidNoticeAbstractUI.aspx?menuIndex=3&amp;refID=7045443&amp;Result=3","7045443")</f>
        <v>0</v>
      </c>
      <c r="B1123" t="s">
        <v>483</v>
      </c>
      <c r="C1123" t="s">
        <v>3750</v>
      </c>
      <c r="D1123" t="s">
        <v>13065</v>
      </c>
      <c r="E1123" t="s">
        <v>14121</v>
      </c>
      <c r="F1123" t="s">
        <v>22436</v>
      </c>
      <c r="G1123" t="s">
        <v>22443</v>
      </c>
      <c r="H1123" t="s">
        <v>22452</v>
      </c>
      <c r="I1123" t="s">
        <v>22458</v>
      </c>
      <c r="J1123" t="s">
        <v>23441</v>
      </c>
      <c r="K1123" t="s">
        <v>29331</v>
      </c>
      <c r="M1123" t="s">
        <v>30067</v>
      </c>
      <c r="N1123" t="s">
        <v>32524</v>
      </c>
      <c r="O1123" t="s">
        <v>32525</v>
      </c>
      <c r="P1123">
        <v>0</v>
      </c>
      <c r="Q1123">
        <v>1</v>
      </c>
      <c r="R1123" t="s">
        <v>32526</v>
      </c>
      <c r="S1123" t="s">
        <v>32547</v>
      </c>
      <c r="T1123" t="s">
        <v>33300</v>
      </c>
      <c r="U1123" t="s">
        <v>34606</v>
      </c>
      <c r="W1123" t="s">
        <v>30067</v>
      </c>
      <c r="X1123" t="s">
        <v>32527</v>
      </c>
    </row>
    <row r="1124" spans="1:24">
      <c r="A1124">
        <f>HYPERLINK("https://www.philgeps.gov.ph/GEPSNONPILOT/Tender/SplashBidNoticeAbstractUI.aspx?menuIndex=3&amp;refID=7045455&amp;Result=3","7045455")</f>
        <v>0</v>
      </c>
      <c r="B1124" t="s">
        <v>484</v>
      </c>
      <c r="C1124" t="s">
        <v>3751</v>
      </c>
      <c r="E1124" t="s">
        <v>14122</v>
      </c>
      <c r="F1124" t="s">
        <v>22436</v>
      </c>
      <c r="G1124" t="s">
        <v>22443</v>
      </c>
      <c r="H1124" t="s">
        <v>22452</v>
      </c>
      <c r="I1124" t="s">
        <v>22529</v>
      </c>
      <c r="J1124" t="s">
        <v>23442</v>
      </c>
      <c r="K1124" t="s">
        <v>29338</v>
      </c>
      <c r="M1124" t="s">
        <v>30068</v>
      </c>
      <c r="N1124" t="s">
        <v>32524</v>
      </c>
      <c r="O1124" t="s">
        <v>32525</v>
      </c>
      <c r="P1124">
        <v>0</v>
      </c>
      <c r="Q1124">
        <v>0</v>
      </c>
      <c r="R1124" t="s">
        <v>32526</v>
      </c>
      <c r="S1124" t="s">
        <v>32547</v>
      </c>
      <c r="T1124" t="s">
        <v>33169</v>
      </c>
      <c r="U1124" t="s">
        <v>34607</v>
      </c>
      <c r="W1124" t="s">
        <v>30068</v>
      </c>
      <c r="X1124" t="s">
        <v>32527</v>
      </c>
    </row>
    <row r="1125" spans="1:24">
      <c r="A1125">
        <f>HYPERLINK("https://www.philgeps.gov.ph/GEPSNONPILOT/Tender/SplashBidNoticeAbstractUI.aspx?menuIndex=3&amp;refID=7045423&amp;Result=3","7045423")</f>
        <v>0</v>
      </c>
      <c r="B1125" t="s">
        <v>485</v>
      </c>
      <c r="C1125" t="s">
        <v>3752</v>
      </c>
      <c r="D1125" t="s">
        <v>13000</v>
      </c>
      <c r="E1125" t="s">
        <v>13332</v>
      </c>
      <c r="F1125" t="s">
        <v>22440</v>
      </c>
      <c r="G1125" t="s">
        <v>22443</v>
      </c>
      <c r="H1125" t="s">
        <v>22452</v>
      </c>
      <c r="I1125" t="s">
        <v>22471</v>
      </c>
      <c r="J1125" t="s">
        <v>22785</v>
      </c>
      <c r="K1125" t="s">
        <v>29356</v>
      </c>
      <c r="M1125" t="s">
        <v>30069</v>
      </c>
      <c r="N1125" t="s">
        <v>32524</v>
      </c>
      <c r="O1125" t="s">
        <v>32525</v>
      </c>
      <c r="P1125">
        <v>0</v>
      </c>
      <c r="Q1125">
        <v>0</v>
      </c>
      <c r="R1125" t="s">
        <v>32526</v>
      </c>
      <c r="S1125" t="s">
        <v>32547</v>
      </c>
      <c r="T1125" t="s">
        <v>33181</v>
      </c>
      <c r="U1125" t="s">
        <v>34608</v>
      </c>
      <c r="W1125" t="s">
        <v>30069</v>
      </c>
      <c r="X1125" t="s">
        <v>32527</v>
      </c>
    </row>
    <row r="1126" spans="1:24">
      <c r="A1126">
        <f>HYPERLINK("https://www.philgeps.gov.ph/GEPSNONPILOT/Tender/SplashBidNoticeAbstractUI.aspx?menuIndex=3&amp;refID=7045454&amp;Result=3","7045454")</f>
        <v>0</v>
      </c>
      <c r="B1126" t="s">
        <v>471</v>
      </c>
      <c r="C1126" t="s">
        <v>3753</v>
      </c>
      <c r="D1126" t="s">
        <v>13031</v>
      </c>
      <c r="E1126" t="s">
        <v>14123</v>
      </c>
      <c r="F1126" t="s">
        <v>22436</v>
      </c>
      <c r="G1126" t="s">
        <v>22444</v>
      </c>
      <c r="H1126" t="s">
        <v>22452</v>
      </c>
      <c r="I1126" t="s">
        <v>2981</v>
      </c>
      <c r="J1126" t="s">
        <v>22979</v>
      </c>
      <c r="K1126" t="s">
        <v>29331</v>
      </c>
      <c r="M1126" t="s">
        <v>30055</v>
      </c>
      <c r="N1126" t="s">
        <v>32524</v>
      </c>
      <c r="O1126" t="s">
        <v>32525</v>
      </c>
      <c r="P1126">
        <v>0</v>
      </c>
      <c r="Q1126">
        <v>1</v>
      </c>
      <c r="R1126" t="s">
        <v>32526</v>
      </c>
      <c r="S1126" t="s">
        <v>32547</v>
      </c>
      <c r="T1126" t="s">
        <v>33182</v>
      </c>
      <c r="U1126" t="s">
        <v>34609</v>
      </c>
      <c r="V1126" t="s">
        <v>42526</v>
      </c>
      <c r="W1126" t="s">
        <v>30055</v>
      </c>
      <c r="X1126" t="s">
        <v>32527</v>
      </c>
    </row>
    <row r="1127" spans="1:24">
      <c r="A1127">
        <f>HYPERLINK("https://www.philgeps.gov.ph/GEPSNONPILOT/Tender/SplashBidNoticeAbstractUI.aspx?menuIndex=3&amp;refID=7045466&amp;Result=3","7045466")</f>
        <v>0</v>
      </c>
      <c r="B1127" t="s">
        <v>250</v>
      </c>
      <c r="C1127" t="s">
        <v>3754</v>
      </c>
      <c r="D1127" t="s">
        <v>13055</v>
      </c>
      <c r="E1127" t="s">
        <v>14124</v>
      </c>
      <c r="F1127" t="s">
        <v>22436</v>
      </c>
      <c r="G1127" t="s">
        <v>22443</v>
      </c>
      <c r="H1127" t="s">
        <v>22452</v>
      </c>
      <c r="I1127" t="s">
        <v>3529</v>
      </c>
      <c r="J1127" t="s">
        <v>23443</v>
      </c>
      <c r="K1127" t="s">
        <v>29336</v>
      </c>
      <c r="M1127" t="s">
        <v>29824</v>
      </c>
      <c r="N1127" t="s">
        <v>32524</v>
      </c>
      <c r="O1127" t="s">
        <v>32525</v>
      </c>
      <c r="P1127">
        <v>0</v>
      </c>
      <c r="Q1127">
        <v>0</v>
      </c>
      <c r="R1127" t="s">
        <v>32526</v>
      </c>
      <c r="S1127" t="s">
        <v>32547</v>
      </c>
      <c r="T1127" t="s">
        <v>33182</v>
      </c>
      <c r="U1127" t="s">
        <v>34610</v>
      </c>
      <c r="W1127" t="s">
        <v>29824</v>
      </c>
      <c r="X1127" t="s">
        <v>32527</v>
      </c>
    </row>
    <row r="1128" spans="1:24">
      <c r="A1128">
        <f>HYPERLINK("https://www.philgeps.gov.ph/GEPSNONPILOT/Tender/SplashBidNoticeAbstractUI.aspx?menuIndex=3&amp;refID=7045473&amp;Result=3","7045473")</f>
        <v>0</v>
      </c>
      <c r="B1128" t="s">
        <v>380</v>
      </c>
      <c r="C1128" t="s">
        <v>3755</v>
      </c>
      <c r="D1128" t="s">
        <v>12996</v>
      </c>
      <c r="E1128" t="s">
        <v>14125</v>
      </c>
      <c r="F1128" t="s">
        <v>22436</v>
      </c>
      <c r="G1128" t="s">
        <v>22446</v>
      </c>
      <c r="H1128" t="s">
        <v>22452</v>
      </c>
      <c r="I1128" t="s">
        <v>22469</v>
      </c>
      <c r="J1128" t="s">
        <v>22657</v>
      </c>
      <c r="K1128" t="s">
        <v>29338</v>
      </c>
      <c r="M1128" t="s">
        <v>29958</v>
      </c>
      <c r="N1128" t="s">
        <v>32524</v>
      </c>
      <c r="O1128" t="s">
        <v>32525</v>
      </c>
      <c r="P1128">
        <v>0</v>
      </c>
      <c r="Q1128">
        <v>3</v>
      </c>
      <c r="R1128" t="s">
        <v>32526</v>
      </c>
      <c r="S1128" t="s">
        <v>32547</v>
      </c>
      <c r="T1128" t="s">
        <v>33228</v>
      </c>
      <c r="U1128" t="s">
        <v>34611</v>
      </c>
      <c r="W1128" t="s">
        <v>29958</v>
      </c>
      <c r="X1128" t="s">
        <v>32527</v>
      </c>
    </row>
    <row r="1129" spans="1:24">
      <c r="A1129">
        <f>HYPERLINK("https://www.philgeps.gov.ph/GEPSNONPILOT/Tender/SplashBidNoticeAbstractUI.aspx?menuIndex=3&amp;refID=7045461&amp;Result=3","7045461")</f>
        <v>0</v>
      </c>
      <c r="B1129" t="s">
        <v>462</v>
      </c>
      <c r="C1129" t="s">
        <v>3756</v>
      </c>
      <c r="D1129" t="s">
        <v>12988</v>
      </c>
      <c r="E1129" t="s">
        <v>14126</v>
      </c>
      <c r="F1129" t="s">
        <v>22436</v>
      </c>
      <c r="G1129" t="s">
        <v>22445</v>
      </c>
      <c r="H1129" t="s">
        <v>22452</v>
      </c>
      <c r="I1129" t="s">
        <v>22465</v>
      </c>
      <c r="J1129" t="s">
        <v>23444</v>
      </c>
      <c r="K1129" t="s">
        <v>29336</v>
      </c>
      <c r="M1129" t="s">
        <v>30044</v>
      </c>
      <c r="N1129" t="s">
        <v>32524</v>
      </c>
      <c r="O1129" t="s">
        <v>32525</v>
      </c>
      <c r="P1129">
        <v>0</v>
      </c>
      <c r="Q1129">
        <v>0</v>
      </c>
      <c r="R1129" t="s">
        <v>32526</v>
      </c>
      <c r="S1129" t="s">
        <v>32547</v>
      </c>
      <c r="T1129" t="s">
        <v>33155</v>
      </c>
      <c r="U1129" t="s">
        <v>34612</v>
      </c>
      <c r="W1129" t="s">
        <v>43683</v>
      </c>
      <c r="X1129" t="s">
        <v>32527</v>
      </c>
    </row>
    <row r="1130" spans="1:24">
      <c r="A1130">
        <f>HYPERLINK("https://www.philgeps.gov.ph/GEPSNONPILOT/Tender/SplashBidNoticeAbstractUI.aspx?menuIndex=3&amp;refID=7045463&amp;Result=3","7045463")</f>
        <v>0</v>
      </c>
      <c r="B1130" t="s">
        <v>486</v>
      </c>
      <c r="C1130" t="s">
        <v>3757</v>
      </c>
      <c r="D1130" t="s">
        <v>12992</v>
      </c>
      <c r="E1130" t="s">
        <v>14127</v>
      </c>
      <c r="F1130" t="s">
        <v>22436</v>
      </c>
      <c r="G1130" t="s">
        <v>22444</v>
      </c>
      <c r="H1130" t="s">
        <v>22454</v>
      </c>
      <c r="I1130" t="s">
        <v>7738</v>
      </c>
      <c r="J1130" t="s">
        <v>23445</v>
      </c>
      <c r="K1130" t="s">
        <v>29334</v>
      </c>
      <c r="M1130" t="s">
        <v>30070</v>
      </c>
      <c r="N1130" t="s">
        <v>32524</v>
      </c>
      <c r="O1130" t="s">
        <v>32525</v>
      </c>
      <c r="P1130">
        <v>0</v>
      </c>
      <c r="Q1130">
        <v>0</v>
      </c>
      <c r="R1130" t="s">
        <v>32526</v>
      </c>
      <c r="S1130" t="s">
        <v>32547</v>
      </c>
      <c r="T1130" t="s">
        <v>33207</v>
      </c>
      <c r="U1130" t="s">
        <v>34613</v>
      </c>
      <c r="W1130" t="s">
        <v>30070</v>
      </c>
      <c r="X1130" t="s">
        <v>32527</v>
      </c>
    </row>
    <row r="1131" spans="1:24">
      <c r="A1131">
        <f>HYPERLINK("https://www.philgeps.gov.ph/GEPSNONPILOT/Tender/SplashBidNoticeAbstractUI.aspx?menuIndex=3&amp;refID=7045451&amp;Result=3","7045451")</f>
        <v>0</v>
      </c>
      <c r="B1131" t="s">
        <v>487</v>
      </c>
      <c r="C1131" t="s">
        <v>3758</v>
      </c>
      <c r="D1131" t="s">
        <v>13039</v>
      </c>
      <c r="E1131" t="s">
        <v>14128</v>
      </c>
      <c r="F1131" t="s">
        <v>22436</v>
      </c>
      <c r="G1131" t="s">
        <v>22444</v>
      </c>
      <c r="H1131" t="s">
        <v>22452</v>
      </c>
      <c r="I1131" t="s">
        <v>22469</v>
      </c>
      <c r="J1131" t="s">
        <v>23446</v>
      </c>
      <c r="K1131" t="s">
        <v>29335</v>
      </c>
      <c r="M1131" t="s">
        <v>30071</v>
      </c>
      <c r="N1131" t="s">
        <v>32524</v>
      </c>
      <c r="O1131" t="s">
        <v>32525</v>
      </c>
      <c r="P1131">
        <v>0</v>
      </c>
      <c r="Q1131">
        <v>0</v>
      </c>
      <c r="R1131" t="s">
        <v>32526</v>
      </c>
      <c r="S1131" t="s">
        <v>32547</v>
      </c>
      <c r="T1131" t="s">
        <v>33301</v>
      </c>
      <c r="U1131" t="s">
        <v>34614</v>
      </c>
      <c r="V1131" t="s">
        <v>42527</v>
      </c>
      <c r="W1131" t="s">
        <v>30071</v>
      </c>
      <c r="X1131" t="s">
        <v>32527</v>
      </c>
    </row>
    <row r="1132" spans="1:24">
      <c r="A1132">
        <f>HYPERLINK("https://www.philgeps.gov.ph/GEPSNONPILOT/Tender/SplashBidNoticeAbstractUI.aspx?menuIndex=3&amp;refID=7045464&amp;Result=3","7045464")</f>
        <v>0</v>
      </c>
      <c r="B1132" t="s">
        <v>483</v>
      </c>
      <c r="C1132" t="s">
        <v>3759</v>
      </c>
      <c r="D1132" t="s">
        <v>13065</v>
      </c>
      <c r="E1132" t="s">
        <v>14129</v>
      </c>
      <c r="F1132" t="s">
        <v>22436</v>
      </c>
      <c r="G1132" t="s">
        <v>22443</v>
      </c>
      <c r="H1132" t="s">
        <v>22452</v>
      </c>
      <c r="I1132" t="s">
        <v>22458</v>
      </c>
      <c r="J1132" t="s">
        <v>22605</v>
      </c>
      <c r="K1132" t="s">
        <v>29331</v>
      </c>
      <c r="M1132" t="s">
        <v>30067</v>
      </c>
      <c r="N1132" t="s">
        <v>32524</v>
      </c>
      <c r="O1132" t="s">
        <v>32525</v>
      </c>
      <c r="P1132">
        <v>0</v>
      </c>
      <c r="Q1132">
        <v>3</v>
      </c>
      <c r="R1132" t="s">
        <v>32526</v>
      </c>
      <c r="S1132" t="s">
        <v>32547</v>
      </c>
      <c r="T1132" t="s">
        <v>33300</v>
      </c>
      <c r="U1132" t="s">
        <v>34606</v>
      </c>
      <c r="W1132" t="s">
        <v>30067</v>
      </c>
      <c r="X1132" t="s">
        <v>32527</v>
      </c>
    </row>
    <row r="1133" spans="1:24">
      <c r="A1133">
        <f>HYPERLINK("https://www.philgeps.gov.ph/GEPSNONPILOT/Tender/SplashBidNoticeAbstractUI.aspx?menuIndex=3&amp;refID=7045460&amp;Result=3","7045460")</f>
        <v>0</v>
      </c>
      <c r="B1133" t="s">
        <v>121</v>
      </c>
      <c r="C1133" t="s">
        <v>3760</v>
      </c>
      <c r="D1133" t="s">
        <v>13034</v>
      </c>
      <c r="E1133" t="s">
        <v>14130</v>
      </c>
      <c r="F1133" t="s">
        <v>22436</v>
      </c>
      <c r="G1133" t="s">
        <v>22447</v>
      </c>
      <c r="H1133" t="s">
        <v>22452</v>
      </c>
      <c r="I1133" t="s">
        <v>22499</v>
      </c>
      <c r="J1133" t="s">
        <v>22970</v>
      </c>
      <c r="K1133" t="s">
        <v>29341</v>
      </c>
      <c r="M1133" t="s">
        <v>29693</v>
      </c>
      <c r="N1133" t="s">
        <v>32524</v>
      </c>
      <c r="O1133" t="s">
        <v>32525</v>
      </c>
      <c r="P1133">
        <v>0</v>
      </c>
      <c r="Q1133">
        <v>1</v>
      </c>
      <c r="R1133" t="s">
        <v>32526</v>
      </c>
      <c r="S1133" t="s">
        <v>32547</v>
      </c>
      <c r="T1133" t="s">
        <v>33302</v>
      </c>
      <c r="U1133" t="s">
        <v>34615</v>
      </c>
      <c r="V1133" t="s">
        <v>42528</v>
      </c>
      <c r="W1133" t="s">
        <v>29693</v>
      </c>
      <c r="X1133" t="s">
        <v>32527</v>
      </c>
    </row>
    <row r="1134" spans="1:24">
      <c r="A1134">
        <f>HYPERLINK("https://www.philgeps.gov.ph/GEPSNONPILOT/Tender/SplashBidNoticeAbstractUI.aspx?menuIndex=3&amp;refID=7045452&amp;Result=3","7045452")</f>
        <v>0</v>
      </c>
      <c r="B1134" t="s">
        <v>199</v>
      </c>
      <c r="C1134" t="s">
        <v>3441</v>
      </c>
      <c r="D1134" t="s">
        <v>13009</v>
      </c>
      <c r="E1134" t="s">
        <v>14131</v>
      </c>
      <c r="F1134" t="s">
        <v>22436</v>
      </c>
      <c r="G1134" t="s">
        <v>22446</v>
      </c>
      <c r="H1134" t="s">
        <v>22452</v>
      </c>
      <c r="I1134" t="s">
        <v>3827</v>
      </c>
      <c r="J1134" t="s">
        <v>23447</v>
      </c>
      <c r="K1134" t="s">
        <v>29338</v>
      </c>
      <c r="M1134" t="s">
        <v>30051</v>
      </c>
      <c r="N1134" t="s">
        <v>32524</v>
      </c>
      <c r="O1134" t="s">
        <v>32525</v>
      </c>
      <c r="P1134">
        <v>0</v>
      </c>
      <c r="Q1134">
        <v>4</v>
      </c>
      <c r="R1134" t="s">
        <v>32526</v>
      </c>
      <c r="S1134" t="s">
        <v>32547</v>
      </c>
      <c r="T1134" t="s">
        <v>33235</v>
      </c>
      <c r="U1134" t="s">
        <v>34563</v>
      </c>
      <c r="W1134" t="s">
        <v>30051</v>
      </c>
      <c r="X1134" t="s">
        <v>32527</v>
      </c>
    </row>
    <row r="1135" spans="1:24">
      <c r="A1135">
        <f>HYPERLINK("https://www.philgeps.gov.ph/GEPSNONPILOT/Tender/SplashBidNoticeAbstractUI.aspx?menuIndex=3&amp;refID=7045472&amp;Result=3","7045472")</f>
        <v>0</v>
      </c>
      <c r="B1135" t="s">
        <v>488</v>
      </c>
      <c r="C1135" t="s">
        <v>3761</v>
      </c>
      <c r="D1135" t="s">
        <v>12988</v>
      </c>
      <c r="E1135" t="s">
        <v>14132</v>
      </c>
      <c r="F1135" t="s">
        <v>22436</v>
      </c>
      <c r="G1135" t="s">
        <v>22444</v>
      </c>
      <c r="H1135" t="s">
        <v>22452</v>
      </c>
      <c r="I1135" t="s">
        <v>3529</v>
      </c>
      <c r="J1135" t="s">
        <v>22605</v>
      </c>
      <c r="K1135" t="s">
        <v>29357</v>
      </c>
      <c r="M1135" t="s">
        <v>30072</v>
      </c>
      <c r="N1135" t="s">
        <v>32524</v>
      </c>
      <c r="O1135" t="s">
        <v>32525</v>
      </c>
      <c r="P1135">
        <v>0</v>
      </c>
      <c r="Q1135">
        <v>0</v>
      </c>
      <c r="R1135" t="s">
        <v>32526</v>
      </c>
      <c r="S1135" t="s">
        <v>32547</v>
      </c>
      <c r="T1135" t="s">
        <v>33181</v>
      </c>
      <c r="U1135" t="s">
        <v>34616</v>
      </c>
      <c r="W1135" t="s">
        <v>30072</v>
      </c>
      <c r="X1135" t="s">
        <v>32527</v>
      </c>
    </row>
    <row r="1136" spans="1:24">
      <c r="A1136">
        <f>HYPERLINK("https://www.philgeps.gov.ph/GEPSNONPILOT/Tender/SplashBidNoticeAbstractUI.aspx?menuIndex=3&amp;refID=7045447&amp;Result=3","7045447")</f>
        <v>0</v>
      </c>
      <c r="B1136" t="s">
        <v>473</v>
      </c>
      <c r="C1136" t="s">
        <v>3762</v>
      </c>
      <c r="D1136" t="s">
        <v>13012</v>
      </c>
      <c r="E1136" t="s">
        <v>14133</v>
      </c>
      <c r="F1136" t="s">
        <v>22436</v>
      </c>
      <c r="G1136" t="s">
        <v>22444</v>
      </c>
      <c r="H1136" t="s">
        <v>22452</v>
      </c>
      <c r="I1136" t="s">
        <v>22530</v>
      </c>
      <c r="J1136" t="s">
        <v>22779</v>
      </c>
      <c r="K1136" t="s">
        <v>29333</v>
      </c>
      <c r="M1136" t="s">
        <v>30057</v>
      </c>
      <c r="N1136" t="s">
        <v>32524</v>
      </c>
      <c r="O1136" t="s">
        <v>32525</v>
      </c>
      <c r="P1136">
        <v>0</v>
      </c>
      <c r="Q1136">
        <v>2</v>
      </c>
      <c r="R1136" t="s">
        <v>32526</v>
      </c>
      <c r="S1136" t="s">
        <v>32547</v>
      </c>
      <c r="T1136" t="s">
        <v>33303</v>
      </c>
      <c r="U1136" t="s">
        <v>34617</v>
      </c>
      <c r="W1136" t="s">
        <v>30057</v>
      </c>
      <c r="X1136" t="s">
        <v>32527</v>
      </c>
    </row>
    <row r="1137" spans="1:24">
      <c r="A1137">
        <f>HYPERLINK("https://www.philgeps.gov.ph/GEPSNONPILOT/Tender/SplashBidNoticeAbstractUI.aspx?menuIndex=3&amp;refID=7045446&amp;Result=3","7045446")</f>
        <v>0</v>
      </c>
      <c r="B1137" t="s">
        <v>489</v>
      </c>
      <c r="C1137" t="s">
        <v>3763</v>
      </c>
      <c r="D1137" t="s">
        <v>13037</v>
      </c>
      <c r="E1137" t="s">
        <v>14134</v>
      </c>
      <c r="F1137" t="s">
        <v>22436</v>
      </c>
      <c r="G1137" t="s">
        <v>22444</v>
      </c>
      <c r="H1137" t="s">
        <v>22454</v>
      </c>
      <c r="I1137" t="s">
        <v>7738</v>
      </c>
      <c r="J1137" t="s">
        <v>23399</v>
      </c>
      <c r="K1137" t="s">
        <v>29388</v>
      </c>
      <c r="M1137" t="s">
        <v>30073</v>
      </c>
      <c r="N1137" t="s">
        <v>32524</v>
      </c>
      <c r="O1137" t="s">
        <v>32525</v>
      </c>
      <c r="P1137">
        <v>0</v>
      </c>
      <c r="Q1137">
        <v>0</v>
      </c>
      <c r="R1137" t="s">
        <v>32526</v>
      </c>
      <c r="S1137" t="s">
        <v>32547</v>
      </c>
      <c r="T1137" t="s">
        <v>33164</v>
      </c>
      <c r="U1137" t="s">
        <v>34618</v>
      </c>
      <c r="W1137" t="s">
        <v>30073</v>
      </c>
      <c r="X1137" t="s">
        <v>32527</v>
      </c>
    </row>
    <row r="1138" spans="1:24">
      <c r="A1138">
        <f>HYPERLINK("https://www.philgeps.gov.ph/GEPSNONPILOT/Tender/SplashBidNoticeAbstractUI.aspx?menuIndex=3&amp;refID=7045450&amp;Result=3","7045450")</f>
        <v>0</v>
      </c>
      <c r="B1138" t="s">
        <v>397</v>
      </c>
      <c r="C1138" t="s">
        <v>3764</v>
      </c>
      <c r="E1138" t="s">
        <v>14135</v>
      </c>
      <c r="F1138" t="s">
        <v>22436</v>
      </c>
      <c r="G1138" t="s">
        <v>22443</v>
      </c>
      <c r="H1138" t="s">
        <v>22452</v>
      </c>
      <c r="I1138" t="s">
        <v>3529</v>
      </c>
      <c r="J1138" t="s">
        <v>23448</v>
      </c>
      <c r="K1138" t="s">
        <v>29341</v>
      </c>
      <c r="M1138" t="s">
        <v>29976</v>
      </c>
      <c r="N1138" t="s">
        <v>32524</v>
      </c>
      <c r="O1138" t="s">
        <v>32525</v>
      </c>
      <c r="P1138">
        <v>0</v>
      </c>
      <c r="Q1138">
        <v>0</v>
      </c>
      <c r="R1138" t="s">
        <v>32526</v>
      </c>
      <c r="S1138" t="s">
        <v>32547</v>
      </c>
      <c r="T1138" t="s">
        <v>33154</v>
      </c>
      <c r="U1138" t="s">
        <v>34619</v>
      </c>
      <c r="W1138" t="s">
        <v>29976</v>
      </c>
      <c r="X1138" t="s">
        <v>32527</v>
      </c>
    </row>
    <row r="1139" spans="1:24">
      <c r="A1139">
        <f>HYPERLINK("https://www.philgeps.gov.ph/GEPSNONPILOT/Tender/SplashBidNoticeAbstractUI.aspx?menuIndex=3&amp;refID=7045456&amp;Result=3","7045456")</f>
        <v>0</v>
      </c>
      <c r="B1139" t="s">
        <v>490</v>
      </c>
      <c r="C1139" t="s">
        <v>3765</v>
      </c>
      <c r="D1139" t="s">
        <v>13011</v>
      </c>
      <c r="E1139" t="s">
        <v>14136</v>
      </c>
      <c r="F1139" t="s">
        <v>22436</v>
      </c>
      <c r="G1139" t="s">
        <v>22443</v>
      </c>
      <c r="H1139" t="s">
        <v>22452</v>
      </c>
      <c r="I1139" t="s">
        <v>2981</v>
      </c>
      <c r="J1139" t="s">
        <v>23449</v>
      </c>
      <c r="K1139" t="s">
        <v>29331</v>
      </c>
      <c r="M1139" t="s">
        <v>30074</v>
      </c>
      <c r="N1139" t="s">
        <v>32524</v>
      </c>
      <c r="O1139" t="s">
        <v>32525</v>
      </c>
      <c r="P1139">
        <v>0</v>
      </c>
      <c r="Q1139">
        <v>1</v>
      </c>
      <c r="R1139" t="s">
        <v>32526</v>
      </c>
      <c r="S1139" t="s">
        <v>32547</v>
      </c>
      <c r="T1139" t="s">
        <v>33196</v>
      </c>
      <c r="U1139" t="s">
        <v>34620</v>
      </c>
      <c r="W1139" t="s">
        <v>43685</v>
      </c>
      <c r="X1139" t="s">
        <v>32527</v>
      </c>
    </row>
    <row r="1140" spans="1:24">
      <c r="A1140">
        <f>HYPERLINK("https://www.philgeps.gov.ph/GEPSNONPILOT/Tender/SplashBidNoticeAbstractUI.aspx?menuIndex=3&amp;refID=7045474&amp;Result=3","7045474")</f>
        <v>0</v>
      </c>
      <c r="B1140" t="s">
        <v>491</v>
      </c>
      <c r="C1140" t="s">
        <v>3766</v>
      </c>
      <c r="D1140" t="s">
        <v>12988</v>
      </c>
      <c r="E1140" t="s">
        <v>14137</v>
      </c>
      <c r="F1140" t="s">
        <v>22436</v>
      </c>
      <c r="G1140" t="s">
        <v>22446</v>
      </c>
      <c r="H1140" t="s">
        <v>22452</v>
      </c>
      <c r="I1140" t="s">
        <v>3529</v>
      </c>
      <c r="J1140" t="s">
        <v>22894</v>
      </c>
      <c r="K1140" t="s">
        <v>29358</v>
      </c>
      <c r="M1140" t="s">
        <v>30075</v>
      </c>
      <c r="N1140" t="s">
        <v>32524</v>
      </c>
      <c r="O1140" t="s">
        <v>32525</v>
      </c>
      <c r="P1140">
        <v>0</v>
      </c>
      <c r="Q1140">
        <v>3</v>
      </c>
      <c r="R1140" t="s">
        <v>32526</v>
      </c>
      <c r="S1140" t="s">
        <v>32547</v>
      </c>
      <c r="T1140" t="s">
        <v>33304</v>
      </c>
      <c r="U1140" t="s">
        <v>34621</v>
      </c>
      <c r="W1140" t="s">
        <v>43686</v>
      </c>
      <c r="X1140" t="s">
        <v>32527</v>
      </c>
    </row>
    <row r="1141" spans="1:24">
      <c r="A1141">
        <f>HYPERLINK("https://www.philgeps.gov.ph/GEPSNONPILOT/Tender/SplashBidNoticeAbstractUI.aspx?menuIndex=3&amp;refID=7045487&amp;Result=3","7045487")</f>
        <v>0</v>
      </c>
      <c r="B1141" t="s">
        <v>489</v>
      </c>
      <c r="C1141" t="s">
        <v>3767</v>
      </c>
      <c r="D1141" t="s">
        <v>13037</v>
      </c>
      <c r="E1141" t="s">
        <v>14138</v>
      </c>
      <c r="F1141" t="s">
        <v>22436</v>
      </c>
      <c r="G1141" t="s">
        <v>22444</v>
      </c>
      <c r="H1141" t="s">
        <v>22454</v>
      </c>
      <c r="I1141" t="s">
        <v>7738</v>
      </c>
      <c r="J1141" t="s">
        <v>23450</v>
      </c>
      <c r="K1141" t="s">
        <v>29344</v>
      </c>
      <c r="M1141" t="s">
        <v>30073</v>
      </c>
      <c r="N1141" t="s">
        <v>32524</v>
      </c>
      <c r="O1141" t="s">
        <v>32525</v>
      </c>
      <c r="P1141">
        <v>0</v>
      </c>
      <c r="Q1141">
        <v>0</v>
      </c>
      <c r="R1141" t="s">
        <v>32526</v>
      </c>
      <c r="S1141" t="s">
        <v>32547</v>
      </c>
      <c r="T1141" t="s">
        <v>33266</v>
      </c>
      <c r="U1141" t="s">
        <v>34622</v>
      </c>
      <c r="W1141" t="s">
        <v>30073</v>
      </c>
      <c r="X1141" t="s">
        <v>32527</v>
      </c>
    </row>
    <row r="1142" spans="1:24">
      <c r="A1142">
        <f>HYPERLINK("https://www.philgeps.gov.ph/GEPSNONPILOT/Tender/SplashBidNoticeAbstractUI.aspx?menuIndex=3&amp;refID=7045448&amp;Result=3","7045448")</f>
        <v>0</v>
      </c>
      <c r="B1142" t="s">
        <v>492</v>
      </c>
      <c r="C1142" t="s">
        <v>3768</v>
      </c>
      <c r="D1142" t="s">
        <v>12996</v>
      </c>
      <c r="E1142" t="s">
        <v>14139</v>
      </c>
      <c r="F1142" t="s">
        <v>22436</v>
      </c>
      <c r="G1142" t="s">
        <v>22443</v>
      </c>
      <c r="H1142" t="s">
        <v>22452</v>
      </c>
      <c r="I1142" t="s">
        <v>22460</v>
      </c>
      <c r="J1142" t="s">
        <v>23451</v>
      </c>
      <c r="K1142" t="s">
        <v>29336</v>
      </c>
      <c r="M1142" t="s">
        <v>30076</v>
      </c>
      <c r="N1142" t="s">
        <v>32524</v>
      </c>
      <c r="O1142" t="s">
        <v>32525</v>
      </c>
      <c r="P1142">
        <v>0</v>
      </c>
      <c r="Q1142">
        <v>1</v>
      </c>
      <c r="R1142" t="s">
        <v>32526</v>
      </c>
      <c r="S1142" t="s">
        <v>32547</v>
      </c>
      <c r="T1142" t="s">
        <v>33305</v>
      </c>
      <c r="U1142" t="s">
        <v>34623</v>
      </c>
      <c r="W1142" t="s">
        <v>30076</v>
      </c>
      <c r="X1142" t="s">
        <v>32527</v>
      </c>
    </row>
    <row r="1143" spans="1:24">
      <c r="A1143">
        <f>HYPERLINK("https://www.philgeps.gov.ph/GEPSNONPILOT/Tender/SplashBidNoticeAbstractUI.aspx?menuIndex=3&amp;refID=7045486&amp;Result=3","7045486")</f>
        <v>0</v>
      </c>
      <c r="B1143" t="s">
        <v>192</v>
      </c>
      <c r="C1143" t="s">
        <v>3769</v>
      </c>
      <c r="D1143" t="s">
        <v>13048</v>
      </c>
      <c r="E1143" t="s">
        <v>14140</v>
      </c>
      <c r="F1143" t="s">
        <v>22436</v>
      </c>
      <c r="G1143" t="s">
        <v>22444</v>
      </c>
      <c r="H1143" t="s">
        <v>22454</v>
      </c>
      <c r="I1143" t="s">
        <v>7738</v>
      </c>
      <c r="J1143" t="s">
        <v>22877</v>
      </c>
      <c r="K1143" t="s">
        <v>29338</v>
      </c>
      <c r="M1143" t="s">
        <v>29765</v>
      </c>
      <c r="N1143" t="s">
        <v>32524</v>
      </c>
      <c r="O1143" t="s">
        <v>32525</v>
      </c>
      <c r="P1143">
        <v>0</v>
      </c>
      <c r="Q1143">
        <v>0</v>
      </c>
      <c r="R1143" t="s">
        <v>32526</v>
      </c>
      <c r="S1143" t="s">
        <v>32547</v>
      </c>
      <c r="T1143" t="s">
        <v>33170</v>
      </c>
      <c r="U1143" t="s">
        <v>33981</v>
      </c>
      <c r="W1143" t="s">
        <v>29765</v>
      </c>
      <c r="X1143" t="s">
        <v>32527</v>
      </c>
    </row>
    <row r="1144" spans="1:24">
      <c r="A1144">
        <f>HYPERLINK("https://www.philgeps.gov.ph/GEPSNONPILOT/Tender/SplashBidNoticeAbstractUI.aspx?menuIndex=3&amp;refID=7045480&amp;Result=3","7045480")</f>
        <v>0</v>
      </c>
      <c r="B1144" t="s">
        <v>199</v>
      </c>
      <c r="C1144" t="s">
        <v>3770</v>
      </c>
      <c r="D1144" t="s">
        <v>13009</v>
      </c>
      <c r="E1144" t="s">
        <v>14141</v>
      </c>
      <c r="F1144" t="s">
        <v>22436</v>
      </c>
      <c r="G1144" t="s">
        <v>22446</v>
      </c>
      <c r="H1144" t="s">
        <v>22452</v>
      </c>
      <c r="I1144" t="s">
        <v>5194</v>
      </c>
      <c r="J1144" t="s">
        <v>23188</v>
      </c>
      <c r="K1144" t="s">
        <v>29338</v>
      </c>
      <c r="M1144" t="s">
        <v>30051</v>
      </c>
      <c r="N1144" t="s">
        <v>32524</v>
      </c>
      <c r="O1144" t="s">
        <v>32525</v>
      </c>
      <c r="P1144">
        <v>0</v>
      </c>
      <c r="Q1144">
        <v>1</v>
      </c>
      <c r="R1144" t="s">
        <v>32526</v>
      </c>
      <c r="S1144" t="s">
        <v>32547</v>
      </c>
      <c r="T1144" t="s">
        <v>33235</v>
      </c>
      <c r="U1144" t="s">
        <v>34563</v>
      </c>
      <c r="W1144" t="s">
        <v>30051</v>
      </c>
      <c r="X1144" t="s">
        <v>32527</v>
      </c>
    </row>
    <row r="1145" spans="1:24">
      <c r="A1145">
        <f>HYPERLINK("https://www.philgeps.gov.ph/GEPSNONPILOT/Tender/SplashBidNoticeAbstractUI.aspx?menuIndex=3&amp;refID=7045457&amp;Result=3","7045457")</f>
        <v>0</v>
      </c>
      <c r="B1145" t="s">
        <v>493</v>
      </c>
      <c r="C1145" t="s">
        <v>3771</v>
      </c>
      <c r="D1145" t="s">
        <v>12990</v>
      </c>
      <c r="E1145" t="s">
        <v>14142</v>
      </c>
      <c r="F1145" t="s">
        <v>22436</v>
      </c>
      <c r="G1145" t="s">
        <v>22443</v>
      </c>
      <c r="H1145" t="s">
        <v>22452</v>
      </c>
      <c r="I1145" t="s">
        <v>22456</v>
      </c>
      <c r="J1145" t="s">
        <v>23452</v>
      </c>
      <c r="K1145" t="s">
        <v>29338</v>
      </c>
      <c r="M1145" t="s">
        <v>30077</v>
      </c>
      <c r="N1145" t="s">
        <v>32524</v>
      </c>
      <c r="O1145" t="s">
        <v>32525</v>
      </c>
      <c r="P1145">
        <v>0</v>
      </c>
      <c r="Q1145">
        <v>4</v>
      </c>
      <c r="R1145" t="s">
        <v>32526</v>
      </c>
      <c r="S1145" t="s">
        <v>32547</v>
      </c>
      <c r="T1145" t="s">
        <v>33196</v>
      </c>
      <c r="U1145" t="s">
        <v>34624</v>
      </c>
      <c r="W1145" t="s">
        <v>30077</v>
      </c>
      <c r="X1145" t="s">
        <v>32527</v>
      </c>
    </row>
    <row r="1146" spans="1:24">
      <c r="A1146">
        <f>HYPERLINK("https://www.philgeps.gov.ph/GEPSNONPILOT/Tender/SplashBidNoticeAbstractUI.aspx?menuIndex=3&amp;refID=7045485&amp;Result=3","7045485")</f>
        <v>0</v>
      </c>
      <c r="B1146" t="s">
        <v>494</v>
      </c>
      <c r="C1146" t="s">
        <v>3772</v>
      </c>
      <c r="D1146" t="s">
        <v>13066</v>
      </c>
      <c r="E1146" t="s">
        <v>14143</v>
      </c>
      <c r="F1146" t="s">
        <v>22436</v>
      </c>
      <c r="G1146" t="s">
        <v>22444</v>
      </c>
      <c r="H1146" t="s">
        <v>22454</v>
      </c>
      <c r="I1146" t="s">
        <v>7738</v>
      </c>
      <c r="J1146" t="s">
        <v>23453</v>
      </c>
      <c r="K1146" t="s">
        <v>29388</v>
      </c>
      <c r="M1146" t="s">
        <v>30078</v>
      </c>
      <c r="N1146" t="s">
        <v>32524</v>
      </c>
      <c r="O1146" t="s">
        <v>32525</v>
      </c>
      <c r="P1146">
        <v>0</v>
      </c>
      <c r="Q1146">
        <v>2</v>
      </c>
      <c r="R1146" t="s">
        <v>32526</v>
      </c>
      <c r="S1146" t="s">
        <v>32547</v>
      </c>
      <c r="T1146" t="s">
        <v>33199</v>
      </c>
      <c r="U1146" t="s">
        <v>34625</v>
      </c>
      <c r="W1146" t="s">
        <v>30078</v>
      </c>
      <c r="X1146" t="s">
        <v>32527</v>
      </c>
    </row>
    <row r="1147" spans="1:24">
      <c r="A1147">
        <f>HYPERLINK("https://www.philgeps.gov.ph/GEPSNONPILOT/Tender/SplashBidNoticeAbstractUI.aspx?menuIndex=3&amp;refID=7045482&amp;Result=3","7045482")</f>
        <v>0</v>
      </c>
      <c r="B1147" t="s">
        <v>50</v>
      </c>
      <c r="C1147" t="s">
        <v>3773</v>
      </c>
      <c r="D1147" t="s">
        <v>13008</v>
      </c>
      <c r="E1147" t="s">
        <v>14144</v>
      </c>
      <c r="F1147" t="s">
        <v>22436</v>
      </c>
      <c r="G1147" t="s">
        <v>22444</v>
      </c>
      <c r="H1147" t="s">
        <v>22452</v>
      </c>
      <c r="I1147" t="s">
        <v>3027</v>
      </c>
      <c r="J1147" t="s">
        <v>23454</v>
      </c>
      <c r="K1147" t="s">
        <v>29335</v>
      </c>
      <c r="M1147" t="s">
        <v>29622</v>
      </c>
      <c r="N1147" t="s">
        <v>32524</v>
      </c>
      <c r="O1147" t="s">
        <v>32525</v>
      </c>
      <c r="P1147">
        <v>0</v>
      </c>
      <c r="Q1147">
        <v>0</v>
      </c>
      <c r="R1147" t="s">
        <v>32526</v>
      </c>
      <c r="S1147" t="s">
        <v>32547</v>
      </c>
      <c r="T1147" t="s">
        <v>33166</v>
      </c>
      <c r="U1147" t="s">
        <v>34626</v>
      </c>
      <c r="W1147" t="s">
        <v>29622</v>
      </c>
      <c r="X1147" t="s">
        <v>32527</v>
      </c>
    </row>
    <row r="1148" spans="1:24">
      <c r="A1148">
        <f>HYPERLINK("https://www.philgeps.gov.ph/GEPSNONPILOT/Tender/SplashBidNoticeAbstractUI.aspx?menuIndex=3&amp;refID=7045475&amp;Result=3","7045475")</f>
        <v>0</v>
      </c>
      <c r="B1148" t="s">
        <v>495</v>
      </c>
      <c r="C1148" t="s">
        <v>3774</v>
      </c>
      <c r="D1148" t="s">
        <v>13040</v>
      </c>
      <c r="E1148" t="s">
        <v>14145</v>
      </c>
      <c r="F1148" t="s">
        <v>22436</v>
      </c>
      <c r="G1148" t="s">
        <v>22443</v>
      </c>
      <c r="H1148" t="s">
        <v>22452</v>
      </c>
      <c r="I1148" t="s">
        <v>22512</v>
      </c>
      <c r="J1148" t="s">
        <v>23455</v>
      </c>
      <c r="K1148" t="s">
        <v>29336</v>
      </c>
      <c r="M1148" t="s">
        <v>30079</v>
      </c>
      <c r="N1148" t="s">
        <v>32524</v>
      </c>
      <c r="O1148" t="s">
        <v>32525</v>
      </c>
      <c r="P1148">
        <v>0</v>
      </c>
      <c r="Q1148">
        <v>0</v>
      </c>
      <c r="R1148" t="s">
        <v>32526</v>
      </c>
      <c r="S1148" t="s">
        <v>32547</v>
      </c>
      <c r="T1148" t="s">
        <v>33161</v>
      </c>
      <c r="U1148" t="s">
        <v>34627</v>
      </c>
      <c r="W1148" t="s">
        <v>30079</v>
      </c>
      <c r="X1148" t="s">
        <v>32527</v>
      </c>
    </row>
    <row r="1149" spans="1:24">
      <c r="A1149">
        <f>HYPERLINK("https://www.philgeps.gov.ph/GEPSNONPILOT/Tender/SplashBidNoticeAbstractUI.aspx?menuIndex=3&amp;refID=7045479&amp;Result=3","7045479")</f>
        <v>0</v>
      </c>
      <c r="B1149" t="s">
        <v>483</v>
      </c>
      <c r="C1149" t="s">
        <v>3775</v>
      </c>
      <c r="D1149" t="s">
        <v>13065</v>
      </c>
      <c r="E1149" t="s">
        <v>14146</v>
      </c>
      <c r="F1149" t="s">
        <v>22436</v>
      </c>
      <c r="G1149" t="s">
        <v>22443</v>
      </c>
      <c r="H1149" t="s">
        <v>22452</v>
      </c>
      <c r="I1149" t="s">
        <v>12358</v>
      </c>
      <c r="J1149" t="s">
        <v>23456</v>
      </c>
      <c r="K1149" t="s">
        <v>29331</v>
      </c>
      <c r="M1149" t="s">
        <v>30067</v>
      </c>
      <c r="N1149" t="s">
        <v>32524</v>
      </c>
      <c r="O1149" t="s">
        <v>32525</v>
      </c>
      <c r="P1149">
        <v>0</v>
      </c>
      <c r="Q1149">
        <v>1</v>
      </c>
      <c r="R1149" t="s">
        <v>32526</v>
      </c>
      <c r="S1149" t="s">
        <v>32547</v>
      </c>
      <c r="T1149" t="s">
        <v>33300</v>
      </c>
      <c r="U1149" t="s">
        <v>34606</v>
      </c>
      <c r="W1149" t="s">
        <v>30067</v>
      </c>
      <c r="X1149" t="s">
        <v>32527</v>
      </c>
    </row>
    <row r="1150" spans="1:24">
      <c r="A1150">
        <f>HYPERLINK("https://www.philgeps.gov.ph/GEPSNONPILOT/Tender/SplashBidNoticeAbstractUI.aspx?menuIndex=3&amp;refID=7045497&amp;Result=3","7045497")</f>
        <v>0</v>
      </c>
      <c r="B1150" t="s">
        <v>496</v>
      </c>
      <c r="C1150" t="s">
        <v>3776</v>
      </c>
      <c r="D1150" t="s">
        <v>13016</v>
      </c>
      <c r="E1150" t="s">
        <v>3776</v>
      </c>
      <c r="F1150" t="s">
        <v>22436</v>
      </c>
      <c r="G1150" t="s">
        <v>22446</v>
      </c>
      <c r="H1150" t="s">
        <v>22452</v>
      </c>
      <c r="I1150" t="s">
        <v>3529</v>
      </c>
      <c r="J1150" t="s">
        <v>23457</v>
      </c>
      <c r="K1150" t="s">
        <v>29336</v>
      </c>
      <c r="M1150" t="s">
        <v>30080</v>
      </c>
      <c r="N1150" t="s">
        <v>32524</v>
      </c>
      <c r="O1150" t="s">
        <v>32525</v>
      </c>
      <c r="P1150">
        <v>0</v>
      </c>
      <c r="Q1150">
        <v>0</v>
      </c>
      <c r="R1150" t="s">
        <v>32526</v>
      </c>
      <c r="S1150" t="s">
        <v>32547</v>
      </c>
      <c r="T1150" t="s">
        <v>33220</v>
      </c>
      <c r="U1150" t="s">
        <v>34628</v>
      </c>
      <c r="W1150" t="s">
        <v>30080</v>
      </c>
      <c r="X1150" t="s">
        <v>32527</v>
      </c>
    </row>
    <row r="1151" spans="1:24">
      <c r="A1151">
        <f>HYPERLINK("https://www.philgeps.gov.ph/GEPSNONPILOT/Tender/SplashBidNoticeAbstractUI.aspx?menuIndex=3&amp;refID=7045499&amp;Result=3","7045499")</f>
        <v>0</v>
      </c>
      <c r="B1151" t="s">
        <v>246</v>
      </c>
      <c r="C1151" t="s">
        <v>3777</v>
      </c>
      <c r="D1151" t="s">
        <v>13006</v>
      </c>
      <c r="E1151" t="s">
        <v>14147</v>
      </c>
      <c r="F1151" t="s">
        <v>22436</v>
      </c>
      <c r="G1151" t="s">
        <v>22443</v>
      </c>
      <c r="H1151" t="s">
        <v>22452</v>
      </c>
      <c r="I1151" t="s">
        <v>2981</v>
      </c>
      <c r="J1151" t="s">
        <v>23458</v>
      </c>
      <c r="K1151" t="s">
        <v>29341</v>
      </c>
      <c r="M1151" t="s">
        <v>29820</v>
      </c>
      <c r="N1151" t="s">
        <v>32524</v>
      </c>
      <c r="O1151" t="s">
        <v>32525</v>
      </c>
      <c r="P1151">
        <v>0</v>
      </c>
      <c r="Q1151">
        <v>3</v>
      </c>
      <c r="R1151" t="s">
        <v>32526</v>
      </c>
      <c r="S1151" t="s">
        <v>32547</v>
      </c>
      <c r="T1151" t="s">
        <v>33252</v>
      </c>
      <c r="U1151" t="s">
        <v>34629</v>
      </c>
      <c r="W1151" t="s">
        <v>29820</v>
      </c>
      <c r="X1151" t="s">
        <v>32527</v>
      </c>
    </row>
    <row r="1152" spans="1:24">
      <c r="A1152">
        <f>HYPERLINK("https://www.philgeps.gov.ph/GEPSNONPILOT/Tender/SplashBidNoticeAbstractUI.aspx?menuIndex=3&amp;refID=7045478&amp;Result=3","7045478")</f>
        <v>0</v>
      </c>
      <c r="B1152" t="s">
        <v>463</v>
      </c>
      <c r="C1152" t="s">
        <v>3778</v>
      </c>
      <c r="D1152" t="s">
        <v>13031</v>
      </c>
      <c r="E1152" t="s">
        <v>14148</v>
      </c>
      <c r="F1152" t="s">
        <v>22436</v>
      </c>
      <c r="G1152" t="s">
        <v>22446</v>
      </c>
      <c r="H1152" t="s">
        <v>22452</v>
      </c>
      <c r="I1152" t="s">
        <v>22463</v>
      </c>
      <c r="J1152" t="s">
        <v>23459</v>
      </c>
      <c r="K1152" t="s">
        <v>29357</v>
      </c>
      <c r="M1152" t="s">
        <v>30045</v>
      </c>
      <c r="N1152" t="s">
        <v>32524</v>
      </c>
      <c r="O1152" t="s">
        <v>32525</v>
      </c>
      <c r="P1152">
        <v>0</v>
      </c>
      <c r="Q1152">
        <v>0</v>
      </c>
      <c r="R1152" t="s">
        <v>32526</v>
      </c>
      <c r="S1152" t="s">
        <v>32547</v>
      </c>
      <c r="T1152" t="s">
        <v>33292</v>
      </c>
      <c r="U1152" t="s">
        <v>34630</v>
      </c>
      <c r="V1152" t="s">
        <v>42520</v>
      </c>
      <c r="W1152" t="s">
        <v>30045</v>
      </c>
      <c r="X1152" t="s">
        <v>32527</v>
      </c>
    </row>
    <row r="1153" spans="1:24">
      <c r="A1153">
        <f>HYPERLINK("https://www.philgeps.gov.ph/GEPSNONPILOT/Tender/SplashBidNoticeAbstractUI.aspx?menuIndex=3&amp;refID=7045476&amp;Result=3","7045476")</f>
        <v>0</v>
      </c>
      <c r="B1153" t="s">
        <v>497</v>
      </c>
      <c r="C1153" t="s">
        <v>3779</v>
      </c>
      <c r="D1153" t="s">
        <v>13015</v>
      </c>
      <c r="E1153" t="s">
        <v>14149</v>
      </c>
      <c r="F1153" t="s">
        <v>22436</v>
      </c>
      <c r="G1153" t="s">
        <v>22445</v>
      </c>
      <c r="H1153" t="s">
        <v>22452</v>
      </c>
      <c r="I1153" t="s">
        <v>22518</v>
      </c>
      <c r="J1153" t="s">
        <v>23404</v>
      </c>
      <c r="K1153" t="s">
        <v>29335</v>
      </c>
      <c r="M1153" t="s">
        <v>30081</v>
      </c>
      <c r="N1153" t="s">
        <v>32524</v>
      </c>
      <c r="O1153" t="s">
        <v>32525</v>
      </c>
      <c r="P1153">
        <v>0</v>
      </c>
      <c r="Q1153">
        <v>1</v>
      </c>
      <c r="R1153" t="s">
        <v>32526</v>
      </c>
      <c r="S1153" t="s">
        <v>32547</v>
      </c>
      <c r="T1153" t="s">
        <v>33161</v>
      </c>
      <c r="U1153" t="s">
        <v>34631</v>
      </c>
      <c r="W1153" t="s">
        <v>30081</v>
      </c>
      <c r="X1153" t="s">
        <v>32527</v>
      </c>
    </row>
    <row r="1154" spans="1:24">
      <c r="A1154">
        <f>HYPERLINK("https://www.philgeps.gov.ph/GEPSNONPILOT/Tender/SplashBidNoticeAbstractUI.aspx?menuIndex=3&amp;refID=7045495&amp;Result=3","7045495")</f>
        <v>0</v>
      </c>
      <c r="B1154" t="s">
        <v>498</v>
      </c>
      <c r="C1154" t="s">
        <v>3780</v>
      </c>
      <c r="D1154" t="s">
        <v>13037</v>
      </c>
      <c r="E1154" t="s">
        <v>14150</v>
      </c>
      <c r="F1154" t="s">
        <v>22436</v>
      </c>
      <c r="G1154" t="s">
        <v>22443</v>
      </c>
      <c r="H1154" t="s">
        <v>22452</v>
      </c>
      <c r="I1154" t="s">
        <v>22504</v>
      </c>
      <c r="J1154" t="s">
        <v>23004</v>
      </c>
      <c r="K1154" t="s">
        <v>29338</v>
      </c>
      <c r="M1154" t="s">
        <v>30082</v>
      </c>
      <c r="N1154" t="s">
        <v>32524</v>
      </c>
      <c r="O1154" t="s">
        <v>32525</v>
      </c>
      <c r="P1154">
        <v>0</v>
      </c>
      <c r="Q1154">
        <v>4</v>
      </c>
      <c r="R1154" t="s">
        <v>32526</v>
      </c>
      <c r="S1154" t="s">
        <v>32547</v>
      </c>
      <c r="T1154" t="s">
        <v>33203</v>
      </c>
      <c r="U1154" t="s">
        <v>34632</v>
      </c>
      <c r="W1154" t="s">
        <v>30082</v>
      </c>
      <c r="X1154" t="s">
        <v>32527</v>
      </c>
    </row>
    <row r="1155" spans="1:24">
      <c r="A1155">
        <f>HYPERLINK("https://www.philgeps.gov.ph/GEPSNONPILOT/Tender/SplashBidNoticeAbstractUI.aspx?menuIndex=3&amp;refID=7045496&amp;Result=3","7045496")</f>
        <v>0</v>
      </c>
      <c r="B1155" t="s">
        <v>77</v>
      </c>
      <c r="C1155" t="s">
        <v>3781</v>
      </c>
      <c r="D1155" t="s">
        <v>13001</v>
      </c>
      <c r="E1155" t="s">
        <v>14151</v>
      </c>
      <c r="F1155" t="s">
        <v>22436</v>
      </c>
      <c r="G1155" t="s">
        <v>22443</v>
      </c>
      <c r="H1155" t="s">
        <v>22452</v>
      </c>
      <c r="I1155" t="s">
        <v>22469</v>
      </c>
      <c r="J1155" t="s">
        <v>23460</v>
      </c>
      <c r="K1155" t="s">
        <v>29338</v>
      </c>
      <c r="L1155" t="s">
        <v>77</v>
      </c>
      <c r="M1155" t="s">
        <v>29884</v>
      </c>
      <c r="N1155" t="s">
        <v>32524</v>
      </c>
      <c r="O1155" t="s">
        <v>32525</v>
      </c>
      <c r="P1155">
        <v>0</v>
      </c>
      <c r="Q1155">
        <v>1</v>
      </c>
      <c r="R1155" t="s">
        <v>32526</v>
      </c>
      <c r="S1155" t="s">
        <v>32547</v>
      </c>
      <c r="T1155" t="s">
        <v>33169</v>
      </c>
      <c r="U1155" t="s">
        <v>34219</v>
      </c>
      <c r="W1155" t="s">
        <v>29884</v>
      </c>
      <c r="X1155" t="s">
        <v>32527</v>
      </c>
    </row>
    <row r="1156" spans="1:24">
      <c r="A1156">
        <f>HYPERLINK("https://www.philgeps.gov.ph/GEPSNONPILOT/Tender/SplashBidNoticeAbstractUI.aspx?menuIndex=3&amp;refID=7045493&amp;Result=3","7045493")</f>
        <v>0</v>
      </c>
      <c r="B1156" t="s">
        <v>274</v>
      </c>
      <c r="C1156" t="s">
        <v>3782</v>
      </c>
      <c r="D1156" t="s">
        <v>13015</v>
      </c>
      <c r="E1156" t="s">
        <v>14152</v>
      </c>
      <c r="F1156" t="s">
        <v>22436</v>
      </c>
      <c r="G1156" t="s">
        <v>22444</v>
      </c>
      <c r="H1156" t="s">
        <v>22452</v>
      </c>
      <c r="I1156" t="s">
        <v>3529</v>
      </c>
      <c r="J1156" t="s">
        <v>23399</v>
      </c>
      <c r="K1156" t="s">
        <v>29331</v>
      </c>
      <c r="M1156" t="s">
        <v>29848</v>
      </c>
      <c r="N1156" t="s">
        <v>32524</v>
      </c>
      <c r="O1156" t="s">
        <v>32525</v>
      </c>
      <c r="P1156">
        <v>0</v>
      </c>
      <c r="Q1156">
        <v>0</v>
      </c>
      <c r="R1156" t="s">
        <v>32526</v>
      </c>
      <c r="S1156" t="s">
        <v>32547</v>
      </c>
      <c r="T1156" t="s">
        <v>33266</v>
      </c>
      <c r="U1156" t="s">
        <v>34156</v>
      </c>
      <c r="W1156" t="s">
        <v>29848</v>
      </c>
      <c r="X1156" t="s">
        <v>32527</v>
      </c>
    </row>
    <row r="1157" spans="1:24">
      <c r="A1157">
        <f>HYPERLINK("https://www.philgeps.gov.ph/GEPSNONPILOT/Tender/SplashBidNoticeAbstractUI.aspx?menuIndex=3&amp;refID=7045488&amp;Result=3","7045488")</f>
        <v>0</v>
      </c>
      <c r="B1157" t="s">
        <v>474</v>
      </c>
      <c r="C1157" t="s">
        <v>3783</v>
      </c>
      <c r="D1157" t="s">
        <v>13018</v>
      </c>
      <c r="E1157" t="s">
        <v>14153</v>
      </c>
      <c r="F1157" t="s">
        <v>22436</v>
      </c>
      <c r="G1157" t="s">
        <v>22444</v>
      </c>
      <c r="H1157" t="s">
        <v>22454</v>
      </c>
      <c r="I1157" t="s">
        <v>3529</v>
      </c>
      <c r="J1157" t="s">
        <v>22893</v>
      </c>
      <c r="K1157" t="s">
        <v>29329</v>
      </c>
      <c r="M1157" t="s">
        <v>30058</v>
      </c>
      <c r="N1157" t="s">
        <v>32524</v>
      </c>
      <c r="O1157" t="s">
        <v>32525</v>
      </c>
      <c r="P1157">
        <v>0</v>
      </c>
      <c r="Q1157">
        <v>0</v>
      </c>
      <c r="R1157" t="s">
        <v>32526</v>
      </c>
      <c r="S1157" t="s">
        <v>32547</v>
      </c>
      <c r="T1157" t="s">
        <v>33295</v>
      </c>
      <c r="U1157" t="s">
        <v>34582</v>
      </c>
      <c r="W1157" t="s">
        <v>30058</v>
      </c>
      <c r="X1157" t="s">
        <v>32527</v>
      </c>
    </row>
    <row r="1158" spans="1:24">
      <c r="A1158">
        <f>HYPERLINK("https://www.philgeps.gov.ph/GEPSNONPILOT/Tender/SplashBidNoticeAbstractUI.aspx?menuIndex=3&amp;refID=7045494&amp;Result=3","7045494")</f>
        <v>0</v>
      </c>
      <c r="B1158" t="s">
        <v>499</v>
      </c>
      <c r="C1158" t="s">
        <v>3784</v>
      </c>
      <c r="D1158" t="s">
        <v>13045</v>
      </c>
      <c r="E1158" t="s">
        <v>3784</v>
      </c>
      <c r="F1158" t="s">
        <v>22436</v>
      </c>
      <c r="G1158" t="s">
        <v>22446</v>
      </c>
      <c r="H1158" t="s">
        <v>22452</v>
      </c>
      <c r="I1158" t="s">
        <v>5194</v>
      </c>
      <c r="J1158" t="s">
        <v>23461</v>
      </c>
      <c r="K1158" t="s">
        <v>29335</v>
      </c>
      <c r="M1158" t="s">
        <v>30083</v>
      </c>
      <c r="N1158" t="s">
        <v>32524</v>
      </c>
      <c r="O1158" t="s">
        <v>32525</v>
      </c>
      <c r="P1158">
        <v>0</v>
      </c>
      <c r="Q1158">
        <v>3</v>
      </c>
      <c r="R1158" t="s">
        <v>32526</v>
      </c>
      <c r="S1158" t="s">
        <v>32547</v>
      </c>
      <c r="T1158" t="s">
        <v>33154</v>
      </c>
      <c r="U1158" t="s">
        <v>34633</v>
      </c>
      <c r="W1158" t="s">
        <v>30083</v>
      </c>
      <c r="X1158" t="s">
        <v>32527</v>
      </c>
    </row>
    <row r="1159" spans="1:24">
      <c r="A1159">
        <f>HYPERLINK("https://www.philgeps.gov.ph/GEPSNONPILOT/Tender/SplashBidNoticeAbstractUI.aspx?menuIndex=3&amp;refID=7045504&amp;Result=3","7045504")</f>
        <v>0</v>
      </c>
      <c r="B1159" t="s">
        <v>264</v>
      </c>
      <c r="C1159" t="s">
        <v>3785</v>
      </c>
      <c r="D1159" t="s">
        <v>13018</v>
      </c>
      <c r="E1159" t="s">
        <v>14154</v>
      </c>
      <c r="F1159" t="s">
        <v>22436</v>
      </c>
      <c r="G1159" t="s">
        <v>22446</v>
      </c>
      <c r="H1159" t="s">
        <v>22452</v>
      </c>
      <c r="I1159" t="s">
        <v>22460</v>
      </c>
      <c r="J1159" t="s">
        <v>23462</v>
      </c>
      <c r="K1159" t="s">
        <v>29338</v>
      </c>
      <c r="M1159" t="s">
        <v>29838</v>
      </c>
      <c r="N1159" t="s">
        <v>32524</v>
      </c>
      <c r="O1159" t="s">
        <v>32525</v>
      </c>
      <c r="P1159">
        <v>0</v>
      </c>
      <c r="Q1159">
        <v>1</v>
      </c>
      <c r="R1159" t="s">
        <v>32526</v>
      </c>
      <c r="S1159" t="s">
        <v>32547</v>
      </c>
      <c r="T1159" t="s">
        <v>33163</v>
      </c>
      <c r="U1159" t="s">
        <v>34634</v>
      </c>
      <c r="W1159" t="s">
        <v>29838</v>
      </c>
      <c r="X1159" t="s">
        <v>32527</v>
      </c>
    </row>
    <row r="1160" spans="1:24">
      <c r="A1160">
        <f>HYPERLINK("https://www.philgeps.gov.ph/GEPSNONPILOT/Tender/SplashBidNoticeAbstractUI.aspx?menuIndex=3&amp;refID=7045498&amp;Result=3","7045498")</f>
        <v>0</v>
      </c>
      <c r="B1160" t="s">
        <v>500</v>
      </c>
      <c r="C1160" t="s">
        <v>3786</v>
      </c>
      <c r="D1160" t="s">
        <v>13067</v>
      </c>
      <c r="E1160" t="s">
        <v>13368</v>
      </c>
      <c r="F1160" t="s">
        <v>22436</v>
      </c>
      <c r="G1160" t="s">
        <v>22444</v>
      </c>
      <c r="H1160" t="s">
        <v>22454</v>
      </c>
      <c r="I1160" t="s">
        <v>3529</v>
      </c>
      <c r="J1160" t="s">
        <v>22779</v>
      </c>
      <c r="K1160" t="s">
        <v>29330</v>
      </c>
      <c r="M1160" t="s">
        <v>30084</v>
      </c>
      <c r="N1160" t="s">
        <v>32524</v>
      </c>
      <c r="O1160" t="s">
        <v>32525</v>
      </c>
      <c r="P1160">
        <v>0</v>
      </c>
      <c r="Q1160">
        <v>0</v>
      </c>
      <c r="R1160" t="s">
        <v>32526</v>
      </c>
      <c r="S1160" t="s">
        <v>32547</v>
      </c>
      <c r="T1160" t="s">
        <v>33306</v>
      </c>
      <c r="U1160" t="s">
        <v>34635</v>
      </c>
      <c r="W1160" t="s">
        <v>30084</v>
      </c>
      <c r="X1160" t="s">
        <v>32527</v>
      </c>
    </row>
    <row r="1161" spans="1:24">
      <c r="A1161">
        <f>HYPERLINK("https://www.philgeps.gov.ph/GEPSNONPILOT/Tender/SplashBidNoticeAbstractUI.aspx?menuIndex=3&amp;refID=7045521&amp;Result=3","7045521")</f>
        <v>0</v>
      </c>
      <c r="B1161" t="s">
        <v>501</v>
      </c>
      <c r="C1161" t="s">
        <v>3787</v>
      </c>
      <c r="D1161" t="s">
        <v>12994</v>
      </c>
      <c r="E1161" t="s">
        <v>14155</v>
      </c>
      <c r="F1161" t="s">
        <v>22436</v>
      </c>
      <c r="G1161" t="s">
        <v>22446</v>
      </c>
      <c r="H1161" t="s">
        <v>22452</v>
      </c>
      <c r="I1161" t="s">
        <v>22501</v>
      </c>
      <c r="J1161" t="s">
        <v>23463</v>
      </c>
      <c r="K1161" t="s">
        <v>29338</v>
      </c>
      <c r="M1161" t="s">
        <v>30085</v>
      </c>
      <c r="N1161" t="s">
        <v>32524</v>
      </c>
      <c r="O1161" t="s">
        <v>32525</v>
      </c>
      <c r="P1161">
        <v>0</v>
      </c>
      <c r="Q1161">
        <v>0</v>
      </c>
      <c r="R1161" t="s">
        <v>32526</v>
      </c>
      <c r="S1161" t="s">
        <v>32547</v>
      </c>
      <c r="T1161" t="s">
        <v>33169</v>
      </c>
      <c r="U1161" t="s">
        <v>34636</v>
      </c>
      <c r="V1161" t="s">
        <v>42529</v>
      </c>
      <c r="W1161" t="s">
        <v>30085</v>
      </c>
      <c r="X1161" t="s">
        <v>32527</v>
      </c>
    </row>
    <row r="1162" spans="1:24">
      <c r="A1162">
        <f>HYPERLINK("https://www.philgeps.gov.ph/GEPSNONPILOT/Tender/SplashBidNoticeAbstractUI.aspx?menuIndex=3&amp;refID=7045529&amp;Result=3","7045529")</f>
        <v>0</v>
      </c>
      <c r="B1162" t="s">
        <v>121</v>
      </c>
      <c r="C1162" t="s">
        <v>3788</v>
      </c>
      <c r="D1162" t="s">
        <v>13034</v>
      </c>
      <c r="E1162" t="s">
        <v>14156</v>
      </c>
      <c r="F1162" t="s">
        <v>22436</v>
      </c>
      <c r="G1162" t="s">
        <v>22447</v>
      </c>
      <c r="H1162" t="s">
        <v>22452</v>
      </c>
      <c r="I1162" t="s">
        <v>22469</v>
      </c>
      <c r="J1162" t="s">
        <v>22785</v>
      </c>
      <c r="K1162" t="s">
        <v>29341</v>
      </c>
      <c r="M1162" t="s">
        <v>29693</v>
      </c>
      <c r="N1162" t="s">
        <v>32524</v>
      </c>
      <c r="O1162" t="s">
        <v>32525</v>
      </c>
      <c r="P1162">
        <v>0</v>
      </c>
      <c r="Q1162">
        <v>2</v>
      </c>
      <c r="R1162" t="s">
        <v>32526</v>
      </c>
      <c r="S1162" t="s">
        <v>32547</v>
      </c>
      <c r="T1162" t="s">
        <v>33302</v>
      </c>
      <c r="U1162" t="s">
        <v>34637</v>
      </c>
      <c r="V1162" t="s">
        <v>42461</v>
      </c>
      <c r="W1162" t="s">
        <v>29693</v>
      </c>
      <c r="X1162" t="s">
        <v>32527</v>
      </c>
    </row>
    <row r="1163" spans="1:24">
      <c r="A1163">
        <f>HYPERLINK("https://www.philgeps.gov.ph/GEPSNONPILOT/Tender/SplashBidNoticeAbstractUI.aspx?menuIndex=3&amp;refID=7045492&amp;Result=3","7045492")</f>
        <v>0</v>
      </c>
      <c r="B1163" t="s">
        <v>502</v>
      </c>
      <c r="C1163" t="s">
        <v>3789</v>
      </c>
      <c r="D1163" t="s">
        <v>13013</v>
      </c>
      <c r="E1163" t="s">
        <v>13190</v>
      </c>
      <c r="F1163" t="s">
        <v>22436</v>
      </c>
      <c r="G1163" t="s">
        <v>22443</v>
      </c>
      <c r="H1163" t="s">
        <v>22452</v>
      </c>
      <c r="I1163" t="s">
        <v>5194</v>
      </c>
      <c r="J1163" t="s">
        <v>23464</v>
      </c>
      <c r="K1163" t="s">
        <v>29331</v>
      </c>
      <c r="M1163" t="s">
        <v>30086</v>
      </c>
      <c r="N1163" t="s">
        <v>32524</v>
      </c>
      <c r="O1163" t="s">
        <v>32525</v>
      </c>
      <c r="P1163">
        <v>0</v>
      </c>
      <c r="Q1163">
        <v>0</v>
      </c>
      <c r="R1163" t="s">
        <v>32526</v>
      </c>
      <c r="S1163" t="s">
        <v>32547</v>
      </c>
      <c r="T1163" t="s">
        <v>33154</v>
      </c>
      <c r="U1163" t="s">
        <v>34638</v>
      </c>
      <c r="W1163" t="s">
        <v>30086</v>
      </c>
      <c r="X1163" t="s">
        <v>32527</v>
      </c>
    </row>
    <row r="1164" spans="1:24">
      <c r="A1164">
        <f>HYPERLINK("https://www.philgeps.gov.ph/GEPSNONPILOT/Tender/SplashBidNoticeAbstractUI.aspx?menuIndex=3&amp;refID=7045523&amp;Result=3","7045523")</f>
        <v>0</v>
      </c>
      <c r="B1164" t="s">
        <v>503</v>
      </c>
      <c r="C1164" t="s">
        <v>3790</v>
      </c>
      <c r="D1164" t="s">
        <v>13056</v>
      </c>
      <c r="E1164" t="s">
        <v>14157</v>
      </c>
      <c r="F1164" t="s">
        <v>22436</v>
      </c>
      <c r="G1164" t="s">
        <v>22444</v>
      </c>
      <c r="H1164" t="s">
        <v>22452</v>
      </c>
      <c r="I1164" t="s">
        <v>22456</v>
      </c>
      <c r="J1164" t="s">
        <v>23465</v>
      </c>
      <c r="K1164" t="s">
        <v>29335</v>
      </c>
      <c r="M1164" t="s">
        <v>30087</v>
      </c>
      <c r="N1164" t="s">
        <v>32524</v>
      </c>
      <c r="O1164" t="s">
        <v>32525</v>
      </c>
      <c r="P1164">
        <v>0</v>
      </c>
      <c r="Q1164">
        <v>1</v>
      </c>
      <c r="R1164" t="s">
        <v>32526</v>
      </c>
      <c r="S1164" t="s">
        <v>32547</v>
      </c>
      <c r="T1164" t="s">
        <v>33307</v>
      </c>
      <c r="U1164" t="s">
        <v>34639</v>
      </c>
      <c r="V1164" t="s">
        <v>42530</v>
      </c>
      <c r="W1164" t="s">
        <v>30087</v>
      </c>
      <c r="X1164" t="s">
        <v>32527</v>
      </c>
    </row>
    <row r="1165" spans="1:24">
      <c r="A1165">
        <f>HYPERLINK("https://www.philgeps.gov.ph/GEPSNONPILOT/Tender/SplashBidNoticeAbstractUI.aspx?menuIndex=3&amp;refID=7045503&amp;Result=3","7045503")</f>
        <v>0</v>
      </c>
      <c r="B1165" t="s">
        <v>220</v>
      </c>
      <c r="C1165" t="s">
        <v>3791</v>
      </c>
      <c r="D1165" t="s">
        <v>13037</v>
      </c>
      <c r="E1165" t="s">
        <v>14158</v>
      </c>
      <c r="F1165" t="s">
        <v>22436</v>
      </c>
      <c r="G1165" t="s">
        <v>22446</v>
      </c>
      <c r="H1165" t="s">
        <v>22452</v>
      </c>
      <c r="I1165" t="s">
        <v>22479</v>
      </c>
      <c r="J1165" t="s">
        <v>23466</v>
      </c>
      <c r="K1165" t="s">
        <v>29336</v>
      </c>
      <c r="M1165" t="s">
        <v>29793</v>
      </c>
      <c r="N1165" t="s">
        <v>32524</v>
      </c>
      <c r="O1165" t="s">
        <v>32525</v>
      </c>
      <c r="P1165">
        <v>0</v>
      </c>
      <c r="Q1165">
        <v>0</v>
      </c>
      <c r="R1165" t="s">
        <v>32526</v>
      </c>
      <c r="S1165" t="s">
        <v>32547</v>
      </c>
      <c r="T1165" t="s">
        <v>33209</v>
      </c>
      <c r="U1165" t="s">
        <v>34035</v>
      </c>
      <c r="W1165" t="s">
        <v>29793</v>
      </c>
      <c r="X1165" t="s">
        <v>32527</v>
      </c>
    </row>
    <row r="1166" spans="1:24">
      <c r="A1166">
        <f>HYPERLINK("https://www.philgeps.gov.ph/GEPSNONPILOT/Tender/SplashBidNoticeAbstractUI.aspx?menuIndex=3&amp;refID=7045519&amp;Result=3","7045519")</f>
        <v>0</v>
      </c>
      <c r="B1166" t="s">
        <v>42</v>
      </c>
      <c r="C1166" t="s">
        <v>3792</v>
      </c>
      <c r="D1166" t="s">
        <v>13000</v>
      </c>
      <c r="E1166" t="s">
        <v>14159</v>
      </c>
      <c r="F1166" t="s">
        <v>22436</v>
      </c>
      <c r="G1166" t="s">
        <v>22446</v>
      </c>
      <c r="H1166" t="s">
        <v>22452</v>
      </c>
      <c r="I1166" t="s">
        <v>3529</v>
      </c>
      <c r="J1166" t="s">
        <v>23467</v>
      </c>
      <c r="K1166" t="s">
        <v>29358</v>
      </c>
      <c r="M1166" t="s">
        <v>29613</v>
      </c>
      <c r="N1166" t="s">
        <v>32524</v>
      </c>
      <c r="O1166" t="s">
        <v>32525</v>
      </c>
      <c r="P1166">
        <v>0</v>
      </c>
      <c r="Q1166">
        <v>0</v>
      </c>
      <c r="R1166" t="s">
        <v>32526</v>
      </c>
      <c r="S1166" t="s">
        <v>32547</v>
      </c>
      <c r="T1166" t="s">
        <v>33167</v>
      </c>
      <c r="U1166" t="s">
        <v>34640</v>
      </c>
      <c r="W1166" t="s">
        <v>29613</v>
      </c>
      <c r="X1166" t="s">
        <v>32527</v>
      </c>
    </row>
    <row r="1167" spans="1:24">
      <c r="A1167">
        <f>HYPERLINK("https://www.philgeps.gov.ph/GEPSNONPILOT/Tender/SplashBidNoticeAbstractUI.aspx?menuIndex=3&amp;refID=7045489&amp;Result=3","7045489")</f>
        <v>0</v>
      </c>
      <c r="B1167" t="s">
        <v>493</v>
      </c>
      <c r="C1167" t="s">
        <v>3793</v>
      </c>
      <c r="D1167" t="s">
        <v>12990</v>
      </c>
      <c r="E1167" t="s">
        <v>14160</v>
      </c>
      <c r="F1167" t="s">
        <v>22436</v>
      </c>
      <c r="G1167" t="s">
        <v>22443</v>
      </c>
      <c r="H1167" t="s">
        <v>22452</v>
      </c>
      <c r="I1167" t="s">
        <v>22466</v>
      </c>
      <c r="J1167" t="s">
        <v>23062</v>
      </c>
      <c r="K1167" t="s">
        <v>29338</v>
      </c>
      <c r="M1167" t="s">
        <v>30077</v>
      </c>
      <c r="N1167" t="s">
        <v>32524</v>
      </c>
      <c r="O1167" t="s">
        <v>32525</v>
      </c>
      <c r="P1167">
        <v>0</v>
      </c>
      <c r="Q1167">
        <v>9</v>
      </c>
      <c r="R1167" t="s">
        <v>32526</v>
      </c>
      <c r="S1167" t="s">
        <v>32547</v>
      </c>
      <c r="T1167" t="s">
        <v>33196</v>
      </c>
      <c r="U1167" t="s">
        <v>34641</v>
      </c>
      <c r="W1167" t="s">
        <v>30077</v>
      </c>
      <c r="X1167" t="s">
        <v>32527</v>
      </c>
    </row>
    <row r="1168" spans="1:24">
      <c r="A1168">
        <f>HYPERLINK("https://www.philgeps.gov.ph/GEPSNONPILOT/Tender/SplashBidNoticeAbstractUI.aspx?menuIndex=3&amp;refID=7045516&amp;Result=3","7045516")</f>
        <v>0</v>
      </c>
      <c r="B1168" t="s">
        <v>494</v>
      </c>
      <c r="C1168" t="s">
        <v>3794</v>
      </c>
      <c r="D1168" t="s">
        <v>13066</v>
      </c>
      <c r="E1168" t="s">
        <v>14161</v>
      </c>
      <c r="F1168" t="s">
        <v>22436</v>
      </c>
      <c r="G1168" t="s">
        <v>22444</v>
      </c>
      <c r="H1168" t="s">
        <v>22454</v>
      </c>
      <c r="I1168" t="s">
        <v>7738</v>
      </c>
      <c r="J1168" t="s">
        <v>23468</v>
      </c>
      <c r="K1168" t="s">
        <v>29388</v>
      </c>
      <c r="M1168" t="s">
        <v>30078</v>
      </c>
      <c r="N1168" t="s">
        <v>32524</v>
      </c>
      <c r="O1168" t="s">
        <v>32525</v>
      </c>
      <c r="P1168">
        <v>0</v>
      </c>
      <c r="Q1168">
        <v>2</v>
      </c>
      <c r="R1168" t="s">
        <v>32526</v>
      </c>
      <c r="S1168" t="s">
        <v>32547</v>
      </c>
      <c r="T1168" t="s">
        <v>33199</v>
      </c>
      <c r="U1168" t="s">
        <v>34642</v>
      </c>
      <c r="W1168" t="s">
        <v>30078</v>
      </c>
      <c r="X1168" t="s">
        <v>32527</v>
      </c>
    </row>
    <row r="1169" spans="1:24">
      <c r="A1169">
        <f>HYPERLINK("https://www.philgeps.gov.ph/GEPSNONPILOT/Tender/SplashBidNoticeAbstractUI.aspx?menuIndex=3&amp;refID=7045517&amp;Result=3","7045517")</f>
        <v>0</v>
      </c>
      <c r="B1169" t="s">
        <v>504</v>
      </c>
      <c r="C1169" t="s">
        <v>3795</v>
      </c>
      <c r="D1169" t="s">
        <v>13029</v>
      </c>
      <c r="E1169" t="s">
        <v>14162</v>
      </c>
      <c r="F1169" t="s">
        <v>22436</v>
      </c>
      <c r="G1169" t="s">
        <v>22446</v>
      </c>
      <c r="H1169" t="s">
        <v>22452</v>
      </c>
      <c r="I1169" t="s">
        <v>22471</v>
      </c>
      <c r="J1169" t="s">
        <v>22601</v>
      </c>
      <c r="K1169" t="s">
        <v>29336</v>
      </c>
      <c r="M1169" t="s">
        <v>30088</v>
      </c>
      <c r="N1169" t="s">
        <v>32524</v>
      </c>
      <c r="O1169" t="s">
        <v>32525</v>
      </c>
      <c r="P1169">
        <v>0</v>
      </c>
      <c r="Q1169">
        <v>3</v>
      </c>
      <c r="R1169" t="s">
        <v>32526</v>
      </c>
      <c r="S1169" t="s">
        <v>32547</v>
      </c>
      <c r="T1169" t="s">
        <v>33213</v>
      </c>
      <c r="U1169" t="s">
        <v>34643</v>
      </c>
      <c r="V1169" t="s">
        <v>42531</v>
      </c>
      <c r="W1169" t="s">
        <v>30088</v>
      </c>
      <c r="X1169" t="s">
        <v>32527</v>
      </c>
    </row>
    <row r="1170" spans="1:24">
      <c r="A1170">
        <f>HYPERLINK("https://www.philgeps.gov.ph/GEPSNONPILOT/Tender/SplashBidNoticeAbstractUI.aspx?menuIndex=3&amp;refID=7045511&amp;Result=3","7045511")</f>
        <v>0</v>
      </c>
      <c r="B1170" t="s">
        <v>483</v>
      </c>
      <c r="C1170" t="s">
        <v>3796</v>
      </c>
      <c r="D1170" t="s">
        <v>13065</v>
      </c>
      <c r="E1170" t="s">
        <v>14163</v>
      </c>
      <c r="F1170" t="s">
        <v>22436</v>
      </c>
      <c r="G1170" t="s">
        <v>22443</v>
      </c>
      <c r="H1170" t="s">
        <v>22452</v>
      </c>
      <c r="I1170" t="s">
        <v>22458</v>
      </c>
      <c r="J1170" t="s">
        <v>23469</v>
      </c>
      <c r="K1170" t="s">
        <v>29331</v>
      </c>
      <c r="M1170" t="s">
        <v>30067</v>
      </c>
      <c r="N1170" t="s">
        <v>32524</v>
      </c>
      <c r="O1170" t="s">
        <v>32525</v>
      </c>
      <c r="P1170">
        <v>0</v>
      </c>
      <c r="Q1170">
        <v>3</v>
      </c>
      <c r="R1170" t="s">
        <v>32526</v>
      </c>
      <c r="S1170" t="s">
        <v>32547</v>
      </c>
      <c r="T1170" t="s">
        <v>33300</v>
      </c>
      <c r="U1170" t="s">
        <v>34606</v>
      </c>
      <c r="W1170" t="s">
        <v>30067</v>
      </c>
      <c r="X1170" t="s">
        <v>32527</v>
      </c>
    </row>
    <row r="1171" spans="1:24">
      <c r="A1171">
        <f>HYPERLINK("https://www.philgeps.gov.ph/GEPSNONPILOT/Tender/SplashBidNoticeAbstractUI.aspx?menuIndex=3&amp;refID=7045525&amp;Result=3","7045525")</f>
        <v>0</v>
      </c>
      <c r="B1171" t="s">
        <v>505</v>
      </c>
      <c r="C1171" t="s">
        <v>3797</v>
      </c>
      <c r="D1171" t="s">
        <v>13031</v>
      </c>
      <c r="E1171" t="s">
        <v>14164</v>
      </c>
      <c r="F1171" t="s">
        <v>22436</v>
      </c>
      <c r="G1171" t="s">
        <v>22446</v>
      </c>
      <c r="H1171" t="s">
        <v>22452</v>
      </c>
      <c r="I1171" t="s">
        <v>3529</v>
      </c>
      <c r="J1171" t="s">
        <v>22874</v>
      </c>
      <c r="K1171" t="s">
        <v>29338</v>
      </c>
      <c r="M1171" t="s">
        <v>30089</v>
      </c>
      <c r="N1171" t="s">
        <v>32524</v>
      </c>
      <c r="O1171" t="s">
        <v>32525</v>
      </c>
      <c r="P1171">
        <v>0</v>
      </c>
      <c r="Q1171">
        <v>0</v>
      </c>
      <c r="R1171" t="s">
        <v>32526</v>
      </c>
      <c r="S1171" t="s">
        <v>32547</v>
      </c>
      <c r="T1171" t="s">
        <v>33221</v>
      </c>
      <c r="U1171" t="s">
        <v>34644</v>
      </c>
      <c r="W1171" t="s">
        <v>30089</v>
      </c>
      <c r="X1171" t="s">
        <v>32527</v>
      </c>
    </row>
    <row r="1172" spans="1:24">
      <c r="A1172">
        <f>HYPERLINK("https://www.philgeps.gov.ph/GEPSNONPILOT/Tender/SplashBidNoticeAbstractUI.aspx?menuIndex=3&amp;refID=7045510&amp;Result=3","7045510")</f>
        <v>0</v>
      </c>
      <c r="B1172" t="s">
        <v>121</v>
      </c>
      <c r="C1172" t="s">
        <v>3798</v>
      </c>
      <c r="D1172" t="s">
        <v>13034</v>
      </c>
      <c r="E1172" t="s">
        <v>14165</v>
      </c>
      <c r="F1172" t="s">
        <v>22436</v>
      </c>
      <c r="G1172" t="s">
        <v>22447</v>
      </c>
      <c r="H1172" t="s">
        <v>22452</v>
      </c>
      <c r="I1172" t="s">
        <v>22469</v>
      </c>
      <c r="J1172" t="s">
        <v>22937</v>
      </c>
      <c r="K1172" t="s">
        <v>29341</v>
      </c>
      <c r="M1172" t="s">
        <v>29693</v>
      </c>
      <c r="N1172" t="s">
        <v>32524</v>
      </c>
      <c r="O1172" t="s">
        <v>32525</v>
      </c>
      <c r="P1172">
        <v>0</v>
      </c>
      <c r="Q1172">
        <v>1</v>
      </c>
      <c r="R1172" t="s">
        <v>32526</v>
      </c>
      <c r="S1172" t="s">
        <v>32547</v>
      </c>
      <c r="T1172" t="s">
        <v>33302</v>
      </c>
      <c r="U1172" t="s">
        <v>34645</v>
      </c>
      <c r="V1172" t="s">
        <v>42461</v>
      </c>
      <c r="W1172" t="s">
        <v>29693</v>
      </c>
      <c r="X1172" t="s">
        <v>32527</v>
      </c>
    </row>
    <row r="1173" spans="1:24">
      <c r="A1173">
        <f>HYPERLINK("https://www.philgeps.gov.ph/GEPSNONPILOT/Tender/SplashBidNoticeAbstractUI.aspx?menuIndex=3&amp;refID=7045540&amp;Result=3","7045540")</f>
        <v>0</v>
      </c>
      <c r="B1173" t="s">
        <v>501</v>
      </c>
      <c r="C1173" t="s">
        <v>3799</v>
      </c>
      <c r="D1173" t="s">
        <v>12994</v>
      </c>
      <c r="E1173" t="s">
        <v>14166</v>
      </c>
      <c r="F1173" t="s">
        <v>22436</v>
      </c>
      <c r="G1173" t="s">
        <v>22446</v>
      </c>
      <c r="H1173" t="s">
        <v>22452</v>
      </c>
      <c r="I1173" t="s">
        <v>6421</v>
      </c>
      <c r="J1173" t="s">
        <v>22874</v>
      </c>
      <c r="K1173" t="s">
        <v>29338</v>
      </c>
      <c r="M1173" t="s">
        <v>30085</v>
      </c>
      <c r="N1173" t="s">
        <v>32524</v>
      </c>
      <c r="O1173" t="s">
        <v>32525</v>
      </c>
      <c r="P1173">
        <v>0</v>
      </c>
      <c r="Q1173">
        <v>1</v>
      </c>
      <c r="R1173" t="s">
        <v>32526</v>
      </c>
      <c r="S1173" t="s">
        <v>32547</v>
      </c>
      <c r="T1173" t="s">
        <v>33169</v>
      </c>
      <c r="U1173" t="s">
        <v>34646</v>
      </c>
      <c r="V1173" t="s">
        <v>42532</v>
      </c>
      <c r="W1173" t="s">
        <v>30085</v>
      </c>
      <c r="X1173" t="s">
        <v>32527</v>
      </c>
    </row>
    <row r="1174" spans="1:24">
      <c r="A1174">
        <f>HYPERLINK("https://www.philgeps.gov.ph/GEPSNONPILOT/Tender/SplashBidNoticeAbstractUI.aspx?menuIndex=3&amp;refID=7045509&amp;Result=3","7045509")</f>
        <v>0</v>
      </c>
      <c r="B1174" t="s">
        <v>380</v>
      </c>
      <c r="C1174" t="s">
        <v>3800</v>
      </c>
      <c r="D1174" t="s">
        <v>12996</v>
      </c>
      <c r="E1174" t="s">
        <v>14167</v>
      </c>
      <c r="F1174" t="s">
        <v>22436</v>
      </c>
      <c r="G1174" t="s">
        <v>22446</v>
      </c>
      <c r="H1174" t="s">
        <v>22452</v>
      </c>
      <c r="I1174" t="s">
        <v>22463</v>
      </c>
      <c r="J1174" t="s">
        <v>23470</v>
      </c>
      <c r="K1174" t="s">
        <v>29338</v>
      </c>
      <c r="M1174" t="s">
        <v>29958</v>
      </c>
      <c r="N1174" t="s">
        <v>32524</v>
      </c>
      <c r="O1174" t="s">
        <v>32525</v>
      </c>
      <c r="P1174">
        <v>0</v>
      </c>
      <c r="Q1174">
        <v>1</v>
      </c>
      <c r="R1174" t="s">
        <v>32526</v>
      </c>
      <c r="S1174" t="s">
        <v>32547</v>
      </c>
      <c r="T1174" t="s">
        <v>33308</v>
      </c>
      <c r="U1174" t="s">
        <v>34647</v>
      </c>
      <c r="W1174" t="s">
        <v>29958</v>
      </c>
      <c r="X1174" t="s">
        <v>32527</v>
      </c>
    </row>
    <row r="1175" spans="1:24">
      <c r="A1175">
        <f>HYPERLINK("https://www.philgeps.gov.ph/GEPSNONPILOT/Tender/SplashBidNoticeAbstractUI.aspx?menuIndex=3&amp;refID=7045533&amp;Result=3","7045533")</f>
        <v>0</v>
      </c>
      <c r="B1175" t="s">
        <v>506</v>
      </c>
      <c r="C1175" t="s">
        <v>3801</v>
      </c>
      <c r="D1175" t="s">
        <v>13010</v>
      </c>
      <c r="E1175" t="s">
        <v>14168</v>
      </c>
      <c r="F1175" t="s">
        <v>22436</v>
      </c>
      <c r="G1175" t="s">
        <v>22443</v>
      </c>
      <c r="H1175" t="s">
        <v>22452</v>
      </c>
      <c r="I1175" t="s">
        <v>3529</v>
      </c>
      <c r="J1175" t="s">
        <v>23471</v>
      </c>
      <c r="K1175" t="s">
        <v>29335</v>
      </c>
      <c r="M1175" t="s">
        <v>30090</v>
      </c>
      <c r="N1175" t="s">
        <v>32524</v>
      </c>
      <c r="O1175" t="s">
        <v>32525</v>
      </c>
      <c r="P1175">
        <v>0</v>
      </c>
      <c r="Q1175">
        <v>0</v>
      </c>
      <c r="R1175" t="s">
        <v>32526</v>
      </c>
      <c r="S1175" t="s">
        <v>32547</v>
      </c>
      <c r="T1175" t="s">
        <v>33153</v>
      </c>
      <c r="U1175" t="s">
        <v>34648</v>
      </c>
      <c r="V1175" t="s">
        <v>42533</v>
      </c>
      <c r="W1175" t="s">
        <v>30090</v>
      </c>
      <c r="X1175" t="s">
        <v>32527</v>
      </c>
    </row>
    <row r="1176" spans="1:24">
      <c r="A1176">
        <f>HYPERLINK("https://www.philgeps.gov.ph/GEPSNONPILOT/Tender/SplashBidNoticeAbstractUI.aspx?menuIndex=3&amp;refID=7045537&amp;Result=3","7045537")</f>
        <v>0</v>
      </c>
      <c r="B1176" t="s">
        <v>507</v>
      </c>
      <c r="C1176" t="s">
        <v>3802</v>
      </c>
      <c r="D1176" t="s">
        <v>13009</v>
      </c>
      <c r="E1176" t="s">
        <v>14169</v>
      </c>
      <c r="F1176" t="s">
        <v>22436</v>
      </c>
      <c r="G1176" t="s">
        <v>22447</v>
      </c>
      <c r="H1176" t="s">
        <v>22452</v>
      </c>
      <c r="I1176" t="s">
        <v>22474</v>
      </c>
      <c r="J1176" t="s">
        <v>23472</v>
      </c>
      <c r="K1176" t="s">
        <v>29341</v>
      </c>
      <c r="M1176" t="s">
        <v>30091</v>
      </c>
      <c r="N1176" t="s">
        <v>32524</v>
      </c>
      <c r="O1176" t="s">
        <v>32525</v>
      </c>
      <c r="P1176">
        <v>0</v>
      </c>
      <c r="Q1176">
        <v>5</v>
      </c>
      <c r="R1176" t="s">
        <v>32526</v>
      </c>
      <c r="S1176" t="s">
        <v>32547</v>
      </c>
      <c r="T1176" t="s">
        <v>33161</v>
      </c>
      <c r="U1176" t="s">
        <v>34649</v>
      </c>
      <c r="W1176" t="s">
        <v>30091</v>
      </c>
      <c r="X1176" t="s">
        <v>32527</v>
      </c>
    </row>
    <row r="1177" spans="1:24">
      <c r="A1177">
        <f>HYPERLINK("https://www.philgeps.gov.ph/GEPSNONPILOT/Tender/SplashBidNoticeAbstractUI.aspx?menuIndex=3&amp;refID=7045507&amp;Result=3","7045507")</f>
        <v>0</v>
      </c>
      <c r="B1177" t="s">
        <v>508</v>
      </c>
      <c r="C1177" t="s">
        <v>3803</v>
      </c>
      <c r="D1177" t="s">
        <v>12988</v>
      </c>
      <c r="E1177" t="s">
        <v>14170</v>
      </c>
      <c r="F1177" t="s">
        <v>22436</v>
      </c>
      <c r="G1177" t="s">
        <v>22444</v>
      </c>
      <c r="H1177" t="s">
        <v>22452</v>
      </c>
      <c r="I1177" t="s">
        <v>2981</v>
      </c>
      <c r="J1177" t="s">
        <v>22674</v>
      </c>
      <c r="K1177" t="s">
        <v>29338</v>
      </c>
      <c r="M1177" t="s">
        <v>30092</v>
      </c>
      <c r="N1177" t="s">
        <v>32524</v>
      </c>
      <c r="O1177" t="s">
        <v>32525</v>
      </c>
      <c r="P1177">
        <v>0</v>
      </c>
      <c r="Q1177">
        <v>0</v>
      </c>
      <c r="R1177" t="s">
        <v>32526</v>
      </c>
      <c r="S1177" t="s">
        <v>32547</v>
      </c>
      <c r="T1177" t="s">
        <v>33163</v>
      </c>
      <c r="U1177" t="s">
        <v>34650</v>
      </c>
      <c r="W1177" t="s">
        <v>30092</v>
      </c>
      <c r="X1177" t="s">
        <v>32527</v>
      </c>
    </row>
    <row r="1178" spans="1:24">
      <c r="A1178">
        <f>HYPERLINK("https://www.philgeps.gov.ph/GEPSNONPILOT/Tender/SplashBidNoticeAbstractUI.aspx?menuIndex=3&amp;refID=7045536&amp;Result=3","7045536")</f>
        <v>0</v>
      </c>
      <c r="B1178" t="s">
        <v>95</v>
      </c>
      <c r="C1178" t="s">
        <v>3804</v>
      </c>
      <c r="D1178" t="s">
        <v>13028</v>
      </c>
      <c r="E1178" t="s">
        <v>14171</v>
      </c>
      <c r="F1178" t="s">
        <v>22436</v>
      </c>
      <c r="G1178" t="s">
        <v>22443</v>
      </c>
      <c r="H1178" t="s">
        <v>22452</v>
      </c>
      <c r="I1178" t="s">
        <v>22501</v>
      </c>
      <c r="J1178" t="s">
        <v>23473</v>
      </c>
      <c r="K1178" t="s">
        <v>29341</v>
      </c>
      <c r="M1178" t="s">
        <v>30024</v>
      </c>
      <c r="N1178" t="s">
        <v>32524</v>
      </c>
      <c r="O1178" t="s">
        <v>32525</v>
      </c>
      <c r="P1178">
        <v>0</v>
      </c>
      <c r="Q1178">
        <v>0</v>
      </c>
      <c r="R1178" t="s">
        <v>32526</v>
      </c>
      <c r="S1178" t="s">
        <v>32547</v>
      </c>
      <c r="T1178" t="s">
        <v>33197</v>
      </c>
      <c r="U1178" t="s">
        <v>34651</v>
      </c>
      <c r="W1178" t="s">
        <v>30024</v>
      </c>
      <c r="X1178" t="s">
        <v>32527</v>
      </c>
    </row>
    <row r="1179" spans="1:24">
      <c r="A1179">
        <f>HYPERLINK("https://www.philgeps.gov.ph/GEPSNONPILOT/Tender/SplashBidNoticeAbstractUI.aspx?menuIndex=3&amp;refID=7045541&amp;Result=3","7045541")</f>
        <v>0</v>
      </c>
      <c r="B1179" t="s">
        <v>483</v>
      </c>
      <c r="C1179" t="s">
        <v>3805</v>
      </c>
      <c r="D1179" t="s">
        <v>13065</v>
      </c>
      <c r="E1179" t="s">
        <v>14172</v>
      </c>
      <c r="F1179" t="s">
        <v>22436</v>
      </c>
      <c r="G1179" t="s">
        <v>22443</v>
      </c>
      <c r="H1179" t="s">
        <v>22452</v>
      </c>
      <c r="I1179" t="s">
        <v>22463</v>
      </c>
      <c r="J1179" t="s">
        <v>23474</v>
      </c>
      <c r="K1179" t="s">
        <v>29331</v>
      </c>
      <c r="M1179" t="s">
        <v>30067</v>
      </c>
      <c r="N1179" t="s">
        <v>32524</v>
      </c>
      <c r="O1179" t="s">
        <v>32525</v>
      </c>
      <c r="P1179">
        <v>0</v>
      </c>
      <c r="Q1179">
        <v>0</v>
      </c>
      <c r="R1179" t="s">
        <v>32526</v>
      </c>
      <c r="S1179" t="s">
        <v>32547</v>
      </c>
      <c r="T1179" t="s">
        <v>33300</v>
      </c>
      <c r="U1179" t="s">
        <v>34606</v>
      </c>
      <c r="W1179" t="s">
        <v>30067</v>
      </c>
      <c r="X1179" t="s">
        <v>32527</v>
      </c>
    </row>
    <row r="1180" spans="1:24">
      <c r="A1180">
        <f>HYPERLINK("https://www.philgeps.gov.ph/GEPSNONPILOT/Tender/SplashBidNoticeAbstractUI.aspx?menuIndex=3&amp;refID=7045539&amp;Result=3","7045539")</f>
        <v>0</v>
      </c>
      <c r="B1180" t="s">
        <v>437</v>
      </c>
      <c r="C1180" t="s">
        <v>3806</v>
      </c>
      <c r="D1180" t="s">
        <v>13023</v>
      </c>
      <c r="E1180" t="s">
        <v>14173</v>
      </c>
      <c r="F1180" t="s">
        <v>22437</v>
      </c>
      <c r="G1180" t="s">
        <v>22446</v>
      </c>
      <c r="H1180" t="s">
        <v>22453</v>
      </c>
      <c r="I1180" t="s">
        <v>22461</v>
      </c>
      <c r="J1180" t="s">
        <v>23149</v>
      </c>
      <c r="K1180" t="s">
        <v>29336</v>
      </c>
      <c r="M1180" t="s">
        <v>30018</v>
      </c>
      <c r="N1180" t="s">
        <v>32524</v>
      </c>
      <c r="O1180" t="s">
        <v>32525</v>
      </c>
      <c r="P1180">
        <v>0</v>
      </c>
      <c r="Q1180">
        <v>1</v>
      </c>
      <c r="R1180" t="s">
        <v>32526</v>
      </c>
      <c r="S1180" t="s">
        <v>32547</v>
      </c>
      <c r="T1180" t="s">
        <v>33285</v>
      </c>
      <c r="U1180" t="s">
        <v>34652</v>
      </c>
      <c r="W1180" t="s">
        <v>30018</v>
      </c>
      <c r="X1180" t="s">
        <v>32527</v>
      </c>
    </row>
    <row r="1181" spans="1:24">
      <c r="A1181">
        <f>HYPERLINK("https://www.philgeps.gov.ph/GEPSNONPILOT/Tender/SplashBidNoticeAbstractUI.aspx?menuIndex=3&amp;refID=7045505&amp;Result=3","7045505")</f>
        <v>0</v>
      </c>
      <c r="B1181" t="s">
        <v>398</v>
      </c>
      <c r="C1181" t="s">
        <v>3807</v>
      </c>
      <c r="D1181" t="s">
        <v>13018</v>
      </c>
      <c r="E1181" t="s">
        <v>14174</v>
      </c>
      <c r="F1181" t="s">
        <v>22436</v>
      </c>
      <c r="G1181" t="s">
        <v>22443</v>
      </c>
      <c r="H1181" t="s">
        <v>22452</v>
      </c>
      <c r="I1181" t="s">
        <v>22531</v>
      </c>
      <c r="J1181" t="s">
        <v>23475</v>
      </c>
      <c r="K1181" t="s">
        <v>29341</v>
      </c>
      <c r="M1181" t="s">
        <v>29977</v>
      </c>
      <c r="N1181" t="s">
        <v>32524</v>
      </c>
      <c r="O1181" t="s">
        <v>32525</v>
      </c>
      <c r="P1181">
        <v>0</v>
      </c>
      <c r="Q1181">
        <v>0</v>
      </c>
      <c r="R1181" t="s">
        <v>32526</v>
      </c>
      <c r="S1181" t="s">
        <v>32547</v>
      </c>
      <c r="T1181" t="s">
        <v>33181</v>
      </c>
      <c r="U1181" t="s">
        <v>34653</v>
      </c>
      <c r="W1181" t="s">
        <v>29977</v>
      </c>
      <c r="X1181" t="s">
        <v>32527</v>
      </c>
    </row>
    <row r="1182" spans="1:24">
      <c r="A1182">
        <f>HYPERLINK("https://www.philgeps.gov.ph/GEPSNONPILOT/Tender/SplashBidNoticeAbstractUI.aspx?menuIndex=3&amp;refID=7045531&amp;Result=3","7045531")</f>
        <v>0</v>
      </c>
      <c r="B1182" t="s">
        <v>77</v>
      </c>
      <c r="C1182" t="s">
        <v>3808</v>
      </c>
      <c r="D1182" t="s">
        <v>13001</v>
      </c>
      <c r="E1182" t="s">
        <v>14175</v>
      </c>
      <c r="F1182" t="s">
        <v>22436</v>
      </c>
      <c r="G1182" t="s">
        <v>22443</v>
      </c>
      <c r="H1182" t="s">
        <v>22452</v>
      </c>
      <c r="I1182" t="s">
        <v>22519</v>
      </c>
      <c r="J1182" t="s">
        <v>23476</v>
      </c>
      <c r="K1182" t="s">
        <v>29338</v>
      </c>
      <c r="L1182" t="s">
        <v>77</v>
      </c>
      <c r="M1182" t="s">
        <v>29884</v>
      </c>
      <c r="N1182" t="s">
        <v>32524</v>
      </c>
      <c r="O1182" t="s">
        <v>32525</v>
      </c>
      <c r="P1182">
        <v>0</v>
      </c>
      <c r="Q1182">
        <v>0</v>
      </c>
      <c r="R1182" t="s">
        <v>32526</v>
      </c>
      <c r="S1182" t="s">
        <v>32547</v>
      </c>
      <c r="T1182" t="s">
        <v>33169</v>
      </c>
      <c r="U1182" t="s">
        <v>34219</v>
      </c>
      <c r="W1182" t="s">
        <v>29884</v>
      </c>
      <c r="X1182" t="s">
        <v>32527</v>
      </c>
    </row>
    <row r="1183" spans="1:24">
      <c r="A1183">
        <f>HYPERLINK("https://www.philgeps.gov.ph/GEPSNONPILOT/Tender/SplashBidNoticeAbstractUI.aspx?menuIndex=3&amp;refID=7045558&amp;Result=3","7045558")</f>
        <v>0</v>
      </c>
      <c r="B1183" t="s">
        <v>401</v>
      </c>
      <c r="C1183" t="s">
        <v>3809</v>
      </c>
      <c r="D1183" t="s">
        <v>13044</v>
      </c>
      <c r="E1183" t="s">
        <v>14176</v>
      </c>
      <c r="F1183" t="s">
        <v>22436</v>
      </c>
      <c r="G1183" t="s">
        <v>22443</v>
      </c>
      <c r="H1183" t="s">
        <v>22452</v>
      </c>
      <c r="I1183" t="s">
        <v>2962</v>
      </c>
      <c r="J1183" t="s">
        <v>23477</v>
      </c>
      <c r="K1183" t="s">
        <v>29340</v>
      </c>
      <c r="M1183" t="s">
        <v>29980</v>
      </c>
      <c r="N1183" t="s">
        <v>32524</v>
      </c>
      <c r="O1183" t="s">
        <v>32525</v>
      </c>
      <c r="P1183">
        <v>0</v>
      </c>
      <c r="Q1183">
        <v>0</v>
      </c>
      <c r="R1183" t="s">
        <v>32526</v>
      </c>
      <c r="S1183" t="s">
        <v>32547</v>
      </c>
      <c r="T1183" t="s">
        <v>33210</v>
      </c>
      <c r="U1183" t="s">
        <v>34654</v>
      </c>
      <c r="W1183" t="s">
        <v>29980</v>
      </c>
      <c r="X1183" t="s">
        <v>32527</v>
      </c>
    </row>
    <row r="1184" spans="1:24">
      <c r="A1184">
        <f>HYPERLINK("https://www.philgeps.gov.ph/GEPSNONPILOT/Tender/SplashBidNoticeAbstractUI.aspx?menuIndex=3&amp;refID=7045550&amp;Result=3","7045550")</f>
        <v>0</v>
      </c>
      <c r="B1184" t="s">
        <v>509</v>
      </c>
      <c r="C1184" t="s">
        <v>3810</v>
      </c>
      <c r="D1184" t="s">
        <v>13066</v>
      </c>
      <c r="E1184" t="s">
        <v>14177</v>
      </c>
      <c r="F1184" t="s">
        <v>22436</v>
      </c>
      <c r="G1184" t="s">
        <v>22444</v>
      </c>
      <c r="H1184" t="s">
        <v>22454</v>
      </c>
      <c r="I1184" t="s">
        <v>3529</v>
      </c>
      <c r="J1184" t="s">
        <v>23478</v>
      </c>
      <c r="K1184" t="s">
        <v>29336</v>
      </c>
      <c r="M1184" t="s">
        <v>30093</v>
      </c>
      <c r="N1184" t="s">
        <v>32524</v>
      </c>
      <c r="O1184" t="s">
        <v>32525</v>
      </c>
      <c r="P1184">
        <v>0</v>
      </c>
      <c r="Q1184">
        <v>0</v>
      </c>
      <c r="R1184" t="s">
        <v>32526</v>
      </c>
      <c r="S1184" t="s">
        <v>32547</v>
      </c>
      <c r="T1184" t="s">
        <v>33182</v>
      </c>
      <c r="U1184" t="s">
        <v>34655</v>
      </c>
      <c r="W1184" t="s">
        <v>30093</v>
      </c>
      <c r="X1184" t="s">
        <v>32527</v>
      </c>
    </row>
    <row r="1185" spans="1:24">
      <c r="A1185">
        <f>HYPERLINK("https://www.philgeps.gov.ph/GEPSNONPILOT/Tender/SplashBidNoticeAbstractUI.aspx?menuIndex=3&amp;refID=7045546&amp;Result=3","7045546")</f>
        <v>0</v>
      </c>
      <c r="B1185" t="s">
        <v>510</v>
      </c>
      <c r="C1185" t="s">
        <v>3811</v>
      </c>
      <c r="D1185" t="s">
        <v>13018</v>
      </c>
      <c r="E1185" t="s">
        <v>14178</v>
      </c>
      <c r="F1185" t="s">
        <v>22436</v>
      </c>
      <c r="G1185" t="s">
        <v>22444</v>
      </c>
      <c r="H1185" t="s">
        <v>22454</v>
      </c>
      <c r="I1185" t="s">
        <v>7738</v>
      </c>
      <c r="J1185" t="s">
        <v>22758</v>
      </c>
      <c r="K1185" t="s">
        <v>29341</v>
      </c>
      <c r="M1185" t="s">
        <v>30094</v>
      </c>
      <c r="N1185" t="s">
        <v>32524</v>
      </c>
      <c r="O1185" t="s">
        <v>32525</v>
      </c>
      <c r="P1185">
        <v>0</v>
      </c>
      <c r="Q1185">
        <v>0</v>
      </c>
      <c r="R1185" t="s">
        <v>32526</v>
      </c>
      <c r="S1185" t="s">
        <v>32547</v>
      </c>
      <c r="T1185" t="s">
        <v>33309</v>
      </c>
      <c r="U1185" t="s">
        <v>34656</v>
      </c>
      <c r="V1185" t="s">
        <v>42534</v>
      </c>
      <c r="W1185" t="s">
        <v>30094</v>
      </c>
      <c r="X1185" t="s">
        <v>32527</v>
      </c>
    </row>
    <row r="1186" spans="1:24">
      <c r="A1186">
        <f>HYPERLINK("https://www.philgeps.gov.ph/GEPSNONPILOT/Tender/SplashBidNoticeAbstractUI.aspx?menuIndex=3&amp;refID=7045556&amp;Result=3","7045556")</f>
        <v>0</v>
      </c>
      <c r="B1186" t="s">
        <v>492</v>
      </c>
      <c r="C1186" t="s">
        <v>3812</v>
      </c>
      <c r="D1186" t="s">
        <v>12996</v>
      </c>
      <c r="E1186" t="s">
        <v>14179</v>
      </c>
      <c r="F1186" t="s">
        <v>22436</v>
      </c>
      <c r="G1186" t="s">
        <v>22443</v>
      </c>
      <c r="H1186" t="s">
        <v>22452</v>
      </c>
      <c r="I1186" t="s">
        <v>22489</v>
      </c>
      <c r="J1186" t="s">
        <v>23479</v>
      </c>
      <c r="K1186" t="s">
        <v>29336</v>
      </c>
      <c r="M1186" t="s">
        <v>30076</v>
      </c>
      <c r="N1186" t="s">
        <v>32524</v>
      </c>
      <c r="O1186" t="s">
        <v>32525</v>
      </c>
      <c r="P1186">
        <v>0</v>
      </c>
      <c r="Q1186">
        <v>0</v>
      </c>
      <c r="R1186" t="s">
        <v>32526</v>
      </c>
      <c r="S1186" t="s">
        <v>32547</v>
      </c>
      <c r="T1186" t="s">
        <v>33305</v>
      </c>
      <c r="U1186" t="s">
        <v>34623</v>
      </c>
      <c r="W1186" t="s">
        <v>30076</v>
      </c>
      <c r="X1186" t="s">
        <v>32527</v>
      </c>
    </row>
    <row r="1187" spans="1:24">
      <c r="A1187">
        <f>HYPERLINK("https://www.philgeps.gov.ph/GEPSNONPILOT/Tender/SplashBidNoticeAbstractUI.aspx?menuIndex=3&amp;refID=7045545&amp;Result=3","7045545")</f>
        <v>0</v>
      </c>
      <c r="B1187" t="s">
        <v>494</v>
      </c>
      <c r="C1187" t="s">
        <v>3813</v>
      </c>
      <c r="D1187" t="s">
        <v>13066</v>
      </c>
      <c r="E1187" t="s">
        <v>14180</v>
      </c>
      <c r="F1187" t="s">
        <v>22436</v>
      </c>
      <c r="G1187" t="s">
        <v>22444</v>
      </c>
      <c r="H1187" t="s">
        <v>22452</v>
      </c>
      <c r="I1187" t="s">
        <v>22464</v>
      </c>
      <c r="J1187" t="s">
        <v>22669</v>
      </c>
      <c r="K1187" t="s">
        <v>29338</v>
      </c>
      <c r="M1187" t="s">
        <v>30078</v>
      </c>
      <c r="N1187" t="s">
        <v>32524</v>
      </c>
      <c r="O1187" t="s">
        <v>32525</v>
      </c>
      <c r="P1187">
        <v>0</v>
      </c>
      <c r="Q1187">
        <v>0</v>
      </c>
      <c r="R1187" t="s">
        <v>32526</v>
      </c>
      <c r="S1187" t="s">
        <v>32547</v>
      </c>
      <c r="T1187" t="s">
        <v>33199</v>
      </c>
      <c r="U1187" t="s">
        <v>34657</v>
      </c>
      <c r="W1187" t="s">
        <v>30078</v>
      </c>
      <c r="X1187" t="s">
        <v>32527</v>
      </c>
    </row>
    <row r="1188" spans="1:24">
      <c r="A1188">
        <f>HYPERLINK("https://www.philgeps.gov.ph/GEPSNONPILOT/Tender/SplashBidNoticeAbstractUI.aspx?menuIndex=3&amp;refID=7045554&amp;Result=3","7045554")</f>
        <v>0</v>
      </c>
      <c r="B1188" t="s">
        <v>91</v>
      </c>
      <c r="C1188" t="s">
        <v>3814</v>
      </c>
      <c r="D1188" t="s">
        <v>13027</v>
      </c>
      <c r="E1188" t="s">
        <v>14181</v>
      </c>
      <c r="F1188" t="s">
        <v>22436</v>
      </c>
      <c r="G1188" t="s">
        <v>22447</v>
      </c>
      <c r="H1188" t="s">
        <v>22452</v>
      </c>
      <c r="I1188" t="s">
        <v>22482</v>
      </c>
      <c r="J1188" t="s">
        <v>22692</v>
      </c>
      <c r="K1188" t="s">
        <v>29335</v>
      </c>
      <c r="M1188" t="s">
        <v>29663</v>
      </c>
      <c r="N1188" t="s">
        <v>32524</v>
      </c>
      <c r="O1188" t="s">
        <v>32525</v>
      </c>
      <c r="P1188">
        <v>0</v>
      </c>
      <c r="Q1188">
        <v>1</v>
      </c>
      <c r="R1188" t="s">
        <v>32526</v>
      </c>
      <c r="S1188" t="s">
        <v>32547</v>
      </c>
      <c r="T1188" t="s">
        <v>33197</v>
      </c>
      <c r="U1188" t="s">
        <v>34658</v>
      </c>
      <c r="W1188" t="s">
        <v>29663</v>
      </c>
      <c r="X1188" t="s">
        <v>32527</v>
      </c>
    </row>
    <row r="1189" spans="1:24">
      <c r="A1189">
        <f>HYPERLINK("https://www.philgeps.gov.ph/GEPSNONPILOT/Tender/SplashBidNoticeAbstractUI.aspx?menuIndex=3&amp;refID=7045557&amp;Result=3","7045557")</f>
        <v>0</v>
      </c>
      <c r="B1189" t="s">
        <v>508</v>
      </c>
      <c r="C1189" t="s">
        <v>3815</v>
      </c>
      <c r="D1189" t="s">
        <v>12988</v>
      </c>
      <c r="E1189" t="s">
        <v>14182</v>
      </c>
      <c r="F1189" t="s">
        <v>22436</v>
      </c>
      <c r="G1189" t="s">
        <v>22444</v>
      </c>
      <c r="H1189" t="s">
        <v>22452</v>
      </c>
      <c r="I1189" t="s">
        <v>2981</v>
      </c>
      <c r="J1189" t="s">
        <v>22640</v>
      </c>
      <c r="K1189" t="s">
        <v>29338</v>
      </c>
      <c r="M1189" t="s">
        <v>30092</v>
      </c>
      <c r="N1189" t="s">
        <v>32524</v>
      </c>
      <c r="O1189" t="s">
        <v>32525</v>
      </c>
      <c r="P1189">
        <v>0</v>
      </c>
      <c r="Q1189">
        <v>0</v>
      </c>
      <c r="R1189" t="s">
        <v>32526</v>
      </c>
      <c r="S1189" t="s">
        <v>32547</v>
      </c>
      <c r="T1189" t="s">
        <v>33163</v>
      </c>
      <c r="U1189" t="s">
        <v>34659</v>
      </c>
      <c r="W1189" t="s">
        <v>30092</v>
      </c>
      <c r="X1189" t="s">
        <v>32527</v>
      </c>
    </row>
    <row r="1190" spans="1:24">
      <c r="A1190">
        <f>HYPERLINK("https://www.philgeps.gov.ph/GEPSNONPILOT/Tender/SplashBidNoticeAbstractUI.aspx?menuIndex=3&amp;refID=7045567&amp;Result=3","7045567")</f>
        <v>0</v>
      </c>
      <c r="B1190" t="s">
        <v>511</v>
      </c>
      <c r="C1190" t="s">
        <v>3816</v>
      </c>
      <c r="D1190" t="s">
        <v>13060</v>
      </c>
      <c r="E1190" t="s">
        <v>14183</v>
      </c>
      <c r="F1190" t="s">
        <v>22436</v>
      </c>
      <c r="G1190" t="s">
        <v>22446</v>
      </c>
      <c r="H1190" t="s">
        <v>22452</v>
      </c>
      <c r="I1190" t="s">
        <v>3529</v>
      </c>
      <c r="J1190" t="s">
        <v>23480</v>
      </c>
      <c r="K1190" t="s">
        <v>29335</v>
      </c>
      <c r="M1190" t="s">
        <v>30095</v>
      </c>
      <c r="N1190" t="s">
        <v>32524</v>
      </c>
      <c r="O1190" t="s">
        <v>32525</v>
      </c>
      <c r="P1190">
        <v>0</v>
      </c>
      <c r="Q1190">
        <v>0</v>
      </c>
      <c r="R1190" t="s">
        <v>32526</v>
      </c>
      <c r="S1190" t="s">
        <v>32547</v>
      </c>
      <c r="T1190" t="s">
        <v>33310</v>
      </c>
      <c r="U1190" t="s">
        <v>34660</v>
      </c>
      <c r="W1190" t="s">
        <v>30095</v>
      </c>
      <c r="X1190" t="s">
        <v>32527</v>
      </c>
    </row>
    <row r="1191" spans="1:24">
      <c r="A1191">
        <f>HYPERLINK("https://www.philgeps.gov.ph/GEPSNONPILOT/Tender/SplashBidNoticeAbstractUI.aspx?menuIndex=3&amp;refID=7045547&amp;Result=3","7045547")</f>
        <v>0</v>
      </c>
      <c r="B1191" t="s">
        <v>512</v>
      </c>
      <c r="C1191" t="s">
        <v>3817</v>
      </c>
      <c r="D1191" t="s">
        <v>12995</v>
      </c>
      <c r="E1191" t="s">
        <v>14184</v>
      </c>
      <c r="F1191" t="s">
        <v>22436</v>
      </c>
      <c r="G1191" t="s">
        <v>22443</v>
      </c>
      <c r="H1191" t="s">
        <v>22452</v>
      </c>
      <c r="I1191" t="s">
        <v>22532</v>
      </c>
      <c r="J1191" t="s">
        <v>23481</v>
      </c>
      <c r="K1191" t="s">
        <v>29336</v>
      </c>
      <c r="M1191" t="s">
        <v>30096</v>
      </c>
      <c r="N1191" t="s">
        <v>32524</v>
      </c>
      <c r="O1191" t="s">
        <v>32525</v>
      </c>
      <c r="P1191">
        <v>0</v>
      </c>
      <c r="Q1191">
        <v>0</v>
      </c>
      <c r="R1191" t="s">
        <v>32526</v>
      </c>
      <c r="S1191" t="s">
        <v>32547</v>
      </c>
      <c r="T1191" t="s">
        <v>33230</v>
      </c>
      <c r="U1191" t="s">
        <v>34661</v>
      </c>
      <c r="W1191" t="s">
        <v>30096</v>
      </c>
      <c r="X1191" t="s">
        <v>32527</v>
      </c>
    </row>
    <row r="1192" spans="1:24">
      <c r="A1192">
        <f>HYPERLINK("https://www.philgeps.gov.ph/GEPSNONPILOT/Tender/SplashBidNoticeAbstractUI.aspx?menuIndex=3&amp;refID=7045543&amp;Result=3","7045543")</f>
        <v>0</v>
      </c>
      <c r="B1192" t="s">
        <v>220</v>
      </c>
      <c r="C1192" t="s">
        <v>3818</v>
      </c>
      <c r="D1192" t="s">
        <v>13037</v>
      </c>
      <c r="E1192" t="s">
        <v>14185</v>
      </c>
      <c r="F1192" t="s">
        <v>22436</v>
      </c>
      <c r="G1192" t="s">
        <v>22446</v>
      </c>
      <c r="H1192" t="s">
        <v>22452</v>
      </c>
      <c r="I1192" t="s">
        <v>3529</v>
      </c>
      <c r="J1192" t="s">
        <v>23482</v>
      </c>
      <c r="K1192" t="s">
        <v>29336</v>
      </c>
      <c r="M1192" t="s">
        <v>29793</v>
      </c>
      <c r="N1192" t="s">
        <v>32524</v>
      </c>
      <c r="O1192" t="s">
        <v>32525</v>
      </c>
      <c r="P1192">
        <v>0</v>
      </c>
      <c r="Q1192">
        <v>0</v>
      </c>
      <c r="R1192" t="s">
        <v>32526</v>
      </c>
      <c r="S1192" t="s">
        <v>32547</v>
      </c>
      <c r="T1192" t="s">
        <v>33209</v>
      </c>
      <c r="U1192" t="s">
        <v>34035</v>
      </c>
      <c r="W1192" t="s">
        <v>29793</v>
      </c>
      <c r="X1192" t="s">
        <v>32527</v>
      </c>
    </row>
    <row r="1193" spans="1:24">
      <c r="A1193">
        <f>HYPERLINK("https://www.philgeps.gov.ph/GEPSNONPILOT/Tender/SplashBidNoticeAbstractUI.aspx?menuIndex=3&amp;refID=7045563&amp;Result=3","7045563")</f>
        <v>0</v>
      </c>
      <c r="B1193" t="s">
        <v>513</v>
      </c>
      <c r="C1193" t="s">
        <v>3819</v>
      </c>
      <c r="D1193" t="s">
        <v>13055</v>
      </c>
      <c r="E1193" t="s">
        <v>3819</v>
      </c>
      <c r="F1193" t="s">
        <v>22436</v>
      </c>
      <c r="G1193" t="s">
        <v>22446</v>
      </c>
      <c r="H1193" t="s">
        <v>22452</v>
      </c>
      <c r="I1193" t="s">
        <v>3827</v>
      </c>
      <c r="J1193" t="s">
        <v>23483</v>
      </c>
      <c r="K1193" t="s">
        <v>29341</v>
      </c>
      <c r="L1193" t="s">
        <v>513</v>
      </c>
      <c r="M1193" t="s">
        <v>30097</v>
      </c>
      <c r="N1193" t="s">
        <v>32524</v>
      </c>
      <c r="O1193" t="s">
        <v>32525</v>
      </c>
      <c r="P1193">
        <v>0</v>
      </c>
      <c r="Q1193">
        <v>2</v>
      </c>
      <c r="R1193" t="s">
        <v>32526</v>
      </c>
      <c r="S1193" t="s">
        <v>32547</v>
      </c>
      <c r="T1193" t="s">
        <v>33196</v>
      </c>
      <c r="U1193" t="s">
        <v>34662</v>
      </c>
      <c r="W1193" t="s">
        <v>30097</v>
      </c>
      <c r="X1193" t="s">
        <v>32527</v>
      </c>
    </row>
    <row r="1194" spans="1:24">
      <c r="A1194">
        <f>HYPERLINK("https://www.philgeps.gov.ph/GEPSNONPILOT/Tender/SplashBidNoticeAbstractUI.aspx?menuIndex=3&amp;refID=7045552&amp;Result=3","7045552")</f>
        <v>0</v>
      </c>
      <c r="B1194" t="s">
        <v>514</v>
      </c>
      <c r="C1194" t="s">
        <v>3820</v>
      </c>
      <c r="E1194" t="s">
        <v>14186</v>
      </c>
      <c r="F1194" t="s">
        <v>22436</v>
      </c>
      <c r="G1194" t="s">
        <v>22443</v>
      </c>
      <c r="H1194" t="s">
        <v>22452</v>
      </c>
      <c r="I1194" t="s">
        <v>3529</v>
      </c>
      <c r="J1194" t="s">
        <v>23484</v>
      </c>
      <c r="K1194" t="s">
        <v>29356</v>
      </c>
      <c r="M1194" t="s">
        <v>30098</v>
      </c>
      <c r="N1194" t="s">
        <v>32524</v>
      </c>
      <c r="O1194" t="s">
        <v>32525</v>
      </c>
      <c r="P1194">
        <v>0</v>
      </c>
      <c r="Q1194">
        <v>0</v>
      </c>
      <c r="R1194" t="s">
        <v>32526</v>
      </c>
      <c r="S1194" t="s">
        <v>32547</v>
      </c>
      <c r="T1194" t="s">
        <v>33154</v>
      </c>
      <c r="U1194" t="s">
        <v>34663</v>
      </c>
      <c r="W1194" t="s">
        <v>30098</v>
      </c>
      <c r="X1194" t="s">
        <v>32527</v>
      </c>
    </row>
    <row r="1195" spans="1:24">
      <c r="A1195">
        <f>HYPERLINK("https://www.philgeps.gov.ph/GEPSNONPILOT/Tender/SplashBidNoticeAbstractUI.aspx?menuIndex=3&amp;refID=7045561&amp;Result=3","7045561")</f>
        <v>0</v>
      </c>
      <c r="B1195" t="s">
        <v>291</v>
      </c>
      <c r="C1195" t="s">
        <v>3821</v>
      </c>
      <c r="D1195" t="s">
        <v>13041</v>
      </c>
      <c r="E1195" t="s">
        <v>14187</v>
      </c>
      <c r="F1195" t="s">
        <v>22436</v>
      </c>
      <c r="G1195" t="s">
        <v>22443</v>
      </c>
      <c r="H1195" t="s">
        <v>22452</v>
      </c>
      <c r="I1195" t="s">
        <v>22482</v>
      </c>
      <c r="J1195" t="s">
        <v>23485</v>
      </c>
      <c r="K1195" t="s">
        <v>29331</v>
      </c>
      <c r="M1195" t="s">
        <v>29865</v>
      </c>
      <c r="N1195" t="s">
        <v>32524</v>
      </c>
      <c r="O1195" t="s">
        <v>32525</v>
      </c>
      <c r="P1195">
        <v>0</v>
      </c>
      <c r="Q1195">
        <v>5</v>
      </c>
      <c r="R1195" t="s">
        <v>32526</v>
      </c>
      <c r="S1195" t="s">
        <v>32547</v>
      </c>
      <c r="T1195" t="s">
        <v>33255</v>
      </c>
      <c r="U1195" t="s">
        <v>34185</v>
      </c>
      <c r="W1195" t="s">
        <v>29865</v>
      </c>
      <c r="X1195" t="s">
        <v>32527</v>
      </c>
    </row>
    <row r="1196" spans="1:24">
      <c r="A1196">
        <f>HYPERLINK("https://www.philgeps.gov.ph/GEPSNONPILOT/Tender/SplashBidNoticeAbstractUI.aspx?menuIndex=3&amp;refID=7045559&amp;Result=3","7045559")</f>
        <v>0</v>
      </c>
      <c r="B1196" t="s">
        <v>498</v>
      </c>
      <c r="C1196" t="s">
        <v>3822</v>
      </c>
      <c r="D1196" t="s">
        <v>13037</v>
      </c>
      <c r="E1196" t="s">
        <v>14188</v>
      </c>
      <c r="F1196" t="s">
        <v>22436</v>
      </c>
      <c r="G1196" t="s">
        <v>22443</v>
      </c>
      <c r="H1196" t="s">
        <v>22452</v>
      </c>
      <c r="I1196" t="s">
        <v>22495</v>
      </c>
      <c r="J1196" t="s">
        <v>22607</v>
      </c>
      <c r="K1196" t="s">
        <v>29338</v>
      </c>
      <c r="M1196" t="s">
        <v>30082</v>
      </c>
      <c r="N1196" t="s">
        <v>32524</v>
      </c>
      <c r="O1196" t="s">
        <v>32525</v>
      </c>
      <c r="P1196">
        <v>0</v>
      </c>
      <c r="Q1196">
        <v>4</v>
      </c>
      <c r="R1196" t="s">
        <v>32526</v>
      </c>
      <c r="S1196" t="s">
        <v>32547</v>
      </c>
      <c r="T1196" t="s">
        <v>33206</v>
      </c>
      <c r="U1196" t="s">
        <v>34632</v>
      </c>
      <c r="W1196" t="s">
        <v>30082</v>
      </c>
      <c r="X1196" t="s">
        <v>32527</v>
      </c>
    </row>
    <row r="1197" spans="1:24">
      <c r="A1197">
        <f>HYPERLINK("https://www.philgeps.gov.ph/GEPSNONPILOT/Tender/SplashBidNoticeAbstractUI.aspx?menuIndex=3&amp;refID=7045566&amp;Result=3","7045566")</f>
        <v>0</v>
      </c>
      <c r="B1197" t="s">
        <v>515</v>
      </c>
      <c r="C1197" t="s">
        <v>3823</v>
      </c>
      <c r="D1197" t="s">
        <v>13020</v>
      </c>
      <c r="E1197" t="s">
        <v>14189</v>
      </c>
      <c r="F1197" t="s">
        <v>22436</v>
      </c>
      <c r="G1197" t="s">
        <v>22444</v>
      </c>
      <c r="H1197" t="s">
        <v>22454</v>
      </c>
      <c r="I1197" t="s">
        <v>7738</v>
      </c>
      <c r="J1197" t="s">
        <v>23486</v>
      </c>
      <c r="K1197" t="s">
        <v>29336</v>
      </c>
      <c r="M1197" t="s">
        <v>30099</v>
      </c>
      <c r="N1197" t="s">
        <v>32524</v>
      </c>
      <c r="O1197" t="s">
        <v>32525</v>
      </c>
      <c r="P1197">
        <v>0</v>
      </c>
      <c r="Q1197">
        <v>0</v>
      </c>
      <c r="R1197" t="s">
        <v>32526</v>
      </c>
      <c r="S1197" t="s">
        <v>32547</v>
      </c>
      <c r="T1197" t="s">
        <v>33171</v>
      </c>
      <c r="U1197" t="s">
        <v>34664</v>
      </c>
      <c r="V1197" t="s">
        <v>42535</v>
      </c>
      <c r="W1197" t="s">
        <v>30099</v>
      </c>
      <c r="X1197" t="s">
        <v>32527</v>
      </c>
    </row>
    <row r="1198" spans="1:24">
      <c r="A1198">
        <f>HYPERLINK("https://www.philgeps.gov.ph/GEPSNONPILOT/Tender/SplashBidNoticeAbstractUI.aspx?menuIndex=3&amp;refID=7045568&amp;Result=3","7045568")</f>
        <v>0</v>
      </c>
      <c r="B1198" t="s">
        <v>516</v>
      </c>
      <c r="C1198" t="s">
        <v>3824</v>
      </c>
      <c r="D1198" t="s">
        <v>13067</v>
      </c>
      <c r="E1198" t="s">
        <v>14190</v>
      </c>
      <c r="F1198" t="s">
        <v>22437</v>
      </c>
      <c r="G1198" t="s">
        <v>22443</v>
      </c>
      <c r="H1198" t="s">
        <v>22453</v>
      </c>
      <c r="I1198" t="s">
        <v>5194</v>
      </c>
      <c r="J1198" t="s">
        <v>23487</v>
      </c>
      <c r="K1198" t="s">
        <v>29336</v>
      </c>
      <c r="M1198" t="s">
        <v>30100</v>
      </c>
      <c r="N1198" t="s">
        <v>32524</v>
      </c>
      <c r="O1198" t="s">
        <v>32525</v>
      </c>
      <c r="P1198">
        <v>0</v>
      </c>
      <c r="Q1198">
        <v>0</v>
      </c>
      <c r="R1198" t="s">
        <v>32526</v>
      </c>
      <c r="S1198" t="s">
        <v>32547</v>
      </c>
      <c r="T1198" t="s">
        <v>33182</v>
      </c>
      <c r="U1198" t="s">
        <v>34665</v>
      </c>
      <c r="W1198" t="s">
        <v>30100</v>
      </c>
      <c r="X1198" t="s">
        <v>32527</v>
      </c>
    </row>
    <row r="1199" spans="1:24">
      <c r="A1199">
        <f>HYPERLINK("https://www.philgeps.gov.ph/GEPSNONPILOT/Tender/SplashBidNoticeAbstractUI.aspx?menuIndex=3&amp;refID=7045565&amp;Result=3","7045565")</f>
        <v>0</v>
      </c>
      <c r="B1199" t="s">
        <v>121</v>
      </c>
      <c r="C1199" t="s">
        <v>3825</v>
      </c>
      <c r="D1199" t="s">
        <v>13034</v>
      </c>
      <c r="E1199" t="s">
        <v>14191</v>
      </c>
      <c r="F1199" t="s">
        <v>22436</v>
      </c>
      <c r="G1199" t="s">
        <v>22447</v>
      </c>
      <c r="H1199" t="s">
        <v>22452</v>
      </c>
      <c r="I1199" t="s">
        <v>22469</v>
      </c>
      <c r="J1199" t="s">
        <v>22706</v>
      </c>
      <c r="K1199" t="s">
        <v>29341</v>
      </c>
      <c r="M1199" t="s">
        <v>29693</v>
      </c>
      <c r="N1199" t="s">
        <v>32524</v>
      </c>
      <c r="O1199" t="s">
        <v>32525</v>
      </c>
      <c r="P1199">
        <v>0</v>
      </c>
      <c r="Q1199">
        <v>1</v>
      </c>
      <c r="R1199" t="s">
        <v>32526</v>
      </c>
      <c r="S1199" t="s">
        <v>32547</v>
      </c>
      <c r="T1199" t="s">
        <v>33302</v>
      </c>
      <c r="U1199" t="s">
        <v>34666</v>
      </c>
      <c r="V1199" t="s">
        <v>42461</v>
      </c>
      <c r="W1199" t="s">
        <v>29693</v>
      </c>
      <c r="X1199" t="s">
        <v>32527</v>
      </c>
    </row>
    <row r="1200" spans="1:24">
      <c r="A1200">
        <f>HYPERLINK("https://www.philgeps.gov.ph/GEPSNONPILOT/Tender/SplashBidNoticeAbstractUI.aspx?menuIndex=3&amp;refID=7045560&amp;Result=3","7045560")</f>
        <v>0</v>
      </c>
      <c r="B1200" t="s">
        <v>192</v>
      </c>
      <c r="C1200" t="s">
        <v>3826</v>
      </c>
      <c r="D1200" t="s">
        <v>13048</v>
      </c>
      <c r="E1200" t="s">
        <v>14192</v>
      </c>
      <c r="F1200" t="s">
        <v>22436</v>
      </c>
      <c r="G1200" t="s">
        <v>22444</v>
      </c>
      <c r="H1200" t="s">
        <v>22454</v>
      </c>
      <c r="I1200" t="s">
        <v>7738</v>
      </c>
      <c r="J1200" t="s">
        <v>23488</v>
      </c>
      <c r="K1200" t="s">
        <v>29338</v>
      </c>
      <c r="M1200" t="s">
        <v>29765</v>
      </c>
      <c r="N1200" t="s">
        <v>32524</v>
      </c>
      <c r="O1200" t="s">
        <v>32525</v>
      </c>
      <c r="P1200">
        <v>0</v>
      </c>
      <c r="Q1200">
        <v>0</v>
      </c>
      <c r="R1200" t="s">
        <v>32526</v>
      </c>
      <c r="S1200" t="s">
        <v>32547</v>
      </c>
      <c r="T1200" t="s">
        <v>33170</v>
      </c>
      <c r="U1200" t="s">
        <v>33981</v>
      </c>
      <c r="W1200" t="s">
        <v>29765</v>
      </c>
      <c r="X1200" t="s">
        <v>32527</v>
      </c>
    </row>
    <row r="1201" spans="1:24">
      <c r="A1201">
        <f>HYPERLINK("https://www.philgeps.gov.ph/GEPSNONPILOT/Tender/SplashBidNoticeAbstractUI.aspx?menuIndex=3&amp;refID=7045544&amp;Result=3","7045544")</f>
        <v>0</v>
      </c>
      <c r="B1201" t="s">
        <v>517</v>
      </c>
      <c r="C1201" t="s">
        <v>3827</v>
      </c>
      <c r="D1201" t="s">
        <v>12999</v>
      </c>
      <c r="E1201" t="s">
        <v>14193</v>
      </c>
      <c r="F1201" t="s">
        <v>22436</v>
      </c>
      <c r="G1201" t="s">
        <v>22443</v>
      </c>
      <c r="H1201" t="s">
        <v>22452</v>
      </c>
      <c r="I1201" t="s">
        <v>3827</v>
      </c>
      <c r="J1201" t="s">
        <v>23489</v>
      </c>
      <c r="K1201" t="s">
        <v>29357</v>
      </c>
      <c r="M1201" t="s">
        <v>30101</v>
      </c>
      <c r="N1201" t="s">
        <v>32524</v>
      </c>
      <c r="O1201" t="s">
        <v>32525</v>
      </c>
      <c r="P1201">
        <v>0</v>
      </c>
      <c r="Q1201">
        <v>1</v>
      </c>
      <c r="R1201" t="s">
        <v>32526</v>
      </c>
      <c r="S1201" t="s">
        <v>32547</v>
      </c>
      <c r="T1201" t="s">
        <v>33161</v>
      </c>
      <c r="U1201" t="s">
        <v>34667</v>
      </c>
      <c r="W1201" t="s">
        <v>30101</v>
      </c>
      <c r="X1201" t="s">
        <v>32527</v>
      </c>
    </row>
    <row r="1202" spans="1:24">
      <c r="A1202">
        <f>HYPERLINK("https://www.philgeps.gov.ph/GEPSNONPILOT/Tender/SplashBidNoticeAbstractUI.aspx?menuIndex=3&amp;refID=7045570&amp;Result=3","7045570")</f>
        <v>0</v>
      </c>
      <c r="B1202" t="s">
        <v>501</v>
      </c>
      <c r="C1202" t="s">
        <v>3828</v>
      </c>
      <c r="D1202" t="s">
        <v>12994</v>
      </c>
      <c r="E1202" t="s">
        <v>14194</v>
      </c>
      <c r="F1202" t="s">
        <v>22436</v>
      </c>
      <c r="G1202" t="s">
        <v>22446</v>
      </c>
      <c r="H1202" t="s">
        <v>22452</v>
      </c>
      <c r="I1202" t="s">
        <v>6421</v>
      </c>
      <c r="J1202" t="s">
        <v>23490</v>
      </c>
      <c r="K1202" t="s">
        <v>29338</v>
      </c>
      <c r="M1202" t="s">
        <v>30085</v>
      </c>
      <c r="N1202" t="s">
        <v>32524</v>
      </c>
      <c r="O1202" t="s">
        <v>32525</v>
      </c>
      <c r="P1202">
        <v>0</v>
      </c>
      <c r="Q1202">
        <v>1</v>
      </c>
      <c r="R1202" t="s">
        <v>32526</v>
      </c>
      <c r="S1202" t="s">
        <v>32547</v>
      </c>
      <c r="T1202" t="s">
        <v>33169</v>
      </c>
      <c r="U1202" t="s">
        <v>34646</v>
      </c>
      <c r="V1202" t="s">
        <v>42536</v>
      </c>
      <c r="W1202" t="s">
        <v>30085</v>
      </c>
      <c r="X1202" t="s">
        <v>32527</v>
      </c>
    </row>
    <row r="1203" spans="1:24">
      <c r="A1203">
        <f>HYPERLINK("https://www.philgeps.gov.ph/GEPSNONPILOT/Tender/SplashBidNoticeAbstractUI.aspx?menuIndex=3&amp;refID=7045569&amp;Result=3","7045569")</f>
        <v>0</v>
      </c>
      <c r="B1203" t="s">
        <v>508</v>
      </c>
      <c r="C1203" t="s">
        <v>3829</v>
      </c>
      <c r="D1203" t="s">
        <v>12988</v>
      </c>
      <c r="E1203" t="s">
        <v>14195</v>
      </c>
      <c r="F1203" t="s">
        <v>22436</v>
      </c>
      <c r="G1203" t="s">
        <v>22444</v>
      </c>
      <c r="H1203" t="s">
        <v>22452</v>
      </c>
      <c r="I1203" t="s">
        <v>22460</v>
      </c>
      <c r="J1203" t="s">
        <v>22605</v>
      </c>
      <c r="K1203" t="s">
        <v>29338</v>
      </c>
      <c r="M1203" t="s">
        <v>30092</v>
      </c>
      <c r="N1203" t="s">
        <v>32524</v>
      </c>
      <c r="O1203" t="s">
        <v>32525</v>
      </c>
      <c r="P1203">
        <v>0</v>
      </c>
      <c r="Q1203">
        <v>1</v>
      </c>
      <c r="R1203" t="s">
        <v>32526</v>
      </c>
      <c r="S1203" t="s">
        <v>32547</v>
      </c>
      <c r="T1203" t="s">
        <v>33182</v>
      </c>
      <c r="U1203" t="s">
        <v>34668</v>
      </c>
      <c r="W1203" t="s">
        <v>30092</v>
      </c>
      <c r="X1203" t="s">
        <v>32527</v>
      </c>
    </row>
    <row r="1204" spans="1:24">
      <c r="A1204">
        <f>HYPERLINK("https://www.philgeps.gov.ph/GEPSNONPILOT/Tender/SplashBidNoticeAbstractUI.aspx?menuIndex=3&amp;refID=7045555&amp;Result=3","7045555")</f>
        <v>0</v>
      </c>
      <c r="B1204" t="s">
        <v>518</v>
      </c>
      <c r="C1204" t="s">
        <v>3830</v>
      </c>
      <c r="D1204" t="s">
        <v>12996</v>
      </c>
      <c r="E1204" t="s">
        <v>14196</v>
      </c>
      <c r="F1204" t="s">
        <v>22436</v>
      </c>
      <c r="G1204" t="s">
        <v>22444</v>
      </c>
      <c r="H1204" t="s">
        <v>22452</v>
      </c>
      <c r="I1204" t="s">
        <v>2981</v>
      </c>
      <c r="J1204" t="s">
        <v>22616</v>
      </c>
      <c r="K1204" t="s">
        <v>29341</v>
      </c>
      <c r="M1204" t="s">
        <v>30102</v>
      </c>
      <c r="N1204" t="s">
        <v>32524</v>
      </c>
      <c r="O1204" t="s">
        <v>32525</v>
      </c>
      <c r="P1204">
        <v>0</v>
      </c>
      <c r="Q1204">
        <v>1</v>
      </c>
      <c r="R1204" t="s">
        <v>32526</v>
      </c>
      <c r="S1204" t="s">
        <v>32547</v>
      </c>
      <c r="T1204" t="s">
        <v>33181</v>
      </c>
      <c r="U1204" t="s">
        <v>34669</v>
      </c>
      <c r="W1204" t="s">
        <v>30102</v>
      </c>
      <c r="X1204" t="s">
        <v>32527</v>
      </c>
    </row>
    <row r="1205" spans="1:24">
      <c r="A1205">
        <f>HYPERLINK("https://www.philgeps.gov.ph/GEPSNONPILOT/Tender/SplashBidNoticeAbstractUI.aspx?menuIndex=3&amp;refID=7045576&amp;Result=3","7045576")</f>
        <v>0</v>
      </c>
      <c r="B1205" t="s">
        <v>307</v>
      </c>
      <c r="C1205" t="s">
        <v>3831</v>
      </c>
      <c r="D1205" t="s">
        <v>13032</v>
      </c>
      <c r="E1205" t="s">
        <v>14197</v>
      </c>
      <c r="F1205" t="s">
        <v>22436</v>
      </c>
      <c r="G1205" t="s">
        <v>22443</v>
      </c>
      <c r="H1205" t="s">
        <v>22452</v>
      </c>
      <c r="I1205" t="s">
        <v>3529</v>
      </c>
      <c r="J1205" t="s">
        <v>23491</v>
      </c>
      <c r="K1205" t="s">
        <v>29338</v>
      </c>
      <c r="M1205" t="s">
        <v>29881</v>
      </c>
      <c r="N1205" t="s">
        <v>32524</v>
      </c>
      <c r="O1205" t="s">
        <v>32525</v>
      </c>
      <c r="P1205">
        <v>0</v>
      </c>
      <c r="Q1205">
        <v>0</v>
      </c>
      <c r="R1205" t="s">
        <v>32526</v>
      </c>
      <c r="S1205" t="s">
        <v>32547</v>
      </c>
      <c r="T1205" t="s">
        <v>33161</v>
      </c>
      <c r="U1205" t="s">
        <v>34670</v>
      </c>
      <c r="W1205" t="s">
        <v>29881</v>
      </c>
      <c r="X1205" t="s">
        <v>32527</v>
      </c>
    </row>
    <row r="1206" spans="1:24">
      <c r="A1206">
        <f>HYPERLINK("https://www.philgeps.gov.ph/GEPSNONPILOT/Tender/SplashBidNoticeAbstractUI.aspx?menuIndex=3&amp;refID=7045571&amp;Result=3","7045571")</f>
        <v>0</v>
      </c>
      <c r="B1206" t="s">
        <v>486</v>
      </c>
      <c r="C1206" t="s">
        <v>3832</v>
      </c>
      <c r="D1206" t="s">
        <v>12992</v>
      </c>
      <c r="E1206" t="s">
        <v>14198</v>
      </c>
      <c r="F1206" t="s">
        <v>22436</v>
      </c>
      <c r="G1206" t="s">
        <v>22444</v>
      </c>
      <c r="H1206" t="s">
        <v>22454</v>
      </c>
      <c r="I1206" t="s">
        <v>7738</v>
      </c>
      <c r="J1206" t="s">
        <v>23492</v>
      </c>
      <c r="K1206" t="s">
        <v>29333</v>
      </c>
      <c r="M1206" t="s">
        <v>30070</v>
      </c>
      <c r="N1206" t="s">
        <v>32524</v>
      </c>
      <c r="O1206" t="s">
        <v>32525</v>
      </c>
      <c r="P1206">
        <v>0</v>
      </c>
      <c r="Q1206">
        <v>0</v>
      </c>
      <c r="R1206" t="s">
        <v>32526</v>
      </c>
      <c r="S1206" t="s">
        <v>32547</v>
      </c>
      <c r="T1206" t="s">
        <v>33207</v>
      </c>
      <c r="U1206" t="s">
        <v>34671</v>
      </c>
      <c r="W1206" t="s">
        <v>30070</v>
      </c>
      <c r="X1206" t="s">
        <v>32527</v>
      </c>
    </row>
    <row r="1207" spans="1:24">
      <c r="A1207">
        <f>HYPERLINK("https://www.philgeps.gov.ph/GEPSNONPILOT/Tender/SplashBidNoticeAbstractUI.aspx?menuIndex=3&amp;refID=7045595&amp;Result=3","7045595")</f>
        <v>0</v>
      </c>
      <c r="B1207" t="s">
        <v>432</v>
      </c>
      <c r="C1207" t="s">
        <v>3833</v>
      </c>
      <c r="D1207" t="s">
        <v>13028</v>
      </c>
      <c r="E1207" t="s">
        <v>14199</v>
      </c>
      <c r="F1207" t="s">
        <v>22436</v>
      </c>
      <c r="G1207" t="s">
        <v>22444</v>
      </c>
      <c r="H1207" t="s">
        <v>22454</v>
      </c>
      <c r="I1207" t="s">
        <v>7738</v>
      </c>
      <c r="J1207" t="s">
        <v>23384</v>
      </c>
      <c r="K1207" t="s">
        <v>29396</v>
      </c>
      <c r="M1207" t="s">
        <v>30013</v>
      </c>
      <c r="N1207" t="s">
        <v>32524</v>
      </c>
      <c r="O1207" t="s">
        <v>32525</v>
      </c>
      <c r="P1207">
        <v>0</v>
      </c>
      <c r="Q1207">
        <v>0</v>
      </c>
      <c r="R1207" t="s">
        <v>32526</v>
      </c>
      <c r="S1207" t="s">
        <v>32547</v>
      </c>
      <c r="T1207" t="s">
        <v>33165</v>
      </c>
      <c r="U1207" t="s">
        <v>34672</v>
      </c>
      <c r="V1207" t="s">
        <v>42537</v>
      </c>
      <c r="W1207" t="s">
        <v>30013</v>
      </c>
      <c r="X1207" t="s">
        <v>32527</v>
      </c>
    </row>
    <row r="1208" spans="1:24">
      <c r="A1208">
        <f>HYPERLINK("https://www.philgeps.gov.ph/GEPSNONPILOT/Tender/SplashBidNoticeAbstractUI.aspx?menuIndex=3&amp;refID=7045574&amp;Result=3","7045574")</f>
        <v>0</v>
      </c>
      <c r="B1208" t="s">
        <v>519</v>
      </c>
      <c r="C1208" t="s">
        <v>3834</v>
      </c>
      <c r="D1208" t="s">
        <v>12988</v>
      </c>
      <c r="E1208" t="s">
        <v>14200</v>
      </c>
      <c r="F1208" t="s">
        <v>22436</v>
      </c>
      <c r="G1208" t="s">
        <v>22444</v>
      </c>
      <c r="H1208" t="s">
        <v>22454</v>
      </c>
      <c r="I1208" t="s">
        <v>7738</v>
      </c>
      <c r="J1208" t="s">
        <v>23493</v>
      </c>
      <c r="K1208" t="s">
        <v>29388</v>
      </c>
      <c r="M1208" t="s">
        <v>30103</v>
      </c>
      <c r="N1208" t="s">
        <v>32524</v>
      </c>
      <c r="O1208" t="s">
        <v>32525</v>
      </c>
      <c r="P1208">
        <v>0</v>
      </c>
      <c r="Q1208">
        <v>7</v>
      </c>
      <c r="R1208" t="s">
        <v>32526</v>
      </c>
      <c r="S1208" t="s">
        <v>32547</v>
      </c>
      <c r="T1208" t="s">
        <v>33158</v>
      </c>
      <c r="U1208" t="s">
        <v>34673</v>
      </c>
      <c r="V1208" t="s">
        <v>42538</v>
      </c>
      <c r="W1208" t="s">
        <v>30103</v>
      </c>
      <c r="X1208" t="s">
        <v>32527</v>
      </c>
    </row>
    <row r="1209" spans="1:24">
      <c r="A1209">
        <f>HYPERLINK("https://www.philgeps.gov.ph/GEPSNONPILOT/Tender/SplashBidNoticeAbstractUI.aspx?menuIndex=3&amp;refID=7045572&amp;Result=3","7045572")</f>
        <v>0</v>
      </c>
      <c r="B1209" t="s">
        <v>520</v>
      </c>
      <c r="C1209" t="s">
        <v>3835</v>
      </c>
      <c r="D1209" t="s">
        <v>13051</v>
      </c>
      <c r="E1209" t="s">
        <v>14018</v>
      </c>
      <c r="F1209" t="s">
        <v>22436</v>
      </c>
      <c r="G1209" t="s">
        <v>22444</v>
      </c>
      <c r="H1209" t="s">
        <v>22452</v>
      </c>
      <c r="I1209" t="s">
        <v>3529</v>
      </c>
      <c r="J1209" t="s">
        <v>23494</v>
      </c>
      <c r="K1209" t="s">
        <v>29335</v>
      </c>
      <c r="M1209" t="s">
        <v>30104</v>
      </c>
      <c r="N1209" t="s">
        <v>32524</v>
      </c>
      <c r="O1209" t="s">
        <v>32525</v>
      </c>
      <c r="P1209">
        <v>0</v>
      </c>
      <c r="Q1209">
        <v>0</v>
      </c>
      <c r="R1209" t="s">
        <v>32526</v>
      </c>
      <c r="S1209" t="s">
        <v>32547</v>
      </c>
      <c r="T1209" t="s">
        <v>33168</v>
      </c>
      <c r="U1209" t="s">
        <v>34674</v>
      </c>
      <c r="W1209" t="s">
        <v>30104</v>
      </c>
      <c r="X1209" t="s">
        <v>32527</v>
      </c>
    </row>
    <row r="1210" spans="1:24">
      <c r="A1210">
        <f>HYPERLINK("https://www.philgeps.gov.ph/GEPSNONPILOT/Tender/SplashBidNoticeAbstractUI.aspx?menuIndex=3&amp;refID=7045593&amp;Result=3","7045593")</f>
        <v>0</v>
      </c>
      <c r="B1210" t="s">
        <v>462</v>
      </c>
      <c r="C1210" t="s">
        <v>3836</v>
      </c>
      <c r="D1210" t="s">
        <v>12999</v>
      </c>
      <c r="E1210" t="s">
        <v>14201</v>
      </c>
      <c r="F1210" t="s">
        <v>22436</v>
      </c>
      <c r="G1210" t="s">
        <v>22443</v>
      </c>
      <c r="H1210" t="s">
        <v>22452</v>
      </c>
      <c r="I1210" t="s">
        <v>22489</v>
      </c>
      <c r="J1210" t="s">
        <v>22673</v>
      </c>
      <c r="K1210" t="s">
        <v>29338</v>
      </c>
      <c r="M1210" t="s">
        <v>30044</v>
      </c>
      <c r="N1210" t="s">
        <v>32524</v>
      </c>
      <c r="O1210" t="s">
        <v>32525</v>
      </c>
      <c r="P1210">
        <v>0</v>
      </c>
      <c r="Q1210">
        <v>1</v>
      </c>
      <c r="R1210" t="s">
        <v>32526</v>
      </c>
      <c r="S1210" t="s">
        <v>32547</v>
      </c>
      <c r="T1210" t="s">
        <v>33197</v>
      </c>
      <c r="U1210" t="s">
        <v>34675</v>
      </c>
      <c r="W1210" t="s">
        <v>43683</v>
      </c>
      <c r="X1210" t="s">
        <v>32527</v>
      </c>
    </row>
    <row r="1211" spans="1:24">
      <c r="A1211">
        <f>HYPERLINK("https://www.philgeps.gov.ph/GEPSNONPILOT/Tender/SplashBidNoticeAbstractUI.aspx?menuIndex=3&amp;refID=7045573&amp;Result=3","7045573")</f>
        <v>0</v>
      </c>
      <c r="B1211" t="s">
        <v>506</v>
      </c>
      <c r="C1211" t="s">
        <v>3837</v>
      </c>
      <c r="D1211" t="s">
        <v>13010</v>
      </c>
      <c r="E1211" t="s">
        <v>14202</v>
      </c>
      <c r="F1211" t="s">
        <v>22436</v>
      </c>
      <c r="G1211" t="s">
        <v>22443</v>
      </c>
      <c r="H1211" t="s">
        <v>22452</v>
      </c>
      <c r="I1211" t="s">
        <v>3529</v>
      </c>
      <c r="J1211" t="s">
        <v>23495</v>
      </c>
      <c r="K1211" t="s">
        <v>29335</v>
      </c>
      <c r="M1211" t="s">
        <v>30090</v>
      </c>
      <c r="N1211" t="s">
        <v>32524</v>
      </c>
      <c r="O1211" t="s">
        <v>32525</v>
      </c>
      <c r="P1211">
        <v>0</v>
      </c>
      <c r="Q1211">
        <v>0</v>
      </c>
      <c r="R1211" t="s">
        <v>32526</v>
      </c>
      <c r="S1211" t="s">
        <v>32547</v>
      </c>
      <c r="T1211" t="s">
        <v>33153</v>
      </c>
      <c r="U1211" t="s">
        <v>34648</v>
      </c>
      <c r="V1211" t="s">
        <v>42533</v>
      </c>
      <c r="W1211" t="s">
        <v>30090</v>
      </c>
      <c r="X1211" t="s">
        <v>32527</v>
      </c>
    </row>
    <row r="1212" spans="1:24">
      <c r="A1212">
        <f>HYPERLINK("https://www.philgeps.gov.ph/GEPSNONPILOT/Tender/SplashBidNoticeAbstractUI.aspx?menuIndex=3&amp;refID=7045591&amp;Result=3","7045591")</f>
        <v>0</v>
      </c>
      <c r="B1212" t="s">
        <v>511</v>
      </c>
      <c r="C1212" t="s">
        <v>3838</v>
      </c>
      <c r="D1212" t="s">
        <v>13060</v>
      </c>
      <c r="E1212" t="s">
        <v>14203</v>
      </c>
      <c r="F1212" t="s">
        <v>22436</v>
      </c>
      <c r="G1212" t="s">
        <v>22446</v>
      </c>
      <c r="H1212" t="s">
        <v>22452</v>
      </c>
      <c r="I1212" t="s">
        <v>3529</v>
      </c>
      <c r="J1212" t="s">
        <v>23496</v>
      </c>
      <c r="K1212" t="s">
        <v>29335</v>
      </c>
      <c r="M1212" t="s">
        <v>30095</v>
      </c>
      <c r="N1212" t="s">
        <v>32524</v>
      </c>
      <c r="O1212" t="s">
        <v>32525</v>
      </c>
      <c r="P1212">
        <v>0</v>
      </c>
      <c r="Q1212">
        <v>0</v>
      </c>
      <c r="R1212" t="s">
        <v>32526</v>
      </c>
      <c r="S1212" t="s">
        <v>32547</v>
      </c>
      <c r="T1212" t="s">
        <v>33310</v>
      </c>
      <c r="U1212" t="s">
        <v>34676</v>
      </c>
      <c r="W1212" t="s">
        <v>30095</v>
      </c>
      <c r="X1212" t="s">
        <v>32527</v>
      </c>
    </row>
    <row r="1213" spans="1:24">
      <c r="A1213">
        <f>HYPERLINK("https://www.philgeps.gov.ph/GEPSNONPILOT/Tender/SplashBidNoticeAbstractUI.aspx?menuIndex=3&amp;refID=7045594&amp;Result=3","7045594")</f>
        <v>0</v>
      </c>
      <c r="B1213" t="s">
        <v>364</v>
      </c>
      <c r="C1213" t="s">
        <v>3839</v>
      </c>
      <c r="D1213" t="s">
        <v>13011</v>
      </c>
      <c r="E1213" t="s">
        <v>14204</v>
      </c>
      <c r="F1213" t="s">
        <v>22436</v>
      </c>
      <c r="G1213" t="s">
        <v>22446</v>
      </c>
      <c r="H1213" t="s">
        <v>22452</v>
      </c>
      <c r="I1213" t="s">
        <v>22489</v>
      </c>
      <c r="J1213" t="s">
        <v>23497</v>
      </c>
      <c r="K1213" t="s">
        <v>29338</v>
      </c>
      <c r="M1213" t="s">
        <v>29942</v>
      </c>
      <c r="N1213" t="s">
        <v>32524</v>
      </c>
      <c r="O1213" t="s">
        <v>32525</v>
      </c>
      <c r="P1213">
        <v>0</v>
      </c>
      <c r="Q1213">
        <v>2</v>
      </c>
      <c r="R1213" t="s">
        <v>32526</v>
      </c>
      <c r="S1213" t="s">
        <v>32547</v>
      </c>
      <c r="T1213" t="s">
        <v>33293</v>
      </c>
      <c r="U1213" t="s">
        <v>34677</v>
      </c>
      <c r="W1213" t="s">
        <v>29942</v>
      </c>
      <c r="X1213" t="s">
        <v>32527</v>
      </c>
    </row>
    <row r="1214" spans="1:24">
      <c r="A1214">
        <f>HYPERLINK("https://www.philgeps.gov.ph/GEPSNONPILOT/Tender/SplashBidNoticeAbstractUI.aspx?menuIndex=3&amp;refID=7045584&amp;Result=3","7045584")</f>
        <v>0</v>
      </c>
      <c r="B1214" t="s">
        <v>236</v>
      </c>
      <c r="C1214" t="s">
        <v>3148</v>
      </c>
      <c r="D1214" t="s">
        <v>13029</v>
      </c>
      <c r="E1214" t="s">
        <v>14205</v>
      </c>
      <c r="F1214" t="s">
        <v>22436</v>
      </c>
      <c r="G1214" t="s">
        <v>22443</v>
      </c>
      <c r="H1214" t="s">
        <v>22452</v>
      </c>
      <c r="I1214" t="s">
        <v>22460</v>
      </c>
      <c r="J1214" t="s">
        <v>23498</v>
      </c>
      <c r="K1214" t="s">
        <v>29335</v>
      </c>
      <c r="M1214" t="s">
        <v>29809</v>
      </c>
      <c r="N1214" t="s">
        <v>32524</v>
      </c>
      <c r="O1214" t="s">
        <v>32525</v>
      </c>
      <c r="P1214">
        <v>0</v>
      </c>
      <c r="Q1214">
        <v>0</v>
      </c>
      <c r="R1214" t="s">
        <v>32526</v>
      </c>
      <c r="S1214" t="s">
        <v>32547</v>
      </c>
      <c r="T1214" t="s">
        <v>33210</v>
      </c>
      <c r="U1214" t="s">
        <v>34678</v>
      </c>
      <c r="W1214" t="s">
        <v>29809</v>
      </c>
      <c r="X1214" t="s">
        <v>32527</v>
      </c>
    </row>
    <row r="1215" spans="1:24">
      <c r="A1215">
        <f>HYPERLINK("https://www.philgeps.gov.ph/GEPSNONPILOT/Tender/SplashBidNoticeAbstractUI.aspx?menuIndex=3&amp;refID=7045577&amp;Result=3","7045577")</f>
        <v>0</v>
      </c>
      <c r="B1215" t="s">
        <v>517</v>
      </c>
      <c r="C1215" t="s">
        <v>3840</v>
      </c>
      <c r="D1215" t="s">
        <v>12999</v>
      </c>
      <c r="E1215" t="s">
        <v>14206</v>
      </c>
      <c r="F1215" t="s">
        <v>22436</v>
      </c>
      <c r="G1215" t="s">
        <v>22443</v>
      </c>
      <c r="H1215" t="s">
        <v>22452</v>
      </c>
      <c r="I1215" t="s">
        <v>3840</v>
      </c>
      <c r="J1215" t="s">
        <v>23499</v>
      </c>
      <c r="K1215" t="s">
        <v>29357</v>
      </c>
      <c r="M1215" t="s">
        <v>30101</v>
      </c>
      <c r="N1215" t="s">
        <v>32524</v>
      </c>
      <c r="O1215" t="s">
        <v>32525</v>
      </c>
      <c r="P1215">
        <v>0</v>
      </c>
      <c r="Q1215">
        <v>0</v>
      </c>
      <c r="R1215" t="s">
        <v>32526</v>
      </c>
      <c r="S1215" t="s">
        <v>32547</v>
      </c>
      <c r="T1215" t="s">
        <v>33161</v>
      </c>
      <c r="U1215" t="s">
        <v>34667</v>
      </c>
      <c r="W1215" t="s">
        <v>30101</v>
      </c>
      <c r="X1215" t="s">
        <v>32527</v>
      </c>
    </row>
    <row r="1216" spans="1:24">
      <c r="A1216">
        <f>HYPERLINK("https://www.philgeps.gov.ph/GEPSNONPILOT/Tender/SplashBidNoticeAbstractUI.aspx?menuIndex=3&amp;refID=7045590&amp;Result=3","7045590")</f>
        <v>0</v>
      </c>
      <c r="B1216" t="s">
        <v>521</v>
      </c>
      <c r="C1216" t="s">
        <v>3841</v>
      </c>
      <c r="D1216" t="s">
        <v>13034</v>
      </c>
      <c r="E1216" t="s">
        <v>14207</v>
      </c>
      <c r="F1216" t="s">
        <v>22436</v>
      </c>
      <c r="G1216" t="s">
        <v>22445</v>
      </c>
      <c r="H1216" t="s">
        <v>22452</v>
      </c>
      <c r="I1216" t="s">
        <v>22486</v>
      </c>
      <c r="J1216" t="s">
        <v>23500</v>
      </c>
      <c r="K1216" t="s">
        <v>29338</v>
      </c>
      <c r="M1216" t="s">
        <v>30105</v>
      </c>
      <c r="N1216" t="s">
        <v>32524</v>
      </c>
      <c r="O1216" t="s">
        <v>32525</v>
      </c>
      <c r="P1216">
        <v>0</v>
      </c>
      <c r="Q1216">
        <v>0</v>
      </c>
      <c r="R1216" t="s">
        <v>32526</v>
      </c>
      <c r="S1216" t="s">
        <v>32547</v>
      </c>
      <c r="T1216" t="s">
        <v>33196</v>
      </c>
      <c r="U1216" t="s">
        <v>34679</v>
      </c>
      <c r="W1216" t="s">
        <v>30105</v>
      </c>
      <c r="X1216" t="s">
        <v>32527</v>
      </c>
    </row>
    <row r="1217" spans="1:24">
      <c r="A1217">
        <f>HYPERLINK("https://www.philgeps.gov.ph/GEPSNONPILOT/Tender/SplashBidNoticeAbstractUI.aspx?menuIndex=3&amp;refID=7045583&amp;Result=3","7045583")</f>
        <v>0</v>
      </c>
      <c r="B1217" t="s">
        <v>522</v>
      </c>
      <c r="C1217" t="s">
        <v>3842</v>
      </c>
      <c r="D1217" t="s">
        <v>13020</v>
      </c>
      <c r="E1217" t="s">
        <v>14018</v>
      </c>
      <c r="F1217" t="s">
        <v>22436</v>
      </c>
      <c r="G1217" t="s">
        <v>22446</v>
      </c>
      <c r="H1217" t="s">
        <v>22452</v>
      </c>
      <c r="I1217" t="s">
        <v>22459</v>
      </c>
      <c r="J1217" t="s">
        <v>22588</v>
      </c>
      <c r="K1217" t="s">
        <v>29338</v>
      </c>
      <c r="M1217" t="s">
        <v>30106</v>
      </c>
      <c r="N1217" t="s">
        <v>32524</v>
      </c>
      <c r="O1217" t="s">
        <v>32525</v>
      </c>
      <c r="P1217">
        <v>0</v>
      </c>
      <c r="Q1217">
        <v>0</v>
      </c>
      <c r="R1217" t="s">
        <v>32526</v>
      </c>
      <c r="S1217" t="s">
        <v>32547</v>
      </c>
      <c r="T1217" t="s">
        <v>33209</v>
      </c>
      <c r="U1217" t="s">
        <v>34680</v>
      </c>
      <c r="W1217" t="s">
        <v>43687</v>
      </c>
      <c r="X1217" t="s">
        <v>32527</v>
      </c>
    </row>
    <row r="1218" spans="1:24">
      <c r="A1218">
        <f>HYPERLINK("https://www.philgeps.gov.ph/GEPSNONPILOT/Tender/SplashBidNoticeAbstractUI.aspx?menuIndex=3&amp;refID=7045578&amp;Result=3","7045578")</f>
        <v>0</v>
      </c>
      <c r="B1218" t="s">
        <v>523</v>
      </c>
      <c r="C1218" t="s">
        <v>3843</v>
      </c>
      <c r="D1218" t="s">
        <v>13041</v>
      </c>
      <c r="E1218" t="s">
        <v>14208</v>
      </c>
      <c r="F1218" t="s">
        <v>22436</v>
      </c>
      <c r="G1218" t="s">
        <v>22445</v>
      </c>
      <c r="H1218" t="s">
        <v>22452</v>
      </c>
      <c r="I1218" t="s">
        <v>22499</v>
      </c>
      <c r="J1218" t="s">
        <v>22605</v>
      </c>
      <c r="K1218" t="s">
        <v>29336</v>
      </c>
      <c r="M1218" t="s">
        <v>30107</v>
      </c>
      <c r="N1218" t="s">
        <v>32524</v>
      </c>
      <c r="O1218" t="s">
        <v>32525</v>
      </c>
      <c r="P1218">
        <v>0</v>
      </c>
      <c r="Q1218">
        <v>2</v>
      </c>
      <c r="R1218" t="s">
        <v>32526</v>
      </c>
      <c r="S1218" t="s">
        <v>32547</v>
      </c>
      <c r="T1218" t="s">
        <v>33311</v>
      </c>
      <c r="U1218" t="s">
        <v>34681</v>
      </c>
      <c r="W1218" t="s">
        <v>30107</v>
      </c>
      <c r="X1218" t="s">
        <v>32527</v>
      </c>
    </row>
    <row r="1219" spans="1:24">
      <c r="A1219">
        <f>HYPERLINK("https://www.philgeps.gov.ph/GEPSNONPILOT/Tender/SplashBidNoticeAbstractUI.aspx?menuIndex=3&amp;refID=7045585&amp;Result=3","7045585")</f>
        <v>0</v>
      </c>
      <c r="B1219" t="s">
        <v>524</v>
      </c>
      <c r="C1219" t="s">
        <v>3844</v>
      </c>
      <c r="D1219" t="s">
        <v>13007</v>
      </c>
      <c r="E1219" t="s">
        <v>13318</v>
      </c>
      <c r="F1219" t="s">
        <v>22436</v>
      </c>
      <c r="G1219" t="s">
        <v>22443</v>
      </c>
      <c r="H1219" t="s">
        <v>22452</v>
      </c>
      <c r="I1219" t="s">
        <v>22456</v>
      </c>
      <c r="J1219" t="s">
        <v>23501</v>
      </c>
      <c r="K1219" t="s">
        <v>29340</v>
      </c>
      <c r="M1219" t="s">
        <v>30108</v>
      </c>
      <c r="N1219" t="s">
        <v>32524</v>
      </c>
      <c r="O1219" t="s">
        <v>32525</v>
      </c>
      <c r="P1219">
        <v>0</v>
      </c>
      <c r="Q1219">
        <v>1</v>
      </c>
      <c r="R1219" t="s">
        <v>32526</v>
      </c>
      <c r="S1219" t="s">
        <v>32547</v>
      </c>
      <c r="T1219" t="s">
        <v>33161</v>
      </c>
      <c r="U1219" t="s">
        <v>34682</v>
      </c>
      <c r="V1219" t="s">
        <v>42539</v>
      </c>
      <c r="W1219" t="s">
        <v>30108</v>
      </c>
      <c r="X1219" t="s">
        <v>32527</v>
      </c>
    </row>
    <row r="1220" spans="1:24">
      <c r="A1220">
        <f>HYPERLINK("https://www.philgeps.gov.ph/GEPSNONPILOT/Tender/SplashBidNoticeAbstractUI.aspx?menuIndex=3&amp;refID=7045580&amp;Result=3","7045580")</f>
        <v>0</v>
      </c>
      <c r="B1220" t="s">
        <v>525</v>
      </c>
      <c r="C1220" t="s">
        <v>3845</v>
      </c>
      <c r="D1220" t="s">
        <v>13038</v>
      </c>
      <c r="E1220" t="s">
        <v>3845</v>
      </c>
      <c r="F1220" t="s">
        <v>22436</v>
      </c>
      <c r="G1220" t="s">
        <v>22444</v>
      </c>
      <c r="H1220" t="s">
        <v>22452</v>
      </c>
      <c r="I1220" t="s">
        <v>3122</v>
      </c>
      <c r="J1220" t="s">
        <v>23502</v>
      </c>
      <c r="K1220" t="s">
        <v>29338</v>
      </c>
      <c r="M1220" t="s">
        <v>30109</v>
      </c>
      <c r="N1220" t="s">
        <v>32524</v>
      </c>
      <c r="O1220" t="s">
        <v>32525</v>
      </c>
      <c r="P1220">
        <v>0</v>
      </c>
      <c r="Q1220">
        <v>0</v>
      </c>
      <c r="R1220" t="s">
        <v>32526</v>
      </c>
      <c r="S1220" t="s">
        <v>32547</v>
      </c>
      <c r="T1220" t="s">
        <v>33312</v>
      </c>
      <c r="U1220" t="s">
        <v>34683</v>
      </c>
      <c r="W1220" t="s">
        <v>30109</v>
      </c>
      <c r="X1220" t="s">
        <v>32527</v>
      </c>
    </row>
    <row r="1221" spans="1:24">
      <c r="A1221">
        <f>HYPERLINK("https://www.philgeps.gov.ph/GEPSNONPILOT/Tender/SplashBidNoticeAbstractUI.aspx?menuIndex=3&amp;refID=7045597&amp;Result=3","7045597")</f>
        <v>0</v>
      </c>
      <c r="B1221" t="s">
        <v>121</v>
      </c>
      <c r="C1221" t="s">
        <v>3846</v>
      </c>
      <c r="D1221" t="s">
        <v>13034</v>
      </c>
      <c r="E1221" t="s">
        <v>14209</v>
      </c>
      <c r="F1221" t="s">
        <v>22436</v>
      </c>
      <c r="G1221" t="s">
        <v>22447</v>
      </c>
      <c r="H1221" t="s">
        <v>22452</v>
      </c>
      <c r="I1221" t="s">
        <v>3027</v>
      </c>
      <c r="J1221" t="s">
        <v>23503</v>
      </c>
      <c r="K1221" t="s">
        <v>29338</v>
      </c>
      <c r="M1221" t="s">
        <v>29693</v>
      </c>
      <c r="N1221" t="s">
        <v>32524</v>
      </c>
      <c r="O1221" t="s">
        <v>32525</v>
      </c>
      <c r="P1221">
        <v>0</v>
      </c>
      <c r="Q1221">
        <v>1</v>
      </c>
      <c r="R1221" t="s">
        <v>32526</v>
      </c>
      <c r="S1221" t="s">
        <v>32547</v>
      </c>
      <c r="T1221" t="s">
        <v>33302</v>
      </c>
      <c r="U1221" t="s">
        <v>34684</v>
      </c>
      <c r="V1221" t="s">
        <v>42461</v>
      </c>
      <c r="W1221" t="s">
        <v>29693</v>
      </c>
      <c r="X1221" t="s">
        <v>32527</v>
      </c>
    </row>
    <row r="1222" spans="1:24">
      <c r="A1222">
        <f>HYPERLINK("https://www.philgeps.gov.ph/GEPSNONPILOT/Tender/SplashBidNoticeAbstractUI.aspx?menuIndex=3&amp;refID=7045611&amp;Result=3","7045611")</f>
        <v>0</v>
      </c>
      <c r="B1222" t="s">
        <v>77</v>
      </c>
      <c r="C1222" t="s">
        <v>3847</v>
      </c>
      <c r="D1222" t="s">
        <v>13001</v>
      </c>
      <c r="E1222" t="s">
        <v>14210</v>
      </c>
      <c r="F1222" t="s">
        <v>22436</v>
      </c>
      <c r="G1222" t="s">
        <v>22443</v>
      </c>
      <c r="H1222" t="s">
        <v>22452</v>
      </c>
      <c r="I1222" t="s">
        <v>2981</v>
      </c>
      <c r="J1222" t="s">
        <v>22957</v>
      </c>
      <c r="K1222" t="s">
        <v>29338</v>
      </c>
      <c r="L1222" t="s">
        <v>77</v>
      </c>
      <c r="M1222" t="s">
        <v>29884</v>
      </c>
      <c r="N1222" t="s">
        <v>32524</v>
      </c>
      <c r="O1222" t="s">
        <v>32525</v>
      </c>
      <c r="P1222">
        <v>0</v>
      </c>
      <c r="Q1222">
        <v>0</v>
      </c>
      <c r="R1222" t="s">
        <v>32526</v>
      </c>
      <c r="S1222" t="s">
        <v>32547</v>
      </c>
      <c r="T1222" t="s">
        <v>33169</v>
      </c>
      <c r="U1222" t="s">
        <v>34219</v>
      </c>
      <c r="W1222" t="s">
        <v>29884</v>
      </c>
      <c r="X1222" t="s">
        <v>32527</v>
      </c>
    </row>
    <row r="1223" spans="1:24">
      <c r="A1223">
        <f>HYPERLINK("https://www.philgeps.gov.ph/GEPSNONPILOT/Tender/SplashBidNoticeAbstractUI.aspx?menuIndex=3&amp;refID=7045613&amp;Result=3","7045613")</f>
        <v>0</v>
      </c>
      <c r="B1223" t="s">
        <v>192</v>
      </c>
      <c r="C1223" t="s">
        <v>3848</v>
      </c>
      <c r="D1223" t="s">
        <v>13048</v>
      </c>
      <c r="E1223" t="s">
        <v>14211</v>
      </c>
      <c r="F1223" t="s">
        <v>22436</v>
      </c>
      <c r="G1223" t="s">
        <v>22444</v>
      </c>
      <c r="H1223" t="s">
        <v>22454</v>
      </c>
      <c r="I1223" t="s">
        <v>7738</v>
      </c>
      <c r="J1223" t="s">
        <v>22669</v>
      </c>
      <c r="K1223" t="s">
        <v>29338</v>
      </c>
      <c r="M1223" t="s">
        <v>29765</v>
      </c>
      <c r="N1223" t="s">
        <v>32524</v>
      </c>
      <c r="O1223" t="s">
        <v>32525</v>
      </c>
      <c r="P1223">
        <v>0</v>
      </c>
      <c r="Q1223">
        <v>0</v>
      </c>
      <c r="R1223" t="s">
        <v>32526</v>
      </c>
      <c r="S1223" t="s">
        <v>32547</v>
      </c>
      <c r="T1223" t="s">
        <v>33170</v>
      </c>
      <c r="U1223" t="s">
        <v>33981</v>
      </c>
      <c r="W1223" t="s">
        <v>29765</v>
      </c>
      <c r="X1223" t="s">
        <v>32527</v>
      </c>
    </row>
    <row r="1224" spans="1:24">
      <c r="A1224">
        <f>HYPERLINK("https://www.philgeps.gov.ph/GEPSNONPILOT/Tender/SplashBidNoticeAbstractUI.aspx?menuIndex=3&amp;refID=7045581&amp;Result=3","7045581")</f>
        <v>0</v>
      </c>
      <c r="B1224" t="s">
        <v>526</v>
      </c>
      <c r="C1224" t="s">
        <v>3849</v>
      </c>
      <c r="D1224" t="s">
        <v>13006</v>
      </c>
      <c r="E1224" t="s">
        <v>14212</v>
      </c>
      <c r="F1224" t="s">
        <v>22436</v>
      </c>
      <c r="G1224" t="s">
        <v>22443</v>
      </c>
      <c r="H1224" t="s">
        <v>22452</v>
      </c>
      <c r="I1224" t="s">
        <v>22470</v>
      </c>
      <c r="J1224" t="s">
        <v>23504</v>
      </c>
      <c r="K1224" t="s">
        <v>29338</v>
      </c>
      <c r="M1224" t="s">
        <v>30110</v>
      </c>
      <c r="N1224" t="s">
        <v>32524</v>
      </c>
      <c r="O1224" t="s">
        <v>32525</v>
      </c>
      <c r="P1224">
        <v>0</v>
      </c>
      <c r="Q1224">
        <v>3</v>
      </c>
      <c r="R1224" t="s">
        <v>32526</v>
      </c>
      <c r="S1224" t="s">
        <v>32547</v>
      </c>
      <c r="T1224" t="s">
        <v>33167</v>
      </c>
      <c r="U1224" t="s">
        <v>34685</v>
      </c>
      <c r="W1224" t="s">
        <v>30110</v>
      </c>
      <c r="X1224" t="s">
        <v>32527</v>
      </c>
    </row>
    <row r="1225" spans="1:24">
      <c r="A1225">
        <f>HYPERLINK("https://www.philgeps.gov.ph/GEPSNONPILOT/Tender/SplashBidNoticeAbstractUI.aspx?menuIndex=3&amp;refID=7045610&amp;Result=3","7045610")</f>
        <v>0</v>
      </c>
      <c r="B1225" t="s">
        <v>527</v>
      </c>
      <c r="C1225" t="s">
        <v>3850</v>
      </c>
      <c r="D1225" t="s">
        <v>12988</v>
      </c>
      <c r="E1225" t="s">
        <v>14213</v>
      </c>
      <c r="F1225" t="s">
        <v>22436</v>
      </c>
      <c r="G1225" t="s">
        <v>22444</v>
      </c>
      <c r="H1225" t="s">
        <v>22452</v>
      </c>
      <c r="I1225" t="s">
        <v>22519</v>
      </c>
      <c r="J1225" t="s">
        <v>23505</v>
      </c>
      <c r="K1225" t="s">
        <v>29338</v>
      </c>
      <c r="M1225" t="s">
        <v>30111</v>
      </c>
      <c r="N1225" t="s">
        <v>32524</v>
      </c>
      <c r="O1225" t="s">
        <v>32525</v>
      </c>
      <c r="P1225">
        <v>0</v>
      </c>
      <c r="Q1225">
        <v>2</v>
      </c>
      <c r="R1225" t="s">
        <v>32526</v>
      </c>
      <c r="S1225" t="s">
        <v>32547</v>
      </c>
      <c r="T1225" t="s">
        <v>33272</v>
      </c>
      <c r="U1225" t="s">
        <v>34686</v>
      </c>
      <c r="W1225" t="s">
        <v>30111</v>
      </c>
      <c r="X1225" t="s">
        <v>32527</v>
      </c>
    </row>
    <row r="1226" spans="1:24">
      <c r="A1226">
        <f>HYPERLINK("https://www.philgeps.gov.ph/GEPSNONPILOT/Tender/SplashBidNoticeAbstractUI.aspx?menuIndex=3&amp;refID=7045598&amp;Result=3","7045598")</f>
        <v>0</v>
      </c>
      <c r="B1226" t="s">
        <v>528</v>
      </c>
      <c r="C1226" t="s">
        <v>3851</v>
      </c>
      <c r="E1226" t="s">
        <v>14214</v>
      </c>
      <c r="F1226" t="s">
        <v>22436</v>
      </c>
      <c r="G1226" t="s">
        <v>22443</v>
      </c>
      <c r="H1226" t="s">
        <v>22452</v>
      </c>
      <c r="I1226" t="s">
        <v>22469</v>
      </c>
      <c r="J1226" t="s">
        <v>22640</v>
      </c>
      <c r="K1226" t="s">
        <v>29335</v>
      </c>
      <c r="M1226" t="s">
        <v>30112</v>
      </c>
      <c r="N1226" t="s">
        <v>32524</v>
      </c>
      <c r="O1226" t="s">
        <v>32525</v>
      </c>
      <c r="P1226">
        <v>0</v>
      </c>
      <c r="Q1226">
        <v>4</v>
      </c>
      <c r="R1226" t="s">
        <v>32526</v>
      </c>
      <c r="S1226" t="s">
        <v>32547</v>
      </c>
      <c r="T1226" t="s">
        <v>33292</v>
      </c>
      <c r="U1226" t="s">
        <v>34687</v>
      </c>
      <c r="V1226" t="s">
        <v>42540</v>
      </c>
      <c r="W1226" t="s">
        <v>30975</v>
      </c>
      <c r="X1226" t="s">
        <v>32527</v>
      </c>
    </row>
    <row r="1227" spans="1:24">
      <c r="A1227">
        <f>HYPERLINK("https://www.philgeps.gov.ph/GEPSNONPILOT/Tender/SplashBidNoticeAbstractUI.aspx?menuIndex=3&amp;refID=7045614&amp;Result=3","7045614")</f>
        <v>0</v>
      </c>
      <c r="B1227" t="s">
        <v>523</v>
      </c>
      <c r="C1227" t="s">
        <v>3852</v>
      </c>
      <c r="D1227" t="s">
        <v>13041</v>
      </c>
      <c r="E1227" t="s">
        <v>14215</v>
      </c>
      <c r="F1227" t="s">
        <v>22436</v>
      </c>
      <c r="G1227" t="s">
        <v>22445</v>
      </c>
      <c r="H1227" t="s">
        <v>22452</v>
      </c>
      <c r="I1227" t="s">
        <v>5194</v>
      </c>
      <c r="J1227" t="s">
        <v>23506</v>
      </c>
      <c r="K1227" t="s">
        <v>29336</v>
      </c>
      <c r="M1227" t="s">
        <v>30107</v>
      </c>
      <c r="N1227" t="s">
        <v>32524</v>
      </c>
      <c r="O1227" t="s">
        <v>32525</v>
      </c>
      <c r="P1227">
        <v>0</v>
      </c>
      <c r="Q1227">
        <v>1</v>
      </c>
      <c r="R1227" t="s">
        <v>32526</v>
      </c>
      <c r="S1227" t="s">
        <v>32547</v>
      </c>
      <c r="T1227" t="s">
        <v>33311</v>
      </c>
      <c r="U1227" t="s">
        <v>34688</v>
      </c>
      <c r="W1227" t="s">
        <v>30107</v>
      </c>
      <c r="X1227" t="s">
        <v>32527</v>
      </c>
    </row>
    <row r="1228" spans="1:24">
      <c r="A1228">
        <f>HYPERLINK("https://www.philgeps.gov.ph/GEPSNONPILOT/Tender/SplashBidNoticeAbstractUI.aspx?menuIndex=3&amp;refID=7045607&amp;Result=3","7045607")</f>
        <v>0</v>
      </c>
      <c r="B1228" t="s">
        <v>506</v>
      </c>
      <c r="C1228" t="s">
        <v>3853</v>
      </c>
      <c r="D1228" t="s">
        <v>13010</v>
      </c>
      <c r="E1228" t="s">
        <v>14216</v>
      </c>
      <c r="F1228" t="s">
        <v>22436</v>
      </c>
      <c r="G1228" t="s">
        <v>22443</v>
      </c>
      <c r="H1228" t="s">
        <v>22452</v>
      </c>
      <c r="I1228" t="s">
        <v>3529</v>
      </c>
      <c r="J1228" t="s">
        <v>23507</v>
      </c>
      <c r="K1228" t="s">
        <v>29335</v>
      </c>
      <c r="M1228" t="s">
        <v>30090</v>
      </c>
      <c r="N1228" t="s">
        <v>32524</v>
      </c>
      <c r="O1228" t="s">
        <v>32525</v>
      </c>
      <c r="P1228">
        <v>0</v>
      </c>
      <c r="Q1228">
        <v>0</v>
      </c>
      <c r="R1228" t="s">
        <v>32526</v>
      </c>
      <c r="S1228" t="s">
        <v>32547</v>
      </c>
      <c r="T1228" t="s">
        <v>33182</v>
      </c>
      <c r="U1228" t="s">
        <v>34689</v>
      </c>
      <c r="V1228" t="s">
        <v>42533</v>
      </c>
      <c r="W1228" t="s">
        <v>30090</v>
      </c>
      <c r="X1228" t="s">
        <v>32527</v>
      </c>
    </row>
    <row r="1229" spans="1:24">
      <c r="A1229">
        <f>HYPERLINK("https://www.philgeps.gov.ph/GEPSNONPILOT/Tender/SplashBidNoticeAbstractUI.aspx?menuIndex=3&amp;refID=7045612&amp;Result=3","7045612")</f>
        <v>0</v>
      </c>
      <c r="B1229" t="s">
        <v>529</v>
      </c>
      <c r="C1229" t="s">
        <v>3854</v>
      </c>
      <c r="D1229" t="s">
        <v>13021</v>
      </c>
      <c r="E1229" t="s">
        <v>14217</v>
      </c>
      <c r="F1229" t="s">
        <v>22436</v>
      </c>
      <c r="G1229" t="s">
        <v>22444</v>
      </c>
      <c r="H1229" t="s">
        <v>22452</v>
      </c>
      <c r="I1229" t="s">
        <v>3529</v>
      </c>
      <c r="J1229" t="s">
        <v>23508</v>
      </c>
      <c r="K1229" t="s">
        <v>29335</v>
      </c>
      <c r="M1229" t="s">
        <v>30113</v>
      </c>
      <c r="N1229" t="s">
        <v>32524</v>
      </c>
      <c r="O1229" t="s">
        <v>32525</v>
      </c>
      <c r="P1229">
        <v>0</v>
      </c>
      <c r="Q1229">
        <v>0</v>
      </c>
      <c r="R1229" t="s">
        <v>32526</v>
      </c>
      <c r="S1229" t="s">
        <v>32547</v>
      </c>
      <c r="T1229" t="s">
        <v>33211</v>
      </c>
      <c r="U1229" t="s">
        <v>34690</v>
      </c>
      <c r="W1229" t="s">
        <v>30113</v>
      </c>
      <c r="X1229" t="s">
        <v>32527</v>
      </c>
    </row>
    <row r="1230" spans="1:24">
      <c r="A1230">
        <f>HYPERLINK("https://www.philgeps.gov.ph/GEPSNONPILOT/Tender/SplashBidNoticeAbstractUI.aspx?menuIndex=3&amp;refID=7045596&amp;Result=3","7045596")</f>
        <v>0</v>
      </c>
      <c r="B1230" t="s">
        <v>530</v>
      </c>
      <c r="C1230" t="s">
        <v>3855</v>
      </c>
      <c r="D1230" t="s">
        <v>13001</v>
      </c>
      <c r="E1230" t="s">
        <v>14218</v>
      </c>
      <c r="F1230" t="s">
        <v>22436</v>
      </c>
      <c r="G1230" t="s">
        <v>22444</v>
      </c>
      <c r="H1230" t="s">
        <v>22452</v>
      </c>
      <c r="I1230" t="s">
        <v>3827</v>
      </c>
      <c r="J1230" t="s">
        <v>23509</v>
      </c>
      <c r="K1230" t="s">
        <v>29397</v>
      </c>
      <c r="M1230" t="s">
        <v>30114</v>
      </c>
      <c r="N1230" t="s">
        <v>32524</v>
      </c>
      <c r="O1230" t="s">
        <v>32525</v>
      </c>
      <c r="P1230">
        <v>0</v>
      </c>
      <c r="Q1230">
        <v>2</v>
      </c>
      <c r="R1230" t="s">
        <v>32526</v>
      </c>
      <c r="S1230" t="s">
        <v>32547</v>
      </c>
      <c r="T1230" t="s">
        <v>33291</v>
      </c>
      <c r="U1230" t="s">
        <v>34691</v>
      </c>
      <c r="W1230" t="s">
        <v>30114</v>
      </c>
      <c r="X1230" t="s">
        <v>32527</v>
      </c>
    </row>
    <row r="1231" spans="1:24">
      <c r="A1231">
        <f>HYPERLINK("https://www.philgeps.gov.ph/GEPSNONPILOT/Tender/SplashBidNoticeAbstractUI.aspx?menuIndex=3&amp;refID=7045618&amp;Result=3","7045618")</f>
        <v>0</v>
      </c>
      <c r="B1231" t="s">
        <v>450</v>
      </c>
      <c r="C1231" t="s">
        <v>3856</v>
      </c>
      <c r="D1231" t="s">
        <v>13009</v>
      </c>
      <c r="E1231" t="s">
        <v>14219</v>
      </c>
      <c r="F1231" t="s">
        <v>22436</v>
      </c>
      <c r="G1231" t="s">
        <v>22446</v>
      </c>
      <c r="H1231" t="s">
        <v>22452</v>
      </c>
      <c r="I1231" t="s">
        <v>3529</v>
      </c>
      <c r="J1231" t="s">
        <v>22616</v>
      </c>
      <c r="K1231" t="s">
        <v>29356</v>
      </c>
      <c r="M1231" t="s">
        <v>30032</v>
      </c>
      <c r="N1231" t="s">
        <v>32524</v>
      </c>
      <c r="O1231" t="s">
        <v>32525</v>
      </c>
      <c r="P1231">
        <v>0</v>
      </c>
      <c r="Q1231">
        <v>0</v>
      </c>
      <c r="R1231" t="s">
        <v>32526</v>
      </c>
      <c r="S1231" t="s">
        <v>32547</v>
      </c>
      <c r="T1231" t="s">
        <v>33185</v>
      </c>
      <c r="U1231" t="s">
        <v>34692</v>
      </c>
      <c r="W1231" t="s">
        <v>30032</v>
      </c>
      <c r="X1231" t="s">
        <v>32527</v>
      </c>
    </row>
    <row r="1232" spans="1:24">
      <c r="A1232">
        <f>HYPERLINK("https://www.philgeps.gov.ph/GEPSNONPILOT/Tender/SplashBidNoticeAbstractUI.aspx?menuIndex=3&amp;refID=7045617&amp;Result=3","7045617")</f>
        <v>0</v>
      </c>
      <c r="B1232" t="s">
        <v>531</v>
      </c>
      <c r="C1232" t="s">
        <v>3857</v>
      </c>
      <c r="D1232" t="s">
        <v>13007</v>
      </c>
      <c r="E1232" t="s">
        <v>14220</v>
      </c>
      <c r="F1232" t="s">
        <v>22436</v>
      </c>
      <c r="G1232" t="s">
        <v>22443</v>
      </c>
      <c r="H1232" t="s">
        <v>22452</v>
      </c>
      <c r="I1232" t="s">
        <v>22512</v>
      </c>
      <c r="J1232" t="s">
        <v>23510</v>
      </c>
      <c r="K1232" t="s">
        <v>29340</v>
      </c>
      <c r="M1232" t="s">
        <v>30115</v>
      </c>
      <c r="N1232" t="s">
        <v>32524</v>
      </c>
      <c r="O1232" t="s">
        <v>32525</v>
      </c>
      <c r="P1232">
        <v>0</v>
      </c>
      <c r="Q1232">
        <v>1</v>
      </c>
      <c r="R1232" t="s">
        <v>32526</v>
      </c>
      <c r="S1232" t="s">
        <v>32547</v>
      </c>
      <c r="T1232" t="s">
        <v>33203</v>
      </c>
      <c r="U1232" t="s">
        <v>34693</v>
      </c>
      <c r="V1232" t="s">
        <v>42541</v>
      </c>
      <c r="W1232" t="s">
        <v>30115</v>
      </c>
      <c r="X1232" t="s">
        <v>32527</v>
      </c>
    </row>
    <row r="1233" spans="1:24">
      <c r="A1233">
        <f>HYPERLINK("https://www.philgeps.gov.ph/GEPSNONPILOT/Tender/SplashBidNoticeAbstractUI.aspx?menuIndex=3&amp;refID=7045615&amp;Result=3","7045615")</f>
        <v>0</v>
      </c>
      <c r="B1233" t="s">
        <v>511</v>
      </c>
      <c r="C1233" t="s">
        <v>3858</v>
      </c>
      <c r="D1233" t="s">
        <v>13060</v>
      </c>
      <c r="E1233" t="s">
        <v>14221</v>
      </c>
      <c r="F1233" t="s">
        <v>22436</v>
      </c>
      <c r="G1233" t="s">
        <v>22446</v>
      </c>
      <c r="H1233" t="s">
        <v>22452</v>
      </c>
      <c r="I1233" t="s">
        <v>3529</v>
      </c>
      <c r="J1233" t="s">
        <v>23511</v>
      </c>
      <c r="K1233" t="s">
        <v>29335</v>
      </c>
      <c r="M1233" t="s">
        <v>30095</v>
      </c>
      <c r="N1233" t="s">
        <v>32524</v>
      </c>
      <c r="O1233" t="s">
        <v>32525</v>
      </c>
      <c r="P1233">
        <v>0</v>
      </c>
      <c r="Q1233">
        <v>0</v>
      </c>
      <c r="R1233" t="s">
        <v>32526</v>
      </c>
      <c r="S1233" t="s">
        <v>32547</v>
      </c>
      <c r="T1233" t="s">
        <v>33310</v>
      </c>
      <c r="U1233" t="s">
        <v>34694</v>
      </c>
      <c r="W1233" t="s">
        <v>30095</v>
      </c>
      <c r="X1233" t="s">
        <v>32527</v>
      </c>
    </row>
    <row r="1234" spans="1:24">
      <c r="A1234">
        <f>HYPERLINK("https://www.philgeps.gov.ph/GEPSNONPILOT/Tender/SplashBidNoticeAbstractUI.aspx?menuIndex=3&amp;refID=7045619&amp;Result=3","7045619")</f>
        <v>0</v>
      </c>
      <c r="B1234" t="s">
        <v>525</v>
      </c>
      <c r="C1234" t="s">
        <v>3859</v>
      </c>
      <c r="D1234" t="s">
        <v>13038</v>
      </c>
      <c r="E1234" t="s">
        <v>3859</v>
      </c>
      <c r="F1234" t="s">
        <v>22436</v>
      </c>
      <c r="G1234" t="s">
        <v>22444</v>
      </c>
      <c r="H1234" t="s">
        <v>22452</v>
      </c>
      <c r="I1234" t="s">
        <v>22463</v>
      </c>
      <c r="J1234" t="s">
        <v>22695</v>
      </c>
      <c r="K1234" t="s">
        <v>29335</v>
      </c>
      <c r="M1234" t="s">
        <v>30109</v>
      </c>
      <c r="N1234" t="s">
        <v>32524</v>
      </c>
      <c r="O1234" t="s">
        <v>32525</v>
      </c>
      <c r="P1234">
        <v>0</v>
      </c>
      <c r="Q1234">
        <v>0</v>
      </c>
      <c r="R1234" t="s">
        <v>32526</v>
      </c>
      <c r="S1234" t="s">
        <v>32547</v>
      </c>
      <c r="T1234" t="s">
        <v>33173</v>
      </c>
      <c r="U1234" t="s">
        <v>34695</v>
      </c>
      <c r="W1234" t="s">
        <v>30109</v>
      </c>
      <c r="X1234" t="s">
        <v>32527</v>
      </c>
    </row>
    <row r="1235" spans="1:24">
      <c r="A1235">
        <f>HYPERLINK("https://www.philgeps.gov.ph/GEPSNONPILOT/Tender/SplashBidNoticeAbstractUI.aspx?menuIndex=3&amp;refID=7045601&amp;Result=3","7045601")</f>
        <v>0</v>
      </c>
      <c r="B1235" t="s">
        <v>501</v>
      </c>
      <c r="C1235" t="s">
        <v>3860</v>
      </c>
      <c r="D1235" t="s">
        <v>12994</v>
      </c>
      <c r="E1235" t="s">
        <v>14222</v>
      </c>
      <c r="F1235" t="s">
        <v>22436</v>
      </c>
      <c r="G1235" t="s">
        <v>22443</v>
      </c>
      <c r="H1235" t="s">
        <v>22452</v>
      </c>
      <c r="I1235" t="s">
        <v>22463</v>
      </c>
      <c r="J1235" t="s">
        <v>23512</v>
      </c>
      <c r="K1235" t="s">
        <v>29338</v>
      </c>
      <c r="M1235" t="s">
        <v>30085</v>
      </c>
      <c r="N1235" t="s">
        <v>32524</v>
      </c>
      <c r="O1235" t="s">
        <v>32525</v>
      </c>
      <c r="P1235">
        <v>0</v>
      </c>
      <c r="Q1235">
        <v>1</v>
      </c>
      <c r="R1235" t="s">
        <v>32526</v>
      </c>
      <c r="S1235" t="s">
        <v>32547</v>
      </c>
      <c r="T1235" t="s">
        <v>33169</v>
      </c>
      <c r="U1235" t="s">
        <v>34696</v>
      </c>
      <c r="V1235" t="s">
        <v>42542</v>
      </c>
      <c r="W1235" t="s">
        <v>30085</v>
      </c>
      <c r="X1235" t="s">
        <v>32527</v>
      </c>
    </row>
    <row r="1236" spans="1:24">
      <c r="A1236">
        <f>HYPERLINK("https://www.philgeps.gov.ph/GEPSNONPILOT/Tender/SplashBidNoticeAbstractUI.aspx?menuIndex=3&amp;refID=7045602&amp;Result=3","7045602")</f>
        <v>0</v>
      </c>
      <c r="B1236" t="s">
        <v>508</v>
      </c>
      <c r="C1236" t="s">
        <v>3861</v>
      </c>
      <c r="D1236" t="s">
        <v>12988</v>
      </c>
      <c r="E1236" t="s">
        <v>14223</v>
      </c>
      <c r="F1236" t="s">
        <v>22436</v>
      </c>
      <c r="G1236" t="s">
        <v>22446</v>
      </c>
      <c r="H1236" t="s">
        <v>22452</v>
      </c>
      <c r="I1236" t="s">
        <v>22494</v>
      </c>
      <c r="J1236" t="s">
        <v>22779</v>
      </c>
      <c r="K1236" t="s">
        <v>29338</v>
      </c>
      <c r="M1236" t="s">
        <v>30092</v>
      </c>
      <c r="N1236" t="s">
        <v>32524</v>
      </c>
      <c r="O1236" t="s">
        <v>32525</v>
      </c>
      <c r="P1236">
        <v>0</v>
      </c>
      <c r="Q1236">
        <v>0</v>
      </c>
      <c r="R1236" t="s">
        <v>32526</v>
      </c>
      <c r="S1236" t="s">
        <v>32547</v>
      </c>
      <c r="T1236" t="s">
        <v>33215</v>
      </c>
      <c r="U1236" t="s">
        <v>34697</v>
      </c>
      <c r="W1236" t="s">
        <v>30092</v>
      </c>
      <c r="X1236" t="s">
        <v>32527</v>
      </c>
    </row>
    <row r="1237" spans="1:24">
      <c r="A1237">
        <f>HYPERLINK("https://www.philgeps.gov.ph/GEPSNONPILOT/Tender/SplashBidNoticeAbstractUI.aspx?menuIndex=3&amp;refID=7045620&amp;Result=3","7045620")</f>
        <v>0</v>
      </c>
      <c r="B1237" t="s">
        <v>532</v>
      </c>
      <c r="C1237" t="s">
        <v>3862</v>
      </c>
      <c r="D1237" t="s">
        <v>12990</v>
      </c>
      <c r="E1237" t="s">
        <v>13320</v>
      </c>
      <c r="F1237" t="s">
        <v>22436</v>
      </c>
      <c r="G1237" t="s">
        <v>22445</v>
      </c>
      <c r="H1237" t="s">
        <v>22452</v>
      </c>
      <c r="I1237" t="s">
        <v>3827</v>
      </c>
      <c r="J1237" t="s">
        <v>22986</v>
      </c>
      <c r="K1237" t="s">
        <v>29338</v>
      </c>
      <c r="M1237" t="s">
        <v>30116</v>
      </c>
      <c r="N1237" t="s">
        <v>32524</v>
      </c>
      <c r="O1237" t="s">
        <v>32525</v>
      </c>
      <c r="P1237">
        <v>0</v>
      </c>
      <c r="Q1237">
        <v>0</v>
      </c>
      <c r="R1237" t="s">
        <v>32526</v>
      </c>
      <c r="S1237" t="s">
        <v>32547</v>
      </c>
      <c r="T1237" t="s">
        <v>33221</v>
      </c>
      <c r="U1237" t="s">
        <v>34698</v>
      </c>
      <c r="W1237" t="s">
        <v>30116</v>
      </c>
      <c r="X1237" t="s">
        <v>32527</v>
      </c>
    </row>
    <row r="1238" spans="1:24">
      <c r="A1238">
        <f>HYPERLINK("https://www.philgeps.gov.ph/GEPSNONPILOT/Tender/SplashBidNoticeAbstractUI.aspx?menuIndex=3&amp;refID=7045600&amp;Result=3","7045600")</f>
        <v>0</v>
      </c>
      <c r="B1238" t="s">
        <v>436</v>
      </c>
      <c r="C1238" t="s">
        <v>3863</v>
      </c>
      <c r="D1238" t="s">
        <v>13022</v>
      </c>
      <c r="E1238" t="s">
        <v>14224</v>
      </c>
      <c r="F1238" t="s">
        <v>22436</v>
      </c>
      <c r="G1238" t="s">
        <v>22443</v>
      </c>
      <c r="H1238" t="s">
        <v>22452</v>
      </c>
      <c r="I1238" t="s">
        <v>5194</v>
      </c>
      <c r="J1238" t="s">
        <v>23513</v>
      </c>
      <c r="K1238" t="s">
        <v>29336</v>
      </c>
      <c r="M1238" t="s">
        <v>30017</v>
      </c>
      <c r="N1238" t="s">
        <v>32524</v>
      </c>
      <c r="O1238" t="s">
        <v>32525</v>
      </c>
      <c r="P1238">
        <v>0</v>
      </c>
      <c r="Q1238">
        <v>1</v>
      </c>
      <c r="R1238" t="s">
        <v>32526</v>
      </c>
      <c r="S1238" t="s">
        <v>32547</v>
      </c>
      <c r="T1238" t="s">
        <v>33196</v>
      </c>
      <c r="U1238" t="s">
        <v>34699</v>
      </c>
      <c r="W1238" t="s">
        <v>30017</v>
      </c>
      <c r="X1238" t="s">
        <v>32527</v>
      </c>
    </row>
    <row r="1239" spans="1:24">
      <c r="A1239">
        <f>HYPERLINK("https://www.philgeps.gov.ph/GEPSNONPILOT/Tender/SplashBidNoticeAbstractUI.aspx?menuIndex=3&amp;refID=7045605&amp;Result=3","7045605")</f>
        <v>0</v>
      </c>
      <c r="B1239" t="s">
        <v>401</v>
      </c>
      <c r="C1239" t="s">
        <v>3864</v>
      </c>
      <c r="D1239" t="s">
        <v>13044</v>
      </c>
      <c r="E1239" t="s">
        <v>14225</v>
      </c>
      <c r="F1239" t="s">
        <v>22436</v>
      </c>
      <c r="G1239" t="s">
        <v>22443</v>
      </c>
      <c r="H1239" t="s">
        <v>22452</v>
      </c>
      <c r="I1239" t="s">
        <v>22476</v>
      </c>
      <c r="J1239" t="s">
        <v>23514</v>
      </c>
      <c r="K1239" t="s">
        <v>29340</v>
      </c>
      <c r="M1239" t="s">
        <v>29980</v>
      </c>
      <c r="N1239" t="s">
        <v>32524</v>
      </c>
      <c r="O1239" t="s">
        <v>32525</v>
      </c>
      <c r="P1239">
        <v>0</v>
      </c>
      <c r="Q1239">
        <v>0</v>
      </c>
      <c r="R1239" t="s">
        <v>32526</v>
      </c>
      <c r="S1239" t="s">
        <v>32547</v>
      </c>
      <c r="T1239" t="s">
        <v>33210</v>
      </c>
      <c r="U1239" t="s">
        <v>34700</v>
      </c>
      <c r="W1239" t="s">
        <v>29980</v>
      </c>
      <c r="X1239" t="s">
        <v>32527</v>
      </c>
    </row>
    <row r="1240" spans="1:24">
      <c r="A1240">
        <f>HYPERLINK("https://www.philgeps.gov.ph/GEPSNONPILOT/Tender/SplashBidNoticeAbstractUI.aspx?menuIndex=3&amp;refID=7045603&amp;Result=3","7045603")</f>
        <v>0</v>
      </c>
      <c r="B1240" t="s">
        <v>533</v>
      </c>
      <c r="C1240" t="s">
        <v>3865</v>
      </c>
      <c r="D1240" t="s">
        <v>12990</v>
      </c>
      <c r="E1240" t="s">
        <v>14226</v>
      </c>
      <c r="F1240" t="s">
        <v>22436</v>
      </c>
      <c r="G1240" t="s">
        <v>22446</v>
      </c>
      <c r="H1240" t="s">
        <v>22452</v>
      </c>
      <c r="I1240" t="s">
        <v>5194</v>
      </c>
      <c r="J1240" t="s">
        <v>23431</v>
      </c>
      <c r="K1240" t="s">
        <v>29336</v>
      </c>
      <c r="M1240" t="s">
        <v>30117</v>
      </c>
      <c r="N1240" t="s">
        <v>32524</v>
      </c>
      <c r="O1240" t="s">
        <v>32525</v>
      </c>
      <c r="P1240">
        <v>0</v>
      </c>
      <c r="Q1240">
        <v>1</v>
      </c>
      <c r="R1240" t="s">
        <v>32526</v>
      </c>
      <c r="S1240" t="s">
        <v>32547</v>
      </c>
      <c r="T1240" t="s">
        <v>33313</v>
      </c>
      <c r="U1240" t="s">
        <v>34701</v>
      </c>
      <c r="W1240" t="s">
        <v>30117</v>
      </c>
      <c r="X1240" t="s">
        <v>32527</v>
      </c>
    </row>
    <row r="1241" spans="1:24">
      <c r="A1241">
        <f>HYPERLINK("https://www.philgeps.gov.ph/GEPSNONPILOT/Tender/SplashBidNoticeAbstractUI.aspx?menuIndex=3&amp;refID=7045616&amp;Result=3","7045616")</f>
        <v>0</v>
      </c>
      <c r="B1241" t="s">
        <v>91</v>
      </c>
      <c r="C1241" t="s">
        <v>3866</v>
      </c>
      <c r="D1241" t="s">
        <v>13027</v>
      </c>
      <c r="E1241" t="s">
        <v>14227</v>
      </c>
      <c r="F1241" t="s">
        <v>22436</v>
      </c>
      <c r="G1241" t="s">
        <v>22447</v>
      </c>
      <c r="H1241" t="s">
        <v>22452</v>
      </c>
      <c r="I1241" t="s">
        <v>22456</v>
      </c>
      <c r="J1241" t="s">
        <v>22657</v>
      </c>
      <c r="K1241" t="s">
        <v>29329</v>
      </c>
      <c r="M1241" t="s">
        <v>29663</v>
      </c>
      <c r="N1241" t="s">
        <v>32524</v>
      </c>
      <c r="O1241" t="s">
        <v>32525</v>
      </c>
      <c r="P1241">
        <v>0</v>
      </c>
      <c r="Q1241">
        <v>0</v>
      </c>
      <c r="R1241" t="s">
        <v>32526</v>
      </c>
      <c r="S1241" t="s">
        <v>32547</v>
      </c>
      <c r="T1241" t="s">
        <v>33197</v>
      </c>
      <c r="U1241" t="s">
        <v>34658</v>
      </c>
      <c r="W1241" t="s">
        <v>29663</v>
      </c>
      <c r="X1241" t="s">
        <v>32527</v>
      </c>
    </row>
    <row r="1242" spans="1:24">
      <c r="A1242">
        <f>HYPERLINK("https://www.philgeps.gov.ph/GEPSNONPILOT/Tender/SplashBidNoticeAbstractUI.aspx?menuIndex=3&amp;refID=7045624&amp;Result=3","7045624")</f>
        <v>0</v>
      </c>
      <c r="B1242" t="s">
        <v>380</v>
      </c>
      <c r="C1242" t="s">
        <v>3867</v>
      </c>
      <c r="D1242" t="s">
        <v>12996</v>
      </c>
      <c r="E1242" t="s">
        <v>14228</v>
      </c>
      <c r="F1242" t="s">
        <v>22436</v>
      </c>
      <c r="G1242" t="s">
        <v>22446</v>
      </c>
      <c r="H1242" t="s">
        <v>22452</v>
      </c>
      <c r="I1242" t="s">
        <v>6421</v>
      </c>
      <c r="J1242" t="s">
        <v>23515</v>
      </c>
      <c r="K1242" t="s">
        <v>29338</v>
      </c>
      <c r="M1242" t="s">
        <v>29958</v>
      </c>
      <c r="N1242" t="s">
        <v>32524</v>
      </c>
      <c r="O1242" t="s">
        <v>32525</v>
      </c>
      <c r="P1242">
        <v>0</v>
      </c>
      <c r="Q1242">
        <v>2</v>
      </c>
      <c r="R1242" t="s">
        <v>32526</v>
      </c>
      <c r="S1242" t="s">
        <v>32547</v>
      </c>
      <c r="T1242" t="s">
        <v>33294</v>
      </c>
      <c r="U1242" t="s">
        <v>34702</v>
      </c>
      <c r="W1242" t="s">
        <v>29958</v>
      </c>
      <c r="X1242" t="s">
        <v>32527</v>
      </c>
    </row>
    <row r="1243" spans="1:24">
      <c r="A1243">
        <f>HYPERLINK("https://www.philgeps.gov.ph/GEPSNONPILOT/Tender/SplashBidNoticeAbstractUI.aspx?menuIndex=3&amp;refID=7045621&amp;Result=3","7045621")</f>
        <v>0</v>
      </c>
      <c r="B1243" t="s">
        <v>534</v>
      </c>
      <c r="C1243" t="s">
        <v>3868</v>
      </c>
      <c r="D1243" t="s">
        <v>12988</v>
      </c>
      <c r="E1243" t="s">
        <v>14229</v>
      </c>
      <c r="F1243" t="s">
        <v>22436</v>
      </c>
      <c r="G1243" t="s">
        <v>22443</v>
      </c>
      <c r="H1243" t="s">
        <v>22452</v>
      </c>
      <c r="I1243" t="s">
        <v>22466</v>
      </c>
      <c r="J1243" t="s">
        <v>23516</v>
      </c>
      <c r="K1243" t="s">
        <v>29336</v>
      </c>
      <c r="M1243" t="s">
        <v>30118</v>
      </c>
      <c r="N1243" t="s">
        <v>32524</v>
      </c>
      <c r="O1243" t="s">
        <v>32525</v>
      </c>
      <c r="P1243">
        <v>0</v>
      </c>
      <c r="Q1243">
        <v>1</v>
      </c>
      <c r="R1243" t="s">
        <v>32526</v>
      </c>
      <c r="S1243" t="s">
        <v>32547</v>
      </c>
      <c r="T1243" t="s">
        <v>33285</v>
      </c>
      <c r="U1243" t="s">
        <v>34703</v>
      </c>
      <c r="W1243" t="s">
        <v>30118</v>
      </c>
      <c r="X1243" t="s">
        <v>32527</v>
      </c>
    </row>
    <row r="1244" spans="1:24">
      <c r="A1244">
        <f>HYPERLINK("https://www.philgeps.gov.ph/GEPSNONPILOT/Tender/SplashBidNoticeAbstractUI.aspx?menuIndex=3&amp;refID=7045629&amp;Result=3","7045629")</f>
        <v>0</v>
      </c>
      <c r="B1244" t="s">
        <v>220</v>
      </c>
      <c r="C1244" t="s">
        <v>3869</v>
      </c>
      <c r="D1244" t="s">
        <v>13037</v>
      </c>
      <c r="E1244" t="s">
        <v>14230</v>
      </c>
      <c r="F1244" t="s">
        <v>22436</v>
      </c>
      <c r="G1244" t="s">
        <v>22446</v>
      </c>
      <c r="H1244" t="s">
        <v>22452</v>
      </c>
      <c r="I1244" t="s">
        <v>2981</v>
      </c>
      <c r="J1244" t="s">
        <v>23517</v>
      </c>
      <c r="K1244" t="s">
        <v>29336</v>
      </c>
      <c r="M1244" t="s">
        <v>29793</v>
      </c>
      <c r="N1244" t="s">
        <v>32524</v>
      </c>
      <c r="O1244" t="s">
        <v>32525</v>
      </c>
      <c r="P1244">
        <v>0</v>
      </c>
      <c r="Q1244">
        <v>0</v>
      </c>
      <c r="R1244" t="s">
        <v>32526</v>
      </c>
      <c r="S1244" t="s">
        <v>32547</v>
      </c>
      <c r="T1244" t="s">
        <v>33209</v>
      </c>
      <c r="U1244" t="s">
        <v>34035</v>
      </c>
      <c r="W1244" t="s">
        <v>29793</v>
      </c>
      <c r="X1244" t="s">
        <v>32527</v>
      </c>
    </row>
    <row r="1245" spans="1:24">
      <c r="A1245">
        <f>HYPERLINK("https://www.philgeps.gov.ph/GEPSNONPILOT/Tender/SplashBidNoticeAbstractUI.aspx?menuIndex=3&amp;refID=7045623&amp;Result=3","7045623")</f>
        <v>0</v>
      </c>
      <c r="B1245" t="s">
        <v>535</v>
      </c>
      <c r="C1245" t="s">
        <v>3870</v>
      </c>
      <c r="D1245" t="s">
        <v>12990</v>
      </c>
      <c r="E1245" t="s">
        <v>14231</v>
      </c>
      <c r="F1245" t="s">
        <v>22436</v>
      </c>
      <c r="G1245" t="s">
        <v>22443</v>
      </c>
      <c r="H1245" t="s">
        <v>22452</v>
      </c>
      <c r="I1245" t="s">
        <v>22482</v>
      </c>
      <c r="J1245" t="s">
        <v>23053</v>
      </c>
      <c r="K1245" t="s">
        <v>29338</v>
      </c>
      <c r="M1245" t="s">
        <v>30119</v>
      </c>
      <c r="N1245" t="s">
        <v>32524</v>
      </c>
      <c r="O1245" t="s">
        <v>32525</v>
      </c>
      <c r="P1245">
        <v>0</v>
      </c>
      <c r="Q1245">
        <v>9</v>
      </c>
      <c r="R1245" t="s">
        <v>32526</v>
      </c>
      <c r="S1245" t="s">
        <v>32547</v>
      </c>
      <c r="T1245" t="s">
        <v>33221</v>
      </c>
      <c r="U1245" t="s">
        <v>34704</v>
      </c>
      <c r="W1245" t="s">
        <v>30119</v>
      </c>
      <c r="X1245" t="s">
        <v>32527</v>
      </c>
    </row>
    <row r="1246" spans="1:24">
      <c r="A1246">
        <f>HYPERLINK("https://www.philgeps.gov.ph/GEPSNONPILOT/Tender/SplashBidNoticeAbstractUI.aspx?menuIndex=3&amp;refID=7045630&amp;Result=3","7045630")</f>
        <v>0</v>
      </c>
      <c r="B1246" t="s">
        <v>536</v>
      </c>
      <c r="C1246" t="s">
        <v>3871</v>
      </c>
      <c r="D1246" t="s">
        <v>13028</v>
      </c>
      <c r="E1246" t="s">
        <v>14232</v>
      </c>
      <c r="F1246" t="s">
        <v>22436</v>
      </c>
      <c r="G1246" t="s">
        <v>22443</v>
      </c>
      <c r="H1246" t="s">
        <v>22452</v>
      </c>
      <c r="I1246" t="s">
        <v>3827</v>
      </c>
      <c r="J1246" t="s">
        <v>23518</v>
      </c>
      <c r="K1246" t="s">
        <v>29335</v>
      </c>
      <c r="M1246" t="s">
        <v>30120</v>
      </c>
      <c r="N1246" t="s">
        <v>32524</v>
      </c>
      <c r="O1246" t="s">
        <v>32525</v>
      </c>
      <c r="P1246">
        <v>0</v>
      </c>
      <c r="Q1246">
        <v>1</v>
      </c>
      <c r="R1246" t="s">
        <v>32526</v>
      </c>
      <c r="S1246" t="s">
        <v>32547</v>
      </c>
      <c r="T1246" t="s">
        <v>33169</v>
      </c>
      <c r="U1246" t="s">
        <v>34705</v>
      </c>
      <c r="W1246" t="s">
        <v>30120</v>
      </c>
      <c r="X1246" t="s">
        <v>32527</v>
      </c>
    </row>
    <row r="1247" spans="1:24">
      <c r="A1247">
        <f>HYPERLINK("https://www.philgeps.gov.ph/GEPSNONPILOT/Tender/SplashBidNoticeAbstractUI.aspx?menuIndex=3&amp;refID=7045622&amp;Result=3","7045622")</f>
        <v>0</v>
      </c>
      <c r="B1247" t="s">
        <v>333</v>
      </c>
      <c r="C1247" t="s">
        <v>3872</v>
      </c>
      <c r="D1247" t="s">
        <v>13000</v>
      </c>
      <c r="E1247" t="s">
        <v>13760</v>
      </c>
      <c r="F1247" t="s">
        <v>22436</v>
      </c>
      <c r="G1247" t="s">
        <v>22443</v>
      </c>
      <c r="H1247" t="s">
        <v>22454</v>
      </c>
      <c r="I1247" t="s">
        <v>7738</v>
      </c>
      <c r="J1247" t="s">
        <v>22692</v>
      </c>
      <c r="K1247" t="s">
        <v>29338</v>
      </c>
      <c r="M1247" t="s">
        <v>29909</v>
      </c>
      <c r="N1247" t="s">
        <v>32524</v>
      </c>
      <c r="O1247" t="s">
        <v>32525</v>
      </c>
      <c r="P1247">
        <v>0</v>
      </c>
      <c r="Q1247">
        <v>0</v>
      </c>
      <c r="R1247" t="s">
        <v>32526</v>
      </c>
      <c r="S1247" t="s">
        <v>32547</v>
      </c>
      <c r="T1247" t="s">
        <v>33167</v>
      </c>
      <c r="U1247" t="s">
        <v>34706</v>
      </c>
      <c r="W1247" t="s">
        <v>29909</v>
      </c>
      <c r="X1247" t="s">
        <v>32527</v>
      </c>
    </row>
    <row r="1248" spans="1:24">
      <c r="A1248">
        <f>HYPERLINK("https://www.philgeps.gov.ph/GEPSNONPILOT/Tender/SplashBidNoticeAbstractUI.aspx?menuIndex=3&amp;refID=7045627&amp;Result=3","7045627")</f>
        <v>0</v>
      </c>
      <c r="B1248" t="s">
        <v>508</v>
      </c>
      <c r="C1248" t="s">
        <v>3873</v>
      </c>
      <c r="E1248" t="s">
        <v>14233</v>
      </c>
      <c r="F1248" t="s">
        <v>22436</v>
      </c>
      <c r="G1248" t="s">
        <v>22446</v>
      </c>
      <c r="H1248" t="s">
        <v>22452</v>
      </c>
      <c r="I1248" t="s">
        <v>22494</v>
      </c>
      <c r="J1248" t="s">
        <v>22779</v>
      </c>
      <c r="K1248" t="s">
        <v>29338</v>
      </c>
      <c r="M1248" t="s">
        <v>30092</v>
      </c>
      <c r="N1248" t="s">
        <v>32524</v>
      </c>
      <c r="O1248" t="s">
        <v>32525</v>
      </c>
      <c r="P1248">
        <v>0</v>
      </c>
      <c r="Q1248">
        <v>0</v>
      </c>
      <c r="R1248" t="s">
        <v>32526</v>
      </c>
      <c r="S1248" t="s">
        <v>32547</v>
      </c>
      <c r="T1248" t="s">
        <v>33154</v>
      </c>
      <c r="U1248" t="s">
        <v>34707</v>
      </c>
      <c r="W1248" t="s">
        <v>30092</v>
      </c>
      <c r="X1248" t="s">
        <v>32527</v>
      </c>
    </row>
    <row r="1249" spans="1:24">
      <c r="A1249">
        <f>HYPERLINK("https://www.philgeps.gov.ph/GEPSNONPILOT/Tender/SplashBidNoticeAbstractUI.aspx?menuIndex=3&amp;refID=7045634&amp;Result=3","7045634")</f>
        <v>0</v>
      </c>
      <c r="B1249" t="s">
        <v>525</v>
      </c>
      <c r="C1249" t="s">
        <v>3874</v>
      </c>
      <c r="D1249" t="s">
        <v>13038</v>
      </c>
      <c r="E1249" t="s">
        <v>14234</v>
      </c>
      <c r="F1249" t="s">
        <v>22436</v>
      </c>
      <c r="G1249" t="s">
        <v>22444</v>
      </c>
      <c r="H1249" t="s">
        <v>22452</v>
      </c>
      <c r="I1249" t="s">
        <v>22533</v>
      </c>
      <c r="J1249" t="s">
        <v>23519</v>
      </c>
      <c r="K1249" t="s">
        <v>29337</v>
      </c>
      <c r="M1249" t="s">
        <v>30109</v>
      </c>
      <c r="N1249" t="s">
        <v>32524</v>
      </c>
      <c r="O1249" t="s">
        <v>32525</v>
      </c>
      <c r="P1249">
        <v>0</v>
      </c>
      <c r="Q1249">
        <v>0</v>
      </c>
      <c r="R1249" t="s">
        <v>32526</v>
      </c>
      <c r="S1249" t="s">
        <v>32547</v>
      </c>
      <c r="T1249" t="s">
        <v>33312</v>
      </c>
      <c r="U1249" t="s">
        <v>34708</v>
      </c>
      <c r="W1249" t="s">
        <v>30109</v>
      </c>
      <c r="X1249" t="s">
        <v>32527</v>
      </c>
    </row>
    <row r="1250" spans="1:24">
      <c r="A1250">
        <f>HYPERLINK("https://www.philgeps.gov.ph/GEPSNONPILOT/Tender/SplashBidNoticeAbstractUI.aspx?menuIndex=3&amp;refID=7045647&amp;Result=3","7045647")</f>
        <v>0</v>
      </c>
      <c r="B1250" t="s">
        <v>537</v>
      </c>
      <c r="C1250" t="s">
        <v>3875</v>
      </c>
      <c r="D1250" t="s">
        <v>13061</v>
      </c>
      <c r="E1250" t="s">
        <v>13487</v>
      </c>
      <c r="F1250" t="s">
        <v>22436</v>
      </c>
      <c r="G1250" t="s">
        <v>22444</v>
      </c>
      <c r="H1250" t="s">
        <v>22452</v>
      </c>
      <c r="I1250" t="s">
        <v>22456</v>
      </c>
      <c r="J1250" t="s">
        <v>22766</v>
      </c>
      <c r="K1250" t="s">
        <v>29340</v>
      </c>
      <c r="M1250" t="s">
        <v>30121</v>
      </c>
      <c r="N1250" t="s">
        <v>32524</v>
      </c>
      <c r="O1250" t="s">
        <v>32525</v>
      </c>
      <c r="P1250">
        <v>0</v>
      </c>
      <c r="Q1250">
        <v>1</v>
      </c>
      <c r="R1250" t="s">
        <v>32526</v>
      </c>
      <c r="S1250" t="s">
        <v>32547</v>
      </c>
      <c r="T1250" t="s">
        <v>33181</v>
      </c>
      <c r="U1250" t="s">
        <v>34709</v>
      </c>
      <c r="W1250" t="s">
        <v>30121</v>
      </c>
      <c r="X1250" t="s">
        <v>32527</v>
      </c>
    </row>
    <row r="1251" spans="1:24">
      <c r="A1251">
        <f>HYPERLINK("https://www.philgeps.gov.ph/GEPSNONPILOT/Tender/SplashBidNoticeAbstractUI.aspx?menuIndex=3&amp;refID=7045651&amp;Result=3","7045651")</f>
        <v>0</v>
      </c>
      <c r="B1251" t="s">
        <v>511</v>
      </c>
      <c r="C1251" t="s">
        <v>3876</v>
      </c>
      <c r="D1251" t="s">
        <v>13060</v>
      </c>
      <c r="E1251" t="s">
        <v>14235</v>
      </c>
      <c r="F1251" t="s">
        <v>22436</v>
      </c>
      <c r="G1251" t="s">
        <v>22446</v>
      </c>
      <c r="H1251" t="s">
        <v>22452</v>
      </c>
      <c r="I1251" t="s">
        <v>3529</v>
      </c>
      <c r="J1251" t="s">
        <v>23520</v>
      </c>
      <c r="K1251" t="s">
        <v>29335</v>
      </c>
      <c r="M1251" t="s">
        <v>30095</v>
      </c>
      <c r="N1251" t="s">
        <v>32524</v>
      </c>
      <c r="O1251" t="s">
        <v>32525</v>
      </c>
      <c r="P1251">
        <v>0</v>
      </c>
      <c r="Q1251">
        <v>0</v>
      </c>
      <c r="R1251" t="s">
        <v>32526</v>
      </c>
      <c r="S1251" t="s">
        <v>32547</v>
      </c>
      <c r="T1251" t="s">
        <v>33310</v>
      </c>
      <c r="U1251" t="s">
        <v>34710</v>
      </c>
      <c r="W1251" t="s">
        <v>30095</v>
      </c>
      <c r="X1251" t="s">
        <v>32527</v>
      </c>
    </row>
    <row r="1252" spans="1:24">
      <c r="A1252">
        <f>HYPERLINK("https://www.philgeps.gov.ph/GEPSNONPILOT/Tender/SplashBidNoticeAbstractUI.aspx?menuIndex=3&amp;refID=7045632&amp;Result=3","7045632")</f>
        <v>0</v>
      </c>
      <c r="B1252" t="s">
        <v>538</v>
      </c>
      <c r="C1252" t="s">
        <v>3877</v>
      </c>
      <c r="D1252" t="s">
        <v>13022</v>
      </c>
      <c r="E1252" t="s">
        <v>14236</v>
      </c>
      <c r="F1252" t="s">
        <v>22436</v>
      </c>
      <c r="G1252" t="s">
        <v>22443</v>
      </c>
      <c r="H1252" t="s">
        <v>22452</v>
      </c>
      <c r="I1252" t="s">
        <v>5194</v>
      </c>
      <c r="J1252" t="s">
        <v>23521</v>
      </c>
      <c r="K1252" t="s">
        <v>29357</v>
      </c>
      <c r="M1252" t="s">
        <v>30122</v>
      </c>
      <c r="N1252" t="s">
        <v>32524</v>
      </c>
      <c r="O1252" t="s">
        <v>32525</v>
      </c>
      <c r="P1252">
        <v>0</v>
      </c>
      <c r="Q1252">
        <v>0</v>
      </c>
      <c r="R1252" t="s">
        <v>32526</v>
      </c>
      <c r="S1252" t="s">
        <v>32547</v>
      </c>
      <c r="T1252" t="s">
        <v>33187</v>
      </c>
      <c r="U1252" t="s">
        <v>34711</v>
      </c>
      <c r="W1252" t="s">
        <v>30122</v>
      </c>
      <c r="X1252" t="s">
        <v>32527</v>
      </c>
    </row>
    <row r="1253" spans="1:24">
      <c r="A1253">
        <f>HYPERLINK("https://www.philgeps.gov.ph/GEPSNONPILOT/Tender/SplashBidNoticeAbstractUI.aspx?menuIndex=3&amp;refID=7045646&amp;Result=3","7045646")</f>
        <v>0</v>
      </c>
      <c r="B1253" t="s">
        <v>508</v>
      </c>
      <c r="C1253" t="s">
        <v>3878</v>
      </c>
      <c r="D1253" t="s">
        <v>12988</v>
      </c>
      <c r="E1253" t="s">
        <v>14237</v>
      </c>
      <c r="F1253" t="s">
        <v>22436</v>
      </c>
      <c r="G1253" t="s">
        <v>22446</v>
      </c>
      <c r="H1253" t="s">
        <v>22452</v>
      </c>
      <c r="I1253" t="s">
        <v>6421</v>
      </c>
      <c r="J1253" t="s">
        <v>22893</v>
      </c>
      <c r="K1253" t="s">
        <v>29338</v>
      </c>
      <c r="M1253" t="s">
        <v>30092</v>
      </c>
      <c r="N1253" t="s">
        <v>32524</v>
      </c>
      <c r="O1253" t="s">
        <v>32525</v>
      </c>
      <c r="P1253">
        <v>0</v>
      </c>
      <c r="Q1253">
        <v>4</v>
      </c>
      <c r="R1253" t="s">
        <v>32526</v>
      </c>
      <c r="S1253" t="s">
        <v>32547</v>
      </c>
      <c r="T1253" t="s">
        <v>33215</v>
      </c>
      <c r="U1253" t="s">
        <v>34712</v>
      </c>
      <c r="W1253" t="s">
        <v>30092</v>
      </c>
      <c r="X1253" t="s">
        <v>32527</v>
      </c>
    </row>
    <row r="1254" spans="1:24">
      <c r="A1254">
        <f>HYPERLINK("https://www.philgeps.gov.ph/GEPSNONPILOT/Tender/SplashBidNoticeAbstractUI.aspx?menuIndex=3&amp;refID=7045649&amp;Result=3","7045649")</f>
        <v>0</v>
      </c>
      <c r="B1254" t="s">
        <v>475</v>
      </c>
      <c r="C1254" t="s">
        <v>3879</v>
      </c>
      <c r="E1254" t="s">
        <v>14238</v>
      </c>
      <c r="F1254" t="s">
        <v>22436</v>
      </c>
      <c r="G1254" t="s">
        <v>22443</v>
      </c>
      <c r="H1254" t="s">
        <v>22452</v>
      </c>
      <c r="I1254" t="s">
        <v>22527</v>
      </c>
      <c r="J1254" t="s">
        <v>23522</v>
      </c>
      <c r="K1254" t="s">
        <v>29338</v>
      </c>
      <c r="M1254" t="s">
        <v>30059</v>
      </c>
      <c r="N1254" t="s">
        <v>32524</v>
      </c>
      <c r="O1254" t="s">
        <v>32525</v>
      </c>
      <c r="P1254">
        <v>0</v>
      </c>
      <c r="Q1254">
        <v>0</v>
      </c>
      <c r="R1254" t="s">
        <v>32526</v>
      </c>
      <c r="S1254" t="s">
        <v>32547</v>
      </c>
      <c r="T1254" t="s">
        <v>33196</v>
      </c>
      <c r="U1254" t="s">
        <v>34713</v>
      </c>
      <c r="W1254" t="s">
        <v>30059</v>
      </c>
      <c r="X1254" t="s">
        <v>32527</v>
      </c>
    </row>
    <row r="1255" spans="1:24">
      <c r="A1255">
        <f>HYPERLINK("https://www.philgeps.gov.ph/GEPSNONPILOT/Tender/SplashBidNoticeAbstractUI.aspx?menuIndex=3&amp;refID=7045645&amp;Result=3","7045645")</f>
        <v>0</v>
      </c>
      <c r="B1255" t="s">
        <v>483</v>
      </c>
      <c r="C1255" t="s">
        <v>3880</v>
      </c>
      <c r="D1255" t="s">
        <v>13065</v>
      </c>
      <c r="E1255" t="s">
        <v>14239</v>
      </c>
      <c r="F1255" t="s">
        <v>22436</v>
      </c>
      <c r="G1255" t="s">
        <v>22443</v>
      </c>
      <c r="H1255" t="s">
        <v>22452</v>
      </c>
      <c r="I1255" t="s">
        <v>22482</v>
      </c>
      <c r="J1255" t="s">
        <v>22620</v>
      </c>
      <c r="K1255" t="s">
        <v>29331</v>
      </c>
      <c r="M1255" t="s">
        <v>30067</v>
      </c>
      <c r="N1255" t="s">
        <v>32524</v>
      </c>
      <c r="O1255" t="s">
        <v>32525</v>
      </c>
      <c r="P1255">
        <v>0</v>
      </c>
      <c r="Q1255">
        <v>1</v>
      </c>
      <c r="R1255" t="s">
        <v>32526</v>
      </c>
      <c r="S1255" t="s">
        <v>32547</v>
      </c>
      <c r="T1255" t="s">
        <v>33300</v>
      </c>
      <c r="U1255" t="s">
        <v>34606</v>
      </c>
      <c r="W1255" t="s">
        <v>30067</v>
      </c>
      <c r="X1255" t="s">
        <v>32527</v>
      </c>
    </row>
    <row r="1256" spans="1:24">
      <c r="A1256">
        <f>HYPERLINK("https://www.philgeps.gov.ph/GEPSNONPILOT/Tender/SplashBidNoticeAbstractUI.aspx?menuIndex=3&amp;refID=7045641&amp;Result=3","7045641")</f>
        <v>0</v>
      </c>
      <c r="B1256" t="s">
        <v>539</v>
      </c>
      <c r="C1256" t="s">
        <v>3881</v>
      </c>
      <c r="D1256" t="s">
        <v>13001</v>
      </c>
      <c r="E1256" t="s">
        <v>14240</v>
      </c>
      <c r="F1256" t="s">
        <v>22436</v>
      </c>
      <c r="G1256" t="s">
        <v>22443</v>
      </c>
      <c r="H1256" t="s">
        <v>22454</v>
      </c>
      <c r="I1256" t="s">
        <v>7738</v>
      </c>
      <c r="J1256" t="s">
        <v>23523</v>
      </c>
      <c r="K1256" t="s">
        <v>29338</v>
      </c>
      <c r="M1256" t="s">
        <v>30123</v>
      </c>
      <c r="N1256" t="s">
        <v>32524</v>
      </c>
      <c r="O1256" t="s">
        <v>32525</v>
      </c>
      <c r="P1256">
        <v>0</v>
      </c>
      <c r="Q1256">
        <v>6</v>
      </c>
      <c r="R1256" t="s">
        <v>32526</v>
      </c>
      <c r="S1256" t="s">
        <v>32547</v>
      </c>
      <c r="T1256" t="s">
        <v>33197</v>
      </c>
      <c r="U1256" t="s">
        <v>34714</v>
      </c>
      <c r="W1256" t="s">
        <v>30123</v>
      </c>
      <c r="X1256" t="s">
        <v>32527</v>
      </c>
    </row>
    <row r="1257" spans="1:24">
      <c r="A1257">
        <f>HYPERLINK("https://www.philgeps.gov.ph/GEPSNONPILOT/Tender/SplashBidNoticeAbstractUI.aspx?menuIndex=3&amp;refID=7045625&amp;Result=3","7045625")</f>
        <v>0</v>
      </c>
      <c r="B1257" t="s">
        <v>157</v>
      </c>
      <c r="C1257" t="s">
        <v>3882</v>
      </c>
      <c r="D1257" t="s">
        <v>12999</v>
      </c>
      <c r="E1257" t="s">
        <v>14033</v>
      </c>
      <c r="F1257" t="s">
        <v>22436</v>
      </c>
      <c r="G1257" t="s">
        <v>22443</v>
      </c>
      <c r="H1257" t="s">
        <v>22452</v>
      </c>
      <c r="I1257" t="s">
        <v>6421</v>
      </c>
      <c r="J1257" t="s">
        <v>23524</v>
      </c>
      <c r="K1257" t="s">
        <v>29338</v>
      </c>
      <c r="M1257" t="s">
        <v>29729</v>
      </c>
      <c r="N1257" t="s">
        <v>32524</v>
      </c>
      <c r="O1257" t="s">
        <v>32525</v>
      </c>
      <c r="P1257">
        <v>0</v>
      </c>
      <c r="Q1257">
        <v>3</v>
      </c>
      <c r="R1257" t="s">
        <v>32526</v>
      </c>
      <c r="S1257" t="s">
        <v>32547</v>
      </c>
      <c r="T1257" t="s">
        <v>33210</v>
      </c>
      <c r="U1257" t="s">
        <v>34715</v>
      </c>
      <c r="W1257" t="s">
        <v>29729</v>
      </c>
      <c r="X1257" t="s">
        <v>32527</v>
      </c>
    </row>
    <row r="1258" spans="1:24">
      <c r="A1258">
        <f>HYPERLINK("https://www.philgeps.gov.ph/GEPSNONPILOT/Tender/SplashBidNoticeAbstractUI.aspx?menuIndex=3&amp;refID=7045626&amp;Result=3","7045626")</f>
        <v>0</v>
      </c>
      <c r="B1258" t="s">
        <v>540</v>
      </c>
      <c r="C1258" t="s">
        <v>3883</v>
      </c>
      <c r="D1258" t="s">
        <v>13008</v>
      </c>
      <c r="E1258" t="s">
        <v>14241</v>
      </c>
      <c r="F1258" t="s">
        <v>22436</v>
      </c>
      <c r="G1258" t="s">
        <v>22443</v>
      </c>
      <c r="H1258" t="s">
        <v>22452</v>
      </c>
      <c r="I1258" t="s">
        <v>22467</v>
      </c>
      <c r="J1258" t="s">
        <v>23525</v>
      </c>
      <c r="K1258" t="s">
        <v>29331</v>
      </c>
      <c r="L1258" t="s">
        <v>540</v>
      </c>
      <c r="M1258" t="s">
        <v>30124</v>
      </c>
      <c r="N1258" t="s">
        <v>32524</v>
      </c>
      <c r="O1258" t="s">
        <v>32525</v>
      </c>
      <c r="P1258">
        <v>0</v>
      </c>
      <c r="Q1258">
        <v>0</v>
      </c>
      <c r="R1258" t="s">
        <v>32526</v>
      </c>
      <c r="S1258" t="s">
        <v>32547</v>
      </c>
      <c r="T1258" t="s">
        <v>33167</v>
      </c>
      <c r="U1258" t="s">
        <v>34716</v>
      </c>
      <c r="W1258" t="s">
        <v>30124</v>
      </c>
      <c r="X1258" t="s">
        <v>32527</v>
      </c>
    </row>
    <row r="1259" spans="1:24">
      <c r="A1259">
        <f>HYPERLINK("https://www.philgeps.gov.ph/GEPSNONPILOT/Tender/SplashBidNoticeAbstractUI.aspx?menuIndex=3&amp;refID=7045643&amp;Result=3","7045643")</f>
        <v>0</v>
      </c>
      <c r="B1259" t="s">
        <v>437</v>
      </c>
      <c r="C1259" t="s">
        <v>3884</v>
      </c>
      <c r="D1259" t="s">
        <v>13023</v>
      </c>
      <c r="E1259" t="s">
        <v>14242</v>
      </c>
      <c r="F1259" t="s">
        <v>22437</v>
      </c>
      <c r="G1259" t="s">
        <v>22446</v>
      </c>
      <c r="H1259" t="s">
        <v>22453</v>
      </c>
      <c r="I1259" t="s">
        <v>22461</v>
      </c>
      <c r="J1259" t="s">
        <v>23526</v>
      </c>
      <c r="K1259" t="s">
        <v>29336</v>
      </c>
      <c r="M1259" t="s">
        <v>30018</v>
      </c>
      <c r="N1259" t="s">
        <v>32524</v>
      </c>
      <c r="O1259" t="s">
        <v>32525</v>
      </c>
      <c r="P1259">
        <v>0</v>
      </c>
      <c r="Q1259">
        <v>1</v>
      </c>
      <c r="R1259" t="s">
        <v>32526</v>
      </c>
      <c r="S1259" t="s">
        <v>32547</v>
      </c>
      <c r="T1259" t="s">
        <v>33285</v>
      </c>
      <c r="U1259" t="s">
        <v>34717</v>
      </c>
      <c r="W1259" t="s">
        <v>30018</v>
      </c>
      <c r="X1259" t="s">
        <v>32527</v>
      </c>
    </row>
    <row r="1260" spans="1:24">
      <c r="A1260">
        <f>HYPERLINK("https://www.philgeps.gov.ph/GEPSNONPILOT/Tender/SplashBidNoticeAbstractUI.aspx?menuIndex=3&amp;refID=7045640&amp;Result=3","7045640")</f>
        <v>0</v>
      </c>
      <c r="B1260" t="s">
        <v>487</v>
      </c>
      <c r="C1260" t="s">
        <v>3885</v>
      </c>
      <c r="D1260" t="s">
        <v>13039</v>
      </c>
      <c r="E1260" t="s">
        <v>14243</v>
      </c>
      <c r="F1260" t="s">
        <v>22436</v>
      </c>
      <c r="G1260" t="s">
        <v>22443</v>
      </c>
      <c r="H1260" t="s">
        <v>22452</v>
      </c>
      <c r="I1260" t="s">
        <v>22474</v>
      </c>
      <c r="J1260" t="s">
        <v>22704</v>
      </c>
      <c r="K1260" t="s">
        <v>29331</v>
      </c>
      <c r="M1260" t="s">
        <v>30071</v>
      </c>
      <c r="N1260" t="s">
        <v>32524</v>
      </c>
      <c r="O1260" t="s">
        <v>32525</v>
      </c>
      <c r="P1260">
        <v>0</v>
      </c>
      <c r="Q1260">
        <v>0</v>
      </c>
      <c r="R1260" t="s">
        <v>32526</v>
      </c>
      <c r="S1260" t="s">
        <v>32547</v>
      </c>
      <c r="T1260" t="s">
        <v>33169</v>
      </c>
      <c r="U1260" t="s">
        <v>34718</v>
      </c>
      <c r="W1260" t="s">
        <v>30071</v>
      </c>
      <c r="X1260" t="s">
        <v>32527</v>
      </c>
    </row>
    <row r="1261" spans="1:24">
      <c r="A1261">
        <f>HYPERLINK("https://www.philgeps.gov.ph/GEPSNONPILOT/Tender/SplashBidNoticeAbstractUI.aspx?menuIndex=3&amp;refID=7045639&amp;Result=3","7045639")</f>
        <v>0</v>
      </c>
      <c r="B1261" t="s">
        <v>514</v>
      </c>
      <c r="C1261" t="s">
        <v>3886</v>
      </c>
      <c r="D1261" t="s">
        <v>13002</v>
      </c>
      <c r="E1261" t="s">
        <v>14244</v>
      </c>
      <c r="F1261" t="s">
        <v>22436</v>
      </c>
      <c r="G1261" t="s">
        <v>22443</v>
      </c>
      <c r="H1261" t="s">
        <v>22453</v>
      </c>
      <c r="I1261" t="s">
        <v>22490</v>
      </c>
      <c r="J1261" t="s">
        <v>23527</v>
      </c>
      <c r="K1261" t="s">
        <v>29329</v>
      </c>
      <c r="M1261" t="s">
        <v>30098</v>
      </c>
      <c r="N1261" t="s">
        <v>32524</v>
      </c>
      <c r="O1261" t="s">
        <v>32525</v>
      </c>
      <c r="P1261">
        <v>0</v>
      </c>
      <c r="Q1261">
        <v>0</v>
      </c>
      <c r="R1261" t="s">
        <v>32526</v>
      </c>
      <c r="S1261" t="s">
        <v>32547</v>
      </c>
      <c r="T1261" t="s">
        <v>33154</v>
      </c>
      <c r="U1261" t="s">
        <v>34719</v>
      </c>
      <c r="W1261" t="s">
        <v>30098</v>
      </c>
      <c r="X1261" t="s">
        <v>32527</v>
      </c>
    </row>
    <row r="1262" spans="1:24">
      <c r="A1262">
        <f>HYPERLINK("https://www.philgeps.gov.ph/GEPSNONPILOT/Tender/SplashBidNoticeAbstractUI.aspx?menuIndex=3&amp;refID=7045652&amp;Result=3","7045652")</f>
        <v>0</v>
      </c>
      <c r="B1262" t="s">
        <v>541</v>
      </c>
      <c r="C1262" t="s">
        <v>3887</v>
      </c>
      <c r="D1262" t="s">
        <v>13040</v>
      </c>
      <c r="E1262" t="s">
        <v>14245</v>
      </c>
      <c r="F1262" t="s">
        <v>22436</v>
      </c>
      <c r="G1262" t="s">
        <v>22446</v>
      </c>
      <c r="H1262" t="s">
        <v>22452</v>
      </c>
      <c r="I1262" t="s">
        <v>22466</v>
      </c>
      <c r="J1262" t="s">
        <v>23528</v>
      </c>
      <c r="K1262" t="s">
        <v>29356</v>
      </c>
      <c r="M1262" t="s">
        <v>30125</v>
      </c>
      <c r="N1262" t="s">
        <v>32524</v>
      </c>
      <c r="O1262" t="s">
        <v>32525</v>
      </c>
      <c r="P1262">
        <v>0</v>
      </c>
      <c r="Q1262">
        <v>0</v>
      </c>
      <c r="R1262" t="s">
        <v>32526</v>
      </c>
      <c r="S1262" t="s">
        <v>32547</v>
      </c>
      <c r="T1262" t="s">
        <v>33220</v>
      </c>
      <c r="U1262" t="s">
        <v>34720</v>
      </c>
      <c r="W1262" t="s">
        <v>30125</v>
      </c>
      <c r="X1262" t="s">
        <v>32527</v>
      </c>
    </row>
    <row r="1263" spans="1:24">
      <c r="A1263">
        <f>HYPERLINK("https://www.philgeps.gov.ph/GEPSNONPILOT/Tender/SplashBidNoticeAbstractUI.aspx?menuIndex=3&amp;refID=7045669&amp;Result=3","7045669")</f>
        <v>0</v>
      </c>
      <c r="B1263" t="s">
        <v>542</v>
      </c>
      <c r="C1263" t="s">
        <v>3888</v>
      </c>
      <c r="D1263" t="s">
        <v>13062</v>
      </c>
      <c r="E1263" t="s">
        <v>14246</v>
      </c>
      <c r="F1263" t="s">
        <v>22436</v>
      </c>
      <c r="G1263" t="s">
        <v>22444</v>
      </c>
      <c r="H1263" t="s">
        <v>22452</v>
      </c>
      <c r="I1263" t="s">
        <v>22458</v>
      </c>
      <c r="J1263" t="s">
        <v>23397</v>
      </c>
      <c r="K1263" t="s">
        <v>29333</v>
      </c>
      <c r="M1263" t="s">
        <v>30126</v>
      </c>
      <c r="N1263" t="s">
        <v>32524</v>
      </c>
      <c r="O1263" t="s">
        <v>32525</v>
      </c>
      <c r="P1263">
        <v>0</v>
      </c>
      <c r="Q1263">
        <v>5</v>
      </c>
      <c r="R1263" t="s">
        <v>32526</v>
      </c>
      <c r="S1263" t="s">
        <v>32547</v>
      </c>
      <c r="T1263" t="s">
        <v>33283</v>
      </c>
      <c r="U1263" t="s">
        <v>34721</v>
      </c>
      <c r="W1263" t="s">
        <v>30126</v>
      </c>
      <c r="X1263" t="s">
        <v>32527</v>
      </c>
    </row>
    <row r="1264" spans="1:24">
      <c r="A1264">
        <f>HYPERLINK("https://www.philgeps.gov.ph/GEPSNONPILOT/Tender/SplashBidNoticeAbstractUI.aspx?menuIndex=3&amp;refID=7045660&amp;Result=3","7045660")</f>
        <v>0</v>
      </c>
      <c r="B1264" t="s">
        <v>486</v>
      </c>
      <c r="C1264" t="s">
        <v>3889</v>
      </c>
      <c r="D1264" t="s">
        <v>12992</v>
      </c>
      <c r="E1264" t="s">
        <v>14247</v>
      </c>
      <c r="F1264" t="s">
        <v>22436</v>
      </c>
      <c r="G1264" t="s">
        <v>22444</v>
      </c>
      <c r="H1264" t="s">
        <v>22454</v>
      </c>
      <c r="I1264" t="s">
        <v>7738</v>
      </c>
      <c r="J1264" t="s">
        <v>23529</v>
      </c>
      <c r="K1264" t="s">
        <v>29333</v>
      </c>
      <c r="M1264" t="s">
        <v>30070</v>
      </c>
      <c r="N1264" t="s">
        <v>32524</v>
      </c>
      <c r="O1264" t="s">
        <v>32525</v>
      </c>
      <c r="P1264">
        <v>0</v>
      </c>
      <c r="Q1264">
        <v>0</v>
      </c>
      <c r="R1264" t="s">
        <v>32526</v>
      </c>
      <c r="S1264" t="s">
        <v>32547</v>
      </c>
      <c r="T1264" t="s">
        <v>33207</v>
      </c>
      <c r="U1264" t="s">
        <v>34722</v>
      </c>
      <c r="W1264" t="s">
        <v>30070</v>
      </c>
      <c r="X1264" t="s">
        <v>32527</v>
      </c>
    </row>
    <row r="1265" spans="1:24">
      <c r="A1265">
        <f>HYPERLINK("https://www.philgeps.gov.ph/GEPSNONPILOT/Tender/SplashBidNoticeAbstractUI.aspx?menuIndex=3&amp;refID=7045663&amp;Result=3","7045663")</f>
        <v>0</v>
      </c>
      <c r="B1265" t="s">
        <v>543</v>
      </c>
      <c r="C1265" t="s">
        <v>3890</v>
      </c>
      <c r="D1265" t="s">
        <v>13020</v>
      </c>
      <c r="E1265" t="s">
        <v>14248</v>
      </c>
      <c r="F1265" t="s">
        <v>22436</v>
      </c>
      <c r="G1265" t="s">
        <v>22443</v>
      </c>
      <c r="H1265" t="s">
        <v>22452</v>
      </c>
      <c r="I1265" t="s">
        <v>12358</v>
      </c>
      <c r="J1265" t="s">
        <v>22588</v>
      </c>
      <c r="K1265" t="s">
        <v>29336</v>
      </c>
      <c r="M1265" t="s">
        <v>30127</v>
      </c>
      <c r="N1265" t="s">
        <v>32524</v>
      </c>
      <c r="O1265" t="s">
        <v>32525</v>
      </c>
      <c r="P1265">
        <v>0</v>
      </c>
      <c r="Q1265">
        <v>1</v>
      </c>
      <c r="R1265" t="s">
        <v>32526</v>
      </c>
      <c r="S1265" t="s">
        <v>32547</v>
      </c>
      <c r="T1265" t="s">
        <v>33167</v>
      </c>
      <c r="U1265" t="s">
        <v>34723</v>
      </c>
      <c r="V1265" t="s">
        <v>42543</v>
      </c>
      <c r="W1265" t="s">
        <v>30127</v>
      </c>
      <c r="X1265" t="s">
        <v>32527</v>
      </c>
    </row>
    <row r="1266" spans="1:24">
      <c r="A1266">
        <f>HYPERLINK("https://www.philgeps.gov.ph/GEPSNONPILOT/Tender/SplashBidNoticeAbstractUI.aspx?menuIndex=3&amp;refID=7045659&amp;Result=3","7045659")</f>
        <v>0</v>
      </c>
      <c r="B1266" t="s">
        <v>474</v>
      </c>
      <c r="C1266" t="s">
        <v>3891</v>
      </c>
      <c r="D1266" t="s">
        <v>13018</v>
      </c>
      <c r="E1266" t="s">
        <v>14137</v>
      </c>
      <c r="F1266" t="s">
        <v>22436</v>
      </c>
      <c r="G1266" t="s">
        <v>22444</v>
      </c>
      <c r="H1266" t="s">
        <v>22454</v>
      </c>
      <c r="I1266" t="s">
        <v>3529</v>
      </c>
      <c r="J1266" t="s">
        <v>22779</v>
      </c>
      <c r="K1266" t="s">
        <v>29333</v>
      </c>
      <c r="M1266" t="s">
        <v>30058</v>
      </c>
      <c r="N1266" t="s">
        <v>32524</v>
      </c>
      <c r="O1266" t="s">
        <v>32525</v>
      </c>
      <c r="P1266">
        <v>0</v>
      </c>
      <c r="Q1266">
        <v>0</v>
      </c>
      <c r="R1266" t="s">
        <v>32526</v>
      </c>
      <c r="S1266" t="s">
        <v>32547</v>
      </c>
      <c r="T1266" t="s">
        <v>33295</v>
      </c>
      <c r="U1266" t="s">
        <v>34724</v>
      </c>
      <c r="W1266" t="s">
        <v>30058</v>
      </c>
      <c r="X1266" t="s">
        <v>32527</v>
      </c>
    </row>
    <row r="1267" spans="1:24">
      <c r="A1267">
        <f>HYPERLINK("https://www.philgeps.gov.ph/GEPSNONPILOT/Tender/SplashBidNoticeAbstractUI.aspx?menuIndex=3&amp;refID=7045657&amp;Result=3","7045657")</f>
        <v>0</v>
      </c>
      <c r="B1267" t="s">
        <v>482</v>
      </c>
      <c r="C1267" t="s">
        <v>3892</v>
      </c>
      <c r="D1267" t="s">
        <v>13053</v>
      </c>
      <c r="E1267" t="s">
        <v>14249</v>
      </c>
      <c r="F1267" t="s">
        <v>22436</v>
      </c>
      <c r="G1267" t="s">
        <v>22444</v>
      </c>
      <c r="H1267" t="s">
        <v>22452</v>
      </c>
      <c r="I1267" t="s">
        <v>22488</v>
      </c>
      <c r="J1267" t="s">
        <v>23530</v>
      </c>
      <c r="K1267" t="s">
        <v>29342</v>
      </c>
      <c r="M1267" t="s">
        <v>30066</v>
      </c>
      <c r="N1267" t="s">
        <v>32524</v>
      </c>
      <c r="O1267" t="s">
        <v>32525</v>
      </c>
      <c r="P1267">
        <v>0</v>
      </c>
      <c r="Q1267">
        <v>0</v>
      </c>
      <c r="R1267" t="s">
        <v>32526</v>
      </c>
      <c r="S1267" t="s">
        <v>32547</v>
      </c>
      <c r="T1267" t="s">
        <v>33170</v>
      </c>
      <c r="U1267" t="s">
        <v>34725</v>
      </c>
      <c r="W1267" t="s">
        <v>30066</v>
      </c>
      <c r="X1267" t="s">
        <v>32527</v>
      </c>
    </row>
    <row r="1268" spans="1:24">
      <c r="A1268">
        <f>HYPERLINK("https://www.philgeps.gov.ph/GEPSNONPILOT/Tender/SplashBidNoticeAbstractUI.aspx?menuIndex=3&amp;refID=7045661&amp;Result=3","7045661")</f>
        <v>0</v>
      </c>
      <c r="B1268" t="s">
        <v>544</v>
      </c>
      <c r="C1268" t="s">
        <v>3893</v>
      </c>
      <c r="D1268" t="s">
        <v>13000</v>
      </c>
      <c r="E1268" t="s">
        <v>14250</v>
      </c>
      <c r="F1268" t="s">
        <v>22436</v>
      </c>
      <c r="G1268" t="s">
        <v>22443</v>
      </c>
      <c r="H1268" t="s">
        <v>22452</v>
      </c>
      <c r="I1268" t="s">
        <v>22512</v>
      </c>
      <c r="J1268" t="s">
        <v>23531</v>
      </c>
      <c r="K1268" t="s">
        <v>29357</v>
      </c>
      <c r="M1268" t="s">
        <v>30128</v>
      </c>
      <c r="N1268" t="s">
        <v>32524</v>
      </c>
      <c r="O1268" t="s">
        <v>32525</v>
      </c>
      <c r="P1268">
        <v>0</v>
      </c>
      <c r="Q1268">
        <v>0</v>
      </c>
      <c r="R1268" t="s">
        <v>32526</v>
      </c>
      <c r="S1268" t="s">
        <v>32547</v>
      </c>
      <c r="T1268" t="s">
        <v>33167</v>
      </c>
      <c r="U1268" t="s">
        <v>34726</v>
      </c>
      <c r="W1268" t="s">
        <v>30128</v>
      </c>
      <c r="X1268" t="s">
        <v>32527</v>
      </c>
    </row>
    <row r="1269" spans="1:24">
      <c r="A1269">
        <f>HYPERLINK("https://www.philgeps.gov.ph/GEPSNONPILOT/Tender/SplashBidNoticeAbstractUI.aspx?menuIndex=3&amp;refID=7045653&amp;Result=3","7045653")</f>
        <v>0</v>
      </c>
      <c r="B1269" t="s">
        <v>545</v>
      </c>
      <c r="C1269" t="s">
        <v>3894</v>
      </c>
      <c r="D1269" t="s">
        <v>13000</v>
      </c>
      <c r="E1269" t="s">
        <v>14251</v>
      </c>
      <c r="F1269" t="s">
        <v>22436</v>
      </c>
      <c r="G1269" t="s">
        <v>22443</v>
      </c>
      <c r="H1269" t="s">
        <v>22452</v>
      </c>
      <c r="I1269" t="s">
        <v>5194</v>
      </c>
      <c r="J1269" t="s">
        <v>22704</v>
      </c>
      <c r="K1269" t="s">
        <v>29336</v>
      </c>
      <c r="M1269" t="s">
        <v>30129</v>
      </c>
      <c r="N1269" t="s">
        <v>32524</v>
      </c>
      <c r="O1269" t="s">
        <v>32525</v>
      </c>
      <c r="P1269">
        <v>0</v>
      </c>
      <c r="Q1269">
        <v>0</v>
      </c>
      <c r="R1269" t="s">
        <v>32526</v>
      </c>
      <c r="S1269" t="s">
        <v>32547</v>
      </c>
      <c r="T1269" t="s">
        <v>33163</v>
      </c>
      <c r="U1269" t="s">
        <v>34727</v>
      </c>
      <c r="W1269" t="s">
        <v>30129</v>
      </c>
      <c r="X1269" t="s">
        <v>32527</v>
      </c>
    </row>
    <row r="1270" spans="1:24">
      <c r="A1270">
        <f>HYPERLINK("https://www.philgeps.gov.ph/GEPSNONPILOT/Tender/SplashBidNoticeAbstractUI.aspx?menuIndex=3&amp;refID=7045658&amp;Result=3","7045658")</f>
        <v>0</v>
      </c>
      <c r="B1270" t="s">
        <v>529</v>
      </c>
      <c r="C1270" t="s">
        <v>3895</v>
      </c>
      <c r="D1270" t="s">
        <v>13021</v>
      </c>
      <c r="E1270" t="s">
        <v>14252</v>
      </c>
      <c r="F1270" t="s">
        <v>22436</v>
      </c>
      <c r="G1270" t="s">
        <v>22444</v>
      </c>
      <c r="H1270" t="s">
        <v>22452</v>
      </c>
      <c r="I1270" t="s">
        <v>3529</v>
      </c>
      <c r="J1270" t="s">
        <v>23532</v>
      </c>
      <c r="K1270" t="s">
        <v>29335</v>
      </c>
      <c r="M1270" t="s">
        <v>30113</v>
      </c>
      <c r="N1270" t="s">
        <v>32524</v>
      </c>
      <c r="O1270" t="s">
        <v>32525</v>
      </c>
      <c r="P1270">
        <v>0</v>
      </c>
      <c r="Q1270">
        <v>0</v>
      </c>
      <c r="R1270" t="s">
        <v>32526</v>
      </c>
      <c r="S1270" t="s">
        <v>32547</v>
      </c>
      <c r="T1270" t="s">
        <v>33211</v>
      </c>
      <c r="U1270" t="s">
        <v>34690</v>
      </c>
      <c r="W1270" t="s">
        <v>30113</v>
      </c>
      <c r="X1270" t="s">
        <v>32527</v>
      </c>
    </row>
    <row r="1271" spans="1:24">
      <c r="A1271">
        <f>HYPERLINK("https://www.philgeps.gov.ph/GEPSNONPILOT/Tender/SplashBidNoticeAbstractUI.aspx?menuIndex=3&amp;refID=7045677&amp;Result=3","7045677")</f>
        <v>0</v>
      </c>
      <c r="B1271" t="s">
        <v>277</v>
      </c>
      <c r="C1271" t="s">
        <v>3896</v>
      </c>
      <c r="D1271" t="s">
        <v>13007</v>
      </c>
      <c r="E1271" t="s">
        <v>14253</v>
      </c>
      <c r="F1271" t="s">
        <v>22436</v>
      </c>
      <c r="G1271" t="s">
        <v>22443</v>
      </c>
      <c r="H1271" t="s">
        <v>22454</v>
      </c>
      <c r="I1271" t="s">
        <v>3529</v>
      </c>
      <c r="J1271" t="s">
        <v>23533</v>
      </c>
      <c r="K1271" t="s">
        <v>29334</v>
      </c>
      <c r="M1271" t="s">
        <v>29851</v>
      </c>
      <c r="N1271" t="s">
        <v>32524</v>
      </c>
      <c r="O1271" t="s">
        <v>32525</v>
      </c>
      <c r="P1271">
        <v>0</v>
      </c>
      <c r="Q1271">
        <v>0</v>
      </c>
      <c r="R1271" t="s">
        <v>32526</v>
      </c>
      <c r="S1271" t="s">
        <v>32547</v>
      </c>
      <c r="T1271" t="s">
        <v>33155</v>
      </c>
      <c r="U1271" t="s">
        <v>34280</v>
      </c>
      <c r="W1271" t="s">
        <v>29851</v>
      </c>
      <c r="X1271" t="s">
        <v>32527</v>
      </c>
    </row>
    <row r="1272" spans="1:24">
      <c r="A1272">
        <f>HYPERLINK("https://www.philgeps.gov.ph/GEPSNONPILOT/Tender/SplashBidNoticeAbstractUI.aspx?menuIndex=3&amp;refID=7045674&amp;Result=3","7045674")</f>
        <v>0</v>
      </c>
      <c r="B1272" t="s">
        <v>432</v>
      </c>
      <c r="C1272" t="s">
        <v>3897</v>
      </c>
      <c r="D1272" t="s">
        <v>13028</v>
      </c>
      <c r="E1272" t="s">
        <v>14254</v>
      </c>
      <c r="F1272" t="s">
        <v>22436</v>
      </c>
      <c r="G1272" t="s">
        <v>22444</v>
      </c>
      <c r="H1272" t="s">
        <v>22454</v>
      </c>
      <c r="I1272" t="s">
        <v>7738</v>
      </c>
      <c r="J1272" t="s">
        <v>23384</v>
      </c>
      <c r="K1272" t="s">
        <v>29396</v>
      </c>
      <c r="M1272" t="s">
        <v>30013</v>
      </c>
      <c r="N1272" t="s">
        <v>32524</v>
      </c>
      <c r="O1272" t="s">
        <v>32525</v>
      </c>
      <c r="P1272">
        <v>0</v>
      </c>
      <c r="Q1272">
        <v>0</v>
      </c>
      <c r="R1272" t="s">
        <v>32526</v>
      </c>
      <c r="S1272" t="s">
        <v>32547</v>
      </c>
      <c r="T1272" t="s">
        <v>33165</v>
      </c>
      <c r="U1272" t="s">
        <v>34672</v>
      </c>
      <c r="V1272" t="s">
        <v>42544</v>
      </c>
      <c r="W1272" t="s">
        <v>30013</v>
      </c>
      <c r="X1272" t="s">
        <v>32527</v>
      </c>
    </row>
    <row r="1273" spans="1:24">
      <c r="A1273">
        <f>HYPERLINK("https://www.philgeps.gov.ph/GEPSNONPILOT/Tender/SplashBidNoticeAbstractUI.aspx?menuIndex=3&amp;refID=7045676&amp;Result=3","7045676")</f>
        <v>0</v>
      </c>
      <c r="B1273" t="s">
        <v>91</v>
      </c>
      <c r="C1273" t="s">
        <v>3898</v>
      </c>
      <c r="D1273" t="s">
        <v>13027</v>
      </c>
      <c r="E1273" t="s">
        <v>14255</v>
      </c>
      <c r="F1273" t="s">
        <v>22436</v>
      </c>
      <c r="G1273" t="s">
        <v>22447</v>
      </c>
      <c r="H1273" t="s">
        <v>22452</v>
      </c>
      <c r="I1273" t="s">
        <v>22462</v>
      </c>
      <c r="J1273" t="s">
        <v>23120</v>
      </c>
      <c r="K1273" t="s">
        <v>29329</v>
      </c>
      <c r="M1273" t="s">
        <v>29663</v>
      </c>
      <c r="N1273" t="s">
        <v>32524</v>
      </c>
      <c r="O1273" t="s">
        <v>32525</v>
      </c>
      <c r="P1273">
        <v>0</v>
      </c>
      <c r="Q1273">
        <v>2</v>
      </c>
      <c r="R1273" t="s">
        <v>32526</v>
      </c>
      <c r="S1273" t="s">
        <v>32547</v>
      </c>
      <c r="T1273" t="s">
        <v>33197</v>
      </c>
      <c r="U1273" t="s">
        <v>34728</v>
      </c>
      <c r="W1273" t="s">
        <v>29663</v>
      </c>
      <c r="X1273" t="s">
        <v>32527</v>
      </c>
    </row>
    <row r="1274" spans="1:24">
      <c r="A1274">
        <f>HYPERLINK("https://www.philgeps.gov.ph/GEPSNONPILOT/Tender/SplashBidNoticeAbstractUI.aspx?menuIndex=3&amp;refID=7045665&amp;Result=3","7045665")</f>
        <v>0</v>
      </c>
      <c r="B1274" t="s">
        <v>369</v>
      </c>
      <c r="C1274" t="s">
        <v>3463</v>
      </c>
      <c r="E1274" t="s">
        <v>14256</v>
      </c>
      <c r="F1274" t="s">
        <v>22436</v>
      </c>
      <c r="G1274" t="s">
        <v>22444</v>
      </c>
      <c r="H1274" t="s">
        <v>22454</v>
      </c>
      <c r="I1274" t="s">
        <v>7738</v>
      </c>
      <c r="J1274" t="s">
        <v>22704</v>
      </c>
      <c r="K1274" t="s">
        <v>29336</v>
      </c>
      <c r="M1274" t="s">
        <v>29947</v>
      </c>
      <c r="N1274" t="s">
        <v>32524</v>
      </c>
      <c r="O1274" t="s">
        <v>32525</v>
      </c>
      <c r="P1274">
        <v>0</v>
      </c>
      <c r="Q1274">
        <v>0</v>
      </c>
      <c r="R1274" t="s">
        <v>32526</v>
      </c>
      <c r="S1274" t="s">
        <v>32547</v>
      </c>
      <c r="T1274" t="s">
        <v>33233</v>
      </c>
      <c r="U1274" t="s">
        <v>34729</v>
      </c>
      <c r="W1274" t="s">
        <v>29947</v>
      </c>
      <c r="X1274" t="s">
        <v>32527</v>
      </c>
    </row>
    <row r="1275" spans="1:24">
      <c r="A1275">
        <f>HYPERLINK("https://www.philgeps.gov.ph/GEPSNONPILOT/Tender/SplashBidNoticeAbstractUI.aspx?menuIndex=3&amp;refID=7045679&amp;Result=3","7045679")</f>
        <v>0</v>
      </c>
      <c r="B1275" t="s">
        <v>404</v>
      </c>
      <c r="C1275" t="s">
        <v>3899</v>
      </c>
      <c r="D1275" t="s">
        <v>13002</v>
      </c>
      <c r="E1275" t="s">
        <v>13106</v>
      </c>
      <c r="F1275" t="s">
        <v>22436</v>
      </c>
      <c r="G1275" t="s">
        <v>22443</v>
      </c>
      <c r="H1275" t="s">
        <v>22452</v>
      </c>
      <c r="I1275" t="s">
        <v>22461</v>
      </c>
      <c r="J1275" t="s">
        <v>23534</v>
      </c>
      <c r="K1275" t="s">
        <v>29341</v>
      </c>
      <c r="M1275" t="s">
        <v>29983</v>
      </c>
      <c r="N1275" t="s">
        <v>32524</v>
      </c>
      <c r="O1275" t="s">
        <v>32525</v>
      </c>
      <c r="P1275">
        <v>0</v>
      </c>
      <c r="Q1275">
        <v>0</v>
      </c>
      <c r="R1275" t="s">
        <v>32526</v>
      </c>
      <c r="S1275" t="s">
        <v>32547</v>
      </c>
      <c r="T1275" t="s">
        <v>33154</v>
      </c>
      <c r="U1275" t="s">
        <v>34730</v>
      </c>
      <c r="W1275" t="s">
        <v>29983</v>
      </c>
      <c r="X1275" t="s">
        <v>32527</v>
      </c>
    </row>
    <row r="1276" spans="1:24">
      <c r="A1276">
        <f>HYPERLINK("https://www.philgeps.gov.ph/GEPSNONPILOT/Tender/SplashBidNoticeAbstractUI.aspx?menuIndex=3&amp;refID=7045678&amp;Result=3","7045678")</f>
        <v>0</v>
      </c>
      <c r="B1276" t="s">
        <v>511</v>
      </c>
      <c r="C1276" t="s">
        <v>3900</v>
      </c>
      <c r="D1276" t="s">
        <v>13060</v>
      </c>
      <c r="E1276" t="s">
        <v>14257</v>
      </c>
      <c r="F1276" t="s">
        <v>22436</v>
      </c>
      <c r="G1276" t="s">
        <v>22446</v>
      </c>
      <c r="H1276" t="s">
        <v>22452</v>
      </c>
      <c r="I1276" t="s">
        <v>5194</v>
      </c>
      <c r="J1276" t="s">
        <v>23535</v>
      </c>
      <c r="K1276" t="s">
        <v>29335</v>
      </c>
      <c r="M1276" t="s">
        <v>30095</v>
      </c>
      <c r="N1276" t="s">
        <v>32524</v>
      </c>
      <c r="O1276" t="s">
        <v>32525</v>
      </c>
      <c r="P1276">
        <v>0</v>
      </c>
      <c r="Q1276">
        <v>0</v>
      </c>
      <c r="R1276" t="s">
        <v>32526</v>
      </c>
      <c r="S1276" t="s">
        <v>32547</v>
      </c>
      <c r="T1276" t="s">
        <v>33310</v>
      </c>
      <c r="U1276" t="s">
        <v>34731</v>
      </c>
      <c r="W1276" t="s">
        <v>30095</v>
      </c>
      <c r="X1276" t="s">
        <v>32527</v>
      </c>
    </row>
    <row r="1277" spans="1:24">
      <c r="A1277">
        <f>HYPERLINK("https://www.philgeps.gov.ph/GEPSNONPILOT/Tender/SplashBidNoticeAbstractUI.aspx?menuIndex=3&amp;refID=7045666&amp;Result=3","7045666")</f>
        <v>0</v>
      </c>
      <c r="B1277" t="s">
        <v>546</v>
      </c>
      <c r="C1277" t="s">
        <v>3901</v>
      </c>
      <c r="D1277" t="s">
        <v>13039</v>
      </c>
      <c r="E1277" t="s">
        <v>14258</v>
      </c>
      <c r="F1277" t="s">
        <v>22436</v>
      </c>
      <c r="G1277" t="s">
        <v>22447</v>
      </c>
      <c r="H1277" t="s">
        <v>22452</v>
      </c>
      <c r="I1277" t="s">
        <v>22461</v>
      </c>
      <c r="J1277" t="s">
        <v>23536</v>
      </c>
      <c r="K1277" t="s">
        <v>29331</v>
      </c>
      <c r="L1277" t="s">
        <v>546</v>
      </c>
      <c r="M1277" t="s">
        <v>30130</v>
      </c>
      <c r="N1277" t="s">
        <v>32524</v>
      </c>
      <c r="O1277" t="s">
        <v>32525</v>
      </c>
      <c r="P1277">
        <v>0</v>
      </c>
      <c r="Q1277">
        <v>0</v>
      </c>
      <c r="R1277" t="s">
        <v>32526</v>
      </c>
      <c r="S1277" t="s">
        <v>32547</v>
      </c>
      <c r="T1277" t="s">
        <v>33197</v>
      </c>
      <c r="U1277" t="s">
        <v>34732</v>
      </c>
      <c r="W1277" t="s">
        <v>30130</v>
      </c>
      <c r="X1277" t="s">
        <v>32527</v>
      </c>
    </row>
    <row r="1278" spans="1:24">
      <c r="A1278">
        <f>HYPERLINK("https://www.philgeps.gov.ph/GEPSNONPILOT/Tender/SplashBidNoticeAbstractUI.aspx?menuIndex=3&amp;refID=7045680&amp;Result=3","7045680")</f>
        <v>0</v>
      </c>
      <c r="B1278" t="s">
        <v>501</v>
      </c>
      <c r="C1278" t="s">
        <v>3902</v>
      </c>
      <c r="D1278" t="s">
        <v>12994</v>
      </c>
      <c r="E1278" t="s">
        <v>14259</v>
      </c>
      <c r="F1278" t="s">
        <v>22436</v>
      </c>
      <c r="G1278" t="s">
        <v>22446</v>
      </c>
      <c r="H1278" t="s">
        <v>22452</v>
      </c>
      <c r="I1278" t="s">
        <v>22494</v>
      </c>
      <c r="J1278" t="s">
        <v>23537</v>
      </c>
      <c r="K1278" t="s">
        <v>29338</v>
      </c>
      <c r="M1278" t="s">
        <v>30085</v>
      </c>
      <c r="N1278" t="s">
        <v>32524</v>
      </c>
      <c r="O1278" t="s">
        <v>32525</v>
      </c>
      <c r="P1278">
        <v>0</v>
      </c>
      <c r="Q1278">
        <v>0</v>
      </c>
      <c r="R1278" t="s">
        <v>32526</v>
      </c>
      <c r="S1278" t="s">
        <v>32547</v>
      </c>
      <c r="T1278" t="s">
        <v>33169</v>
      </c>
      <c r="U1278" t="s">
        <v>34646</v>
      </c>
      <c r="V1278" t="s">
        <v>42545</v>
      </c>
      <c r="W1278" t="s">
        <v>30085</v>
      </c>
      <c r="X1278" t="s">
        <v>32527</v>
      </c>
    </row>
    <row r="1279" spans="1:24">
      <c r="A1279">
        <f>HYPERLINK("https://www.philgeps.gov.ph/GEPSNONPILOT/Tender/SplashBidNoticeAbstractUI.aspx?menuIndex=3&amp;refID=7045675&amp;Result=3","7045675")</f>
        <v>0</v>
      </c>
      <c r="B1279" t="s">
        <v>371</v>
      </c>
      <c r="C1279" t="s">
        <v>3903</v>
      </c>
      <c r="D1279" t="s">
        <v>13035</v>
      </c>
      <c r="E1279" t="s">
        <v>14260</v>
      </c>
      <c r="F1279" t="s">
        <v>22436</v>
      </c>
      <c r="G1279" t="s">
        <v>22443</v>
      </c>
      <c r="H1279" t="s">
        <v>22452</v>
      </c>
      <c r="I1279" t="s">
        <v>3529</v>
      </c>
      <c r="J1279" t="s">
        <v>23538</v>
      </c>
      <c r="K1279" t="s">
        <v>29331</v>
      </c>
      <c r="M1279" t="s">
        <v>29949</v>
      </c>
      <c r="N1279" t="s">
        <v>32524</v>
      </c>
      <c r="O1279" t="s">
        <v>32525</v>
      </c>
      <c r="P1279">
        <v>0</v>
      </c>
      <c r="Q1279">
        <v>0</v>
      </c>
      <c r="R1279" t="s">
        <v>32526</v>
      </c>
      <c r="S1279" t="s">
        <v>32547</v>
      </c>
      <c r="T1279" t="s">
        <v>33168</v>
      </c>
      <c r="U1279" t="s">
        <v>34733</v>
      </c>
      <c r="W1279" t="s">
        <v>29949</v>
      </c>
      <c r="X1279" t="s">
        <v>32527</v>
      </c>
    </row>
    <row r="1280" spans="1:24">
      <c r="A1280">
        <f>HYPERLINK("https://www.philgeps.gov.ph/GEPSNONPILOT/Tender/SplashBidNoticeAbstractUI.aspx?menuIndex=3&amp;refID=7045689&amp;Result=3","7045689")</f>
        <v>0</v>
      </c>
      <c r="B1280" t="s">
        <v>80</v>
      </c>
      <c r="C1280" t="s">
        <v>3904</v>
      </c>
      <c r="D1280" t="s">
        <v>13007</v>
      </c>
      <c r="E1280" t="s">
        <v>14261</v>
      </c>
      <c r="F1280" t="s">
        <v>22436</v>
      </c>
      <c r="G1280" t="s">
        <v>22446</v>
      </c>
      <c r="H1280" t="s">
        <v>22452</v>
      </c>
      <c r="I1280" t="s">
        <v>3529</v>
      </c>
      <c r="J1280" t="s">
        <v>23539</v>
      </c>
      <c r="K1280" t="s">
        <v>29341</v>
      </c>
      <c r="M1280" t="s">
        <v>29652</v>
      </c>
      <c r="N1280" t="s">
        <v>32524</v>
      </c>
      <c r="O1280" t="s">
        <v>32525</v>
      </c>
      <c r="P1280">
        <v>0</v>
      </c>
      <c r="Q1280">
        <v>0</v>
      </c>
      <c r="R1280" t="s">
        <v>32526</v>
      </c>
      <c r="S1280" t="s">
        <v>32547</v>
      </c>
      <c r="T1280" t="s">
        <v>33153</v>
      </c>
      <c r="U1280" t="s">
        <v>34734</v>
      </c>
      <c r="W1280" t="s">
        <v>29652</v>
      </c>
      <c r="X1280" t="s">
        <v>32527</v>
      </c>
    </row>
    <row r="1281" spans="1:24">
      <c r="A1281">
        <f>HYPERLINK("https://www.philgeps.gov.ph/GEPSNONPILOT/Tender/SplashBidNoticeAbstractUI.aspx?menuIndex=3&amp;refID=7045664&amp;Result=3","7045664")</f>
        <v>0</v>
      </c>
      <c r="B1281" t="s">
        <v>547</v>
      </c>
      <c r="C1281" t="s">
        <v>3905</v>
      </c>
      <c r="D1281" t="s">
        <v>13001</v>
      </c>
      <c r="E1281" t="s">
        <v>14262</v>
      </c>
      <c r="F1281" t="s">
        <v>22436</v>
      </c>
      <c r="G1281" t="s">
        <v>22444</v>
      </c>
      <c r="H1281" t="s">
        <v>22452</v>
      </c>
      <c r="I1281" t="s">
        <v>22492</v>
      </c>
      <c r="J1281" t="s">
        <v>23540</v>
      </c>
      <c r="K1281" t="s">
        <v>29341</v>
      </c>
      <c r="M1281" t="s">
        <v>30131</v>
      </c>
      <c r="N1281" t="s">
        <v>32524</v>
      </c>
      <c r="O1281" t="s">
        <v>32525</v>
      </c>
      <c r="P1281">
        <v>0</v>
      </c>
      <c r="Q1281">
        <v>0</v>
      </c>
      <c r="R1281" t="s">
        <v>32526</v>
      </c>
      <c r="S1281" t="s">
        <v>32547</v>
      </c>
      <c r="T1281" t="s">
        <v>33252</v>
      </c>
      <c r="U1281" t="s">
        <v>34735</v>
      </c>
      <c r="V1281" t="s">
        <v>42546</v>
      </c>
      <c r="W1281" t="s">
        <v>30131</v>
      </c>
      <c r="X1281" t="s">
        <v>32527</v>
      </c>
    </row>
    <row r="1282" spans="1:24">
      <c r="A1282">
        <f>HYPERLINK("https://www.philgeps.gov.ph/GEPSNONPILOT/Tender/SplashBidNoticeAbstractUI.aspx?menuIndex=3&amp;refID=7045681&amp;Result=3","7045681")</f>
        <v>0</v>
      </c>
      <c r="B1282" t="s">
        <v>279</v>
      </c>
      <c r="C1282" t="s">
        <v>3906</v>
      </c>
      <c r="D1282" t="s">
        <v>13010</v>
      </c>
      <c r="E1282" t="s">
        <v>14263</v>
      </c>
      <c r="F1282" t="s">
        <v>22436</v>
      </c>
      <c r="G1282" t="s">
        <v>22444</v>
      </c>
      <c r="H1282" t="s">
        <v>22452</v>
      </c>
      <c r="I1282" t="s">
        <v>22463</v>
      </c>
      <c r="J1282" t="s">
        <v>23541</v>
      </c>
      <c r="K1282" t="s">
        <v>29335</v>
      </c>
      <c r="M1282" t="s">
        <v>30132</v>
      </c>
      <c r="N1282" t="s">
        <v>32524</v>
      </c>
      <c r="O1282" t="s">
        <v>32525</v>
      </c>
      <c r="P1282">
        <v>0</v>
      </c>
      <c r="Q1282">
        <v>7</v>
      </c>
      <c r="R1282" t="s">
        <v>32526</v>
      </c>
      <c r="S1282" t="s">
        <v>32547</v>
      </c>
      <c r="T1282" t="s">
        <v>33234</v>
      </c>
      <c r="U1282" t="s">
        <v>34736</v>
      </c>
      <c r="W1282" t="s">
        <v>30132</v>
      </c>
      <c r="X1282" t="s">
        <v>32527</v>
      </c>
    </row>
    <row r="1283" spans="1:24">
      <c r="A1283">
        <f>HYPERLINK("https://www.philgeps.gov.ph/GEPSNONPILOT/Tender/SplashBidNoticeAbstractUI.aspx?menuIndex=3&amp;refID=7045685&amp;Result=3","7045685")</f>
        <v>0</v>
      </c>
      <c r="B1283" t="s">
        <v>437</v>
      </c>
      <c r="C1283" t="s">
        <v>3907</v>
      </c>
      <c r="D1283" t="s">
        <v>13023</v>
      </c>
      <c r="E1283" t="s">
        <v>14264</v>
      </c>
      <c r="F1283" t="s">
        <v>22437</v>
      </c>
      <c r="G1283" t="s">
        <v>22446</v>
      </c>
      <c r="H1283" t="s">
        <v>22453</v>
      </c>
      <c r="I1283" t="s">
        <v>3358</v>
      </c>
      <c r="J1283" t="s">
        <v>23542</v>
      </c>
      <c r="K1283" t="s">
        <v>29336</v>
      </c>
      <c r="M1283" t="s">
        <v>30018</v>
      </c>
      <c r="N1283" t="s">
        <v>32524</v>
      </c>
      <c r="O1283" t="s">
        <v>32525</v>
      </c>
      <c r="P1283">
        <v>0</v>
      </c>
      <c r="Q1283">
        <v>1</v>
      </c>
      <c r="R1283" t="s">
        <v>32526</v>
      </c>
      <c r="S1283" t="s">
        <v>32547</v>
      </c>
      <c r="T1283" t="s">
        <v>33285</v>
      </c>
      <c r="U1283" t="s">
        <v>34737</v>
      </c>
      <c r="W1283" t="s">
        <v>30018</v>
      </c>
      <c r="X1283" t="s">
        <v>32527</v>
      </c>
    </row>
    <row r="1284" spans="1:24">
      <c r="A1284">
        <f>HYPERLINK("https://www.philgeps.gov.ph/GEPSNONPILOT/Tender/SplashBidNoticeAbstractUI.aspx?menuIndex=3&amp;refID=7045684&amp;Result=3","7045684")</f>
        <v>0</v>
      </c>
      <c r="B1284" t="s">
        <v>220</v>
      </c>
      <c r="C1284" t="s">
        <v>3908</v>
      </c>
      <c r="D1284" t="s">
        <v>13037</v>
      </c>
      <c r="E1284" t="s">
        <v>14265</v>
      </c>
      <c r="F1284" t="s">
        <v>22436</v>
      </c>
      <c r="G1284" t="s">
        <v>22446</v>
      </c>
      <c r="H1284" t="s">
        <v>22452</v>
      </c>
      <c r="I1284" t="s">
        <v>4688</v>
      </c>
      <c r="J1284" t="s">
        <v>23543</v>
      </c>
      <c r="K1284" t="s">
        <v>29336</v>
      </c>
      <c r="M1284" t="s">
        <v>29793</v>
      </c>
      <c r="N1284" t="s">
        <v>32524</v>
      </c>
      <c r="O1284" t="s">
        <v>32525</v>
      </c>
      <c r="P1284">
        <v>0</v>
      </c>
      <c r="Q1284">
        <v>0</v>
      </c>
      <c r="R1284" t="s">
        <v>32526</v>
      </c>
      <c r="S1284" t="s">
        <v>32547</v>
      </c>
      <c r="T1284" t="s">
        <v>33209</v>
      </c>
      <c r="U1284" t="s">
        <v>34035</v>
      </c>
      <c r="W1284" t="s">
        <v>29793</v>
      </c>
      <c r="X1284" t="s">
        <v>32527</v>
      </c>
    </row>
    <row r="1285" spans="1:24">
      <c r="A1285">
        <f>HYPERLINK("https://www.philgeps.gov.ph/GEPSNONPILOT/Tender/SplashBidNoticeAbstractUI.aspx?menuIndex=3&amp;refID=7045687&amp;Result=3","7045687")</f>
        <v>0</v>
      </c>
      <c r="B1285" t="s">
        <v>525</v>
      </c>
      <c r="C1285" t="s">
        <v>3909</v>
      </c>
      <c r="D1285" t="s">
        <v>13038</v>
      </c>
      <c r="E1285" t="s">
        <v>14266</v>
      </c>
      <c r="F1285" t="s">
        <v>22436</v>
      </c>
      <c r="G1285" t="s">
        <v>22444</v>
      </c>
      <c r="H1285" t="s">
        <v>22452</v>
      </c>
      <c r="I1285" t="s">
        <v>22482</v>
      </c>
      <c r="J1285" t="s">
        <v>23544</v>
      </c>
      <c r="K1285" t="s">
        <v>29335</v>
      </c>
      <c r="M1285" t="s">
        <v>30109</v>
      </c>
      <c r="N1285" t="s">
        <v>32524</v>
      </c>
      <c r="O1285" t="s">
        <v>32525</v>
      </c>
      <c r="P1285">
        <v>0</v>
      </c>
      <c r="Q1285">
        <v>1</v>
      </c>
      <c r="R1285" t="s">
        <v>32526</v>
      </c>
      <c r="S1285" t="s">
        <v>32547</v>
      </c>
      <c r="T1285" t="s">
        <v>33312</v>
      </c>
      <c r="U1285" t="s">
        <v>34738</v>
      </c>
      <c r="W1285" t="s">
        <v>30109</v>
      </c>
      <c r="X1285" t="s">
        <v>32527</v>
      </c>
    </row>
    <row r="1286" spans="1:24">
      <c r="A1286">
        <f>HYPERLINK("https://www.philgeps.gov.ph/GEPSNONPILOT/Tender/SplashBidNoticeAbstractUI.aspx?menuIndex=3&amp;refID=7045694&amp;Result=3","7045694")</f>
        <v>0</v>
      </c>
      <c r="B1286" t="s">
        <v>548</v>
      </c>
      <c r="C1286" t="s">
        <v>3910</v>
      </c>
      <c r="D1286" t="s">
        <v>13022</v>
      </c>
      <c r="E1286" t="s">
        <v>14267</v>
      </c>
      <c r="F1286" t="s">
        <v>22436</v>
      </c>
      <c r="G1286" t="s">
        <v>22443</v>
      </c>
      <c r="H1286" t="s">
        <v>22452</v>
      </c>
      <c r="I1286" t="s">
        <v>22461</v>
      </c>
      <c r="J1286" t="s">
        <v>22605</v>
      </c>
      <c r="K1286" t="s">
        <v>29357</v>
      </c>
      <c r="M1286" t="s">
        <v>30133</v>
      </c>
      <c r="N1286" t="s">
        <v>32524</v>
      </c>
      <c r="O1286" t="s">
        <v>32525</v>
      </c>
      <c r="P1286">
        <v>0</v>
      </c>
      <c r="Q1286">
        <v>0</v>
      </c>
      <c r="R1286" t="s">
        <v>32526</v>
      </c>
      <c r="S1286" t="s">
        <v>32547</v>
      </c>
      <c r="T1286" t="s">
        <v>33161</v>
      </c>
      <c r="U1286" t="s">
        <v>34739</v>
      </c>
      <c r="W1286" t="s">
        <v>30133</v>
      </c>
      <c r="X1286" t="s">
        <v>32527</v>
      </c>
    </row>
    <row r="1287" spans="1:24">
      <c r="A1287">
        <f>HYPERLINK("https://www.philgeps.gov.ph/GEPSNONPILOT/Tender/SplashBidNoticeAbstractUI.aspx?menuIndex=3&amp;refID=7045688&amp;Result=3","7045688")</f>
        <v>0</v>
      </c>
      <c r="B1287" t="s">
        <v>514</v>
      </c>
      <c r="C1287" t="s">
        <v>3911</v>
      </c>
      <c r="E1287" t="s">
        <v>14268</v>
      </c>
      <c r="F1287" t="s">
        <v>22436</v>
      </c>
      <c r="G1287" t="s">
        <v>22443</v>
      </c>
      <c r="H1287" t="s">
        <v>22453</v>
      </c>
      <c r="I1287" t="s">
        <v>22490</v>
      </c>
      <c r="J1287" t="s">
        <v>23527</v>
      </c>
      <c r="K1287" t="s">
        <v>29335</v>
      </c>
      <c r="M1287" t="s">
        <v>30098</v>
      </c>
      <c r="N1287" t="s">
        <v>32524</v>
      </c>
      <c r="O1287" t="s">
        <v>32525</v>
      </c>
      <c r="P1287">
        <v>0</v>
      </c>
      <c r="Q1287">
        <v>0</v>
      </c>
      <c r="R1287" t="s">
        <v>32526</v>
      </c>
      <c r="S1287" t="s">
        <v>32547</v>
      </c>
      <c r="T1287" t="s">
        <v>33154</v>
      </c>
      <c r="U1287" t="s">
        <v>34740</v>
      </c>
      <c r="W1287" t="s">
        <v>30098</v>
      </c>
      <c r="X1287" t="s">
        <v>32527</v>
      </c>
    </row>
    <row r="1288" spans="1:24">
      <c r="A1288">
        <f>HYPERLINK("https://www.philgeps.gov.ph/GEPSNONPILOT/Tender/SplashBidNoticeAbstractUI.aspx?menuIndex=3&amp;refID=7045697&amp;Result=3","7045697")</f>
        <v>0</v>
      </c>
      <c r="B1288" t="s">
        <v>401</v>
      </c>
      <c r="C1288" t="s">
        <v>3912</v>
      </c>
      <c r="D1288" t="s">
        <v>13044</v>
      </c>
      <c r="E1288" t="s">
        <v>14269</v>
      </c>
      <c r="F1288" t="s">
        <v>22436</v>
      </c>
      <c r="G1288" t="s">
        <v>22443</v>
      </c>
      <c r="H1288" t="s">
        <v>22452</v>
      </c>
      <c r="I1288" t="s">
        <v>22460</v>
      </c>
      <c r="J1288" t="s">
        <v>23545</v>
      </c>
      <c r="K1288" t="s">
        <v>29340</v>
      </c>
      <c r="M1288" t="s">
        <v>29980</v>
      </c>
      <c r="N1288" t="s">
        <v>32524</v>
      </c>
      <c r="O1288" t="s">
        <v>32525</v>
      </c>
      <c r="P1288">
        <v>0</v>
      </c>
      <c r="Q1288">
        <v>1</v>
      </c>
      <c r="R1288" t="s">
        <v>32526</v>
      </c>
      <c r="S1288" t="s">
        <v>32547</v>
      </c>
      <c r="T1288" t="s">
        <v>33210</v>
      </c>
      <c r="U1288" t="s">
        <v>34741</v>
      </c>
      <c r="W1288" t="s">
        <v>29980</v>
      </c>
      <c r="X1288" t="s">
        <v>32527</v>
      </c>
    </row>
    <row r="1289" spans="1:24">
      <c r="A1289">
        <f>HYPERLINK("https://www.philgeps.gov.ph/GEPSNONPILOT/Tender/SplashBidNoticeAbstractUI.aspx?menuIndex=3&amp;refID=7045699&amp;Result=3","7045699")</f>
        <v>0</v>
      </c>
      <c r="B1289" t="s">
        <v>83</v>
      </c>
      <c r="C1289" t="s">
        <v>3913</v>
      </c>
      <c r="D1289" t="s">
        <v>12988</v>
      </c>
      <c r="E1289" t="s">
        <v>14270</v>
      </c>
      <c r="F1289" t="s">
        <v>22436</v>
      </c>
      <c r="G1289" t="s">
        <v>22443</v>
      </c>
      <c r="H1289" t="s">
        <v>22452</v>
      </c>
      <c r="I1289" t="s">
        <v>3122</v>
      </c>
      <c r="J1289" t="s">
        <v>23546</v>
      </c>
      <c r="K1289" t="s">
        <v>29336</v>
      </c>
      <c r="M1289" t="s">
        <v>30134</v>
      </c>
      <c r="N1289" t="s">
        <v>32524</v>
      </c>
      <c r="O1289" t="s">
        <v>32525</v>
      </c>
      <c r="P1289">
        <v>0</v>
      </c>
      <c r="Q1289">
        <v>0</v>
      </c>
      <c r="R1289" t="s">
        <v>32526</v>
      </c>
      <c r="S1289" t="s">
        <v>32547</v>
      </c>
      <c r="T1289" t="s">
        <v>33211</v>
      </c>
      <c r="U1289" t="s">
        <v>33742</v>
      </c>
      <c r="W1289" t="s">
        <v>30134</v>
      </c>
      <c r="X1289" t="s">
        <v>32527</v>
      </c>
    </row>
    <row r="1290" spans="1:24">
      <c r="A1290">
        <f>HYPERLINK("https://www.philgeps.gov.ph/GEPSNONPILOT/Tender/SplashBidNoticeAbstractUI.aspx?menuIndex=3&amp;refID=7045693&amp;Result=3","7045693")</f>
        <v>0</v>
      </c>
      <c r="B1290" t="s">
        <v>549</v>
      </c>
      <c r="C1290" t="s">
        <v>3914</v>
      </c>
      <c r="D1290" t="s">
        <v>13006</v>
      </c>
      <c r="E1290" t="s">
        <v>14271</v>
      </c>
      <c r="F1290" t="s">
        <v>22436</v>
      </c>
      <c r="G1290" t="s">
        <v>22443</v>
      </c>
      <c r="H1290" t="s">
        <v>22452</v>
      </c>
      <c r="I1290" t="s">
        <v>5194</v>
      </c>
      <c r="J1290" t="s">
        <v>22898</v>
      </c>
      <c r="K1290" t="s">
        <v>29331</v>
      </c>
      <c r="M1290" t="s">
        <v>30135</v>
      </c>
      <c r="N1290" t="s">
        <v>32524</v>
      </c>
      <c r="O1290" t="s">
        <v>32525</v>
      </c>
      <c r="P1290">
        <v>0</v>
      </c>
      <c r="Q1290">
        <v>5</v>
      </c>
      <c r="R1290" t="s">
        <v>32526</v>
      </c>
      <c r="S1290" t="s">
        <v>32547</v>
      </c>
      <c r="T1290" t="s">
        <v>33161</v>
      </c>
      <c r="U1290" t="s">
        <v>34742</v>
      </c>
      <c r="W1290" t="s">
        <v>30135</v>
      </c>
      <c r="X1290" t="s">
        <v>32527</v>
      </c>
    </row>
    <row r="1291" spans="1:24">
      <c r="A1291">
        <f>HYPERLINK("https://www.philgeps.gov.ph/GEPSNONPILOT/Tender/SplashBidNoticeAbstractUI.aspx?menuIndex=3&amp;refID=7045690&amp;Result=3","7045690")</f>
        <v>0</v>
      </c>
      <c r="B1291" t="s">
        <v>550</v>
      </c>
      <c r="C1291" t="s">
        <v>3915</v>
      </c>
      <c r="D1291" t="s">
        <v>12988</v>
      </c>
      <c r="E1291" t="s">
        <v>14272</v>
      </c>
      <c r="F1291" t="s">
        <v>22436</v>
      </c>
      <c r="G1291" t="s">
        <v>22445</v>
      </c>
      <c r="H1291" t="s">
        <v>22452</v>
      </c>
      <c r="I1291" t="s">
        <v>22460</v>
      </c>
      <c r="J1291" t="s">
        <v>23547</v>
      </c>
      <c r="K1291" t="s">
        <v>29338</v>
      </c>
      <c r="M1291" t="s">
        <v>30136</v>
      </c>
      <c r="N1291" t="s">
        <v>32524</v>
      </c>
      <c r="O1291" t="s">
        <v>32525</v>
      </c>
      <c r="P1291">
        <v>0</v>
      </c>
      <c r="Q1291">
        <v>4</v>
      </c>
      <c r="R1291" t="s">
        <v>32526</v>
      </c>
      <c r="S1291" t="s">
        <v>32547</v>
      </c>
      <c r="T1291" t="s">
        <v>33314</v>
      </c>
      <c r="U1291" t="s">
        <v>34743</v>
      </c>
      <c r="V1291" t="s">
        <v>42547</v>
      </c>
      <c r="W1291" t="s">
        <v>30136</v>
      </c>
      <c r="X1291" t="s">
        <v>32527</v>
      </c>
    </row>
    <row r="1292" spans="1:24">
      <c r="A1292">
        <f>HYPERLINK("https://www.philgeps.gov.ph/GEPSNONPILOT/Tender/SplashBidNoticeAbstractUI.aspx?menuIndex=3&amp;refID=7045692&amp;Result=3","7045692")</f>
        <v>0</v>
      </c>
      <c r="B1292" t="s">
        <v>551</v>
      </c>
      <c r="C1292" t="s">
        <v>3916</v>
      </c>
      <c r="D1292" t="s">
        <v>13019</v>
      </c>
      <c r="E1292" t="s">
        <v>14273</v>
      </c>
      <c r="F1292" t="s">
        <v>22436</v>
      </c>
      <c r="G1292" t="s">
        <v>22443</v>
      </c>
      <c r="H1292" t="s">
        <v>22452</v>
      </c>
      <c r="I1292" t="s">
        <v>3529</v>
      </c>
      <c r="J1292" t="s">
        <v>23548</v>
      </c>
      <c r="K1292" t="s">
        <v>29331</v>
      </c>
      <c r="M1292" t="s">
        <v>30137</v>
      </c>
      <c r="N1292" t="s">
        <v>32524</v>
      </c>
      <c r="O1292" t="s">
        <v>32525</v>
      </c>
      <c r="P1292">
        <v>0</v>
      </c>
      <c r="Q1292">
        <v>0</v>
      </c>
      <c r="R1292" t="s">
        <v>32526</v>
      </c>
      <c r="S1292" t="s">
        <v>32547</v>
      </c>
      <c r="T1292" t="s">
        <v>33154</v>
      </c>
      <c r="U1292" t="s">
        <v>34744</v>
      </c>
      <c r="W1292" t="s">
        <v>30137</v>
      </c>
      <c r="X1292" t="s">
        <v>32527</v>
      </c>
    </row>
    <row r="1293" spans="1:24">
      <c r="A1293">
        <f>HYPERLINK("https://www.philgeps.gov.ph/GEPSNONPILOT/Tender/SplashBidNoticeAbstractUI.aspx?menuIndex=3&amp;refID=7045682&amp;Result=3","7045682")</f>
        <v>0</v>
      </c>
      <c r="B1293" t="s">
        <v>316</v>
      </c>
      <c r="C1293" t="s">
        <v>3917</v>
      </c>
      <c r="D1293" t="s">
        <v>13006</v>
      </c>
      <c r="E1293" t="s">
        <v>14274</v>
      </c>
      <c r="F1293" t="s">
        <v>22436</v>
      </c>
      <c r="G1293" t="s">
        <v>22444</v>
      </c>
      <c r="H1293" t="s">
        <v>22452</v>
      </c>
      <c r="I1293" t="s">
        <v>3529</v>
      </c>
      <c r="J1293" t="s">
        <v>23549</v>
      </c>
      <c r="K1293" t="s">
        <v>29331</v>
      </c>
      <c r="M1293" t="s">
        <v>29892</v>
      </c>
      <c r="N1293" t="s">
        <v>32524</v>
      </c>
      <c r="O1293" t="s">
        <v>32525</v>
      </c>
      <c r="P1293">
        <v>0</v>
      </c>
      <c r="Q1293">
        <v>0</v>
      </c>
      <c r="R1293" t="s">
        <v>32526</v>
      </c>
      <c r="S1293" t="s">
        <v>32547</v>
      </c>
      <c r="T1293" t="s">
        <v>33191</v>
      </c>
      <c r="U1293" t="s">
        <v>34745</v>
      </c>
      <c r="W1293" t="s">
        <v>29892</v>
      </c>
      <c r="X1293" t="s">
        <v>32527</v>
      </c>
    </row>
    <row r="1294" spans="1:24">
      <c r="A1294">
        <f>HYPERLINK("https://www.philgeps.gov.ph/GEPSNONPILOT/Tender/SplashBidNoticeAbstractUI.aspx?menuIndex=3&amp;refID=7045706&amp;Result=3","7045706")</f>
        <v>0</v>
      </c>
      <c r="B1294" t="s">
        <v>506</v>
      </c>
      <c r="C1294" t="s">
        <v>3918</v>
      </c>
      <c r="D1294" t="s">
        <v>13010</v>
      </c>
      <c r="E1294" t="s">
        <v>14275</v>
      </c>
      <c r="F1294" t="s">
        <v>22436</v>
      </c>
      <c r="G1294" t="s">
        <v>22443</v>
      </c>
      <c r="H1294" t="s">
        <v>22452</v>
      </c>
      <c r="I1294" t="s">
        <v>22510</v>
      </c>
      <c r="J1294" t="s">
        <v>23550</v>
      </c>
      <c r="K1294" t="s">
        <v>29341</v>
      </c>
      <c r="M1294" t="s">
        <v>30090</v>
      </c>
      <c r="N1294" t="s">
        <v>32524</v>
      </c>
      <c r="O1294" t="s">
        <v>32525</v>
      </c>
      <c r="P1294">
        <v>0</v>
      </c>
      <c r="Q1294">
        <v>1</v>
      </c>
      <c r="R1294" t="s">
        <v>32526</v>
      </c>
      <c r="S1294" t="s">
        <v>32547</v>
      </c>
      <c r="T1294" t="s">
        <v>33153</v>
      </c>
      <c r="U1294" t="s">
        <v>34746</v>
      </c>
      <c r="V1294" t="s">
        <v>42548</v>
      </c>
      <c r="W1294" t="s">
        <v>30090</v>
      </c>
      <c r="X1294" t="s">
        <v>32527</v>
      </c>
    </row>
    <row r="1295" spans="1:24">
      <c r="A1295">
        <f>HYPERLINK("https://www.philgeps.gov.ph/GEPSNONPILOT/Tender/SplashBidNoticeAbstractUI.aspx?menuIndex=3&amp;refID=7045673&amp;Result=3","7045673")</f>
        <v>0</v>
      </c>
      <c r="B1295" t="s">
        <v>95</v>
      </c>
      <c r="C1295" t="s">
        <v>3919</v>
      </c>
      <c r="D1295" t="s">
        <v>13028</v>
      </c>
      <c r="E1295" t="s">
        <v>14276</v>
      </c>
      <c r="F1295" t="s">
        <v>22436</v>
      </c>
      <c r="G1295" t="s">
        <v>22445</v>
      </c>
      <c r="H1295" t="s">
        <v>22452</v>
      </c>
      <c r="I1295" t="s">
        <v>3381</v>
      </c>
      <c r="J1295" t="s">
        <v>23551</v>
      </c>
      <c r="K1295" t="s">
        <v>29329</v>
      </c>
      <c r="M1295" t="s">
        <v>30024</v>
      </c>
      <c r="N1295" t="s">
        <v>32524</v>
      </c>
      <c r="O1295" t="s">
        <v>32525</v>
      </c>
      <c r="P1295">
        <v>0</v>
      </c>
      <c r="Q1295">
        <v>0</v>
      </c>
      <c r="R1295" t="s">
        <v>32526</v>
      </c>
      <c r="S1295" t="s">
        <v>32547</v>
      </c>
      <c r="T1295" t="s">
        <v>33197</v>
      </c>
      <c r="U1295" t="s">
        <v>34747</v>
      </c>
      <c r="W1295" t="s">
        <v>30024</v>
      </c>
      <c r="X1295" t="s">
        <v>32527</v>
      </c>
    </row>
    <row r="1296" spans="1:24">
      <c r="A1296">
        <f>HYPERLINK("https://www.philgeps.gov.ph/GEPSNONPILOT/Tender/SplashBidNoticeAbstractUI.aspx?menuIndex=3&amp;refID=7045701&amp;Result=3","7045701")</f>
        <v>0</v>
      </c>
      <c r="B1296" t="s">
        <v>539</v>
      </c>
      <c r="C1296" t="s">
        <v>3920</v>
      </c>
      <c r="D1296" t="s">
        <v>13001</v>
      </c>
      <c r="E1296" t="s">
        <v>14277</v>
      </c>
      <c r="F1296" t="s">
        <v>22436</v>
      </c>
      <c r="G1296" t="s">
        <v>22443</v>
      </c>
      <c r="H1296" t="s">
        <v>22454</v>
      </c>
      <c r="I1296" t="s">
        <v>7738</v>
      </c>
      <c r="J1296" t="s">
        <v>23552</v>
      </c>
      <c r="K1296" t="s">
        <v>29338</v>
      </c>
      <c r="M1296" t="s">
        <v>30123</v>
      </c>
      <c r="N1296" t="s">
        <v>32524</v>
      </c>
      <c r="O1296" t="s">
        <v>32525</v>
      </c>
      <c r="P1296">
        <v>0</v>
      </c>
      <c r="Q1296">
        <v>7</v>
      </c>
      <c r="R1296" t="s">
        <v>32526</v>
      </c>
      <c r="S1296" t="s">
        <v>32547</v>
      </c>
      <c r="T1296" t="s">
        <v>33197</v>
      </c>
      <c r="U1296" t="s">
        <v>34748</v>
      </c>
      <c r="W1296" t="s">
        <v>30123</v>
      </c>
      <c r="X1296" t="s">
        <v>32527</v>
      </c>
    </row>
    <row r="1297" spans="1:24">
      <c r="A1297">
        <f>HYPERLINK("https://www.philgeps.gov.ph/GEPSNONPILOT/Tender/SplashBidNoticeAbstractUI.aspx?menuIndex=3&amp;refID=7045702&amp;Result=3","7045702")</f>
        <v>0</v>
      </c>
      <c r="B1297" t="s">
        <v>552</v>
      </c>
      <c r="C1297" t="s">
        <v>3921</v>
      </c>
      <c r="D1297" t="s">
        <v>13040</v>
      </c>
      <c r="E1297" t="s">
        <v>14278</v>
      </c>
      <c r="F1297" t="s">
        <v>22436</v>
      </c>
      <c r="G1297" t="s">
        <v>22443</v>
      </c>
      <c r="H1297" t="s">
        <v>22452</v>
      </c>
      <c r="I1297" t="s">
        <v>22534</v>
      </c>
      <c r="J1297" t="s">
        <v>23553</v>
      </c>
      <c r="K1297" t="s">
        <v>29335</v>
      </c>
      <c r="M1297" t="s">
        <v>30138</v>
      </c>
      <c r="N1297" t="s">
        <v>32524</v>
      </c>
      <c r="O1297" t="s">
        <v>32525</v>
      </c>
      <c r="P1297">
        <v>0</v>
      </c>
      <c r="Q1297">
        <v>0</v>
      </c>
      <c r="R1297" t="s">
        <v>32526</v>
      </c>
      <c r="S1297" t="s">
        <v>32547</v>
      </c>
      <c r="T1297" t="s">
        <v>33154</v>
      </c>
      <c r="U1297" t="s">
        <v>34749</v>
      </c>
      <c r="W1297" t="s">
        <v>30138</v>
      </c>
      <c r="X1297" t="s">
        <v>32527</v>
      </c>
    </row>
    <row r="1298" spans="1:24">
      <c r="A1298">
        <f>HYPERLINK("https://www.philgeps.gov.ph/GEPSNONPILOT/Tender/SplashBidNoticeAbstractUI.aspx?menuIndex=3&amp;refID=7045708&amp;Result=3","7045708")</f>
        <v>0</v>
      </c>
      <c r="B1298" t="s">
        <v>192</v>
      </c>
      <c r="C1298" t="s">
        <v>3922</v>
      </c>
      <c r="D1298" t="s">
        <v>13048</v>
      </c>
      <c r="E1298" t="s">
        <v>14279</v>
      </c>
      <c r="F1298" t="s">
        <v>22436</v>
      </c>
      <c r="G1298" t="s">
        <v>22444</v>
      </c>
      <c r="H1298" t="s">
        <v>22454</v>
      </c>
      <c r="I1298" t="s">
        <v>7738</v>
      </c>
      <c r="J1298" t="s">
        <v>22634</v>
      </c>
      <c r="K1298" t="s">
        <v>29338</v>
      </c>
      <c r="M1298" t="s">
        <v>29765</v>
      </c>
      <c r="N1298" t="s">
        <v>32524</v>
      </c>
      <c r="O1298" t="s">
        <v>32525</v>
      </c>
      <c r="P1298">
        <v>0</v>
      </c>
      <c r="Q1298">
        <v>0</v>
      </c>
      <c r="R1298" t="s">
        <v>32526</v>
      </c>
      <c r="S1298" t="s">
        <v>32547</v>
      </c>
      <c r="T1298" t="s">
        <v>33170</v>
      </c>
      <c r="U1298" t="s">
        <v>33981</v>
      </c>
      <c r="W1298" t="s">
        <v>29765</v>
      </c>
      <c r="X1298" t="s">
        <v>32527</v>
      </c>
    </row>
    <row r="1299" spans="1:24">
      <c r="A1299">
        <f>HYPERLINK("https://www.philgeps.gov.ph/GEPSNONPILOT/Tender/SplashBidNoticeAbstractUI.aspx?menuIndex=3&amp;refID=7045700&amp;Result=3","7045700")</f>
        <v>0</v>
      </c>
      <c r="B1299" t="s">
        <v>553</v>
      </c>
      <c r="C1299" t="s">
        <v>3923</v>
      </c>
      <c r="D1299" t="s">
        <v>12988</v>
      </c>
      <c r="E1299" t="s">
        <v>14280</v>
      </c>
      <c r="F1299" t="s">
        <v>22436</v>
      </c>
      <c r="G1299" t="s">
        <v>22444</v>
      </c>
      <c r="H1299" t="s">
        <v>22452</v>
      </c>
      <c r="I1299" t="s">
        <v>22502</v>
      </c>
      <c r="J1299" t="s">
        <v>23554</v>
      </c>
      <c r="K1299" t="s">
        <v>29370</v>
      </c>
      <c r="M1299" t="s">
        <v>30139</v>
      </c>
      <c r="N1299" t="s">
        <v>32524</v>
      </c>
      <c r="O1299" t="s">
        <v>32525</v>
      </c>
      <c r="P1299">
        <v>0</v>
      </c>
      <c r="Q1299">
        <v>4</v>
      </c>
      <c r="R1299" t="s">
        <v>32526</v>
      </c>
      <c r="S1299" t="s">
        <v>32547</v>
      </c>
      <c r="T1299" t="s">
        <v>33182</v>
      </c>
      <c r="U1299" t="s">
        <v>34750</v>
      </c>
      <c r="W1299" t="s">
        <v>30139</v>
      </c>
      <c r="X1299" t="s">
        <v>32527</v>
      </c>
    </row>
    <row r="1300" spans="1:24">
      <c r="A1300">
        <f>HYPERLINK("https://www.philgeps.gov.ph/GEPSNONPILOT/Tender/SplashBidNoticeAbstractUI.aspx?menuIndex=3&amp;refID=7045711&amp;Result=3","7045711")</f>
        <v>0</v>
      </c>
      <c r="B1300" t="s">
        <v>437</v>
      </c>
      <c r="C1300" t="s">
        <v>3924</v>
      </c>
      <c r="D1300" t="s">
        <v>13023</v>
      </c>
      <c r="E1300" t="s">
        <v>14281</v>
      </c>
      <c r="F1300" t="s">
        <v>22437</v>
      </c>
      <c r="G1300" t="s">
        <v>22446</v>
      </c>
      <c r="H1300" t="s">
        <v>22453</v>
      </c>
      <c r="I1300" t="s">
        <v>3358</v>
      </c>
      <c r="J1300" t="s">
        <v>23555</v>
      </c>
      <c r="K1300" t="s">
        <v>29336</v>
      </c>
      <c r="M1300" t="s">
        <v>30018</v>
      </c>
      <c r="N1300" t="s">
        <v>32524</v>
      </c>
      <c r="O1300" t="s">
        <v>32525</v>
      </c>
      <c r="P1300">
        <v>0</v>
      </c>
      <c r="Q1300">
        <v>1</v>
      </c>
      <c r="R1300" t="s">
        <v>32526</v>
      </c>
      <c r="S1300" t="s">
        <v>32547</v>
      </c>
      <c r="T1300" t="s">
        <v>33285</v>
      </c>
      <c r="U1300" t="s">
        <v>34751</v>
      </c>
      <c r="W1300" t="s">
        <v>30018</v>
      </c>
      <c r="X1300" t="s">
        <v>32527</v>
      </c>
    </row>
    <row r="1301" spans="1:24">
      <c r="A1301">
        <f>HYPERLINK("https://www.philgeps.gov.ph/GEPSNONPILOT/Tender/SplashBidNoticeAbstractUI.aspx?menuIndex=3&amp;refID=7045671&amp;Result=3","7045671")</f>
        <v>0</v>
      </c>
      <c r="B1301" t="s">
        <v>525</v>
      </c>
      <c r="C1301" t="s">
        <v>3925</v>
      </c>
      <c r="D1301" t="s">
        <v>13038</v>
      </c>
      <c r="E1301" t="s">
        <v>3925</v>
      </c>
      <c r="F1301" t="s">
        <v>22436</v>
      </c>
      <c r="G1301" t="s">
        <v>22444</v>
      </c>
      <c r="H1301" t="s">
        <v>22452</v>
      </c>
      <c r="I1301" t="s">
        <v>22470</v>
      </c>
      <c r="J1301" t="s">
        <v>23556</v>
      </c>
      <c r="K1301" t="s">
        <v>29335</v>
      </c>
      <c r="M1301" t="s">
        <v>30109</v>
      </c>
      <c r="N1301" t="s">
        <v>32524</v>
      </c>
      <c r="O1301" t="s">
        <v>32525</v>
      </c>
      <c r="P1301">
        <v>0</v>
      </c>
      <c r="Q1301">
        <v>0</v>
      </c>
      <c r="R1301" t="s">
        <v>32526</v>
      </c>
      <c r="S1301" t="s">
        <v>32547</v>
      </c>
      <c r="T1301" t="s">
        <v>33312</v>
      </c>
      <c r="U1301" t="s">
        <v>34752</v>
      </c>
      <c r="W1301" t="s">
        <v>30109</v>
      </c>
      <c r="X1301" t="s">
        <v>32527</v>
      </c>
    </row>
    <row r="1302" spans="1:24">
      <c r="A1302">
        <f>HYPERLINK("https://www.philgeps.gov.ph/GEPSNONPILOT/Tender/SplashBidNoticeAbstractUI.aspx?menuIndex=3&amp;refID=7045725&amp;Result=3","7045725")</f>
        <v>0</v>
      </c>
      <c r="B1302" t="s">
        <v>554</v>
      </c>
      <c r="C1302" t="s">
        <v>3926</v>
      </c>
      <c r="D1302" t="s">
        <v>12994</v>
      </c>
      <c r="E1302" t="s">
        <v>14282</v>
      </c>
      <c r="F1302" t="s">
        <v>22436</v>
      </c>
      <c r="G1302" t="s">
        <v>22443</v>
      </c>
      <c r="H1302" t="s">
        <v>22452</v>
      </c>
      <c r="I1302" t="s">
        <v>6387</v>
      </c>
      <c r="J1302" t="s">
        <v>23557</v>
      </c>
      <c r="K1302" t="s">
        <v>29356</v>
      </c>
      <c r="L1302" t="s">
        <v>554</v>
      </c>
      <c r="M1302" t="s">
        <v>30140</v>
      </c>
      <c r="N1302" t="s">
        <v>32524</v>
      </c>
      <c r="O1302" t="s">
        <v>32525</v>
      </c>
      <c r="P1302">
        <v>0</v>
      </c>
      <c r="Q1302">
        <v>0</v>
      </c>
      <c r="R1302" t="s">
        <v>32526</v>
      </c>
      <c r="S1302" t="s">
        <v>32547</v>
      </c>
      <c r="T1302" t="s">
        <v>33161</v>
      </c>
      <c r="U1302" t="s">
        <v>34753</v>
      </c>
      <c r="W1302" t="s">
        <v>30140</v>
      </c>
      <c r="X1302" t="s">
        <v>32527</v>
      </c>
    </row>
    <row r="1303" spans="1:24">
      <c r="A1303">
        <f>HYPERLINK("https://www.philgeps.gov.ph/GEPSNONPILOT/Tender/SplashBidNoticeAbstractUI.aspx?menuIndex=3&amp;refID=7045724&amp;Result=3","7045724")</f>
        <v>0</v>
      </c>
      <c r="B1303" t="s">
        <v>555</v>
      </c>
      <c r="C1303" t="s">
        <v>3927</v>
      </c>
      <c r="D1303" t="s">
        <v>13029</v>
      </c>
      <c r="E1303" t="s">
        <v>14283</v>
      </c>
      <c r="F1303" t="s">
        <v>22436</v>
      </c>
      <c r="G1303" t="s">
        <v>22446</v>
      </c>
      <c r="H1303" t="s">
        <v>22452</v>
      </c>
      <c r="I1303" t="s">
        <v>22460</v>
      </c>
      <c r="J1303" t="s">
        <v>22929</v>
      </c>
      <c r="K1303" t="s">
        <v>29336</v>
      </c>
      <c r="M1303" t="s">
        <v>30141</v>
      </c>
      <c r="N1303" t="s">
        <v>32524</v>
      </c>
      <c r="O1303" t="s">
        <v>32525</v>
      </c>
      <c r="P1303">
        <v>0</v>
      </c>
      <c r="Q1303">
        <v>0</v>
      </c>
      <c r="R1303" t="s">
        <v>32526</v>
      </c>
      <c r="S1303" t="s">
        <v>32547</v>
      </c>
      <c r="T1303" t="s">
        <v>33203</v>
      </c>
      <c r="U1303" t="s">
        <v>34754</v>
      </c>
      <c r="W1303" t="s">
        <v>30141</v>
      </c>
      <c r="X1303" t="s">
        <v>32527</v>
      </c>
    </row>
    <row r="1304" spans="1:24">
      <c r="A1304">
        <f>HYPERLINK("https://www.philgeps.gov.ph/GEPSNONPILOT/Tender/SplashBidNoticeAbstractUI.aspx?menuIndex=3&amp;refID=7045698&amp;Result=3","7045698")</f>
        <v>0</v>
      </c>
      <c r="B1304" t="s">
        <v>437</v>
      </c>
      <c r="C1304" t="s">
        <v>3928</v>
      </c>
      <c r="D1304" t="s">
        <v>13023</v>
      </c>
      <c r="E1304" t="s">
        <v>14284</v>
      </c>
      <c r="F1304" t="s">
        <v>22437</v>
      </c>
      <c r="G1304" t="s">
        <v>22446</v>
      </c>
      <c r="H1304" t="s">
        <v>22453</v>
      </c>
      <c r="I1304" t="s">
        <v>3358</v>
      </c>
      <c r="J1304" t="s">
        <v>23558</v>
      </c>
      <c r="K1304" t="s">
        <v>29336</v>
      </c>
      <c r="M1304" t="s">
        <v>30018</v>
      </c>
      <c r="N1304" t="s">
        <v>32524</v>
      </c>
      <c r="O1304" t="s">
        <v>32525</v>
      </c>
      <c r="P1304">
        <v>0</v>
      </c>
      <c r="Q1304">
        <v>1</v>
      </c>
      <c r="R1304" t="s">
        <v>32526</v>
      </c>
      <c r="S1304" t="s">
        <v>32547</v>
      </c>
      <c r="T1304" t="s">
        <v>33285</v>
      </c>
      <c r="U1304" t="s">
        <v>34755</v>
      </c>
      <c r="W1304" t="s">
        <v>30018</v>
      </c>
      <c r="X1304" t="s">
        <v>32527</v>
      </c>
    </row>
    <row r="1305" spans="1:24">
      <c r="A1305">
        <f>HYPERLINK("https://www.philgeps.gov.ph/GEPSNONPILOT/Tender/SplashBidNoticeAbstractUI.aspx?menuIndex=3&amp;refID=7045722&amp;Result=3","7045722")</f>
        <v>0</v>
      </c>
      <c r="B1305" t="s">
        <v>464</v>
      </c>
      <c r="C1305" t="s">
        <v>3929</v>
      </c>
      <c r="D1305" t="s">
        <v>12994</v>
      </c>
      <c r="E1305" t="s">
        <v>14285</v>
      </c>
      <c r="F1305" t="s">
        <v>22436</v>
      </c>
      <c r="G1305" t="s">
        <v>22443</v>
      </c>
      <c r="H1305" t="s">
        <v>22452</v>
      </c>
      <c r="I1305" t="s">
        <v>22467</v>
      </c>
      <c r="J1305" t="s">
        <v>23559</v>
      </c>
      <c r="K1305" t="s">
        <v>29335</v>
      </c>
      <c r="M1305" t="s">
        <v>30142</v>
      </c>
      <c r="N1305" t="s">
        <v>32524</v>
      </c>
      <c r="O1305" t="s">
        <v>32525</v>
      </c>
      <c r="P1305">
        <v>0</v>
      </c>
      <c r="Q1305">
        <v>1</v>
      </c>
      <c r="R1305" t="s">
        <v>32526</v>
      </c>
      <c r="S1305" t="s">
        <v>32547</v>
      </c>
      <c r="T1305" t="s">
        <v>33169</v>
      </c>
      <c r="U1305" t="s">
        <v>34756</v>
      </c>
      <c r="W1305" t="s">
        <v>30046</v>
      </c>
      <c r="X1305" t="s">
        <v>32527</v>
      </c>
    </row>
    <row r="1306" spans="1:24">
      <c r="A1306">
        <f>HYPERLINK("https://www.philgeps.gov.ph/GEPSNONPILOT/Tender/SplashBidNoticeAbstractUI.aspx?menuIndex=3&amp;refID=7045726&amp;Result=3","7045726")</f>
        <v>0</v>
      </c>
      <c r="B1306" t="s">
        <v>356</v>
      </c>
      <c r="C1306" t="s">
        <v>3930</v>
      </c>
      <c r="D1306" t="s">
        <v>12993</v>
      </c>
      <c r="E1306" t="s">
        <v>14286</v>
      </c>
      <c r="F1306" t="s">
        <v>22436</v>
      </c>
      <c r="G1306" t="s">
        <v>22443</v>
      </c>
      <c r="H1306" t="s">
        <v>22452</v>
      </c>
      <c r="I1306" t="s">
        <v>22479</v>
      </c>
      <c r="J1306" t="s">
        <v>23560</v>
      </c>
      <c r="K1306" t="s">
        <v>29336</v>
      </c>
      <c r="M1306" t="s">
        <v>30143</v>
      </c>
      <c r="N1306" t="s">
        <v>32524</v>
      </c>
      <c r="O1306" t="s">
        <v>32525</v>
      </c>
      <c r="P1306">
        <v>0</v>
      </c>
      <c r="Q1306">
        <v>2</v>
      </c>
      <c r="R1306" t="s">
        <v>32526</v>
      </c>
      <c r="S1306" t="s">
        <v>32547</v>
      </c>
      <c r="T1306" t="s">
        <v>33228</v>
      </c>
      <c r="U1306" t="s">
        <v>34757</v>
      </c>
      <c r="W1306" t="s">
        <v>30143</v>
      </c>
      <c r="X1306" t="s">
        <v>32527</v>
      </c>
    </row>
    <row r="1307" spans="1:24">
      <c r="A1307">
        <f>HYPERLINK("https://www.philgeps.gov.ph/GEPSNONPILOT/Tender/SplashBidNoticeAbstractUI.aspx?menuIndex=3&amp;refID=7045720&amp;Result=3","7045720")</f>
        <v>0</v>
      </c>
      <c r="B1307" t="s">
        <v>556</v>
      </c>
      <c r="C1307" t="s">
        <v>3931</v>
      </c>
      <c r="D1307" t="s">
        <v>13022</v>
      </c>
      <c r="E1307" t="s">
        <v>14287</v>
      </c>
      <c r="F1307" t="s">
        <v>22436</v>
      </c>
      <c r="G1307" t="s">
        <v>22443</v>
      </c>
      <c r="H1307" t="s">
        <v>22452</v>
      </c>
      <c r="I1307" t="s">
        <v>3529</v>
      </c>
      <c r="J1307" t="s">
        <v>22695</v>
      </c>
      <c r="K1307" t="s">
        <v>29331</v>
      </c>
      <c r="M1307" t="s">
        <v>30144</v>
      </c>
      <c r="N1307" t="s">
        <v>32524</v>
      </c>
      <c r="O1307" t="s">
        <v>32525</v>
      </c>
      <c r="P1307">
        <v>0</v>
      </c>
      <c r="Q1307">
        <v>0</v>
      </c>
      <c r="R1307" t="s">
        <v>32526</v>
      </c>
      <c r="S1307" t="s">
        <v>32547</v>
      </c>
      <c r="T1307" t="s">
        <v>33182</v>
      </c>
      <c r="U1307" t="s">
        <v>34758</v>
      </c>
      <c r="W1307" t="s">
        <v>30144</v>
      </c>
      <c r="X1307" t="s">
        <v>32527</v>
      </c>
    </row>
    <row r="1308" spans="1:24">
      <c r="A1308">
        <f>HYPERLINK("https://www.philgeps.gov.ph/GEPSNONPILOT/Tender/SplashBidNoticeAbstractUI.aspx?menuIndex=3&amp;refID=7045723&amp;Result=3","7045723")</f>
        <v>0</v>
      </c>
      <c r="B1308" t="s">
        <v>557</v>
      </c>
      <c r="C1308" t="s">
        <v>3932</v>
      </c>
      <c r="D1308" t="s">
        <v>13024</v>
      </c>
      <c r="E1308" t="s">
        <v>14288</v>
      </c>
      <c r="F1308" t="s">
        <v>22436</v>
      </c>
      <c r="G1308" t="s">
        <v>22443</v>
      </c>
      <c r="H1308" t="s">
        <v>22452</v>
      </c>
      <c r="I1308" t="s">
        <v>3529</v>
      </c>
      <c r="J1308" t="s">
        <v>23561</v>
      </c>
      <c r="K1308" t="s">
        <v>29331</v>
      </c>
      <c r="M1308" t="s">
        <v>30145</v>
      </c>
      <c r="N1308" t="s">
        <v>32524</v>
      </c>
      <c r="O1308" t="s">
        <v>32525</v>
      </c>
      <c r="P1308">
        <v>0</v>
      </c>
      <c r="Q1308">
        <v>0</v>
      </c>
      <c r="R1308" t="s">
        <v>32526</v>
      </c>
      <c r="S1308" t="s">
        <v>32547</v>
      </c>
      <c r="T1308" t="s">
        <v>33197</v>
      </c>
      <c r="U1308" t="s">
        <v>34759</v>
      </c>
      <c r="W1308" t="s">
        <v>30145</v>
      </c>
      <c r="X1308" t="s">
        <v>32527</v>
      </c>
    </row>
    <row r="1309" spans="1:24">
      <c r="A1309">
        <f>HYPERLINK("https://www.philgeps.gov.ph/GEPSNONPILOT/Tender/SplashBidNoticeAbstractUI.aspx?menuIndex=3&amp;refID=7045709&amp;Result=3","7045709")</f>
        <v>0</v>
      </c>
      <c r="B1309" t="s">
        <v>238</v>
      </c>
      <c r="C1309" t="s">
        <v>3933</v>
      </c>
      <c r="D1309" t="s">
        <v>12991</v>
      </c>
      <c r="E1309" t="s">
        <v>14289</v>
      </c>
      <c r="F1309" t="s">
        <v>22436</v>
      </c>
      <c r="G1309" t="s">
        <v>22444</v>
      </c>
      <c r="H1309" t="s">
        <v>22452</v>
      </c>
      <c r="I1309" t="s">
        <v>22456</v>
      </c>
      <c r="J1309" t="s">
        <v>23477</v>
      </c>
      <c r="K1309" t="s">
        <v>29331</v>
      </c>
      <c r="M1309" t="s">
        <v>29811</v>
      </c>
      <c r="N1309" t="s">
        <v>32524</v>
      </c>
      <c r="O1309" t="s">
        <v>32525</v>
      </c>
      <c r="P1309">
        <v>0</v>
      </c>
      <c r="Q1309">
        <v>0</v>
      </c>
      <c r="R1309" t="s">
        <v>32526</v>
      </c>
      <c r="S1309" t="s">
        <v>32547</v>
      </c>
      <c r="T1309" t="s">
        <v>33244</v>
      </c>
      <c r="U1309" t="s">
        <v>34760</v>
      </c>
      <c r="W1309" t="s">
        <v>29811</v>
      </c>
      <c r="X1309" t="s">
        <v>32527</v>
      </c>
    </row>
    <row r="1310" spans="1:24">
      <c r="A1310">
        <f>HYPERLINK("https://www.philgeps.gov.ph/GEPSNONPILOT/Tender/SplashBidNoticeAbstractUI.aspx?menuIndex=3&amp;refID=7045715&amp;Result=3","7045715")</f>
        <v>0</v>
      </c>
      <c r="B1310" t="s">
        <v>525</v>
      </c>
      <c r="C1310" t="s">
        <v>3934</v>
      </c>
      <c r="D1310" t="s">
        <v>13038</v>
      </c>
      <c r="E1310" t="s">
        <v>14290</v>
      </c>
      <c r="F1310" t="s">
        <v>22436</v>
      </c>
      <c r="G1310" t="s">
        <v>22444</v>
      </c>
      <c r="H1310" t="s">
        <v>22452</v>
      </c>
      <c r="I1310" t="s">
        <v>22533</v>
      </c>
      <c r="J1310" t="s">
        <v>23171</v>
      </c>
      <c r="K1310" t="s">
        <v>29338</v>
      </c>
      <c r="M1310" t="s">
        <v>30109</v>
      </c>
      <c r="N1310" t="s">
        <v>32524</v>
      </c>
      <c r="O1310" t="s">
        <v>32525</v>
      </c>
      <c r="P1310">
        <v>0</v>
      </c>
      <c r="Q1310">
        <v>0</v>
      </c>
      <c r="R1310" t="s">
        <v>32526</v>
      </c>
      <c r="S1310" t="s">
        <v>32547</v>
      </c>
      <c r="T1310" t="s">
        <v>33312</v>
      </c>
      <c r="U1310" t="s">
        <v>34761</v>
      </c>
      <c r="W1310" t="s">
        <v>30109</v>
      </c>
      <c r="X1310" t="s">
        <v>32527</v>
      </c>
    </row>
    <row r="1311" spans="1:24">
      <c r="A1311">
        <f>HYPERLINK("https://www.philgeps.gov.ph/GEPSNONPILOT/Tender/SplashBidNoticeAbstractUI.aspx?menuIndex=3&amp;refID=7045703&amp;Result=3","7045703")</f>
        <v>0</v>
      </c>
      <c r="B1311" t="s">
        <v>525</v>
      </c>
      <c r="C1311" t="s">
        <v>3935</v>
      </c>
      <c r="D1311" t="s">
        <v>13038</v>
      </c>
      <c r="E1311" t="s">
        <v>3935</v>
      </c>
      <c r="F1311" t="s">
        <v>22436</v>
      </c>
      <c r="G1311" t="s">
        <v>22444</v>
      </c>
      <c r="H1311" t="s">
        <v>22452</v>
      </c>
      <c r="I1311" t="s">
        <v>22482</v>
      </c>
      <c r="J1311" t="s">
        <v>23562</v>
      </c>
      <c r="K1311" t="s">
        <v>29335</v>
      </c>
      <c r="M1311" t="s">
        <v>30109</v>
      </c>
      <c r="N1311" t="s">
        <v>32524</v>
      </c>
      <c r="O1311" t="s">
        <v>32525</v>
      </c>
      <c r="P1311">
        <v>0</v>
      </c>
      <c r="Q1311">
        <v>2</v>
      </c>
      <c r="R1311" t="s">
        <v>32526</v>
      </c>
      <c r="S1311" t="s">
        <v>32547</v>
      </c>
      <c r="T1311" t="s">
        <v>33312</v>
      </c>
      <c r="U1311" t="s">
        <v>34762</v>
      </c>
      <c r="W1311" t="s">
        <v>30109</v>
      </c>
      <c r="X1311" t="s">
        <v>32527</v>
      </c>
    </row>
    <row r="1312" spans="1:24">
      <c r="A1312">
        <f>HYPERLINK("https://www.philgeps.gov.ph/GEPSNONPILOT/Tender/SplashBidNoticeAbstractUI.aspx?menuIndex=3&amp;refID=7045718&amp;Result=3","7045718")</f>
        <v>0</v>
      </c>
      <c r="B1312" t="s">
        <v>345</v>
      </c>
      <c r="C1312" t="s">
        <v>3936</v>
      </c>
      <c r="D1312" t="s">
        <v>13024</v>
      </c>
      <c r="E1312" t="s">
        <v>14291</v>
      </c>
      <c r="F1312" t="s">
        <v>22436</v>
      </c>
      <c r="G1312" t="s">
        <v>22443</v>
      </c>
      <c r="H1312" t="s">
        <v>22452</v>
      </c>
      <c r="I1312" t="s">
        <v>3027</v>
      </c>
      <c r="J1312" t="s">
        <v>22588</v>
      </c>
      <c r="K1312" t="s">
        <v>29335</v>
      </c>
      <c r="M1312" t="s">
        <v>29921</v>
      </c>
      <c r="N1312" t="s">
        <v>32524</v>
      </c>
      <c r="O1312" t="s">
        <v>32525</v>
      </c>
      <c r="P1312">
        <v>0</v>
      </c>
      <c r="Q1312">
        <v>0</v>
      </c>
      <c r="R1312" t="s">
        <v>32526</v>
      </c>
      <c r="S1312" t="s">
        <v>32547</v>
      </c>
      <c r="T1312" t="s">
        <v>33161</v>
      </c>
      <c r="U1312" t="s">
        <v>34763</v>
      </c>
      <c r="W1312" t="s">
        <v>29921</v>
      </c>
      <c r="X1312" t="s">
        <v>32527</v>
      </c>
    </row>
    <row r="1313" spans="1:24">
      <c r="A1313">
        <f>HYPERLINK("https://www.philgeps.gov.ph/GEPSNONPILOT/Tender/SplashBidNoticeAbstractUI.aspx?menuIndex=3&amp;refID=7045710&amp;Result=3","7045710")</f>
        <v>0</v>
      </c>
      <c r="B1313" t="s">
        <v>293</v>
      </c>
      <c r="C1313" t="s">
        <v>3937</v>
      </c>
      <c r="D1313" t="s">
        <v>13046</v>
      </c>
      <c r="E1313" t="s">
        <v>14292</v>
      </c>
      <c r="F1313" t="s">
        <v>22436</v>
      </c>
      <c r="G1313" t="s">
        <v>22447</v>
      </c>
      <c r="H1313" t="s">
        <v>22452</v>
      </c>
      <c r="I1313" t="s">
        <v>22461</v>
      </c>
      <c r="J1313" t="s">
        <v>22788</v>
      </c>
      <c r="K1313" t="s">
        <v>29341</v>
      </c>
      <c r="M1313" t="s">
        <v>29867</v>
      </c>
      <c r="N1313" t="s">
        <v>32524</v>
      </c>
      <c r="O1313" t="s">
        <v>32525</v>
      </c>
      <c r="P1313">
        <v>0</v>
      </c>
      <c r="Q1313">
        <v>0</v>
      </c>
      <c r="R1313" t="s">
        <v>32526</v>
      </c>
      <c r="S1313" t="s">
        <v>32547</v>
      </c>
      <c r="T1313" t="s">
        <v>33180</v>
      </c>
      <c r="U1313" t="s">
        <v>34764</v>
      </c>
      <c r="V1313" t="s">
        <v>42549</v>
      </c>
      <c r="W1313" t="s">
        <v>29867</v>
      </c>
      <c r="X1313" t="s">
        <v>32527</v>
      </c>
    </row>
    <row r="1314" spans="1:24">
      <c r="A1314">
        <f>HYPERLINK("https://www.philgeps.gov.ph/GEPSNONPILOT/Tender/SplashBidNoticeAbstractUI.aspx?menuIndex=3&amp;refID=7045716&amp;Result=3","7045716")</f>
        <v>0</v>
      </c>
      <c r="B1314" t="s">
        <v>558</v>
      </c>
      <c r="C1314" t="s">
        <v>3463</v>
      </c>
      <c r="E1314" t="s">
        <v>14293</v>
      </c>
      <c r="F1314" t="s">
        <v>22436</v>
      </c>
      <c r="G1314" t="s">
        <v>22444</v>
      </c>
      <c r="H1314" t="s">
        <v>22454</v>
      </c>
      <c r="I1314" t="s">
        <v>7738</v>
      </c>
      <c r="J1314" t="s">
        <v>23563</v>
      </c>
      <c r="K1314" t="s">
        <v>29398</v>
      </c>
      <c r="M1314" t="s">
        <v>30146</v>
      </c>
      <c r="N1314" t="s">
        <v>32524</v>
      </c>
      <c r="O1314" t="s">
        <v>32525</v>
      </c>
      <c r="P1314">
        <v>0</v>
      </c>
      <c r="Q1314">
        <v>0</v>
      </c>
      <c r="R1314" t="s">
        <v>32526</v>
      </c>
      <c r="S1314" t="s">
        <v>32547</v>
      </c>
      <c r="T1314" t="s">
        <v>33233</v>
      </c>
      <c r="U1314" t="s">
        <v>34765</v>
      </c>
      <c r="W1314" t="s">
        <v>30146</v>
      </c>
      <c r="X1314" t="s">
        <v>32527</v>
      </c>
    </row>
    <row r="1315" spans="1:24">
      <c r="A1315">
        <f>HYPERLINK("https://www.philgeps.gov.ph/GEPSNONPILOT/Tender/SplashBidNoticeAbstractUI.aspx?menuIndex=3&amp;refID=7045713&amp;Result=3","7045713")</f>
        <v>0</v>
      </c>
      <c r="B1315" t="s">
        <v>514</v>
      </c>
      <c r="C1315" t="s">
        <v>3938</v>
      </c>
      <c r="D1315" t="s">
        <v>13002</v>
      </c>
      <c r="E1315" t="s">
        <v>14294</v>
      </c>
      <c r="F1315" t="s">
        <v>22436</v>
      </c>
      <c r="G1315" t="s">
        <v>22443</v>
      </c>
      <c r="H1315" t="s">
        <v>22453</v>
      </c>
      <c r="I1315" t="s">
        <v>22490</v>
      </c>
      <c r="J1315" t="s">
        <v>23527</v>
      </c>
      <c r="K1315" t="s">
        <v>29335</v>
      </c>
      <c r="M1315" t="s">
        <v>30098</v>
      </c>
      <c r="N1315" t="s">
        <v>32524</v>
      </c>
      <c r="O1315" t="s">
        <v>32525</v>
      </c>
      <c r="P1315">
        <v>0</v>
      </c>
      <c r="Q1315">
        <v>0</v>
      </c>
      <c r="R1315" t="s">
        <v>32526</v>
      </c>
      <c r="S1315" t="s">
        <v>32547</v>
      </c>
      <c r="T1315" t="s">
        <v>33154</v>
      </c>
      <c r="U1315" t="s">
        <v>34766</v>
      </c>
      <c r="W1315" t="s">
        <v>30098</v>
      </c>
      <c r="X1315" t="s">
        <v>32527</v>
      </c>
    </row>
    <row r="1316" spans="1:24">
      <c r="A1316">
        <f>HYPERLINK("https://www.philgeps.gov.ph/GEPSNONPILOT/Tender/SplashBidNoticeAbstractUI.aspx?menuIndex=3&amp;refID=7045734&amp;Result=3","7045734")</f>
        <v>0</v>
      </c>
      <c r="B1316" t="s">
        <v>524</v>
      </c>
      <c r="C1316" t="s">
        <v>3939</v>
      </c>
      <c r="D1316" t="s">
        <v>13007</v>
      </c>
      <c r="E1316" t="s">
        <v>13321</v>
      </c>
      <c r="F1316" t="s">
        <v>22436</v>
      </c>
      <c r="G1316" t="s">
        <v>22443</v>
      </c>
      <c r="H1316" t="s">
        <v>22452</v>
      </c>
      <c r="I1316" t="s">
        <v>3529</v>
      </c>
      <c r="J1316" t="s">
        <v>23564</v>
      </c>
      <c r="K1316" t="s">
        <v>29340</v>
      </c>
      <c r="M1316" t="s">
        <v>30108</v>
      </c>
      <c r="N1316" t="s">
        <v>32524</v>
      </c>
      <c r="O1316" t="s">
        <v>32525</v>
      </c>
      <c r="P1316">
        <v>0</v>
      </c>
      <c r="Q1316">
        <v>0</v>
      </c>
      <c r="R1316" t="s">
        <v>32526</v>
      </c>
      <c r="S1316" t="s">
        <v>32547</v>
      </c>
      <c r="T1316" t="s">
        <v>33161</v>
      </c>
      <c r="U1316" t="s">
        <v>34767</v>
      </c>
      <c r="V1316" t="s">
        <v>42550</v>
      </c>
      <c r="W1316" t="s">
        <v>30108</v>
      </c>
      <c r="X1316" t="s">
        <v>32527</v>
      </c>
    </row>
    <row r="1317" spans="1:24">
      <c r="A1317">
        <f>HYPERLINK("https://www.philgeps.gov.ph/GEPSNONPILOT/Tender/SplashBidNoticeAbstractUI.aspx?menuIndex=3&amp;refID=7045731&amp;Result=3","7045731")</f>
        <v>0</v>
      </c>
      <c r="B1317" t="s">
        <v>91</v>
      </c>
      <c r="C1317" t="s">
        <v>3940</v>
      </c>
      <c r="D1317" t="s">
        <v>13027</v>
      </c>
      <c r="E1317" t="s">
        <v>14295</v>
      </c>
      <c r="F1317" t="s">
        <v>22436</v>
      </c>
      <c r="G1317" t="s">
        <v>22447</v>
      </c>
      <c r="H1317" t="s">
        <v>22452</v>
      </c>
      <c r="I1317" t="s">
        <v>22461</v>
      </c>
      <c r="J1317" t="s">
        <v>23565</v>
      </c>
      <c r="K1317" t="s">
        <v>29329</v>
      </c>
      <c r="M1317" t="s">
        <v>29663</v>
      </c>
      <c r="N1317" t="s">
        <v>32524</v>
      </c>
      <c r="O1317" t="s">
        <v>32525</v>
      </c>
      <c r="P1317">
        <v>0</v>
      </c>
      <c r="Q1317">
        <v>0</v>
      </c>
      <c r="R1317" t="s">
        <v>32526</v>
      </c>
      <c r="S1317" t="s">
        <v>32547</v>
      </c>
      <c r="T1317" t="s">
        <v>33197</v>
      </c>
      <c r="U1317" t="s">
        <v>34728</v>
      </c>
      <c r="W1317" t="s">
        <v>29663</v>
      </c>
      <c r="X1317" t="s">
        <v>32527</v>
      </c>
    </row>
    <row r="1318" spans="1:24">
      <c r="A1318">
        <f>HYPERLINK("https://www.philgeps.gov.ph/GEPSNONPILOT/Tender/SplashBidNoticeAbstractUI.aspx?menuIndex=3&amp;refID=7045732&amp;Result=3","7045732")</f>
        <v>0</v>
      </c>
      <c r="B1318" t="s">
        <v>547</v>
      </c>
      <c r="C1318" t="s">
        <v>3941</v>
      </c>
      <c r="D1318" t="s">
        <v>13001</v>
      </c>
      <c r="E1318" t="s">
        <v>14296</v>
      </c>
      <c r="F1318" t="s">
        <v>22436</v>
      </c>
      <c r="G1318" t="s">
        <v>22444</v>
      </c>
      <c r="H1318" t="s">
        <v>22452</v>
      </c>
      <c r="I1318" t="s">
        <v>22492</v>
      </c>
      <c r="J1318" t="s">
        <v>23215</v>
      </c>
      <c r="K1318" t="s">
        <v>29341</v>
      </c>
      <c r="M1318" t="s">
        <v>30131</v>
      </c>
      <c r="N1318" t="s">
        <v>32524</v>
      </c>
      <c r="O1318" t="s">
        <v>32525</v>
      </c>
      <c r="P1318">
        <v>0</v>
      </c>
      <c r="Q1318">
        <v>0</v>
      </c>
      <c r="R1318" t="s">
        <v>32526</v>
      </c>
      <c r="S1318" t="s">
        <v>32547</v>
      </c>
      <c r="T1318" t="s">
        <v>33252</v>
      </c>
      <c r="U1318" t="s">
        <v>34768</v>
      </c>
      <c r="V1318" t="s">
        <v>42546</v>
      </c>
      <c r="W1318" t="s">
        <v>30131</v>
      </c>
      <c r="X1318" t="s">
        <v>32527</v>
      </c>
    </row>
    <row r="1319" spans="1:24">
      <c r="A1319">
        <f>HYPERLINK("https://www.philgeps.gov.ph/GEPSNONPILOT/Tender/SplashBidNoticeAbstractUI.aspx?menuIndex=3&amp;refID=7045736&amp;Result=3","7045736")</f>
        <v>0</v>
      </c>
      <c r="B1319" t="s">
        <v>279</v>
      </c>
      <c r="C1319" t="s">
        <v>3942</v>
      </c>
      <c r="D1319" t="s">
        <v>13010</v>
      </c>
      <c r="E1319" t="s">
        <v>14297</v>
      </c>
      <c r="F1319" t="s">
        <v>22436</v>
      </c>
      <c r="G1319" t="s">
        <v>22444</v>
      </c>
      <c r="H1319" t="s">
        <v>22452</v>
      </c>
      <c r="I1319" t="s">
        <v>22458</v>
      </c>
      <c r="J1319" t="s">
        <v>23345</v>
      </c>
      <c r="K1319" t="s">
        <v>29335</v>
      </c>
      <c r="M1319" t="s">
        <v>30132</v>
      </c>
      <c r="N1319" t="s">
        <v>32524</v>
      </c>
      <c r="O1319" t="s">
        <v>32525</v>
      </c>
      <c r="P1319">
        <v>0</v>
      </c>
      <c r="Q1319">
        <v>4</v>
      </c>
      <c r="R1319" t="s">
        <v>32526</v>
      </c>
      <c r="S1319" t="s">
        <v>32547</v>
      </c>
      <c r="T1319" t="s">
        <v>33234</v>
      </c>
      <c r="U1319" t="s">
        <v>34736</v>
      </c>
      <c r="W1319" t="s">
        <v>30132</v>
      </c>
      <c r="X1319" t="s">
        <v>32527</v>
      </c>
    </row>
    <row r="1320" spans="1:24">
      <c r="A1320">
        <f>HYPERLINK("https://www.philgeps.gov.ph/GEPSNONPILOT/Tender/SplashBidNoticeAbstractUI.aspx?menuIndex=3&amp;refID=7045728&amp;Result=3","7045728")</f>
        <v>0</v>
      </c>
      <c r="B1320" t="s">
        <v>66</v>
      </c>
      <c r="C1320" t="s">
        <v>3943</v>
      </c>
      <c r="D1320" t="s">
        <v>13018</v>
      </c>
      <c r="E1320" t="s">
        <v>14298</v>
      </c>
      <c r="F1320" t="s">
        <v>22436</v>
      </c>
      <c r="G1320" t="s">
        <v>22444</v>
      </c>
      <c r="H1320" t="s">
        <v>22454</v>
      </c>
      <c r="I1320" t="s">
        <v>7738</v>
      </c>
      <c r="J1320" t="s">
        <v>23566</v>
      </c>
      <c r="K1320" t="s">
        <v>29399</v>
      </c>
      <c r="M1320" t="s">
        <v>29638</v>
      </c>
      <c r="N1320" t="s">
        <v>32524</v>
      </c>
      <c r="O1320" t="s">
        <v>32525</v>
      </c>
      <c r="P1320">
        <v>0</v>
      </c>
      <c r="Q1320">
        <v>0</v>
      </c>
      <c r="R1320" t="s">
        <v>32526</v>
      </c>
      <c r="S1320" t="s">
        <v>32547</v>
      </c>
      <c r="T1320" t="s">
        <v>33182</v>
      </c>
      <c r="U1320" t="s">
        <v>34769</v>
      </c>
      <c r="W1320" t="s">
        <v>29638</v>
      </c>
      <c r="X1320" t="s">
        <v>32527</v>
      </c>
    </row>
    <row r="1321" spans="1:24">
      <c r="A1321">
        <f>HYPERLINK("https://www.philgeps.gov.ph/GEPSNONPILOT/Tender/SplashBidNoticeAbstractUI.aspx?menuIndex=3&amp;refID=7045737&amp;Result=3","7045737")</f>
        <v>0</v>
      </c>
      <c r="B1321" t="s">
        <v>559</v>
      </c>
      <c r="C1321" t="s">
        <v>3944</v>
      </c>
      <c r="D1321" t="s">
        <v>13001</v>
      </c>
      <c r="E1321" t="s">
        <v>14299</v>
      </c>
      <c r="F1321" t="s">
        <v>22436</v>
      </c>
      <c r="G1321" t="s">
        <v>22444</v>
      </c>
      <c r="H1321" t="s">
        <v>22452</v>
      </c>
      <c r="I1321" t="s">
        <v>3529</v>
      </c>
      <c r="J1321" t="s">
        <v>23567</v>
      </c>
      <c r="K1321" t="s">
        <v>29330</v>
      </c>
      <c r="M1321" t="s">
        <v>30147</v>
      </c>
      <c r="N1321" t="s">
        <v>32524</v>
      </c>
      <c r="O1321" t="s">
        <v>32525</v>
      </c>
      <c r="P1321">
        <v>0</v>
      </c>
      <c r="Q1321">
        <v>1</v>
      </c>
      <c r="R1321" t="s">
        <v>32526</v>
      </c>
      <c r="S1321" t="s">
        <v>32547</v>
      </c>
      <c r="T1321" t="s">
        <v>33182</v>
      </c>
      <c r="U1321" t="s">
        <v>34770</v>
      </c>
      <c r="W1321" t="s">
        <v>30147</v>
      </c>
      <c r="X1321" t="s">
        <v>32527</v>
      </c>
    </row>
    <row r="1322" spans="1:24">
      <c r="A1322">
        <f>HYPERLINK("https://www.philgeps.gov.ph/GEPSNONPILOT/Tender/SplashBidNoticeAbstractUI.aspx?menuIndex=3&amp;refID=7045755&amp;Result=3","7045755")</f>
        <v>0</v>
      </c>
      <c r="B1322" t="s">
        <v>220</v>
      </c>
      <c r="C1322" t="s">
        <v>3945</v>
      </c>
      <c r="D1322" t="s">
        <v>13037</v>
      </c>
      <c r="E1322" t="s">
        <v>14300</v>
      </c>
      <c r="F1322" t="s">
        <v>22436</v>
      </c>
      <c r="G1322" t="s">
        <v>22446</v>
      </c>
      <c r="H1322" t="s">
        <v>22452</v>
      </c>
      <c r="I1322" t="s">
        <v>2981</v>
      </c>
      <c r="J1322" t="s">
        <v>23568</v>
      </c>
      <c r="K1322" t="s">
        <v>29336</v>
      </c>
      <c r="M1322" t="s">
        <v>29793</v>
      </c>
      <c r="N1322" t="s">
        <v>32524</v>
      </c>
      <c r="O1322" t="s">
        <v>32525</v>
      </c>
      <c r="P1322">
        <v>0</v>
      </c>
      <c r="Q1322">
        <v>0</v>
      </c>
      <c r="R1322" t="s">
        <v>32526</v>
      </c>
      <c r="S1322" t="s">
        <v>32547</v>
      </c>
      <c r="T1322" t="s">
        <v>33209</v>
      </c>
      <c r="U1322" t="s">
        <v>34035</v>
      </c>
      <c r="W1322" t="s">
        <v>29793</v>
      </c>
      <c r="X1322" t="s">
        <v>32527</v>
      </c>
    </row>
    <row r="1323" spans="1:24">
      <c r="A1323">
        <f>HYPERLINK("https://www.philgeps.gov.ph/GEPSNONPILOT/Tender/SplashBidNoticeAbstractUI.aspx?menuIndex=3&amp;refID=7045727&amp;Result=3","7045727")</f>
        <v>0</v>
      </c>
      <c r="B1323" t="s">
        <v>437</v>
      </c>
      <c r="C1323" t="s">
        <v>3946</v>
      </c>
      <c r="D1323" t="s">
        <v>13023</v>
      </c>
      <c r="E1323" t="s">
        <v>14301</v>
      </c>
      <c r="F1323" t="s">
        <v>22437</v>
      </c>
      <c r="G1323" t="s">
        <v>22446</v>
      </c>
      <c r="H1323" t="s">
        <v>22452</v>
      </c>
      <c r="I1323" t="s">
        <v>22502</v>
      </c>
      <c r="J1323" t="s">
        <v>23569</v>
      </c>
      <c r="K1323" t="s">
        <v>29336</v>
      </c>
      <c r="M1323" t="s">
        <v>30018</v>
      </c>
      <c r="N1323" t="s">
        <v>32524</v>
      </c>
      <c r="O1323" t="s">
        <v>32525</v>
      </c>
      <c r="P1323">
        <v>0</v>
      </c>
      <c r="Q1323">
        <v>7</v>
      </c>
      <c r="R1323" t="s">
        <v>32526</v>
      </c>
      <c r="S1323" t="s">
        <v>32547</v>
      </c>
      <c r="T1323" t="s">
        <v>33285</v>
      </c>
      <c r="U1323" t="s">
        <v>34771</v>
      </c>
      <c r="W1323" t="s">
        <v>30018</v>
      </c>
      <c r="X1323" t="s">
        <v>32527</v>
      </c>
    </row>
    <row r="1324" spans="1:24">
      <c r="A1324">
        <f>HYPERLINK("https://www.philgeps.gov.ph/GEPSNONPILOT/Tender/SplashBidNoticeAbstractUI.aspx?menuIndex=3&amp;refID=7045747&amp;Result=3","7045747")</f>
        <v>0</v>
      </c>
      <c r="B1324" t="s">
        <v>554</v>
      </c>
      <c r="C1324" t="s">
        <v>3947</v>
      </c>
      <c r="D1324" t="s">
        <v>12994</v>
      </c>
      <c r="E1324" t="s">
        <v>14302</v>
      </c>
      <c r="F1324" t="s">
        <v>22436</v>
      </c>
      <c r="G1324" t="s">
        <v>22443</v>
      </c>
      <c r="H1324" t="s">
        <v>22452</v>
      </c>
      <c r="I1324" t="s">
        <v>12358</v>
      </c>
      <c r="J1324" t="s">
        <v>23570</v>
      </c>
      <c r="K1324" t="s">
        <v>29356</v>
      </c>
      <c r="L1324" t="s">
        <v>554</v>
      </c>
      <c r="M1324" t="s">
        <v>30140</v>
      </c>
      <c r="N1324" t="s">
        <v>32524</v>
      </c>
      <c r="O1324" t="s">
        <v>32525</v>
      </c>
      <c r="P1324">
        <v>0</v>
      </c>
      <c r="Q1324">
        <v>0</v>
      </c>
      <c r="R1324" t="s">
        <v>32526</v>
      </c>
      <c r="S1324" t="s">
        <v>32547</v>
      </c>
      <c r="T1324" t="s">
        <v>33167</v>
      </c>
      <c r="U1324" t="s">
        <v>34772</v>
      </c>
      <c r="W1324" t="s">
        <v>30140</v>
      </c>
      <c r="X1324" t="s">
        <v>32527</v>
      </c>
    </row>
    <row r="1325" spans="1:24">
      <c r="A1325">
        <f>HYPERLINK("https://www.philgeps.gov.ph/GEPSNONPILOT/Tender/SplashBidNoticeAbstractUI.aspx?menuIndex=3&amp;refID=7045712&amp;Result=3","7045712")</f>
        <v>0</v>
      </c>
      <c r="B1325" t="s">
        <v>220</v>
      </c>
      <c r="C1325" t="s">
        <v>3948</v>
      </c>
      <c r="D1325" t="s">
        <v>13037</v>
      </c>
      <c r="E1325" t="s">
        <v>14303</v>
      </c>
      <c r="F1325" t="s">
        <v>22436</v>
      </c>
      <c r="G1325" t="s">
        <v>22446</v>
      </c>
      <c r="H1325" t="s">
        <v>22452</v>
      </c>
      <c r="I1325" t="s">
        <v>4688</v>
      </c>
      <c r="J1325" t="s">
        <v>23571</v>
      </c>
      <c r="K1325" t="s">
        <v>29336</v>
      </c>
      <c r="M1325" t="s">
        <v>29793</v>
      </c>
      <c r="N1325" t="s">
        <v>32524</v>
      </c>
      <c r="O1325" t="s">
        <v>32525</v>
      </c>
      <c r="P1325">
        <v>0</v>
      </c>
      <c r="Q1325">
        <v>0</v>
      </c>
      <c r="R1325" t="s">
        <v>32526</v>
      </c>
      <c r="S1325" t="s">
        <v>32547</v>
      </c>
      <c r="T1325" t="s">
        <v>33209</v>
      </c>
      <c r="U1325" t="s">
        <v>34773</v>
      </c>
      <c r="W1325" t="s">
        <v>29793</v>
      </c>
      <c r="X1325" t="s">
        <v>32527</v>
      </c>
    </row>
    <row r="1326" spans="1:24">
      <c r="A1326">
        <f>HYPERLINK("https://www.philgeps.gov.ph/GEPSNONPILOT/Tender/SplashBidNoticeAbstractUI.aspx?menuIndex=3&amp;refID=7045756&amp;Result=3","7045756")</f>
        <v>0</v>
      </c>
      <c r="B1326" t="s">
        <v>41</v>
      </c>
      <c r="C1326" t="s">
        <v>3949</v>
      </c>
      <c r="D1326" t="s">
        <v>13002</v>
      </c>
      <c r="E1326" t="s">
        <v>14304</v>
      </c>
      <c r="F1326" t="s">
        <v>22436</v>
      </c>
      <c r="G1326" t="s">
        <v>22443</v>
      </c>
      <c r="H1326" t="s">
        <v>22452</v>
      </c>
      <c r="I1326" t="s">
        <v>22510</v>
      </c>
      <c r="J1326" t="s">
        <v>22605</v>
      </c>
      <c r="K1326" t="s">
        <v>29335</v>
      </c>
      <c r="M1326" t="s">
        <v>29612</v>
      </c>
      <c r="N1326" t="s">
        <v>32524</v>
      </c>
      <c r="O1326" t="s">
        <v>32525</v>
      </c>
      <c r="P1326">
        <v>0</v>
      </c>
      <c r="Q1326">
        <v>0</v>
      </c>
      <c r="R1326" t="s">
        <v>32526</v>
      </c>
      <c r="S1326" t="s">
        <v>32547</v>
      </c>
      <c r="T1326" t="s">
        <v>33181</v>
      </c>
      <c r="U1326" t="s">
        <v>34774</v>
      </c>
      <c r="W1326" t="s">
        <v>29612</v>
      </c>
      <c r="X1326" t="s">
        <v>32527</v>
      </c>
    </row>
    <row r="1327" spans="1:24">
      <c r="A1327">
        <f>HYPERLINK("https://www.philgeps.gov.ph/GEPSNONPILOT/Tender/SplashBidNoticeAbstractUI.aspx?menuIndex=3&amp;refID=7045746&amp;Result=3","7045746")</f>
        <v>0</v>
      </c>
      <c r="B1327" t="s">
        <v>560</v>
      </c>
      <c r="C1327" t="s">
        <v>3950</v>
      </c>
      <c r="D1327" t="s">
        <v>13002</v>
      </c>
      <c r="E1327" t="s">
        <v>14305</v>
      </c>
      <c r="F1327" t="s">
        <v>22436</v>
      </c>
      <c r="G1327" t="s">
        <v>22446</v>
      </c>
      <c r="H1327" t="s">
        <v>22452</v>
      </c>
      <c r="I1327" t="s">
        <v>3381</v>
      </c>
      <c r="J1327" t="s">
        <v>22654</v>
      </c>
      <c r="K1327" t="s">
        <v>29335</v>
      </c>
      <c r="M1327" t="s">
        <v>30148</v>
      </c>
      <c r="N1327" t="s">
        <v>32524</v>
      </c>
      <c r="O1327" t="s">
        <v>32525</v>
      </c>
      <c r="P1327">
        <v>0</v>
      </c>
      <c r="Q1327">
        <v>0</v>
      </c>
      <c r="R1327" t="s">
        <v>32526</v>
      </c>
      <c r="S1327" t="s">
        <v>32547</v>
      </c>
      <c r="T1327" t="s">
        <v>33171</v>
      </c>
      <c r="U1327" t="s">
        <v>34775</v>
      </c>
      <c r="W1327" t="s">
        <v>30148</v>
      </c>
      <c r="X1327" t="s">
        <v>32527</v>
      </c>
    </row>
    <row r="1328" spans="1:24">
      <c r="A1328">
        <f>HYPERLINK("https://www.philgeps.gov.ph/GEPSNONPILOT/Tender/SplashBidNoticeAbstractUI.aspx?menuIndex=3&amp;refID=7045748&amp;Result=3","7045748")</f>
        <v>0</v>
      </c>
      <c r="B1328" t="s">
        <v>561</v>
      </c>
      <c r="C1328" t="s">
        <v>3951</v>
      </c>
      <c r="D1328" t="s">
        <v>13068</v>
      </c>
      <c r="E1328" t="s">
        <v>14306</v>
      </c>
      <c r="F1328" t="s">
        <v>22436</v>
      </c>
      <c r="G1328" t="s">
        <v>22445</v>
      </c>
      <c r="H1328" t="s">
        <v>22452</v>
      </c>
      <c r="I1328" t="s">
        <v>5194</v>
      </c>
      <c r="J1328" t="s">
        <v>23572</v>
      </c>
      <c r="K1328" t="s">
        <v>29336</v>
      </c>
      <c r="M1328" t="s">
        <v>30149</v>
      </c>
      <c r="N1328" t="s">
        <v>32524</v>
      </c>
      <c r="O1328" t="s">
        <v>32525</v>
      </c>
      <c r="P1328">
        <v>0</v>
      </c>
      <c r="Q1328">
        <v>1</v>
      </c>
      <c r="R1328" t="s">
        <v>32526</v>
      </c>
      <c r="S1328" t="s">
        <v>32547</v>
      </c>
      <c r="T1328" t="s">
        <v>33183</v>
      </c>
      <c r="U1328" t="s">
        <v>34776</v>
      </c>
      <c r="W1328" t="s">
        <v>30149</v>
      </c>
      <c r="X1328" t="s">
        <v>32527</v>
      </c>
    </row>
    <row r="1329" spans="1:24">
      <c r="A1329">
        <f>HYPERLINK("https://www.philgeps.gov.ph/GEPSNONPILOT/Tender/SplashBidNoticeAbstractUI.aspx?menuIndex=3&amp;refID=7045740&amp;Result=3","7045740")</f>
        <v>0</v>
      </c>
      <c r="B1329" t="s">
        <v>551</v>
      </c>
      <c r="C1329" t="s">
        <v>3952</v>
      </c>
      <c r="D1329" t="s">
        <v>13019</v>
      </c>
      <c r="E1329" t="s">
        <v>14307</v>
      </c>
      <c r="F1329" t="s">
        <v>22436</v>
      </c>
      <c r="G1329" t="s">
        <v>22443</v>
      </c>
      <c r="H1329" t="s">
        <v>22452</v>
      </c>
      <c r="I1329" t="s">
        <v>3529</v>
      </c>
      <c r="J1329" t="s">
        <v>23573</v>
      </c>
      <c r="K1329" t="s">
        <v>29331</v>
      </c>
      <c r="M1329" t="s">
        <v>30137</v>
      </c>
      <c r="N1329" t="s">
        <v>32524</v>
      </c>
      <c r="O1329" t="s">
        <v>32525</v>
      </c>
      <c r="P1329">
        <v>0</v>
      </c>
      <c r="Q1329">
        <v>1</v>
      </c>
      <c r="R1329" t="s">
        <v>32526</v>
      </c>
      <c r="S1329" t="s">
        <v>32547</v>
      </c>
      <c r="T1329" t="s">
        <v>33154</v>
      </c>
      <c r="U1329" t="s">
        <v>34744</v>
      </c>
      <c r="W1329" t="s">
        <v>30137</v>
      </c>
      <c r="X1329" t="s">
        <v>32527</v>
      </c>
    </row>
    <row r="1330" spans="1:24">
      <c r="A1330">
        <f>HYPERLINK("https://www.philgeps.gov.ph/GEPSNONPILOT/Tender/SplashBidNoticeAbstractUI.aspx?menuIndex=3&amp;refID=7045745&amp;Result=3","7045745")</f>
        <v>0</v>
      </c>
      <c r="B1330" t="s">
        <v>539</v>
      </c>
      <c r="C1330" t="s">
        <v>3953</v>
      </c>
      <c r="D1330" t="s">
        <v>13001</v>
      </c>
      <c r="E1330" t="s">
        <v>14308</v>
      </c>
      <c r="F1330" t="s">
        <v>22436</v>
      </c>
      <c r="G1330" t="s">
        <v>22443</v>
      </c>
      <c r="H1330" t="s">
        <v>22454</v>
      </c>
      <c r="I1330" t="s">
        <v>7738</v>
      </c>
      <c r="J1330" t="s">
        <v>23574</v>
      </c>
      <c r="K1330" t="s">
        <v>29338</v>
      </c>
      <c r="M1330" t="s">
        <v>30123</v>
      </c>
      <c r="N1330" t="s">
        <v>32524</v>
      </c>
      <c r="O1330" t="s">
        <v>32525</v>
      </c>
      <c r="P1330">
        <v>0</v>
      </c>
      <c r="Q1330">
        <v>5</v>
      </c>
      <c r="R1330" t="s">
        <v>32526</v>
      </c>
      <c r="S1330" t="s">
        <v>32547</v>
      </c>
      <c r="T1330" t="s">
        <v>33197</v>
      </c>
      <c r="U1330" t="s">
        <v>34777</v>
      </c>
      <c r="W1330" t="s">
        <v>30123</v>
      </c>
      <c r="X1330" t="s">
        <v>32527</v>
      </c>
    </row>
    <row r="1331" spans="1:24">
      <c r="A1331">
        <f>HYPERLINK("https://www.philgeps.gov.ph/GEPSNONPILOT/Tender/SplashBidNoticeAbstractUI.aspx?menuIndex=3&amp;refID=7045753&amp;Result=3","7045753")</f>
        <v>0</v>
      </c>
      <c r="B1331" t="s">
        <v>238</v>
      </c>
      <c r="C1331" t="s">
        <v>3954</v>
      </c>
      <c r="D1331" t="s">
        <v>12991</v>
      </c>
      <c r="E1331" t="s">
        <v>14309</v>
      </c>
      <c r="F1331" t="s">
        <v>22436</v>
      </c>
      <c r="G1331" t="s">
        <v>22444</v>
      </c>
      <c r="H1331" t="s">
        <v>22452</v>
      </c>
      <c r="I1331" t="s">
        <v>22460</v>
      </c>
      <c r="J1331" t="s">
        <v>23575</v>
      </c>
      <c r="K1331" t="s">
        <v>29331</v>
      </c>
      <c r="M1331" t="s">
        <v>29811</v>
      </c>
      <c r="N1331" t="s">
        <v>32524</v>
      </c>
      <c r="O1331" t="s">
        <v>32525</v>
      </c>
      <c r="P1331">
        <v>0</v>
      </c>
      <c r="Q1331">
        <v>0</v>
      </c>
      <c r="R1331" t="s">
        <v>32526</v>
      </c>
      <c r="S1331" t="s">
        <v>32547</v>
      </c>
      <c r="T1331" t="s">
        <v>33244</v>
      </c>
      <c r="U1331" t="s">
        <v>34778</v>
      </c>
      <c r="W1331" t="s">
        <v>29811</v>
      </c>
      <c r="X1331" t="s">
        <v>32527</v>
      </c>
    </row>
    <row r="1332" spans="1:24">
      <c r="A1332">
        <f>HYPERLINK("https://www.philgeps.gov.ph/GEPSNONPILOT/Tender/SplashBidNoticeAbstractUI.aspx?menuIndex=3&amp;refID=7045739&amp;Result=3","7045739")</f>
        <v>0</v>
      </c>
      <c r="B1332" t="s">
        <v>223</v>
      </c>
      <c r="C1332" t="s">
        <v>3955</v>
      </c>
      <c r="D1332" t="s">
        <v>13024</v>
      </c>
      <c r="E1332" t="s">
        <v>14310</v>
      </c>
      <c r="F1332" t="s">
        <v>22436</v>
      </c>
      <c r="G1332" t="s">
        <v>22446</v>
      </c>
      <c r="H1332" t="s">
        <v>22452</v>
      </c>
      <c r="I1332" t="s">
        <v>3529</v>
      </c>
      <c r="J1332" t="s">
        <v>23576</v>
      </c>
      <c r="K1332" t="s">
        <v>29336</v>
      </c>
      <c r="M1332" t="s">
        <v>29796</v>
      </c>
      <c r="N1332" t="s">
        <v>32524</v>
      </c>
      <c r="O1332" t="s">
        <v>32525</v>
      </c>
      <c r="P1332">
        <v>0</v>
      </c>
      <c r="Q1332">
        <v>0</v>
      </c>
      <c r="R1332" t="s">
        <v>32526</v>
      </c>
      <c r="S1332" t="s">
        <v>32547</v>
      </c>
      <c r="T1332" t="s">
        <v>33180</v>
      </c>
      <c r="U1332" t="s">
        <v>34779</v>
      </c>
      <c r="W1332" t="s">
        <v>29796</v>
      </c>
      <c r="X1332" t="s">
        <v>32527</v>
      </c>
    </row>
    <row r="1333" spans="1:24">
      <c r="A1333">
        <f>HYPERLINK("https://www.philgeps.gov.ph/GEPSNONPILOT/Tender/SplashBidNoticeAbstractUI.aspx?menuIndex=3&amp;refID=7045738&amp;Result=3","7045738")</f>
        <v>0</v>
      </c>
      <c r="B1333" t="s">
        <v>562</v>
      </c>
      <c r="C1333" t="s">
        <v>3956</v>
      </c>
      <c r="D1333" t="s">
        <v>13023</v>
      </c>
      <c r="E1333" t="s">
        <v>14311</v>
      </c>
      <c r="F1333" t="s">
        <v>22436</v>
      </c>
      <c r="G1333" t="s">
        <v>22443</v>
      </c>
      <c r="H1333" t="s">
        <v>22452</v>
      </c>
      <c r="I1333" t="s">
        <v>22463</v>
      </c>
      <c r="J1333" t="s">
        <v>23577</v>
      </c>
      <c r="K1333" t="s">
        <v>29356</v>
      </c>
      <c r="M1333" t="s">
        <v>30150</v>
      </c>
      <c r="N1333" t="s">
        <v>32524</v>
      </c>
      <c r="O1333" t="s">
        <v>32525</v>
      </c>
      <c r="P1333">
        <v>0</v>
      </c>
      <c r="Q1333">
        <v>3</v>
      </c>
      <c r="R1333" t="s">
        <v>32526</v>
      </c>
      <c r="S1333" t="s">
        <v>32547</v>
      </c>
      <c r="T1333" t="s">
        <v>33221</v>
      </c>
      <c r="U1333" t="s">
        <v>34780</v>
      </c>
      <c r="W1333" t="s">
        <v>30150</v>
      </c>
      <c r="X1333" t="s">
        <v>32527</v>
      </c>
    </row>
    <row r="1334" spans="1:24">
      <c r="A1334">
        <f>HYPERLINK("https://www.philgeps.gov.ph/GEPSNONPILOT/Tender/SplashBidNoticeAbstractUI.aspx?menuIndex=3&amp;refID=7045749&amp;Result=3","7045749")</f>
        <v>0</v>
      </c>
      <c r="B1334" t="s">
        <v>401</v>
      </c>
      <c r="C1334" t="s">
        <v>3957</v>
      </c>
      <c r="D1334" t="s">
        <v>13044</v>
      </c>
      <c r="E1334" t="s">
        <v>14312</v>
      </c>
      <c r="F1334" t="s">
        <v>22436</v>
      </c>
      <c r="G1334" t="s">
        <v>22443</v>
      </c>
      <c r="H1334" t="s">
        <v>22452</v>
      </c>
      <c r="I1334" t="s">
        <v>22460</v>
      </c>
      <c r="J1334" t="s">
        <v>23578</v>
      </c>
      <c r="K1334" t="s">
        <v>29340</v>
      </c>
      <c r="M1334" t="s">
        <v>29980</v>
      </c>
      <c r="N1334" t="s">
        <v>32524</v>
      </c>
      <c r="O1334" t="s">
        <v>32525</v>
      </c>
      <c r="P1334">
        <v>0</v>
      </c>
      <c r="Q1334">
        <v>0</v>
      </c>
      <c r="R1334" t="s">
        <v>32526</v>
      </c>
      <c r="S1334" t="s">
        <v>32547</v>
      </c>
      <c r="T1334" t="s">
        <v>33210</v>
      </c>
      <c r="U1334" t="s">
        <v>34700</v>
      </c>
      <c r="W1334" t="s">
        <v>29980</v>
      </c>
      <c r="X1334" t="s">
        <v>32527</v>
      </c>
    </row>
    <row r="1335" spans="1:24">
      <c r="A1335">
        <f>HYPERLINK("https://www.philgeps.gov.ph/GEPSNONPILOT/Tender/SplashBidNoticeAbstractUI.aspx?menuIndex=3&amp;refID=7045765&amp;Result=3","7045765")</f>
        <v>0</v>
      </c>
      <c r="B1335" t="s">
        <v>563</v>
      </c>
      <c r="C1335" t="s">
        <v>3958</v>
      </c>
      <c r="D1335" t="s">
        <v>13018</v>
      </c>
      <c r="E1335" t="s">
        <v>14313</v>
      </c>
      <c r="F1335" t="s">
        <v>22436</v>
      </c>
      <c r="G1335" t="s">
        <v>22444</v>
      </c>
      <c r="H1335" t="s">
        <v>22454</v>
      </c>
      <c r="I1335" t="s">
        <v>22471</v>
      </c>
      <c r="J1335" t="s">
        <v>23579</v>
      </c>
      <c r="K1335" t="s">
        <v>29330</v>
      </c>
      <c r="M1335" t="s">
        <v>30151</v>
      </c>
      <c r="N1335" t="s">
        <v>32524</v>
      </c>
      <c r="O1335" t="s">
        <v>32525</v>
      </c>
      <c r="P1335">
        <v>0</v>
      </c>
      <c r="Q1335">
        <v>1</v>
      </c>
      <c r="R1335" t="s">
        <v>32526</v>
      </c>
      <c r="S1335" t="s">
        <v>32547</v>
      </c>
      <c r="T1335" t="s">
        <v>33234</v>
      </c>
      <c r="U1335" t="s">
        <v>34781</v>
      </c>
      <c r="W1335" t="s">
        <v>30151</v>
      </c>
      <c r="X1335" t="s">
        <v>32527</v>
      </c>
    </row>
    <row r="1336" spans="1:24">
      <c r="A1336">
        <f>HYPERLINK("https://www.philgeps.gov.ph/GEPSNONPILOT/Tender/SplashBidNoticeAbstractUI.aspx?menuIndex=3&amp;refID=7045744&amp;Result=3","7045744")</f>
        <v>0</v>
      </c>
      <c r="B1336" t="s">
        <v>433</v>
      </c>
      <c r="C1336" t="s">
        <v>3959</v>
      </c>
      <c r="D1336" t="s">
        <v>13015</v>
      </c>
      <c r="E1336" t="s">
        <v>14314</v>
      </c>
      <c r="F1336" t="s">
        <v>22436</v>
      </c>
      <c r="G1336" t="s">
        <v>22443</v>
      </c>
      <c r="H1336" t="s">
        <v>22452</v>
      </c>
      <c r="I1336" t="s">
        <v>22486</v>
      </c>
      <c r="J1336" t="s">
        <v>22785</v>
      </c>
      <c r="K1336" t="s">
        <v>29338</v>
      </c>
      <c r="M1336" t="s">
        <v>30014</v>
      </c>
      <c r="N1336" t="s">
        <v>32524</v>
      </c>
      <c r="O1336" t="s">
        <v>32525</v>
      </c>
      <c r="P1336">
        <v>0</v>
      </c>
      <c r="Q1336">
        <v>1</v>
      </c>
      <c r="R1336" t="s">
        <v>32526</v>
      </c>
      <c r="S1336" t="s">
        <v>32547</v>
      </c>
      <c r="T1336" t="s">
        <v>33186</v>
      </c>
      <c r="U1336" t="s">
        <v>34782</v>
      </c>
      <c r="W1336" t="s">
        <v>30014</v>
      </c>
      <c r="X1336" t="s">
        <v>32527</v>
      </c>
    </row>
    <row r="1337" spans="1:24">
      <c r="A1337">
        <f>HYPERLINK("https://www.philgeps.gov.ph/GEPSNONPILOT/Tender/SplashBidNoticeAbstractUI.aspx?menuIndex=3&amp;refID=7045760&amp;Result=3","7045760")</f>
        <v>0</v>
      </c>
      <c r="B1337" t="s">
        <v>564</v>
      </c>
      <c r="C1337" t="s">
        <v>3960</v>
      </c>
      <c r="D1337" t="s">
        <v>13045</v>
      </c>
      <c r="E1337" t="s">
        <v>13137</v>
      </c>
      <c r="F1337" t="s">
        <v>22436</v>
      </c>
      <c r="G1337" t="s">
        <v>22446</v>
      </c>
      <c r="H1337" t="s">
        <v>22452</v>
      </c>
      <c r="I1337" t="s">
        <v>3529</v>
      </c>
      <c r="J1337" t="s">
        <v>22607</v>
      </c>
      <c r="K1337" t="s">
        <v>29337</v>
      </c>
      <c r="M1337" t="s">
        <v>30152</v>
      </c>
      <c r="N1337" t="s">
        <v>32524</v>
      </c>
      <c r="O1337" t="s">
        <v>32525</v>
      </c>
      <c r="P1337">
        <v>0</v>
      </c>
      <c r="Q1337">
        <v>0</v>
      </c>
      <c r="R1337" t="s">
        <v>32526</v>
      </c>
      <c r="S1337" t="s">
        <v>32547</v>
      </c>
      <c r="T1337" t="s">
        <v>33227</v>
      </c>
      <c r="U1337" t="s">
        <v>34783</v>
      </c>
      <c r="W1337" t="s">
        <v>30152</v>
      </c>
      <c r="X1337" t="s">
        <v>32527</v>
      </c>
    </row>
    <row r="1338" spans="1:24">
      <c r="A1338">
        <f>HYPERLINK("https://www.philgeps.gov.ph/GEPSNONPILOT/Tender/SplashBidNoticeAbstractUI.aspx?menuIndex=3&amp;refID=7045742&amp;Result=3","7045742")</f>
        <v>0</v>
      </c>
      <c r="B1338" t="s">
        <v>565</v>
      </c>
      <c r="C1338" t="s">
        <v>3961</v>
      </c>
      <c r="D1338" t="s">
        <v>13044</v>
      </c>
      <c r="E1338" t="s">
        <v>14315</v>
      </c>
      <c r="F1338" t="s">
        <v>22436</v>
      </c>
      <c r="G1338" t="s">
        <v>22445</v>
      </c>
      <c r="H1338" t="s">
        <v>22452</v>
      </c>
      <c r="I1338" t="s">
        <v>11896</v>
      </c>
      <c r="J1338" t="s">
        <v>23580</v>
      </c>
      <c r="K1338" t="s">
        <v>29336</v>
      </c>
      <c r="M1338" t="s">
        <v>30153</v>
      </c>
      <c r="N1338" t="s">
        <v>32524</v>
      </c>
      <c r="O1338" t="s">
        <v>32525</v>
      </c>
      <c r="P1338">
        <v>0</v>
      </c>
      <c r="Q1338">
        <v>1</v>
      </c>
      <c r="R1338" t="s">
        <v>32526</v>
      </c>
      <c r="S1338" t="s">
        <v>32547</v>
      </c>
      <c r="T1338" t="s">
        <v>33169</v>
      </c>
      <c r="U1338" t="s">
        <v>34784</v>
      </c>
      <c r="W1338" t="s">
        <v>30153</v>
      </c>
      <c r="X1338" t="s">
        <v>32527</v>
      </c>
    </row>
    <row r="1339" spans="1:24">
      <c r="A1339">
        <f>HYPERLINK("https://www.philgeps.gov.ph/GEPSNONPILOT/Tender/SplashBidNoticeAbstractUI.aspx?menuIndex=3&amp;refID=7045764&amp;Result=3","7045764")</f>
        <v>0</v>
      </c>
      <c r="B1339" t="s">
        <v>514</v>
      </c>
      <c r="C1339" t="s">
        <v>3962</v>
      </c>
      <c r="D1339" t="s">
        <v>13002</v>
      </c>
      <c r="E1339" t="s">
        <v>14316</v>
      </c>
      <c r="F1339" t="s">
        <v>22436</v>
      </c>
      <c r="G1339" t="s">
        <v>22443</v>
      </c>
      <c r="H1339" t="s">
        <v>22453</v>
      </c>
      <c r="I1339" t="s">
        <v>22490</v>
      </c>
      <c r="J1339" t="s">
        <v>22956</v>
      </c>
      <c r="K1339" t="s">
        <v>29335</v>
      </c>
      <c r="M1339" t="s">
        <v>30098</v>
      </c>
      <c r="N1339" t="s">
        <v>32524</v>
      </c>
      <c r="O1339" t="s">
        <v>32525</v>
      </c>
      <c r="P1339">
        <v>0</v>
      </c>
      <c r="Q1339">
        <v>0</v>
      </c>
      <c r="R1339" t="s">
        <v>32526</v>
      </c>
      <c r="S1339" t="s">
        <v>32547</v>
      </c>
      <c r="T1339" t="s">
        <v>33154</v>
      </c>
      <c r="U1339" t="s">
        <v>34785</v>
      </c>
      <c r="W1339" t="s">
        <v>30098</v>
      </c>
      <c r="X1339" t="s">
        <v>32527</v>
      </c>
    </row>
    <row r="1340" spans="1:24">
      <c r="A1340">
        <f>HYPERLINK("https://www.philgeps.gov.ph/GEPSNONPILOT/Tender/SplashBidNoticeAbstractUI.aspx?menuIndex=3&amp;refID=7045761&amp;Result=3","7045761")</f>
        <v>0</v>
      </c>
      <c r="B1340" t="s">
        <v>229</v>
      </c>
      <c r="C1340" t="s">
        <v>3963</v>
      </c>
      <c r="D1340" t="s">
        <v>13007</v>
      </c>
      <c r="E1340" t="s">
        <v>14317</v>
      </c>
      <c r="F1340" t="s">
        <v>22436</v>
      </c>
      <c r="G1340" t="s">
        <v>22443</v>
      </c>
      <c r="H1340" t="s">
        <v>22452</v>
      </c>
      <c r="I1340" t="s">
        <v>12358</v>
      </c>
      <c r="J1340" t="s">
        <v>23022</v>
      </c>
      <c r="K1340" t="s">
        <v>29338</v>
      </c>
      <c r="M1340" t="s">
        <v>29802</v>
      </c>
      <c r="N1340" t="s">
        <v>32524</v>
      </c>
      <c r="O1340" t="s">
        <v>32525</v>
      </c>
      <c r="P1340">
        <v>0</v>
      </c>
      <c r="Q1340">
        <v>1</v>
      </c>
      <c r="R1340" t="s">
        <v>32526</v>
      </c>
      <c r="S1340" t="s">
        <v>32547</v>
      </c>
      <c r="T1340" t="s">
        <v>33181</v>
      </c>
      <c r="U1340" t="s">
        <v>34786</v>
      </c>
      <c r="W1340" t="s">
        <v>29802</v>
      </c>
      <c r="X1340" t="s">
        <v>32527</v>
      </c>
    </row>
    <row r="1341" spans="1:24">
      <c r="A1341">
        <f>HYPERLINK("https://www.philgeps.gov.ph/GEPSNONPILOT/Tender/SplashBidNoticeAbstractUI.aspx?menuIndex=3&amp;refID=7045767&amp;Result=3","7045767")</f>
        <v>0</v>
      </c>
      <c r="B1341" t="s">
        <v>50</v>
      </c>
      <c r="C1341" t="s">
        <v>3964</v>
      </c>
      <c r="D1341" t="s">
        <v>13008</v>
      </c>
      <c r="E1341" t="s">
        <v>14318</v>
      </c>
      <c r="F1341" t="s">
        <v>22436</v>
      </c>
      <c r="G1341" t="s">
        <v>22444</v>
      </c>
      <c r="H1341" t="s">
        <v>22452</v>
      </c>
      <c r="I1341" t="s">
        <v>2981</v>
      </c>
      <c r="J1341" t="s">
        <v>23581</v>
      </c>
      <c r="K1341" t="s">
        <v>29335</v>
      </c>
      <c r="M1341" t="s">
        <v>29622</v>
      </c>
      <c r="N1341" t="s">
        <v>32524</v>
      </c>
      <c r="O1341" t="s">
        <v>32525</v>
      </c>
      <c r="P1341">
        <v>0</v>
      </c>
      <c r="Q1341">
        <v>1</v>
      </c>
      <c r="R1341" t="s">
        <v>32526</v>
      </c>
      <c r="S1341" t="s">
        <v>32547</v>
      </c>
      <c r="T1341" t="s">
        <v>33166</v>
      </c>
      <c r="U1341" t="s">
        <v>34787</v>
      </c>
      <c r="W1341" t="s">
        <v>29622</v>
      </c>
      <c r="X1341" t="s">
        <v>32527</v>
      </c>
    </row>
    <row r="1342" spans="1:24">
      <c r="A1342">
        <f>HYPERLINK("https://www.philgeps.gov.ph/GEPSNONPILOT/Tender/SplashBidNoticeAbstractUI.aspx?menuIndex=3&amp;refID=7045758&amp;Result=3","7045758")</f>
        <v>0</v>
      </c>
      <c r="B1342" t="s">
        <v>566</v>
      </c>
      <c r="C1342" t="s">
        <v>3965</v>
      </c>
      <c r="D1342" t="s">
        <v>13000</v>
      </c>
      <c r="E1342" t="s">
        <v>14319</v>
      </c>
      <c r="F1342" t="s">
        <v>22436</v>
      </c>
      <c r="G1342" t="s">
        <v>22443</v>
      </c>
      <c r="H1342" t="s">
        <v>22454</v>
      </c>
      <c r="I1342" t="s">
        <v>7738</v>
      </c>
      <c r="J1342" t="s">
        <v>23582</v>
      </c>
      <c r="K1342" t="s">
        <v>29341</v>
      </c>
      <c r="M1342" t="s">
        <v>30154</v>
      </c>
      <c r="N1342" t="s">
        <v>32524</v>
      </c>
      <c r="O1342" t="s">
        <v>32525</v>
      </c>
      <c r="P1342">
        <v>0</v>
      </c>
      <c r="Q1342">
        <v>0</v>
      </c>
      <c r="R1342" t="s">
        <v>32526</v>
      </c>
      <c r="S1342" t="s">
        <v>32547</v>
      </c>
      <c r="T1342" t="s">
        <v>33215</v>
      </c>
      <c r="U1342" t="s">
        <v>34788</v>
      </c>
      <c r="W1342" t="s">
        <v>30154</v>
      </c>
      <c r="X1342" t="s">
        <v>32527</v>
      </c>
    </row>
    <row r="1343" spans="1:24">
      <c r="A1343">
        <f>HYPERLINK("https://www.philgeps.gov.ph/GEPSNONPILOT/Tender/SplashBidNoticeAbstractUI.aspx?menuIndex=3&amp;refID=7045775&amp;Result=3","7045775")</f>
        <v>0</v>
      </c>
      <c r="B1343" t="s">
        <v>559</v>
      </c>
      <c r="C1343" t="s">
        <v>3966</v>
      </c>
      <c r="D1343" t="s">
        <v>13001</v>
      </c>
      <c r="E1343" t="s">
        <v>14320</v>
      </c>
      <c r="F1343" t="s">
        <v>22436</v>
      </c>
      <c r="G1343" t="s">
        <v>22444</v>
      </c>
      <c r="H1343" t="s">
        <v>22452</v>
      </c>
      <c r="I1343" t="s">
        <v>22504</v>
      </c>
      <c r="J1343" t="s">
        <v>23583</v>
      </c>
      <c r="K1343" t="s">
        <v>29330</v>
      </c>
      <c r="M1343" t="s">
        <v>30147</v>
      </c>
      <c r="N1343" t="s">
        <v>32524</v>
      </c>
      <c r="O1343" t="s">
        <v>32525</v>
      </c>
      <c r="P1343">
        <v>0</v>
      </c>
      <c r="Q1343">
        <v>1</v>
      </c>
      <c r="R1343" t="s">
        <v>32526</v>
      </c>
      <c r="S1343" t="s">
        <v>32547</v>
      </c>
      <c r="T1343" t="s">
        <v>33182</v>
      </c>
      <c r="U1343" t="s">
        <v>34770</v>
      </c>
      <c r="W1343" t="s">
        <v>30147</v>
      </c>
      <c r="X1343" t="s">
        <v>32527</v>
      </c>
    </row>
    <row r="1344" spans="1:24">
      <c r="A1344">
        <f>HYPERLINK("https://www.philgeps.gov.ph/GEPSNONPILOT/Tender/SplashBidNoticeAbstractUI.aspx?menuIndex=3&amp;refID=7045785&amp;Result=3","7045785")</f>
        <v>0</v>
      </c>
      <c r="B1344" t="s">
        <v>550</v>
      </c>
      <c r="C1344" t="s">
        <v>3967</v>
      </c>
      <c r="D1344" t="s">
        <v>12988</v>
      </c>
      <c r="E1344" t="s">
        <v>14321</v>
      </c>
      <c r="F1344" t="s">
        <v>22436</v>
      </c>
      <c r="G1344" t="s">
        <v>22443</v>
      </c>
      <c r="H1344" t="s">
        <v>22452</v>
      </c>
      <c r="I1344" t="s">
        <v>22535</v>
      </c>
      <c r="J1344" t="s">
        <v>23584</v>
      </c>
      <c r="K1344" t="s">
        <v>29338</v>
      </c>
      <c r="M1344" t="s">
        <v>30136</v>
      </c>
      <c r="N1344" t="s">
        <v>32524</v>
      </c>
      <c r="O1344" t="s">
        <v>32525</v>
      </c>
      <c r="P1344">
        <v>0</v>
      </c>
      <c r="Q1344">
        <v>0</v>
      </c>
      <c r="R1344" t="s">
        <v>32526</v>
      </c>
      <c r="S1344" t="s">
        <v>32547</v>
      </c>
      <c r="T1344" t="s">
        <v>33235</v>
      </c>
      <c r="U1344" t="s">
        <v>34743</v>
      </c>
      <c r="V1344" t="s">
        <v>42551</v>
      </c>
      <c r="W1344" t="s">
        <v>30136</v>
      </c>
      <c r="X1344" t="s">
        <v>32527</v>
      </c>
    </row>
    <row r="1345" spans="1:24">
      <c r="A1345">
        <f>HYPERLINK("https://www.philgeps.gov.ph/GEPSNONPILOT/Tender/SplashBidNoticeAbstractUI.aspx?menuIndex=3&amp;refID=7045776&amp;Result=3","7045776")</f>
        <v>0</v>
      </c>
      <c r="B1345" t="s">
        <v>567</v>
      </c>
      <c r="C1345" t="s">
        <v>3968</v>
      </c>
      <c r="D1345" t="s">
        <v>13012</v>
      </c>
      <c r="E1345" t="s">
        <v>14322</v>
      </c>
      <c r="F1345" t="s">
        <v>22436</v>
      </c>
      <c r="G1345" t="s">
        <v>22444</v>
      </c>
      <c r="H1345" t="s">
        <v>22452</v>
      </c>
      <c r="I1345" t="s">
        <v>22502</v>
      </c>
      <c r="J1345" t="s">
        <v>23585</v>
      </c>
      <c r="K1345" t="s">
        <v>29334</v>
      </c>
      <c r="M1345" t="s">
        <v>30155</v>
      </c>
      <c r="N1345" t="s">
        <v>32524</v>
      </c>
      <c r="O1345" t="s">
        <v>32525</v>
      </c>
      <c r="P1345">
        <v>0</v>
      </c>
      <c r="Q1345">
        <v>8</v>
      </c>
      <c r="R1345" t="s">
        <v>32526</v>
      </c>
      <c r="S1345" t="s">
        <v>32547</v>
      </c>
      <c r="T1345" t="s">
        <v>33315</v>
      </c>
      <c r="U1345" t="s">
        <v>34789</v>
      </c>
      <c r="V1345" t="s">
        <v>42552</v>
      </c>
      <c r="W1345" t="s">
        <v>30155</v>
      </c>
      <c r="X1345" t="s">
        <v>32527</v>
      </c>
    </row>
    <row r="1346" spans="1:24">
      <c r="A1346">
        <f>HYPERLINK("https://www.philgeps.gov.ph/GEPSNONPILOT/Tender/SplashBidNoticeAbstractUI.aspx?menuIndex=3&amp;refID=7045773&amp;Result=3","7045773")</f>
        <v>0</v>
      </c>
      <c r="B1346" t="s">
        <v>377</v>
      </c>
      <c r="C1346" t="s">
        <v>3840</v>
      </c>
      <c r="D1346" t="s">
        <v>13041</v>
      </c>
      <c r="E1346" t="s">
        <v>14323</v>
      </c>
      <c r="F1346" t="s">
        <v>22436</v>
      </c>
      <c r="G1346" t="s">
        <v>22443</v>
      </c>
      <c r="H1346" t="s">
        <v>22452</v>
      </c>
      <c r="I1346" t="s">
        <v>3840</v>
      </c>
      <c r="J1346" t="s">
        <v>23586</v>
      </c>
      <c r="K1346" t="s">
        <v>29336</v>
      </c>
      <c r="M1346" t="s">
        <v>29955</v>
      </c>
      <c r="N1346" t="s">
        <v>32524</v>
      </c>
      <c r="O1346" t="s">
        <v>32525</v>
      </c>
      <c r="P1346">
        <v>0</v>
      </c>
      <c r="Q1346">
        <v>1</v>
      </c>
      <c r="R1346" t="s">
        <v>32526</v>
      </c>
      <c r="S1346" t="s">
        <v>32547</v>
      </c>
      <c r="T1346" t="s">
        <v>33167</v>
      </c>
      <c r="U1346" t="s">
        <v>34790</v>
      </c>
      <c r="W1346" t="s">
        <v>29955</v>
      </c>
      <c r="X1346" t="s">
        <v>32527</v>
      </c>
    </row>
    <row r="1347" spans="1:24">
      <c r="A1347">
        <f>HYPERLINK("https://www.philgeps.gov.ph/GEPSNONPILOT/Tender/SplashBidNoticeAbstractUI.aspx?menuIndex=3&amp;refID=7045781&amp;Result=3","7045781")</f>
        <v>0</v>
      </c>
      <c r="B1347" t="s">
        <v>568</v>
      </c>
      <c r="C1347" t="s">
        <v>3969</v>
      </c>
      <c r="D1347" t="s">
        <v>13065</v>
      </c>
      <c r="E1347" t="s">
        <v>14324</v>
      </c>
      <c r="F1347" t="s">
        <v>22436</v>
      </c>
      <c r="G1347" t="s">
        <v>22443</v>
      </c>
      <c r="H1347" t="s">
        <v>22452</v>
      </c>
      <c r="I1347" t="s">
        <v>22499</v>
      </c>
      <c r="J1347" t="s">
        <v>23587</v>
      </c>
      <c r="K1347" t="s">
        <v>29356</v>
      </c>
      <c r="M1347" t="s">
        <v>30156</v>
      </c>
      <c r="N1347" t="s">
        <v>32524</v>
      </c>
      <c r="O1347" t="s">
        <v>32525</v>
      </c>
      <c r="P1347">
        <v>0</v>
      </c>
      <c r="Q1347">
        <v>1</v>
      </c>
      <c r="R1347" t="s">
        <v>32526</v>
      </c>
      <c r="S1347" t="s">
        <v>32547</v>
      </c>
      <c r="T1347" t="s">
        <v>33196</v>
      </c>
      <c r="U1347" t="s">
        <v>34791</v>
      </c>
      <c r="W1347" t="s">
        <v>30156</v>
      </c>
      <c r="X1347" t="s">
        <v>32527</v>
      </c>
    </row>
    <row r="1348" spans="1:24">
      <c r="A1348">
        <f>HYPERLINK("https://www.philgeps.gov.ph/GEPSNONPILOT/Tender/SplashBidNoticeAbstractUI.aspx?menuIndex=3&amp;refID=7045772&amp;Result=3","7045772")</f>
        <v>0</v>
      </c>
      <c r="B1348" t="s">
        <v>433</v>
      </c>
      <c r="C1348" t="s">
        <v>3970</v>
      </c>
      <c r="D1348" t="s">
        <v>13015</v>
      </c>
      <c r="E1348" t="s">
        <v>14325</v>
      </c>
      <c r="F1348" t="s">
        <v>22436</v>
      </c>
      <c r="G1348" t="s">
        <v>22443</v>
      </c>
      <c r="H1348" t="s">
        <v>22452</v>
      </c>
      <c r="I1348" t="s">
        <v>22460</v>
      </c>
      <c r="J1348" t="s">
        <v>23588</v>
      </c>
      <c r="K1348" t="s">
        <v>29338</v>
      </c>
      <c r="M1348" t="s">
        <v>30014</v>
      </c>
      <c r="N1348" t="s">
        <v>32524</v>
      </c>
      <c r="O1348" t="s">
        <v>32525</v>
      </c>
      <c r="P1348">
        <v>0</v>
      </c>
      <c r="Q1348">
        <v>1</v>
      </c>
      <c r="R1348" t="s">
        <v>32526</v>
      </c>
      <c r="S1348" t="s">
        <v>32547</v>
      </c>
      <c r="T1348" t="s">
        <v>33186</v>
      </c>
      <c r="U1348" t="s">
        <v>34782</v>
      </c>
      <c r="W1348" t="s">
        <v>30014</v>
      </c>
      <c r="X1348" t="s">
        <v>32527</v>
      </c>
    </row>
    <row r="1349" spans="1:24">
      <c r="A1349">
        <f>HYPERLINK("https://www.philgeps.gov.ph/GEPSNONPILOT/Tender/SplashBidNoticeAbstractUI.aspx?menuIndex=3&amp;refID=7045780&amp;Result=3","7045780")</f>
        <v>0</v>
      </c>
      <c r="B1349" t="s">
        <v>569</v>
      </c>
      <c r="C1349" t="s">
        <v>3971</v>
      </c>
      <c r="D1349" t="s">
        <v>12988</v>
      </c>
      <c r="E1349" t="s">
        <v>14326</v>
      </c>
      <c r="F1349" t="s">
        <v>22436</v>
      </c>
      <c r="G1349" t="s">
        <v>22444</v>
      </c>
      <c r="H1349" t="s">
        <v>22452</v>
      </c>
      <c r="I1349" t="s">
        <v>22456</v>
      </c>
      <c r="J1349" t="s">
        <v>23589</v>
      </c>
      <c r="K1349" t="s">
        <v>29397</v>
      </c>
      <c r="M1349" t="s">
        <v>30157</v>
      </c>
      <c r="N1349" t="s">
        <v>32524</v>
      </c>
      <c r="O1349" t="s">
        <v>32525</v>
      </c>
      <c r="P1349">
        <v>0</v>
      </c>
      <c r="Q1349">
        <v>9</v>
      </c>
      <c r="R1349" t="s">
        <v>32526</v>
      </c>
      <c r="S1349" t="s">
        <v>32547</v>
      </c>
      <c r="T1349" t="s">
        <v>33316</v>
      </c>
      <c r="U1349" t="s">
        <v>34792</v>
      </c>
      <c r="W1349" t="s">
        <v>30157</v>
      </c>
      <c r="X1349" t="s">
        <v>32527</v>
      </c>
    </row>
    <row r="1350" spans="1:24">
      <c r="A1350">
        <f>HYPERLINK("https://www.philgeps.gov.ph/GEPSNONPILOT/Tender/SplashBidNoticeAbstractUI.aspx?menuIndex=3&amp;refID=7045774&amp;Result=3","7045774")</f>
        <v>0</v>
      </c>
      <c r="B1350" t="s">
        <v>570</v>
      </c>
      <c r="C1350" t="s">
        <v>3972</v>
      </c>
      <c r="D1350" t="s">
        <v>13006</v>
      </c>
      <c r="E1350" t="s">
        <v>14327</v>
      </c>
      <c r="F1350" t="s">
        <v>22436</v>
      </c>
      <c r="G1350" t="s">
        <v>22443</v>
      </c>
      <c r="H1350" t="s">
        <v>22452</v>
      </c>
      <c r="I1350" t="s">
        <v>22502</v>
      </c>
      <c r="J1350" t="s">
        <v>23590</v>
      </c>
      <c r="K1350" t="s">
        <v>29338</v>
      </c>
      <c r="M1350" t="s">
        <v>30158</v>
      </c>
      <c r="N1350" t="s">
        <v>32524</v>
      </c>
      <c r="O1350" t="s">
        <v>32525</v>
      </c>
      <c r="P1350">
        <v>0</v>
      </c>
      <c r="Q1350">
        <v>5</v>
      </c>
      <c r="R1350" t="s">
        <v>32526</v>
      </c>
      <c r="S1350" t="s">
        <v>32547</v>
      </c>
      <c r="T1350" t="s">
        <v>33228</v>
      </c>
      <c r="U1350" t="s">
        <v>34793</v>
      </c>
      <c r="W1350" t="s">
        <v>30158</v>
      </c>
      <c r="X1350" t="s">
        <v>32527</v>
      </c>
    </row>
    <row r="1351" spans="1:24">
      <c r="A1351">
        <f>HYPERLINK("https://www.philgeps.gov.ph/GEPSNONPILOT/Tender/SplashBidNoticeAbstractUI.aspx?menuIndex=3&amp;refID=7045794&amp;Result=3","7045794")</f>
        <v>0</v>
      </c>
      <c r="B1351" t="s">
        <v>95</v>
      </c>
      <c r="C1351" t="s">
        <v>3973</v>
      </c>
      <c r="D1351" t="s">
        <v>13028</v>
      </c>
      <c r="E1351" t="s">
        <v>14328</v>
      </c>
      <c r="F1351" t="s">
        <v>22436</v>
      </c>
      <c r="G1351" t="s">
        <v>22444</v>
      </c>
      <c r="H1351" t="s">
        <v>22452</v>
      </c>
      <c r="I1351" t="s">
        <v>22479</v>
      </c>
      <c r="J1351" t="s">
        <v>23591</v>
      </c>
      <c r="K1351" t="s">
        <v>29333</v>
      </c>
      <c r="M1351" t="s">
        <v>30024</v>
      </c>
      <c r="N1351" t="s">
        <v>32524</v>
      </c>
      <c r="O1351" t="s">
        <v>32525</v>
      </c>
      <c r="P1351">
        <v>0</v>
      </c>
      <c r="Q1351">
        <v>0</v>
      </c>
      <c r="R1351" t="s">
        <v>32526</v>
      </c>
      <c r="S1351" t="s">
        <v>32547</v>
      </c>
      <c r="T1351" t="s">
        <v>33181</v>
      </c>
      <c r="U1351" t="s">
        <v>34794</v>
      </c>
      <c r="W1351" t="s">
        <v>30024</v>
      </c>
      <c r="X1351" t="s">
        <v>32527</v>
      </c>
    </row>
    <row r="1352" spans="1:24">
      <c r="A1352">
        <f>HYPERLINK("https://www.philgeps.gov.ph/GEPSNONPILOT/Tender/SplashBidNoticeAbstractUI.aspx?menuIndex=3&amp;refID=7045769&amp;Result=3","7045769")</f>
        <v>0</v>
      </c>
      <c r="B1352" t="s">
        <v>532</v>
      </c>
      <c r="C1352" t="s">
        <v>3974</v>
      </c>
      <c r="D1352" t="s">
        <v>12990</v>
      </c>
      <c r="E1352" t="s">
        <v>14329</v>
      </c>
      <c r="F1352" t="s">
        <v>22436</v>
      </c>
      <c r="G1352" t="s">
        <v>22444</v>
      </c>
      <c r="H1352" t="s">
        <v>22452</v>
      </c>
      <c r="I1352" t="s">
        <v>4688</v>
      </c>
      <c r="J1352" t="s">
        <v>22798</v>
      </c>
      <c r="K1352" t="s">
        <v>29338</v>
      </c>
      <c r="M1352" t="s">
        <v>30116</v>
      </c>
      <c r="N1352" t="s">
        <v>32524</v>
      </c>
      <c r="O1352" t="s">
        <v>32525</v>
      </c>
      <c r="P1352">
        <v>0</v>
      </c>
      <c r="Q1352">
        <v>1</v>
      </c>
      <c r="R1352" t="s">
        <v>32526</v>
      </c>
      <c r="S1352" t="s">
        <v>32547</v>
      </c>
      <c r="T1352" t="s">
        <v>33317</v>
      </c>
      <c r="U1352" t="s">
        <v>34795</v>
      </c>
      <c r="W1352" t="s">
        <v>30116</v>
      </c>
      <c r="X1352" t="s">
        <v>32527</v>
      </c>
    </row>
    <row r="1353" spans="1:24">
      <c r="A1353">
        <f>HYPERLINK("https://www.philgeps.gov.ph/GEPSNONPILOT/Tender/SplashBidNoticeAbstractUI.aspx?menuIndex=3&amp;refID=7045770&amp;Result=3","7045770")</f>
        <v>0</v>
      </c>
      <c r="B1353" t="s">
        <v>279</v>
      </c>
      <c r="C1353" t="s">
        <v>3975</v>
      </c>
      <c r="D1353" t="s">
        <v>13010</v>
      </c>
      <c r="E1353" t="s">
        <v>14330</v>
      </c>
      <c r="F1353" t="s">
        <v>22436</v>
      </c>
      <c r="G1353" t="s">
        <v>22444</v>
      </c>
      <c r="H1353" t="s">
        <v>22452</v>
      </c>
      <c r="I1353" t="s">
        <v>22499</v>
      </c>
      <c r="J1353" t="s">
        <v>23592</v>
      </c>
      <c r="K1353" t="s">
        <v>29335</v>
      </c>
      <c r="M1353" t="s">
        <v>30132</v>
      </c>
      <c r="N1353" t="s">
        <v>32524</v>
      </c>
      <c r="O1353" t="s">
        <v>32525</v>
      </c>
      <c r="P1353">
        <v>0</v>
      </c>
      <c r="Q1353">
        <v>3</v>
      </c>
      <c r="R1353" t="s">
        <v>32526</v>
      </c>
      <c r="S1353" t="s">
        <v>32547</v>
      </c>
      <c r="T1353" t="s">
        <v>33234</v>
      </c>
      <c r="U1353" t="s">
        <v>34736</v>
      </c>
      <c r="W1353" t="s">
        <v>30132</v>
      </c>
      <c r="X1353" t="s">
        <v>32527</v>
      </c>
    </row>
    <row r="1354" spans="1:24">
      <c r="A1354">
        <f>HYPERLINK("https://www.philgeps.gov.ph/GEPSNONPILOT/Tender/SplashBidNoticeAbstractUI.aspx?menuIndex=3&amp;refID=7045791&amp;Result=3","7045791")</f>
        <v>0</v>
      </c>
      <c r="B1354" t="s">
        <v>571</v>
      </c>
      <c r="C1354" t="s">
        <v>3976</v>
      </c>
      <c r="D1354" t="s">
        <v>13011</v>
      </c>
      <c r="E1354" t="s">
        <v>14331</v>
      </c>
      <c r="F1354" t="s">
        <v>22436</v>
      </c>
      <c r="G1354" t="s">
        <v>22443</v>
      </c>
      <c r="H1354" t="s">
        <v>22452</v>
      </c>
      <c r="I1354" t="s">
        <v>22460</v>
      </c>
      <c r="J1354" t="s">
        <v>23593</v>
      </c>
      <c r="K1354" t="s">
        <v>29356</v>
      </c>
      <c r="M1354" t="s">
        <v>30159</v>
      </c>
      <c r="N1354" t="s">
        <v>32524</v>
      </c>
      <c r="O1354" t="s">
        <v>32525</v>
      </c>
      <c r="P1354">
        <v>0</v>
      </c>
      <c r="Q1354">
        <v>0</v>
      </c>
      <c r="R1354" t="s">
        <v>32526</v>
      </c>
      <c r="S1354" t="s">
        <v>32547</v>
      </c>
      <c r="T1354" t="s">
        <v>33183</v>
      </c>
      <c r="U1354" t="s">
        <v>34796</v>
      </c>
      <c r="W1354" t="s">
        <v>30159</v>
      </c>
      <c r="X1354" t="s">
        <v>32527</v>
      </c>
    </row>
    <row r="1355" spans="1:24">
      <c r="A1355">
        <f>HYPERLINK("https://www.philgeps.gov.ph/GEPSNONPILOT/Tender/SplashBidNoticeAbstractUI.aspx?menuIndex=3&amp;refID=7045777&amp;Result=3","7045777")</f>
        <v>0</v>
      </c>
      <c r="B1355" t="s">
        <v>330</v>
      </c>
      <c r="C1355" t="s">
        <v>3977</v>
      </c>
      <c r="D1355" t="s">
        <v>12988</v>
      </c>
      <c r="E1355" t="s">
        <v>14332</v>
      </c>
      <c r="F1355" t="s">
        <v>22436</v>
      </c>
      <c r="G1355" t="s">
        <v>22443</v>
      </c>
      <c r="H1355" t="s">
        <v>22452</v>
      </c>
      <c r="I1355" t="s">
        <v>22536</v>
      </c>
      <c r="J1355" t="s">
        <v>23594</v>
      </c>
      <c r="K1355" t="s">
        <v>29341</v>
      </c>
      <c r="M1355" t="s">
        <v>29906</v>
      </c>
      <c r="N1355" t="s">
        <v>32524</v>
      </c>
      <c r="O1355" t="s">
        <v>32525</v>
      </c>
      <c r="P1355">
        <v>0</v>
      </c>
      <c r="Q1355">
        <v>0</v>
      </c>
      <c r="R1355" t="s">
        <v>32526</v>
      </c>
      <c r="S1355" t="s">
        <v>32547</v>
      </c>
      <c r="T1355" t="s">
        <v>33161</v>
      </c>
      <c r="U1355" t="s">
        <v>34797</v>
      </c>
      <c r="V1355" t="s">
        <v>42460</v>
      </c>
      <c r="W1355" t="s">
        <v>29906</v>
      </c>
      <c r="X1355" t="s">
        <v>32527</v>
      </c>
    </row>
    <row r="1356" spans="1:24">
      <c r="A1356">
        <f>HYPERLINK("https://www.philgeps.gov.ph/GEPSNONPILOT/Tender/SplashBidNoticeAbstractUI.aspx?menuIndex=3&amp;refID=7045771&amp;Result=3","7045771")</f>
        <v>0</v>
      </c>
      <c r="B1356" t="s">
        <v>525</v>
      </c>
      <c r="C1356" t="s">
        <v>3978</v>
      </c>
      <c r="D1356" t="s">
        <v>13038</v>
      </c>
      <c r="E1356" t="s">
        <v>14333</v>
      </c>
      <c r="F1356" t="s">
        <v>22436</v>
      </c>
      <c r="G1356" t="s">
        <v>22444</v>
      </c>
      <c r="H1356" t="s">
        <v>22452</v>
      </c>
      <c r="I1356" t="s">
        <v>22483</v>
      </c>
      <c r="J1356" t="s">
        <v>22747</v>
      </c>
      <c r="K1356" t="s">
        <v>29335</v>
      </c>
      <c r="M1356" t="s">
        <v>30109</v>
      </c>
      <c r="N1356" t="s">
        <v>32524</v>
      </c>
      <c r="O1356" t="s">
        <v>32525</v>
      </c>
      <c r="P1356">
        <v>0</v>
      </c>
      <c r="Q1356">
        <v>0</v>
      </c>
      <c r="R1356" t="s">
        <v>32526</v>
      </c>
      <c r="S1356" t="s">
        <v>32547</v>
      </c>
      <c r="T1356" t="s">
        <v>33312</v>
      </c>
      <c r="U1356" t="s">
        <v>34798</v>
      </c>
      <c r="W1356" t="s">
        <v>30109</v>
      </c>
      <c r="X1356" t="s">
        <v>32527</v>
      </c>
    </row>
    <row r="1357" spans="1:24">
      <c r="A1357">
        <f>HYPERLINK("https://www.philgeps.gov.ph/GEPSNONPILOT/Tender/SplashBidNoticeAbstractUI.aspx?menuIndex=3&amp;refID=7045789&amp;Result=3","7045789")</f>
        <v>0</v>
      </c>
      <c r="B1357" t="s">
        <v>572</v>
      </c>
      <c r="C1357" t="s">
        <v>3979</v>
      </c>
      <c r="D1357" t="s">
        <v>12990</v>
      </c>
      <c r="E1357" t="s">
        <v>14334</v>
      </c>
      <c r="F1357" t="s">
        <v>22436</v>
      </c>
      <c r="G1357" t="s">
        <v>22443</v>
      </c>
      <c r="H1357" t="s">
        <v>22452</v>
      </c>
      <c r="I1357" t="s">
        <v>22486</v>
      </c>
      <c r="J1357" t="s">
        <v>23467</v>
      </c>
      <c r="K1357" t="s">
        <v>29338</v>
      </c>
      <c r="M1357" t="s">
        <v>30160</v>
      </c>
      <c r="N1357" t="s">
        <v>32524</v>
      </c>
      <c r="O1357" t="s">
        <v>32525</v>
      </c>
      <c r="P1357">
        <v>0</v>
      </c>
      <c r="Q1357">
        <v>1</v>
      </c>
      <c r="R1357" t="s">
        <v>32526</v>
      </c>
      <c r="S1357" t="s">
        <v>32547</v>
      </c>
      <c r="T1357" t="s">
        <v>33183</v>
      </c>
      <c r="U1357" t="s">
        <v>34799</v>
      </c>
      <c r="W1357" t="s">
        <v>30160</v>
      </c>
      <c r="X1357" t="s">
        <v>32527</v>
      </c>
    </row>
    <row r="1358" spans="1:24">
      <c r="A1358">
        <f>HYPERLINK("https://www.philgeps.gov.ph/GEPSNONPILOT/Tender/SplashBidNoticeAbstractUI.aspx?menuIndex=3&amp;refID=7045788&amp;Result=3","7045788")</f>
        <v>0</v>
      </c>
      <c r="B1358" t="s">
        <v>501</v>
      </c>
      <c r="C1358" t="s">
        <v>3980</v>
      </c>
      <c r="D1358" t="s">
        <v>12994</v>
      </c>
      <c r="E1358" t="s">
        <v>14335</v>
      </c>
      <c r="F1358" t="s">
        <v>22436</v>
      </c>
      <c r="G1358" t="s">
        <v>22443</v>
      </c>
      <c r="H1358" t="s">
        <v>22452</v>
      </c>
      <c r="I1358" t="s">
        <v>22463</v>
      </c>
      <c r="J1358" t="s">
        <v>22743</v>
      </c>
      <c r="K1358" t="s">
        <v>29338</v>
      </c>
      <c r="M1358" t="s">
        <v>30085</v>
      </c>
      <c r="N1358" t="s">
        <v>32524</v>
      </c>
      <c r="O1358" t="s">
        <v>32525</v>
      </c>
      <c r="P1358">
        <v>0</v>
      </c>
      <c r="Q1358">
        <v>1</v>
      </c>
      <c r="R1358" t="s">
        <v>32526</v>
      </c>
      <c r="S1358" t="s">
        <v>32547</v>
      </c>
      <c r="T1358" t="s">
        <v>33169</v>
      </c>
      <c r="U1358" t="s">
        <v>34800</v>
      </c>
      <c r="V1358" t="s">
        <v>42553</v>
      </c>
      <c r="W1358" t="s">
        <v>30085</v>
      </c>
      <c r="X1358" t="s">
        <v>32527</v>
      </c>
    </row>
    <row r="1359" spans="1:24">
      <c r="A1359">
        <f>HYPERLINK("https://www.philgeps.gov.ph/GEPSNONPILOT/Tender/SplashBidNoticeAbstractUI.aspx?menuIndex=3&amp;refID=7045790&amp;Result=3","7045790")</f>
        <v>0</v>
      </c>
      <c r="B1359" t="s">
        <v>488</v>
      </c>
      <c r="C1359" t="s">
        <v>3981</v>
      </c>
      <c r="D1359" t="s">
        <v>12988</v>
      </c>
      <c r="E1359" t="s">
        <v>14336</v>
      </c>
      <c r="F1359" t="s">
        <v>22436</v>
      </c>
      <c r="G1359" t="s">
        <v>22444</v>
      </c>
      <c r="H1359" t="s">
        <v>22452</v>
      </c>
      <c r="I1359" t="s">
        <v>22483</v>
      </c>
      <c r="J1359" t="s">
        <v>23207</v>
      </c>
      <c r="K1359" t="s">
        <v>29357</v>
      </c>
      <c r="M1359" t="s">
        <v>30072</v>
      </c>
      <c r="N1359" t="s">
        <v>32524</v>
      </c>
      <c r="O1359" t="s">
        <v>32525</v>
      </c>
      <c r="P1359">
        <v>0</v>
      </c>
      <c r="Q1359">
        <v>2</v>
      </c>
      <c r="R1359" t="s">
        <v>32526</v>
      </c>
      <c r="S1359" t="s">
        <v>32547</v>
      </c>
      <c r="T1359" t="s">
        <v>33155</v>
      </c>
      <c r="U1359" t="s">
        <v>34616</v>
      </c>
      <c r="W1359" t="s">
        <v>30072</v>
      </c>
      <c r="X1359" t="s">
        <v>32527</v>
      </c>
    </row>
    <row r="1360" spans="1:24">
      <c r="A1360">
        <f>HYPERLINK("https://www.philgeps.gov.ph/GEPSNONPILOT/Tender/SplashBidNoticeAbstractUI.aspx?menuIndex=3&amp;refID=7045787&amp;Result=3","7045787")</f>
        <v>0</v>
      </c>
      <c r="B1360" t="s">
        <v>238</v>
      </c>
      <c r="C1360" t="s">
        <v>3982</v>
      </c>
      <c r="D1360" t="s">
        <v>12991</v>
      </c>
      <c r="E1360" t="s">
        <v>14337</v>
      </c>
      <c r="F1360" t="s">
        <v>22436</v>
      </c>
      <c r="G1360" t="s">
        <v>22444</v>
      </c>
      <c r="H1360" t="s">
        <v>22452</v>
      </c>
      <c r="I1360" t="s">
        <v>22460</v>
      </c>
      <c r="J1360" t="s">
        <v>23595</v>
      </c>
      <c r="K1360" t="s">
        <v>29331</v>
      </c>
      <c r="M1360" t="s">
        <v>29811</v>
      </c>
      <c r="N1360" t="s">
        <v>32524</v>
      </c>
      <c r="O1360" t="s">
        <v>32525</v>
      </c>
      <c r="P1360">
        <v>0</v>
      </c>
      <c r="Q1360">
        <v>0</v>
      </c>
      <c r="R1360" t="s">
        <v>32526</v>
      </c>
      <c r="S1360" t="s">
        <v>32547</v>
      </c>
      <c r="T1360" t="s">
        <v>33244</v>
      </c>
      <c r="U1360" t="s">
        <v>34778</v>
      </c>
      <c r="W1360" t="s">
        <v>29811</v>
      </c>
      <c r="X1360" t="s">
        <v>32527</v>
      </c>
    </row>
    <row r="1361" spans="1:24">
      <c r="A1361">
        <f>HYPERLINK("https://www.philgeps.gov.ph/GEPSNONPILOT/Tender/SplashBidNoticeAbstractUI.aspx?menuIndex=3&amp;refID=7045795&amp;Result=3","7045795")</f>
        <v>0</v>
      </c>
      <c r="B1361" t="s">
        <v>573</v>
      </c>
      <c r="C1361" t="s">
        <v>3983</v>
      </c>
      <c r="D1361" t="s">
        <v>12990</v>
      </c>
      <c r="E1361" t="s">
        <v>14338</v>
      </c>
      <c r="F1361" t="s">
        <v>22436</v>
      </c>
      <c r="G1361" t="s">
        <v>22444</v>
      </c>
      <c r="H1361" t="s">
        <v>22452</v>
      </c>
      <c r="I1361" t="s">
        <v>2981</v>
      </c>
      <c r="J1361" t="s">
        <v>22788</v>
      </c>
      <c r="K1361" t="s">
        <v>29338</v>
      </c>
      <c r="M1361" t="s">
        <v>30161</v>
      </c>
      <c r="N1361" t="s">
        <v>32524</v>
      </c>
      <c r="O1361" t="s">
        <v>32525</v>
      </c>
      <c r="P1361">
        <v>0</v>
      </c>
      <c r="Q1361">
        <v>0</v>
      </c>
      <c r="R1361" t="s">
        <v>32526</v>
      </c>
      <c r="S1361" t="s">
        <v>32547</v>
      </c>
      <c r="T1361" t="s">
        <v>33302</v>
      </c>
      <c r="U1361" t="s">
        <v>34801</v>
      </c>
      <c r="W1361" t="s">
        <v>30161</v>
      </c>
      <c r="X1361" t="s">
        <v>32527</v>
      </c>
    </row>
    <row r="1362" spans="1:24">
      <c r="A1362">
        <f>HYPERLINK("https://www.philgeps.gov.ph/GEPSNONPILOT/Tender/SplashBidNoticeAbstractUI.aspx?menuIndex=3&amp;refID=7045793&amp;Result=3","7045793")</f>
        <v>0</v>
      </c>
      <c r="B1362" t="s">
        <v>525</v>
      </c>
      <c r="C1362" t="s">
        <v>3984</v>
      </c>
      <c r="D1362" t="s">
        <v>13038</v>
      </c>
      <c r="E1362" t="s">
        <v>3984</v>
      </c>
      <c r="F1362" t="s">
        <v>22436</v>
      </c>
      <c r="G1362" t="s">
        <v>22444</v>
      </c>
      <c r="H1362" t="s">
        <v>22452</v>
      </c>
      <c r="I1362" t="s">
        <v>3827</v>
      </c>
      <c r="J1362" t="s">
        <v>23596</v>
      </c>
      <c r="K1362" t="s">
        <v>29335</v>
      </c>
      <c r="M1362" t="s">
        <v>30109</v>
      </c>
      <c r="N1362" t="s">
        <v>32524</v>
      </c>
      <c r="O1362" t="s">
        <v>32525</v>
      </c>
      <c r="P1362">
        <v>0</v>
      </c>
      <c r="Q1362">
        <v>0</v>
      </c>
      <c r="R1362" t="s">
        <v>32526</v>
      </c>
      <c r="S1362" t="s">
        <v>32547</v>
      </c>
      <c r="T1362" t="s">
        <v>33312</v>
      </c>
      <c r="U1362" t="s">
        <v>34802</v>
      </c>
      <c r="W1362" t="s">
        <v>30109</v>
      </c>
      <c r="X1362" t="s">
        <v>32527</v>
      </c>
    </row>
    <row r="1363" spans="1:24">
      <c r="A1363">
        <f>HYPERLINK("https://www.philgeps.gov.ph/GEPSNONPILOT/Tender/SplashBidNoticeAbstractUI.aspx?menuIndex=3&amp;refID=7045802&amp;Result=3","7045802")</f>
        <v>0</v>
      </c>
      <c r="B1363" t="s">
        <v>574</v>
      </c>
      <c r="C1363" t="s">
        <v>3985</v>
      </c>
      <c r="D1363" t="s">
        <v>12995</v>
      </c>
      <c r="E1363" t="s">
        <v>13668</v>
      </c>
      <c r="F1363" t="s">
        <v>22436</v>
      </c>
      <c r="G1363" t="s">
        <v>22446</v>
      </c>
      <c r="H1363" t="s">
        <v>22452</v>
      </c>
      <c r="I1363" t="s">
        <v>22471</v>
      </c>
      <c r="J1363" t="s">
        <v>23188</v>
      </c>
      <c r="K1363" t="s">
        <v>29341</v>
      </c>
      <c r="M1363" t="s">
        <v>30162</v>
      </c>
      <c r="N1363" t="s">
        <v>32524</v>
      </c>
      <c r="O1363" t="s">
        <v>32525</v>
      </c>
      <c r="P1363">
        <v>0</v>
      </c>
      <c r="Q1363">
        <v>6</v>
      </c>
      <c r="R1363" t="s">
        <v>32526</v>
      </c>
      <c r="S1363" t="s">
        <v>32547</v>
      </c>
      <c r="T1363" t="s">
        <v>33318</v>
      </c>
      <c r="U1363" t="s">
        <v>34803</v>
      </c>
      <c r="W1363" t="s">
        <v>30162</v>
      </c>
      <c r="X1363" t="s">
        <v>32527</v>
      </c>
    </row>
    <row r="1364" spans="1:24">
      <c r="A1364">
        <f>HYPERLINK("https://www.philgeps.gov.ph/GEPSNONPILOT/Tender/SplashBidNoticeAbstractUI.aspx?menuIndex=3&amp;refID=7045807&amp;Result=3","7045807")</f>
        <v>0</v>
      </c>
      <c r="B1364" t="s">
        <v>280</v>
      </c>
      <c r="C1364" t="s">
        <v>3986</v>
      </c>
      <c r="D1364" t="s">
        <v>13055</v>
      </c>
      <c r="E1364" t="s">
        <v>14339</v>
      </c>
      <c r="F1364" t="s">
        <v>22436</v>
      </c>
      <c r="G1364" t="s">
        <v>22443</v>
      </c>
      <c r="H1364" t="s">
        <v>22452</v>
      </c>
      <c r="I1364" t="s">
        <v>22460</v>
      </c>
      <c r="J1364" t="s">
        <v>23597</v>
      </c>
      <c r="K1364" t="s">
        <v>29336</v>
      </c>
      <c r="M1364" t="s">
        <v>29854</v>
      </c>
      <c r="N1364" t="s">
        <v>32524</v>
      </c>
      <c r="O1364" t="s">
        <v>32525</v>
      </c>
      <c r="P1364">
        <v>0</v>
      </c>
      <c r="Q1364">
        <v>0</v>
      </c>
      <c r="R1364" t="s">
        <v>32526</v>
      </c>
      <c r="S1364" t="s">
        <v>32547</v>
      </c>
      <c r="T1364" t="s">
        <v>33181</v>
      </c>
      <c r="U1364" t="s">
        <v>34804</v>
      </c>
      <c r="V1364" t="s">
        <v>42486</v>
      </c>
      <c r="W1364" t="s">
        <v>29854</v>
      </c>
      <c r="X1364" t="s">
        <v>32527</v>
      </c>
    </row>
    <row r="1365" spans="1:24">
      <c r="A1365">
        <f>HYPERLINK("https://www.philgeps.gov.ph/GEPSNONPILOT/Tender/SplashBidNoticeAbstractUI.aspx?menuIndex=3&amp;refID=7045809&amp;Result=3","7045809")</f>
        <v>0</v>
      </c>
      <c r="B1365" t="s">
        <v>433</v>
      </c>
      <c r="C1365" t="s">
        <v>3987</v>
      </c>
      <c r="D1365" t="s">
        <v>13015</v>
      </c>
      <c r="E1365" t="s">
        <v>14340</v>
      </c>
      <c r="F1365" t="s">
        <v>22436</v>
      </c>
      <c r="G1365" t="s">
        <v>22443</v>
      </c>
      <c r="H1365" t="s">
        <v>22452</v>
      </c>
      <c r="I1365" t="s">
        <v>3827</v>
      </c>
      <c r="J1365" t="s">
        <v>22695</v>
      </c>
      <c r="K1365" t="s">
        <v>29338</v>
      </c>
      <c r="M1365" t="s">
        <v>30014</v>
      </c>
      <c r="N1365" t="s">
        <v>32524</v>
      </c>
      <c r="O1365" t="s">
        <v>32525</v>
      </c>
      <c r="P1365">
        <v>0</v>
      </c>
      <c r="Q1365">
        <v>1</v>
      </c>
      <c r="R1365" t="s">
        <v>32526</v>
      </c>
      <c r="S1365" t="s">
        <v>32547</v>
      </c>
      <c r="T1365" t="s">
        <v>33186</v>
      </c>
      <c r="U1365" t="s">
        <v>34782</v>
      </c>
      <c r="W1365" t="s">
        <v>30014</v>
      </c>
      <c r="X1365" t="s">
        <v>32527</v>
      </c>
    </row>
    <row r="1366" spans="1:24">
      <c r="A1366">
        <f>HYPERLINK("https://www.philgeps.gov.ph/GEPSNONPILOT/Tender/SplashBidNoticeAbstractUI.aspx?menuIndex=3&amp;refID=7045801&amp;Result=3","7045801")</f>
        <v>0</v>
      </c>
      <c r="B1366" t="s">
        <v>575</v>
      </c>
      <c r="C1366" t="s">
        <v>3988</v>
      </c>
      <c r="D1366" t="s">
        <v>13061</v>
      </c>
      <c r="E1366" t="s">
        <v>14341</v>
      </c>
      <c r="F1366" t="s">
        <v>22436</v>
      </c>
      <c r="G1366" t="s">
        <v>22444</v>
      </c>
      <c r="H1366" t="s">
        <v>22452</v>
      </c>
      <c r="I1366" t="s">
        <v>22460</v>
      </c>
      <c r="J1366" t="s">
        <v>23598</v>
      </c>
      <c r="K1366" t="s">
        <v>29357</v>
      </c>
      <c r="M1366" t="s">
        <v>30163</v>
      </c>
      <c r="N1366" t="s">
        <v>32524</v>
      </c>
      <c r="O1366" t="s">
        <v>32525</v>
      </c>
      <c r="P1366">
        <v>0</v>
      </c>
      <c r="Q1366">
        <v>0</v>
      </c>
      <c r="R1366" t="s">
        <v>32526</v>
      </c>
      <c r="S1366" t="s">
        <v>32547</v>
      </c>
      <c r="T1366" t="s">
        <v>33187</v>
      </c>
      <c r="U1366" t="s">
        <v>34805</v>
      </c>
      <c r="W1366" t="s">
        <v>30163</v>
      </c>
      <c r="X1366" t="s">
        <v>32527</v>
      </c>
    </row>
    <row r="1367" spans="1:24">
      <c r="A1367">
        <f>HYPERLINK("https://www.philgeps.gov.ph/GEPSNONPILOT/Tender/SplashBidNoticeAbstractUI.aspx?menuIndex=3&amp;refID=7045798&amp;Result=3","7045798")</f>
        <v>0</v>
      </c>
      <c r="B1367" t="s">
        <v>576</v>
      </c>
      <c r="C1367" t="s">
        <v>3989</v>
      </c>
      <c r="D1367" t="s">
        <v>13016</v>
      </c>
      <c r="E1367" t="s">
        <v>3989</v>
      </c>
      <c r="F1367" t="s">
        <v>22436</v>
      </c>
      <c r="G1367" t="s">
        <v>22445</v>
      </c>
      <c r="H1367" t="s">
        <v>22452</v>
      </c>
      <c r="I1367" t="s">
        <v>2981</v>
      </c>
      <c r="J1367" t="s">
        <v>23599</v>
      </c>
      <c r="K1367" t="s">
        <v>29338</v>
      </c>
      <c r="M1367" t="s">
        <v>30164</v>
      </c>
      <c r="N1367" t="s">
        <v>32524</v>
      </c>
      <c r="O1367" t="s">
        <v>32525</v>
      </c>
      <c r="P1367">
        <v>0</v>
      </c>
      <c r="Q1367">
        <v>0</v>
      </c>
      <c r="R1367" t="s">
        <v>32526</v>
      </c>
      <c r="S1367" t="s">
        <v>32547</v>
      </c>
      <c r="T1367" t="s">
        <v>33167</v>
      </c>
      <c r="U1367" t="s">
        <v>34806</v>
      </c>
      <c r="W1367" t="s">
        <v>30164</v>
      </c>
      <c r="X1367" t="s">
        <v>32527</v>
      </c>
    </row>
    <row r="1368" spans="1:24">
      <c r="A1368">
        <f>HYPERLINK("https://www.philgeps.gov.ph/GEPSNONPILOT/Tender/SplashBidNoticeAbstractUI.aspx?menuIndex=3&amp;refID=7045806&amp;Result=3","7045806")</f>
        <v>0</v>
      </c>
      <c r="B1368" t="s">
        <v>565</v>
      </c>
      <c r="C1368" t="s">
        <v>3990</v>
      </c>
      <c r="D1368" t="s">
        <v>13044</v>
      </c>
      <c r="E1368" t="s">
        <v>14342</v>
      </c>
      <c r="F1368" t="s">
        <v>22436</v>
      </c>
      <c r="G1368" t="s">
        <v>22443</v>
      </c>
      <c r="H1368" t="s">
        <v>22452</v>
      </c>
      <c r="I1368" t="s">
        <v>3529</v>
      </c>
      <c r="J1368" t="s">
        <v>23600</v>
      </c>
      <c r="K1368" t="s">
        <v>29336</v>
      </c>
      <c r="M1368" t="s">
        <v>30153</v>
      </c>
      <c r="N1368" t="s">
        <v>32524</v>
      </c>
      <c r="O1368" t="s">
        <v>32525</v>
      </c>
      <c r="P1368">
        <v>0</v>
      </c>
      <c r="Q1368">
        <v>0</v>
      </c>
      <c r="R1368" t="s">
        <v>32526</v>
      </c>
      <c r="S1368" t="s">
        <v>32547</v>
      </c>
      <c r="T1368" t="s">
        <v>33169</v>
      </c>
      <c r="U1368" t="s">
        <v>34807</v>
      </c>
      <c r="W1368" t="s">
        <v>30153</v>
      </c>
      <c r="X1368" t="s">
        <v>32527</v>
      </c>
    </row>
    <row r="1369" spans="1:24">
      <c r="A1369">
        <f>HYPERLINK("https://www.philgeps.gov.ph/GEPSNONPILOT/Tender/SplashBidNoticeAbstractUI.aspx?menuIndex=3&amp;refID=7045800&amp;Result=3","7045800")</f>
        <v>0</v>
      </c>
      <c r="B1369" t="s">
        <v>401</v>
      </c>
      <c r="C1369" t="s">
        <v>3991</v>
      </c>
      <c r="D1369" t="s">
        <v>13044</v>
      </c>
      <c r="E1369" t="s">
        <v>14343</v>
      </c>
      <c r="F1369" t="s">
        <v>22436</v>
      </c>
      <c r="G1369" t="s">
        <v>22443</v>
      </c>
      <c r="H1369" t="s">
        <v>22452</v>
      </c>
      <c r="I1369" t="s">
        <v>22483</v>
      </c>
      <c r="J1369" t="s">
        <v>23601</v>
      </c>
      <c r="K1369" t="s">
        <v>29340</v>
      </c>
      <c r="M1369" t="s">
        <v>29980</v>
      </c>
      <c r="N1369" t="s">
        <v>32524</v>
      </c>
      <c r="O1369" t="s">
        <v>32525</v>
      </c>
      <c r="P1369">
        <v>0</v>
      </c>
      <c r="Q1369">
        <v>0</v>
      </c>
      <c r="R1369" t="s">
        <v>32526</v>
      </c>
      <c r="S1369" t="s">
        <v>32547</v>
      </c>
      <c r="T1369" t="s">
        <v>33210</v>
      </c>
      <c r="U1369" t="s">
        <v>34808</v>
      </c>
      <c r="W1369" t="s">
        <v>29980</v>
      </c>
      <c r="X1369" t="s">
        <v>32527</v>
      </c>
    </row>
    <row r="1370" spans="1:24">
      <c r="A1370">
        <f>HYPERLINK("https://www.philgeps.gov.ph/GEPSNONPILOT/Tender/SplashBidNoticeAbstractUI.aspx?menuIndex=3&amp;refID=7045816&amp;Result=3","7045816")</f>
        <v>0</v>
      </c>
      <c r="B1370" t="s">
        <v>192</v>
      </c>
      <c r="C1370" t="s">
        <v>3992</v>
      </c>
      <c r="D1370" t="s">
        <v>13048</v>
      </c>
      <c r="E1370" t="s">
        <v>14344</v>
      </c>
      <c r="F1370" t="s">
        <v>22436</v>
      </c>
      <c r="G1370" t="s">
        <v>22444</v>
      </c>
      <c r="H1370" t="s">
        <v>22454</v>
      </c>
      <c r="I1370" t="s">
        <v>7738</v>
      </c>
      <c r="J1370" t="s">
        <v>23093</v>
      </c>
      <c r="K1370" t="s">
        <v>29338</v>
      </c>
      <c r="M1370" t="s">
        <v>29765</v>
      </c>
      <c r="N1370" t="s">
        <v>32524</v>
      </c>
      <c r="O1370" t="s">
        <v>32525</v>
      </c>
      <c r="P1370">
        <v>0</v>
      </c>
      <c r="Q1370">
        <v>0</v>
      </c>
      <c r="R1370" t="s">
        <v>32526</v>
      </c>
      <c r="S1370" t="s">
        <v>32547</v>
      </c>
      <c r="T1370" t="s">
        <v>33170</v>
      </c>
      <c r="U1370" t="s">
        <v>33981</v>
      </c>
      <c r="W1370" t="s">
        <v>29765</v>
      </c>
      <c r="X1370" t="s">
        <v>32527</v>
      </c>
    </row>
    <row r="1371" spans="1:24">
      <c r="A1371">
        <f>HYPERLINK("https://www.philgeps.gov.ph/GEPSNONPILOT/Tender/SplashBidNoticeAbstractUI.aspx?menuIndex=3&amp;refID=7045797&amp;Result=3","7045797")</f>
        <v>0</v>
      </c>
      <c r="B1371" t="s">
        <v>577</v>
      </c>
      <c r="C1371" t="s">
        <v>3993</v>
      </c>
      <c r="D1371" t="s">
        <v>13058</v>
      </c>
      <c r="E1371" t="s">
        <v>14345</v>
      </c>
      <c r="F1371" t="s">
        <v>22436</v>
      </c>
      <c r="G1371" t="s">
        <v>22444</v>
      </c>
      <c r="H1371" t="s">
        <v>22452</v>
      </c>
      <c r="I1371" t="s">
        <v>7738</v>
      </c>
      <c r="J1371" t="s">
        <v>22877</v>
      </c>
      <c r="K1371" t="s">
        <v>29334</v>
      </c>
      <c r="M1371" t="s">
        <v>30165</v>
      </c>
      <c r="N1371" t="s">
        <v>32524</v>
      </c>
      <c r="O1371" t="s">
        <v>32525</v>
      </c>
      <c r="P1371">
        <v>0</v>
      </c>
      <c r="Q1371">
        <v>0</v>
      </c>
      <c r="R1371" t="s">
        <v>32526</v>
      </c>
      <c r="S1371" t="s">
        <v>32547</v>
      </c>
      <c r="T1371" t="s">
        <v>33319</v>
      </c>
      <c r="U1371" t="s">
        <v>34809</v>
      </c>
      <c r="W1371" t="s">
        <v>30165</v>
      </c>
      <c r="X1371" t="s">
        <v>32527</v>
      </c>
    </row>
    <row r="1372" spans="1:24">
      <c r="A1372">
        <f>HYPERLINK("https://www.philgeps.gov.ph/GEPSNONPILOT/Tender/SplashBidNoticeAbstractUI.aspx?menuIndex=3&amp;refID=7045814&amp;Result=3","7045814")</f>
        <v>0</v>
      </c>
      <c r="B1372" t="s">
        <v>578</v>
      </c>
      <c r="C1372" t="s">
        <v>3994</v>
      </c>
      <c r="D1372" t="s">
        <v>13010</v>
      </c>
      <c r="E1372" t="s">
        <v>14346</v>
      </c>
      <c r="F1372" t="s">
        <v>22436</v>
      </c>
      <c r="G1372" t="s">
        <v>22443</v>
      </c>
      <c r="H1372" t="s">
        <v>22452</v>
      </c>
      <c r="I1372" t="s">
        <v>22471</v>
      </c>
      <c r="J1372" t="s">
        <v>23602</v>
      </c>
      <c r="K1372" t="s">
        <v>29335</v>
      </c>
      <c r="M1372" t="s">
        <v>30166</v>
      </c>
      <c r="N1372" t="s">
        <v>32524</v>
      </c>
      <c r="O1372" t="s">
        <v>32525</v>
      </c>
      <c r="P1372">
        <v>0</v>
      </c>
      <c r="Q1372">
        <v>4</v>
      </c>
      <c r="R1372" t="s">
        <v>32526</v>
      </c>
      <c r="S1372" t="s">
        <v>32547</v>
      </c>
      <c r="T1372" t="s">
        <v>33263</v>
      </c>
      <c r="U1372" t="s">
        <v>34810</v>
      </c>
      <c r="W1372" t="s">
        <v>30166</v>
      </c>
      <c r="X1372" t="s">
        <v>32527</v>
      </c>
    </row>
    <row r="1373" spans="1:24">
      <c r="A1373">
        <f>HYPERLINK("https://www.philgeps.gov.ph/GEPSNONPILOT/Tender/SplashBidNoticeAbstractUI.aspx?menuIndex=3&amp;refID=7045819&amp;Result=3","7045819")</f>
        <v>0</v>
      </c>
      <c r="B1373" t="s">
        <v>573</v>
      </c>
      <c r="C1373" t="s">
        <v>3995</v>
      </c>
      <c r="D1373" t="s">
        <v>12990</v>
      </c>
      <c r="E1373" t="s">
        <v>14347</v>
      </c>
      <c r="F1373" t="s">
        <v>22436</v>
      </c>
      <c r="G1373" t="s">
        <v>22444</v>
      </c>
      <c r="H1373" t="s">
        <v>22452</v>
      </c>
      <c r="I1373" t="s">
        <v>22466</v>
      </c>
      <c r="J1373" t="s">
        <v>23603</v>
      </c>
      <c r="K1373" t="s">
        <v>29338</v>
      </c>
      <c r="M1373" t="s">
        <v>30161</v>
      </c>
      <c r="N1373" t="s">
        <v>32524</v>
      </c>
      <c r="O1373" t="s">
        <v>32525</v>
      </c>
      <c r="P1373">
        <v>0</v>
      </c>
      <c r="Q1373">
        <v>6</v>
      </c>
      <c r="R1373" t="s">
        <v>32526</v>
      </c>
      <c r="S1373" t="s">
        <v>32547</v>
      </c>
      <c r="T1373" t="s">
        <v>33302</v>
      </c>
      <c r="U1373" t="s">
        <v>34811</v>
      </c>
      <c r="W1373" t="s">
        <v>30161</v>
      </c>
      <c r="X1373" t="s">
        <v>32527</v>
      </c>
    </row>
    <row r="1374" spans="1:24">
      <c r="A1374">
        <f>HYPERLINK("https://www.philgeps.gov.ph/GEPSNONPILOT/Tender/SplashBidNoticeAbstractUI.aspx?menuIndex=3&amp;refID=7045796&amp;Result=3","7045796")</f>
        <v>0</v>
      </c>
      <c r="B1374" t="s">
        <v>432</v>
      </c>
      <c r="C1374" t="s">
        <v>3996</v>
      </c>
      <c r="D1374" t="s">
        <v>13028</v>
      </c>
      <c r="E1374" t="s">
        <v>14348</v>
      </c>
      <c r="F1374" t="s">
        <v>22436</v>
      </c>
      <c r="G1374" t="s">
        <v>22444</v>
      </c>
      <c r="H1374" t="s">
        <v>22454</v>
      </c>
      <c r="I1374" t="s">
        <v>7738</v>
      </c>
      <c r="J1374" t="s">
        <v>23604</v>
      </c>
      <c r="K1374" t="s">
        <v>29400</v>
      </c>
      <c r="M1374" t="s">
        <v>30013</v>
      </c>
      <c r="N1374" t="s">
        <v>32524</v>
      </c>
      <c r="O1374" t="s">
        <v>32525</v>
      </c>
      <c r="P1374">
        <v>0</v>
      </c>
      <c r="Q1374">
        <v>3</v>
      </c>
      <c r="R1374" t="s">
        <v>32526</v>
      </c>
      <c r="S1374" t="s">
        <v>32547</v>
      </c>
      <c r="T1374" t="s">
        <v>33165</v>
      </c>
      <c r="U1374" t="s">
        <v>34672</v>
      </c>
      <c r="V1374" t="s">
        <v>42554</v>
      </c>
      <c r="W1374" t="s">
        <v>30013</v>
      </c>
      <c r="X1374" t="s">
        <v>32527</v>
      </c>
    </row>
    <row r="1375" spans="1:24">
      <c r="A1375">
        <f>HYPERLINK("https://www.philgeps.gov.ph/GEPSNONPILOT/Tender/SplashBidNoticeAbstractUI.aspx?menuIndex=3&amp;refID=7045818&amp;Result=3","7045818")</f>
        <v>0</v>
      </c>
      <c r="B1375" t="s">
        <v>41</v>
      </c>
      <c r="C1375" t="s">
        <v>3997</v>
      </c>
      <c r="D1375" t="s">
        <v>13002</v>
      </c>
      <c r="E1375" t="s">
        <v>14349</v>
      </c>
      <c r="F1375" t="s">
        <v>22436</v>
      </c>
      <c r="G1375" t="s">
        <v>22443</v>
      </c>
      <c r="H1375" t="s">
        <v>22452</v>
      </c>
      <c r="I1375" t="s">
        <v>3529</v>
      </c>
      <c r="J1375" t="s">
        <v>23605</v>
      </c>
      <c r="K1375" t="s">
        <v>29334</v>
      </c>
      <c r="M1375" t="s">
        <v>29612</v>
      </c>
      <c r="N1375" t="s">
        <v>32524</v>
      </c>
      <c r="O1375" t="s">
        <v>32525</v>
      </c>
      <c r="P1375">
        <v>0</v>
      </c>
      <c r="Q1375">
        <v>0</v>
      </c>
      <c r="R1375" t="s">
        <v>32526</v>
      </c>
      <c r="S1375" t="s">
        <v>32547</v>
      </c>
      <c r="T1375" t="s">
        <v>33181</v>
      </c>
      <c r="U1375" t="s">
        <v>34812</v>
      </c>
      <c r="W1375" t="s">
        <v>29612</v>
      </c>
      <c r="X1375" t="s">
        <v>32527</v>
      </c>
    </row>
    <row r="1376" spans="1:24">
      <c r="A1376">
        <f>HYPERLINK("https://www.philgeps.gov.ph/GEPSNONPILOT/Tender/SplashBidNoticeAbstractUI.aspx?menuIndex=3&amp;refID=7045815&amp;Result=3","7045815")</f>
        <v>0</v>
      </c>
      <c r="B1376" t="s">
        <v>579</v>
      </c>
      <c r="C1376" t="s">
        <v>3998</v>
      </c>
      <c r="D1376" t="s">
        <v>13056</v>
      </c>
      <c r="E1376" t="s">
        <v>14350</v>
      </c>
      <c r="F1376" t="s">
        <v>22436</v>
      </c>
      <c r="G1376" t="s">
        <v>22443</v>
      </c>
      <c r="H1376" t="s">
        <v>22452</v>
      </c>
      <c r="I1376" t="s">
        <v>3529</v>
      </c>
      <c r="J1376" t="s">
        <v>23491</v>
      </c>
      <c r="K1376" t="s">
        <v>29336</v>
      </c>
      <c r="M1376" t="s">
        <v>30167</v>
      </c>
      <c r="N1376" t="s">
        <v>32524</v>
      </c>
      <c r="O1376" t="s">
        <v>32525</v>
      </c>
      <c r="P1376">
        <v>0</v>
      </c>
      <c r="Q1376">
        <v>0</v>
      </c>
      <c r="R1376" t="s">
        <v>32526</v>
      </c>
      <c r="S1376" t="s">
        <v>32547</v>
      </c>
      <c r="T1376" t="s">
        <v>33197</v>
      </c>
      <c r="U1376" t="s">
        <v>34813</v>
      </c>
      <c r="V1376" t="s">
        <v>42555</v>
      </c>
      <c r="W1376" t="s">
        <v>30167</v>
      </c>
      <c r="X1376" t="s">
        <v>32527</v>
      </c>
    </row>
    <row r="1377" spans="1:24">
      <c r="A1377">
        <f>HYPERLINK("https://www.philgeps.gov.ph/GEPSNONPILOT/Tender/SplashBidNoticeAbstractUI.aspx?menuIndex=3&amp;refID=7045821&amp;Result=3","7045821")</f>
        <v>0</v>
      </c>
      <c r="B1377" t="s">
        <v>539</v>
      </c>
      <c r="C1377" t="s">
        <v>3999</v>
      </c>
      <c r="D1377" t="s">
        <v>13001</v>
      </c>
      <c r="E1377" t="s">
        <v>14351</v>
      </c>
      <c r="F1377" t="s">
        <v>22436</v>
      </c>
      <c r="G1377" t="s">
        <v>22443</v>
      </c>
      <c r="H1377" t="s">
        <v>22454</v>
      </c>
      <c r="I1377" t="s">
        <v>7738</v>
      </c>
      <c r="J1377" t="s">
        <v>23606</v>
      </c>
      <c r="K1377" t="s">
        <v>29338</v>
      </c>
      <c r="M1377" t="s">
        <v>30123</v>
      </c>
      <c r="N1377" t="s">
        <v>32524</v>
      </c>
      <c r="O1377" t="s">
        <v>32525</v>
      </c>
      <c r="P1377">
        <v>0</v>
      </c>
      <c r="Q1377">
        <v>6</v>
      </c>
      <c r="R1377" t="s">
        <v>32526</v>
      </c>
      <c r="S1377" t="s">
        <v>32547</v>
      </c>
      <c r="T1377" t="s">
        <v>33197</v>
      </c>
      <c r="U1377" t="s">
        <v>34814</v>
      </c>
      <c r="W1377" t="s">
        <v>30123</v>
      </c>
      <c r="X1377" t="s">
        <v>32527</v>
      </c>
    </row>
    <row r="1378" spans="1:24">
      <c r="A1378">
        <f>HYPERLINK("https://www.philgeps.gov.ph/GEPSNONPILOT/Tender/SplashBidNoticeAbstractUI.aspx?menuIndex=3&amp;refID=7045817&amp;Result=3","7045817")</f>
        <v>0</v>
      </c>
      <c r="B1378" t="s">
        <v>580</v>
      </c>
      <c r="C1378" t="s">
        <v>4000</v>
      </c>
      <c r="D1378" t="s">
        <v>13033</v>
      </c>
      <c r="E1378" t="s">
        <v>14352</v>
      </c>
      <c r="F1378" t="s">
        <v>22436</v>
      </c>
      <c r="G1378" t="s">
        <v>22443</v>
      </c>
      <c r="H1378" t="s">
        <v>22452</v>
      </c>
      <c r="I1378" t="s">
        <v>22467</v>
      </c>
      <c r="J1378" t="s">
        <v>23607</v>
      </c>
      <c r="K1378" t="s">
        <v>29357</v>
      </c>
      <c r="M1378" t="s">
        <v>30168</v>
      </c>
      <c r="N1378" t="s">
        <v>32524</v>
      </c>
      <c r="O1378" t="s">
        <v>32525</v>
      </c>
      <c r="P1378">
        <v>0</v>
      </c>
      <c r="Q1378">
        <v>0</v>
      </c>
      <c r="R1378" t="s">
        <v>32526</v>
      </c>
      <c r="S1378" t="s">
        <v>32547</v>
      </c>
      <c r="T1378" t="s">
        <v>33161</v>
      </c>
      <c r="U1378" t="s">
        <v>34815</v>
      </c>
      <c r="W1378" t="s">
        <v>30168</v>
      </c>
      <c r="X1378" t="s">
        <v>32527</v>
      </c>
    </row>
    <row r="1379" spans="1:24">
      <c r="A1379">
        <f>HYPERLINK("https://www.philgeps.gov.ph/GEPSNONPILOT/Tender/SplashBidNoticeAbstractUI.aspx?menuIndex=3&amp;refID=7045811&amp;Result=3","7045811")</f>
        <v>0</v>
      </c>
      <c r="B1379" t="s">
        <v>238</v>
      </c>
      <c r="C1379" t="s">
        <v>3153</v>
      </c>
      <c r="D1379" t="s">
        <v>12991</v>
      </c>
      <c r="E1379" t="s">
        <v>14353</v>
      </c>
      <c r="F1379" t="s">
        <v>22436</v>
      </c>
      <c r="G1379" t="s">
        <v>22444</v>
      </c>
      <c r="H1379" t="s">
        <v>22452</v>
      </c>
      <c r="I1379" t="s">
        <v>22460</v>
      </c>
      <c r="J1379" t="s">
        <v>23608</v>
      </c>
      <c r="K1379" t="s">
        <v>29331</v>
      </c>
      <c r="M1379" t="s">
        <v>29811</v>
      </c>
      <c r="N1379" t="s">
        <v>32524</v>
      </c>
      <c r="O1379" t="s">
        <v>32525</v>
      </c>
      <c r="P1379">
        <v>0</v>
      </c>
      <c r="Q1379">
        <v>0</v>
      </c>
      <c r="R1379" t="s">
        <v>32526</v>
      </c>
      <c r="S1379" t="s">
        <v>32547</v>
      </c>
      <c r="T1379" t="s">
        <v>33244</v>
      </c>
      <c r="U1379" t="s">
        <v>34065</v>
      </c>
      <c r="W1379" t="s">
        <v>29811</v>
      </c>
      <c r="X1379" t="s">
        <v>32527</v>
      </c>
    </row>
    <row r="1380" spans="1:24">
      <c r="A1380">
        <f>HYPERLINK("https://www.philgeps.gov.ph/GEPSNONPILOT/Tender/SplashBidNoticeAbstractUI.aspx?menuIndex=3&amp;refID=7045810&amp;Result=3","7045810")</f>
        <v>0</v>
      </c>
      <c r="B1380" t="s">
        <v>562</v>
      </c>
      <c r="C1380" t="s">
        <v>4001</v>
      </c>
      <c r="D1380" t="s">
        <v>13023</v>
      </c>
      <c r="E1380" t="s">
        <v>14354</v>
      </c>
      <c r="F1380" t="s">
        <v>22436</v>
      </c>
      <c r="G1380" t="s">
        <v>22443</v>
      </c>
      <c r="H1380" t="s">
        <v>22452</v>
      </c>
      <c r="I1380" t="s">
        <v>22502</v>
      </c>
      <c r="J1380" t="s">
        <v>23609</v>
      </c>
      <c r="K1380" t="s">
        <v>29356</v>
      </c>
      <c r="M1380" t="s">
        <v>30150</v>
      </c>
      <c r="N1380" t="s">
        <v>32524</v>
      </c>
      <c r="O1380" t="s">
        <v>32525</v>
      </c>
      <c r="P1380">
        <v>0</v>
      </c>
      <c r="Q1380">
        <v>5</v>
      </c>
      <c r="R1380" t="s">
        <v>32526</v>
      </c>
      <c r="S1380" t="s">
        <v>32547</v>
      </c>
      <c r="T1380" t="s">
        <v>33221</v>
      </c>
      <c r="U1380" t="s">
        <v>34780</v>
      </c>
      <c r="W1380" t="s">
        <v>30150</v>
      </c>
      <c r="X1380" t="s">
        <v>32527</v>
      </c>
    </row>
    <row r="1381" spans="1:24">
      <c r="A1381">
        <f>HYPERLINK("https://www.philgeps.gov.ph/GEPSNONPILOT/Tender/SplashBidNoticeAbstractUI.aspx?menuIndex=3&amp;refID=7045822&amp;Result=3","7045822")</f>
        <v>0</v>
      </c>
      <c r="B1381" t="s">
        <v>279</v>
      </c>
      <c r="C1381" t="s">
        <v>4002</v>
      </c>
      <c r="D1381" t="s">
        <v>13010</v>
      </c>
      <c r="E1381" t="s">
        <v>14355</v>
      </c>
      <c r="F1381" t="s">
        <v>22436</v>
      </c>
      <c r="G1381" t="s">
        <v>22444</v>
      </c>
      <c r="H1381" t="s">
        <v>22452</v>
      </c>
      <c r="I1381" t="s">
        <v>6387</v>
      </c>
      <c r="J1381" t="s">
        <v>23610</v>
      </c>
      <c r="K1381" t="s">
        <v>29333</v>
      </c>
      <c r="M1381" t="s">
        <v>30132</v>
      </c>
      <c r="N1381" t="s">
        <v>32524</v>
      </c>
      <c r="O1381" t="s">
        <v>32525</v>
      </c>
      <c r="P1381">
        <v>0</v>
      </c>
      <c r="Q1381">
        <v>1</v>
      </c>
      <c r="R1381" t="s">
        <v>32526</v>
      </c>
      <c r="S1381" t="s">
        <v>32547</v>
      </c>
      <c r="T1381" t="s">
        <v>33166</v>
      </c>
      <c r="U1381" t="s">
        <v>34736</v>
      </c>
      <c r="W1381" t="s">
        <v>30132</v>
      </c>
      <c r="X1381" t="s">
        <v>32527</v>
      </c>
    </row>
    <row r="1382" spans="1:24">
      <c r="A1382">
        <f>HYPERLINK("https://www.philgeps.gov.ph/GEPSNONPILOT/Tender/SplashBidNoticeAbstractUI.aspx?menuIndex=3&amp;refID=7045840&amp;Result=3","7045840")</f>
        <v>0</v>
      </c>
      <c r="B1382" t="s">
        <v>238</v>
      </c>
      <c r="C1382" t="s">
        <v>4003</v>
      </c>
      <c r="D1382" t="s">
        <v>12991</v>
      </c>
      <c r="E1382" t="s">
        <v>14356</v>
      </c>
      <c r="F1382" t="s">
        <v>22436</v>
      </c>
      <c r="G1382" t="s">
        <v>22444</v>
      </c>
      <c r="H1382" t="s">
        <v>22452</v>
      </c>
      <c r="I1382" t="s">
        <v>22460</v>
      </c>
      <c r="J1382" t="s">
        <v>23611</v>
      </c>
      <c r="K1382" t="s">
        <v>29331</v>
      </c>
      <c r="M1382" t="s">
        <v>29811</v>
      </c>
      <c r="N1382" t="s">
        <v>32524</v>
      </c>
      <c r="O1382" t="s">
        <v>32525</v>
      </c>
      <c r="P1382">
        <v>0</v>
      </c>
      <c r="Q1382">
        <v>0</v>
      </c>
      <c r="R1382" t="s">
        <v>32526</v>
      </c>
      <c r="S1382" t="s">
        <v>32547</v>
      </c>
      <c r="T1382" t="s">
        <v>33244</v>
      </c>
      <c r="U1382" t="s">
        <v>34065</v>
      </c>
      <c r="W1382" t="s">
        <v>29811</v>
      </c>
      <c r="X1382" t="s">
        <v>32527</v>
      </c>
    </row>
    <row r="1383" spans="1:24">
      <c r="A1383">
        <f>HYPERLINK("https://www.philgeps.gov.ph/GEPSNONPILOT/Tender/SplashBidNoticeAbstractUI.aspx?menuIndex=3&amp;refID=7045803&amp;Result=3","7045803")</f>
        <v>0</v>
      </c>
      <c r="B1383" t="s">
        <v>470</v>
      </c>
      <c r="C1383" t="s">
        <v>4004</v>
      </c>
      <c r="D1383" t="s">
        <v>13028</v>
      </c>
      <c r="E1383" t="s">
        <v>14357</v>
      </c>
      <c r="F1383" t="s">
        <v>22436</v>
      </c>
      <c r="G1383" t="s">
        <v>22443</v>
      </c>
      <c r="H1383" t="s">
        <v>22452</v>
      </c>
      <c r="I1383" t="s">
        <v>22537</v>
      </c>
      <c r="J1383" t="s">
        <v>23356</v>
      </c>
      <c r="K1383" t="s">
        <v>29335</v>
      </c>
      <c r="M1383" t="s">
        <v>30054</v>
      </c>
      <c r="N1383" t="s">
        <v>32524</v>
      </c>
      <c r="O1383" t="s">
        <v>32525</v>
      </c>
      <c r="P1383">
        <v>0</v>
      </c>
      <c r="Q1383">
        <v>0</v>
      </c>
      <c r="R1383" t="s">
        <v>32526</v>
      </c>
      <c r="S1383" t="s">
        <v>32547</v>
      </c>
      <c r="T1383" t="s">
        <v>33242</v>
      </c>
      <c r="U1383" t="s">
        <v>34816</v>
      </c>
      <c r="W1383" t="s">
        <v>30054</v>
      </c>
      <c r="X1383" t="s">
        <v>32527</v>
      </c>
    </row>
    <row r="1384" spans="1:24">
      <c r="A1384">
        <f>HYPERLINK("https://www.philgeps.gov.ph/GEPSNONPILOT/Tender/SplashBidNoticeAbstractUI.aspx?menuIndex=3&amp;refID=7045825&amp;Result=3","7045825")</f>
        <v>0</v>
      </c>
      <c r="B1384" t="s">
        <v>577</v>
      </c>
      <c r="C1384" t="s">
        <v>4005</v>
      </c>
      <c r="D1384" t="s">
        <v>13058</v>
      </c>
      <c r="E1384" t="s">
        <v>14358</v>
      </c>
      <c r="F1384" t="s">
        <v>22436</v>
      </c>
      <c r="G1384" t="s">
        <v>22444</v>
      </c>
      <c r="H1384" t="s">
        <v>22454</v>
      </c>
      <c r="I1384" t="s">
        <v>7738</v>
      </c>
      <c r="J1384" t="s">
        <v>22779</v>
      </c>
      <c r="K1384" t="s">
        <v>29334</v>
      </c>
      <c r="M1384" t="s">
        <v>30165</v>
      </c>
      <c r="N1384" t="s">
        <v>32524</v>
      </c>
      <c r="O1384" t="s">
        <v>32525</v>
      </c>
      <c r="P1384">
        <v>0</v>
      </c>
      <c r="Q1384">
        <v>0</v>
      </c>
      <c r="R1384" t="s">
        <v>32526</v>
      </c>
      <c r="S1384" t="s">
        <v>32547</v>
      </c>
      <c r="T1384" t="s">
        <v>33319</v>
      </c>
      <c r="U1384" t="s">
        <v>34817</v>
      </c>
      <c r="W1384" t="s">
        <v>30165</v>
      </c>
      <c r="X1384" t="s">
        <v>32527</v>
      </c>
    </row>
    <row r="1385" spans="1:24">
      <c r="A1385">
        <f>HYPERLINK("https://www.philgeps.gov.ph/GEPSNONPILOT/Tender/SplashBidNoticeAbstractUI.aspx?menuIndex=3&amp;refID=7045839&amp;Result=3","7045839")</f>
        <v>0</v>
      </c>
      <c r="B1385" t="s">
        <v>581</v>
      </c>
      <c r="C1385" t="s">
        <v>4006</v>
      </c>
      <c r="D1385" t="s">
        <v>12988</v>
      </c>
      <c r="E1385" t="s">
        <v>14359</v>
      </c>
      <c r="F1385" t="s">
        <v>22436</v>
      </c>
      <c r="G1385" t="s">
        <v>22444</v>
      </c>
      <c r="H1385" t="s">
        <v>22452</v>
      </c>
      <c r="I1385" t="s">
        <v>3529</v>
      </c>
      <c r="J1385" t="s">
        <v>22605</v>
      </c>
      <c r="K1385" t="s">
        <v>29357</v>
      </c>
      <c r="M1385" t="s">
        <v>30169</v>
      </c>
      <c r="N1385" t="s">
        <v>32524</v>
      </c>
      <c r="O1385" t="s">
        <v>32525</v>
      </c>
      <c r="P1385">
        <v>0</v>
      </c>
      <c r="Q1385">
        <v>0</v>
      </c>
      <c r="R1385" t="s">
        <v>32526</v>
      </c>
      <c r="S1385" t="s">
        <v>32547</v>
      </c>
      <c r="T1385" t="s">
        <v>33155</v>
      </c>
      <c r="U1385" t="s">
        <v>34616</v>
      </c>
      <c r="W1385" t="s">
        <v>30169</v>
      </c>
      <c r="X1385" t="s">
        <v>32527</v>
      </c>
    </row>
    <row r="1386" spans="1:24">
      <c r="A1386">
        <f>HYPERLINK("https://www.philgeps.gov.ph/GEPSNONPILOT/Tender/SplashBidNoticeAbstractUI.aspx?menuIndex=3&amp;refID=7045804&amp;Result=3","7045804")</f>
        <v>0</v>
      </c>
      <c r="B1386" t="s">
        <v>426</v>
      </c>
      <c r="C1386" t="s">
        <v>4007</v>
      </c>
      <c r="D1386" t="s">
        <v>12990</v>
      </c>
      <c r="E1386" t="s">
        <v>14360</v>
      </c>
      <c r="F1386" t="s">
        <v>22436</v>
      </c>
      <c r="G1386" t="s">
        <v>22444</v>
      </c>
      <c r="H1386" t="s">
        <v>22455</v>
      </c>
      <c r="I1386" t="s">
        <v>7738</v>
      </c>
      <c r="J1386" t="s">
        <v>23612</v>
      </c>
      <c r="K1386" t="s">
        <v>29338</v>
      </c>
      <c r="M1386" t="s">
        <v>30170</v>
      </c>
      <c r="N1386" t="s">
        <v>32524</v>
      </c>
      <c r="O1386" t="s">
        <v>32525</v>
      </c>
      <c r="P1386">
        <v>0</v>
      </c>
      <c r="Q1386">
        <v>0</v>
      </c>
      <c r="R1386" t="s">
        <v>32526</v>
      </c>
      <c r="S1386" t="s">
        <v>32547</v>
      </c>
      <c r="T1386" t="s">
        <v>33182</v>
      </c>
      <c r="U1386" t="s">
        <v>34818</v>
      </c>
      <c r="W1386" t="s">
        <v>30170</v>
      </c>
      <c r="X1386" t="s">
        <v>32527</v>
      </c>
    </row>
    <row r="1387" spans="1:24">
      <c r="A1387">
        <f>HYPERLINK("https://www.philgeps.gov.ph/GEPSNONPILOT/Tender/SplashBidNoticeAbstractUI.aspx?menuIndex=3&amp;refID=7045836&amp;Result=3","7045836")</f>
        <v>0</v>
      </c>
      <c r="B1387" t="s">
        <v>33</v>
      </c>
      <c r="C1387" t="s">
        <v>4008</v>
      </c>
      <c r="E1387" t="s">
        <v>14361</v>
      </c>
      <c r="F1387" t="s">
        <v>22436</v>
      </c>
      <c r="G1387" t="s">
        <v>22443</v>
      </c>
      <c r="H1387" t="s">
        <v>22452</v>
      </c>
      <c r="I1387" t="s">
        <v>22461</v>
      </c>
      <c r="J1387" t="s">
        <v>23613</v>
      </c>
      <c r="K1387" t="s">
        <v>29338</v>
      </c>
      <c r="M1387" t="s">
        <v>29603</v>
      </c>
      <c r="N1387" t="s">
        <v>32524</v>
      </c>
      <c r="O1387" t="s">
        <v>32525</v>
      </c>
      <c r="P1387">
        <v>0</v>
      </c>
      <c r="Q1387">
        <v>0</v>
      </c>
      <c r="R1387" t="s">
        <v>32526</v>
      </c>
      <c r="S1387" t="s">
        <v>32547</v>
      </c>
      <c r="T1387" t="s">
        <v>33154</v>
      </c>
      <c r="U1387" t="s">
        <v>34819</v>
      </c>
      <c r="W1387" t="s">
        <v>29603</v>
      </c>
      <c r="X1387" t="s">
        <v>32527</v>
      </c>
    </row>
    <row r="1388" spans="1:24">
      <c r="A1388">
        <f>HYPERLINK("https://www.philgeps.gov.ph/GEPSNONPILOT/Tender/SplashBidNoticeAbstractUI.aspx?menuIndex=3&amp;refID=7045835&amp;Result=3","7045835")</f>
        <v>0</v>
      </c>
      <c r="B1388" t="s">
        <v>158</v>
      </c>
      <c r="C1388" t="s">
        <v>4009</v>
      </c>
      <c r="D1388" t="s">
        <v>12990</v>
      </c>
      <c r="E1388" t="s">
        <v>14362</v>
      </c>
      <c r="F1388" t="s">
        <v>22436</v>
      </c>
      <c r="G1388" t="s">
        <v>22448</v>
      </c>
      <c r="H1388" t="s">
        <v>22454</v>
      </c>
      <c r="I1388" t="s">
        <v>7738</v>
      </c>
      <c r="J1388" t="s">
        <v>23614</v>
      </c>
      <c r="K1388" t="s">
        <v>29338</v>
      </c>
      <c r="M1388" t="s">
        <v>30171</v>
      </c>
      <c r="N1388" t="s">
        <v>32524</v>
      </c>
      <c r="O1388" t="s">
        <v>32525</v>
      </c>
      <c r="P1388">
        <v>0</v>
      </c>
      <c r="Q1388">
        <v>0</v>
      </c>
      <c r="R1388" t="s">
        <v>32526</v>
      </c>
      <c r="S1388" t="s">
        <v>32547</v>
      </c>
      <c r="T1388" t="s">
        <v>33169</v>
      </c>
      <c r="U1388" t="s">
        <v>34820</v>
      </c>
      <c r="W1388" t="s">
        <v>30171</v>
      </c>
      <c r="X1388" t="s">
        <v>32527</v>
      </c>
    </row>
    <row r="1389" spans="1:24">
      <c r="A1389">
        <f>HYPERLINK("https://www.philgeps.gov.ph/GEPSNONPILOT/Tender/SplashBidNoticeAbstractUI.aspx?menuIndex=3&amp;refID=7045824&amp;Result=3","7045824")</f>
        <v>0</v>
      </c>
      <c r="B1389" t="s">
        <v>452</v>
      </c>
      <c r="C1389" t="s">
        <v>4010</v>
      </c>
      <c r="D1389" t="s">
        <v>12988</v>
      </c>
      <c r="E1389" t="s">
        <v>14363</v>
      </c>
      <c r="F1389" t="s">
        <v>22436</v>
      </c>
      <c r="G1389" t="s">
        <v>22443</v>
      </c>
      <c r="H1389" t="s">
        <v>22452</v>
      </c>
      <c r="I1389" t="s">
        <v>22469</v>
      </c>
      <c r="J1389" t="s">
        <v>22758</v>
      </c>
      <c r="K1389" t="s">
        <v>29341</v>
      </c>
      <c r="M1389" t="s">
        <v>30034</v>
      </c>
      <c r="N1389" t="s">
        <v>32524</v>
      </c>
      <c r="O1389" t="s">
        <v>32525</v>
      </c>
      <c r="P1389">
        <v>0</v>
      </c>
      <c r="Q1389">
        <v>10</v>
      </c>
      <c r="R1389" t="s">
        <v>32526</v>
      </c>
      <c r="S1389" t="s">
        <v>32547</v>
      </c>
      <c r="T1389" t="s">
        <v>33288</v>
      </c>
      <c r="U1389" t="s">
        <v>34530</v>
      </c>
      <c r="V1389" t="s">
        <v>42516</v>
      </c>
      <c r="W1389" t="s">
        <v>30034</v>
      </c>
      <c r="X1389" t="s">
        <v>32527</v>
      </c>
    </row>
    <row r="1390" spans="1:24">
      <c r="A1390">
        <f>HYPERLINK("https://www.philgeps.gov.ph/GEPSNONPILOT/Tender/SplashBidNoticeAbstractUI.aspx?menuIndex=3&amp;refID=7045838&amp;Result=3","7045838")</f>
        <v>0</v>
      </c>
      <c r="B1390" t="s">
        <v>582</v>
      </c>
      <c r="C1390" t="s">
        <v>4011</v>
      </c>
      <c r="D1390" t="s">
        <v>13006</v>
      </c>
      <c r="E1390" t="s">
        <v>4011</v>
      </c>
      <c r="F1390" t="s">
        <v>22436</v>
      </c>
      <c r="G1390" t="s">
        <v>22446</v>
      </c>
      <c r="H1390" t="s">
        <v>22452</v>
      </c>
      <c r="I1390" t="s">
        <v>22460</v>
      </c>
      <c r="J1390" t="s">
        <v>22874</v>
      </c>
      <c r="K1390" t="s">
        <v>29336</v>
      </c>
      <c r="M1390" t="s">
        <v>30172</v>
      </c>
      <c r="N1390" t="s">
        <v>32524</v>
      </c>
      <c r="O1390" t="s">
        <v>32525</v>
      </c>
      <c r="P1390">
        <v>0</v>
      </c>
      <c r="Q1390">
        <v>1</v>
      </c>
      <c r="R1390" t="s">
        <v>32526</v>
      </c>
      <c r="S1390" t="s">
        <v>32547</v>
      </c>
      <c r="T1390" t="s">
        <v>33185</v>
      </c>
      <c r="U1390" t="s">
        <v>34821</v>
      </c>
      <c r="W1390" t="s">
        <v>30172</v>
      </c>
      <c r="X1390" t="s">
        <v>32527</v>
      </c>
    </row>
    <row r="1391" spans="1:24">
      <c r="A1391">
        <f>HYPERLINK("https://www.philgeps.gov.ph/GEPSNONPILOT/Tender/SplashBidNoticeAbstractUI.aspx?menuIndex=3&amp;refID=7045823&amp;Result=3","7045823")</f>
        <v>0</v>
      </c>
      <c r="B1391" t="s">
        <v>50</v>
      </c>
      <c r="C1391" t="s">
        <v>4012</v>
      </c>
      <c r="D1391" t="s">
        <v>13008</v>
      </c>
      <c r="E1391" t="s">
        <v>14318</v>
      </c>
      <c r="F1391" t="s">
        <v>22436</v>
      </c>
      <c r="G1391" t="s">
        <v>22444</v>
      </c>
      <c r="H1391" t="s">
        <v>22452</v>
      </c>
      <c r="I1391" t="s">
        <v>2981</v>
      </c>
      <c r="J1391" t="s">
        <v>23615</v>
      </c>
      <c r="K1391" t="s">
        <v>29335</v>
      </c>
      <c r="M1391" t="s">
        <v>29622</v>
      </c>
      <c r="N1391" t="s">
        <v>32524</v>
      </c>
      <c r="O1391" t="s">
        <v>32525</v>
      </c>
      <c r="P1391">
        <v>0</v>
      </c>
      <c r="Q1391">
        <v>1</v>
      </c>
      <c r="R1391" t="s">
        <v>32526</v>
      </c>
      <c r="S1391" t="s">
        <v>32547</v>
      </c>
      <c r="T1391" t="s">
        <v>33166</v>
      </c>
      <c r="U1391" t="s">
        <v>34787</v>
      </c>
      <c r="W1391" t="s">
        <v>29622</v>
      </c>
      <c r="X1391" t="s">
        <v>32527</v>
      </c>
    </row>
    <row r="1392" spans="1:24">
      <c r="A1392">
        <f>HYPERLINK("https://www.philgeps.gov.ph/GEPSNONPILOT/Tender/SplashBidNoticeAbstractUI.aspx?menuIndex=3&amp;refID=7045830&amp;Result=3","7045830")</f>
        <v>0</v>
      </c>
      <c r="B1392" t="s">
        <v>330</v>
      </c>
      <c r="C1392" t="s">
        <v>4013</v>
      </c>
      <c r="D1392" t="s">
        <v>12988</v>
      </c>
      <c r="E1392" t="s">
        <v>14364</v>
      </c>
      <c r="F1392" t="s">
        <v>22436</v>
      </c>
      <c r="G1392" t="s">
        <v>22443</v>
      </c>
      <c r="H1392" t="s">
        <v>22452</v>
      </c>
      <c r="I1392" t="s">
        <v>3529</v>
      </c>
      <c r="J1392" t="s">
        <v>23616</v>
      </c>
      <c r="K1392" t="s">
        <v>29341</v>
      </c>
      <c r="M1392" t="s">
        <v>29906</v>
      </c>
      <c r="N1392" t="s">
        <v>32524</v>
      </c>
      <c r="O1392" t="s">
        <v>32525</v>
      </c>
      <c r="P1392">
        <v>0</v>
      </c>
      <c r="Q1392">
        <v>0</v>
      </c>
      <c r="R1392" t="s">
        <v>32526</v>
      </c>
      <c r="S1392" t="s">
        <v>32547</v>
      </c>
      <c r="T1392" t="s">
        <v>33161</v>
      </c>
      <c r="U1392" t="s">
        <v>34822</v>
      </c>
      <c r="V1392" t="s">
        <v>42460</v>
      </c>
      <c r="W1392" t="s">
        <v>29906</v>
      </c>
      <c r="X1392" t="s">
        <v>32527</v>
      </c>
    </row>
    <row r="1393" spans="1:24">
      <c r="A1393">
        <f>HYPERLINK("https://www.philgeps.gov.ph/GEPSNONPILOT/Tender/SplashBidNoticeAbstractUI.aspx?menuIndex=3&amp;refID=7045832&amp;Result=3","7045832")</f>
        <v>0</v>
      </c>
      <c r="B1393" t="s">
        <v>411</v>
      </c>
      <c r="C1393" t="s">
        <v>4014</v>
      </c>
      <c r="D1393" t="s">
        <v>13015</v>
      </c>
      <c r="E1393" t="s">
        <v>14365</v>
      </c>
      <c r="F1393" t="s">
        <v>22436</v>
      </c>
      <c r="G1393" t="s">
        <v>22444</v>
      </c>
      <c r="H1393" t="s">
        <v>22452</v>
      </c>
      <c r="I1393" t="s">
        <v>12358</v>
      </c>
      <c r="J1393" t="s">
        <v>23617</v>
      </c>
      <c r="K1393" t="s">
        <v>29341</v>
      </c>
      <c r="M1393" t="s">
        <v>29990</v>
      </c>
      <c r="N1393" t="s">
        <v>32524</v>
      </c>
      <c r="O1393" t="s">
        <v>32525</v>
      </c>
      <c r="P1393">
        <v>0</v>
      </c>
      <c r="Q1393">
        <v>0</v>
      </c>
      <c r="R1393" t="s">
        <v>32526</v>
      </c>
      <c r="S1393" t="s">
        <v>32547</v>
      </c>
      <c r="T1393" t="s">
        <v>33175</v>
      </c>
      <c r="U1393" t="s">
        <v>34823</v>
      </c>
      <c r="W1393" t="s">
        <v>29990</v>
      </c>
      <c r="X1393" t="s">
        <v>32527</v>
      </c>
    </row>
    <row r="1394" spans="1:24">
      <c r="A1394">
        <f>HYPERLINK("https://www.philgeps.gov.ph/GEPSNONPILOT/Tender/SplashBidNoticeAbstractUI.aspx?menuIndex=3&amp;refID=7045831&amp;Result=3","7045831")</f>
        <v>0</v>
      </c>
      <c r="B1394" t="s">
        <v>75</v>
      </c>
      <c r="C1394" t="s">
        <v>4015</v>
      </c>
      <c r="D1394" t="s">
        <v>13021</v>
      </c>
      <c r="E1394" t="s">
        <v>14366</v>
      </c>
      <c r="F1394" t="s">
        <v>22436</v>
      </c>
      <c r="G1394" t="s">
        <v>22445</v>
      </c>
      <c r="H1394" t="s">
        <v>22452</v>
      </c>
      <c r="I1394" t="s">
        <v>12358</v>
      </c>
      <c r="J1394" t="s">
        <v>23618</v>
      </c>
      <c r="K1394" t="s">
        <v>29335</v>
      </c>
      <c r="M1394" t="s">
        <v>29647</v>
      </c>
      <c r="N1394" t="s">
        <v>32524</v>
      </c>
      <c r="O1394" t="s">
        <v>32525</v>
      </c>
      <c r="P1394">
        <v>0</v>
      </c>
      <c r="Q1394">
        <v>0</v>
      </c>
      <c r="R1394" t="s">
        <v>32526</v>
      </c>
      <c r="S1394" t="s">
        <v>32547</v>
      </c>
      <c r="T1394" t="s">
        <v>33167</v>
      </c>
      <c r="U1394" t="s">
        <v>34824</v>
      </c>
      <c r="W1394" t="s">
        <v>29647</v>
      </c>
      <c r="X1394" t="s">
        <v>32527</v>
      </c>
    </row>
    <row r="1395" spans="1:24">
      <c r="A1395">
        <f>HYPERLINK("https://www.philgeps.gov.ph/GEPSNONPILOT/Tender/SplashBidNoticeAbstractUI.aspx?menuIndex=3&amp;refID=7045846&amp;Result=3","7045846")</f>
        <v>0</v>
      </c>
      <c r="B1395" t="s">
        <v>583</v>
      </c>
      <c r="C1395" t="s">
        <v>4016</v>
      </c>
      <c r="E1395" t="s">
        <v>14367</v>
      </c>
      <c r="F1395" t="s">
        <v>22436</v>
      </c>
      <c r="G1395" t="s">
        <v>22443</v>
      </c>
      <c r="H1395" t="s">
        <v>22452</v>
      </c>
      <c r="I1395" t="s">
        <v>22460</v>
      </c>
      <c r="J1395" t="s">
        <v>23619</v>
      </c>
      <c r="K1395" t="s">
        <v>29335</v>
      </c>
      <c r="M1395" t="s">
        <v>30173</v>
      </c>
      <c r="N1395" t="s">
        <v>32524</v>
      </c>
      <c r="O1395" t="s">
        <v>32525</v>
      </c>
      <c r="P1395">
        <v>0</v>
      </c>
      <c r="Q1395">
        <v>1</v>
      </c>
      <c r="R1395" t="s">
        <v>32526</v>
      </c>
      <c r="S1395" t="s">
        <v>32547</v>
      </c>
      <c r="T1395" t="s">
        <v>33320</v>
      </c>
      <c r="U1395" t="s">
        <v>34825</v>
      </c>
      <c r="W1395" t="s">
        <v>30173</v>
      </c>
      <c r="X1395" t="s">
        <v>32527</v>
      </c>
    </row>
    <row r="1396" spans="1:24">
      <c r="A1396">
        <f>HYPERLINK("https://www.philgeps.gov.ph/GEPSNONPILOT/Tender/SplashBidNoticeAbstractUI.aspx?menuIndex=3&amp;refID=7045827&amp;Result=3","7045827")</f>
        <v>0</v>
      </c>
      <c r="B1396" t="s">
        <v>223</v>
      </c>
      <c r="C1396" t="s">
        <v>4017</v>
      </c>
      <c r="D1396" t="s">
        <v>13024</v>
      </c>
      <c r="E1396" t="s">
        <v>14368</v>
      </c>
      <c r="F1396" t="s">
        <v>22436</v>
      </c>
      <c r="G1396" t="s">
        <v>22446</v>
      </c>
      <c r="H1396" t="s">
        <v>22452</v>
      </c>
      <c r="I1396" t="s">
        <v>22456</v>
      </c>
      <c r="J1396" t="s">
        <v>22692</v>
      </c>
      <c r="K1396" t="s">
        <v>29336</v>
      </c>
      <c r="M1396" t="s">
        <v>29796</v>
      </c>
      <c r="N1396" t="s">
        <v>32524</v>
      </c>
      <c r="O1396" t="s">
        <v>32525</v>
      </c>
      <c r="P1396">
        <v>0</v>
      </c>
      <c r="Q1396">
        <v>0</v>
      </c>
      <c r="R1396" t="s">
        <v>32526</v>
      </c>
      <c r="S1396" t="s">
        <v>32547</v>
      </c>
      <c r="T1396" t="s">
        <v>33180</v>
      </c>
      <c r="U1396" t="s">
        <v>34826</v>
      </c>
      <c r="W1396" t="s">
        <v>29796</v>
      </c>
      <c r="X1396" t="s">
        <v>32527</v>
      </c>
    </row>
    <row r="1397" spans="1:24">
      <c r="A1397">
        <f>HYPERLINK("https://www.philgeps.gov.ph/GEPSNONPILOT/Tender/SplashBidNoticeAbstractUI.aspx?menuIndex=3&amp;refID=7045826&amp;Result=3","7045826")</f>
        <v>0</v>
      </c>
      <c r="B1397" t="s">
        <v>501</v>
      </c>
      <c r="C1397" t="s">
        <v>4018</v>
      </c>
      <c r="D1397" t="s">
        <v>12994</v>
      </c>
      <c r="E1397" t="s">
        <v>14369</v>
      </c>
      <c r="F1397" t="s">
        <v>22436</v>
      </c>
      <c r="G1397" t="s">
        <v>22443</v>
      </c>
      <c r="H1397" t="s">
        <v>22452</v>
      </c>
      <c r="I1397" t="s">
        <v>22463</v>
      </c>
      <c r="J1397" t="s">
        <v>23620</v>
      </c>
      <c r="K1397" t="s">
        <v>29338</v>
      </c>
      <c r="M1397" t="s">
        <v>30085</v>
      </c>
      <c r="N1397" t="s">
        <v>32524</v>
      </c>
      <c r="O1397" t="s">
        <v>32525</v>
      </c>
      <c r="P1397">
        <v>0</v>
      </c>
      <c r="Q1397">
        <v>0</v>
      </c>
      <c r="R1397" t="s">
        <v>32526</v>
      </c>
      <c r="S1397" t="s">
        <v>32547</v>
      </c>
      <c r="T1397" t="s">
        <v>33169</v>
      </c>
      <c r="U1397" t="s">
        <v>34696</v>
      </c>
      <c r="V1397" t="s">
        <v>42556</v>
      </c>
      <c r="W1397" t="s">
        <v>30085</v>
      </c>
      <c r="X1397" t="s">
        <v>32527</v>
      </c>
    </row>
    <row r="1398" spans="1:24">
      <c r="A1398">
        <f>HYPERLINK("https://www.philgeps.gov.ph/GEPSNONPILOT/Tender/SplashBidNoticeAbstractUI.aspx?menuIndex=3&amp;refID=7045842&amp;Result=3","7045842")</f>
        <v>0</v>
      </c>
      <c r="B1398" t="s">
        <v>569</v>
      </c>
      <c r="C1398" t="s">
        <v>4019</v>
      </c>
      <c r="D1398" t="s">
        <v>12988</v>
      </c>
      <c r="E1398" t="s">
        <v>14370</v>
      </c>
      <c r="F1398" t="s">
        <v>22436</v>
      </c>
      <c r="G1398" t="s">
        <v>22444</v>
      </c>
      <c r="H1398" t="s">
        <v>22452</v>
      </c>
      <c r="I1398" t="s">
        <v>22528</v>
      </c>
      <c r="J1398" t="s">
        <v>23621</v>
      </c>
      <c r="K1398" t="s">
        <v>29361</v>
      </c>
      <c r="M1398" t="s">
        <v>30157</v>
      </c>
      <c r="N1398" t="s">
        <v>32524</v>
      </c>
      <c r="O1398" t="s">
        <v>32525</v>
      </c>
      <c r="P1398">
        <v>0</v>
      </c>
      <c r="Q1398">
        <v>1</v>
      </c>
      <c r="R1398" t="s">
        <v>32526</v>
      </c>
      <c r="S1398" t="s">
        <v>32547</v>
      </c>
      <c r="T1398" t="s">
        <v>33316</v>
      </c>
      <c r="U1398" t="s">
        <v>34827</v>
      </c>
      <c r="W1398" t="s">
        <v>30157</v>
      </c>
      <c r="X1398" t="s">
        <v>32527</v>
      </c>
    </row>
    <row r="1399" spans="1:24">
      <c r="A1399">
        <f>HYPERLINK("https://www.philgeps.gov.ph/GEPSNONPILOT/Tender/SplashBidNoticeAbstractUI.aspx?menuIndex=3&amp;refID=7045828&amp;Result=3","7045828")</f>
        <v>0</v>
      </c>
      <c r="B1399" t="s">
        <v>584</v>
      </c>
      <c r="C1399" t="s">
        <v>4020</v>
      </c>
      <c r="D1399" t="s">
        <v>12988</v>
      </c>
      <c r="E1399" t="s">
        <v>14371</v>
      </c>
      <c r="F1399" t="s">
        <v>22436</v>
      </c>
      <c r="G1399" t="s">
        <v>22443</v>
      </c>
      <c r="H1399" t="s">
        <v>22452</v>
      </c>
      <c r="I1399" t="s">
        <v>6421</v>
      </c>
      <c r="J1399" t="s">
        <v>23622</v>
      </c>
      <c r="K1399" t="s">
        <v>29335</v>
      </c>
      <c r="M1399" t="s">
        <v>30174</v>
      </c>
      <c r="N1399" t="s">
        <v>32524</v>
      </c>
      <c r="O1399" t="s">
        <v>32525</v>
      </c>
      <c r="P1399">
        <v>0</v>
      </c>
      <c r="Q1399">
        <v>9</v>
      </c>
      <c r="R1399" t="s">
        <v>32526</v>
      </c>
      <c r="S1399" t="s">
        <v>32547</v>
      </c>
      <c r="T1399" t="s">
        <v>33314</v>
      </c>
      <c r="U1399" t="s">
        <v>34828</v>
      </c>
      <c r="W1399" t="s">
        <v>30174</v>
      </c>
      <c r="X1399" t="s">
        <v>32527</v>
      </c>
    </row>
    <row r="1400" spans="1:24">
      <c r="A1400">
        <f>HYPERLINK("https://www.philgeps.gov.ph/GEPSNONPILOT/Tender/SplashBidNoticeAbstractUI.aspx?menuIndex=3&amp;refID=7045845&amp;Result=3","7045845")</f>
        <v>0</v>
      </c>
      <c r="B1400" t="s">
        <v>433</v>
      </c>
      <c r="C1400" t="s">
        <v>4021</v>
      </c>
      <c r="D1400" t="s">
        <v>13015</v>
      </c>
      <c r="E1400" t="s">
        <v>14372</v>
      </c>
      <c r="F1400" t="s">
        <v>22436</v>
      </c>
      <c r="G1400" t="s">
        <v>22443</v>
      </c>
      <c r="H1400" t="s">
        <v>22452</v>
      </c>
      <c r="I1400" t="s">
        <v>22465</v>
      </c>
      <c r="J1400" t="s">
        <v>22892</v>
      </c>
      <c r="K1400" t="s">
        <v>29338</v>
      </c>
      <c r="M1400" t="s">
        <v>30014</v>
      </c>
      <c r="N1400" t="s">
        <v>32524</v>
      </c>
      <c r="O1400" t="s">
        <v>32525</v>
      </c>
      <c r="P1400">
        <v>0</v>
      </c>
      <c r="Q1400">
        <v>0</v>
      </c>
      <c r="R1400" t="s">
        <v>32526</v>
      </c>
      <c r="S1400" t="s">
        <v>32547</v>
      </c>
      <c r="T1400" t="s">
        <v>33186</v>
      </c>
      <c r="U1400" t="s">
        <v>34782</v>
      </c>
      <c r="W1400" t="s">
        <v>30014</v>
      </c>
      <c r="X1400" t="s">
        <v>32527</v>
      </c>
    </row>
    <row r="1401" spans="1:24">
      <c r="A1401">
        <f>HYPERLINK("https://www.philgeps.gov.ph/GEPSNONPILOT/Tender/SplashBidNoticeAbstractUI.aspx?menuIndex=3&amp;refID=7045853&amp;Result=3","7045853")</f>
        <v>0</v>
      </c>
      <c r="B1401" t="s">
        <v>585</v>
      </c>
      <c r="C1401" t="s">
        <v>4022</v>
      </c>
      <c r="D1401" t="s">
        <v>13045</v>
      </c>
      <c r="E1401" t="s">
        <v>14373</v>
      </c>
      <c r="F1401" t="s">
        <v>22436</v>
      </c>
      <c r="G1401" t="s">
        <v>22443</v>
      </c>
      <c r="H1401" t="s">
        <v>22453</v>
      </c>
      <c r="I1401" t="s">
        <v>4170</v>
      </c>
      <c r="J1401" t="s">
        <v>22620</v>
      </c>
      <c r="K1401" t="s">
        <v>29346</v>
      </c>
      <c r="M1401" t="s">
        <v>30175</v>
      </c>
      <c r="N1401" t="s">
        <v>32524</v>
      </c>
      <c r="O1401" t="s">
        <v>32525</v>
      </c>
      <c r="P1401">
        <v>0</v>
      </c>
      <c r="Q1401">
        <v>0</v>
      </c>
      <c r="R1401" t="s">
        <v>32526</v>
      </c>
      <c r="S1401" t="s">
        <v>32547</v>
      </c>
      <c r="T1401" t="s">
        <v>33216</v>
      </c>
      <c r="U1401" t="s">
        <v>34829</v>
      </c>
      <c r="W1401" t="s">
        <v>43688</v>
      </c>
      <c r="X1401" t="s">
        <v>32527</v>
      </c>
    </row>
    <row r="1402" spans="1:24">
      <c r="A1402">
        <f>HYPERLINK("https://www.philgeps.gov.ph/GEPSNONPILOT/Tender/SplashBidNoticeAbstractUI.aspx?menuIndex=3&amp;refID=7045829&amp;Result=3","7045829")</f>
        <v>0</v>
      </c>
      <c r="B1402" t="s">
        <v>586</v>
      </c>
      <c r="C1402" t="s">
        <v>4023</v>
      </c>
      <c r="D1402" t="s">
        <v>13045</v>
      </c>
      <c r="E1402" t="s">
        <v>14374</v>
      </c>
      <c r="F1402" t="s">
        <v>22436</v>
      </c>
      <c r="G1402" t="s">
        <v>22443</v>
      </c>
      <c r="H1402" t="s">
        <v>22452</v>
      </c>
      <c r="I1402" t="s">
        <v>22463</v>
      </c>
      <c r="J1402" t="s">
        <v>22640</v>
      </c>
      <c r="K1402" t="s">
        <v>29341</v>
      </c>
      <c r="M1402" t="s">
        <v>30176</v>
      </c>
      <c r="N1402" t="s">
        <v>32524</v>
      </c>
      <c r="O1402" t="s">
        <v>32525</v>
      </c>
      <c r="P1402">
        <v>0</v>
      </c>
      <c r="Q1402">
        <v>2</v>
      </c>
      <c r="R1402" t="s">
        <v>32526</v>
      </c>
      <c r="S1402" t="s">
        <v>32547</v>
      </c>
      <c r="T1402" t="s">
        <v>33196</v>
      </c>
      <c r="U1402" t="s">
        <v>34830</v>
      </c>
      <c r="W1402" t="s">
        <v>30176</v>
      </c>
      <c r="X1402" t="s">
        <v>32527</v>
      </c>
    </row>
    <row r="1403" spans="1:24">
      <c r="A1403">
        <f>HYPERLINK("https://www.philgeps.gov.ph/GEPSNONPILOT/Tender/SplashBidNoticeAbstractUI.aspx?menuIndex=3&amp;refID=7045855&amp;Result=3","7045855")</f>
        <v>0</v>
      </c>
      <c r="B1403" t="s">
        <v>539</v>
      </c>
      <c r="C1403" t="s">
        <v>4024</v>
      </c>
      <c r="D1403" t="s">
        <v>13001</v>
      </c>
      <c r="E1403" t="s">
        <v>14375</v>
      </c>
      <c r="F1403" t="s">
        <v>22436</v>
      </c>
      <c r="G1403" t="s">
        <v>22443</v>
      </c>
      <c r="H1403" t="s">
        <v>22454</v>
      </c>
      <c r="I1403" t="s">
        <v>7738</v>
      </c>
      <c r="J1403" t="s">
        <v>23623</v>
      </c>
      <c r="K1403" t="s">
        <v>29338</v>
      </c>
      <c r="M1403" t="s">
        <v>30123</v>
      </c>
      <c r="N1403" t="s">
        <v>32524</v>
      </c>
      <c r="O1403" t="s">
        <v>32525</v>
      </c>
      <c r="P1403">
        <v>0</v>
      </c>
      <c r="Q1403">
        <v>4</v>
      </c>
      <c r="R1403" t="s">
        <v>32526</v>
      </c>
      <c r="S1403" t="s">
        <v>32547</v>
      </c>
      <c r="T1403" t="s">
        <v>33197</v>
      </c>
      <c r="U1403" t="s">
        <v>34831</v>
      </c>
      <c r="W1403" t="s">
        <v>30123</v>
      </c>
      <c r="X1403" t="s">
        <v>32527</v>
      </c>
    </row>
    <row r="1404" spans="1:24">
      <c r="A1404">
        <f>HYPERLINK("https://www.philgeps.gov.ph/GEPSNONPILOT/Tender/SplashBidNoticeAbstractUI.aspx?menuIndex=3&amp;refID=7045859&amp;Result=3","7045859")</f>
        <v>0</v>
      </c>
      <c r="B1404" t="s">
        <v>238</v>
      </c>
      <c r="C1404" t="s">
        <v>4025</v>
      </c>
      <c r="D1404" t="s">
        <v>12991</v>
      </c>
      <c r="E1404" t="s">
        <v>14376</v>
      </c>
      <c r="F1404" t="s">
        <v>22436</v>
      </c>
      <c r="G1404" t="s">
        <v>22444</v>
      </c>
      <c r="H1404" t="s">
        <v>22452</v>
      </c>
      <c r="I1404" t="s">
        <v>3027</v>
      </c>
      <c r="J1404" t="s">
        <v>23624</v>
      </c>
      <c r="K1404" t="s">
        <v>29331</v>
      </c>
      <c r="M1404" t="s">
        <v>29811</v>
      </c>
      <c r="N1404" t="s">
        <v>32524</v>
      </c>
      <c r="O1404" t="s">
        <v>32525</v>
      </c>
      <c r="P1404">
        <v>0</v>
      </c>
      <c r="Q1404">
        <v>0</v>
      </c>
      <c r="R1404" t="s">
        <v>32526</v>
      </c>
      <c r="S1404" t="s">
        <v>32547</v>
      </c>
      <c r="T1404" t="s">
        <v>33244</v>
      </c>
      <c r="U1404" t="s">
        <v>34832</v>
      </c>
      <c r="W1404" t="s">
        <v>29811</v>
      </c>
      <c r="X1404" t="s">
        <v>32527</v>
      </c>
    </row>
    <row r="1405" spans="1:24">
      <c r="A1405">
        <f>HYPERLINK("https://www.philgeps.gov.ph/GEPSNONPILOT/Tender/SplashBidNoticeAbstractUI.aspx?menuIndex=3&amp;refID=7045856&amp;Result=3","7045856")</f>
        <v>0</v>
      </c>
      <c r="B1405" t="s">
        <v>223</v>
      </c>
      <c r="C1405" t="s">
        <v>3170</v>
      </c>
      <c r="D1405" t="s">
        <v>13024</v>
      </c>
      <c r="E1405" t="s">
        <v>14377</v>
      </c>
      <c r="F1405" t="s">
        <v>22436</v>
      </c>
      <c r="G1405" t="s">
        <v>22446</v>
      </c>
      <c r="H1405" t="s">
        <v>22452</v>
      </c>
      <c r="I1405" t="s">
        <v>22482</v>
      </c>
      <c r="J1405" t="s">
        <v>22986</v>
      </c>
      <c r="K1405" t="s">
        <v>29336</v>
      </c>
      <c r="M1405" t="s">
        <v>29796</v>
      </c>
      <c r="N1405" t="s">
        <v>32524</v>
      </c>
      <c r="O1405" t="s">
        <v>32525</v>
      </c>
      <c r="P1405">
        <v>0</v>
      </c>
      <c r="Q1405">
        <v>0</v>
      </c>
      <c r="R1405" t="s">
        <v>32526</v>
      </c>
      <c r="S1405" t="s">
        <v>32547</v>
      </c>
      <c r="T1405" t="s">
        <v>33180</v>
      </c>
      <c r="U1405" t="s">
        <v>34833</v>
      </c>
      <c r="W1405" t="s">
        <v>29796</v>
      </c>
      <c r="X1405" t="s">
        <v>32527</v>
      </c>
    </row>
    <row r="1406" spans="1:24">
      <c r="A1406">
        <f>HYPERLINK("https://www.philgeps.gov.ph/GEPSNONPILOT/Tender/SplashBidNoticeAbstractUI.aspx?menuIndex=3&amp;refID=7045864&amp;Result=3","7045864")</f>
        <v>0</v>
      </c>
      <c r="B1406" t="s">
        <v>501</v>
      </c>
      <c r="C1406" t="s">
        <v>4026</v>
      </c>
      <c r="D1406" t="s">
        <v>12994</v>
      </c>
      <c r="E1406" t="s">
        <v>14378</v>
      </c>
      <c r="F1406" t="s">
        <v>22436</v>
      </c>
      <c r="G1406" t="s">
        <v>22443</v>
      </c>
      <c r="H1406" t="s">
        <v>22452</v>
      </c>
      <c r="I1406" t="s">
        <v>3529</v>
      </c>
      <c r="J1406" t="s">
        <v>23625</v>
      </c>
      <c r="K1406" t="s">
        <v>29338</v>
      </c>
      <c r="M1406" t="s">
        <v>30085</v>
      </c>
      <c r="N1406" t="s">
        <v>32524</v>
      </c>
      <c r="O1406" t="s">
        <v>32525</v>
      </c>
      <c r="P1406">
        <v>0</v>
      </c>
      <c r="Q1406">
        <v>0</v>
      </c>
      <c r="R1406" t="s">
        <v>32526</v>
      </c>
      <c r="S1406" t="s">
        <v>32547</v>
      </c>
      <c r="T1406" t="s">
        <v>33169</v>
      </c>
      <c r="U1406" t="s">
        <v>34834</v>
      </c>
      <c r="V1406" t="s">
        <v>42557</v>
      </c>
      <c r="W1406" t="s">
        <v>30085</v>
      </c>
      <c r="X1406" t="s">
        <v>32527</v>
      </c>
    </row>
    <row r="1407" spans="1:24">
      <c r="A1407">
        <f>HYPERLINK("https://www.philgeps.gov.ph/GEPSNONPILOT/Tender/SplashBidNoticeAbstractUI.aspx?menuIndex=3&amp;refID=7045858&amp;Result=3","7045858")</f>
        <v>0</v>
      </c>
      <c r="B1407" t="s">
        <v>587</v>
      </c>
      <c r="C1407" t="s">
        <v>4027</v>
      </c>
      <c r="D1407" t="s">
        <v>12988</v>
      </c>
      <c r="E1407" t="s">
        <v>14379</v>
      </c>
      <c r="F1407" t="s">
        <v>22436</v>
      </c>
      <c r="G1407" t="s">
        <v>22443</v>
      </c>
      <c r="H1407" t="s">
        <v>22452</v>
      </c>
      <c r="I1407" t="s">
        <v>22469</v>
      </c>
      <c r="J1407" t="s">
        <v>22585</v>
      </c>
      <c r="K1407" t="s">
        <v>29329</v>
      </c>
      <c r="M1407" t="s">
        <v>30177</v>
      </c>
      <c r="N1407" t="s">
        <v>32524</v>
      </c>
      <c r="O1407" t="s">
        <v>32525</v>
      </c>
      <c r="P1407">
        <v>0</v>
      </c>
      <c r="Q1407">
        <v>7</v>
      </c>
      <c r="R1407" t="s">
        <v>32526</v>
      </c>
      <c r="S1407" t="s">
        <v>32547</v>
      </c>
      <c r="T1407" t="s">
        <v>33153</v>
      </c>
      <c r="U1407" t="s">
        <v>34835</v>
      </c>
      <c r="W1407" t="s">
        <v>30177</v>
      </c>
      <c r="X1407" t="s">
        <v>32527</v>
      </c>
    </row>
    <row r="1408" spans="1:24">
      <c r="A1408">
        <f>HYPERLINK("https://www.philgeps.gov.ph/GEPSNONPILOT/Tender/SplashBidNoticeAbstractUI.aspx?menuIndex=3&amp;refID=7045860&amp;Result=3","7045860")</f>
        <v>0</v>
      </c>
      <c r="B1408" t="s">
        <v>574</v>
      </c>
      <c r="C1408" t="s">
        <v>4028</v>
      </c>
      <c r="D1408" t="s">
        <v>12995</v>
      </c>
      <c r="E1408" t="s">
        <v>14018</v>
      </c>
      <c r="F1408" t="s">
        <v>22436</v>
      </c>
      <c r="G1408" t="s">
        <v>22446</v>
      </c>
      <c r="H1408" t="s">
        <v>22452</v>
      </c>
      <c r="I1408" t="s">
        <v>22471</v>
      </c>
      <c r="J1408" t="s">
        <v>23626</v>
      </c>
      <c r="K1408" t="s">
        <v>29341</v>
      </c>
      <c r="M1408" t="s">
        <v>30162</v>
      </c>
      <c r="N1408" t="s">
        <v>32524</v>
      </c>
      <c r="O1408" t="s">
        <v>32525</v>
      </c>
      <c r="P1408">
        <v>0</v>
      </c>
      <c r="Q1408">
        <v>9</v>
      </c>
      <c r="R1408" t="s">
        <v>32526</v>
      </c>
      <c r="S1408" t="s">
        <v>32547</v>
      </c>
      <c r="T1408" t="s">
        <v>33310</v>
      </c>
      <c r="U1408" t="s">
        <v>34836</v>
      </c>
      <c r="W1408" t="s">
        <v>30162</v>
      </c>
      <c r="X1408" t="s">
        <v>32527</v>
      </c>
    </row>
    <row r="1409" spans="1:24">
      <c r="A1409">
        <f>HYPERLINK("https://www.philgeps.gov.ph/GEPSNONPILOT/Tender/SplashBidNoticeAbstractUI.aspx?menuIndex=3&amp;refID=7045869&amp;Result=3","7045869")</f>
        <v>0</v>
      </c>
      <c r="B1409" t="s">
        <v>581</v>
      </c>
      <c r="C1409" t="s">
        <v>4029</v>
      </c>
      <c r="D1409" t="s">
        <v>12988</v>
      </c>
      <c r="E1409" t="s">
        <v>14380</v>
      </c>
      <c r="F1409" t="s">
        <v>22436</v>
      </c>
      <c r="G1409" t="s">
        <v>22444</v>
      </c>
      <c r="H1409" t="s">
        <v>22452</v>
      </c>
      <c r="I1409" t="s">
        <v>3529</v>
      </c>
      <c r="J1409" t="s">
        <v>22806</v>
      </c>
      <c r="K1409" t="s">
        <v>29357</v>
      </c>
      <c r="M1409" t="s">
        <v>30169</v>
      </c>
      <c r="N1409" t="s">
        <v>32524</v>
      </c>
      <c r="O1409" t="s">
        <v>32525</v>
      </c>
      <c r="P1409">
        <v>0</v>
      </c>
      <c r="Q1409">
        <v>0</v>
      </c>
      <c r="R1409" t="s">
        <v>32526</v>
      </c>
      <c r="S1409" t="s">
        <v>32547</v>
      </c>
      <c r="T1409" t="s">
        <v>33155</v>
      </c>
      <c r="U1409" t="s">
        <v>34616</v>
      </c>
      <c r="W1409" t="s">
        <v>30169</v>
      </c>
      <c r="X1409" t="s">
        <v>32527</v>
      </c>
    </row>
    <row r="1410" spans="1:24">
      <c r="A1410">
        <f>HYPERLINK("https://www.philgeps.gov.ph/GEPSNONPILOT/Tender/SplashBidNoticeAbstractUI.aspx?menuIndex=3&amp;refID=7045854&amp;Result=3","7045854")</f>
        <v>0</v>
      </c>
      <c r="B1410" t="s">
        <v>588</v>
      </c>
      <c r="C1410" t="s">
        <v>4030</v>
      </c>
      <c r="D1410" t="s">
        <v>12988</v>
      </c>
      <c r="E1410" t="s">
        <v>14381</v>
      </c>
      <c r="F1410" t="s">
        <v>22436</v>
      </c>
      <c r="G1410" t="s">
        <v>22446</v>
      </c>
      <c r="H1410" t="s">
        <v>22452</v>
      </c>
      <c r="I1410" t="s">
        <v>22463</v>
      </c>
      <c r="J1410" t="s">
        <v>23627</v>
      </c>
      <c r="K1410" t="s">
        <v>29336</v>
      </c>
      <c r="M1410" t="s">
        <v>30178</v>
      </c>
      <c r="N1410" t="s">
        <v>32524</v>
      </c>
      <c r="O1410" t="s">
        <v>32525</v>
      </c>
      <c r="P1410">
        <v>0</v>
      </c>
      <c r="Q1410">
        <v>4</v>
      </c>
      <c r="R1410" t="s">
        <v>32526</v>
      </c>
      <c r="S1410" t="s">
        <v>32547</v>
      </c>
      <c r="T1410" t="s">
        <v>33209</v>
      </c>
      <c r="U1410" t="s">
        <v>34837</v>
      </c>
      <c r="V1410" t="s">
        <v>42558</v>
      </c>
      <c r="W1410" t="s">
        <v>30178</v>
      </c>
      <c r="X1410" t="s">
        <v>32527</v>
      </c>
    </row>
    <row r="1411" spans="1:24">
      <c r="A1411">
        <f>HYPERLINK("https://www.philgeps.gov.ph/GEPSNONPILOT/Tender/SplashBidNoticeAbstractUI.aspx?menuIndex=3&amp;refID=7045868&amp;Result=3","7045868")</f>
        <v>0</v>
      </c>
      <c r="B1411" t="s">
        <v>589</v>
      </c>
      <c r="C1411" t="s">
        <v>4031</v>
      </c>
      <c r="D1411" t="s">
        <v>12994</v>
      </c>
      <c r="E1411" t="s">
        <v>13096</v>
      </c>
      <c r="F1411" t="s">
        <v>22436</v>
      </c>
      <c r="G1411" t="s">
        <v>22444</v>
      </c>
      <c r="H1411" t="s">
        <v>22452</v>
      </c>
      <c r="I1411" t="s">
        <v>3529</v>
      </c>
      <c r="J1411" t="s">
        <v>23628</v>
      </c>
      <c r="K1411" t="s">
        <v>29336</v>
      </c>
      <c r="M1411" t="s">
        <v>30179</v>
      </c>
      <c r="N1411" t="s">
        <v>32524</v>
      </c>
      <c r="O1411" t="s">
        <v>32525</v>
      </c>
      <c r="P1411">
        <v>0</v>
      </c>
      <c r="Q1411">
        <v>0</v>
      </c>
      <c r="R1411" t="s">
        <v>32526</v>
      </c>
      <c r="S1411" t="s">
        <v>32547</v>
      </c>
      <c r="T1411" t="s">
        <v>33233</v>
      </c>
      <c r="U1411" t="s">
        <v>34838</v>
      </c>
      <c r="W1411" t="s">
        <v>30179</v>
      </c>
      <c r="X1411" t="s">
        <v>32527</v>
      </c>
    </row>
    <row r="1412" spans="1:24">
      <c r="A1412">
        <f>HYPERLINK("https://www.philgeps.gov.ph/GEPSNONPILOT/Tender/SplashBidNoticeAbstractUI.aspx?menuIndex=3&amp;refID=7045862&amp;Result=3","7045862")</f>
        <v>0</v>
      </c>
      <c r="B1412" t="s">
        <v>590</v>
      </c>
      <c r="C1412" t="s">
        <v>4032</v>
      </c>
      <c r="D1412" t="s">
        <v>13041</v>
      </c>
      <c r="E1412" t="s">
        <v>4032</v>
      </c>
      <c r="F1412" t="s">
        <v>22436</v>
      </c>
      <c r="G1412" t="s">
        <v>22443</v>
      </c>
      <c r="H1412" t="s">
        <v>22452</v>
      </c>
      <c r="I1412" t="s">
        <v>2981</v>
      </c>
      <c r="J1412" t="s">
        <v>23629</v>
      </c>
      <c r="K1412" t="s">
        <v>29331</v>
      </c>
      <c r="M1412" t="s">
        <v>30180</v>
      </c>
      <c r="N1412" t="s">
        <v>32524</v>
      </c>
      <c r="O1412" t="s">
        <v>32525</v>
      </c>
      <c r="P1412">
        <v>0</v>
      </c>
      <c r="Q1412">
        <v>3</v>
      </c>
      <c r="R1412" t="s">
        <v>32526</v>
      </c>
      <c r="S1412" t="s">
        <v>32547</v>
      </c>
      <c r="T1412" t="s">
        <v>33167</v>
      </c>
      <c r="U1412" t="s">
        <v>34839</v>
      </c>
      <c r="W1412" t="s">
        <v>30180</v>
      </c>
      <c r="X1412" t="s">
        <v>32527</v>
      </c>
    </row>
    <row r="1413" spans="1:24">
      <c r="A1413">
        <f>HYPERLINK("https://www.philgeps.gov.ph/GEPSNONPILOT/Tender/SplashBidNoticeAbstractUI.aspx?menuIndex=3&amp;refID=7045848&amp;Result=3","7045848")</f>
        <v>0</v>
      </c>
      <c r="B1413" t="s">
        <v>478</v>
      </c>
      <c r="C1413" t="s">
        <v>4033</v>
      </c>
      <c r="D1413" t="s">
        <v>13007</v>
      </c>
      <c r="E1413" t="s">
        <v>14382</v>
      </c>
      <c r="F1413" t="s">
        <v>22436</v>
      </c>
      <c r="G1413" t="s">
        <v>22444</v>
      </c>
      <c r="H1413" t="s">
        <v>22454</v>
      </c>
      <c r="I1413" t="s">
        <v>22468</v>
      </c>
      <c r="J1413" t="s">
        <v>23630</v>
      </c>
      <c r="K1413" t="s">
        <v>29340</v>
      </c>
      <c r="M1413" t="s">
        <v>30062</v>
      </c>
      <c r="N1413" t="s">
        <v>32524</v>
      </c>
      <c r="O1413" t="s">
        <v>32525</v>
      </c>
      <c r="P1413">
        <v>0</v>
      </c>
      <c r="Q1413">
        <v>0</v>
      </c>
      <c r="R1413" t="s">
        <v>32526</v>
      </c>
      <c r="S1413" t="s">
        <v>32547</v>
      </c>
      <c r="T1413" t="s">
        <v>33321</v>
      </c>
      <c r="U1413" t="s">
        <v>34840</v>
      </c>
      <c r="W1413" t="s">
        <v>30062</v>
      </c>
      <c r="X1413" t="s">
        <v>32527</v>
      </c>
    </row>
    <row r="1414" spans="1:24">
      <c r="A1414">
        <f>HYPERLINK("https://www.philgeps.gov.ph/GEPSNONPILOT/Tender/SplashBidNoticeAbstractUI.aspx?menuIndex=3&amp;refID=7045874&amp;Result=3","7045874")</f>
        <v>0</v>
      </c>
      <c r="B1414" t="s">
        <v>582</v>
      </c>
      <c r="C1414" t="s">
        <v>4011</v>
      </c>
      <c r="D1414" t="s">
        <v>13006</v>
      </c>
      <c r="E1414" t="s">
        <v>4011</v>
      </c>
      <c r="F1414" t="s">
        <v>22436</v>
      </c>
      <c r="G1414" t="s">
        <v>22446</v>
      </c>
      <c r="H1414" t="s">
        <v>22452</v>
      </c>
      <c r="I1414" t="s">
        <v>22460</v>
      </c>
      <c r="J1414" t="s">
        <v>23235</v>
      </c>
      <c r="K1414" t="s">
        <v>29336</v>
      </c>
      <c r="M1414" t="s">
        <v>30172</v>
      </c>
      <c r="N1414" t="s">
        <v>32524</v>
      </c>
      <c r="O1414" t="s">
        <v>32525</v>
      </c>
      <c r="P1414">
        <v>0</v>
      </c>
      <c r="Q1414">
        <v>0</v>
      </c>
      <c r="R1414" t="s">
        <v>32526</v>
      </c>
      <c r="S1414" t="s">
        <v>32547</v>
      </c>
      <c r="T1414" t="s">
        <v>33185</v>
      </c>
      <c r="U1414" t="s">
        <v>34841</v>
      </c>
      <c r="W1414" t="s">
        <v>30172</v>
      </c>
      <c r="X1414" t="s">
        <v>32527</v>
      </c>
    </row>
    <row r="1415" spans="1:24">
      <c r="A1415">
        <f>HYPERLINK("https://www.philgeps.gov.ph/GEPSNONPILOT/Tender/SplashBidNoticeAbstractUI.aspx?menuIndex=3&amp;refID=7045865&amp;Result=3","7045865")</f>
        <v>0</v>
      </c>
      <c r="B1415" t="s">
        <v>591</v>
      </c>
      <c r="C1415" t="s">
        <v>4034</v>
      </c>
      <c r="D1415" t="s">
        <v>13003</v>
      </c>
      <c r="E1415" t="s">
        <v>14383</v>
      </c>
      <c r="F1415" t="s">
        <v>22436</v>
      </c>
      <c r="G1415" t="s">
        <v>22444</v>
      </c>
      <c r="H1415" t="s">
        <v>22452</v>
      </c>
      <c r="I1415" t="s">
        <v>2981</v>
      </c>
      <c r="J1415" t="s">
        <v>23631</v>
      </c>
      <c r="K1415" t="s">
        <v>29342</v>
      </c>
      <c r="M1415" t="s">
        <v>30181</v>
      </c>
      <c r="N1415" t="s">
        <v>32524</v>
      </c>
      <c r="O1415" t="s">
        <v>32525</v>
      </c>
      <c r="P1415">
        <v>0</v>
      </c>
      <c r="Q1415">
        <v>0</v>
      </c>
      <c r="R1415" t="s">
        <v>32526</v>
      </c>
      <c r="S1415" t="s">
        <v>32547</v>
      </c>
      <c r="T1415" t="s">
        <v>33312</v>
      </c>
      <c r="U1415" t="s">
        <v>34842</v>
      </c>
      <c r="W1415" t="s">
        <v>30181</v>
      </c>
      <c r="X1415" t="s">
        <v>32527</v>
      </c>
    </row>
    <row r="1416" spans="1:24">
      <c r="A1416">
        <f>HYPERLINK("https://www.philgeps.gov.ph/GEPSNONPILOT/Tender/SplashBidNoticeAbstractUI.aspx?menuIndex=3&amp;refID=7045861&amp;Result=3","7045861")</f>
        <v>0</v>
      </c>
      <c r="B1416" t="s">
        <v>592</v>
      </c>
      <c r="C1416" t="s">
        <v>4035</v>
      </c>
      <c r="D1416" t="s">
        <v>12988</v>
      </c>
      <c r="E1416" t="s">
        <v>14384</v>
      </c>
      <c r="F1416" t="s">
        <v>22436</v>
      </c>
      <c r="G1416" t="s">
        <v>22443</v>
      </c>
      <c r="H1416" t="s">
        <v>22452</v>
      </c>
      <c r="I1416" t="s">
        <v>2981</v>
      </c>
      <c r="J1416" t="s">
        <v>23632</v>
      </c>
      <c r="K1416" t="s">
        <v>29357</v>
      </c>
      <c r="M1416" t="s">
        <v>30182</v>
      </c>
      <c r="N1416" t="s">
        <v>32524</v>
      </c>
      <c r="O1416" t="s">
        <v>32525</v>
      </c>
      <c r="P1416">
        <v>0</v>
      </c>
      <c r="Q1416">
        <v>0</v>
      </c>
      <c r="R1416" t="s">
        <v>32526</v>
      </c>
      <c r="S1416" t="s">
        <v>32547</v>
      </c>
      <c r="T1416" t="s">
        <v>33154</v>
      </c>
      <c r="U1416" t="s">
        <v>34843</v>
      </c>
      <c r="V1416" t="s">
        <v>42559</v>
      </c>
      <c r="W1416" t="s">
        <v>30182</v>
      </c>
      <c r="X1416" t="s">
        <v>32527</v>
      </c>
    </row>
    <row r="1417" spans="1:24">
      <c r="A1417">
        <f>HYPERLINK("https://www.philgeps.gov.ph/GEPSNONPILOT/Tender/SplashBidNoticeAbstractUI.aspx?menuIndex=3&amp;refID=7045852&amp;Result=3","7045852")</f>
        <v>0</v>
      </c>
      <c r="B1417" t="s">
        <v>525</v>
      </c>
      <c r="C1417" t="s">
        <v>4036</v>
      </c>
      <c r="D1417" t="s">
        <v>13038</v>
      </c>
      <c r="E1417" t="s">
        <v>14385</v>
      </c>
      <c r="F1417" t="s">
        <v>22436</v>
      </c>
      <c r="G1417" t="s">
        <v>22444</v>
      </c>
      <c r="H1417" t="s">
        <v>22452</v>
      </c>
      <c r="I1417" t="s">
        <v>12358</v>
      </c>
      <c r="J1417" t="s">
        <v>23633</v>
      </c>
      <c r="K1417" t="s">
        <v>29335</v>
      </c>
      <c r="M1417" t="s">
        <v>30109</v>
      </c>
      <c r="N1417" t="s">
        <v>32524</v>
      </c>
      <c r="O1417" t="s">
        <v>32525</v>
      </c>
      <c r="P1417">
        <v>0</v>
      </c>
      <c r="Q1417">
        <v>0</v>
      </c>
      <c r="R1417" t="s">
        <v>32526</v>
      </c>
      <c r="S1417" t="s">
        <v>32547</v>
      </c>
      <c r="T1417" t="s">
        <v>33312</v>
      </c>
      <c r="U1417" t="s">
        <v>34844</v>
      </c>
      <c r="W1417" t="s">
        <v>30109</v>
      </c>
      <c r="X1417" t="s">
        <v>32527</v>
      </c>
    </row>
    <row r="1418" spans="1:24">
      <c r="A1418">
        <f>HYPERLINK("https://www.philgeps.gov.ph/GEPSNONPILOT/Tender/SplashBidNoticeAbstractUI.aspx?menuIndex=3&amp;refID=7045873&amp;Result=3","7045873")</f>
        <v>0</v>
      </c>
      <c r="B1418" t="s">
        <v>593</v>
      </c>
      <c r="C1418" t="s">
        <v>4037</v>
      </c>
      <c r="D1418" t="s">
        <v>12999</v>
      </c>
      <c r="E1418" t="s">
        <v>14386</v>
      </c>
      <c r="F1418" t="s">
        <v>22436</v>
      </c>
      <c r="G1418" t="s">
        <v>22443</v>
      </c>
      <c r="H1418" t="s">
        <v>22452</v>
      </c>
      <c r="I1418" t="s">
        <v>11896</v>
      </c>
      <c r="J1418" t="s">
        <v>22874</v>
      </c>
      <c r="K1418" t="s">
        <v>29341</v>
      </c>
      <c r="M1418" t="s">
        <v>30183</v>
      </c>
      <c r="N1418" t="s">
        <v>32524</v>
      </c>
      <c r="O1418" t="s">
        <v>32525</v>
      </c>
      <c r="P1418">
        <v>0</v>
      </c>
      <c r="Q1418">
        <v>0</v>
      </c>
      <c r="R1418" t="s">
        <v>32526</v>
      </c>
      <c r="S1418" t="s">
        <v>32547</v>
      </c>
      <c r="T1418" t="s">
        <v>33210</v>
      </c>
      <c r="U1418" t="s">
        <v>34845</v>
      </c>
      <c r="V1418" t="s">
        <v>42560</v>
      </c>
      <c r="W1418" t="s">
        <v>30183</v>
      </c>
      <c r="X1418" t="s">
        <v>32527</v>
      </c>
    </row>
    <row r="1419" spans="1:24">
      <c r="A1419">
        <f>HYPERLINK("https://www.philgeps.gov.ph/GEPSNONPILOT/Tender/SplashBidNoticeAbstractUI.aspx?menuIndex=3&amp;refID=7045870&amp;Result=3","7045870")</f>
        <v>0</v>
      </c>
      <c r="B1419" t="s">
        <v>594</v>
      </c>
      <c r="C1419" t="s">
        <v>4038</v>
      </c>
      <c r="D1419" t="s">
        <v>13040</v>
      </c>
      <c r="E1419" t="s">
        <v>14387</v>
      </c>
      <c r="F1419" t="s">
        <v>22436</v>
      </c>
      <c r="G1419" t="s">
        <v>22443</v>
      </c>
      <c r="H1419" t="s">
        <v>22452</v>
      </c>
      <c r="I1419" t="s">
        <v>3827</v>
      </c>
      <c r="J1419" t="s">
        <v>22605</v>
      </c>
      <c r="K1419" t="s">
        <v>29338</v>
      </c>
      <c r="M1419" t="s">
        <v>30184</v>
      </c>
      <c r="N1419" t="s">
        <v>32524</v>
      </c>
      <c r="O1419" t="s">
        <v>32525</v>
      </c>
      <c r="P1419">
        <v>0</v>
      </c>
      <c r="Q1419">
        <v>1</v>
      </c>
      <c r="R1419" t="s">
        <v>32526</v>
      </c>
      <c r="S1419" t="s">
        <v>32547</v>
      </c>
      <c r="T1419" t="s">
        <v>33167</v>
      </c>
      <c r="U1419" t="s">
        <v>34846</v>
      </c>
      <c r="W1419" t="s">
        <v>43689</v>
      </c>
      <c r="X1419" t="s">
        <v>32527</v>
      </c>
    </row>
    <row r="1420" spans="1:24">
      <c r="A1420">
        <f>HYPERLINK("https://www.philgeps.gov.ph/GEPSNONPILOT/Tender/SplashBidNoticeAbstractUI.aspx?menuIndex=3&amp;refID=7045866&amp;Result=3","7045866")</f>
        <v>0</v>
      </c>
      <c r="B1420" t="s">
        <v>330</v>
      </c>
      <c r="C1420" t="s">
        <v>4039</v>
      </c>
      <c r="D1420" t="s">
        <v>12988</v>
      </c>
      <c r="E1420" t="s">
        <v>14388</v>
      </c>
      <c r="F1420" t="s">
        <v>22436</v>
      </c>
      <c r="G1420" t="s">
        <v>22443</v>
      </c>
      <c r="H1420" t="s">
        <v>22452</v>
      </c>
      <c r="I1420" t="s">
        <v>3529</v>
      </c>
      <c r="J1420" t="s">
        <v>23634</v>
      </c>
      <c r="K1420" t="s">
        <v>29341</v>
      </c>
      <c r="M1420" t="s">
        <v>29906</v>
      </c>
      <c r="N1420" t="s">
        <v>32524</v>
      </c>
      <c r="O1420" t="s">
        <v>32525</v>
      </c>
      <c r="P1420">
        <v>0</v>
      </c>
      <c r="Q1420">
        <v>3</v>
      </c>
      <c r="R1420" t="s">
        <v>32526</v>
      </c>
      <c r="S1420" t="s">
        <v>32547</v>
      </c>
      <c r="T1420" t="s">
        <v>33154</v>
      </c>
      <c r="U1420" t="s">
        <v>34847</v>
      </c>
      <c r="V1420" t="s">
        <v>42460</v>
      </c>
      <c r="W1420" t="s">
        <v>29906</v>
      </c>
      <c r="X1420" t="s">
        <v>32527</v>
      </c>
    </row>
    <row r="1421" spans="1:24">
      <c r="A1421">
        <f>HYPERLINK("https://www.philgeps.gov.ph/GEPSNONPILOT/Tender/SplashBidNoticeAbstractUI.aspx?menuIndex=3&amp;refID=7045849&amp;Result=3","7045849")</f>
        <v>0</v>
      </c>
      <c r="B1421" t="s">
        <v>595</v>
      </c>
      <c r="C1421" t="s">
        <v>4040</v>
      </c>
      <c r="D1421" t="s">
        <v>12988</v>
      </c>
      <c r="E1421" t="s">
        <v>14389</v>
      </c>
      <c r="F1421" t="s">
        <v>22436</v>
      </c>
      <c r="G1421" t="s">
        <v>22444</v>
      </c>
      <c r="H1421" t="s">
        <v>22452</v>
      </c>
      <c r="I1421" t="s">
        <v>3122</v>
      </c>
      <c r="J1421" t="s">
        <v>22605</v>
      </c>
      <c r="K1421" t="s">
        <v>29336</v>
      </c>
      <c r="M1421" t="s">
        <v>30185</v>
      </c>
      <c r="N1421" t="s">
        <v>32524</v>
      </c>
      <c r="O1421" t="s">
        <v>32525</v>
      </c>
      <c r="P1421">
        <v>0</v>
      </c>
      <c r="Q1421">
        <v>0</v>
      </c>
      <c r="R1421" t="s">
        <v>32526</v>
      </c>
      <c r="S1421" t="s">
        <v>32547</v>
      </c>
      <c r="T1421" t="s">
        <v>33157</v>
      </c>
      <c r="U1421" t="s">
        <v>34848</v>
      </c>
      <c r="W1421" t="s">
        <v>30185</v>
      </c>
      <c r="X1421" t="s">
        <v>32527</v>
      </c>
    </row>
    <row r="1422" spans="1:24">
      <c r="A1422">
        <f>HYPERLINK("https://www.philgeps.gov.ph/GEPSNONPILOT/Tender/SplashBidNoticeAbstractUI.aspx?menuIndex=3&amp;refID=7045875&amp;Result=3","7045875")</f>
        <v>0</v>
      </c>
      <c r="B1422" t="s">
        <v>596</v>
      </c>
      <c r="C1422" t="s">
        <v>4041</v>
      </c>
      <c r="D1422" t="s">
        <v>12994</v>
      </c>
      <c r="E1422" t="s">
        <v>14390</v>
      </c>
      <c r="F1422" t="s">
        <v>22436</v>
      </c>
      <c r="G1422" t="s">
        <v>22443</v>
      </c>
      <c r="H1422" t="s">
        <v>22452</v>
      </c>
      <c r="I1422" t="s">
        <v>22523</v>
      </c>
      <c r="J1422" t="s">
        <v>23635</v>
      </c>
      <c r="K1422" t="s">
        <v>29338</v>
      </c>
      <c r="M1422" t="s">
        <v>30186</v>
      </c>
      <c r="N1422" t="s">
        <v>32524</v>
      </c>
      <c r="O1422" t="s">
        <v>32525</v>
      </c>
      <c r="P1422">
        <v>0</v>
      </c>
      <c r="Q1422">
        <v>0</v>
      </c>
      <c r="R1422" t="s">
        <v>32526</v>
      </c>
      <c r="S1422" t="s">
        <v>32547</v>
      </c>
      <c r="T1422" t="s">
        <v>33169</v>
      </c>
      <c r="U1422" t="s">
        <v>34849</v>
      </c>
      <c r="W1422" t="s">
        <v>30186</v>
      </c>
      <c r="X1422" t="s">
        <v>32527</v>
      </c>
    </row>
    <row r="1423" spans="1:24">
      <c r="A1423">
        <f>HYPERLINK("https://www.philgeps.gov.ph/GEPSNONPILOT/Tender/SplashBidNoticeAbstractUI.aspx?menuIndex=3&amp;refID=7045886&amp;Result=3","7045886")</f>
        <v>0</v>
      </c>
      <c r="B1423" t="s">
        <v>597</v>
      </c>
      <c r="C1423" t="s">
        <v>4042</v>
      </c>
      <c r="D1423" t="s">
        <v>13006</v>
      </c>
      <c r="E1423" t="s">
        <v>14391</v>
      </c>
      <c r="F1423" t="s">
        <v>22436</v>
      </c>
      <c r="G1423" t="s">
        <v>22443</v>
      </c>
      <c r="H1423" t="s">
        <v>22452</v>
      </c>
      <c r="I1423" t="s">
        <v>6421</v>
      </c>
      <c r="J1423" t="s">
        <v>23636</v>
      </c>
      <c r="K1423" t="s">
        <v>29331</v>
      </c>
      <c r="M1423" t="s">
        <v>30187</v>
      </c>
      <c r="N1423" t="s">
        <v>32524</v>
      </c>
      <c r="O1423" t="s">
        <v>32525</v>
      </c>
      <c r="P1423">
        <v>0</v>
      </c>
      <c r="Q1423">
        <v>0</v>
      </c>
      <c r="R1423" t="s">
        <v>32526</v>
      </c>
      <c r="S1423" t="s">
        <v>32547</v>
      </c>
      <c r="T1423" t="s">
        <v>33167</v>
      </c>
      <c r="U1423" t="s">
        <v>34850</v>
      </c>
      <c r="V1423" t="s">
        <v>42561</v>
      </c>
      <c r="W1423" t="s">
        <v>30187</v>
      </c>
      <c r="X1423" t="s">
        <v>32527</v>
      </c>
    </row>
    <row r="1424" spans="1:24">
      <c r="A1424">
        <f>HYPERLINK("https://www.philgeps.gov.ph/GEPSNONPILOT/Tender/SplashBidNoticeAbstractUI.aspx?menuIndex=3&amp;refID=7045876&amp;Result=3","7045876")</f>
        <v>0</v>
      </c>
      <c r="B1424" t="s">
        <v>267</v>
      </c>
      <c r="C1424" t="s">
        <v>4043</v>
      </c>
      <c r="D1424" t="s">
        <v>13032</v>
      </c>
      <c r="E1424" t="s">
        <v>14392</v>
      </c>
      <c r="F1424" t="s">
        <v>22436</v>
      </c>
      <c r="G1424" t="s">
        <v>22444</v>
      </c>
      <c r="H1424" t="s">
        <v>22452</v>
      </c>
      <c r="I1424" t="s">
        <v>22460</v>
      </c>
      <c r="J1424" t="s">
        <v>23637</v>
      </c>
      <c r="K1424" t="s">
        <v>29338</v>
      </c>
      <c r="M1424" t="s">
        <v>29841</v>
      </c>
      <c r="N1424" t="s">
        <v>32524</v>
      </c>
      <c r="O1424" t="s">
        <v>32525</v>
      </c>
      <c r="P1424">
        <v>0</v>
      </c>
      <c r="Q1424">
        <v>0</v>
      </c>
      <c r="R1424" t="s">
        <v>32526</v>
      </c>
      <c r="S1424" t="s">
        <v>32547</v>
      </c>
      <c r="T1424" t="s">
        <v>33181</v>
      </c>
      <c r="U1424" t="s">
        <v>34851</v>
      </c>
      <c r="W1424" t="s">
        <v>43690</v>
      </c>
      <c r="X1424" t="s">
        <v>32527</v>
      </c>
    </row>
    <row r="1425" spans="1:24">
      <c r="A1425">
        <f>HYPERLINK("https://www.philgeps.gov.ph/GEPSNONPILOT/Tender/SplashBidNoticeAbstractUI.aspx?menuIndex=3&amp;refID=7045901&amp;Result=3","7045901")</f>
        <v>0</v>
      </c>
      <c r="B1425" t="s">
        <v>598</v>
      </c>
      <c r="C1425" t="s">
        <v>4044</v>
      </c>
      <c r="D1425" t="s">
        <v>13011</v>
      </c>
      <c r="E1425" t="s">
        <v>14393</v>
      </c>
      <c r="F1425" t="s">
        <v>22436</v>
      </c>
      <c r="G1425" t="s">
        <v>22446</v>
      </c>
      <c r="H1425" t="s">
        <v>22452</v>
      </c>
      <c r="I1425" t="s">
        <v>3827</v>
      </c>
      <c r="J1425" t="s">
        <v>22605</v>
      </c>
      <c r="K1425" t="s">
        <v>29335</v>
      </c>
      <c r="M1425" t="s">
        <v>30188</v>
      </c>
      <c r="N1425" t="s">
        <v>32524</v>
      </c>
      <c r="O1425" t="s">
        <v>32525</v>
      </c>
      <c r="P1425">
        <v>0</v>
      </c>
      <c r="Q1425">
        <v>1</v>
      </c>
      <c r="R1425" t="s">
        <v>32526</v>
      </c>
      <c r="S1425" t="s">
        <v>32547</v>
      </c>
      <c r="T1425" t="s">
        <v>33162</v>
      </c>
      <c r="U1425" t="s">
        <v>34852</v>
      </c>
      <c r="W1425" t="s">
        <v>30188</v>
      </c>
      <c r="X1425" t="s">
        <v>32527</v>
      </c>
    </row>
    <row r="1426" spans="1:24">
      <c r="A1426">
        <f>HYPERLINK("https://www.philgeps.gov.ph/GEPSNONPILOT/Tender/SplashBidNoticeAbstractUI.aspx?menuIndex=3&amp;refID=7045880&amp;Result=3","7045880")</f>
        <v>0</v>
      </c>
      <c r="B1426" t="s">
        <v>599</v>
      </c>
      <c r="C1426" t="s">
        <v>4045</v>
      </c>
      <c r="D1426" t="s">
        <v>13000</v>
      </c>
      <c r="E1426" t="s">
        <v>14394</v>
      </c>
      <c r="F1426" t="s">
        <v>22436</v>
      </c>
      <c r="G1426" t="s">
        <v>22443</v>
      </c>
      <c r="H1426" t="s">
        <v>22452</v>
      </c>
      <c r="I1426" t="s">
        <v>22487</v>
      </c>
      <c r="J1426" t="s">
        <v>23638</v>
      </c>
      <c r="K1426" t="s">
        <v>29340</v>
      </c>
      <c r="M1426" t="s">
        <v>30189</v>
      </c>
      <c r="N1426" t="s">
        <v>32524</v>
      </c>
      <c r="O1426" t="s">
        <v>32525</v>
      </c>
      <c r="P1426">
        <v>0</v>
      </c>
      <c r="Q1426">
        <v>0</v>
      </c>
      <c r="R1426" t="s">
        <v>32526</v>
      </c>
      <c r="S1426" t="s">
        <v>32547</v>
      </c>
      <c r="T1426" t="s">
        <v>33169</v>
      </c>
      <c r="U1426" t="s">
        <v>34095</v>
      </c>
      <c r="W1426" t="s">
        <v>30189</v>
      </c>
      <c r="X1426" t="s">
        <v>32527</v>
      </c>
    </row>
    <row r="1427" spans="1:24">
      <c r="A1427">
        <f>HYPERLINK("https://www.philgeps.gov.ph/GEPSNONPILOT/Tender/SplashBidNoticeAbstractUI.aspx?menuIndex=3&amp;refID=7045899&amp;Result=3","7045899")</f>
        <v>0</v>
      </c>
      <c r="B1427" t="s">
        <v>574</v>
      </c>
      <c r="C1427" t="s">
        <v>4046</v>
      </c>
      <c r="D1427" t="s">
        <v>12995</v>
      </c>
      <c r="E1427" t="s">
        <v>13320</v>
      </c>
      <c r="F1427" t="s">
        <v>22436</v>
      </c>
      <c r="G1427" t="s">
        <v>22446</v>
      </c>
      <c r="H1427" t="s">
        <v>22452</v>
      </c>
      <c r="I1427" t="s">
        <v>22471</v>
      </c>
      <c r="J1427" t="s">
        <v>23639</v>
      </c>
      <c r="K1427" t="s">
        <v>29341</v>
      </c>
      <c r="M1427" t="s">
        <v>30162</v>
      </c>
      <c r="N1427" t="s">
        <v>32524</v>
      </c>
      <c r="O1427" t="s">
        <v>32525</v>
      </c>
      <c r="P1427">
        <v>0</v>
      </c>
      <c r="Q1427">
        <v>8</v>
      </c>
      <c r="R1427" t="s">
        <v>32526</v>
      </c>
      <c r="S1427" t="s">
        <v>32547</v>
      </c>
      <c r="T1427" t="s">
        <v>33310</v>
      </c>
      <c r="U1427" t="s">
        <v>34853</v>
      </c>
      <c r="W1427" t="s">
        <v>30162</v>
      </c>
      <c r="X1427" t="s">
        <v>32527</v>
      </c>
    </row>
    <row r="1428" spans="1:24">
      <c r="A1428">
        <f>HYPERLINK("https://www.philgeps.gov.ph/GEPSNONPILOT/Tender/SplashBidNoticeAbstractUI.aspx?menuIndex=3&amp;refID=7045897&amp;Result=3","7045897")</f>
        <v>0</v>
      </c>
      <c r="B1428" t="s">
        <v>593</v>
      </c>
      <c r="C1428" t="s">
        <v>4047</v>
      </c>
      <c r="D1428" t="s">
        <v>12999</v>
      </c>
      <c r="E1428" t="s">
        <v>14395</v>
      </c>
      <c r="F1428" t="s">
        <v>22436</v>
      </c>
      <c r="G1428" t="s">
        <v>22443</v>
      </c>
      <c r="H1428" t="s">
        <v>22452</v>
      </c>
      <c r="I1428" t="s">
        <v>22461</v>
      </c>
      <c r="J1428" t="s">
        <v>23640</v>
      </c>
      <c r="K1428" t="s">
        <v>29341</v>
      </c>
      <c r="M1428" t="s">
        <v>30183</v>
      </c>
      <c r="N1428" t="s">
        <v>32524</v>
      </c>
      <c r="O1428" t="s">
        <v>32525</v>
      </c>
      <c r="P1428">
        <v>0</v>
      </c>
      <c r="Q1428">
        <v>0</v>
      </c>
      <c r="R1428" t="s">
        <v>32526</v>
      </c>
      <c r="S1428" t="s">
        <v>32547</v>
      </c>
      <c r="T1428" t="s">
        <v>33210</v>
      </c>
      <c r="U1428" t="s">
        <v>34854</v>
      </c>
      <c r="V1428" t="s">
        <v>42560</v>
      </c>
      <c r="W1428" t="s">
        <v>30183</v>
      </c>
      <c r="X1428" t="s">
        <v>32527</v>
      </c>
    </row>
    <row r="1429" spans="1:24">
      <c r="A1429">
        <f>HYPERLINK("https://www.philgeps.gov.ph/GEPSNONPILOT/Tender/SplashBidNoticeAbstractUI.aspx?menuIndex=3&amp;refID=7045894&amp;Result=3","7045894")</f>
        <v>0</v>
      </c>
      <c r="B1429" t="s">
        <v>600</v>
      </c>
      <c r="C1429" t="s">
        <v>4048</v>
      </c>
      <c r="D1429" t="s">
        <v>13041</v>
      </c>
      <c r="E1429" t="s">
        <v>14396</v>
      </c>
      <c r="F1429" t="s">
        <v>22436</v>
      </c>
      <c r="G1429" t="s">
        <v>22445</v>
      </c>
      <c r="H1429" t="s">
        <v>22452</v>
      </c>
      <c r="I1429" t="s">
        <v>22469</v>
      </c>
      <c r="J1429" t="s">
        <v>23641</v>
      </c>
      <c r="K1429" t="s">
        <v>29341</v>
      </c>
      <c r="M1429" t="s">
        <v>30190</v>
      </c>
      <c r="N1429" t="s">
        <v>32524</v>
      </c>
      <c r="O1429" t="s">
        <v>32525</v>
      </c>
      <c r="P1429">
        <v>0</v>
      </c>
      <c r="Q1429">
        <v>13</v>
      </c>
      <c r="R1429" t="s">
        <v>32526</v>
      </c>
      <c r="S1429" t="s">
        <v>32547</v>
      </c>
      <c r="T1429" t="s">
        <v>33221</v>
      </c>
      <c r="U1429" t="s">
        <v>34855</v>
      </c>
      <c r="W1429" t="s">
        <v>30190</v>
      </c>
      <c r="X1429" t="s">
        <v>32527</v>
      </c>
    </row>
    <row r="1430" spans="1:24">
      <c r="A1430">
        <f>HYPERLINK("https://www.philgeps.gov.ph/GEPSNONPILOT/Tender/SplashBidNoticeAbstractUI.aspx?menuIndex=3&amp;refID=7045884&amp;Result=3","7045884")</f>
        <v>0</v>
      </c>
      <c r="B1430" t="s">
        <v>601</v>
      </c>
      <c r="C1430" t="s">
        <v>4049</v>
      </c>
      <c r="D1430" t="s">
        <v>12988</v>
      </c>
      <c r="E1430" t="s">
        <v>14397</v>
      </c>
      <c r="F1430" t="s">
        <v>22436</v>
      </c>
      <c r="G1430" t="s">
        <v>22446</v>
      </c>
      <c r="H1430" t="s">
        <v>22452</v>
      </c>
      <c r="I1430" t="s">
        <v>12358</v>
      </c>
      <c r="J1430" t="s">
        <v>23642</v>
      </c>
      <c r="K1430" t="s">
        <v>29341</v>
      </c>
      <c r="M1430" t="s">
        <v>30191</v>
      </c>
      <c r="N1430" t="s">
        <v>32524</v>
      </c>
      <c r="O1430" t="s">
        <v>32525</v>
      </c>
      <c r="P1430">
        <v>0</v>
      </c>
      <c r="Q1430">
        <v>0</v>
      </c>
      <c r="R1430" t="s">
        <v>32526</v>
      </c>
      <c r="S1430" t="s">
        <v>32547</v>
      </c>
      <c r="T1430" t="s">
        <v>33322</v>
      </c>
      <c r="U1430" t="s">
        <v>34856</v>
      </c>
      <c r="V1430" t="s">
        <v>42562</v>
      </c>
      <c r="W1430" t="s">
        <v>30191</v>
      </c>
      <c r="X1430" t="s">
        <v>32527</v>
      </c>
    </row>
    <row r="1431" spans="1:24">
      <c r="A1431">
        <f>HYPERLINK("https://www.philgeps.gov.ph/GEPSNONPILOT/Tender/SplashBidNoticeAbstractUI.aspx?menuIndex=3&amp;refID=7045892&amp;Result=3","7045892")</f>
        <v>0</v>
      </c>
      <c r="B1431" t="s">
        <v>602</v>
      </c>
      <c r="C1431" t="s">
        <v>4050</v>
      </c>
      <c r="D1431" t="s">
        <v>13031</v>
      </c>
      <c r="E1431" t="s">
        <v>14398</v>
      </c>
      <c r="F1431" t="s">
        <v>22436</v>
      </c>
      <c r="G1431" t="s">
        <v>22444</v>
      </c>
      <c r="H1431" t="s">
        <v>22454</v>
      </c>
      <c r="I1431" t="s">
        <v>7738</v>
      </c>
      <c r="J1431" t="s">
        <v>23350</v>
      </c>
      <c r="K1431" t="s">
        <v>29334</v>
      </c>
      <c r="M1431" t="s">
        <v>30192</v>
      </c>
      <c r="N1431" t="s">
        <v>32524</v>
      </c>
      <c r="O1431" t="s">
        <v>32525</v>
      </c>
      <c r="P1431">
        <v>0</v>
      </c>
      <c r="Q1431">
        <v>1</v>
      </c>
      <c r="R1431" t="s">
        <v>32526</v>
      </c>
      <c r="S1431" t="s">
        <v>32547</v>
      </c>
      <c r="T1431" t="s">
        <v>33258</v>
      </c>
      <c r="U1431" t="s">
        <v>34857</v>
      </c>
      <c r="V1431" t="s">
        <v>42563</v>
      </c>
      <c r="W1431" t="s">
        <v>30192</v>
      </c>
      <c r="X1431" t="s">
        <v>32527</v>
      </c>
    </row>
    <row r="1432" spans="1:24">
      <c r="A1432">
        <f>HYPERLINK("https://www.philgeps.gov.ph/GEPSNONPILOT/Tender/SplashBidNoticeAbstractUI.aspx?menuIndex=3&amp;refID=7045883&amp;Result=3","7045883")</f>
        <v>0</v>
      </c>
      <c r="B1432" t="s">
        <v>581</v>
      </c>
      <c r="C1432" t="s">
        <v>4051</v>
      </c>
      <c r="D1432" t="s">
        <v>12988</v>
      </c>
      <c r="E1432" t="s">
        <v>14399</v>
      </c>
      <c r="F1432" t="s">
        <v>22436</v>
      </c>
      <c r="G1432" t="s">
        <v>22444</v>
      </c>
      <c r="H1432" t="s">
        <v>22452</v>
      </c>
      <c r="I1432" t="s">
        <v>3529</v>
      </c>
      <c r="J1432" t="s">
        <v>22806</v>
      </c>
      <c r="K1432" t="s">
        <v>29357</v>
      </c>
      <c r="M1432" t="s">
        <v>30169</v>
      </c>
      <c r="N1432" t="s">
        <v>32524</v>
      </c>
      <c r="O1432" t="s">
        <v>32525</v>
      </c>
      <c r="P1432">
        <v>0</v>
      </c>
      <c r="Q1432">
        <v>0</v>
      </c>
      <c r="R1432" t="s">
        <v>32526</v>
      </c>
      <c r="S1432" t="s">
        <v>32547</v>
      </c>
      <c r="T1432" t="s">
        <v>33155</v>
      </c>
      <c r="U1432" t="s">
        <v>34616</v>
      </c>
      <c r="W1432" t="s">
        <v>30169</v>
      </c>
      <c r="X1432" t="s">
        <v>32527</v>
      </c>
    </row>
    <row r="1433" spans="1:24">
      <c r="A1433">
        <f>HYPERLINK("https://www.philgeps.gov.ph/GEPSNONPILOT/Tender/SplashBidNoticeAbstractUI.aspx?menuIndex=3&amp;refID=7045893&amp;Result=3","7045893")</f>
        <v>0</v>
      </c>
      <c r="B1433" t="s">
        <v>580</v>
      </c>
      <c r="C1433" t="s">
        <v>4052</v>
      </c>
      <c r="D1433" t="s">
        <v>13033</v>
      </c>
      <c r="E1433" t="s">
        <v>14231</v>
      </c>
      <c r="F1433" t="s">
        <v>22436</v>
      </c>
      <c r="G1433" t="s">
        <v>22443</v>
      </c>
      <c r="H1433" t="s">
        <v>22452</v>
      </c>
      <c r="I1433" t="s">
        <v>3027</v>
      </c>
      <c r="J1433" t="s">
        <v>23643</v>
      </c>
      <c r="K1433" t="s">
        <v>29357</v>
      </c>
      <c r="M1433" t="s">
        <v>30168</v>
      </c>
      <c r="N1433" t="s">
        <v>32524</v>
      </c>
      <c r="O1433" t="s">
        <v>32525</v>
      </c>
      <c r="P1433">
        <v>0</v>
      </c>
      <c r="Q1433">
        <v>0</v>
      </c>
      <c r="R1433" t="s">
        <v>32526</v>
      </c>
      <c r="S1433" t="s">
        <v>32547</v>
      </c>
      <c r="T1433" t="s">
        <v>33161</v>
      </c>
      <c r="U1433" t="s">
        <v>34858</v>
      </c>
      <c r="W1433" t="s">
        <v>30168</v>
      </c>
      <c r="X1433" t="s">
        <v>32527</v>
      </c>
    </row>
    <row r="1434" spans="1:24">
      <c r="A1434">
        <f>HYPERLINK("https://www.philgeps.gov.ph/GEPSNONPILOT/Tender/SplashBidNoticeAbstractUI.aspx?menuIndex=3&amp;refID=7045889&amp;Result=3","7045889")</f>
        <v>0</v>
      </c>
      <c r="B1434" t="s">
        <v>267</v>
      </c>
      <c r="C1434" t="s">
        <v>4053</v>
      </c>
      <c r="D1434" t="s">
        <v>13032</v>
      </c>
      <c r="E1434" t="s">
        <v>14400</v>
      </c>
      <c r="F1434" t="s">
        <v>22436</v>
      </c>
      <c r="G1434" t="s">
        <v>22444</v>
      </c>
      <c r="H1434" t="s">
        <v>22452</v>
      </c>
      <c r="I1434" t="s">
        <v>3827</v>
      </c>
      <c r="J1434" t="s">
        <v>23644</v>
      </c>
      <c r="K1434" t="s">
        <v>29338</v>
      </c>
      <c r="M1434" t="s">
        <v>29841</v>
      </c>
      <c r="N1434" t="s">
        <v>32524</v>
      </c>
      <c r="O1434" t="s">
        <v>32525</v>
      </c>
      <c r="P1434">
        <v>0</v>
      </c>
      <c r="Q1434">
        <v>1</v>
      </c>
      <c r="R1434" t="s">
        <v>32526</v>
      </c>
      <c r="S1434" t="s">
        <v>32547</v>
      </c>
      <c r="T1434" t="s">
        <v>33181</v>
      </c>
      <c r="U1434" t="s">
        <v>34859</v>
      </c>
      <c r="W1434" t="s">
        <v>43690</v>
      </c>
      <c r="X1434" t="s">
        <v>32527</v>
      </c>
    </row>
    <row r="1435" spans="1:24">
      <c r="A1435">
        <f>HYPERLINK("https://www.philgeps.gov.ph/GEPSNONPILOT/Tender/SplashBidNoticeAbstractUI.aspx?menuIndex=3&amp;refID=7045882&amp;Result=3","7045882")</f>
        <v>0</v>
      </c>
      <c r="B1435" t="s">
        <v>539</v>
      </c>
      <c r="C1435" t="s">
        <v>4054</v>
      </c>
      <c r="D1435" t="s">
        <v>13001</v>
      </c>
      <c r="E1435" t="s">
        <v>14401</v>
      </c>
      <c r="F1435" t="s">
        <v>22436</v>
      </c>
      <c r="G1435" t="s">
        <v>22446</v>
      </c>
      <c r="H1435" t="s">
        <v>22452</v>
      </c>
      <c r="I1435" t="s">
        <v>22468</v>
      </c>
      <c r="J1435" t="s">
        <v>23645</v>
      </c>
      <c r="K1435" t="s">
        <v>29338</v>
      </c>
      <c r="M1435" t="s">
        <v>30123</v>
      </c>
      <c r="N1435" t="s">
        <v>32524</v>
      </c>
      <c r="O1435" t="s">
        <v>32525</v>
      </c>
      <c r="P1435">
        <v>0</v>
      </c>
      <c r="Q1435">
        <v>0</v>
      </c>
      <c r="R1435" t="s">
        <v>32526</v>
      </c>
      <c r="S1435" t="s">
        <v>32547</v>
      </c>
      <c r="T1435" t="s">
        <v>33323</v>
      </c>
      <c r="U1435" t="s">
        <v>34860</v>
      </c>
      <c r="W1435" t="s">
        <v>30123</v>
      </c>
      <c r="X1435" t="s">
        <v>32527</v>
      </c>
    </row>
    <row r="1436" spans="1:24">
      <c r="A1436">
        <f>HYPERLINK("https://www.philgeps.gov.ph/GEPSNONPILOT/Tender/SplashBidNoticeAbstractUI.aspx?menuIndex=3&amp;refID=7045896&amp;Result=3","7045896")</f>
        <v>0</v>
      </c>
      <c r="B1436" t="s">
        <v>267</v>
      </c>
      <c r="C1436" t="s">
        <v>4055</v>
      </c>
      <c r="D1436" t="s">
        <v>13032</v>
      </c>
      <c r="E1436" t="s">
        <v>14402</v>
      </c>
      <c r="F1436" t="s">
        <v>22436</v>
      </c>
      <c r="G1436" t="s">
        <v>22444</v>
      </c>
      <c r="H1436" t="s">
        <v>22452</v>
      </c>
      <c r="I1436" t="s">
        <v>22460</v>
      </c>
      <c r="J1436" t="s">
        <v>23646</v>
      </c>
      <c r="K1436" t="s">
        <v>29338</v>
      </c>
      <c r="M1436" t="s">
        <v>29841</v>
      </c>
      <c r="N1436" t="s">
        <v>32524</v>
      </c>
      <c r="O1436" t="s">
        <v>32525</v>
      </c>
      <c r="P1436">
        <v>0</v>
      </c>
      <c r="Q1436">
        <v>0</v>
      </c>
      <c r="R1436" t="s">
        <v>32526</v>
      </c>
      <c r="S1436" t="s">
        <v>32547</v>
      </c>
      <c r="T1436" t="s">
        <v>33181</v>
      </c>
      <c r="U1436" t="s">
        <v>34861</v>
      </c>
      <c r="W1436" t="s">
        <v>43690</v>
      </c>
      <c r="X1436" t="s">
        <v>32527</v>
      </c>
    </row>
    <row r="1437" spans="1:24">
      <c r="A1437">
        <f>HYPERLINK("https://www.philgeps.gov.ph/GEPSNONPILOT/Tender/SplashBidNoticeAbstractUI.aspx?menuIndex=3&amp;refID=7045887&amp;Result=3","7045887")</f>
        <v>0</v>
      </c>
      <c r="B1437" t="s">
        <v>433</v>
      </c>
      <c r="C1437" t="s">
        <v>4056</v>
      </c>
      <c r="D1437" t="s">
        <v>13015</v>
      </c>
      <c r="E1437" t="s">
        <v>14403</v>
      </c>
      <c r="F1437" t="s">
        <v>22436</v>
      </c>
      <c r="G1437" t="s">
        <v>22443</v>
      </c>
      <c r="H1437" t="s">
        <v>22452</v>
      </c>
      <c r="I1437" t="s">
        <v>22460</v>
      </c>
      <c r="J1437" t="s">
        <v>23647</v>
      </c>
      <c r="K1437" t="s">
        <v>29338</v>
      </c>
      <c r="M1437" t="s">
        <v>30014</v>
      </c>
      <c r="N1437" t="s">
        <v>32524</v>
      </c>
      <c r="O1437" t="s">
        <v>32525</v>
      </c>
      <c r="P1437">
        <v>0</v>
      </c>
      <c r="Q1437">
        <v>0</v>
      </c>
      <c r="R1437" t="s">
        <v>32526</v>
      </c>
      <c r="S1437" t="s">
        <v>32547</v>
      </c>
      <c r="T1437" t="s">
        <v>33186</v>
      </c>
      <c r="U1437" t="s">
        <v>34782</v>
      </c>
      <c r="W1437" t="s">
        <v>30014</v>
      </c>
      <c r="X1437" t="s">
        <v>32527</v>
      </c>
    </row>
    <row r="1438" spans="1:24">
      <c r="A1438">
        <f>HYPERLINK("https://www.philgeps.gov.ph/GEPSNONPILOT/Tender/SplashBidNoticeAbstractUI.aspx?menuIndex=3&amp;refID=7045879&amp;Result=3","7045879")</f>
        <v>0</v>
      </c>
      <c r="B1438" t="s">
        <v>603</v>
      </c>
      <c r="C1438" t="s">
        <v>4057</v>
      </c>
      <c r="D1438" t="s">
        <v>13033</v>
      </c>
      <c r="E1438" t="s">
        <v>14404</v>
      </c>
      <c r="F1438" t="s">
        <v>22436</v>
      </c>
      <c r="G1438" t="s">
        <v>22444</v>
      </c>
      <c r="H1438" t="s">
        <v>22452</v>
      </c>
      <c r="I1438" t="s">
        <v>3529</v>
      </c>
      <c r="J1438" t="s">
        <v>23648</v>
      </c>
      <c r="K1438" t="s">
        <v>29333</v>
      </c>
      <c r="M1438" t="s">
        <v>30193</v>
      </c>
      <c r="N1438" t="s">
        <v>32524</v>
      </c>
      <c r="O1438" t="s">
        <v>32525</v>
      </c>
      <c r="P1438">
        <v>0</v>
      </c>
      <c r="Q1438">
        <v>0</v>
      </c>
      <c r="R1438" t="s">
        <v>32526</v>
      </c>
      <c r="S1438" t="s">
        <v>32547</v>
      </c>
      <c r="T1438" t="s">
        <v>33157</v>
      </c>
      <c r="U1438" t="s">
        <v>34862</v>
      </c>
      <c r="W1438" t="s">
        <v>30193</v>
      </c>
      <c r="X1438" t="s">
        <v>32527</v>
      </c>
    </row>
    <row r="1439" spans="1:24">
      <c r="A1439">
        <f>HYPERLINK("https://www.philgeps.gov.ph/GEPSNONPILOT/Tender/SplashBidNoticeAbstractUI.aspx?menuIndex=3&amp;refID=7045891&amp;Result=3","7045891")</f>
        <v>0</v>
      </c>
      <c r="B1439" t="s">
        <v>604</v>
      </c>
      <c r="C1439" t="s">
        <v>4058</v>
      </c>
      <c r="D1439" t="s">
        <v>13011</v>
      </c>
      <c r="E1439" t="s">
        <v>14405</v>
      </c>
      <c r="F1439" t="s">
        <v>22436</v>
      </c>
      <c r="G1439" t="s">
        <v>22444</v>
      </c>
      <c r="H1439" t="s">
        <v>22452</v>
      </c>
      <c r="I1439" t="s">
        <v>6387</v>
      </c>
      <c r="J1439" t="s">
        <v>22616</v>
      </c>
      <c r="K1439" t="s">
        <v>29356</v>
      </c>
      <c r="M1439" t="s">
        <v>30194</v>
      </c>
      <c r="N1439" t="s">
        <v>32524</v>
      </c>
      <c r="O1439" t="s">
        <v>32525</v>
      </c>
      <c r="P1439">
        <v>0</v>
      </c>
      <c r="Q1439">
        <v>0</v>
      </c>
      <c r="R1439" t="s">
        <v>32526</v>
      </c>
      <c r="S1439" t="s">
        <v>32547</v>
      </c>
      <c r="T1439" t="s">
        <v>33182</v>
      </c>
      <c r="U1439" t="s">
        <v>34863</v>
      </c>
      <c r="W1439" t="s">
        <v>30194</v>
      </c>
      <c r="X1439" t="s">
        <v>32527</v>
      </c>
    </row>
    <row r="1440" spans="1:24">
      <c r="A1440">
        <f>HYPERLINK("https://www.philgeps.gov.ph/GEPSNONPILOT/Tender/SplashBidNoticeAbstractUI.aspx?menuIndex=3&amp;refID=7045888&amp;Result=3","7045888")</f>
        <v>0</v>
      </c>
      <c r="B1440" t="s">
        <v>542</v>
      </c>
      <c r="C1440" t="s">
        <v>4059</v>
      </c>
      <c r="D1440" t="s">
        <v>13062</v>
      </c>
      <c r="E1440" t="s">
        <v>14406</v>
      </c>
      <c r="F1440" t="s">
        <v>22436</v>
      </c>
      <c r="G1440" t="s">
        <v>22444</v>
      </c>
      <c r="H1440" t="s">
        <v>22452</v>
      </c>
      <c r="I1440" t="s">
        <v>22502</v>
      </c>
      <c r="J1440" t="s">
        <v>23649</v>
      </c>
      <c r="K1440" t="s">
        <v>29333</v>
      </c>
      <c r="M1440" t="s">
        <v>30126</v>
      </c>
      <c r="N1440" t="s">
        <v>32524</v>
      </c>
      <c r="O1440" t="s">
        <v>32525</v>
      </c>
      <c r="P1440">
        <v>0</v>
      </c>
      <c r="Q1440">
        <v>22</v>
      </c>
      <c r="R1440" t="s">
        <v>32526</v>
      </c>
      <c r="S1440" t="s">
        <v>32547</v>
      </c>
      <c r="T1440" t="s">
        <v>33283</v>
      </c>
      <c r="U1440" t="s">
        <v>34864</v>
      </c>
      <c r="W1440" t="s">
        <v>30126</v>
      </c>
      <c r="X1440" t="s">
        <v>32527</v>
      </c>
    </row>
    <row r="1441" spans="1:24">
      <c r="A1441">
        <f>HYPERLINK("https://www.philgeps.gov.ph/GEPSNONPILOT/Tender/SplashBidNoticeAbstractUI.aspx?menuIndex=3&amp;refID=7045877&amp;Result=3","7045877")</f>
        <v>0</v>
      </c>
      <c r="B1441" t="s">
        <v>401</v>
      </c>
      <c r="C1441" t="s">
        <v>4060</v>
      </c>
      <c r="D1441" t="s">
        <v>13044</v>
      </c>
      <c r="E1441" t="s">
        <v>14407</v>
      </c>
      <c r="F1441" t="s">
        <v>22436</v>
      </c>
      <c r="G1441" t="s">
        <v>22443</v>
      </c>
      <c r="H1441" t="s">
        <v>22452</v>
      </c>
      <c r="I1441" t="s">
        <v>22460</v>
      </c>
      <c r="J1441" t="s">
        <v>23650</v>
      </c>
      <c r="K1441" t="s">
        <v>29340</v>
      </c>
      <c r="M1441" t="s">
        <v>29980</v>
      </c>
      <c r="N1441" t="s">
        <v>32524</v>
      </c>
      <c r="O1441" t="s">
        <v>32525</v>
      </c>
      <c r="P1441">
        <v>0</v>
      </c>
      <c r="Q1441">
        <v>0</v>
      </c>
      <c r="R1441" t="s">
        <v>32526</v>
      </c>
      <c r="S1441" t="s">
        <v>32547</v>
      </c>
      <c r="T1441" t="s">
        <v>33210</v>
      </c>
      <c r="U1441" t="s">
        <v>34741</v>
      </c>
      <c r="W1441" t="s">
        <v>29980</v>
      </c>
      <c r="X1441" t="s">
        <v>32527</v>
      </c>
    </row>
    <row r="1442" spans="1:24">
      <c r="A1442">
        <f>HYPERLINK("https://www.philgeps.gov.ph/GEPSNONPILOT/Tender/SplashBidNoticeAbstractUI.aspx?menuIndex=3&amp;refID=7045902&amp;Result=3","7045902")</f>
        <v>0</v>
      </c>
      <c r="B1442" t="s">
        <v>605</v>
      </c>
      <c r="C1442" t="s">
        <v>4061</v>
      </c>
      <c r="D1442" t="s">
        <v>13028</v>
      </c>
      <c r="E1442" t="s">
        <v>14408</v>
      </c>
      <c r="F1442" t="s">
        <v>22436</v>
      </c>
      <c r="G1442" t="s">
        <v>22444</v>
      </c>
      <c r="H1442" t="s">
        <v>22454</v>
      </c>
      <c r="I1442" t="s">
        <v>2981</v>
      </c>
      <c r="J1442" t="s">
        <v>22747</v>
      </c>
      <c r="K1442" t="s">
        <v>29333</v>
      </c>
      <c r="M1442" t="s">
        <v>30195</v>
      </c>
      <c r="N1442" t="s">
        <v>32524</v>
      </c>
      <c r="O1442" t="s">
        <v>32525</v>
      </c>
      <c r="P1442">
        <v>0</v>
      </c>
      <c r="Q1442">
        <v>0</v>
      </c>
      <c r="R1442" t="s">
        <v>32526</v>
      </c>
      <c r="S1442" t="s">
        <v>32547</v>
      </c>
      <c r="T1442" t="s">
        <v>33278</v>
      </c>
      <c r="U1442" t="s">
        <v>34865</v>
      </c>
      <c r="W1442" t="s">
        <v>30195</v>
      </c>
      <c r="X1442" t="s">
        <v>32527</v>
      </c>
    </row>
    <row r="1443" spans="1:24">
      <c r="A1443">
        <f>HYPERLINK("https://www.philgeps.gov.ph/GEPSNONPILOT/Tender/SplashBidNoticeAbstractUI.aspx?menuIndex=3&amp;refID=7045909&amp;Result=3","7045909")</f>
        <v>0</v>
      </c>
      <c r="B1443" t="s">
        <v>238</v>
      </c>
      <c r="C1443" t="s">
        <v>4062</v>
      </c>
      <c r="D1443" t="s">
        <v>12991</v>
      </c>
      <c r="E1443" t="s">
        <v>14409</v>
      </c>
      <c r="F1443" t="s">
        <v>22436</v>
      </c>
      <c r="G1443" t="s">
        <v>22444</v>
      </c>
      <c r="H1443" t="s">
        <v>22452</v>
      </c>
      <c r="I1443" t="s">
        <v>22466</v>
      </c>
      <c r="J1443" t="s">
        <v>23234</v>
      </c>
      <c r="K1443" t="s">
        <v>29331</v>
      </c>
      <c r="M1443" t="s">
        <v>29811</v>
      </c>
      <c r="N1443" t="s">
        <v>32524</v>
      </c>
      <c r="O1443" t="s">
        <v>32525</v>
      </c>
      <c r="P1443">
        <v>0</v>
      </c>
      <c r="Q1443">
        <v>0</v>
      </c>
      <c r="R1443" t="s">
        <v>32526</v>
      </c>
      <c r="S1443" t="s">
        <v>32547</v>
      </c>
      <c r="T1443" t="s">
        <v>33244</v>
      </c>
      <c r="U1443" t="s">
        <v>34866</v>
      </c>
      <c r="W1443" t="s">
        <v>29811</v>
      </c>
      <c r="X1443" t="s">
        <v>32527</v>
      </c>
    </row>
    <row r="1444" spans="1:24">
      <c r="A1444">
        <f>HYPERLINK("https://www.philgeps.gov.ph/GEPSNONPILOT/Tender/SplashBidNoticeAbstractUI.aspx?menuIndex=3&amp;refID=7045923&amp;Result=3","7045923")</f>
        <v>0</v>
      </c>
      <c r="B1444" t="s">
        <v>606</v>
      </c>
      <c r="C1444" t="s">
        <v>4063</v>
      </c>
      <c r="D1444" t="s">
        <v>13029</v>
      </c>
      <c r="E1444" t="s">
        <v>14410</v>
      </c>
      <c r="F1444" t="s">
        <v>22437</v>
      </c>
      <c r="G1444" t="s">
        <v>22446</v>
      </c>
      <c r="H1444" t="s">
        <v>22452</v>
      </c>
      <c r="I1444" t="s">
        <v>2981</v>
      </c>
      <c r="J1444" t="s">
        <v>23651</v>
      </c>
      <c r="K1444" t="s">
        <v>29338</v>
      </c>
      <c r="M1444" t="s">
        <v>30196</v>
      </c>
      <c r="N1444" t="s">
        <v>32524</v>
      </c>
      <c r="O1444" t="s">
        <v>32525</v>
      </c>
      <c r="P1444">
        <v>0</v>
      </c>
      <c r="Q1444">
        <v>2</v>
      </c>
      <c r="R1444" t="s">
        <v>32526</v>
      </c>
      <c r="S1444" t="s">
        <v>32547</v>
      </c>
      <c r="T1444" t="s">
        <v>33182</v>
      </c>
      <c r="U1444" t="s">
        <v>34867</v>
      </c>
      <c r="W1444" t="s">
        <v>30196</v>
      </c>
      <c r="X1444" t="s">
        <v>32527</v>
      </c>
    </row>
    <row r="1445" spans="1:24">
      <c r="A1445">
        <f>HYPERLINK("https://www.philgeps.gov.ph/GEPSNONPILOT/Tender/SplashBidNoticeAbstractUI.aspx?menuIndex=3&amp;refID=7045921&amp;Result=3","7045921")</f>
        <v>0</v>
      </c>
      <c r="B1445" t="s">
        <v>267</v>
      </c>
      <c r="C1445" t="s">
        <v>4064</v>
      </c>
      <c r="D1445" t="s">
        <v>13032</v>
      </c>
      <c r="E1445" t="s">
        <v>14411</v>
      </c>
      <c r="F1445" t="s">
        <v>22436</v>
      </c>
      <c r="G1445" t="s">
        <v>22444</v>
      </c>
      <c r="H1445" t="s">
        <v>22452</v>
      </c>
      <c r="I1445" t="s">
        <v>6421</v>
      </c>
      <c r="J1445" t="s">
        <v>23652</v>
      </c>
      <c r="K1445" t="s">
        <v>29338</v>
      </c>
      <c r="M1445" t="s">
        <v>29841</v>
      </c>
      <c r="N1445" t="s">
        <v>32524</v>
      </c>
      <c r="O1445" t="s">
        <v>32525</v>
      </c>
      <c r="P1445">
        <v>0</v>
      </c>
      <c r="Q1445">
        <v>2</v>
      </c>
      <c r="R1445" t="s">
        <v>32526</v>
      </c>
      <c r="S1445" t="s">
        <v>32547</v>
      </c>
      <c r="T1445" t="s">
        <v>33181</v>
      </c>
      <c r="U1445" t="s">
        <v>34868</v>
      </c>
      <c r="W1445" t="s">
        <v>43690</v>
      </c>
      <c r="X1445" t="s">
        <v>32527</v>
      </c>
    </row>
    <row r="1446" spans="1:24">
      <c r="A1446">
        <f>HYPERLINK("https://www.philgeps.gov.ph/GEPSNONPILOT/Tender/SplashBidNoticeAbstractUI.aspx?menuIndex=3&amp;refID=7045904&amp;Result=3","7045904")</f>
        <v>0</v>
      </c>
      <c r="B1446" t="s">
        <v>607</v>
      </c>
      <c r="C1446" t="s">
        <v>4065</v>
      </c>
      <c r="D1446" t="s">
        <v>13054</v>
      </c>
      <c r="E1446" t="s">
        <v>14412</v>
      </c>
      <c r="F1446" t="s">
        <v>22436</v>
      </c>
      <c r="G1446" t="s">
        <v>22443</v>
      </c>
      <c r="H1446" t="s">
        <v>22455</v>
      </c>
      <c r="I1446" t="s">
        <v>22538</v>
      </c>
      <c r="J1446" t="s">
        <v>22654</v>
      </c>
      <c r="K1446" t="s">
        <v>29333</v>
      </c>
      <c r="M1446" t="s">
        <v>30197</v>
      </c>
      <c r="N1446" t="s">
        <v>32524</v>
      </c>
      <c r="O1446" t="s">
        <v>32525</v>
      </c>
      <c r="P1446">
        <v>0</v>
      </c>
      <c r="Q1446">
        <v>3</v>
      </c>
      <c r="R1446" t="s">
        <v>32526</v>
      </c>
      <c r="S1446" t="s">
        <v>32547</v>
      </c>
      <c r="T1446" t="s">
        <v>33154</v>
      </c>
      <c r="U1446" t="s">
        <v>34869</v>
      </c>
      <c r="W1446" t="s">
        <v>30197</v>
      </c>
      <c r="X1446" t="s">
        <v>32527</v>
      </c>
    </row>
    <row r="1447" spans="1:24">
      <c r="A1447">
        <f>HYPERLINK("https://www.philgeps.gov.ph/GEPSNONPILOT/Tender/SplashBidNoticeAbstractUI.aspx?menuIndex=3&amp;refID=7045920&amp;Result=3","7045920")</f>
        <v>0</v>
      </c>
      <c r="B1447" t="s">
        <v>218</v>
      </c>
      <c r="C1447" t="s">
        <v>4066</v>
      </c>
      <c r="D1447" t="s">
        <v>13022</v>
      </c>
      <c r="E1447" t="s">
        <v>14413</v>
      </c>
      <c r="F1447" t="s">
        <v>22436</v>
      </c>
      <c r="G1447" t="s">
        <v>22444</v>
      </c>
      <c r="H1447" t="s">
        <v>22454</v>
      </c>
      <c r="I1447" t="s">
        <v>7738</v>
      </c>
      <c r="J1447" t="s">
        <v>23505</v>
      </c>
      <c r="K1447" t="s">
        <v>29344</v>
      </c>
      <c r="M1447" t="s">
        <v>29791</v>
      </c>
      <c r="N1447" t="s">
        <v>32524</v>
      </c>
      <c r="O1447" t="s">
        <v>32525</v>
      </c>
      <c r="P1447">
        <v>0</v>
      </c>
      <c r="Q1447">
        <v>0</v>
      </c>
      <c r="R1447" t="s">
        <v>32526</v>
      </c>
      <c r="S1447" t="s">
        <v>32547</v>
      </c>
      <c r="T1447" t="s">
        <v>33157</v>
      </c>
      <c r="U1447" t="s">
        <v>34870</v>
      </c>
      <c r="V1447" t="s">
        <v>42564</v>
      </c>
      <c r="W1447" t="s">
        <v>29791</v>
      </c>
      <c r="X1447" t="s">
        <v>32527</v>
      </c>
    </row>
    <row r="1448" spans="1:24">
      <c r="A1448">
        <f>HYPERLINK("https://www.philgeps.gov.ph/GEPSNONPILOT/Tender/SplashBidNoticeAbstractUI.aspx?menuIndex=3&amp;refID=7045924&amp;Result=3","7045924")</f>
        <v>0</v>
      </c>
      <c r="B1448" t="s">
        <v>608</v>
      </c>
      <c r="C1448" t="s">
        <v>4067</v>
      </c>
      <c r="E1448" t="s">
        <v>14414</v>
      </c>
      <c r="F1448" t="s">
        <v>22436</v>
      </c>
      <c r="G1448" t="s">
        <v>22445</v>
      </c>
      <c r="H1448" t="s">
        <v>22452</v>
      </c>
      <c r="I1448" t="s">
        <v>22460</v>
      </c>
      <c r="J1448" t="s">
        <v>22851</v>
      </c>
      <c r="K1448" t="s">
        <v>29338</v>
      </c>
      <c r="M1448" t="s">
        <v>30198</v>
      </c>
      <c r="N1448" t="s">
        <v>32524</v>
      </c>
      <c r="O1448" t="s">
        <v>32525</v>
      </c>
      <c r="P1448">
        <v>0</v>
      </c>
      <c r="Q1448">
        <v>0</v>
      </c>
      <c r="R1448" t="s">
        <v>32526</v>
      </c>
      <c r="S1448" t="s">
        <v>32547</v>
      </c>
      <c r="T1448" t="s">
        <v>33230</v>
      </c>
      <c r="U1448" t="s">
        <v>34871</v>
      </c>
      <c r="W1448" t="s">
        <v>30198</v>
      </c>
      <c r="X1448" t="s">
        <v>32527</v>
      </c>
    </row>
    <row r="1449" spans="1:24">
      <c r="A1449">
        <f>HYPERLINK("https://www.philgeps.gov.ph/GEPSNONPILOT/Tender/SplashBidNoticeAbstractUI.aspx?menuIndex=3&amp;refID=7045908&amp;Result=3","7045908")</f>
        <v>0</v>
      </c>
      <c r="B1449" t="s">
        <v>567</v>
      </c>
      <c r="C1449" t="s">
        <v>4068</v>
      </c>
      <c r="D1449" t="s">
        <v>13012</v>
      </c>
      <c r="E1449" t="s">
        <v>14415</v>
      </c>
      <c r="F1449" t="s">
        <v>22436</v>
      </c>
      <c r="G1449" t="s">
        <v>22444</v>
      </c>
      <c r="H1449" t="s">
        <v>22452</v>
      </c>
      <c r="I1449" t="s">
        <v>22502</v>
      </c>
      <c r="J1449" t="s">
        <v>22779</v>
      </c>
      <c r="K1449" t="s">
        <v>29334</v>
      </c>
      <c r="M1449" t="s">
        <v>30155</v>
      </c>
      <c r="N1449" t="s">
        <v>32524</v>
      </c>
      <c r="O1449" t="s">
        <v>32525</v>
      </c>
      <c r="P1449">
        <v>0</v>
      </c>
      <c r="Q1449">
        <v>17</v>
      </c>
      <c r="R1449" t="s">
        <v>32526</v>
      </c>
      <c r="S1449" t="s">
        <v>32547</v>
      </c>
      <c r="T1449" t="s">
        <v>33315</v>
      </c>
      <c r="U1449" t="s">
        <v>34872</v>
      </c>
      <c r="V1449" t="s">
        <v>42552</v>
      </c>
      <c r="W1449" t="s">
        <v>30155</v>
      </c>
      <c r="X1449" t="s">
        <v>32527</v>
      </c>
    </row>
    <row r="1450" spans="1:24">
      <c r="A1450">
        <f>HYPERLINK("https://www.philgeps.gov.ph/GEPSNONPILOT/Tender/SplashBidNoticeAbstractUI.aspx?menuIndex=3&amp;refID=7045919&amp;Result=3","7045919")</f>
        <v>0</v>
      </c>
      <c r="B1450" t="s">
        <v>417</v>
      </c>
      <c r="C1450" t="s">
        <v>4069</v>
      </c>
      <c r="D1450" t="s">
        <v>13019</v>
      </c>
      <c r="E1450" t="s">
        <v>14416</v>
      </c>
      <c r="F1450" t="s">
        <v>22436</v>
      </c>
      <c r="G1450" t="s">
        <v>22443</v>
      </c>
      <c r="H1450" t="s">
        <v>22452</v>
      </c>
      <c r="I1450" t="s">
        <v>3027</v>
      </c>
      <c r="J1450" t="s">
        <v>23653</v>
      </c>
      <c r="K1450" t="s">
        <v>29338</v>
      </c>
      <c r="L1450" t="s">
        <v>417</v>
      </c>
      <c r="M1450" t="s">
        <v>29997</v>
      </c>
      <c r="N1450" t="s">
        <v>32524</v>
      </c>
      <c r="O1450" t="s">
        <v>32525</v>
      </c>
      <c r="P1450">
        <v>0</v>
      </c>
      <c r="Q1450">
        <v>1</v>
      </c>
      <c r="R1450" t="s">
        <v>32526</v>
      </c>
      <c r="S1450" t="s">
        <v>32547</v>
      </c>
      <c r="T1450" t="s">
        <v>33203</v>
      </c>
      <c r="U1450" t="s">
        <v>34453</v>
      </c>
      <c r="W1450" t="s">
        <v>29997</v>
      </c>
      <c r="X1450" t="s">
        <v>32527</v>
      </c>
    </row>
    <row r="1451" spans="1:24">
      <c r="A1451">
        <f>HYPERLINK("https://www.philgeps.gov.ph/GEPSNONPILOT/Tender/SplashBidNoticeAbstractUI.aspx?menuIndex=3&amp;refID=7045918&amp;Result=3","7045918")</f>
        <v>0</v>
      </c>
      <c r="B1451" t="s">
        <v>411</v>
      </c>
      <c r="C1451" t="s">
        <v>4070</v>
      </c>
      <c r="D1451" t="s">
        <v>13015</v>
      </c>
      <c r="E1451" t="s">
        <v>14417</v>
      </c>
      <c r="F1451" t="s">
        <v>22436</v>
      </c>
      <c r="G1451" t="s">
        <v>22444</v>
      </c>
      <c r="H1451" t="s">
        <v>22452</v>
      </c>
      <c r="I1451" t="s">
        <v>12358</v>
      </c>
      <c r="J1451" t="s">
        <v>23654</v>
      </c>
      <c r="K1451" t="s">
        <v>29341</v>
      </c>
      <c r="M1451" t="s">
        <v>29990</v>
      </c>
      <c r="N1451" t="s">
        <v>32524</v>
      </c>
      <c r="O1451" t="s">
        <v>32525</v>
      </c>
      <c r="P1451">
        <v>0</v>
      </c>
      <c r="Q1451">
        <v>0</v>
      </c>
      <c r="R1451" t="s">
        <v>32526</v>
      </c>
      <c r="S1451" t="s">
        <v>32547</v>
      </c>
      <c r="T1451" t="s">
        <v>33175</v>
      </c>
      <c r="U1451" t="s">
        <v>34873</v>
      </c>
      <c r="W1451" t="s">
        <v>29990</v>
      </c>
      <c r="X1451" t="s">
        <v>32527</v>
      </c>
    </row>
    <row r="1452" spans="1:24">
      <c r="A1452">
        <f>HYPERLINK("https://www.philgeps.gov.ph/GEPSNONPILOT/Tender/SplashBidNoticeAbstractUI.aspx?menuIndex=3&amp;refID=7045922&amp;Result=3","7045922")</f>
        <v>0</v>
      </c>
      <c r="B1452" t="s">
        <v>576</v>
      </c>
      <c r="C1452" t="s">
        <v>4071</v>
      </c>
      <c r="D1452" t="s">
        <v>13016</v>
      </c>
      <c r="E1452" t="s">
        <v>4071</v>
      </c>
      <c r="F1452" t="s">
        <v>22436</v>
      </c>
      <c r="G1452" t="s">
        <v>22445</v>
      </c>
      <c r="H1452" t="s">
        <v>22452</v>
      </c>
      <c r="I1452" t="s">
        <v>12358</v>
      </c>
      <c r="J1452" t="s">
        <v>22640</v>
      </c>
      <c r="K1452" t="s">
        <v>29338</v>
      </c>
      <c r="M1452" t="s">
        <v>30164</v>
      </c>
      <c r="N1452" t="s">
        <v>32524</v>
      </c>
      <c r="O1452" t="s">
        <v>32525</v>
      </c>
      <c r="P1452">
        <v>0</v>
      </c>
      <c r="Q1452">
        <v>0</v>
      </c>
      <c r="R1452" t="s">
        <v>32526</v>
      </c>
      <c r="S1452" t="s">
        <v>32547</v>
      </c>
      <c r="T1452" t="s">
        <v>33167</v>
      </c>
      <c r="U1452" t="s">
        <v>34874</v>
      </c>
      <c r="W1452" t="s">
        <v>30164</v>
      </c>
      <c r="X1452" t="s">
        <v>32527</v>
      </c>
    </row>
    <row r="1453" spans="1:24">
      <c r="A1453">
        <f>HYPERLINK("https://www.philgeps.gov.ph/GEPSNONPILOT/Tender/SplashBidNoticeAbstractUI.aspx?menuIndex=3&amp;refID=7045910&amp;Result=3","7045910")</f>
        <v>0</v>
      </c>
      <c r="B1453" t="s">
        <v>267</v>
      </c>
      <c r="C1453" t="s">
        <v>4072</v>
      </c>
      <c r="D1453" t="s">
        <v>13032</v>
      </c>
      <c r="E1453" t="s">
        <v>14418</v>
      </c>
      <c r="F1453" t="s">
        <v>22436</v>
      </c>
      <c r="G1453" t="s">
        <v>22444</v>
      </c>
      <c r="H1453" t="s">
        <v>22452</v>
      </c>
      <c r="I1453" t="s">
        <v>6421</v>
      </c>
      <c r="J1453" t="s">
        <v>23655</v>
      </c>
      <c r="K1453" t="s">
        <v>29338</v>
      </c>
      <c r="M1453" t="s">
        <v>29841</v>
      </c>
      <c r="N1453" t="s">
        <v>32524</v>
      </c>
      <c r="O1453" t="s">
        <v>32525</v>
      </c>
      <c r="P1453">
        <v>0</v>
      </c>
      <c r="Q1453">
        <v>5</v>
      </c>
      <c r="R1453" t="s">
        <v>32526</v>
      </c>
      <c r="S1453" t="s">
        <v>32547</v>
      </c>
      <c r="T1453" t="s">
        <v>33181</v>
      </c>
      <c r="U1453" t="s">
        <v>34875</v>
      </c>
      <c r="W1453" t="s">
        <v>43690</v>
      </c>
      <c r="X1453" t="s">
        <v>32527</v>
      </c>
    </row>
    <row r="1454" spans="1:24">
      <c r="A1454">
        <f>HYPERLINK("https://www.philgeps.gov.ph/GEPSNONPILOT/Tender/SplashBidNoticeAbstractUI.aspx?menuIndex=3&amp;refID=7045917&amp;Result=3","7045917")</f>
        <v>0</v>
      </c>
      <c r="B1454" t="s">
        <v>579</v>
      </c>
      <c r="C1454" t="s">
        <v>4073</v>
      </c>
      <c r="D1454" t="s">
        <v>13056</v>
      </c>
      <c r="E1454" t="s">
        <v>14419</v>
      </c>
      <c r="F1454" t="s">
        <v>22436</v>
      </c>
      <c r="G1454" t="s">
        <v>22443</v>
      </c>
      <c r="H1454" t="s">
        <v>22452</v>
      </c>
      <c r="I1454" t="s">
        <v>3529</v>
      </c>
      <c r="J1454" t="s">
        <v>23656</v>
      </c>
      <c r="K1454" t="s">
        <v>29336</v>
      </c>
      <c r="M1454" t="s">
        <v>30167</v>
      </c>
      <c r="N1454" t="s">
        <v>32524</v>
      </c>
      <c r="O1454" t="s">
        <v>32525</v>
      </c>
      <c r="P1454">
        <v>0</v>
      </c>
      <c r="Q1454">
        <v>0</v>
      </c>
      <c r="R1454" t="s">
        <v>32526</v>
      </c>
      <c r="S1454" t="s">
        <v>32547</v>
      </c>
      <c r="T1454" t="s">
        <v>33197</v>
      </c>
      <c r="U1454" t="s">
        <v>34876</v>
      </c>
      <c r="V1454" t="s">
        <v>42555</v>
      </c>
      <c r="W1454" t="s">
        <v>30167</v>
      </c>
      <c r="X1454" t="s">
        <v>32527</v>
      </c>
    </row>
    <row r="1455" spans="1:24">
      <c r="A1455">
        <f>HYPERLINK("https://www.philgeps.gov.ph/GEPSNONPILOT/Tender/SplashBidNoticeAbstractUI.aspx?menuIndex=3&amp;refID=7045916&amp;Result=3","7045916")</f>
        <v>0</v>
      </c>
      <c r="B1455" t="s">
        <v>584</v>
      </c>
      <c r="C1455" t="s">
        <v>4074</v>
      </c>
      <c r="D1455" t="s">
        <v>12988</v>
      </c>
      <c r="E1455" t="s">
        <v>14420</v>
      </c>
      <c r="F1455" t="s">
        <v>22436</v>
      </c>
      <c r="G1455" t="s">
        <v>22443</v>
      </c>
      <c r="H1455" t="s">
        <v>22452</v>
      </c>
      <c r="I1455" t="s">
        <v>22484</v>
      </c>
      <c r="J1455" t="s">
        <v>23657</v>
      </c>
      <c r="K1455" t="s">
        <v>29341</v>
      </c>
      <c r="M1455" t="s">
        <v>30174</v>
      </c>
      <c r="N1455" t="s">
        <v>32524</v>
      </c>
      <c r="O1455" t="s">
        <v>32525</v>
      </c>
      <c r="P1455">
        <v>0</v>
      </c>
      <c r="Q1455">
        <v>6</v>
      </c>
      <c r="R1455" t="s">
        <v>32526</v>
      </c>
      <c r="S1455" t="s">
        <v>32547</v>
      </c>
      <c r="T1455" t="s">
        <v>33314</v>
      </c>
      <c r="U1455" t="s">
        <v>34828</v>
      </c>
      <c r="W1455" t="s">
        <v>30174</v>
      </c>
      <c r="X1455" t="s">
        <v>32527</v>
      </c>
    </row>
    <row r="1456" spans="1:24">
      <c r="A1456">
        <f>HYPERLINK("https://www.philgeps.gov.ph/GEPSNONPILOT/Tender/SplashBidNoticeAbstractUI.aspx?menuIndex=3&amp;refID=7045907&amp;Result=3","7045907")</f>
        <v>0</v>
      </c>
      <c r="B1456" t="s">
        <v>601</v>
      </c>
      <c r="C1456" t="s">
        <v>4075</v>
      </c>
      <c r="D1456" t="s">
        <v>12988</v>
      </c>
      <c r="E1456" t="s">
        <v>14421</v>
      </c>
      <c r="F1456" t="s">
        <v>22436</v>
      </c>
      <c r="G1456" t="s">
        <v>22446</v>
      </c>
      <c r="H1456" t="s">
        <v>22452</v>
      </c>
      <c r="I1456" t="s">
        <v>5194</v>
      </c>
      <c r="J1456" t="s">
        <v>23658</v>
      </c>
      <c r="K1456" t="s">
        <v>29341</v>
      </c>
      <c r="M1456" t="s">
        <v>30191</v>
      </c>
      <c r="N1456" t="s">
        <v>32524</v>
      </c>
      <c r="O1456" t="s">
        <v>32525</v>
      </c>
      <c r="P1456">
        <v>0</v>
      </c>
      <c r="Q1456">
        <v>1</v>
      </c>
      <c r="R1456" t="s">
        <v>32526</v>
      </c>
      <c r="S1456" t="s">
        <v>32547</v>
      </c>
      <c r="T1456" t="s">
        <v>33322</v>
      </c>
      <c r="U1456" t="s">
        <v>34877</v>
      </c>
      <c r="V1456" t="s">
        <v>42562</v>
      </c>
      <c r="W1456" t="s">
        <v>30191</v>
      </c>
      <c r="X1456" t="s">
        <v>32527</v>
      </c>
    </row>
    <row r="1457" spans="1:24">
      <c r="A1457">
        <f>HYPERLINK("https://www.philgeps.gov.ph/GEPSNONPILOT/Tender/SplashBidNoticeAbstractUI.aspx?menuIndex=3&amp;refID=7045911&amp;Result=3","7045911")</f>
        <v>0</v>
      </c>
      <c r="B1457" t="s">
        <v>609</v>
      </c>
      <c r="C1457" t="s">
        <v>4076</v>
      </c>
      <c r="D1457" t="s">
        <v>13011</v>
      </c>
      <c r="E1457" t="s">
        <v>14422</v>
      </c>
      <c r="F1457" t="s">
        <v>22436</v>
      </c>
      <c r="G1457" t="s">
        <v>22443</v>
      </c>
      <c r="H1457" t="s">
        <v>22452</v>
      </c>
      <c r="I1457" t="s">
        <v>22461</v>
      </c>
      <c r="J1457" t="s">
        <v>23659</v>
      </c>
      <c r="K1457" t="s">
        <v>29336</v>
      </c>
      <c r="M1457" t="s">
        <v>30199</v>
      </c>
      <c r="N1457" t="s">
        <v>32524</v>
      </c>
      <c r="O1457" t="s">
        <v>32525</v>
      </c>
      <c r="P1457">
        <v>0</v>
      </c>
      <c r="Q1457">
        <v>2</v>
      </c>
      <c r="R1457" t="s">
        <v>32526</v>
      </c>
      <c r="S1457" t="s">
        <v>32547</v>
      </c>
      <c r="T1457" t="s">
        <v>33154</v>
      </c>
      <c r="U1457" t="s">
        <v>34878</v>
      </c>
      <c r="W1457" t="s">
        <v>30199</v>
      </c>
      <c r="X1457" t="s">
        <v>32527</v>
      </c>
    </row>
    <row r="1458" spans="1:24">
      <c r="A1458">
        <f>HYPERLINK("https://www.philgeps.gov.ph/GEPSNONPILOT/Tender/SplashBidNoticeAbstractUI.aspx?menuIndex=3&amp;refID=7045926&amp;Result=3","7045926")</f>
        <v>0</v>
      </c>
      <c r="B1458" t="s">
        <v>601</v>
      </c>
      <c r="C1458" t="s">
        <v>4077</v>
      </c>
      <c r="D1458" t="s">
        <v>12988</v>
      </c>
      <c r="E1458" t="s">
        <v>14423</v>
      </c>
      <c r="F1458" t="s">
        <v>22436</v>
      </c>
      <c r="G1458" t="s">
        <v>22446</v>
      </c>
      <c r="H1458" t="s">
        <v>22452</v>
      </c>
      <c r="I1458" t="s">
        <v>22460</v>
      </c>
      <c r="J1458" t="s">
        <v>23660</v>
      </c>
      <c r="K1458" t="s">
        <v>29341</v>
      </c>
      <c r="M1458" t="s">
        <v>30191</v>
      </c>
      <c r="N1458" t="s">
        <v>32524</v>
      </c>
      <c r="O1458" t="s">
        <v>32525</v>
      </c>
      <c r="P1458">
        <v>0</v>
      </c>
      <c r="Q1458">
        <v>0</v>
      </c>
      <c r="R1458" t="s">
        <v>32526</v>
      </c>
      <c r="S1458" t="s">
        <v>32547</v>
      </c>
      <c r="T1458" t="s">
        <v>33322</v>
      </c>
      <c r="U1458" t="s">
        <v>34879</v>
      </c>
      <c r="V1458" t="s">
        <v>42562</v>
      </c>
      <c r="W1458" t="s">
        <v>30191</v>
      </c>
      <c r="X1458" t="s">
        <v>32527</v>
      </c>
    </row>
    <row r="1459" spans="1:24">
      <c r="A1459">
        <f>HYPERLINK("https://www.philgeps.gov.ph/GEPSNONPILOT/Tender/SplashBidNoticeAbstractUI.aspx?menuIndex=3&amp;refID=7045913&amp;Result=3","7045913")</f>
        <v>0</v>
      </c>
      <c r="B1459" t="s">
        <v>280</v>
      </c>
      <c r="C1459" t="s">
        <v>4078</v>
      </c>
      <c r="D1459" t="s">
        <v>13055</v>
      </c>
      <c r="E1459" t="s">
        <v>14424</v>
      </c>
      <c r="F1459" t="s">
        <v>22436</v>
      </c>
      <c r="G1459" t="s">
        <v>22444</v>
      </c>
      <c r="H1459" t="s">
        <v>22452</v>
      </c>
      <c r="I1459" t="s">
        <v>22465</v>
      </c>
      <c r="J1459" t="s">
        <v>23661</v>
      </c>
      <c r="K1459" t="s">
        <v>29336</v>
      </c>
      <c r="M1459" t="s">
        <v>29854</v>
      </c>
      <c r="N1459" t="s">
        <v>32524</v>
      </c>
      <c r="O1459" t="s">
        <v>32525</v>
      </c>
      <c r="P1459">
        <v>0</v>
      </c>
      <c r="Q1459">
        <v>0</v>
      </c>
      <c r="R1459" t="s">
        <v>32526</v>
      </c>
      <c r="S1459" t="s">
        <v>32547</v>
      </c>
      <c r="T1459" t="s">
        <v>33237</v>
      </c>
      <c r="U1459" t="s">
        <v>34336</v>
      </c>
      <c r="V1459" t="s">
        <v>42486</v>
      </c>
      <c r="W1459" t="s">
        <v>29854</v>
      </c>
      <c r="X1459" t="s">
        <v>32527</v>
      </c>
    </row>
    <row r="1460" spans="1:24">
      <c r="A1460">
        <f>HYPERLINK("https://www.philgeps.gov.ph/GEPSNONPILOT/Tender/SplashBidNoticeAbstractUI.aspx?menuIndex=3&amp;refID=7045915&amp;Result=3","7045915")</f>
        <v>0</v>
      </c>
      <c r="B1460" t="s">
        <v>163</v>
      </c>
      <c r="C1460" t="s">
        <v>4079</v>
      </c>
      <c r="D1460" t="s">
        <v>12994</v>
      </c>
      <c r="E1460" t="s">
        <v>14425</v>
      </c>
      <c r="F1460" t="s">
        <v>22436</v>
      </c>
      <c r="G1460" t="s">
        <v>22443</v>
      </c>
      <c r="H1460" t="s">
        <v>22452</v>
      </c>
      <c r="I1460" t="s">
        <v>22465</v>
      </c>
      <c r="J1460" t="s">
        <v>23662</v>
      </c>
      <c r="K1460" t="s">
        <v>29335</v>
      </c>
      <c r="M1460" t="s">
        <v>29735</v>
      </c>
      <c r="N1460" t="s">
        <v>32524</v>
      </c>
      <c r="O1460" t="s">
        <v>32525</v>
      </c>
      <c r="P1460">
        <v>0</v>
      </c>
      <c r="Q1460">
        <v>1</v>
      </c>
      <c r="R1460" t="s">
        <v>32526</v>
      </c>
      <c r="S1460" t="s">
        <v>32547</v>
      </c>
      <c r="T1460" t="s">
        <v>33221</v>
      </c>
      <c r="U1460" t="s">
        <v>33926</v>
      </c>
      <c r="W1460" t="s">
        <v>43670</v>
      </c>
      <c r="X1460" t="s">
        <v>32527</v>
      </c>
    </row>
    <row r="1461" spans="1:24">
      <c r="A1461">
        <f>HYPERLINK("https://www.philgeps.gov.ph/GEPSNONPILOT/Tender/SplashBidNoticeAbstractUI.aspx?menuIndex=3&amp;refID=7045912&amp;Result=3","7045912")</f>
        <v>0</v>
      </c>
      <c r="B1461" t="s">
        <v>223</v>
      </c>
      <c r="C1461" t="s">
        <v>4080</v>
      </c>
      <c r="D1461" t="s">
        <v>13024</v>
      </c>
      <c r="E1461" t="s">
        <v>14426</v>
      </c>
      <c r="F1461" t="s">
        <v>22436</v>
      </c>
      <c r="G1461" t="s">
        <v>22446</v>
      </c>
      <c r="H1461" t="s">
        <v>22452</v>
      </c>
      <c r="I1461" t="s">
        <v>22467</v>
      </c>
      <c r="J1461" t="s">
        <v>23663</v>
      </c>
      <c r="K1461" t="s">
        <v>29336</v>
      </c>
      <c r="M1461" t="s">
        <v>29796</v>
      </c>
      <c r="N1461" t="s">
        <v>32524</v>
      </c>
      <c r="O1461" t="s">
        <v>32525</v>
      </c>
      <c r="P1461">
        <v>0</v>
      </c>
      <c r="Q1461">
        <v>0</v>
      </c>
      <c r="R1461" t="s">
        <v>32526</v>
      </c>
      <c r="S1461" t="s">
        <v>32547</v>
      </c>
      <c r="T1461" t="s">
        <v>33180</v>
      </c>
      <c r="U1461" t="s">
        <v>34880</v>
      </c>
      <c r="W1461" t="s">
        <v>29796</v>
      </c>
      <c r="X1461" t="s">
        <v>32527</v>
      </c>
    </row>
    <row r="1462" spans="1:24">
      <c r="A1462">
        <f>HYPERLINK("https://www.philgeps.gov.ph/GEPSNONPILOT/Tender/SplashBidNoticeAbstractUI.aspx?menuIndex=3&amp;refID=7045927&amp;Result=3","7045927")</f>
        <v>0</v>
      </c>
      <c r="B1462" t="s">
        <v>123</v>
      </c>
      <c r="C1462" t="s">
        <v>4081</v>
      </c>
      <c r="D1462" t="s">
        <v>13018</v>
      </c>
      <c r="E1462" t="s">
        <v>14427</v>
      </c>
      <c r="F1462" t="s">
        <v>22436</v>
      </c>
      <c r="G1462" t="s">
        <v>22443</v>
      </c>
      <c r="H1462" t="s">
        <v>22452</v>
      </c>
      <c r="I1462" t="s">
        <v>3381</v>
      </c>
      <c r="J1462" t="s">
        <v>22695</v>
      </c>
      <c r="K1462" t="s">
        <v>29340</v>
      </c>
      <c r="L1462" t="s">
        <v>123</v>
      </c>
      <c r="M1462" t="s">
        <v>29695</v>
      </c>
      <c r="N1462" t="s">
        <v>32524</v>
      </c>
      <c r="O1462" t="s">
        <v>32525</v>
      </c>
      <c r="P1462">
        <v>0</v>
      </c>
      <c r="Q1462">
        <v>0</v>
      </c>
      <c r="R1462" t="s">
        <v>32526</v>
      </c>
      <c r="S1462" t="s">
        <v>32547</v>
      </c>
      <c r="T1462" t="s">
        <v>33324</v>
      </c>
      <c r="U1462" t="s">
        <v>34881</v>
      </c>
      <c r="W1462" t="s">
        <v>29695</v>
      </c>
      <c r="X1462" t="s">
        <v>32527</v>
      </c>
    </row>
    <row r="1463" spans="1:24">
      <c r="A1463">
        <f>HYPERLINK("https://www.philgeps.gov.ph/GEPSNONPILOT/Tender/SplashBidNoticeAbstractUI.aspx?menuIndex=3&amp;refID=7045930&amp;Result=3","7045930")</f>
        <v>0</v>
      </c>
      <c r="B1463" t="s">
        <v>610</v>
      </c>
      <c r="C1463" t="s">
        <v>4082</v>
      </c>
      <c r="D1463" t="s">
        <v>13058</v>
      </c>
      <c r="E1463" t="s">
        <v>14428</v>
      </c>
      <c r="F1463" t="s">
        <v>22436</v>
      </c>
      <c r="G1463" t="s">
        <v>22444</v>
      </c>
      <c r="H1463" t="s">
        <v>22454</v>
      </c>
      <c r="I1463" t="s">
        <v>7738</v>
      </c>
      <c r="J1463" t="s">
        <v>22877</v>
      </c>
      <c r="K1463" t="s">
        <v>29334</v>
      </c>
      <c r="M1463" t="s">
        <v>30200</v>
      </c>
      <c r="N1463" t="s">
        <v>32524</v>
      </c>
      <c r="O1463" t="s">
        <v>32525</v>
      </c>
      <c r="P1463">
        <v>0</v>
      </c>
      <c r="Q1463">
        <v>0</v>
      </c>
      <c r="R1463" t="s">
        <v>32526</v>
      </c>
      <c r="S1463" t="s">
        <v>32547</v>
      </c>
      <c r="T1463" t="s">
        <v>33325</v>
      </c>
      <c r="U1463" t="s">
        <v>34882</v>
      </c>
      <c r="W1463" t="s">
        <v>30200</v>
      </c>
      <c r="X1463" t="s">
        <v>32527</v>
      </c>
    </row>
    <row r="1464" spans="1:24">
      <c r="A1464">
        <f>HYPERLINK("https://www.philgeps.gov.ph/GEPSNONPILOT/Tender/SplashBidNoticeAbstractUI.aspx?menuIndex=3&amp;refID=7045929&amp;Result=3","7045929")</f>
        <v>0</v>
      </c>
      <c r="B1464" t="s">
        <v>611</v>
      </c>
      <c r="C1464" t="s">
        <v>4083</v>
      </c>
      <c r="D1464" t="s">
        <v>13000</v>
      </c>
      <c r="E1464" t="s">
        <v>14429</v>
      </c>
      <c r="F1464" t="s">
        <v>22436</v>
      </c>
      <c r="G1464" t="s">
        <v>22443</v>
      </c>
      <c r="H1464" t="s">
        <v>22453</v>
      </c>
      <c r="I1464" t="s">
        <v>22527</v>
      </c>
      <c r="J1464" t="s">
        <v>22989</v>
      </c>
      <c r="K1464" t="s">
        <v>29336</v>
      </c>
      <c r="M1464" t="s">
        <v>30201</v>
      </c>
      <c r="N1464" t="s">
        <v>32524</v>
      </c>
      <c r="O1464" t="s">
        <v>32525</v>
      </c>
      <c r="P1464">
        <v>0</v>
      </c>
      <c r="Q1464">
        <v>0</v>
      </c>
      <c r="R1464" t="s">
        <v>32526</v>
      </c>
      <c r="S1464" t="s">
        <v>32547</v>
      </c>
      <c r="T1464" t="s">
        <v>33196</v>
      </c>
      <c r="U1464" t="s">
        <v>34883</v>
      </c>
      <c r="W1464" t="s">
        <v>30201</v>
      </c>
      <c r="X1464" t="s">
        <v>32527</v>
      </c>
    </row>
    <row r="1465" spans="1:24">
      <c r="A1465">
        <f>HYPERLINK("https://www.philgeps.gov.ph/GEPSNONPILOT/Tender/SplashBidNoticeAbstractUI.aspx?menuIndex=3&amp;refID=7045938&amp;Result=3","7045938")</f>
        <v>0</v>
      </c>
      <c r="B1465" t="s">
        <v>612</v>
      </c>
      <c r="C1465" t="s">
        <v>4084</v>
      </c>
      <c r="D1465" t="s">
        <v>13031</v>
      </c>
      <c r="E1465" t="s">
        <v>14430</v>
      </c>
      <c r="F1465" t="s">
        <v>22436</v>
      </c>
      <c r="G1465" t="s">
        <v>22446</v>
      </c>
      <c r="H1465" t="s">
        <v>22453</v>
      </c>
      <c r="I1465" t="s">
        <v>22529</v>
      </c>
      <c r="J1465" t="s">
        <v>23664</v>
      </c>
      <c r="K1465" t="s">
        <v>29340</v>
      </c>
      <c r="M1465" t="s">
        <v>30202</v>
      </c>
      <c r="N1465" t="s">
        <v>32524</v>
      </c>
      <c r="O1465" t="s">
        <v>32525</v>
      </c>
      <c r="P1465">
        <v>0</v>
      </c>
      <c r="Q1465">
        <v>0</v>
      </c>
      <c r="R1465" t="s">
        <v>32526</v>
      </c>
      <c r="S1465" t="s">
        <v>32547</v>
      </c>
      <c r="T1465" t="s">
        <v>33233</v>
      </c>
      <c r="U1465" t="s">
        <v>34884</v>
      </c>
      <c r="W1465" t="s">
        <v>30202</v>
      </c>
      <c r="X1465" t="s">
        <v>32527</v>
      </c>
    </row>
    <row r="1466" spans="1:24">
      <c r="A1466">
        <f>HYPERLINK("https://www.philgeps.gov.ph/GEPSNONPILOT/Tender/SplashBidNoticeAbstractUI.aspx?menuIndex=3&amp;refID=7045951&amp;Result=3","7045951")</f>
        <v>0</v>
      </c>
      <c r="B1466" t="s">
        <v>613</v>
      </c>
      <c r="C1466" t="s">
        <v>4085</v>
      </c>
      <c r="D1466" t="s">
        <v>13039</v>
      </c>
      <c r="E1466" t="s">
        <v>13332</v>
      </c>
      <c r="F1466" t="s">
        <v>22436</v>
      </c>
      <c r="G1466" t="s">
        <v>22444</v>
      </c>
      <c r="H1466" t="s">
        <v>22452</v>
      </c>
      <c r="I1466" t="s">
        <v>22471</v>
      </c>
      <c r="J1466" t="s">
        <v>23665</v>
      </c>
      <c r="K1466" t="s">
        <v>29331</v>
      </c>
      <c r="M1466" t="s">
        <v>30203</v>
      </c>
      <c r="N1466" t="s">
        <v>32524</v>
      </c>
      <c r="O1466" t="s">
        <v>32525</v>
      </c>
      <c r="P1466">
        <v>0</v>
      </c>
      <c r="Q1466">
        <v>0</v>
      </c>
      <c r="R1466" t="s">
        <v>32526</v>
      </c>
      <c r="S1466" t="s">
        <v>32547</v>
      </c>
      <c r="T1466" t="s">
        <v>33249</v>
      </c>
      <c r="U1466" t="s">
        <v>34885</v>
      </c>
      <c r="W1466" t="s">
        <v>32454</v>
      </c>
      <c r="X1466" t="s">
        <v>32527</v>
      </c>
    </row>
    <row r="1467" spans="1:24">
      <c r="A1467">
        <f>HYPERLINK("https://www.philgeps.gov.ph/GEPSNONPILOT/Tender/SplashBidNoticeAbstractUI.aspx?menuIndex=3&amp;refID=7045955&amp;Result=3","7045955")</f>
        <v>0</v>
      </c>
      <c r="B1467" t="s">
        <v>580</v>
      </c>
      <c r="C1467" t="s">
        <v>4086</v>
      </c>
      <c r="D1467" t="s">
        <v>13033</v>
      </c>
      <c r="E1467" t="s">
        <v>14431</v>
      </c>
      <c r="F1467" t="s">
        <v>22436</v>
      </c>
      <c r="G1467" t="s">
        <v>22443</v>
      </c>
      <c r="H1467" t="s">
        <v>22452</v>
      </c>
      <c r="I1467" t="s">
        <v>22469</v>
      </c>
      <c r="J1467" t="s">
        <v>22617</v>
      </c>
      <c r="K1467" t="s">
        <v>29331</v>
      </c>
      <c r="M1467" t="s">
        <v>30168</v>
      </c>
      <c r="N1467" t="s">
        <v>32524</v>
      </c>
      <c r="O1467" t="s">
        <v>32525</v>
      </c>
      <c r="P1467">
        <v>0</v>
      </c>
      <c r="Q1467">
        <v>0</v>
      </c>
      <c r="R1467" t="s">
        <v>32526</v>
      </c>
      <c r="S1467" t="s">
        <v>32547</v>
      </c>
      <c r="T1467" t="s">
        <v>33161</v>
      </c>
      <c r="U1467" t="s">
        <v>34886</v>
      </c>
      <c r="W1467" t="s">
        <v>30168</v>
      </c>
      <c r="X1467" t="s">
        <v>32527</v>
      </c>
    </row>
    <row r="1468" spans="1:24">
      <c r="A1468">
        <f>HYPERLINK("https://www.philgeps.gov.ph/GEPSNONPILOT/Tender/SplashBidNoticeAbstractUI.aspx?menuIndex=3&amp;refID=7045954&amp;Result=3","7045954")</f>
        <v>0</v>
      </c>
      <c r="B1468" t="s">
        <v>340</v>
      </c>
      <c r="C1468" t="s">
        <v>4087</v>
      </c>
      <c r="D1468" t="s">
        <v>13007</v>
      </c>
      <c r="E1468" t="s">
        <v>14432</v>
      </c>
      <c r="F1468" t="s">
        <v>22438</v>
      </c>
      <c r="G1468" t="s">
        <v>22445</v>
      </c>
      <c r="H1468" t="s">
        <v>22452</v>
      </c>
      <c r="I1468" t="s">
        <v>22531</v>
      </c>
      <c r="J1468" t="s">
        <v>22865</v>
      </c>
      <c r="K1468" t="s">
        <v>29356</v>
      </c>
      <c r="M1468" t="s">
        <v>29916</v>
      </c>
      <c r="N1468" t="s">
        <v>32524</v>
      </c>
      <c r="O1468" t="s">
        <v>32525</v>
      </c>
      <c r="P1468">
        <v>0</v>
      </c>
      <c r="Q1468">
        <v>0</v>
      </c>
      <c r="R1468" t="s">
        <v>32526</v>
      </c>
      <c r="S1468" t="s">
        <v>32547</v>
      </c>
      <c r="T1468" t="s">
        <v>33182</v>
      </c>
      <c r="U1468" t="s">
        <v>34887</v>
      </c>
      <c r="W1468" t="s">
        <v>29916</v>
      </c>
      <c r="X1468" t="s">
        <v>32527</v>
      </c>
    </row>
    <row r="1469" spans="1:24">
      <c r="A1469">
        <f>HYPERLINK("https://www.philgeps.gov.ph/GEPSNONPILOT/Tender/SplashBidNoticeAbstractUI.aspx?menuIndex=3&amp;refID=7045948&amp;Result=3","7045948")</f>
        <v>0</v>
      </c>
      <c r="B1469" t="s">
        <v>614</v>
      </c>
      <c r="C1469" t="s">
        <v>4088</v>
      </c>
      <c r="D1469" t="s">
        <v>12995</v>
      </c>
      <c r="E1469" t="s">
        <v>14433</v>
      </c>
      <c r="F1469" t="s">
        <v>22436</v>
      </c>
      <c r="G1469" t="s">
        <v>22444</v>
      </c>
      <c r="H1469" t="s">
        <v>22452</v>
      </c>
      <c r="I1469" t="s">
        <v>22469</v>
      </c>
      <c r="J1469" t="s">
        <v>23598</v>
      </c>
      <c r="K1469" t="s">
        <v>29335</v>
      </c>
      <c r="M1469" t="s">
        <v>30204</v>
      </c>
      <c r="N1469" t="s">
        <v>32524</v>
      </c>
      <c r="O1469" t="s">
        <v>32525</v>
      </c>
      <c r="P1469">
        <v>0</v>
      </c>
      <c r="Q1469">
        <v>4</v>
      </c>
      <c r="R1469" t="s">
        <v>32526</v>
      </c>
      <c r="S1469" t="s">
        <v>32547</v>
      </c>
      <c r="T1469" t="s">
        <v>33227</v>
      </c>
      <c r="U1469" t="s">
        <v>34888</v>
      </c>
      <c r="V1469" t="s">
        <v>42565</v>
      </c>
      <c r="W1469" t="s">
        <v>30204</v>
      </c>
      <c r="X1469" t="s">
        <v>32527</v>
      </c>
    </row>
    <row r="1470" spans="1:24">
      <c r="A1470">
        <f>HYPERLINK("https://www.philgeps.gov.ph/GEPSNONPILOT/Tender/SplashBidNoticeAbstractUI.aspx?menuIndex=3&amp;refID=7045931&amp;Result=3","7045931")</f>
        <v>0</v>
      </c>
      <c r="B1470" t="s">
        <v>615</v>
      </c>
      <c r="C1470" t="s">
        <v>4089</v>
      </c>
      <c r="D1470" t="s">
        <v>12988</v>
      </c>
      <c r="E1470" t="s">
        <v>14434</v>
      </c>
      <c r="F1470" t="s">
        <v>22436</v>
      </c>
      <c r="G1470" t="s">
        <v>22446</v>
      </c>
      <c r="H1470" t="s">
        <v>22452</v>
      </c>
      <c r="I1470" t="s">
        <v>22456</v>
      </c>
      <c r="J1470" t="s">
        <v>23349</v>
      </c>
      <c r="K1470" t="s">
        <v>29338</v>
      </c>
      <c r="M1470" t="s">
        <v>30205</v>
      </c>
      <c r="N1470" t="s">
        <v>32524</v>
      </c>
      <c r="O1470" t="s">
        <v>32525</v>
      </c>
      <c r="P1470">
        <v>0</v>
      </c>
      <c r="Q1470">
        <v>5</v>
      </c>
      <c r="R1470" t="s">
        <v>32526</v>
      </c>
      <c r="S1470" t="s">
        <v>32547</v>
      </c>
      <c r="T1470" t="s">
        <v>33154</v>
      </c>
      <c r="U1470" t="s">
        <v>34889</v>
      </c>
      <c r="W1470" t="s">
        <v>30205</v>
      </c>
      <c r="X1470" t="s">
        <v>32527</v>
      </c>
    </row>
    <row r="1471" spans="1:24">
      <c r="A1471">
        <f>HYPERLINK("https://www.philgeps.gov.ph/GEPSNONPILOT/Tender/SplashBidNoticeAbstractUI.aspx?menuIndex=3&amp;refID=7045936&amp;Result=3","7045936")</f>
        <v>0</v>
      </c>
      <c r="B1471" t="s">
        <v>290</v>
      </c>
      <c r="C1471" t="s">
        <v>4090</v>
      </c>
      <c r="D1471" t="s">
        <v>13011</v>
      </c>
      <c r="E1471" t="s">
        <v>14435</v>
      </c>
      <c r="F1471" t="s">
        <v>22436</v>
      </c>
      <c r="G1471" t="s">
        <v>22446</v>
      </c>
      <c r="H1471" t="s">
        <v>22452</v>
      </c>
      <c r="I1471" t="s">
        <v>2981</v>
      </c>
      <c r="J1471" t="s">
        <v>23666</v>
      </c>
      <c r="K1471" t="s">
        <v>29333</v>
      </c>
      <c r="M1471" t="s">
        <v>29864</v>
      </c>
      <c r="N1471" t="s">
        <v>32524</v>
      </c>
      <c r="O1471" t="s">
        <v>32525</v>
      </c>
      <c r="P1471">
        <v>0</v>
      </c>
      <c r="Q1471">
        <v>0</v>
      </c>
      <c r="R1471" t="s">
        <v>32526</v>
      </c>
      <c r="S1471" t="s">
        <v>32547</v>
      </c>
      <c r="T1471" t="s">
        <v>33228</v>
      </c>
      <c r="U1471" t="s">
        <v>34890</v>
      </c>
      <c r="W1471" t="s">
        <v>43676</v>
      </c>
      <c r="X1471" t="s">
        <v>32527</v>
      </c>
    </row>
    <row r="1472" spans="1:24">
      <c r="A1472">
        <f>HYPERLINK("https://www.philgeps.gov.ph/GEPSNONPILOT/Tender/SplashBidNoticeAbstractUI.aspx?menuIndex=3&amp;refID=7045944&amp;Result=3","7045944")</f>
        <v>0</v>
      </c>
      <c r="B1472" t="s">
        <v>616</v>
      </c>
      <c r="C1472" t="s">
        <v>4091</v>
      </c>
      <c r="D1472" t="s">
        <v>13013</v>
      </c>
      <c r="E1472" t="s">
        <v>14436</v>
      </c>
      <c r="F1472" t="s">
        <v>22436</v>
      </c>
      <c r="G1472" t="s">
        <v>22445</v>
      </c>
      <c r="H1472" t="s">
        <v>22452</v>
      </c>
      <c r="I1472" t="s">
        <v>22493</v>
      </c>
      <c r="J1472" t="s">
        <v>23667</v>
      </c>
      <c r="K1472" t="s">
        <v>29340</v>
      </c>
      <c r="M1472" t="s">
        <v>30206</v>
      </c>
      <c r="N1472" t="s">
        <v>32524</v>
      </c>
      <c r="O1472" t="s">
        <v>32525</v>
      </c>
      <c r="P1472">
        <v>0</v>
      </c>
      <c r="Q1472">
        <v>1</v>
      </c>
      <c r="R1472" t="s">
        <v>32526</v>
      </c>
      <c r="S1472" t="s">
        <v>32547</v>
      </c>
      <c r="T1472" t="s">
        <v>33196</v>
      </c>
      <c r="U1472" t="s">
        <v>34891</v>
      </c>
      <c r="W1472" t="s">
        <v>30206</v>
      </c>
      <c r="X1472" t="s">
        <v>32527</v>
      </c>
    </row>
    <row r="1473" spans="1:24">
      <c r="A1473">
        <f>HYPERLINK("https://www.philgeps.gov.ph/GEPSNONPILOT/Tender/SplashBidNoticeAbstractUI.aspx?menuIndex=3&amp;refID=7045932&amp;Result=3","7045932")</f>
        <v>0</v>
      </c>
      <c r="B1473" t="s">
        <v>267</v>
      </c>
      <c r="C1473" t="s">
        <v>4092</v>
      </c>
      <c r="D1473" t="s">
        <v>13032</v>
      </c>
      <c r="E1473" t="s">
        <v>14437</v>
      </c>
      <c r="F1473" t="s">
        <v>22436</v>
      </c>
      <c r="G1473" t="s">
        <v>22444</v>
      </c>
      <c r="H1473" t="s">
        <v>22452</v>
      </c>
      <c r="I1473" t="s">
        <v>22469</v>
      </c>
      <c r="J1473" t="s">
        <v>23668</v>
      </c>
      <c r="K1473" t="s">
        <v>29338</v>
      </c>
      <c r="M1473" t="s">
        <v>29841</v>
      </c>
      <c r="N1473" t="s">
        <v>32524</v>
      </c>
      <c r="O1473" t="s">
        <v>32525</v>
      </c>
      <c r="P1473">
        <v>0</v>
      </c>
      <c r="Q1473">
        <v>1</v>
      </c>
      <c r="R1473" t="s">
        <v>32526</v>
      </c>
      <c r="S1473" t="s">
        <v>32547</v>
      </c>
      <c r="T1473" t="s">
        <v>33181</v>
      </c>
      <c r="U1473" t="s">
        <v>34892</v>
      </c>
      <c r="W1473" t="s">
        <v>43690</v>
      </c>
      <c r="X1473" t="s">
        <v>32527</v>
      </c>
    </row>
    <row r="1474" spans="1:24">
      <c r="A1474">
        <f>HYPERLINK("https://www.philgeps.gov.ph/GEPSNONPILOT/Tender/SplashBidNoticeAbstractUI.aspx?menuIndex=3&amp;refID=7045941&amp;Result=3","7045941")</f>
        <v>0</v>
      </c>
      <c r="B1474" t="s">
        <v>617</v>
      </c>
      <c r="C1474" t="s">
        <v>4093</v>
      </c>
      <c r="D1474" t="s">
        <v>13018</v>
      </c>
      <c r="E1474" t="s">
        <v>13106</v>
      </c>
      <c r="F1474" t="s">
        <v>22436</v>
      </c>
      <c r="G1474" t="s">
        <v>22443</v>
      </c>
      <c r="H1474" t="s">
        <v>22452</v>
      </c>
      <c r="I1474" t="s">
        <v>5194</v>
      </c>
      <c r="J1474" t="s">
        <v>23669</v>
      </c>
      <c r="K1474" t="s">
        <v>29336</v>
      </c>
      <c r="M1474" t="s">
        <v>30207</v>
      </c>
      <c r="N1474" t="s">
        <v>32524</v>
      </c>
      <c r="O1474" t="s">
        <v>32525</v>
      </c>
      <c r="P1474">
        <v>0</v>
      </c>
      <c r="Q1474">
        <v>0</v>
      </c>
      <c r="R1474" t="s">
        <v>32526</v>
      </c>
      <c r="S1474" t="s">
        <v>32547</v>
      </c>
      <c r="T1474" t="s">
        <v>33197</v>
      </c>
      <c r="U1474" t="s">
        <v>34893</v>
      </c>
      <c r="W1474" t="s">
        <v>30207</v>
      </c>
      <c r="X1474" t="s">
        <v>32527</v>
      </c>
    </row>
    <row r="1475" spans="1:24">
      <c r="A1475">
        <f>HYPERLINK("https://www.philgeps.gov.ph/GEPSNONPILOT/Tender/SplashBidNoticeAbstractUI.aspx?menuIndex=3&amp;refID=7045940&amp;Result=3","7045940")</f>
        <v>0</v>
      </c>
      <c r="B1475" t="s">
        <v>586</v>
      </c>
      <c r="C1475" t="s">
        <v>4094</v>
      </c>
      <c r="D1475" t="s">
        <v>13045</v>
      </c>
      <c r="E1475" t="s">
        <v>14438</v>
      </c>
      <c r="F1475" t="s">
        <v>22436</v>
      </c>
      <c r="G1475" t="s">
        <v>22443</v>
      </c>
      <c r="H1475" t="s">
        <v>22452</v>
      </c>
      <c r="I1475" t="s">
        <v>3529</v>
      </c>
      <c r="J1475" t="s">
        <v>23670</v>
      </c>
      <c r="K1475" t="s">
        <v>29341</v>
      </c>
      <c r="M1475" t="s">
        <v>30176</v>
      </c>
      <c r="N1475" t="s">
        <v>32524</v>
      </c>
      <c r="O1475" t="s">
        <v>32525</v>
      </c>
      <c r="P1475">
        <v>0</v>
      </c>
      <c r="Q1475">
        <v>0</v>
      </c>
      <c r="R1475" t="s">
        <v>32526</v>
      </c>
      <c r="S1475" t="s">
        <v>32547</v>
      </c>
      <c r="T1475" t="s">
        <v>33196</v>
      </c>
      <c r="U1475" t="s">
        <v>34894</v>
      </c>
      <c r="W1475" t="s">
        <v>30176</v>
      </c>
      <c r="X1475" t="s">
        <v>32527</v>
      </c>
    </row>
    <row r="1476" spans="1:24">
      <c r="A1476">
        <f>HYPERLINK("https://www.philgeps.gov.ph/GEPSNONPILOT/Tender/SplashBidNoticeAbstractUI.aspx?menuIndex=3&amp;refID=7045937&amp;Result=3","7045937")</f>
        <v>0</v>
      </c>
      <c r="B1476" t="s">
        <v>401</v>
      </c>
      <c r="C1476" t="s">
        <v>4095</v>
      </c>
      <c r="D1476" t="s">
        <v>13044</v>
      </c>
      <c r="E1476" t="s">
        <v>14439</v>
      </c>
      <c r="F1476" t="s">
        <v>22436</v>
      </c>
      <c r="G1476" t="s">
        <v>22443</v>
      </c>
      <c r="H1476" t="s">
        <v>22452</v>
      </c>
      <c r="I1476" t="s">
        <v>3027</v>
      </c>
      <c r="J1476" t="s">
        <v>22695</v>
      </c>
      <c r="K1476" t="s">
        <v>29340</v>
      </c>
      <c r="M1476" t="s">
        <v>29980</v>
      </c>
      <c r="N1476" t="s">
        <v>32524</v>
      </c>
      <c r="O1476" t="s">
        <v>32525</v>
      </c>
      <c r="P1476">
        <v>0</v>
      </c>
      <c r="Q1476">
        <v>0</v>
      </c>
      <c r="R1476" t="s">
        <v>32526</v>
      </c>
      <c r="S1476" t="s">
        <v>32547</v>
      </c>
      <c r="T1476" t="s">
        <v>33210</v>
      </c>
      <c r="U1476" t="s">
        <v>34895</v>
      </c>
      <c r="W1476" t="s">
        <v>29980</v>
      </c>
      <c r="X1476" t="s">
        <v>32527</v>
      </c>
    </row>
    <row r="1477" spans="1:24">
      <c r="A1477">
        <f>HYPERLINK("https://www.philgeps.gov.ph/GEPSNONPILOT/Tender/SplashBidNoticeAbstractUI.aspx?menuIndex=3&amp;refID=7045946&amp;Result=3","7045946")</f>
        <v>0</v>
      </c>
      <c r="B1477" t="s">
        <v>601</v>
      </c>
      <c r="C1477" t="s">
        <v>4096</v>
      </c>
      <c r="D1477" t="s">
        <v>12988</v>
      </c>
      <c r="E1477" t="s">
        <v>14440</v>
      </c>
      <c r="F1477" t="s">
        <v>22436</v>
      </c>
      <c r="G1477" t="s">
        <v>22446</v>
      </c>
      <c r="H1477" t="s">
        <v>22452</v>
      </c>
      <c r="I1477" t="s">
        <v>3529</v>
      </c>
      <c r="J1477" t="s">
        <v>23671</v>
      </c>
      <c r="K1477" t="s">
        <v>29341</v>
      </c>
      <c r="M1477" t="s">
        <v>30191</v>
      </c>
      <c r="N1477" t="s">
        <v>32524</v>
      </c>
      <c r="O1477" t="s">
        <v>32525</v>
      </c>
      <c r="P1477">
        <v>0</v>
      </c>
      <c r="Q1477">
        <v>0</v>
      </c>
      <c r="R1477" t="s">
        <v>32526</v>
      </c>
      <c r="S1477" t="s">
        <v>32547</v>
      </c>
      <c r="T1477" t="s">
        <v>33322</v>
      </c>
      <c r="U1477" t="s">
        <v>34896</v>
      </c>
      <c r="V1477" t="s">
        <v>42562</v>
      </c>
      <c r="W1477" t="s">
        <v>30191</v>
      </c>
      <c r="X1477" t="s">
        <v>32527</v>
      </c>
    </row>
    <row r="1478" spans="1:24">
      <c r="A1478">
        <f>HYPERLINK("https://www.philgeps.gov.ph/GEPSNONPILOT/Tender/SplashBidNoticeAbstractUI.aspx?menuIndex=3&amp;refID=7045978&amp;Result=3","7045978")</f>
        <v>0</v>
      </c>
      <c r="B1478" t="s">
        <v>601</v>
      </c>
      <c r="C1478" t="s">
        <v>4097</v>
      </c>
      <c r="D1478" t="s">
        <v>12988</v>
      </c>
      <c r="E1478" t="s">
        <v>14441</v>
      </c>
      <c r="F1478" t="s">
        <v>22436</v>
      </c>
      <c r="G1478" t="s">
        <v>22446</v>
      </c>
      <c r="H1478" t="s">
        <v>22452</v>
      </c>
      <c r="I1478" t="s">
        <v>3529</v>
      </c>
      <c r="J1478" t="s">
        <v>23672</v>
      </c>
      <c r="K1478" t="s">
        <v>29341</v>
      </c>
      <c r="M1478" t="s">
        <v>30191</v>
      </c>
      <c r="N1478" t="s">
        <v>32524</v>
      </c>
      <c r="O1478" t="s">
        <v>32525</v>
      </c>
      <c r="P1478">
        <v>0</v>
      </c>
      <c r="Q1478">
        <v>0</v>
      </c>
      <c r="R1478" t="s">
        <v>32526</v>
      </c>
      <c r="S1478" t="s">
        <v>32547</v>
      </c>
      <c r="T1478" t="s">
        <v>33322</v>
      </c>
      <c r="U1478" t="s">
        <v>34897</v>
      </c>
      <c r="V1478" t="s">
        <v>42562</v>
      </c>
      <c r="W1478" t="s">
        <v>30191</v>
      </c>
      <c r="X1478" t="s">
        <v>32527</v>
      </c>
    </row>
    <row r="1479" spans="1:24">
      <c r="A1479">
        <f>HYPERLINK("https://www.philgeps.gov.ph/GEPSNONPILOT/Tender/SplashBidNoticeAbstractUI.aspx?menuIndex=3&amp;refID=7045939&amp;Result=3","7045939")</f>
        <v>0</v>
      </c>
      <c r="B1479" t="s">
        <v>592</v>
      </c>
      <c r="C1479" t="s">
        <v>4098</v>
      </c>
      <c r="D1479" t="s">
        <v>12988</v>
      </c>
      <c r="E1479" t="s">
        <v>14442</v>
      </c>
      <c r="F1479" t="s">
        <v>22436</v>
      </c>
      <c r="G1479" t="s">
        <v>22443</v>
      </c>
      <c r="H1479" t="s">
        <v>22452</v>
      </c>
      <c r="I1479" t="s">
        <v>22463</v>
      </c>
      <c r="J1479" t="s">
        <v>23234</v>
      </c>
      <c r="K1479" t="s">
        <v>29357</v>
      </c>
      <c r="M1479" t="s">
        <v>30182</v>
      </c>
      <c r="N1479" t="s">
        <v>32524</v>
      </c>
      <c r="O1479" t="s">
        <v>32525</v>
      </c>
      <c r="P1479">
        <v>0</v>
      </c>
      <c r="Q1479">
        <v>1</v>
      </c>
      <c r="R1479" t="s">
        <v>32526</v>
      </c>
      <c r="S1479" t="s">
        <v>32547</v>
      </c>
      <c r="T1479" t="s">
        <v>33154</v>
      </c>
      <c r="U1479" t="s">
        <v>34898</v>
      </c>
      <c r="V1479" t="s">
        <v>42559</v>
      </c>
      <c r="W1479" t="s">
        <v>30182</v>
      </c>
      <c r="X1479" t="s">
        <v>32527</v>
      </c>
    </row>
    <row r="1480" spans="1:24">
      <c r="A1480">
        <f>HYPERLINK("https://www.philgeps.gov.ph/GEPSNONPILOT/Tender/SplashBidNoticeAbstractUI.aspx?menuIndex=3&amp;refID=7045958&amp;Result=3","7045958")</f>
        <v>0</v>
      </c>
      <c r="B1480" t="s">
        <v>463</v>
      </c>
      <c r="C1480" t="s">
        <v>4099</v>
      </c>
      <c r="D1480" t="s">
        <v>13031</v>
      </c>
      <c r="E1480" t="s">
        <v>14443</v>
      </c>
      <c r="F1480" t="s">
        <v>22436</v>
      </c>
      <c r="G1480" t="s">
        <v>22446</v>
      </c>
      <c r="H1480" t="s">
        <v>22452</v>
      </c>
      <c r="I1480" t="s">
        <v>22459</v>
      </c>
      <c r="J1480" t="s">
        <v>22667</v>
      </c>
      <c r="K1480" t="s">
        <v>29357</v>
      </c>
      <c r="M1480" t="s">
        <v>30045</v>
      </c>
      <c r="N1480" t="s">
        <v>32524</v>
      </c>
      <c r="O1480" t="s">
        <v>32525</v>
      </c>
      <c r="P1480">
        <v>0</v>
      </c>
      <c r="Q1480">
        <v>0</v>
      </c>
      <c r="R1480" t="s">
        <v>32526</v>
      </c>
      <c r="S1480" t="s">
        <v>32547</v>
      </c>
      <c r="T1480" t="s">
        <v>33292</v>
      </c>
      <c r="U1480" t="s">
        <v>34899</v>
      </c>
      <c r="V1480" t="s">
        <v>42520</v>
      </c>
      <c r="W1480" t="s">
        <v>30045</v>
      </c>
      <c r="X1480" t="s">
        <v>32527</v>
      </c>
    </row>
    <row r="1481" spans="1:24">
      <c r="A1481">
        <f>HYPERLINK("https://www.philgeps.gov.ph/GEPSNONPILOT/Tender/SplashBidNoticeAbstractUI.aspx?menuIndex=3&amp;refID=7045976&amp;Result=3","7045976")</f>
        <v>0</v>
      </c>
      <c r="B1481" t="s">
        <v>267</v>
      </c>
      <c r="C1481" t="s">
        <v>4100</v>
      </c>
      <c r="D1481" t="s">
        <v>13032</v>
      </c>
      <c r="E1481" t="s">
        <v>14444</v>
      </c>
      <c r="F1481" t="s">
        <v>22436</v>
      </c>
      <c r="G1481" t="s">
        <v>22444</v>
      </c>
      <c r="H1481" t="s">
        <v>22452</v>
      </c>
      <c r="I1481" t="s">
        <v>22465</v>
      </c>
      <c r="J1481" t="s">
        <v>23673</v>
      </c>
      <c r="K1481" t="s">
        <v>29338</v>
      </c>
      <c r="M1481" t="s">
        <v>29841</v>
      </c>
      <c r="N1481" t="s">
        <v>32524</v>
      </c>
      <c r="O1481" t="s">
        <v>32525</v>
      </c>
      <c r="P1481">
        <v>0</v>
      </c>
      <c r="Q1481">
        <v>0</v>
      </c>
      <c r="R1481" t="s">
        <v>32526</v>
      </c>
      <c r="S1481" t="s">
        <v>32547</v>
      </c>
      <c r="T1481" t="s">
        <v>33181</v>
      </c>
      <c r="U1481" t="s">
        <v>34900</v>
      </c>
      <c r="W1481" t="s">
        <v>43690</v>
      </c>
      <c r="X1481" t="s">
        <v>32527</v>
      </c>
    </row>
    <row r="1482" spans="1:24">
      <c r="A1482">
        <f>HYPERLINK("https://www.philgeps.gov.ph/GEPSNONPILOT/Tender/SplashBidNoticeAbstractUI.aspx?menuIndex=3&amp;refID=7045950&amp;Result=3","7045950")</f>
        <v>0</v>
      </c>
      <c r="B1482" t="s">
        <v>618</v>
      </c>
      <c r="C1482" t="s">
        <v>4101</v>
      </c>
      <c r="D1482" t="s">
        <v>13056</v>
      </c>
      <c r="E1482" t="s">
        <v>14445</v>
      </c>
      <c r="F1482" t="s">
        <v>22436</v>
      </c>
      <c r="G1482" t="s">
        <v>22444</v>
      </c>
      <c r="H1482" t="s">
        <v>22452</v>
      </c>
      <c r="I1482" t="s">
        <v>3381</v>
      </c>
      <c r="J1482" t="s">
        <v>23356</v>
      </c>
      <c r="K1482" t="s">
        <v>29329</v>
      </c>
      <c r="M1482" t="s">
        <v>30208</v>
      </c>
      <c r="N1482" t="s">
        <v>32524</v>
      </c>
      <c r="O1482" t="s">
        <v>32525</v>
      </c>
      <c r="P1482">
        <v>0</v>
      </c>
      <c r="Q1482">
        <v>3</v>
      </c>
      <c r="R1482" t="s">
        <v>32526</v>
      </c>
      <c r="S1482" t="s">
        <v>32547</v>
      </c>
      <c r="T1482" t="s">
        <v>33187</v>
      </c>
      <c r="U1482" t="s">
        <v>34901</v>
      </c>
      <c r="W1482" t="s">
        <v>30208</v>
      </c>
      <c r="X1482" t="s">
        <v>32527</v>
      </c>
    </row>
    <row r="1483" spans="1:24">
      <c r="A1483">
        <f>HYPERLINK("https://www.philgeps.gov.ph/GEPSNONPILOT/Tender/SplashBidNoticeAbstractUI.aspx?menuIndex=3&amp;refID=7045977&amp;Result=3","7045977")</f>
        <v>0</v>
      </c>
      <c r="B1483" t="s">
        <v>380</v>
      </c>
      <c r="C1483" t="s">
        <v>4102</v>
      </c>
      <c r="D1483" t="s">
        <v>12996</v>
      </c>
      <c r="E1483" t="s">
        <v>14446</v>
      </c>
      <c r="F1483" t="s">
        <v>22436</v>
      </c>
      <c r="G1483" t="s">
        <v>22446</v>
      </c>
      <c r="H1483" t="s">
        <v>22452</v>
      </c>
      <c r="I1483" t="s">
        <v>22463</v>
      </c>
      <c r="J1483" t="s">
        <v>23674</v>
      </c>
      <c r="K1483" t="s">
        <v>29338</v>
      </c>
      <c r="M1483" t="s">
        <v>29958</v>
      </c>
      <c r="N1483" t="s">
        <v>32524</v>
      </c>
      <c r="O1483" t="s">
        <v>32525</v>
      </c>
      <c r="P1483">
        <v>0</v>
      </c>
      <c r="Q1483">
        <v>0</v>
      </c>
      <c r="R1483" t="s">
        <v>32526</v>
      </c>
      <c r="S1483" t="s">
        <v>32547</v>
      </c>
      <c r="T1483" t="s">
        <v>33294</v>
      </c>
      <c r="U1483" t="s">
        <v>34902</v>
      </c>
      <c r="W1483" t="s">
        <v>29958</v>
      </c>
      <c r="X1483" t="s">
        <v>32527</v>
      </c>
    </row>
    <row r="1484" spans="1:24">
      <c r="A1484">
        <f>HYPERLINK("https://www.philgeps.gov.ph/GEPSNONPILOT/Tender/SplashBidNoticeAbstractUI.aspx?menuIndex=3&amp;refID=7045974&amp;Result=3","7045974")</f>
        <v>0</v>
      </c>
      <c r="B1484" t="s">
        <v>619</v>
      </c>
      <c r="C1484" t="s">
        <v>4103</v>
      </c>
      <c r="D1484" t="s">
        <v>13039</v>
      </c>
      <c r="E1484" t="s">
        <v>13127</v>
      </c>
      <c r="F1484" t="s">
        <v>22436</v>
      </c>
      <c r="G1484" t="s">
        <v>22444</v>
      </c>
      <c r="H1484" t="s">
        <v>22452</v>
      </c>
      <c r="I1484" t="s">
        <v>3529</v>
      </c>
      <c r="J1484" t="s">
        <v>23675</v>
      </c>
      <c r="K1484" t="s">
        <v>29336</v>
      </c>
      <c r="L1484" t="s">
        <v>619</v>
      </c>
      <c r="M1484" t="s">
        <v>30209</v>
      </c>
      <c r="N1484" t="s">
        <v>32524</v>
      </c>
      <c r="O1484" t="s">
        <v>32525</v>
      </c>
      <c r="P1484">
        <v>0</v>
      </c>
      <c r="Q1484">
        <v>0</v>
      </c>
      <c r="R1484" t="s">
        <v>32526</v>
      </c>
      <c r="S1484" t="s">
        <v>32547</v>
      </c>
      <c r="T1484" t="s">
        <v>33155</v>
      </c>
      <c r="U1484" t="s">
        <v>34903</v>
      </c>
      <c r="W1484" t="s">
        <v>30209</v>
      </c>
      <c r="X1484" t="s">
        <v>32527</v>
      </c>
    </row>
    <row r="1485" spans="1:24">
      <c r="A1485">
        <f>HYPERLINK("https://www.philgeps.gov.ph/GEPSNONPILOT/Tender/SplashBidNoticeAbstractUI.aspx?menuIndex=3&amp;refID=7045973&amp;Result=3","7045973")</f>
        <v>0</v>
      </c>
      <c r="B1485" t="s">
        <v>620</v>
      </c>
      <c r="C1485" t="s">
        <v>4104</v>
      </c>
      <c r="D1485" t="s">
        <v>13006</v>
      </c>
      <c r="E1485" t="s">
        <v>14447</v>
      </c>
      <c r="F1485" t="s">
        <v>22436</v>
      </c>
      <c r="G1485" t="s">
        <v>22446</v>
      </c>
      <c r="H1485" t="s">
        <v>22452</v>
      </c>
      <c r="I1485" t="s">
        <v>3840</v>
      </c>
      <c r="J1485" t="s">
        <v>23524</v>
      </c>
      <c r="K1485" t="s">
        <v>29336</v>
      </c>
      <c r="M1485" t="s">
        <v>30210</v>
      </c>
      <c r="N1485" t="s">
        <v>32524</v>
      </c>
      <c r="O1485" t="s">
        <v>32525</v>
      </c>
      <c r="P1485">
        <v>0</v>
      </c>
      <c r="Q1485">
        <v>1</v>
      </c>
      <c r="R1485" t="s">
        <v>32526</v>
      </c>
      <c r="S1485" t="s">
        <v>32547</v>
      </c>
      <c r="T1485" t="s">
        <v>33154</v>
      </c>
      <c r="U1485" t="s">
        <v>34904</v>
      </c>
      <c r="W1485" t="s">
        <v>30210</v>
      </c>
      <c r="X1485" t="s">
        <v>32527</v>
      </c>
    </row>
    <row r="1486" spans="1:24">
      <c r="A1486">
        <f>HYPERLINK("https://www.philgeps.gov.ph/GEPSNONPILOT/Tender/SplashBidNoticeAbstractUI.aspx?menuIndex=3&amp;refID=7045942&amp;Result=3","7045942")</f>
        <v>0</v>
      </c>
      <c r="B1486" t="s">
        <v>380</v>
      </c>
      <c r="C1486" t="s">
        <v>4105</v>
      </c>
      <c r="D1486" t="s">
        <v>12996</v>
      </c>
      <c r="E1486" t="s">
        <v>14448</v>
      </c>
      <c r="F1486" t="s">
        <v>22436</v>
      </c>
      <c r="G1486" t="s">
        <v>22446</v>
      </c>
      <c r="H1486" t="s">
        <v>22452</v>
      </c>
      <c r="I1486" t="s">
        <v>22463</v>
      </c>
      <c r="J1486" t="s">
        <v>23676</v>
      </c>
      <c r="K1486" t="s">
        <v>29338</v>
      </c>
      <c r="M1486" t="s">
        <v>29958</v>
      </c>
      <c r="N1486" t="s">
        <v>32524</v>
      </c>
      <c r="O1486" t="s">
        <v>32525</v>
      </c>
      <c r="P1486">
        <v>0</v>
      </c>
      <c r="Q1486">
        <v>2</v>
      </c>
      <c r="R1486" t="s">
        <v>32526</v>
      </c>
      <c r="S1486" t="s">
        <v>32547</v>
      </c>
      <c r="T1486" t="s">
        <v>33294</v>
      </c>
      <c r="U1486" t="s">
        <v>34905</v>
      </c>
      <c r="W1486" t="s">
        <v>29958</v>
      </c>
      <c r="X1486" t="s">
        <v>32527</v>
      </c>
    </row>
    <row r="1487" spans="1:24">
      <c r="A1487">
        <f>HYPERLINK("https://www.philgeps.gov.ph/GEPSNONPILOT/Tender/SplashBidNoticeAbstractUI.aspx?menuIndex=3&amp;refID=7045970&amp;Result=3","7045970")</f>
        <v>0</v>
      </c>
      <c r="B1487" t="s">
        <v>238</v>
      </c>
      <c r="C1487" t="s">
        <v>4106</v>
      </c>
      <c r="D1487" t="s">
        <v>12991</v>
      </c>
      <c r="E1487" t="s">
        <v>14449</v>
      </c>
      <c r="F1487" t="s">
        <v>22436</v>
      </c>
      <c r="G1487" t="s">
        <v>22444</v>
      </c>
      <c r="H1487" t="s">
        <v>22452</v>
      </c>
      <c r="I1487" t="s">
        <v>22460</v>
      </c>
      <c r="J1487" t="s">
        <v>23677</v>
      </c>
      <c r="K1487" t="s">
        <v>29331</v>
      </c>
      <c r="M1487" t="s">
        <v>29811</v>
      </c>
      <c r="N1487" t="s">
        <v>32524</v>
      </c>
      <c r="O1487" t="s">
        <v>32525</v>
      </c>
      <c r="P1487">
        <v>0</v>
      </c>
      <c r="Q1487">
        <v>0</v>
      </c>
      <c r="R1487" t="s">
        <v>32526</v>
      </c>
      <c r="S1487" t="s">
        <v>32547</v>
      </c>
      <c r="T1487" t="s">
        <v>33244</v>
      </c>
      <c r="U1487" t="s">
        <v>34065</v>
      </c>
      <c r="W1487" t="s">
        <v>29811</v>
      </c>
      <c r="X1487" t="s">
        <v>32527</v>
      </c>
    </row>
    <row r="1488" spans="1:24">
      <c r="A1488">
        <f>HYPERLINK("https://www.philgeps.gov.ph/GEPSNONPILOT/Tender/SplashBidNoticeAbstractUI.aspx?menuIndex=3&amp;refID=7045943&amp;Result=3","7045943")</f>
        <v>0</v>
      </c>
      <c r="B1488" t="s">
        <v>434</v>
      </c>
      <c r="C1488" t="s">
        <v>4107</v>
      </c>
      <c r="D1488" t="s">
        <v>13007</v>
      </c>
      <c r="E1488" t="s">
        <v>14450</v>
      </c>
      <c r="F1488" t="s">
        <v>22436</v>
      </c>
      <c r="G1488" t="s">
        <v>22443</v>
      </c>
      <c r="H1488" t="s">
        <v>22452</v>
      </c>
      <c r="I1488" t="s">
        <v>2962</v>
      </c>
      <c r="J1488" t="s">
        <v>22929</v>
      </c>
      <c r="K1488" t="s">
        <v>29335</v>
      </c>
      <c r="M1488" t="s">
        <v>30015</v>
      </c>
      <c r="N1488" t="s">
        <v>32524</v>
      </c>
      <c r="O1488" t="s">
        <v>32525</v>
      </c>
      <c r="P1488">
        <v>0</v>
      </c>
      <c r="Q1488">
        <v>0</v>
      </c>
      <c r="R1488" t="s">
        <v>32526</v>
      </c>
      <c r="S1488" t="s">
        <v>32547</v>
      </c>
      <c r="T1488" t="s">
        <v>33167</v>
      </c>
      <c r="U1488" t="s">
        <v>34488</v>
      </c>
      <c r="V1488" t="s">
        <v>42512</v>
      </c>
      <c r="W1488" t="s">
        <v>30015</v>
      </c>
      <c r="X1488" t="s">
        <v>32527</v>
      </c>
    </row>
    <row r="1489" spans="1:24">
      <c r="A1489">
        <f>HYPERLINK("https://www.philgeps.gov.ph/GEPSNONPILOT/Tender/SplashBidNoticeAbstractUI.aspx?menuIndex=3&amp;refID=7045965&amp;Result=3","7045965")</f>
        <v>0</v>
      </c>
      <c r="B1489" t="s">
        <v>601</v>
      </c>
      <c r="C1489" t="s">
        <v>4108</v>
      </c>
      <c r="D1489" t="s">
        <v>12988</v>
      </c>
      <c r="E1489" t="s">
        <v>14451</v>
      </c>
      <c r="F1489" t="s">
        <v>22436</v>
      </c>
      <c r="G1489" t="s">
        <v>22446</v>
      </c>
      <c r="H1489" t="s">
        <v>22452</v>
      </c>
      <c r="I1489" t="s">
        <v>3529</v>
      </c>
      <c r="J1489" t="s">
        <v>23678</v>
      </c>
      <c r="K1489" t="s">
        <v>29341</v>
      </c>
      <c r="M1489" t="s">
        <v>30191</v>
      </c>
      <c r="N1489" t="s">
        <v>32524</v>
      </c>
      <c r="O1489" t="s">
        <v>32525</v>
      </c>
      <c r="P1489">
        <v>0</v>
      </c>
      <c r="Q1489">
        <v>0</v>
      </c>
      <c r="R1489" t="s">
        <v>32526</v>
      </c>
      <c r="S1489" t="s">
        <v>32547</v>
      </c>
      <c r="T1489" t="s">
        <v>33322</v>
      </c>
      <c r="U1489" t="s">
        <v>34906</v>
      </c>
      <c r="V1489" t="s">
        <v>42562</v>
      </c>
      <c r="W1489" t="s">
        <v>30191</v>
      </c>
      <c r="X1489" t="s">
        <v>32527</v>
      </c>
    </row>
    <row r="1490" spans="1:24">
      <c r="A1490">
        <f>HYPERLINK("https://www.philgeps.gov.ph/GEPSNONPILOT/Tender/SplashBidNoticeAbstractUI.aspx?menuIndex=3&amp;refID=7045964&amp;Result=3","7045964")</f>
        <v>0</v>
      </c>
      <c r="B1490" t="s">
        <v>267</v>
      </c>
      <c r="C1490" t="s">
        <v>4109</v>
      </c>
      <c r="D1490" t="s">
        <v>13032</v>
      </c>
      <c r="E1490" t="s">
        <v>14452</v>
      </c>
      <c r="F1490" t="s">
        <v>22436</v>
      </c>
      <c r="G1490" t="s">
        <v>22444</v>
      </c>
      <c r="H1490" t="s">
        <v>22452</v>
      </c>
      <c r="I1490" t="s">
        <v>3529</v>
      </c>
      <c r="J1490" t="s">
        <v>23679</v>
      </c>
      <c r="K1490" t="s">
        <v>29338</v>
      </c>
      <c r="M1490" t="s">
        <v>29841</v>
      </c>
      <c r="N1490" t="s">
        <v>32524</v>
      </c>
      <c r="O1490" t="s">
        <v>32525</v>
      </c>
      <c r="P1490">
        <v>0</v>
      </c>
      <c r="Q1490">
        <v>1</v>
      </c>
      <c r="R1490" t="s">
        <v>32526</v>
      </c>
      <c r="S1490" t="s">
        <v>32547</v>
      </c>
      <c r="T1490" t="s">
        <v>33181</v>
      </c>
      <c r="U1490" t="s">
        <v>34907</v>
      </c>
      <c r="W1490" t="s">
        <v>43690</v>
      </c>
      <c r="X1490" t="s">
        <v>32527</v>
      </c>
    </row>
    <row r="1491" spans="1:24">
      <c r="A1491">
        <f>HYPERLINK("https://www.philgeps.gov.ph/GEPSNONPILOT/Tender/SplashBidNoticeAbstractUI.aspx?menuIndex=3&amp;refID=7045971&amp;Result=3","7045971")</f>
        <v>0</v>
      </c>
      <c r="B1491" t="s">
        <v>280</v>
      </c>
      <c r="C1491" t="s">
        <v>4110</v>
      </c>
      <c r="D1491" t="s">
        <v>13055</v>
      </c>
      <c r="E1491" t="s">
        <v>14453</v>
      </c>
      <c r="F1491" t="s">
        <v>22436</v>
      </c>
      <c r="G1491" t="s">
        <v>22443</v>
      </c>
      <c r="H1491" t="s">
        <v>22452</v>
      </c>
      <c r="I1491" t="s">
        <v>22460</v>
      </c>
      <c r="J1491" t="s">
        <v>22766</v>
      </c>
      <c r="K1491" t="s">
        <v>29336</v>
      </c>
      <c r="M1491" t="s">
        <v>29854</v>
      </c>
      <c r="N1491" t="s">
        <v>32524</v>
      </c>
      <c r="O1491" t="s">
        <v>32525</v>
      </c>
      <c r="P1491">
        <v>0</v>
      </c>
      <c r="Q1491">
        <v>0</v>
      </c>
      <c r="R1491" t="s">
        <v>32526</v>
      </c>
      <c r="S1491" t="s">
        <v>32547</v>
      </c>
      <c r="T1491" t="s">
        <v>33181</v>
      </c>
      <c r="U1491" t="s">
        <v>34804</v>
      </c>
      <c r="V1491" t="s">
        <v>42486</v>
      </c>
      <c r="W1491" t="s">
        <v>29854</v>
      </c>
      <c r="X1491" t="s">
        <v>32527</v>
      </c>
    </row>
    <row r="1492" spans="1:24">
      <c r="A1492">
        <f>HYPERLINK("https://www.philgeps.gov.ph/GEPSNONPILOT/Tender/SplashBidNoticeAbstractUI.aspx?menuIndex=3&amp;refID=7045961&amp;Result=3","7045961")</f>
        <v>0</v>
      </c>
      <c r="B1492" t="s">
        <v>223</v>
      </c>
      <c r="C1492" t="s">
        <v>3120</v>
      </c>
      <c r="D1492" t="s">
        <v>13024</v>
      </c>
      <c r="E1492" t="s">
        <v>14454</v>
      </c>
      <c r="F1492" t="s">
        <v>22436</v>
      </c>
      <c r="G1492" t="s">
        <v>22446</v>
      </c>
      <c r="H1492" t="s">
        <v>22452</v>
      </c>
      <c r="I1492" t="s">
        <v>22460</v>
      </c>
      <c r="J1492" t="s">
        <v>23191</v>
      </c>
      <c r="K1492" t="s">
        <v>29336</v>
      </c>
      <c r="M1492" t="s">
        <v>29796</v>
      </c>
      <c r="N1492" t="s">
        <v>32524</v>
      </c>
      <c r="O1492" t="s">
        <v>32525</v>
      </c>
      <c r="P1492">
        <v>0</v>
      </c>
      <c r="Q1492">
        <v>0</v>
      </c>
      <c r="R1492" t="s">
        <v>32526</v>
      </c>
      <c r="S1492" t="s">
        <v>32547</v>
      </c>
      <c r="T1492" t="s">
        <v>33180</v>
      </c>
      <c r="U1492" t="s">
        <v>34908</v>
      </c>
      <c r="W1492" t="s">
        <v>29796</v>
      </c>
      <c r="X1492" t="s">
        <v>32527</v>
      </c>
    </row>
    <row r="1493" spans="1:24">
      <c r="A1493">
        <f>HYPERLINK("https://www.philgeps.gov.ph/GEPSNONPILOT/Tender/SplashBidNoticeAbstractUI.aspx?menuIndex=3&amp;refID=7045969&amp;Result=3","7045969")</f>
        <v>0</v>
      </c>
      <c r="B1493" t="s">
        <v>621</v>
      </c>
      <c r="C1493" t="s">
        <v>4111</v>
      </c>
      <c r="D1493" t="s">
        <v>12988</v>
      </c>
      <c r="E1493" t="s">
        <v>14455</v>
      </c>
      <c r="F1493" t="s">
        <v>22436</v>
      </c>
      <c r="G1493" t="s">
        <v>22443</v>
      </c>
      <c r="H1493" t="s">
        <v>22452</v>
      </c>
      <c r="I1493" t="s">
        <v>22466</v>
      </c>
      <c r="J1493" t="s">
        <v>23680</v>
      </c>
      <c r="K1493" t="s">
        <v>29336</v>
      </c>
      <c r="M1493" t="s">
        <v>30211</v>
      </c>
      <c r="N1493" t="s">
        <v>32524</v>
      </c>
      <c r="O1493" t="s">
        <v>32525</v>
      </c>
      <c r="P1493">
        <v>0</v>
      </c>
      <c r="Q1493">
        <v>4</v>
      </c>
      <c r="R1493" t="s">
        <v>32526</v>
      </c>
      <c r="S1493" t="s">
        <v>32547</v>
      </c>
      <c r="T1493" t="s">
        <v>33180</v>
      </c>
      <c r="U1493" t="s">
        <v>34909</v>
      </c>
      <c r="W1493" t="s">
        <v>30211</v>
      </c>
      <c r="X1493" t="s">
        <v>32527</v>
      </c>
    </row>
    <row r="1494" spans="1:24">
      <c r="A1494">
        <f>HYPERLINK("https://www.philgeps.gov.ph/GEPSNONPILOT/Tender/SplashBidNoticeAbstractUI.aspx?menuIndex=3&amp;refID=7045963&amp;Result=3","7045963")</f>
        <v>0</v>
      </c>
      <c r="B1494" t="s">
        <v>407</v>
      </c>
      <c r="C1494" t="s">
        <v>4112</v>
      </c>
      <c r="D1494" t="s">
        <v>12997</v>
      </c>
      <c r="E1494" t="s">
        <v>14456</v>
      </c>
      <c r="F1494" t="s">
        <v>22436</v>
      </c>
      <c r="G1494" t="s">
        <v>22443</v>
      </c>
      <c r="H1494" t="s">
        <v>22452</v>
      </c>
      <c r="I1494" t="s">
        <v>3122</v>
      </c>
      <c r="J1494" t="s">
        <v>23681</v>
      </c>
      <c r="K1494" t="s">
        <v>29356</v>
      </c>
      <c r="M1494" t="s">
        <v>29986</v>
      </c>
      <c r="N1494" t="s">
        <v>32524</v>
      </c>
      <c r="O1494" t="s">
        <v>32525</v>
      </c>
      <c r="P1494">
        <v>0</v>
      </c>
      <c r="Q1494">
        <v>0</v>
      </c>
      <c r="R1494" t="s">
        <v>32526</v>
      </c>
      <c r="S1494" t="s">
        <v>32547</v>
      </c>
      <c r="T1494" t="s">
        <v>33196</v>
      </c>
      <c r="U1494" t="s">
        <v>34433</v>
      </c>
      <c r="W1494" t="s">
        <v>29986</v>
      </c>
      <c r="X1494" t="s">
        <v>32527</v>
      </c>
    </row>
    <row r="1495" spans="1:24">
      <c r="A1495">
        <f>HYPERLINK("https://www.philgeps.gov.ph/GEPSNONPILOT/Tender/SplashBidNoticeAbstractUI.aspx?menuIndex=3&amp;refID=7045957&amp;Result=3","7045957")</f>
        <v>0</v>
      </c>
      <c r="B1495" t="s">
        <v>622</v>
      </c>
      <c r="C1495" t="s">
        <v>4113</v>
      </c>
      <c r="D1495" t="s">
        <v>12996</v>
      </c>
      <c r="E1495" t="s">
        <v>14457</v>
      </c>
      <c r="F1495" t="s">
        <v>22436</v>
      </c>
      <c r="G1495" t="s">
        <v>22443</v>
      </c>
      <c r="H1495" t="s">
        <v>22452</v>
      </c>
      <c r="I1495" t="s">
        <v>3529</v>
      </c>
      <c r="J1495" t="s">
        <v>23467</v>
      </c>
      <c r="K1495" t="s">
        <v>29331</v>
      </c>
      <c r="M1495" t="s">
        <v>30212</v>
      </c>
      <c r="N1495" t="s">
        <v>32524</v>
      </c>
      <c r="O1495" t="s">
        <v>32525</v>
      </c>
      <c r="P1495">
        <v>0</v>
      </c>
      <c r="Q1495">
        <v>0</v>
      </c>
      <c r="R1495" t="s">
        <v>32526</v>
      </c>
      <c r="S1495" t="s">
        <v>32547</v>
      </c>
      <c r="T1495" t="s">
        <v>33311</v>
      </c>
      <c r="U1495" t="s">
        <v>34910</v>
      </c>
      <c r="V1495" t="s">
        <v>42566</v>
      </c>
      <c r="W1495" t="s">
        <v>30212</v>
      </c>
      <c r="X1495" t="s">
        <v>32527</v>
      </c>
    </row>
    <row r="1496" spans="1:24">
      <c r="A1496">
        <f>HYPERLINK("https://www.philgeps.gov.ph/GEPSNONPILOT/Tender/SplashBidNoticeAbstractUI.aspx?menuIndex=3&amp;refID=7045972&amp;Result=3","7045972")</f>
        <v>0</v>
      </c>
      <c r="B1496" t="s">
        <v>584</v>
      </c>
      <c r="C1496" t="s">
        <v>4114</v>
      </c>
      <c r="D1496" t="s">
        <v>12988</v>
      </c>
      <c r="E1496" t="s">
        <v>14458</v>
      </c>
      <c r="F1496" t="s">
        <v>22436</v>
      </c>
      <c r="G1496" t="s">
        <v>22443</v>
      </c>
      <c r="H1496" t="s">
        <v>22452</v>
      </c>
      <c r="I1496" t="s">
        <v>22482</v>
      </c>
      <c r="J1496" t="s">
        <v>23682</v>
      </c>
      <c r="K1496" t="s">
        <v>29335</v>
      </c>
      <c r="M1496" t="s">
        <v>30174</v>
      </c>
      <c r="N1496" t="s">
        <v>32524</v>
      </c>
      <c r="O1496" t="s">
        <v>32525</v>
      </c>
      <c r="P1496">
        <v>0</v>
      </c>
      <c r="Q1496">
        <v>20</v>
      </c>
      <c r="R1496" t="s">
        <v>32526</v>
      </c>
      <c r="S1496" t="s">
        <v>32547</v>
      </c>
      <c r="T1496" t="s">
        <v>33314</v>
      </c>
      <c r="U1496" t="s">
        <v>34828</v>
      </c>
      <c r="W1496" t="s">
        <v>30174</v>
      </c>
      <c r="X1496" t="s">
        <v>32527</v>
      </c>
    </row>
    <row r="1497" spans="1:24">
      <c r="A1497">
        <f>HYPERLINK("https://www.philgeps.gov.ph/GEPSNONPILOT/Tender/SplashBidNoticeAbstractUI.aspx?menuIndex=3&amp;refID=7045960&amp;Result=3","7045960")</f>
        <v>0</v>
      </c>
      <c r="B1497" t="s">
        <v>124</v>
      </c>
      <c r="C1497" t="s">
        <v>4115</v>
      </c>
      <c r="D1497" t="s">
        <v>13031</v>
      </c>
      <c r="E1497" t="s">
        <v>14459</v>
      </c>
      <c r="F1497" t="s">
        <v>22436</v>
      </c>
      <c r="G1497" t="s">
        <v>22444</v>
      </c>
      <c r="H1497" t="s">
        <v>22452</v>
      </c>
      <c r="I1497" t="s">
        <v>22474</v>
      </c>
      <c r="J1497" t="s">
        <v>23120</v>
      </c>
      <c r="K1497" t="s">
        <v>29338</v>
      </c>
      <c r="M1497" t="s">
        <v>30213</v>
      </c>
      <c r="N1497" t="s">
        <v>32524</v>
      </c>
      <c r="O1497" t="s">
        <v>32525</v>
      </c>
      <c r="P1497">
        <v>0</v>
      </c>
      <c r="Q1497">
        <v>1</v>
      </c>
      <c r="R1497" t="s">
        <v>32526</v>
      </c>
      <c r="S1497" t="s">
        <v>32547</v>
      </c>
      <c r="T1497" t="s">
        <v>33252</v>
      </c>
      <c r="U1497" t="s">
        <v>34911</v>
      </c>
      <c r="W1497" t="s">
        <v>30213</v>
      </c>
      <c r="X1497" t="s">
        <v>32527</v>
      </c>
    </row>
    <row r="1498" spans="1:24">
      <c r="A1498">
        <f>HYPERLINK("https://www.philgeps.gov.ph/GEPSNONPILOT/Tender/SplashBidNoticeAbstractUI.aspx?menuIndex=3&amp;refID=7045956&amp;Result=3","7045956")</f>
        <v>0</v>
      </c>
      <c r="B1498" t="s">
        <v>267</v>
      </c>
      <c r="C1498" t="s">
        <v>4116</v>
      </c>
      <c r="D1498" t="s">
        <v>13032</v>
      </c>
      <c r="E1498" t="s">
        <v>14460</v>
      </c>
      <c r="F1498" t="s">
        <v>22436</v>
      </c>
      <c r="G1498" t="s">
        <v>22444</v>
      </c>
      <c r="H1498" t="s">
        <v>22452</v>
      </c>
      <c r="I1498" t="s">
        <v>22460</v>
      </c>
      <c r="J1498" t="s">
        <v>23683</v>
      </c>
      <c r="K1498" t="s">
        <v>29338</v>
      </c>
      <c r="M1498" t="s">
        <v>29841</v>
      </c>
      <c r="N1498" t="s">
        <v>32524</v>
      </c>
      <c r="O1498" t="s">
        <v>32525</v>
      </c>
      <c r="P1498">
        <v>0</v>
      </c>
      <c r="Q1498">
        <v>0</v>
      </c>
      <c r="R1498" t="s">
        <v>32526</v>
      </c>
      <c r="S1498" t="s">
        <v>32547</v>
      </c>
      <c r="T1498" t="s">
        <v>33181</v>
      </c>
      <c r="U1498" t="s">
        <v>34912</v>
      </c>
      <c r="W1498" t="s">
        <v>43690</v>
      </c>
      <c r="X1498" t="s">
        <v>32527</v>
      </c>
    </row>
    <row r="1499" spans="1:24">
      <c r="A1499">
        <f>HYPERLINK("https://www.philgeps.gov.ph/GEPSNONPILOT/Tender/SplashBidNoticeAbstractUI.aspx?menuIndex=3&amp;refID=7045959&amp;Result=3","7045959")</f>
        <v>0</v>
      </c>
      <c r="B1499" t="s">
        <v>433</v>
      </c>
      <c r="C1499" t="s">
        <v>4117</v>
      </c>
      <c r="D1499" t="s">
        <v>13015</v>
      </c>
      <c r="E1499" t="s">
        <v>14461</v>
      </c>
      <c r="F1499" t="s">
        <v>22436</v>
      </c>
      <c r="G1499" t="s">
        <v>22443</v>
      </c>
      <c r="H1499" t="s">
        <v>22452</v>
      </c>
      <c r="I1499" t="s">
        <v>22469</v>
      </c>
      <c r="J1499" t="s">
        <v>23684</v>
      </c>
      <c r="K1499" t="s">
        <v>29338</v>
      </c>
      <c r="M1499" t="s">
        <v>30014</v>
      </c>
      <c r="N1499" t="s">
        <v>32524</v>
      </c>
      <c r="O1499" t="s">
        <v>32525</v>
      </c>
      <c r="P1499">
        <v>0</v>
      </c>
      <c r="Q1499">
        <v>1</v>
      </c>
      <c r="R1499" t="s">
        <v>32526</v>
      </c>
      <c r="S1499" t="s">
        <v>32547</v>
      </c>
      <c r="T1499" t="s">
        <v>33186</v>
      </c>
      <c r="U1499" t="s">
        <v>34782</v>
      </c>
      <c r="W1499" t="s">
        <v>30014</v>
      </c>
      <c r="X1499" t="s">
        <v>32527</v>
      </c>
    </row>
    <row r="1500" spans="1:24">
      <c r="A1500">
        <f>HYPERLINK("https://www.philgeps.gov.ph/GEPSNONPILOT/Tender/SplashBidNoticeAbstractUI.aspx?menuIndex=3&amp;refID=7045967&amp;Result=3","7045967")</f>
        <v>0</v>
      </c>
      <c r="B1500" t="s">
        <v>394</v>
      </c>
      <c r="C1500" t="s">
        <v>4118</v>
      </c>
      <c r="D1500" t="s">
        <v>13060</v>
      </c>
      <c r="E1500" t="s">
        <v>14462</v>
      </c>
      <c r="F1500" t="s">
        <v>22436</v>
      </c>
      <c r="G1500" t="s">
        <v>22443</v>
      </c>
      <c r="H1500" t="s">
        <v>22452</v>
      </c>
      <c r="I1500" t="s">
        <v>3529</v>
      </c>
      <c r="J1500" t="s">
        <v>23685</v>
      </c>
      <c r="K1500" t="s">
        <v>29357</v>
      </c>
      <c r="M1500" t="s">
        <v>29973</v>
      </c>
      <c r="N1500" t="s">
        <v>32524</v>
      </c>
      <c r="O1500" t="s">
        <v>32525</v>
      </c>
      <c r="P1500">
        <v>0</v>
      </c>
      <c r="Q1500">
        <v>0</v>
      </c>
      <c r="R1500" t="s">
        <v>32526</v>
      </c>
      <c r="S1500" t="s">
        <v>32547</v>
      </c>
      <c r="T1500" t="s">
        <v>33167</v>
      </c>
      <c r="U1500" t="s">
        <v>34913</v>
      </c>
      <c r="W1500" t="s">
        <v>29973</v>
      </c>
      <c r="X1500" t="s">
        <v>32527</v>
      </c>
    </row>
    <row r="1501" spans="1:24">
      <c r="A1501">
        <f>HYPERLINK("https://www.philgeps.gov.ph/GEPSNONPILOT/Tender/SplashBidNoticeAbstractUI.aspx?menuIndex=3&amp;refID=7045968&amp;Result=3","7045968")</f>
        <v>0</v>
      </c>
      <c r="B1501" t="s">
        <v>577</v>
      </c>
      <c r="C1501" t="s">
        <v>4119</v>
      </c>
      <c r="D1501" t="s">
        <v>13058</v>
      </c>
      <c r="E1501" t="s">
        <v>14463</v>
      </c>
      <c r="F1501" t="s">
        <v>22436</v>
      </c>
      <c r="G1501" t="s">
        <v>22444</v>
      </c>
      <c r="H1501" t="s">
        <v>22452</v>
      </c>
      <c r="I1501" t="s">
        <v>3529</v>
      </c>
      <c r="J1501" t="s">
        <v>23686</v>
      </c>
      <c r="K1501" t="s">
        <v>29341</v>
      </c>
      <c r="M1501" t="s">
        <v>30165</v>
      </c>
      <c r="N1501" t="s">
        <v>32524</v>
      </c>
      <c r="O1501" t="s">
        <v>32525</v>
      </c>
      <c r="P1501">
        <v>0</v>
      </c>
      <c r="Q1501">
        <v>0</v>
      </c>
      <c r="R1501" t="s">
        <v>32526</v>
      </c>
      <c r="S1501" t="s">
        <v>32547</v>
      </c>
      <c r="T1501" t="s">
        <v>33319</v>
      </c>
      <c r="U1501" t="s">
        <v>34914</v>
      </c>
      <c r="W1501" t="s">
        <v>30165</v>
      </c>
      <c r="X1501" t="s">
        <v>32527</v>
      </c>
    </row>
    <row r="1502" spans="1:24">
      <c r="A1502">
        <f>HYPERLINK("https://www.philgeps.gov.ph/GEPSNONPILOT/Tender/SplashBidNoticeAbstractUI.aspx?menuIndex=3&amp;refID=7045979&amp;Result=3","7045979")</f>
        <v>0</v>
      </c>
      <c r="B1502" t="s">
        <v>623</v>
      </c>
      <c r="C1502" t="s">
        <v>4120</v>
      </c>
      <c r="E1502" t="s">
        <v>14464</v>
      </c>
      <c r="F1502" t="s">
        <v>22436</v>
      </c>
      <c r="G1502" t="s">
        <v>22443</v>
      </c>
      <c r="H1502" t="s">
        <v>22452</v>
      </c>
      <c r="I1502" t="s">
        <v>3122</v>
      </c>
      <c r="J1502" t="s">
        <v>23687</v>
      </c>
      <c r="K1502" t="s">
        <v>29338</v>
      </c>
      <c r="M1502" t="s">
        <v>30214</v>
      </c>
      <c r="N1502" t="s">
        <v>32524</v>
      </c>
      <c r="O1502" t="s">
        <v>32525</v>
      </c>
      <c r="P1502">
        <v>0</v>
      </c>
      <c r="Q1502">
        <v>0</v>
      </c>
      <c r="R1502" t="s">
        <v>32526</v>
      </c>
      <c r="S1502" t="s">
        <v>32547</v>
      </c>
      <c r="T1502" t="s">
        <v>33155</v>
      </c>
      <c r="U1502" t="s">
        <v>34915</v>
      </c>
      <c r="W1502" t="s">
        <v>30214</v>
      </c>
      <c r="X1502" t="s">
        <v>32527</v>
      </c>
    </row>
    <row r="1503" spans="1:24">
      <c r="A1503">
        <f>HYPERLINK("https://www.philgeps.gov.ph/GEPSNONPILOT/Tender/SplashBidNoticeAbstractUI.aspx?menuIndex=3&amp;refID=7046000&amp;Result=3","7046000")</f>
        <v>0</v>
      </c>
      <c r="B1503" t="s">
        <v>123</v>
      </c>
      <c r="C1503" t="s">
        <v>4121</v>
      </c>
      <c r="D1503" t="s">
        <v>13018</v>
      </c>
      <c r="E1503" t="s">
        <v>14465</v>
      </c>
      <c r="F1503" t="s">
        <v>22436</v>
      </c>
      <c r="G1503" t="s">
        <v>22445</v>
      </c>
      <c r="H1503" t="s">
        <v>22452</v>
      </c>
      <c r="I1503" t="s">
        <v>22466</v>
      </c>
      <c r="J1503" t="s">
        <v>23688</v>
      </c>
      <c r="K1503" t="s">
        <v>29340</v>
      </c>
      <c r="L1503" t="s">
        <v>123</v>
      </c>
      <c r="M1503" t="s">
        <v>29695</v>
      </c>
      <c r="N1503" t="s">
        <v>32524</v>
      </c>
      <c r="O1503" t="s">
        <v>32525</v>
      </c>
      <c r="P1503">
        <v>0</v>
      </c>
      <c r="Q1503">
        <v>0</v>
      </c>
      <c r="R1503" t="s">
        <v>32526</v>
      </c>
      <c r="S1503" t="s">
        <v>32547</v>
      </c>
      <c r="T1503" t="s">
        <v>33324</v>
      </c>
      <c r="U1503" t="s">
        <v>34916</v>
      </c>
      <c r="W1503" t="s">
        <v>29695</v>
      </c>
      <c r="X1503" t="s">
        <v>32527</v>
      </c>
    </row>
    <row r="1504" spans="1:24">
      <c r="A1504">
        <f>HYPERLINK("https://www.philgeps.gov.ph/GEPSNONPILOT/Tender/SplashBidNoticeAbstractUI.aspx?menuIndex=3&amp;refID=7045994&amp;Result=3","7045994")</f>
        <v>0</v>
      </c>
      <c r="B1504" t="s">
        <v>623</v>
      </c>
      <c r="C1504" t="s">
        <v>4122</v>
      </c>
      <c r="E1504" t="s">
        <v>14466</v>
      </c>
      <c r="F1504" t="s">
        <v>22436</v>
      </c>
      <c r="G1504" t="s">
        <v>22443</v>
      </c>
      <c r="H1504" t="s">
        <v>22452</v>
      </c>
      <c r="I1504" t="s">
        <v>22467</v>
      </c>
      <c r="J1504" t="s">
        <v>23689</v>
      </c>
      <c r="K1504" t="s">
        <v>29338</v>
      </c>
      <c r="M1504" t="s">
        <v>30214</v>
      </c>
      <c r="N1504" t="s">
        <v>32524</v>
      </c>
      <c r="O1504" t="s">
        <v>32525</v>
      </c>
      <c r="P1504">
        <v>0</v>
      </c>
      <c r="Q1504">
        <v>0</v>
      </c>
      <c r="R1504" t="s">
        <v>32526</v>
      </c>
      <c r="S1504" t="s">
        <v>32547</v>
      </c>
      <c r="T1504" t="s">
        <v>33155</v>
      </c>
      <c r="U1504" t="s">
        <v>34917</v>
      </c>
      <c r="W1504" t="s">
        <v>30214</v>
      </c>
      <c r="X1504" t="s">
        <v>32527</v>
      </c>
    </row>
    <row r="1505" spans="1:24">
      <c r="A1505">
        <f>HYPERLINK("https://www.philgeps.gov.ph/GEPSNONPILOT/Tender/SplashBidNoticeAbstractUI.aspx?menuIndex=3&amp;refID=7045998&amp;Result=3","7045998")</f>
        <v>0</v>
      </c>
      <c r="B1505" t="s">
        <v>624</v>
      </c>
      <c r="C1505" t="s">
        <v>4123</v>
      </c>
      <c r="D1505" t="s">
        <v>13018</v>
      </c>
      <c r="E1505" t="s">
        <v>14467</v>
      </c>
      <c r="F1505" t="s">
        <v>22436</v>
      </c>
      <c r="G1505" t="s">
        <v>22443</v>
      </c>
      <c r="H1505" t="s">
        <v>22452</v>
      </c>
      <c r="I1505" t="s">
        <v>22471</v>
      </c>
      <c r="J1505" t="s">
        <v>22605</v>
      </c>
      <c r="K1505" t="s">
        <v>29336</v>
      </c>
      <c r="M1505" t="s">
        <v>30215</v>
      </c>
      <c r="N1505" t="s">
        <v>32524</v>
      </c>
      <c r="O1505" t="s">
        <v>32525</v>
      </c>
      <c r="P1505">
        <v>0</v>
      </c>
      <c r="Q1505">
        <v>1</v>
      </c>
      <c r="R1505" t="s">
        <v>32526</v>
      </c>
      <c r="S1505" t="s">
        <v>32547</v>
      </c>
      <c r="T1505" t="s">
        <v>33167</v>
      </c>
      <c r="U1505" t="s">
        <v>34918</v>
      </c>
      <c r="W1505" t="s">
        <v>30215</v>
      </c>
      <c r="X1505" t="s">
        <v>32527</v>
      </c>
    </row>
    <row r="1506" spans="1:24">
      <c r="A1506">
        <f>HYPERLINK("https://www.philgeps.gov.ph/GEPSNONPILOT/Tender/SplashBidNoticeAbstractUI.aspx?menuIndex=3&amp;refID=7045997&amp;Result=3","7045997")</f>
        <v>0</v>
      </c>
      <c r="B1506" t="s">
        <v>70</v>
      </c>
      <c r="C1506" t="s">
        <v>4124</v>
      </c>
      <c r="D1506" t="s">
        <v>13007</v>
      </c>
      <c r="E1506" t="s">
        <v>13318</v>
      </c>
      <c r="F1506" t="s">
        <v>22436</v>
      </c>
      <c r="G1506" t="s">
        <v>22446</v>
      </c>
      <c r="H1506" t="s">
        <v>22452</v>
      </c>
      <c r="I1506" t="s">
        <v>2993</v>
      </c>
      <c r="J1506" t="s">
        <v>22696</v>
      </c>
      <c r="K1506" t="s">
        <v>29338</v>
      </c>
      <c r="M1506" t="s">
        <v>29642</v>
      </c>
      <c r="N1506" t="s">
        <v>32524</v>
      </c>
      <c r="O1506" t="s">
        <v>32525</v>
      </c>
      <c r="P1506">
        <v>0</v>
      </c>
      <c r="Q1506">
        <v>0</v>
      </c>
      <c r="R1506" t="s">
        <v>32526</v>
      </c>
      <c r="S1506" t="s">
        <v>32547</v>
      </c>
      <c r="T1506" t="s">
        <v>33185</v>
      </c>
      <c r="U1506" t="s">
        <v>34919</v>
      </c>
      <c r="W1506" t="s">
        <v>29642</v>
      </c>
      <c r="X1506" t="s">
        <v>32527</v>
      </c>
    </row>
    <row r="1507" spans="1:24">
      <c r="A1507">
        <f>HYPERLINK("https://www.philgeps.gov.ph/GEPSNONPILOT/Tender/SplashBidNoticeAbstractUI.aspx?menuIndex=3&amp;refID=7046002&amp;Result=3","7046002")</f>
        <v>0</v>
      </c>
      <c r="B1507" t="s">
        <v>553</v>
      </c>
      <c r="C1507" t="s">
        <v>4125</v>
      </c>
      <c r="D1507" t="s">
        <v>12988</v>
      </c>
      <c r="E1507" t="s">
        <v>14468</v>
      </c>
      <c r="F1507" t="s">
        <v>22436</v>
      </c>
      <c r="G1507" t="s">
        <v>22444</v>
      </c>
      <c r="H1507" t="s">
        <v>22453</v>
      </c>
      <c r="I1507" t="s">
        <v>7738</v>
      </c>
      <c r="J1507" t="s">
        <v>22874</v>
      </c>
      <c r="K1507" t="s">
        <v>29370</v>
      </c>
      <c r="M1507" t="s">
        <v>30139</v>
      </c>
      <c r="N1507" t="s">
        <v>32524</v>
      </c>
      <c r="O1507" t="s">
        <v>32525</v>
      </c>
      <c r="P1507">
        <v>0</v>
      </c>
      <c r="Q1507">
        <v>0</v>
      </c>
      <c r="R1507" t="s">
        <v>32526</v>
      </c>
      <c r="S1507" t="s">
        <v>32547</v>
      </c>
      <c r="T1507" t="s">
        <v>33326</v>
      </c>
      <c r="U1507" t="s">
        <v>34920</v>
      </c>
      <c r="W1507" t="s">
        <v>30139</v>
      </c>
      <c r="X1507" t="s">
        <v>32527</v>
      </c>
    </row>
    <row r="1508" spans="1:24">
      <c r="A1508">
        <f>HYPERLINK("https://www.philgeps.gov.ph/GEPSNONPILOT/Tender/SplashBidNoticeAbstractUI.aspx?menuIndex=3&amp;refID=7045988&amp;Result=3","7045988")</f>
        <v>0</v>
      </c>
      <c r="B1508" t="s">
        <v>136</v>
      </c>
      <c r="C1508" t="s">
        <v>4126</v>
      </c>
      <c r="D1508" t="s">
        <v>13039</v>
      </c>
      <c r="E1508" t="s">
        <v>14469</v>
      </c>
      <c r="F1508" t="s">
        <v>22436</v>
      </c>
      <c r="G1508" t="s">
        <v>22443</v>
      </c>
      <c r="H1508" t="s">
        <v>22455</v>
      </c>
      <c r="I1508" t="s">
        <v>22455</v>
      </c>
      <c r="J1508" t="s">
        <v>23553</v>
      </c>
      <c r="K1508" t="s">
        <v>29371</v>
      </c>
      <c r="M1508" t="s">
        <v>29708</v>
      </c>
      <c r="N1508" t="s">
        <v>32524</v>
      </c>
      <c r="O1508" t="s">
        <v>32525</v>
      </c>
      <c r="P1508">
        <v>0</v>
      </c>
      <c r="Q1508">
        <v>1</v>
      </c>
      <c r="R1508" t="s">
        <v>32526</v>
      </c>
      <c r="S1508" t="s">
        <v>32547</v>
      </c>
      <c r="T1508" t="s">
        <v>33210</v>
      </c>
      <c r="U1508" t="s">
        <v>34921</v>
      </c>
      <c r="W1508" t="s">
        <v>29708</v>
      </c>
      <c r="X1508" t="s">
        <v>32527</v>
      </c>
    </row>
    <row r="1509" spans="1:24">
      <c r="A1509">
        <f>HYPERLINK("https://www.philgeps.gov.ph/GEPSNONPILOT/Tender/SplashBidNoticeAbstractUI.aspx?menuIndex=3&amp;refID=7045990&amp;Result=3","7045990")</f>
        <v>0</v>
      </c>
      <c r="B1509" t="s">
        <v>625</v>
      </c>
      <c r="C1509" t="s">
        <v>3483</v>
      </c>
      <c r="D1509" t="s">
        <v>13018</v>
      </c>
      <c r="E1509" t="s">
        <v>14470</v>
      </c>
      <c r="F1509" t="s">
        <v>22437</v>
      </c>
      <c r="G1509" t="s">
        <v>22444</v>
      </c>
      <c r="H1509" t="s">
        <v>22452</v>
      </c>
      <c r="I1509" t="s">
        <v>22460</v>
      </c>
      <c r="J1509" t="s">
        <v>23690</v>
      </c>
      <c r="K1509" t="s">
        <v>29336</v>
      </c>
      <c r="M1509" t="s">
        <v>30216</v>
      </c>
      <c r="N1509" t="s">
        <v>32524</v>
      </c>
      <c r="O1509" t="s">
        <v>32525</v>
      </c>
      <c r="P1509">
        <v>0</v>
      </c>
      <c r="Q1509">
        <v>0</v>
      </c>
      <c r="R1509" t="s">
        <v>32526</v>
      </c>
      <c r="S1509" t="s">
        <v>32547</v>
      </c>
      <c r="T1509" t="s">
        <v>33166</v>
      </c>
      <c r="U1509" t="s">
        <v>34922</v>
      </c>
      <c r="V1509" t="s">
        <v>42567</v>
      </c>
      <c r="W1509" t="s">
        <v>30216</v>
      </c>
      <c r="X1509" t="s">
        <v>32527</v>
      </c>
    </row>
    <row r="1510" spans="1:24">
      <c r="A1510">
        <f>HYPERLINK("https://www.philgeps.gov.ph/GEPSNONPILOT/Tender/SplashBidNoticeAbstractUI.aspx?menuIndex=3&amp;refID=7045987&amp;Result=3","7045987")</f>
        <v>0</v>
      </c>
      <c r="B1510" t="s">
        <v>611</v>
      </c>
      <c r="C1510" t="s">
        <v>4127</v>
      </c>
      <c r="D1510" t="s">
        <v>13000</v>
      </c>
      <c r="E1510" t="s">
        <v>14471</v>
      </c>
      <c r="F1510" t="s">
        <v>22436</v>
      </c>
      <c r="G1510" t="s">
        <v>22443</v>
      </c>
      <c r="H1510" t="s">
        <v>22452</v>
      </c>
      <c r="I1510" t="s">
        <v>22460</v>
      </c>
      <c r="J1510" t="s">
        <v>22703</v>
      </c>
      <c r="K1510" t="s">
        <v>29356</v>
      </c>
      <c r="M1510" t="s">
        <v>30201</v>
      </c>
      <c r="N1510" t="s">
        <v>32524</v>
      </c>
      <c r="O1510" t="s">
        <v>32525</v>
      </c>
      <c r="P1510">
        <v>0</v>
      </c>
      <c r="Q1510">
        <v>3</v>
      </c>
      <c r="R1510" t="s">
        <v>32526</v>
      </c>
      <c r="S1510" t="s">
        <v>32547</v>
      </c>
      <c r="T1510" t="s">
        <v>33196</v>
      </c>
      <c r="U1510" t="s">
        <v>34923</v>
      </c>
      <c r="W1510" t="s">
        <v>30201</v>
      </c>
      <c r="X1510" t="s">
        <v>32527</v>
      </c>
    </row>
    <row r="1511" spans="1:24">
      <c r="A1511">
        <f>HYPERLINK("https://www.philgeps.gov.ph/GEPSNONPILOT/Tender/SplashBidNoticeAbstractUI.aspx?menuIndex=3&amp;refID=7045984&amp;Result=3","7045984")</f>
        <v>0</v>
      </c>
      <c r="B1511" t="s">
        <v>626</v>
      </c>
      <c r="C1511" t="s">
        <v>4128</v>
      </c>
      <c r="D1511" t="s">
        <v>13051</v>
      </c>
      <c r="E1511" t="s">
        <v>14472</v>
      </c>
      <c r="F1511" t="s">
        <v>22436</v>
      </c>
      <c r="G1511" t="s">
        <v>22446</v>
      </c>
      <c r="H1511" t="s">
        <v>22452</v>
      </c>
      <c r="I1511" t="s">
        <v>22456</v>
      </c>
      <c r="J1511" t="s">
        <v>23691</v>
      </c>
      <c r="K1511" t="s">
        <v>29341</v>
      </c>
      <c r="M1511" t="s">
        <v>30217</v>
      </c>
      <c r="N1511" t="s">
        <v>32524</v>
      </c>
      <c r="O1511" t="s">
        <v>32525</v>
      </c>
      <c r="P1511">
        <v>0</v>
      </c>
      <c r="Q1511">
        <v>1</v>
      </c>
      <c r="R1511" t="s">
        <v>32526</v>
      </c>
      <c r="S1511" t="s">
        <v>32547</v>
      </c>
      <c r="T1511" t="s">
        <v>33327</v>
      </c>
      <c r="U1511" t="s">
        <v>34924</v>
      </c>
      <c r="W1511" t="s">
        <v>30217</v>
      </c>
      <c r="X1511" t="s">
        <v>32527</v>
      </c>
    </row>
    <row r="1512" spans="1:24">
      <c r="A1512">
        <f>HYPERLINK("https://www.philgeps.gov.ph/GEPSNONPILOT/Tender/SplashBidNoticeAbstractUI.aspx?menuIndex=3&amp;refID=7045986&amp;Result=3","7045986")</f>
        <v>0</v>
      </c>
      <c r="B1512" t="s">
        <v>601</v>
      </c>
      <c r="C1512" t="s">
        <v>4129</v>
      </c>
      <c r="D1512" t="s">
        <v>12988</v>
      </c>
      <c r="E1512" t="s">
        <v>14473</v>
      </c>
      <c r="F1512" t="s">
        <v>22436</v>
      </c>
      <c r="G1512" t="s">
        <v>22446</v>
      </c>
      <c r="H1512" t="s">
        <v>22452</v>
      </c>
      <c r="I1512" t="s">
        <v>3529</v>
      </c>
      <c r="J1512" t="s">
        <v>22605</v>
      </c>
      <c r="K1512" t="s">
        <v>29341</v>
      </c>
      <c r="M1512" t="s">
        <v>30191</v>
      </c>
      <c r="N1512" t="s">
        <v>32524</v>
      </c>
      <c r="O1512" t="s">
        <v>32525</v>
      </c>
      <c r="P1512">
        <v>0</v>
      </c>
      <c r="Q1512">
        <v>0</v>
      </c>
      <c r="R1512" t="s">
        <v>32526</v>
      </c>
      <c r="S1512" t="s">
        <v>32547</v>
      </c>
      <c r="T1512" t="s">
        <v>33322</v>
      </c>
      <c r="U1512" t="s">
        <v>34925</v>
      </c>
      <c r="V1512" t="s">
        <v>42562</v>
      </c>
      <c r="W1512" t="s">
        <v>30191</v>
      </c>
      <c r="X1512" t="s">
        <v>32527</v>
      </c>
    </row>
    <row r="1513" spans="1:24">
      <c r="A1513">
        <f>HYPERLINK("https://www.philgeps.gov.ph/GEPSNONPILOT/Tender/SplashBidNoticeAbstractUI.aspx?menuIndex=3&amp;refID=7045981&amp;Result=3","7045981")</f>
        <v>0</v>
      </c>
      <c r="B1513" t="s">
        <v>627</v>
      </c>
      <c r="C1513" t="s">
        <v>4130</v>
      </c>
      <c r="D1513" t="s">
        <v>13041</v>
      </c>
      <c r="E1513" t="s">
        <v>13246</v>
      </c>
      <c r="F1513" t="s">
        <v>22436</v>
      </c>
      <c r="G1513" t="s">
        <v>22444</v>
      </c>
      <c r="H1513" t="s">
        <v>22452</v>
      </c>
      <c r="I1513" t="s">
        <v>22515</v>
      </c>
      <c r="J1513" t="s">
        <v>22911</v>
      </c>
      <c r="K1513" t="s">
        <v>29341</v>
      </c>
      <c r="M1513" t="s">
        <v>30218</v>
      </c>
      <c r="N1513" t="s">
        <v>32524</v>
      </c>
      <c r="O1513" t="s">
        <v>32525</v>
      </c>
      <c r="P1513">
        <v>0</v>
      </c>
      <c r="Q1513">
        <v>0</v>
      </c>
      <c r="R1513" t="s">
        <v>32526</v>
      </c>
      <c r="S1513" t="s">
        <v>32547</v>
      </c>
      <c r="T1513" t="s">
        <v>33153</v>
      </c>
      <c r="U1513" t="s">
        <v>34926</v>
      </c>
      <c r="W1513" t="s">
        <v>30218</v>
      </c>
      <c r="X1513" t="s">
        <v>32527</v>
      </c>
    </row>
    <row r="1514" spans="1:24">
      <c r="A1514">
        <f>HYPERLINK("https://www.philgeps.gov.ph/GEPSNONPILOT/Tender/SplashBidNoticeAbstractUI.aspx?menuIndex=3&amp;refID=7045991&amp;Result=3","7045991")</f>
        <v>0</v>
      </c>
      <c r="B1514" t="s">
        <v>524</v>
      </c>
      <c r="C1514" t="s">
        <v>4131</v>
      </c>
      <c r="D1514" t="s">
        <v>13007</v>
      </c>
      <c r="E1514" t="s">
        <v>13881</v>
      </c>
      <c r="F1514" t="s">
        <v>22436</v>
      </c>
      <c r="G1514" t="s">
        <v>22443</v>
      </c>
      <c r="H1514" t="s">
        <v>22452</v>
      </c>
      <c r="I1514" t="s">
        <v>2981</v>
      </c>
      <c r="J1514" t="s">
        <v>23692</v>
      </c>
      <c r="K1514" t="s">
        <v>29340</v>
      </c>
      <c r="M1514" t="s">
        <v>30108</v>
      </c>
      <c r="N1514" t="s">
        <v>32524</v>
      </c>
      <c r="O1514" t="s">
        <v>32525</v>
      </c>
      <c r="P1514">
        <v>0</v>
      </c>
      <c r="Q1514">
        <v>0</v>
      </c>
      <c r="R1514" t="s">
        <v>32526</v>
      </c>
      <c r="S1514" t="s">
        <v>32547</v>
      </c>
      <c r="T1514" t="s">
        <v>33161</v>
      </c>
      <c r="U1514" t="s">
        <v>34927</v>
      </c>
      <c r="V1514" t="s">
        <v>42550</v>
      </c>
      <c r="W1514" t="s">
        <v>30108</v>
      </c>
      <c r="X1514" t="s">
        <v>32527</v>
      </c>
    </row>
    <row r="1515" spans="1:24">
      <c r="A1515">
        <f>HYPERLINK("https://www.philgeps.gov.ph/GEPSNONPILOT/Tender/SplashBidNoticeAbstractUI.aspx?menuIndex=3&amp;refID=7045983&amp;Result=3","7045983")</f>
        <v>0</v>
      </c>
      <c r="B1515" t="s">
        <v>194</v>
      </c>
      <c r="C1515" t="s">
        <v>4132</v>
      </c>
      <c r="D1515" t="s">
        <v>13031</v>
      </c>
      <c r="E1515" t="s">
        <v>14474</v>
      </c>
      <c r="F1515" t="s">
        <v>22436</v>
      </c>
      <c r="G1515" t="s">
        <v>22443</v>
      </c>
      <c r="H1515" t="s">
        <v>22452</v>
      </c>
      <c r="I1515" t="s">
        <v>22460</v>
      </c>
      <c r="J1515" t="s">
        <v>23693</v>
      </c>
      <c r="K1515" t="s">
        <v>29338</v>
      </c>
      <c r="M1515" t="s">
        <v>29767</v>
      </c>
      <c r="N1515" t="s">
        <v>32524</v>
      </c>
      <c r="O1515" t="s">
        <v>32525</v>
      </c>
      <c r="P1515">
        <v>0</v>
      </c>
      <c r="Q1515">
        <v>0</v>
      </c>
      <c r="R1515" t="s">
        <v>32526</v>
      </c>
      <c r="S1515" t="s">
        <v>32547</v>
      </c>
      <c r="T1515" t="s">
        <v>33177</v>
      </c>
      <c r="U1515" t="s">
        <v>33984</v>
      </c>
      <c r="W1515" t="s">
        <v>29767</v>
      </c>
      <c r="X1515" t="s">
        <v>32527</v>
      </c>
    </row>
    <row r="1516" spans="1:24">
      <c r="A1516">
        <f>HYPERLINK("https://www.philgeps.gov.ph/GEPSNONPILOT/Tender/SplashBidNoticeAbstractUI.aspx?menuIndex=3&amp;refID=7045985&amp;Result=3","7045985")</f>
        <v>0</v>
      </c>
      <c r="B1516" t="s">
        <v>628</v>
      </c>
      <c r="C1516" t="s">
        <v>4133</v>
      </c>
      <c r="D1516" t="s">
        <v>13022</v>
      </c>
      <c r="E1516" t="s">
        <v>14475</v>
      </c>
      <c r="F1516" t="s">
        <v>22436</v>
      </c>
      <c r="G1516" t="s">
        <v>22443</v>
      </c>
      <c r="H1516" t="s">
        <v>22452</v>
      </c>
      <c r="I1516" t="s">
        <v>3027</v>
      </c>
      <c r="J1516" t="s">
        <v>22616</v>
      </c>
      <c r="K1516" t="s">
        <v>29338</v>
      </c>
      <c r="M1516" t="s">
        <v>30219</v>
      </c>
      <c r="N1516" t="s">
        <v>32524</v>
      </c>
      <c r="O1516" t="s">
        <v>32525</v>
      </c>
      <c r="P1516">
        <v>0</v>
      </c>
      <c r="Q1516">
        <v>2</v>
      </c>
      <c r="R1516" t="s">
        <v>32526</v>
      </c>
      <c r="S1516" t="s">
        <v>32547</v>
      </c>
      <c r="T1516" t="s">
        <v>33196</v>
      </c>
      <c r="U1516" t="s">
        <v>34928</v>
      </c>
      <c r="W1516" t="s">
        <v>30219</v>
      </c>
      <c r="X1516" t="s">
        <v>32527</v>
      </c>
    </row>
    <row r="1517" spans="1:24">
      <c r="A1517">
        <f>HYPERLINK("https://www.philgeps.gov.ph/GEPSNONPILOT/Tender/SplashBidNoticeAbstractUI.aspx?menuIndex=3&amp;refID=7046031&amp;Result=3","7046031")</f>
        <v>0</v>
      </c>
      <c r="B1517" t="s">
        <v>580</v>
      </c>
      <c r="C1517" t="s">
        <v>4134</v>
      </c>
      <c r="D1517" t="s">
        <v>13033</v>
      </c>
      <c r="E1517" t="s">
        <v>14476</v>
      </c>
      <c r="F1517" t="s">
        <v>22436</v>
      </c>
      <c r="G1517" t="s">
        <v>22443</v>
      </c>
      <c r="H1517" t="s">
        <v>22452</v>
      </c>
      <c r="I1517" t="s">
        <v>22463</v>
      </c>
      <c r="J1517" t="s">
        <v>22588</v>
      </c>
      <c r="K1517" t="s">
        <v>29331</v>
      </c>
      <c r="M1517" t="s">
        <v>30168</v>
      </c>
      <c r="N1517" t="s">
        <v>32524</v>
      </c>
      <c r="O1517" t="s">
        <v>32525</v>
      </c>
      <c r="P1517">
        <v>0</v>
      </c>
      <c r="Q1517">
        <v>1</v>
      </c>
      <c r="R1517" t="s">
        <v>32526</v>
      </c>
      <c r="S1517" t="s">
        <v>32547</v>
      </c>
      <c r="T1517" t="s">
        <v>33161</v>
      </c>
      <c r="U1517" t="s">
        <v>34929</v>
      </c>
      <c r="W1517" t="s">
        <v>30168</v>
      </c>
      <c r="X1517" t="s">
        <v>32527</v>
      </c>
    </row>
    <row r="1518" spans="1:24">
      <c r="A1518">
        <f>HYPERLINK("https://www.philgeps.gov.ph/GEPSNONPILOT/Tender/SplashBidNoticeAbstractUI.aspx?menuIndex=3&amp;refID=7045992&amp;Result=3","7045992")</f>
        <v>0</v>
      </c>
      <c r="B1518" t="s">
        <v>629</v>
      </c>
      <c r="C1518" t="s">
        <v>4135</v>
      </c>
      <c r="D1518" t="s">
        <v>13000</v>
      </c>
      <c r="E1518" t="s">
        <v>13701</v>
      </c>
      <c r="F1518" t="s">
        <v>22436</v>
      </c>
      <c r="G1518" t="s">
        <v>22445</v>
      </c>
      <c r="H1518" t="s">
        <v>22452</v>
      </c>
      <c r="I1518" t="s">
        <v>22471</v>
      </c>
      <c r="J1518" t="s">
        <v>23694</v>
      </c>
      <c r="K1518" t="s">
        <v>29357</v>
      </c>
      <c r="M1518" t="s">
        <v>30220</v>
      </c>
      <c r="N1518" t="s">
        <v>32524</v>
      </c>
      <c r="O1518" t="s">
        <v>32525</v>
      </c>
      <c r="P1518">
        <v>0</v>
      </c>
      <c r="Q1518">
        <v>11</v>
      </c>
      <c r="R1518" t="s">
        <v>32526</v>
      </c>
      <c r="S1518" t="s">
        <v>32547</v>
      </c>
      <c r="T1518" t="s">
        <v>33154</v>
      </c>
      <c r="U1518" t="s">
        <v>34930</v>
      </c>
      <c r="W1518" t="s">
        <v>30220</v>
      </c>
      <c r="X1518" t="s">
        <v>32527</v>
      </c>
    </row>
    <row r="1519" spans="1:24">
      <c r="A1519">
        <f>HYPERLINK("https://www.philgeps.gov.ph/GEPSNONPILOT/Tender/SplashBidNoticeAbstractUI.aspx?menuIndex=3&amp;refID=7045982&amp;Result=3","7045982")</f>
        <v>0</v>
      </c>
      <c r="B1519" t="s">
        <v>267</v>
      </c>
      <c r="C1519" t="s">
        <v>4136</v>
      </c>
      <c r="D1519" t="s">
        <v>13032</v>
      </c>
      <c r="E1519" t="s">
        <v>14477</v>
      </c>
      <c r="F1519" t="s">
        <v>22436</v>
      </c>
      <c r="G1519" t="s">
        <v>22444</v>
      </c>
      <c r="H1519" t="s">
        <v>22452</v>
      </c>
      <c r="I1519" t="s">
        <v>3529</v>
      </c>
      <c r="J1519" t="s">
        <v>23695</v>
      </c>
      <c r="K1519" t="s">
        <v>29338</v>
      </c>
      <c r="M1519" t="s">
        <v>29841</v>
      </c>
      <c r="N1519" t="s">
        <v>32524</v>
      </c>
      <c r="O1519" t="s">
        <v>32525</v>
      </c>
      <c r="P1519">
        <v>0</v>
      </c>
      <c r="Q1519">
        <v>0</v>
      </c>
      <c r="R1519" t="s">
        <v>32526</v>
      </c>
      <c r="S1519" t="s">
        <v>32547</v>
      </c>
      <c r="T1519" t="s">
        <v>33181</v>
      </c>
      <c r="U1519" t="s">
        <v>34931</v>
      </c>
      <c r="W1519" t="s">
        <v>43690</v>
      </c>
      <c r="X1519" t="s">
        <v>32527</v>
      </c>
    </row>
    <row r="1520" spans="1:24">
      <c r="A1520">
        <f>HYPERLINK("https://www.philgeps.gov.ph/GEPSNONPILOT/Tender/SplashBidNoticeAbstractUI.aspx?menuIndex=3&amp;refID=7045993&amp;Result=3","7045993")</f>
        <v>0</v>
      </c>
      <c r="B1520" t="s">
        <v>267</v>
      </c>
      <c r="C1520" t="s">
        <v>4137</v>
      </c>
      <c r="D1520" t="s">
        <v>13032</v>
      </c>
      <c r="E1520" t="s">
        <v>14478</v>
      </c>
      <c r="F1520" t="s">
        <v>22436</v>
      </c>
      <c r="G1520" t="s">
        <v>22444</v>
      </c>
      <c r="H1520" t="s">
        <v>22452</v>
      </c>
      <c r="I1520" t="s">
        <v>3529</v>
      </c>
      <c r="J1520" t="s">
        <v>23696</v>
      </c>
      <c r="K1520" t="s">
        <v>29338</v>
      </c>
      <c r="M1520" t="s">
        <v>29841</v>
      </c>
      <c r="N1520" t="s">
        <v>32524</v>
      </c>
      <c r="O1520" t="s">
        <v>32525</v>
      </c>
      <c r="P1520">
        <v>0</v>
      </c>
      <c r="Q1520">
        <v>0</v>
      </c>
      <c r="R1520" t="s">
        <v>32526</v>
      </c>
      <c r="S1520" t="s">
        <v>32547</v>
      </c>
      <c r="T1520" t="s">
        <v>33181</v>
      </c>
      <c r="U1520" t="s">
        <v>34932</v>
      </c>
      <c r="W1520" t="s">
        <v>43690</v>
      </c>
      <c r="X1520" t="s">
        <v>32527</v>
      </c>
    </row>
    <row r="1521" spans="1:24">
      <c r="A1521">
        <f>HYPERLINK("https://www.philgeps.gov.ph/GEPSNONPILOT/Tender/SplashBidNoticeAbstractUI.aspx?menuIndex=3&amp;refID=7046027&amp;Result=3","7046027")</f>
        <v>0</v>
      </c>
      <c r="B1521" t="s">
        <v>616</v>
      </c>
      <c r="C1521" t="s">
        <v>4138</v>
      </c>
      <c r="D1521" t="s">
        <v>13013</v>
      </c>
      <c r="E1521" t="s">
        <v>14436</v>
      </c>
      <c r="F1521" t="s">
        <v>22436</v>
      </c>
      <c r="G1521" t="s">
        <v>22445</v>
      </c>
      <c r="H1521" t="s">
        <v>22452</v>
      </c>
      <c r="I1521" t="s">
        <v>22493</v>
      </c>
      <c r="J1521" t="s">
        <v>23697</v>
      </c>
      <c r="K1521" t="s">
        <v>29340</v>
      </c>
      <c r="M1521" t="s">
        <v>30206</v>
      </c>
      <c r="N1521" t="s">
        <v>32524</v>
      </c>
      <c r="O1521" t="s">
        <v>32525</v>
      </c>
      <c r="P1521">
        <v>0</v>
      </c>
      <c r="Q1521">
        <v>1</v>
      </c>
      <c r="R1521" t="s">
        <v>32526</v>
      </c>
      <c r="S1521" t="s">
        <v>32547</v>
      </c>
      <c r="T1521" t="s">
        <v>33196</v>
      </c>
      <c r="U1521" t="s">
        <v>34933</v>
      </c>
      <c r="W1521" t="s">
        <v>30206</v>
      </c>
      <c r="X1521" t="s">
        <v>32527</v>
      </c>
    </row>
    <row r="1522" spans="1:24">
      <c r="A1522">
        <f>HYPERLINK("https://www.philgeps.gov.ph/GEPSNONPILOT/Tender/SplashBidNoticeAbstractUI.aspx?menuIndex=3&amp;refID=7046026&amp;Result=3","7046026")</f>
        <v>0</v>
      </c>
      <c r="B1522" t="s">
        <v>623</v>
      </c>
      <c r="C1522" t="s">
        <v>4139</v>
      </c>
      <c r="E1522" t="s">
        <v>14479</v>
      </c>
      <c r="F1522" t="s">
        <v>22436</v>
      </c>
      <c r="G1522" t="s">
        <v>22443</v>
      </c>
      <c r="H1522" t="s">
        <v>22452</v>
      </c>
      <c r="I1522" t="s">
        <v>6421</v>
      </c>
      <c r="J1522" t="s">
        <v>23698</v>
      </c>
      <c r="K1522" t="s">
        <v>29338</v>
      </c>
      <c r="M1522" t="s">
        <v>30214</v>
      </c>
      <c r="N1522" t="s">
        <v>32524</v>
      </c>
      <c r="O1522" t="s">
        <v>32525</v>
      </c>
      <c r="P1522">
        <v>0</v>
      </c>
      <c r="Q1522">
        <v>1</v>
      </c>
      <c r="R1522" t="s">
        <v>32526</v>
      </c>
      <c r="S1522" t="s">
        <v>32547</v>
      </c>
      <c r="T1522" t="s">
        <v>33155</v>
      </c>
      <c r="U1522" t="s">
        <v>34934</v>
      </c>
      <c r="W1522" t="s">
        <v>30214</v>
      </c>
      <c r="X1522" t="s">
        <v>32527</v>
      </c>
    </row>
    <row r="1523" spans="1:24">
      <c r="A1523">
        <f>HYPERLINK("https://www.philgeps.gov.ph/GEPSNONPILOT/Tender/SplashBidNoticeAbstractUI.aspx?menuIndex=3&amp;refID=7046023&amp;Result=3","7046023")</f>
        <v>0</v>
      </c>
      <c r="B1523" t="s">
        <v>267</v>
      </c>
      <c r="C1523" t="s">
        <v>4140</v>
      </c>
      <c r="D1523" t="s">
        <v>13032</v>
      </c>
      <c r="E1523" t="s">
        <v>14480</v>
      </c>
      <c r="F1523" t="s">
        <v>22436</v>
      </c>
      <c r="G1523" t="s">
        <v>22444</v>
      </c>
      <c r="H1523" t="s">
        <v>22452</v>
      </c>
      <c r="I1523" t="s">
        <v>3529</v>
      </c>
      <c r="J1523" t="s">
        <v>23699</v>
      </c>
      <c r="K1523" t="s">
        <v>29338</v>
      </c>
      <c r="M1523" t="s">
        <v>29841</v>
      </c>
      <c r="N1523" t="s">
        <v>32524</v>
      </c>
      <c r="O1523" t="s">
        <v>32525</v>
      </c>
      <c r="P1523">
        <v>0</v>
      </c>
      <c r="Q1523">
        <v>0</v>
      </c>
      <c r="R1523" t="s">
        <v>32526</v>
      </c>
      <c r="S1523" t="s">
        <v>32547</v>
      </c>
      <c r="T1523" t="s">
        <v>33277</v>
      </c>
      <c r="U1523" t="s">
        <v>34935</v>
      </c>
      <c r="W1523" t="s">
        <v>43690</v>
      </c>
      <c r="X1523" t="s">
        <v>32527</v>
      </c>
    </row>
    <row r="1524" spans="1:24">
      <c r="A1524">
        <f>HYPERLINK("https://www.philgeps.gov.ph/GEPSNONPILOT/Tender/SplashBidNoticeAbstractUI.aspx?menuIndex=3&amp;refID=7045989&amp;Result=3","7045989")</f>
        <v>0</v>
      </c>
      <c r="B1524" t="s">
        <v>567</v>
      </c>
      <c r="C1524" t="s">
        <v>4141</v>
      </c>
      <c r="D1524" t="s">
        <v>13012</v>
      </c>
      <c r="E1524" t="s">
        <v>14481</v>
      </c>
      <c r="F1524" t="s">
        <v>22436</v>
      </c>
      <c r="G1524" t="s">
        <v>22444</v>
      </c>
      <c r="H1524" t="s">
        <v>22452</v>
      </c>
      <c r="I1524" t="s">
        <v>22502</v>
      </c>
      <c r="J1524" t="s">
        <v>23700</v>
      </c>
      <c r="K1524" t="s">
        <v>29334</v>
      </c>
      <c r="M1524" t="s">
        <v>30155</v>
      </c>
      <c r="N1524" t="s">
        <v>32524</v>
      </c>
      <c r="O1524" t="s">
        <v>32525</v>
      </c>
      <c r="P1524">
        <v>0</v>
      </c>
      <c r="Q1524">
        <v>7</v>
      </c>
      <c r="R1524" t="s">
        <v>32526</v>
      </c>
      <c r="S1524" t="s">
        <v>32547</v>
      </c>
      <c r="T1524" t="s">
        <v>33315</v>
      </c>
      <c r="U1524" t="s">
        <v>34936</v>
      </c>
      <c r="V1524" t="s">
        <v>42552</v>
      </c>
      <c r="W1524" t="s">
        <v>30155</v>
      </c>
      <c r="X1524" t="s">
        <v>32527</v>
      </c>
    </row>
    <row r="1525" spans="1:24">
      <c r="A1525">
        <f>HYPERLINK("https://www.philgeps.gov.ph/GEPSNONPILOT/Tender/SplashBidNoticeAbstractUI.aspx?menuIndex=3&amp;refID=7046030&amp;Result=3","7046030")</f>
        <v>0</v>
      </c>
      <c r="B1525" t="s">
        <v>377</v>
      </c>
      <c r="C1525" t="s">
        <v>4142</v>
      </c>
      <c r="D1525" t="s">
        <v>13041</v>
      </c>
      <c r="E1525" t="s">
        <v>14482</v>
      </c>
      <c r="F1525" t="s">
        <v>22436</v>
      </c>
      <c r="G1525" t="s">
        <v>22443</v>
      </c>
      <c r="H1525" t="s">
        <v>22452</v>
      </c>
      <c r="I1525" t="s">
        <v>3529</v>
      </c>
      <c r="J1525" t="s">
        <v>23701</v>
      </c>
      <c r="K1525" t="s">
        <v>29336</v>
      </c>
      <c r="M1525" t="s">
        <v>29955</v>
      </c>
      <c r="N1525" t="s">
        <v>32524</v>
      </c>
      <c r="O1525" t="s">
        <v>32525</v>
      </c>
      <c r="P1525">
        <v>0</v>
      </c>
      <c r="Q1525">
        <v>0</v>
      </c>
      <c r="R1525" t="s">
        <v>32526</v>
      </c>
      <c r="S1525" t="s">
        <v>32547</v>
      </c>
      <c r="T1525" t="s">
        <v>33167</v>
      </c>
      <c r="U1525" t="s">
        <v>34937</v>
      </c>
      <c r="W1525" t="s">
        <v>29955</v>
      </c>
      <c r="X1525" t="s">
        <v>32527</v>
      </c>
    </row>
    <row r="1526" spans="1:24">
      <c r="A1526">
        <f>HYPERLINK("https://www.philgeps.gov.ph/GEPSNONPILOT/Tender/SplashBidNoticeAbstractUI.aspx?menuIndex=3&amp;refID=7046019&amp;Result=3","7046019")</f>
        <v>0</v>
      </c>
      <c r="B1526" t="s">
        <v>280</v>
      </c>
      <c r="C1526" t="s">
        <v>4143</v>
      </c>
      <c r="D1526" t="s">
        <v>13055</v>
      </c>
      <c r="E1526" t="s">
        <v>14483</v>
      </c>
      <c r="F1526" t="s">
        <v>22436</v>
      </c>
      <c r="G1526" t="s">
        <v>22443</v>
      </c>
      <c r="H1526" t="s">
        <v>22452</v>
      </c>
      <c r="I1526" t="s">
        <v>11896</v>
      </c>
      <c r="J1526" t="s">
        <v>23702</v>
      </c>
      <c r="K1526" t="s">
        <v>29336</v>
      </c>
      <c r="M1526" t="s">
        <v>29854</v>
      </c>
      <c r="N1526" t="s">
        <v>32524</v>
      </c>
      <c r="O1526" t="s">
        <v>32525</v>
      </c>
      <c r="P1526">
        <v>0</v>
      </c>
      <c r="Q1526">
        <v>0</v>
      </c>
      <c r="R1526" t="s">
        <v>32526</v>
      </c>
      <c r="S1526" t="s">
        <v>32547</v>
      </c>
      <c r="T1526" t="s">
        <v>33181</v>
      </c>
      <c r="U1526" t="s">
        <v>34804</v>
      </c>
      <c r="V1526" t="s">
        <v>42486</v>
      </c>
      <c r="W1526" t="s">
        <v>29854</v>
      </c>
      <c r="X1526" t="s">
        <v>32527</v>
      </c>
    </row>
    <row r="1527" spans="1:24">
      <c r="A1527">
        <f>HYPERLINK("https://www.philgeps.gov.ph/GEPSNONPILOT/Tender/SplashBidNoticeAbstractUI.aspx?menuIndex=3&amp;refID=7046018&amp;Result=3","7046018")</f>
        <v>0</v>
      </c>
      <c r="B1527" t="s">
        <v>605</v>
      </c>
      <c r="C1527" t="s">
        <v>4144</v>
      </c>
      <c r="D1527" t="s">
        <v>13028</v>
      </c>
      <c r="E1527" t="s">
        <v>14484</v>
      </c>
      <c r="F1527" t="s">
        <v>22436</v>
      </c>
      <c r="G1527" t="s">
        <v>22444</v>
      </c>
      <c r="H1527" t="s">
        <v>22452</v>
      </c>
      <c r="I1527" t="s">
        <v>22460</v>
      </c>
      <c r="J1527" t="s">
        <v>23703</v>
      </c>
      <c r="K1527" t="s">
        <v>29333</v>
      </c>
      <c r="M1527" t="s">
        <v>30195</v>
      </c>
      <c r="N1527" t="s">
        <v>32524</v>
      </c>
      <c r="O1527" t="s">
        <v>32525</v>
      </c>
      <c r="P1527">
        <v>0</v>
      </c>
      <c r="Q1527">
        <v>1</v>
      </c>
      <c r="R1527" t="s">
        <v>32526</v>
      </c>
      <c r="S1527" t="s">
        <v>32547</v>
      </c>
      <c r="T1527" t="s">
        <v>33278</v>
      </c>
      <c r="U1527" t="s">
        <v>34938</v>
      </c>
      <c r="W1527" t="s">
        <v>30195</v>
      </c>
      <c r="X1527" t="s">
        <v>32527</v>
      </c>
    </row>
    <row r="1528" spans="1:24">
      <c r="A1528">
        <f>HYPERLINK("https://www.philgeps.gov.ph/GEPSNONPILOT/Tender/SplashBidNoticeAbstractUI.aspx?menuIndex=3&amp;refID=7045980&amp;Result=3","7045980")</f>
        <v>0</v>
      </c>
      <c r="B1528" t="s">
        <v>353</v>
      </c>
      <c r="C1528" t="s">
        <v>4145</v>
      </c>
      <c r="D1528" t="s">
        <v>13034</v>
      </c>
      <c r="E1528" t="s">
        <v>14485</v>
      </c>
      <c r="F1528" t="s">
        <v>22436</v>
      </c>
      <c r="G1528" t="s">
        <v>22444</v>
      </c>
      <c r="H1528" t="s">
        <v>22454</v>
      </c>
      <c r="I1528" t="s">
        <v>7738</v>
      </c>
      <c r="J1528" t="s">
        <v>22893</v>
      </c>
      <c r="K1528" t="s">
        <v>29362</v>
      </c>
      <c r="M1528" t="s">
        <v>29930</v>
      </c>
      <c r="N1528" t="s">
        <v>32524</v>
      </c>
      <c r="O1528" t="s">
        <v>32525</v>
      </c>
      <c r="P1528">
        <v>0</v>
      </c>
      <c r="Q1528">
        <v>0</v>
      </c>
      <c r="R1528" t="s">
        <v>32526</v>
      </c>
      <c r="S1528" t="s">
        <v>32547</v>
      </c>
      <c r="T1528" t="s">
        <v>33165</v>
      </c>
      <c r="U1528" t="s">
        <v>34939</v>
      </c>
      <c r="W1528" t="s">
        <v>29930</v>
      </c>
      <c r="X1528" t="s">
        <v>32527</v>
      </c>
    </row>
    <row r="1529" spans="1:24">
      <c r="A1529">
        <f>HYPERLINK("https://www.philgeps.gov.ph/GEPSNONPILOT/Tender/SplashBidNoticeAbstractUI.aspx?menuIndex=3&amp;refID=7046024&amp;Result=3","7046024")</f>
        <v>0</v>
      </c>
      <c r="B1529" t="s">
        <v>57</v>
      </c>
      <c r="C1529" t="s">
        <v>4146</v>
      </c>
      <c r="D1529" t="s">
        <v>13013</v>
      </c>
      <c r="E1529" t="s">
        <v>14486</v>
      </c>
      <c r="F1529" t="s">
        <v>22436</v>
      </c>
      <c r="G1529" t="s">
        <v>22446</v>
      </c>
      <c r="H1529" t="s">
        <v>22452</v>
      </c>
      <c r="I1529" t="s">
        <v>3529</v>
      </c>
      <c r="J1529" t="s">
        <v>23704</v>
      </c>
      <c r="K1529" t="s">
        <v>29331</v>
      </c>
      <c r="M1529" t="s">
        <v>29629</v>
      </c>
      <c r="N1529" t="s">
        <v>32524</v>
      </c>
      <c r="O1529" t="s">
        <v>32525</v>
      </c>
      <c r="P1529">
        <v>0</v>
      </c>
      <c r="Q1529">
        <v>0</v>
      </c>
      <c r="R1529" t="s">
        <v>32526</v>
      </c>
      <c r="S1529" t="s">
        <v>32547</v>
      </c>
      <c r="T1529" t="s">
        <v>33167</v>
      </c>
      <c r="U1529" t="s">
        <v>34940</v>
      </c>
      <c r="V1529" t="s">
        <v>42568</v>
      </c>
      <c r="W1529" t="s">
        <v>29629</v>
      </c>
      <c r="X1529" t="s">
        <v>32527</v>
      </c>
    </row>
    <row r="1530" spans="1:24">
      <c r="A1530">
        <f>HYPERLINK("https://www.philgeps.gov.ph/GEPSNONPILOT/Tender/SplashBidNoticeAbstractUI.aspx?menuIndex=3&amp;refID=7046016&amp;Result=3","7046016")</f>
        <v>0</v>
      </c>
      <c r="B1530" t="s">
        <v>630</v>
      </c>
      <c r="C1530" t="s">
        <v>4147</v>
      </c>
      <c r="D1530" t="s">
        <v>13000</v>
      </c>
      <c r="E1530" t="s">
        <v>14487</v>
      </c>
      <c r="F1530" t="s">
        <v>22436</v>
      </c>
      <c r="G1530" t="s">
        <v>22446</v>
      </c>
      <c r="H1530" t="s">
        <v>22452</v>
      </c>
      <c r="I1530" t="s">
        <v>22476</v>
      </c>
      <c r="J1530" t="s">
        <v>23705</v>
      </c>
      <c r="K1530" t="s">
        <v>29356</v>
      </c>
      <c r="M1530" t="s">
        <v>30221</v>
      </c>
      <c r="N1530" t="s">
        <v>32524</v>
      </c>
      <c r="O1530" t="s">
        <v>32525</v>
      </c>
      <c r="P1530">
        <v>0</v>
      </c>
      <c r="Q1530">
        <v>0</v>
      </c>
      <c r="R1530" t="s">
        <v>32526</v>
      </c>
      <c r="S1530" t="s">
        <v>32547</v>
      </c>
      <c r="T1530" t="s">
        <v>33221</v>
      </c>
      <c r="U1530" t="s">
        <v>34941</v>
      </c>
      <c r="W1530" t="s">
        <v>30221</v>
      </c>
      <c r="X1530" t="s">
        <v>32527</v>
      </c>
    </row>
    <row r="1531" spans="1:24">
      <c r="A1531">
        <f>HYPERLINK("https://www.philgeps.gov.ph/GEPSNONPILOT/Tender/SplashBidNoticeAbstractUI.aspx?menuIndex=3&amp;refID=7046020&amp;Result=3","7046020")</f>
        <v>0</v>
      </c>
      <c r="B1531" t="s">
        <v>631</v>
      </c>
      <c r="C1531" t="s">
        <v>4148</v>
      </c>
      <c r="D1531" t="s">
        <v>13044</v>
      </c>
      <c r="E1531" t="s">
        <v>14488</v>
      </c>
      <c r="F1531" t="s">
        <v>22436</v>
      </c>
      <c r="G1531" t="s">
        <v>22443</v>
      </c>
      <c r="H1531" t="s">
        <v>22452</v>
      </c>
      <c r="I1531" t="s">
        <v>3827</v>
      </c>
      <c r="J1531" t="s">
        <v>22583</v>
      </c>
      <c r="K1531" t="s">
        <v>29338</v>
      </c>
      <c r="M1531" t="s">
        <v>30222</v>
      </c>
      <c r="N1531" t="s">
        <v>32524</v>
      </c>
      <c r="O1531" t="s">
        <v>32525</v>
      </c>
      <c r="P1531">
        <v>0</v>
      </c>
      <c r="Q1531">
        <v>0</v>
      </c>
      <c r="R1531" t="s">
        <v>32526</v>
      </c>
      <c r="S1531" t="s">
        <v>32547</v>
      </c>
      <c r="T1531" t="s">
        <v>33161</v>
      </c>
      <c r="U1531" t="s">
        <v>34942</v>
      </c>
      <c r="W1531" t="s">
        <v>30222</v>
      </c>
      <c r="X1531" t="s">
        <v>32527</v>
      </c>
    </row>
    <row r="1532" spans="1:24">
      <c r="A1532">
        <f>HYPERLINK("https://www.philgeps.gov.ph/GEPSNONPILOT/Tender/SplashBidNoticeAbstractUI.aspx?menuIndex=3&amp;refID=7046014&amp;Result=3","7046014")</f>
        <v>0</v>
      </c>
      <c r="B1532" t="s">
        <v>632</v>
      </c>
      <c r="C1532" t="s">
        <v>4149</v>
      </c>
      <c r="D1532" t="s">
        <v>13000</v>
      </c>
      <c r="E1532" t="s">
        <v>14489</v>
      </c>
      <c r="F1532" t="s">
        <v>22436</v>
      </c>
      <c r="G1532" t="s">
        <v>22444</v>
      </c>
      <c r="H1532" t="s">
        <v>22454</v>
      </c>
      <c r="I1532" t="s">
        <v>7738</v>
      </c>
      <c r="J1532" t="s">
        <v>23706</v>
      </c>
      <c r="K1532" t="s">
        <v>29392</v>
      </c>
      <c r="M1532" t="s">
        <v>30223</v>
      </c>
      <c r="N1532" t="s">
        <v>32524</v>
      </c>
      <c r="O1532" t="s">
        <v>32525</v>
      </c>
      <c r="P1532">
        <v>0</v>
      </c>
      <c r="Q1532">
        <v>1</v>
      </c>
      <c r="R1532" t="s">
        <v>32526</v>
      </c>
      <c r="S1532" t="s">
        <v>32547</v>
      </c>
      <c r="T1532" t="s">
        <v>33266</v>
      </c>
      <c r="U1532" t="s">
        <v>34943</v>
      </c>
      <c r="V1532" t="s">
        <v>42569</v>
      </c>
      <c r="W1532" t="s">
        <v>30223</v>
      </c>
      <c r="X1532" t="s">
        <v>32527</v>
      </c>
    </row>
    <row r="1533" spans="1:24">
      <c r="A1533">
        <f>HYPERLINK("https://www.philgeps.gov.ph/GEPSNONPILOT/Tender/SplashBidNoticeAbstractUI.aspx?menuIndex=3&amp;refID=7046015&amp;Result=3","7046015")</f>
        <v>0</v>
      </c>
      <c r="B1533" t="s">
        <v>584</v>
      </c>
      <c r="C1533" t="s">
        <v>4150</v>
      </c>
      <c r="D1533" t="s">
        <v>12988</v>
      </c>
      <c r="E1533" t="s">
        <v>14490</v>
      </c>
      <c r="F1533" t="s">
        <v>22436</v>
      </c>
      <c r="G1533" t="s">
        <v>22443</v>
      </c>
      <c r="H1533" t="s">
        <v>22452</v>
      </c>
      <c r="I1533" t="s">
        <v>3827</v>
      </c>
      <c r="J1533" t="s">
        <v>22758</v>
      </c>
      <c r="K1533" t="s">
        <v>29341</v>
      </c>
      <c r="M1533" t="s">
        <v>30174</v>
      </c>
      <c r="N1533" t="s">
        <v>32524</v>
      </c>
      <c r="O1533" t="s">
        <v>32525</v>
      </c>
      <c r="P1533">
        <v>0</v>
      </c>
      <c r="Q1533">
        <v>6</v>
      </c>
      <c r="R1533" t="s">
        <v>32526</v>
      </c>
      <c r="S1533" t="s">
        <v>32547</v>
      </c>
      <c r="T1533" t="s">
        <v>33314</v>
      </c>
      <c r="U1533" t="s">
        <v>34828</v>
      </c>
      <c r="W1533" t="s">
        <v>30174</v>
      </c>
      <c r="X1533" t="s">
        <v>32527</v>
      </c>
    </row>
    <row r="1534" spans="1:24">
      <c r="A1534">
        <f>HYPERLINK("https://www.philgeps.gov.ph/GEPSNONPILOT/Tender/SplashBidNoticeAbstractUI.aspx?menuIndex=3&amp;refID=7046022&amp;Result=3","7046022")</f>
        <v>0</v>
      </c>
      <c r="B1534" t="s">
        <v>626</v>
      </c>
      <c r="C1534" t="s">
        <v>4151</v>
      </c>
      <c r="D1534" t="s">
        <v>13051</v>
      </c>
      <c r="E1534" t="s">
        <v>14491</v>
      </c>
      <c r="F1534" t="s">
        <v>22436</v>
      </c>
      <c r="G1534" t="s">
        <v>22443</v>
      </c>
      <c r="H1534" t="s">
        <v>22452</v>
      </c>
      <c r="I1534" t="s">
        <v>22494</v>
      </c>
      <c r="J1534" t="s">
        <v>23707</v>
      </c>
      <c r="K1534" t="s">
        <v>29341</v>
      </c>
      <c r="M1534" t="s">
        <v>30217</v>
      </c>
      <c r="N1534" t="s">
        <v>32524</v>
      </c>
      <c r="O1534" t="s">
        <v>32525</v>
      </c>
      <c r="P1534">
        <v>0</v>
      </c>
      <c r="Q1534">
        <v>0</v>
      </c>
      <c r="R1534" t="s">
        <v>32526</v>
      </c>
      <c r="S1534" t="s">
        <v>32547</v>
      </c>
      <c r="T1534" t="s">
        <v>33317</v>
      </c>
      <c r="U1534" t="s">
        <v>34944</v>
      </c>
      <c r="W1534" t="s">
        <v>30217</v>
      </c>
      <c r="X1534" t="s">
        <v>32527</v>
      </c>
    </row>
    <row r="1535" spans="1:24">
      <c r="A1535">
        <f>HYPERLINK("https://www.philgeps.gov.ph/GEPSNONPILOT/Tender/SplashBidNoticeAbstractUI.aspx?menuIndex=3&amp;refID=7046013&amp;Result=3","7046013")</f>
        <v>0</v>
      </c>
      <c r="B1535" t="s">
        <v>633</v>
      </c>
      <c r="C1535" t="s">
        <v>4152</v>
      </c>
      <c r="D1535" t="s">
        <v>12988</v>
      </c>
      <c r="E1535" t="s">
        <v>14492</v>
      </c>
      <c r="F1535" t="s">
        <v>22436</v>
      </c>
      <c r="G1535" t="s">
        <v>22443</v>
      </c>
      <c r="H1535" t="s">
        <v>22452</v>
      </c>
      <c r="I1535" t="s">
        <v>3027</v>
      </c>
      <c r="J1535" t="s">
        <v>23217</v>
      </c>
      <c r="K1535" t="s">
        <v>29338</v>
      </c>
      <c r="M1535" t="s">
        <v>30224</v>
      </c>
      <c r="N1535" t="s">
        <v>32524</v>
      </c>
      <c r="O1535" t="s">
        <v>32525</v>
      </c>
      <c r="P1535">
        <v>0</v>
      </c>
      <c r="Q1535">
        <v>1</v>
      </c>
      <c r="R1535" t="s">
        <v>32526</v>
      </c>
      <c r="S1535" t="s">
        <v>32547</v>
      </c>
      <c r="T1535" t="s">
        <v>33215</v>
      </c>
      <c r="U1535" t="s">
        <v>34945</v>
      </c>
      <c r="W1535" t="s">
        <v>30224</v>
      </c>
      <c r="X1535" t="s">
        <v>32527</v>
      </c>
    </row>
    <row r="1536" spans="1:24">
      <c r="A1536">
        <f>HYPERLINK("https://www.philgeps.gov.ph/GEPSNONPILOT/Tender/SplashBidNoticeAbstractUI.aspx?menuIndex=3&amp;refID=7046048&amp;Result=3","7046048")</f>
        <v>0</v>
      </c>
      <c r="B1536" t="s">
        <v>194</v>
      </c>
      <c r="C1536" t="s">
        <v>4153</v>
      </c>
      <c r="D1536" t="s">
        <v>13031</v>
      </c>
      <c r="E1536" t="s">
        <v>14493</v>
      </c>
      <c r="F1536" t="s">
        <v>22436</v>
      </c>
      <c r="G1536" t="s">
        <v>22443</v>
      </c>
      <c r="H1536" t="s">
        <v>22452</v>
      </c>
      <c r="I1536" t="s">
        <v>22476</v>
      </c>
      <c r="J1536" t="s">
        <v>23708</v>
      </c>
      <c r="K1536" t="s">
        <v>29338</v>
      </c>
      <c r="M1536" t="s">
        <v>29767</v>
      </c>
      <c r="N1536" t="s">
        <v>32524</v>
      </c>
      <c r="O1536" t="s">
        <v>32525</v>
      </c>
      <c r="P1536">
        <v>0</v>
      </c>
      <c r="Q1536">
        <v>0</v>
      </c>
      <c r="R1536" t="s">
        <v>32526</v>
      </c>
      <c r="S1536" t="s">
        <v>32547</v>
      </c>
      <c r="T1536" t="s">
        <v>33177</v>
      </c>
      <c r="U1536" t="s">
        <v>33984</v>
      </c>
      <c r="W1536" t="s">
        <v>29767</v>
      </c>
      <c r="X1536" t="s">
        <v>32527</v>
      </c>
    </row>
    <row r="1537" spans="1:24">
      <c r="A1537">
        <f>HYPERLINK("https://www.philgeps.gov.ph/GEPSNONPILOT/Tender/SplashBidNoticeAbstractUI.aspx?menuIndex=3&amp;refID=7046008&amp;Result=3","7046008")</f>
        <v>0</v>
      </c>
      <c r="B1537" t="s">
        <v>474</v>
      </c>
      <c r="C1537" t="s">
        <v>4154</v>
      </c>
      <c r="D1537" t="s">
        <v>13018</v>
      </c>
      <c r="E1537" t="s">
        <v>14494</v>
      </c>
      <c r="F1537" t="s">
        <v>22436</v>
      </c>
      <c r="G1537" t="s">
        <v>22444</v>
      </c>
      <c r="H1537" t="s">
        <v>22454</v>
      </c>
      <c r="I1537" t="s">
        <v>3529</v>
      </c>
      <c r="J1537" t="s">
        <v>23709</v>
      </c>
      <c r="K1537" t="s">
        <v>29329</v>
      </c>
      <c r="M1537" t="s">
        <v>30058</v>
      </c>
      <c r="N1537" t="s">
        <v>32524</v>
      </c>
      <c r="O1537" t="s">
        <v>32525</v>
      </c>
      <c r="P1537">
        <v>0</v>
      </c>
      <c r="Q1537">
        <v>0</v>
      </c>
      <c r="R1537" t="s">
        <v>32526</v>
      </c>
      <c r="S1537" t="s">
        <v>32547</v>
      </c>
      <c r="T1537" t="s">
        <v>33295</v>
      </c>
      <c r="U1537" t="s">
        <v>34946</v>
      </c>
      <c r="W1537" t="s">
        <v>30058</v>
      </c>
      <c r="X1537" t="s">
        <v>32527</v>
      </c>
    </row>
    <row r="1538" spans="1:24">
      <c r="A1538">
        <f>HYPERLINK("https://www.philgeps.gov.ph/GEPSNONPILOT/Tender/SplashBidNoticeAbstractUI.aspx?menuIndex=3&amp;refID=7046059&amp;Result=3","7046059")</f>
        <v>0</v>
      </c>
      <c r="B1538" t="s">
        <v>634</v>
      </c>
      <c r="C1538" t="s">
        <v>4155</v>
      </c>
      <c r="E1538" t="s">
        <v>14495</v>
      </c>
      <c r="F1538" t="s">
        <v>22436</v>
      </c>
      <c r="G1538" t="s">
        <v>22443</v>
      </c>
      <c r="H1538" t="s">
        <v>22452</v>
      </c>
      <c r="I1538" t="s">
        <v>22475</v>
      </c>
      <c r="J1538" t="s">
        <v>22853</v>
      </c>
      <c r="K1538" t="s">
        <v>29338</v>
      </c>
      <c r="M1538" t="s">
        <v>30225</v>
      </c>
      <c r="N1538" t="s">
        <v>32524</v>
      </c>
      <c r="O1538" t="s">
        <v>32525</v>
      </c>
      <c r="P1538">
        <v>0</v>
      </c>
      <c r="Q1538">
        <v>1</v>
      </c>
      <c r="R1538" t="s">
        <v>32526</v>
      </c>
      <c r="S1538" t="s">
        <v>32547</v>
      </c>
      <c r="T1538" t="s">
        <v>33196</v>
      </c>
      <c r="U1538" t="s">
        <v>34947</v>
      </c>
      <c r="W1538" t="s">
        <v>30225</v>
      </c>
      <c r="X1538" t="s">
        <v>32527</v>
      </c>
    </row>
    <row r="1539" spans="1:24">
      <c r="A1539">
        <f>HYPERLINK("https://www.philgeps.gov.ph/GEPSNONPILOT/Tender/SplashBidNoticeAbstractUI.aspx?menuIndex=3&amp;refID=7046033&amp;Result=3","7046033")</f>
        <v>0</v>
      </c>
      <c r="B1539" t="s">
        <v>635</v>
      </c>
      <c r="C1539" t="s">
        <v>4156</v>
      </c>
      <c r="D1539" t="s">
        <v>13029</v>
      </c>
      <c r="E1539" t="s">
        <v>13770</v>
      </c>
      <c r="F1539" t="s">
        <v>22436</v>
      </c>
      <c r="G1539" t="s">
        <v>22443</v>
      </c>
      <c r="H1539" t="s">
        <v>22452</v>
      </c>
      <c r="I1539" t="s">
        <v>22479</v>
      </c>
      <c r="J1539" t="s">
        <v>22826</v>
      </c>
      <c r="K1539" t="s">
        <v>29341</v>
      </c>
      <c r="M1539" t="s">
        <v>30226</v>
      </c>
      <c r="N1539" t="s">
        <v>32524</v>
      </c>
      <c r="O1539" t="s">
        <v>32525</v>
      </c>
      <c r="P1539">
        <v>0</v>
      </c>
      <c r="Q1539">
        <v>2</v>
      </c>
      <c r="R1539" t="s">
        <v>32526</v>
      </c>
      <c r="S1539" t="s">
        <v>32547</v>
      </c>
      <c r="T1539" t="s">
        <v>33169</v>
      </c>
      <c r="U1539" t="s">
        <v>34948</v>
      </c>
      <c r="V1539" t="s">
        <v>42570</v>
      </c>
      <c r="W1539" t="s">
        <v>30226</v>
      </c>
      <c r="X1539" t="s">
        <v>32527</v>
      </c>
    </row>
    <row r="1540" spans="1:24">
      <c r="A1540">
        <f>HYPERLINK("https://www.philgeps.gov.ph/GEPSNONPILOT/Tender/SplashBidNoticeAbstractUI.aspx?menuIndex=3&amp;refID=7046047&amp;Result=3","7046047")</f>
        <v>0</v>
      </c>
      <c r="B1540" t="s">
        <v>636</v>
      </c>
      <c r="C1540" t="s">
        <v>4157</v>
      </c>
      <c r="D1540" t="s">
        <v>13001</v>
      </c>
      <c r="E1540" t="s">
        <v>4157</v>
      </c>
      <c r="F1540" t="s">
        <v>22436</v>
      </c>
      <c r="G1540" t="s">
        <v>22446</v>
      </c>
      <c r="H1540" t="s">
        <v>22452</v>
      </c>
      <c r="I1540" t="s">
        <v>22468</v>
      </c>
      <c r="J1540" t="s">
        <v>23638</v>
      </c>
      <c r="K1540" t="s">
        <v>29357</v>
      </c>
      <c r="M1540" t="s">
        <v>30227</v>
      </c>
      <c r="N1540" t="s">
        <v>32524</v>
      </c>
      <c r="O1540" t="s">
        <v>32525</v>
      </c>
      <c r="P1540">
        <v>0</v>
      </c>
      <c r="Q1540">
        <v>0</v>
      </c>
      <c r="R1540" t="s">
        <v>32526</v>
      </c>
      <c r="S1540" t="s">
        <v>32547</v>
      </c>
      <c r="T1540" t="s">
        <v>33310</v>
      </c>
      <c r="U1540" t="s">
        <v>34949</v>
      </c>
      <c r="W1540" t="s">
        <v>30227</v>
      </c>
      <c r="X1540" t="s">
        <v>32527</v>
      </c>
    </row>
    <row r="1541" spans="1:24">
      <c r="A1541">
        <f>HYPERLINK("https://www.philgeps.gov.ph/GEPSNONPILOT/Tender/SplashBidNoticeAbstractUI.aspx?menuIndex=3&amp;refID=7046058&amp;Result=3","7046058")</f>
        <v>0</v>
      </c>
      <c r="B1541" t="s">
        <v>463</v>
      </c>
      <c r="C1541" t="s">
        <v>4158</v>
      </c>
      <c r="D1541" t="s">
        <v>13031</v>
      </c>
      <c r="E1541" t="s">
        <v>14496</v>
      </c>
      <c r="F1541" t="s">
        <v>22436</v>
      </c>
      <c r="G1541" t="s">
        <v>22446</v>
      </c>
      <c r="H1541" t="s">
        <v>22452</v>
      </c>
      <c r="I1541" t="s">
        <v>22468</v>
      </c>
      <c r="J1541" t="s">
        <v>23710</v>
      </c>
      <c r="K1541" t="s">
        <v>29357</v>
      </c>
      <c r="M1541" t="s">
        <v>30045</v>
      </c>
      <c r="N1541" t="s">
        <v>32524</v>
      </c>
      <c r="O1541" t="s">
        <v>32525</v>
      </c>
      <c r="P1541">
        <v>0</v>
      </c>
      <c r="Q1541">
        <v>0</v>
      </c>
      <c r="R1541" t="s">
        <v>32526</v>
      </c>
      <c r="S1541" t="s">
        <v>32547</v>
      </c>
      <c r="T1541" t="s">
        <v>33292</v>
      </c>
      <c r="U1541" t="s">
        <v>34950</v>
      </c>
      <c r="V1541" t="s">
        <v>42520</v>
      </c>
      <c r="W1541" t="s">
        <v>30045</v>
      </c>
      <c r="X1541" t="s">
        <v>32527</v>
      </c>
    </row>
    <row r="1542" spans="1:24">
      <c r="A1542">
        <f>HYPERLINK("https://www.philgeps.gov.ph/GEPSNONPILOT/Tender/SplashBidNoticeAbstractUI.aspx?menuIndex=3&amp;refID=7046012&amp;Result=3","7046012")</f>
        <v>0</v>
      </c>
      <c r="B1542" t="s">
        <v>463</v>
      </c>
      <c r="C1542" t="s">
        <v>4159</v>
      </c>
      <c r="D1542" t="s">
        <v>13031</v>
      </c>
      <c r="E1542" t="s">
        <v>14497</v>
      </c>
      <c r="F1542" t="s">
        <v>22436</v>
      </c>
      <c r="G1542" t="s">
        <v>22446</v>
      </c>
      <c r="H1542" t="s">
        <v>22452</v>
      </c>
      <c r="I1542" t="s">
        <v>3529</v>
      </c>
      <c r="J1542" t="s">
        <v>23711</v>
      </c>
      <c r="K1542" t="s">
        <v>29357</v>
      </c>
      <c r="M1542" t="s">
        <v>30045</v>
      </c>
      <c r="N1542" t="s">
        <v>32524</v>
      </c>
      <c r="O1542" t="s">
        <v>32525</v>
      </c>
      <c r="P1542">
        <v>0</v>
      </c>
      <c r="Q1542">
        <v>0</v>
      </c>
      <c r="R1542" t="s">
        <v>32526</v>
      </c>
      <c r="S1542" t="s">
        <v>32547</v>
      </c>
      <c r="T1542" t="s">
        <v>33292</v>
      </c>
      <c r="U1542" t="s">
        <v>34951</v>
      </c>
      <c r="V1542" t="s">
        <v>42520</v>
      </c>
      <c r="W1542" t="s">
        <v>30045</v>
      </c>
      <c r="X1542" t="s">
        <v>32527</v>
      </c>
    </row>
    <row r="1543" spans="1:24">
      <c r="A1543">
        <f>HYPERLINK("https://www.philgeps.gov.ph/GEPSNONPILOT/Tender/SplashBidNoticeAbstractUI.aspx?menuIndex=3&amp;refID=7046055&amp;Result=3","7046055")</f>
        <v>0</v>
      </c>
      <c r="B1543" t="s">
        <v>280</v>
      </c>
      <c r="C1543" t="s">
        <v>4160</v>
      </c>
      <c r="D1543" t="s">
        <v>13055</v>
      </c>
      <c r="E1543" t="s">
        <v>14498</v>
      </c>
      <c r="F1543" t="s">
        <v>22436</v>
      </c>
      <c r="G1543" t="s">
        <v>22443</v>
      </c>
      <c r="H1543" t="s">
        <v>22452</v>
      </c>
      <c r="I1543" t="s">
        <v>22495</v>
      </c>
      <c r="J1543" t="s">
        <v>22874</v>
      </c>
      <c r="K1543" t="s">
        <v>29336</v>
      </c>
      <c r="M1543" t="s">
        <v>29854</v>
      </c>
      <c r="N1543" t="s">
        <v>32524</v>
      </c>
      <c r="O1543" t="s">
        <v>32525</v>
      </c>
      <c r="P1543">
        <v>0</v>
      </c>
      <c r="Q1543">
        <v>3</v>
      </c>
      <c r="R1543" t="s">
        <v>32526</v>
      </c>
      <c r="S1543" t="s">
        <v>32547</v>
      </c>
      <c r="T1543" t="s">
        <v>33181</v>
      </c>
      <c r="U1543" t="s">
        <v>34336</v>
      </c>
      <c r="V1543" t="s">
        <v>42486</v>
      </c>
      <c r="W1543" t="s">
        <v>29854</v>
      </c>
      <c r="X1543" t="s">
        <v>32527</v>
      </c>
    </row>
    <row r="1544" spans="1:24">
      <c r="A1544">
        <f>HYPERLINK("https://www.philgeps.gov.ph/GEPSNONPILOT/Tender/SplashBidNoticeAbstractUI.aspx?menuIndex=3&amp;refID=7046054&amp;Result=3","7046054")</f>
        <v>0</v>
      </c>
      <c r="B1544" t="s">
        <v>389</v>
      </c>
      <c r="C1544" t="s">
        <v>4161</v>
      </c>
      <c r="D1544" t="s">
        <v>13022</v>
      </c>
      <c r="E1544" t="s">
        <v>14499</v>
      </c>
      <c r="F1544" t="s">
        <v>22436</v>
      </c>
      <c r="G1544" t="s">
        <v>22443</v>
      </c>
      <c r="H1544" t="s">
        <v>22452</v>
      </c>
      <c r="I1544" t="s">
        <v>6421</v>
      </c>
      <c r="J1544" t="s">
        <v>23712</v>
      </c>
      <c r="K1544" t="s">
        <v>29356</v>
      </c>
      <c r="M1544" t="s">
        <v>29968</v>
      </c>
      <c r="N1544" t="s">
        <v>32524</v>
      </c>
      <c r="O1544" t="s">
        <v>32525</v>
      </c>
      <c r="P1544">
        <v>0</v>
      </c>
      <c r="Q1544">
        <v>0</v>
      </c>
      <c r="R1544" t="s">
        <v>32526</v>
      </c>
      <c r="S1544" t="s">
        <v>32547</v>
      </c>
      <c r="T1544" t="s">
        <v>33169</v>
      </c>
      <c r="U1544" t="s">
        <v>34952</v>
      </c>
      <c r="V1544" t="s">
        <v>42506</v>
      </c>
      <c r="W1544" t="s">
        <v>29968</v>
      </c>
      <c r="X1544" t="s">
        <v>32527</v>
      </c>
    </row>
    <row r="1545" spans="1:24">
      <c r="A1545">
        <f>HYPERLINK("https://www.philgeps.gov.ph/GEPSNONPILOT/Tender/SplashBidNoticeAbstractUI.aspx?menuIndex=3&amp;refID=7046057&amp;Result=3","7046057")</f>
        <v>0</v>
      </c>
      <c r="B1545" t="s">
        <v>637</v>
      </c>
      <c r="C1545" t="s">
        <v>4162</v>
      </c>
      <c r="D1545" t="s">
        <v>13006</v>
      </c>
      <c r="E1545" t="s">
        <v>14500</v>
      </c>
      <c r="F1545" t="s">
        <v>22436</v>
      </c>
      <c r="G1545" t="s">
        <v>22443</v>
      </c>
      <c r="H1545" t="s">
        <v>22452</v>
      </c>
      <c r="I1545" t="s">
        <v>22456</v>
      </c>
      <c r="J1545" t="s">
        <v>22788</v>
      </c>
      <c r="K1545" t="s">
        <v>29333</v>
      </c>
      <c r="M1545" t="s">
        <v>30228</v>
      </c>
      <c r="N1545" t="s">
        <v>32524</v>
      </c>
      <c r="O1545" t="s">
        <v>32525</v>
      </c>
      <c r="P1545">
        <v>0</v>
      </c>
      <c r="Q1545">
        <v>2</v>
      </c>
      <c r="R1545" t="s">
        <v>32526</v>
      </c>
      <c r="S1545" t="s">
        <v>32547</v>
      </c>
      <c r="T1545" t="s">
        <v>33197</v>
      </c>
      <c r="U1545" t="s">
        <v>34953</v>
      </c>
      <c r="W1545" t="s">
        <v>30228</v>
      </c>
      <c r="X1545" t="s">
        <v>32527</v>
      </c>
    </row>
    <row r="1546" spans="1:24">
      <c r="A1546">
        <f>HYPERLINK("https://www.philgeps.gov.ph/GEPSNONPILOT/Tender/SplashBidNoticeAbstractUI.aspx?menuIndex=3&amp;refID=7046009&amp;Result=3","7046009")</f>
        <v>0</v>
      </c>
      <c r="B1546" t="s">
        <v>638</v>
      </c>
      <c r="C1546" t="s">
        <v>4163</v>
      </c>
      <c r="D1546" t="s">
        <v>13049</v>
      </c>
      <c r="E1546" t="s">
        <v>14501</v>
      </c>
      <c r="F1546" t="s">
        <v>22436</v>
      </c>
      <c r="G1546" t="s">
        <v>22444</v>
      </c>
      <c r="H1546" t="s">
        <v>22454</v>
      </c>
      <c r="I1546" t="s">
        <v>7738</v>
      </c>
      <c r="J1546" t="s">
        <v>23350</v>
      </c>
      <c r="K1546" t="s">
        <v>29334</v>
      </c>
      <c r="M1546" t="s">
        <v>30229</v>
      </c>
      <c r="N1546" t="s">
        <v>32524</v>
      </c>
      <c r="O1546" t="s">
        <v>32525</v>
      </c>
      <c r="P1546">
        <v>0</v>
      </c>
      <c r="Q1546">
        <v>0</v>
      </c>
      <c r="R1546" t="s">
        <v>32526</v>
      </c>
      <c r="S1546" t="s">
        <v>32547</v>
      </c>
      <c r="T1546" t="s">
        <v>33173</v>
      </c>
      <c r="U1546" t="s">
        <v>34954</v>
      </c>
      <c r="W1546" t="s">
        <v>30229</v>
      </c>
      <c r="X1546" t="s">
        <v>32527</v>
      </c>
    </row>
    <row r="1547" spans="1:24">
      <c r="A1547">
        <f>HYPERLINK("https://www.philgeps.gov.ph/GEPSNONPILOT/Tender/SplashBidNoticeAbstractUI.aspx?menuIndex=3&amp;refID=7046046&amp;Result=3","7046046")</f>
        <v>0</v>
      </c>
      <c r="B1547" t="s">
        <v>623</v>
      </c>
      <c r="C1547" t="s">
        <v>4164</v>
      </c>
      <c r="E1547" t="s">
        <v>14502</v>
      </c>
      <c r="F1547" t="s">
        <v>22436</v>
      </c>
      <c r="G1547" t="s">
        <v>22443</v>
      </c>
      <c r="H1547" t="s">
        <v>22452</v>
      </c>
      <c r="I1547" t="s">
        <v>22469</v>
      </c>
      <c r="J1547" t="s">
        <v>23421</v>
      </c>
      <c r="K1547" t="s">
        <v>29338</v>
      </c>
      <c r="M1547" t="s">
        <v>30214</v>
      </c>
      <c r="N1547" t="s">
        <v>32524</v>
      </c>
      <c r="O1547" t="s">
        <v>32525</v>
      </c>
      <c r="P1547">
        <v>0</v>
      </c>
      <c r="Q1547">
        <v>0</v>
      </c>
      <c r="R1547" t="s">
        <v>32526</v>
      </c>
      <c r="S1547" t="s">
        <v>32547</v>
      </c>
      <c r="T1547" t="s">
        <v>33155</v>
      </c>
      <c r="U1547" t="s">
        <v>34955</v>
      </c>
      <c r="W1547" t="s">
        <v>30214</v>
      </c>
      <c r="X1547" t="s">
        <v>32527</v>
      </c>
    </row>
    <row r="1548" spans="1:24">
      <c r="A1548">
        <f>HYPERLINK("https://www.philgeps.gov.ph/GEPSNONPILOT/Tender/SplashBidNoticeAbstractUI.aspx?menuIndex=3&amp;refID=7046053&amp;Result=3","7046053")</f>
        <v>0</v>
      </c>
      <c r="B1548" t="s">
        <v>567</v>
      </c>
      <c r="C1548" t="s">
        <v>4165</v>
      </c>
      <c r="D1548" t="s">
        <v>13012</v>
      </c>
      <c r="E1548" t="s">
        <v>14503</v>
      </c>
      <c r="F1548" t="s">
        <v>22436</v>
      </c>
      <c r="G1548" t="s">
        <v>22444</v>
      </c>
      <c r="H1548" t="s">
        <v>22452</v>
      </c>
      <c r="I1548" t="s">
        <v>22502</v>
      </c>
      <c r="J1548" t="s">
        <v>23713</v>
      </c>
      <c r="K1548" t="s">
        <v>29334</v>
      </c>
      <c r="M1548" t="s">
        <v>30155</v>
      </c>
      <c r="N1548" t="s">
        <v>32524</v>
      </c>
      <c r="O1548" t="s">
        <v>32525</v>
      </c>
      <c r="P1548">
        <v>0</v>
      </c>
      <c r="Q1548">
        <v>3</v>
      </c>
      <c r="R1548" t="s">
        <v>32526</v>
      </c>
      <c r="S1548" t="s">
        <v>32547</v>
      </c>
      <c r="T1548" t="s">
        <v>33315</v>
      </c>
      <c r="U1548" t="s">
        <v>34956</v>
      </c>
      <c r="V1548" t="s">
        <v>42552</v>
      </c>
      <c r="W1548" t="s">
        <v>30155</v>
      </c>
      <c r="X1548" t="s">
        <v>32527</v>
      </c>
    </row>
    <row r="1549" spans="1:24">
      <c r="A1549">
        <f>HYPERLINK("https://www.philgeps.gov.ph/GEPSNONPILOT/Tender/SplashBidNoticeAbstractUI.aspx?menuIndex=3&amp;refID=7046050&amp;Result=3","7046050")</f>
        <v>0</v>
      </c>
      <c r="B1549" t="s">
        <v>639</v>
      </c>
      <c r="C1549" t="s">
        <v>4166</v>
      </c>
      <c r="D1549" t="s">
        <v>12998</v>
      </c>
      <c r="E1549" t="s">
        <v>13182</v>
      </c>
      <c r="F1549" t="s">
        <v>22436</v>
      </c>
      <c r="G1549" t="s">
        <v>22444</v>
      </c>
      <c r="H1549" t="s">
        <v>22452</v>
      </c>
      <c r="I1549" t="s">
        <v>22474</v>
      </c>
      <c r="J1549" t="s">
        <v>22893</v>
      </c>
      <c r="K1549" t="s">
        <v>29336</v>
      </c>
      <c r="M1549" t="s">
        <v>30230</v>
      </c>
      <c r="N1549" t="s">
        <v>32524</v>
      </c>
      <c r="O1549" t="s">
        <v>32525</v>
      </c>
      <c r="P1549">
        <v>0</v>
      </c>
      <c r="Q1549">
        <v>2</v>
      </c>
      <c r="R1549" t="s">
        <v>32526</v>
      </c>
      <c r="S1549" t="s">
        <v>32547</v>
      </c>
      <c r="T1549" t="s">
        <v>33181</v>
      </c>
      <c r="U1549" t="s">
        <v>34957</v>
      </c>
      <c r="W1549" t="s">
        <v>30230</v>
      </c>
      <c r="X1549" t="s">
        <v>32527</v>
      </c>
    </row>
    <row r="1550" spans="1:24">
      <c r="A1550">
        <f>HYPERLINK("https://www.philgeps.gov.ph/GEPSNONPILOT/Tender/SplashBidNoticeAbstractUI.aspx?menuIndex=3&amp;refID=7046041&amp;Result=3","7046041")</f>
        <v>0</v>
      </c>
      <c r="B1550" t="s">
        <v>33</v>
      </c>
      <c r="C1550" t="s">
        <v>4167</v>
      </c>
      <c r="D1550" t="s">
        <v>13004</v>
      </c>
      <c r="E1550" t="s">
        <v>14504</v>
      </c>
      <c r="F1550" t="s">
        <v>22436</v>
      </c>
      <c r="G1550" t="s">
        <v>22443</v>
      </c>
      <c r="H1550" t="s">
        <v>22452</v>
      </c>
      <c r="I1550" t="s">
        <v>2981</v>
      </c>
      <c r="J1550" t="s">
        <v>22929</v>
      </c>
      <c r="K1550" t="s">
        <v>29338</v>
      </c>
      <c r="M1550" t="s">
        <v>29603</v>
      </c>
      <c r="N1550" t="s">
        <v>32524</v>
      </c>
      <c r="O1550" t="s">
        <v>32525</v>
      </c>
      <c r="P1550">
        <v>0</v>
      </c>
      <c r="Q1550">
        <v>0</v>
      </c>
      <c r="R1550" t="s">
        <v>32526</v>
      </c>
      <c r="S1550" t="s">
        <v>32547</v>
      </c>
      <c r="T1550" t="s">
        <v>33154</v>
      </c>
      <c r="U1550" t="s">
        <v>34958</v>
      </c>
      <c r="W1550" t="s">
        <v>29603</v>
      </c>
      <c r="X1550" t="s">
        <v>32527</v>
      </c>
    </row>
    <row r="1551" spans="1:24">
      <c r="A1551">
        <f>HYPERLINK("https://www.philgeps.gov.ph/GEPSNONPILOT/Tender/SplashBidNoticeAbstractUI.aspx?menuIndex=3&amp;refID=7046035&amp;Result=3","7046035")</f>
        <v>0</v>
      </c>
      <c r="B1551" t="s">
        <v>411</v>
      </c>
      <c r="C1551" t="s">
        <v>4168</v>
      </c>
      <c r="D1551" t="s">
        <v>13015</v>
      </c>
      <c r="E1551" t="s">
        <v>14505</v>
      </c>
      <c r="F1551" t="s">
        <v>22436</v>
      </c>
      <c r="G1551" t="s">
        <v>22444</v>
      </c>
      <c r="H1551" t="s">
        <v>22452</v>
      </c>
      <c r="I1551" t="s">
        <v>22508</v>
      </c>
      <c r="J1551" t="s">
        <v>22806</v>
      </c>
      <c r="K1551" t="s">
        <v>29341</v>
      </c>
      <c r="M1551" t="s">
        <v>29990</v>
      </c>
      <c r="N1551" t="s">
        <v>32524</v>
      </c>
      <c r="O1551" t="s">
        <v>32525</v>
      </c>
      <c r="P1551">
        <v>0</v>
      </c>
      <c r="Q1551">
        <v>1</v>
      </c>
      <c r="R1551" t="s">
        <v>32526</v>
      </c>
      <c r="S1551" t="s">
        <v>32547</v>
      </c>
      <c r="T1551" t="s">
        <v>33175</v>
      </c>
      <c r="U1551" t="s">
        <v>34959</v>
      </c>
      <c r="W1551" t="s">
        <v>29990</v>
      </c>
      <c r="X1551" t="s">
        <v>32527</v>
      </c>
    </row>
    <row r="1552" spans="1:24">
      <c r="A1552">
        <f>HYPERLINK("https://www.philgeps.gov.ph/GEPSNONPILOT/Tender/SplashBidNoticeAbstractUI.aspx?menuIndex=3&amp;refID=7046045&amp;Result=3","7046045")</f>
        <v>0</v>
      </c>
      <c r="B1552" t="s">
        <v>626</v>
      </c>
      <c r="C1552" t="s">
        <v>4169</v>
      </c>
      <c r="D1552" t="s">
        <v>13051</v>
      </c>
      <c r="E1552" t="s">
        <v>14506</v>
      </c>
      <c r="F1552" t="s">
        <v>22436</v>
      </c>
      <c r="G1552" t="s">
        <v>22446</v>
      </c>
      <c r="H1552" t="s">
        <v>22452</v>
      </c>
      <c r="I1552" t="s">
        <v>5194</v>
      </c>
      <c r="J1552" t="s">
        <v>23714</v>
      </c>
      <c r="K1552" t="s">
        <v>29341</v>
      </c>
      <c r="M1552" t="s">
        <v>30217</v>
      </c>
      <c r="N1552" t="s">
        <v>32524</v>
      </c>
      <c r="O1552" t="s">
        <v>32525</v>
      </c>
      <c r="P1552">
        <v>0</v>
      </c>
      <c r="Q1552">
        <v>1</v>
      </c>
      <c r="R1552" t="s">
        <v>32526</v>
      </c>
      <c r="S1552" t="s">
        <v>32547</v>
      </c>
      <c r="T1552" t="s">
        <v>33317</v>
      </c>
      <c r="U1552" t="s">
        <v>34960</v>
      </c>
      <c r="W1552" t="s">
        <v>30217</v>
      </c>
      <c r="X1552" t="s">
        <v>32527</v>
      </c>
    </row>
    <row r="1553" spans="1:24">
      <c r="A1553">
        <f>HYPERLINK("https://www.philgeps.gov.ph/GEPSNONPILOT/Tender/SplashBidNoticeAbstractUI.aspx?menuIndex=3&amp;refID=7046034&amp;Result=3","7046034")</f>
        <v>0</v>
      </c>
      <c r="B1553" t="s">
        <v>640</v>
      </c>
      <c r="C1553" t="s">
        <v>4170</v>
      </c>
      <c r="D1553" t="s">
        <v>12988</v>
      </c>
      <c r="E1553" t="s">
        <v>14507</v>
      </c>
      <c r="F1553" t="s">
        <v>22436</v>
      </c>
      <c r="G1553" t="s">
        <v>22443</v>
      </c>
      <c r="H1553" t="s">
        <v>22452</v>
      </c>
      <c r="I1553" t="s">
        <v>4170</v>
      </c>
      <c r="J1553" t="s">
        <v>23715</v>
      </c>
      <c r="K1553" t="s">
        <v>29336</v>
      </c>
      <c r="M1553" t="s">
        <v>30231</v>
      </c>
      <c r="N1553" t="s">
        <v>32524</v>
      </c>
      <c r="O1553" t="s">
        <v>32525</v>
      </c>
      <c r="P1553">
        <v>0</v>
      </c>
      <c r="Q1553">
        <v>3</v>
      </c>
      <c r="R1553" t="s">
        <v>32526</v>
      </c>
      <c r="S1553" t="s">
        <v>32547</v>
      </c>
      <c r="T1553" t="s">
        <v>33167</v>
      </c>
      <c r="U1553" t="s">
        <v>34961</v>
      </c>
      <c r="W1553" t="s">
        <v>30231</v>
      </c>
      <c r="X1553" t="s">
        <v>32527</v>
      </c>
    </row>
    <row r="1554" spans="1:24">
      <c r="A1554">
        <f>HYPERLINK("https://www.philgeps.gov.ph/GEPSNONPILOT/Tender/SplashBidNoticeAbstractUI.aspx?menuIndex=3&amp;refID=7046038&amp;Result=3","7046038")</f>
        <v>0</v>
      </c>
      <c r="B1554" t="s">
        <v>394</v>
      </c>
      <c r="C1554" t="s">
        <v>4171</v>
      </c>
      <c r="D1554" t="s">
        <v>13060</v>
      </c>
      <c r="E1554" t="s">
        <v>14508</v>
      </c>
      <c r="F1554" t="s">
        <v>22436</v>
      </c>
      <c r="G1554" t="s">
        <v>22443</v>
      </c>
      <c r="H1554" t="s">
        <v>22452</v>
      </c>
      <c r="I1554" t="s">
        <v>3529</v>
      </c>
      <c r="J1554" t="s">
        <v>23188</v>
      </c>
      <c r="K1554" t="s">
        <v>29357</v>
      </c>
      <c r="M1554" t="s">
        <v>29973</v>
      </c>
      <c r="N1554" t="s">
        <v>32524</v>
      </c>
      <c r="O1554" t="s">
        <v>32525</v>
      </c>
      <c r="P1554">
        <v>0</v>
      </c>
      <c r="Q1554">
        <v>0</v>
      </c>
      <c r="R1554" t="s">
        <v>32526</v>
      </c>
      <c r="S1554" t="s">
        <v>32547</v>
      </c>
      <c r="T1554" t="s">
        <v>33167</v>
      </c>
      <c r="U1554" t="s">
        <v>34962</v>
      </c>
      <c r="W1554" t="s">
        <v>29973</v>
      </c>
      <c r="X1554" t="s">
        <v>32527</v>
      </c>
    </row>
    <row r="1555" spans="1:24">
      <c r="A1555">
        <f>HYPERLINK("https://www.philgeps.gov.ph/GEPSNONPILOT/Tender/SplashBidNoticeAbstractUI.aspx?menuIndex=3&amp;refID=7046036&amp;Result=3","7046036")</f>
        <v>0</v>
      </c>
      <c r="B1555" t="s">
        <v>139</v>
      </c>
      <c r="C1555" t="s">
        <v>4172</v>
      </c>
      <c r="D1555" t="s">
        <v>13018</v>
      </c>
      <c r="E1555" t="s">
        <v>14509</v>
      </c>
      <c r="F1555" t="s">
        <v>22436</v>
      </c>
      <c r="G1555" t="s">
        <v>22444</v>
      </c>
      <c r="H1555" t="s">
        <v>22454</v>
      </c>
      <c r="I1555" t="s">
        <v>7738</v>
      </c>
      <c r="J1555" t="s">
        <v>23716</v>
      </c>
      <c r="K1555" t="s">
        <v>29401</v>
      </c>
      <c r="M1555" t="s">
        <v>29711</v>
      </c>
      <c r="N1555" t="s">
        <v>32524</v>
      </c>
      <c r="O1555" t="s">
        <v>32525</v>
      </c>
      <c r="P1555">
        <v>0</v>
      </c>
      <c r="Q1555">
        <v>0</v>
      </c>
      <c r="R1555" t="s">
        <v>32526</v>
      </c>
      <c r="S1555" t="s">
        <v>32547</v>
      </c>
      <c r="T1555" t="s">
        <v>33291</v>
      </c>
      <c r="U1555" t="s">
        <v>34963</v>
      </c>
      <c r="W1555" t="s">
        <v>29711</v>
      </c>
      <c r="X1555" t="s">
        <v>32527</v>
      </c>
    </row>
    <row r="1556" spans="1:24">
      <c r="A1556">
        <f>HYPERLINK("https://www.philgeps.gov.ph/GEPSNONPILOT/Tender/SplashBidNoticeAbstractUI.aspx?menuIndex=3&amp;refID=7046060&amp;Result=3","7046060")</f>
        <v>0</v>
      </c>
      <c r="B1556" t="s">
        <v>238</v>
      </c>
      <c r="C1556" t="s">
        <v>4173</v>
      </c>
      <c r="D1556" t="s">
        <v>12991</v>
      </c>
      <c r="E1556" t="s">
        <v>14510</v>
      </c>
      <c r="F1556" t="s">
        <v>22436</v>
      </c>
      <c r="G1556" t="s">
        <v>22444</v>
      </c>
      <c r="H1556" t="s">
        <v>22452</v>
      </c>
      <c r="I1556" t="s">
        <v>22466</v>
      </c>
      <c r="J1556" t="s">
        <v>22721</v>
      </c>
      <c r="K1556" t="s">
        <v>29331</v>
      </c>
      <c r="M1556" t="s">
        <v>29811</v>
      </c>
      <c r="N1556" t="s">
        <v>32524</v>
      </c>
      <c r="O1556" t="s">
        <v>32525</v>
      </c>
      <c r="P1556">
        <v>0</v>
      </c>
      <c r="Q1556">
        <v>0</v>
      </c>
      <c r="R1556" t="s">
        <v>32526</v>
      </c>
      <c r="S1556" t="s">
        <v>32547</v>
      </c>
      <c r="T1556" t="s">
        <v>33244</v>
      </c>
      <c r="U1556" t="s">
        <v>34964</v>
      </c>
      <c r="W1556" t="s">
        <v>29811</v>
      </c>
      <c r="X1556" t="s">
        <v>32527</v>
      </c>
    </row>
    <row r="1557" spans="1:24">
      <c r="A1557">
        <f>HYPERLINK("https://www.philgeps.gov.ph/GEPSNONPILOT/Tender/SplashBidNoticeAbstractUI.aspx?menuIndex=3&amp;refID=7046040&amp;Result=3","7046040")</f>
        <v>0</v>
      </c>
      <c r="B1557" t="s">
        <v>553</v>
      </c>
      <c r="C1557" t="s">
        <v>4125</v>
      </c>
      <c r="D1557" t="s">
        <v>12988</v>
      </c>
      <c r="E1557" t="s">
        <v>14511</v>
      </c>
      <c r="F1557" t="s">
        <v>22436</v>
      </c>
      <c r="G1557" t="s">
        <v>22444</v>
      </c>
      <c r="H1557" t="s">
        <v>22453</v>
      </c>
      <c r="I1557" t="s">
        <v>7738</v>
      </c>
      <c r="J1557" t="s">
        <v>22874</v>
      </c>
      <c r="K1557" t="s">
        <v>29370</v>
      </c>
      <c r="M1557" t="s">
        <v>30139</v>
      </c>
      <c r="N1557" t="s">
        <v>32524</v>
      </c>
      <c r="O1557" t="s">
        <v>32525</v>
      </c>
      <c r="P1557">
        <v>0</v>
      </c>
      <c r="Q1557">
        <v>0</v>
      </c>
      <c r="R1557" t="s">
        <v>32526</v>
      </c>
      <c r="S1557" t="s">
        <v>32547</v>
      </c>
      <c r="T1557" t="s">
        <v>33326</v>
      </c>
      <c r="U1557" t="s">
        <v>34965</v>
      </c>
      <c r="W1557" t="s">
        <v>30139</v>
      </c>
      <c r="X1557" t="s">
        <v>32527</v>
      </c>
    </row>
    <row r="1558" spans="1:24">
      <c r="A1558">
        <f>HYPERLINK("https://www.philgeps.gov.ph/GEPSNONPILOT/Tender/SplashBidNoticeAbstractUI.aspx?menuIndex=3&amp;refID=7046037&amp;Result=3","7046037")</f>
        <v>0</v>
      </c>
      <c r="B1558" t="s">
        <v>238</v>
      </c>
      <c r="C1558" t="s">
        <v>4174</v>
      </c>
      <c r="D1558" t="s">
        <v>12991</v>
      </c>
      <c r="E1558" t="s">
        <v>14512</v>
      </c>
      <c r="F1558" t="s">
        <v>22436</v>
      </c>
      <c r="G1558" t="s">
        <v>22444</v>
      </c>
      <c r="H1558" t="s">
        <v>22452</v>
      </c>
      <c r="I1558" t="s">
        <v>3840</v>
      </c>
      <c r="J1558" t="s">
        <v>23717</v>
      </c>
      <c r="K1558" t="s">
        <v>29331</v>
      </c>
      <c r="M1558" t="s">
        <v>29811</v>
      </c>
      <c r="N1558" t="s">
        <v>32524</v>
      </c>
      <c r="O1558" t="s">
        <v>32525</v>
      </c>
      <c r="P1558">
        <v>0</v>
      </c>
      <c r="Q1558">
        <v>0</v>
      </c>
      <c r="R1558" t="s">
        <v>32526</v>
      </c>
      <c r="S1558" t="s">
        <v>32547</v>
      </c>
      <c r="T1558" t="s">
        <v>33244</v>
      </c>
      <c r="U1558" t="s">
        <v>34778</v>
      </c>
      <c r="W1558" t="s">
        <v>29811</v>
      </c>
      <c r="X1558" t="s">
        <v>32527</v>
      </c>
    </row>
    <row r="1559" spans="1:24">
      <c r="A1559">
        <f>HYPERLINK("https://www.philgeps.gov.ph/GEPSNONPILOT/Tender/SplashBidNoticeAbstractUI.aspx?menuIndex=3&amp;refID=7046049&amp;Result=3","7046049")</f>
        <v>0</v>
      </c>
      <c r="B1559" t="s">
        <v>407</v>
      </c>
      <c r="C1559" t="s">
        <v>4175</v>
      </c>
      <c r="D1559" t="s">
        <v>12997</v>
      </c>
      <c r="E1559" t="s">
        <v>14513</v>
      </c>
      <c r="F1559" t="s">
        <v>22436</v>
      </c>
      <c r="G1559" t="s">
        <v>22445</v>
      </c>
      <c r="H1559" t="s">
        <v>22452</v>
      </c>
      <c r="I1559" t="s">
        <v>22456</v>
      </c>
      <c r="J1559" t="s">
        <v>22616</v>
      </c>
      <c r="K1559" t="s">
        <v>29356</v>
      </c>
      <c r="M1559" t="s">
        <v>29986</v>
      </c>
      <c r="N1559" t="s">
        <v>32524</v>
      </c>
      <c r="O1559" t="s">
        <v>32525</v>
      </c>
      <c r="P1559">
        <v>0</v>
      </c>
      <c r="Q1559">
        <v>0</v>
      </c>
      <c r="R1559" t="s">
        <v>32526</v>
      </c>
      <c r="S1559" t="s">
        <v>32547</v>
      </c>
      <c r="T1559" t="s">
        <v>33196</v>
      </c>
      <c r="U1559" t="s">
        <v>34433</v>
      </c>
      <c r="W1559" t="s">
        <v>29986</v>
      </c>
      <c r="X1559" t="s">
        <v>32527</v>
      </c>
    </row>
    <row r="1560" spans="1:24">
      <c r="A1560">
        <f>HYPERLINK("https://www.philgeps.gov.ph/GEPSNONPILOT/Tender/SplashBidNoticeAbstractUI.aspx?menuIndex=3&amp;refID=7046076&amp;Result=3","7046076")</f>
        <v>0</v>
      </c>
      <c r="B1560" t="s">
        <v>622</v>
      </c>
      <c r="C1560" t="s">
        <v>4176</v>
      </c>
      <c r="D1560" t="s">
        <v>12996</v>
      </c>
      <c r="E1560" t="s">
        <v>14514</v>
      </c>
      <c r="F1560" t="s">
        <v>22436</v>
      </c>
      <c r="G1560" t="s">
        <v>22443</v>
      </c>
      <c r="H1560" t="s">
        <v>22452</v>
      </c>
      <c r="I1560" t="s">
        <v>11896</v>
      </c>
      <c r="J1560" t="s">
        <v>23718</v>
      </c>
      <c r="K1560" t="s">
        <v>29331</v>
      </c>
      <c r="M1560" t="s">
        <v>30212</v>
      </c>
      <c r="N1560" t="s">
        <v>32524</v>
      </c>
      <c r="O1560" t="s">
        <v>32525</v>
      </c>
      <c r="P1560">
        <v>0</v>
      </c>
      <c r="Q1560">
        <v>0</v>
      </c>
      <c r="R1560" t="s">
        <v>32526</v>
      </c>
      <c r="S1560" t="s">
        <v>32547</v>
      </c>
      <c r="T1560" t="s">
        <v>33311</v>
      </c>
      <c r="U1560" t="s">
        <v>34966</v>
      </c>
      <c r="V1560" t="s">
        <v>42566</v>
      </c>
      <c r="W1560" t="s">
        <v>30212</v>
      </c>
      <c r="X1560" t="s">
        <v>32527</v>
      </c>
    </row>
    <row r="1561" spans="1:24">
      <c r="A1561">
        <f>HYPERLINK("https://www.philgeps.gov.ph/GEPSNONPILOT/Tender/SplashBidNoticeAbstractUI.aspx?menuIndex=3&amp;refID=7046004&amp;Result=3","7046004")</f>
        <v>0</v>
      </c>
      <c r="B1561" t="s">
        <v>238</v>
      </c>
      <c r="C1561" t="s">
        <v>4177</v>
      </c>
      <c r="D1561" t="s">
        <v>12991</v>
      </c>
      <c r="E1561" t="s">
        <v>14515</v>
      </c>
      <c r="F1561" t="s">
        <v>22436</v>
      </c>
      <c r="G1561" t="s">
        <v>22444</v>
      </c>
      <c r="H1561" t="s">
        <v>22452</v>
      </c>
      <c r="I1561" t="s">
        <v>22460</v>
      </c>
      <c r="J1561" t="s">
        <v>23719</v>
      </c>
      <c r="K1561" t="s">
        <v>29331</v>
      </c>
      <c r="M1561" t="s">
        <v>29811</v>
      </c>
      <c r="N1561" t="s">
        <v>32524</v>
      </c>
      <c r="O1561" t="s">
        <v>32525</v>
      </c>
      <c r="P1561">
        <v>0</v>
      </c>
      <c r="Q1561">
        <v>0</v>
      </c>
      <c r="R1561" t="s">
        <v>32526</v>
      </c>
      <c r="S1561" t="s">
        <v>32547</v>
      </c>
      <c r="T1561" t="s">
        <v>33244</v>
      </c>
      <c r="U1561" t="s">
        <v>34065</v>
      </c>
      <c r="W1561" t="s">
        <v>29811</v>
      </c>
      <c r="X1561" t="s">
        <v>32527</v>
      </c>
    </row>
    <row r="1562" spans="1:24">
      <c r="A1562">
        <f>HYPERLINK("https://www.philgeps.gov.ph/GEPSNONPILOT/Tender/SplashBidNoticeAbstractUI.aspx?menuIndex=3&amp;refID=7046006&amp;Result=3","7046006")</f>
        <v>0</v>
      </c>
      <c r="B1562" t="s">
        <v>641</v>
      </c>
      <c r="C1562" t="s">
        <v>4178</v>
      </c>
      <c r="D1562" t="s">
        <v>13022</v>
      </c>
      <c r="E1562" t="s">
        <v>14516</v>
      </c>
      <c r="F1562" t="s">
        <v>22436</v>
      </c>
      <c r="G1562" t="s">
        <v>22443</v>
      </c>
      <c r="H1562" t="s">
        <v>22452</v>
      </c>
      <c r="I1562" t="s">
        <v>3529</v>
      </c>
      <c r="J1562" t="s">
        <v>23720</v>
      </c>
      <c r="K1562" t="s">
        <v>29342</v>
      </c>
      <c r="M1562" t="s">
        <v>30232</v>
      </c>
      <c r="N1562" t="s">
        <v>32524</v>
      </c>
      <c r="O1562" t="s">
        <v>32525</v>
      </c>
      <c r="P1562">
        <v>0</v>
      </c>
      <c r="Q1562">
        <v>0</v>
      </c>
      <c r="R1562" t="s">
        <v>32526</v>
      </c>
      <c r="S1562" t="s">
        <v>32547</v>
      </c>
      <c r="T1562" t="s">
        <v>33169</v>
      </c>
      <c r="U1562" t="s">
        <v>34967</v>
      </c>
      <c r="W1562" t="s">
        <v>30232</v>
      </c>
      <c r="X1562" t="s">
        <v>32527</v>
      </c>
    </row>
    <row r="1563" spans="1:24">
      <c r="A1563">
        <f>HYPERLINK("https://www.philgeps.gov.ph/GEPSNONPILOT/Tender/SplashBidNoticeAbstractUI.aspx?menuIndex=3&amp;refID=7046088&amp;Result=3","7046088")</f>
        <v>0</v>
      </c>
      <c r="B1563" t="s">
        <v>631</v>
      </c>
      <c r="C1563" t="s">
        <v>4179</v>
      </c>
      <c r="D1563" t="s">
        <v>13044</v>
      </c>
      <c r="E1563" t="s">
        <v>14517</v>
      </c>
      <c r="F1563" t="s">
        <v>22436</v>
      </c>
      <c r="G1563" t="s">
        <v>22443</v>
      </c>
      <c r="H1563" t="s">
        <v>22452</v>
      </c>
      <c r="I1563" t="s">
        <v>22458</v>
      </c>
      <c r="J1563" t="s">
        <v>23721</v>
      </c>
      <c r="K1563" t="s">
        <v>29338</v>
      </c>
      <c r="M1563" t="s">
        <v>30222</v>
      </c>
      <c r="N1563" t="s">
        <v>32524</v>
      </c>
      <c r="O1563" t="s">
        <v>32525</v>
      </c>
      <c r="P1563">
        <v>0</v>
      </c>
      <c r="Q1563">
        <v>5</v>
      </c>
      <c r="R1563" t="s">
        <v>32526</v>
      </c>
      <c r="S1563" t="s">
        <v>32547</v>
      </c>
      <c r="T1563" t="s">
        <v>33161</v>
      </c>
      <c r="U1563" t="s">
        <v>34968</v>
      </c>
      <c r="W1563" t="s">
        <v>30222</v>
      </c>
      <c r="X1563" t="s">
        <v>32527</v>
      </c>
    </row>
    <row r="1564" spans="1:24">
      <c r="A1564">
        <f>HYPERLINK("https://www.philgeps.gov.ph/GEPSNONPILOT/Tender/SplashBidNoticeAbstractUI.aspx?menuIndex=3&amp;refID=7046073&amp;Result=3","7046073")</f>
        <v>0</v>
      </c>
      <c r="B1564" t="s">
        <v>218</v>
      </c>
      <c r="C1564" t="s">
        <v>4180</v>
      </c>
      <c r="D1564" t="s">
        <v>13022</v>
      </c>
      <c r="E1564" t="s">
        <v>14518</v>
      </c>
      <c r="F1564" t="s">
        <v>22436</v>
      </c>
      <c r="G1564" t="s">
        <v>22444</v>
      </c>
      <c r="H1564" t="s">
        <v>22454</v>
      </c>
      <c r="I1564" t="s">
        <v>7738</v>
      </c>
      <c r="J1564" t="s">
        <v>23722</v>
      </c>
      <c r="K1564" t="s">
        <v>29333</v>
      </c>
      <c r="M1564" t="s">
        <v>29791</v>
      </c>
      <c r="N1564" t="s">
        <v>32524</v>
      </c>
      <c r="O1564" t="s">
        <v>32525</v>
      </c>
      <c r="P1564">
        <v>0</v>
      </c>
      <c r="Q1564">
        <v>0</v>
      </c>
      <c r="R1564" t="s">
        <v>32526</v>
      </c>
      <c r="S1564" t="s">
        <v>32547</v>
      </c>
      <c r="T1564" t="s">
        <v>33157</v>
      </c>
      <c r="U1564" t="s">
        <v>34969</v>
      </c>
      <c r="V1564" t="s">
        <v>42571</v>
      </c>
      <c r="W1564" t="s">
        <v>29791</v>
      </c>
      <c r="X1564" t="s">
        <v>32527</v>
      </c>
    </row>
    <row r="1565" spans="1:24">
      <c r="A1565">
        <f>HYPERLINK("https://www.philgeps.gov.ph/GEPSNONPILOT/Tender/SplashBidNoticeAbstractUI.aspx?menuIndex=3&amp;refID=7046003&amp;Result=3","7046003")</f>
        <v>0</v>
      </c>
      <c r="B1565" t="s">
        <v>642</v>
      </c>
      <c r="C1565" t="s">
        <v>4181</v>
      </c>
      <c r="D1565" t="s">
        <v>12994</v>
      </c>
      <c r="E1565" t="s">
        <v>14519</v>
      </c>
      <c r="F1565" t="s">
        <v>22436</v>
      </c>
      <c r="G1565" t="s">
        <v>22446</v>
      </c>
      <c r="H1565" t="s">
        <v>22452</v>
      </c>
      <c r="I1565" t="s">
        <v>22502</v>
      </c>
      <c r="J1565" t="s">
        <v>23723</v>
      </c>
      <c r="K1565" t="s">
        <v>29342</v>
      </c>
      <c r="M1565" t="s">
        <v>30233</v>
      </c>
      <c r="N1565" t="s">
        <v>32524</v>
      </c>
      <c r="O1565" t="s">
        <v>32525</v>
      </c>
      <c r="P1565">
        <v>0</v>
      </c>
      <c r="Q1565">
        <v>4</v>
      </c>
      <c r="R1565" t="s">
        <v>32526</v>
      </c>
      <c r="S1565" t="s">
        <v>32547</v>
      </c>
      <c r="T1565" t="s">
        <v>33185</v>
      </c>
      <c r="U1565" t="s">
        <v>34970</v>
      </c>
      <c r="W1565" t="s">
        <v>30233</v>
      </c>
      <c r="X1565" t="s">
        <v>32527</v>
      </c>
    </row>
    <row r="1566" spans="1:24">
      <c r="A1566">
        <f>HYPERLINK("https://www.philgeps.gov.ph/GEPSNONPILOT/Tender/SplashBidNoticeAbstractUI.aspx?menuIndex=3&amp;refID=7046086&amp;Result=3","7046086")</f>
        <v>0</v>
      </c>
      <c r="B1566" t="s">
        <v>643</v>
      </c>
      <c r="C1566" t="s">
        <v>4182</v>
      </c>
      <c r="D1566" t="s">
        <v>12990</v>
      </c>
      <c r="E1566" t="s">
        <v>14520</v>
      </c>
      <c r="F1566" t="s">
        <v>22437</v>
      </c>
      <c r="G1566" t="s">
        <v>22446</v>
      </c>
      <c r="H1566" t="s">
        <v>22455</v>
      </c>
      <c r="I1566" t="s">
        <v>22468</v>
      </c>
      <c r="J1566" t="s">
        <v>23724</v>
      </c>
      <c r="K1566" t="s">
        <v>29340</v>
      </c>
      <c r="M1566" t="s">
        <v>30234</v>
      </c>
      <c r="N1566" t="s">
        <v>32524</v>
      </c>
      <c r="O1566" t="s">
        <v>32525</v>
      </c>
      <c r="P1566">
        <v>0</v>
      </c>
      <c r="Q1566">
        <v>0</v>
      </c>
      <c r="R1566" t="s">
        <v>32526</v>
      </c>
      <c r="S1566" t="s">
        <v>32547</v>
      </c>
      <c r="T1566" t="s">
        <v>33328</v>
      </c>
      <c r="U1566" t="s">
        <v>34971</v>
      </c>
      <c r="W1566" t="s">
        <v>30234</v>
      </c>
      <c r="X1566" t="s">
        <v>32527</v>
      </c>
    </row>
    <row r="1567" spans="1:24">
      <c r="A1567">
        <f>HYPERLINK("https://www.philgeps.gov.ph/GEPSNONPILOT/Tender/SplashBidNoticeAbstractUI.aspx?menuIndex=3&amp;refID=7046084&amp;Result=3","7046084")</f>
        <v>0</v>
      </c>
      <c r="B1567" t="s">
        <v>567</v>
      </c>
      <c r="C1567" t="s">
        <v>4183</v>
      </c>
      <c r="D1567" t="s">
        <v>13012</v>
      </c>
      <c r="E1567" t="s">
        <v>14521</v>
      </c>
      <c r="F1567" t="s">
        <v>22436</v>
      </c>
      <c r="G1567" t="s">
        <v>22444</v>
      </c>
      <c r="H1567" t="s">
        <v>22452</v>
      </c>
      <c r="I1567" t="s">
        <v>22502</v>
      </c>
      <c r="J1567" t="s">
        <v>23093</v>
      </c>
      <c r="K1567" t="s">
        <v>29334</v>
      </c>
      <c r="M1567" t="s">
        <v>30155</v>
      </c>
      <c r="N1567" t="s">
        <v>32524</v>
      </c>
      <c r="O1567" t="s">
        <v>32525</v>
      </c>
      <c r="P1567">
        <v>0</v>
      </c>
      <c r="Q1567">
        <v>3</v>
      </c>
      <c r="R1567" t="s">
        <v>32526</v>
      </c>
      <c r="S1567" t="s">
        <v>32547</v>
      </c>
      <c r="T1567" t="s">
        <v>33315</v>
      </c>
      <c r="U1567" t="s">
        <v>34972</v>
      </c>
      <c r="V1567" t="s">
        <v>42552</v>
      </c>
      <c r="W1567" t="s">
        <v>30155</v>
      </c>
      <c r="X1567" t="s">
        <v>32527</v>
      </c>
    </row>
    <row r="1568" spans="1:24">
      <c r="A1568">
        <f>HYPERLINK("https://www.philgeps.gov.ph/GEPSNONPILOT/Tender/SplashBidNoticeAbstractUI.aspx?menuIndex=3&amp;refID=7046083&amp;Result=3","7046083")</f>
        <v>0</v>
      </c>
      <c r="B1568" t="s">
        <v>644</v>
      </c>
      <c r="C1568" t="s">
        <v>4184</v>
      </c>
      <c r="D1568" t="s">
        <v>12994</v>
      </c>
      <c r="E1568" t="s">
        <v>14522</v>
      </c>
      <c r="F1568" t="s">
        <v>22436</v>
      </c>
      <c r="G1568" t="s">
        <v>22443</v>
      </c>
      <c r="H1568" t="s">
        <v>22452</v>
      </c>
      <c r="I1568" t="s">
        <v>2981</v>
      </c>
      <c r="J1568" t="s">
        <v>23725</v>
      </c>
      <c r="K1568" t="s">
        <v>29336</v>
      </c>
      <c r="M1568" t="s">
        <v>30235</v>
      </c>
      <c r="N1568" t="s">
        <v>32524</v>
      </c>
      <c r="O1568" t="s">
        <v>32525</v>
      </c>
      <c r="P1568">
        <v>0</v>
      </c>
      <c r="Q1568">
        <v>0</v>
      </c>
      <c r="R1568" t="s">
        <v>32526</v>
      </c>
      <c r="S1568" t="s">
        <v>32547</v>
      </c>
      <c r="T1568" t="s">
        <v>33320</v>
      </c>
      <c r="U1568" t="s">
        <v>34973</v>
      </c>
      <c r="V1568" t="s">
        <v>42572</v>
      </c>
      <c r="W1568" t="s">
        <v>30235</v>
      </c>
      <c r="X1568" t="s">
        <v>32527</v>
      </c>
    </row>
    <row r="1569" spans="1:24">
      <c r="A1569">
        <f>HYPERLINK("https://www.philgeps.gov.ph/GEPSNONPILOT/Tender/SplashBidNoticeAbstractUI.aspx?menuIndex=3&amp;refID=7046069&amp;Result=3","7046069")</f>
        <v>0</v>
      </c>
      <c r="B1569" t="s">
        <v>411</v>
      </c>
      <c r="C1569" t="s">
        <v>4185</v>
      </c>
      <c r="D1569" t="s">
        <v>13015</v>
      </c>
      <c r="E1569" t="s">
        <v>14523</v>
      </c>
      <c r="F1569" t="s">
        <v>22436</v>
      </c>
      <c r="G1569" t="s">
        <v>22444</v>
      </c>
      <c r="H1569" t="s">
        <v>22452</v>
      </c>
      <c r="I1569" t="s">
        <v>6421</v>
      </c>
      <c r="J1569" t="s">
        <v>23726</v>
      </c>
      <c r="K1569" t="s">
        <v>29341</v>
      </c>
      <c r="M1569" t="s">
        <v>29990</v>
      </c>
      <c r="N1569" t="s">
        <v>32524</v>
      </c>
      <c r="O1569" t="s">
        <v>32525</v>
      </c>
      <c r="P1569">
        <v>0</v>
      </c>
      <c r="Q1569">
        <v>0</v>
      </c>
      <c r="R1569" t="s">
        <v>32526</v>
      </c>
      <c r="S1569" t="s">
        <v>32547</v>
      </c>
      <c r="T1569" t="s">
        <v>33170</v>
      </c>
      <c r="U1569" t="s">
        <v>34974</v>
      </c>
      <c r="W1569" t="s">
        <v>29990</v>
      </c>
      <c r="X1569" t="s">
        <v>32527</v>
      </c>
    </row>
    <row r="1570" spans="1:24">
      <c r="A1570">
        <f>HYPERLINK("https://www.philgeps.gov.ph/GEPSNONPILOT/Tender/SplashBidNoticeAbstractUI.aspx?menuIndex=3&amp;refID=7046070&amp;Result=3","7046070")</f>
        <v>0</v>
      </c>
      <c r="B1570" t="s">
        <v>223</v>
      </c>
      <c r="C1570" t="s">
        <v>4186</v>
      </c>
      <c r="D1570" t="s">
        <v>13024</v>
      </c>
      <c r="E1570" t="s">
        <v>14524</v>
      </c>
      <c r="F1570" t="s">
        <v>22436</v>
      </c>
      <c r="G1570" t="s">
        <v>22446</v>
      </c>
      <c r="H1570" t="s">
        <v>22452</v>
      </c>
      <c r="I1570" t="s">
        <v>22460</v>
      </c>
      <c r="J1570" t="s">
        <v>23727</v>
      </c>
      <c r="K1570" t="s">
        <v>29336</v>
      </c>
      <c r="M1570" t="s">
        <v>29796</v>
      </c>
      <c r="N1570" t="s">
        <v>32524</v>
      </c>
      <c r="O1570" t="s">
        <v>32525</v>
      </c>
      <c r="P1570">
        <v>0</v>
      </c>
      <c r="Q1570">
        <v>0</v>
      </c>
      <c r="R1570" t="s">
        <v>32526</v>
      </c>
      <c r="S1570" t="s">
        <v>32547</v>
      </c>
      <c r="T1570" t="s">
        <v>33180</v>
      </c>
      <c r="U1570" t="s">
        <v>34975</v>
      </c>
      <c r="W1570" t="s">
        <v>29796</v>
      </c>
      <c r="X1570" t="s">
        <v>32527</v>
      </c>
    </row>
    <row r="1571" spans="1:24">
      <c r="A1571">
        <f>HYPERLINK("https://www.philgeps.gov.ph/GEPSNONPILOT/Tender/SplashBidNoticeAbstractUI.aspx?menuIndex=3&amp;refID=7046085&amp;Result=3","7046085")</f>
        <v>0</v>
      </c>
      <c r="B1571" t="s">
        <v>645</v>
      </c>
      <c r="C1571" t="s">
        <v>4187</v>
      </c>
      <c r="D1571" t="s">
        <v>12999</v>
      </c>
      <c r="E1571" t="s">
        <v>14525</v>
      </c>
      <c r="F1571" t="s">
        <v>22436</v>
      </c>
      <c r="G1571" t="s">
        <v>22446</v>
      </c>
      <c r="H1571" t="s">
        <v>22452</v>
      </c>
      <c r="I1571" t="s">
        <v>22463</v>
      </c>
      <c r="J1571" t="s">
        <v>23728</v>
      </c>
      <c r="K1571" t="s">
        <v>29331</v>
      </c>
      <c r="M1571" t="s">
        <v>30236</v>
      </c>
      <c r="N1571" t="s">
        <v>32524</v>
      </c>
      <c r="O1571" t="s">
        <v>32525</v>
      </c>
      <c r="P1571">
        <v>0</v>
      </c>
      <c r="Q1571">
        <v>3</v>
      </c>
      <c r="R1571" t="s">
        <v>32526</v>
      </c>
      <c r="S1571" t="s">
        <v>32547</v>
      </c>
      <c r="T1571" t="s">
        <v>33235</v>
      </c>
      <c r="U1571" t="s">
        <v>34976</v>
      </c>
      <c r="V1571" t="s">
        <v>42573</v>
      </c>
      <c r="W1571" t="s">
        <v>30236</v>
      </c>
      <c r="X1571" t="s">
        <v>32527</v>
      </c>
    </row>
    <row r="1572" spans="1:24">
      <c r="A1572">
        <f>HYPERLINK("https://www.philgeps.gov.ph/GEPSNONPILOT/Tender/SplashBidNoticeAbstractUI.aspx?menuIndex=3&amp;refID=7046068&amp;Result=3","7046068")</f>
        <v>0</v>
      </c>
      <c r="B1572" t="s">
        <v>646</v>
      </c>
      <c r="C1572" t="s">
        <v>4188</v>
      </c>
      <c r="D1572" t="s">
        <v>12990</v>
      </c>
      <c r="E1572" t="s">
        <v>14526</v>
      </c>
      <c r="F1572" t="s">
        <v>22436</v>
      </c>
      <c r="G1572" t="s">
        <v>22444</v>
      </c>
      <c r="H1572" t="s">
        <v>22452</v>
      </c>
      <c r="I1572" t="s">
        <v>22502</v>
      </c>
      <c r="J1572" t="s">
        <v>22624</v>
      </c>
      <c r="K1572" t="s">
        <v>29336</v>
      </c>
      <c r="M1572" t="s">
        <v>30237</v>
      </c>
      <c r="N1572" t="s">
        <v>32524</v>
      </c>
      <c r="O1572" t="s">
        <v>32525</v>
      </c>
      <c r="P1572">
        <v>0</v>
      </c>
      <c r="Q1572">
        <v>6</v>
      </c>
      <c r="R1572" t="s">
        <v>32526</v>
      </c>
      <c r="S1572" t="s">
        <v>32547</v>
      </c>
      <c r="T1572" t="s">
        <v>33277</v>
      </c>
      <c r="U1572" t="s">
        <v>34977</v>
      </c>
      <c r="W1572" t="s">
        <v>30237</v>
      </c>
      <c r="X1572" t="s">
        <v>32527</v>
      </c>
    </row>
    <row r="1573" spans="1:24">
      <c r="A1573">
        <f>HYPERLINK("https://www.philgeps.gov.ph/GEPSNONPILOT/Tender/SplashBidNoticeAbstractUI.aspx?menuIndex=3&amp;refID=7046071&amp;Result=3","7046071")</f>
        <v>0</v>
      </c>
      <c r="B1573" t="s">
        <v>636</v>
      </c>
      <c r="C1573" t="s">
        <v>4189</v>
      </c>
      <c r="D1573" t="s">
        <v>13001</v>
      </c>
      <c r="E1573" t="s">
        <v>4189</v>
      </c>
      <c r="F1573" t="s">
        <v>22436</v>
      </c>
      <c r="G1573" t="s">
        <v>22446</v>
      </c>
      <c r="H1573" t="s">
        <v>22452</v>
      </c>
      <c r="I1573" t="s">
        <v>3827</v>
      </c>
      <c r="J1573" t="s">
        <v>22657</v>
      </c>
      <c r="K1573" t="s">
        <v>29357</v>
      </c>
      <c r="M1573" t="s">
        <v>30227</v>
      </c>
      <c r="N1573" t="s">
        <v>32524</v>
      </c>
      <c r="O1573" t="s">
        <v>32525</v>
      </c>
      <c r="P1573">
        <v>0</v>
      </c>
      <c r="Q1573">
        <v>1</v>
      </c>
      <c r="R1573" t="s">
        <v>32526</v>
      </c>
      <c r="S1573" t="s">
        <v>32547</v>
      </c>
      <c r="T1573" t="s">
        <v>33310</v>
      </c>
      <c r="U1573" t="s">
        <v>34949</v>
      </c>
      <c r="W1573" t="s">
        <v>30227</v>
      </c>
      <c r="X1573" t="s">
        <v>32527</v>
      </c>
    </row>
    <row r="1574" spans="1:24">
      <c r="A1574">
        <f>HYPERLINK("https://www.philgeps.gov.ph/GEPSNONPILOT/Tender/SplashBidNoticeAbstractUI.aspx?menuIndex=3&amp;refID=7046077&amp;Result=3","7046077")</f>
        <v>0</v>
      </c>
      <c r="B1574" t="s">
        <v>647</v>
      </c>
      <c r="C1574" t="s">
        <v>4190</v>
      </c>
      <c r="D1574" t="s">
        <v>13000</v>
      </c>
      <c r="E1574" t="s">
        <v>14527</v>
      </c>
      <c r="F1574" t="s">
        <v>22436</v>
      </c>
      <c r="G1574" t="s">
        <v>22444</v>
      </c>
      <c r="H1574" t="s">
        <v>22454</v>
      </c>
      <c r="I1574" t="s">
        <v>7738</v>
      </c>
      <c r="J1574" t="s">
        <v>23729</v>
      </c>
      <c r="K1574" t="s">
        <v>29329</v>
      </c>
      <c r="M1574" t="s">
        <v>30238</v>
      </c>
      <c r="N1574" t="s">
        <v>32524</v>
      </c>
      <c r="O1574" t="s">
        <v>32525</v>
      </c>
      <c r="P1574">
        <v>0</v>
      </c>
      <c r="Q1574">
        <v>2</v>
      </c>
      <c r="R1574" t="s">
        <v>32526</v>
      </c>
      <c r="S1574" t="s">
        <v>32547</v>
      </c>
      <c r="T1574" t="s">
        <v>33153</v>
      </c>
      <c r="U1574" t="s">
        <v>34978</v>
      </c>
      <c r="W1574" t="s">
        <v>30238</v>
      </c>
      <c r="X1574" t="s">
        <v>32527</v>
      </c>
    </row>
    <row r="1575" spans="1:24">
      <c r="A1575">
        <f>HYPERLINK("https://www.philgeps.gov.ph/GEPSNONPILOT/Tender/SplashBidNoticeAbstractUI.aspx?menuIndex=3&amp;refID=7046065&amp;Result=3","7046065")</f>
        <v>0</v>
      </c>
      <c r="B1575" t="s">
        <v>50</v>
      </c>
      <c r="C1575" t="s">
        <v>4191</v>
      </c>
      <c r="D1575" t="s">
        <v>13008</v>
      </c>
      <c r="E1575" t="s">
        <v>14528</v>
      </c>
      <c r="F1575" t="s">
        <v>22436</v>
      </c>
      <c r="G1575" t="s">
        <v>22444</v>
      </c>
      <c r="H1575" t="s">
        <v>22452</v>
      </c>
      <c r="I1575" t="s">
        <v>22461</v>
      </c>
      <c r="J1575" t="s">
        <v>22692</v>
      </c>
      <c r="K1575" t="s">
        <v>29335</v>
      </c>
      <c r="M1575" t="s">
        <v>29622</v>
      </c>
      <c r="N1575" t="s">
        <v>32524</v>
      </c>
      <c r="O1575" t="s">
        <v>32525</v>
      </c>
      <c r="P1575">
        <v>0</v>
      </c>
      <c r="Q1575">
        <v>1</v>
      </c>
      <c r="R1575" t="s">
        <v>32526</v>
      </c>
      <c r="S1575" t="s">
        <v>32547</v>
      </c>
      <c r="T1575" t="s">
        <v>33166</v>
      </c>
      <c r="U1575" t="s">
        <v>34979</v>
      </c>
      <c r="W1575" t="s">
        <v>29622</v>
      </c>
      <c r="X1575" t="s">
        <v>32527</v>
      </c>
    </row>
    <row r="1576" spans="1:24">
      <c r="A1576">
        <f>HYPERLINK("https://www.philgeps.gov.ph/GEPSNONPILOT/Tender/SplashBidNoticeAbstractUI.aspx?menuIndex=3&amp;refID=7046082&amp;Result=3","7046082")</f>
        <v>0</v>
      </c>
      <c r="B1576" t="s">
        <v>636</v>
      </c>
      <c r="C1576" t="s">
        <v>4192</v>
      </c>
      <c r="D1576" t="s">
        <v>13001</v>
      </c>
      <c r="E1576" t="s">
        <v>4192</v>
      </c>
      <c r="F1576" t="s">
        <v>22436</v>
      </c>
      <c r="G1576" t="s">
        <v>22446</v>
      </c>
      <c r="H1576" t="s">
        <v>22452</v>
      </c>
      <c r="I1576" t="s">
        <v>22460</v>
      </c>
      <c r="J1576" t="s">
        <v>22931</v>
      </c>
      <c r="K1576" t="s">
        <v>29357</v>
      </c>
      <c r="M1576" t="s">
        <v>30227</v>
      </c>
      <c r="N1576" t="s">
        <v>32524</v>
      </c>
      <c r="O1576" t="s">
        <v>32525</v>
      </c>
      <c r="P1576">
        <v>0</v>
      </c>
      <c r="Q1576">
        <v>0</v>
      </c>
      <c r="R1576" t="s">
        <v>32526</v>
      </c>
      <c r="S1576" t="s">
        <v>32547</v>
      </c>
      <c r="T1576" t="s">
        <v>33310</v>
      </c>
      <c r="U1576" t="s">
        <v>34949</v>
      </c>
      <c r="W1576" t="s">
        <v>30227</v>
      </c>
      <c r="X1576" t="s">
        <v>32527</v>
      </c>
    </row>
    <row r="1577" spans="1:24">
      <c r="A1577">
        <f>HYPERLINK("https://www.philgeps.gov.ph/GEPSNONPILOT/Tender/SplashBidNoticeAbstractUI.aspx?menuIndex=3&amp;refID=7046080&amp;Result=3","7046080")</f>
        <v>0</v>
      </c>
      <c r="B1577" t="s">
        <v>648</v>
      </c>
      <c r="C1577" t="s">
        <v>4193</v>
      </c>
      <c r="D1577" t="s">
        <v>12998</v>
      </c>
      <c r="E1577" t="s">
        <v>14529</v>
      </c>
      <c r="F1577" t="s">
        <v>22436</v>
      </c>
      <c r="G1577" t="s">
        <v>22444</v>
      </c>
      <c r="H1577" t="s">
        <v>22454</v>
      </c>
      <c r="I1577" t="s">
        <v>7738</v>
      </c>
      <c r="J1577" t="s">
        <v>23730</v>
      </c>
      <c r="K1577" t="s">
        <v>29360</v>
      </c>
      <c r="M1577" t="s">
        <v>30239</v>
      </c>
      <c r="N1577" t="s">
        <v>32524</v>
      </c>
      <c r="O1577" t="s">
        <v>32525</v>
      </c>
      <c r="P1577">
        <v>0</v>
      </c>
      <c r="Q1577">
        <v>0</v>
      </c>
      <c r="R1577" t="s">
        <v>32526</v>
      </c>
      <c r="S1577" t="s">
        <v>32547</v>
      </c>
      <c r="T1577" t="s">
        <v>33241</v>
      </c>
      <c r="U1577" t="s">
        <v>34980</v>
      </c>
      <c r="W1577" t="s">
        <v>30239</v>
      </c>
      <c r="X1577" t="s">
        <v>32527</v>
      </c>
    </row>
    <row r="1578" spans="1:24">
      <c r="A1578">
        <f>HYPERLINK("https://www.philgeps.gov.ph/GEPSNONPILOT/Tender/SplashBidNoticeAbstractUI.aspx?menuIndex=3&amp;refID=7046089&amp;Result=3","7046089")</f>
        <v>0</v>
      </c>
      <c r="B1578" t="s">
        <v>194</v>
      </c>
      <c r="C1578" t="s">
        <v>4194</v>
      </c>
      <c r="D1578" t="s">
        <v>13031</v>
      </c>
      <c r="E1578" t="s">
        <v>14530</v>
      </c>
      <c r="F1578" t="s">
        <v>22436</v>
      </c>
      <c r="G1578" t="s">
        <v>22443</v>
      </c>
      <c r="H1578" t="s">
        <v>22452</v>
      </c>
      <c r="I1578" t="s">
        <v>3027</v>
      </c>
      <c r="J1578" t="s">
        <v>23731</v>
      </c>
      <c r="K1578" t="s">
        <v>29338</v>
      </c>
      <c r="M1578" t="s">
        <v>29767</v>
      </c>
      <c r="N1578" t="s">
        <v>32524</v>
      </c>
      <c r="O1578" t="s">
        <v>32525</v>
      </c>
      <c r="P1578">
        <v>0</v>
      </c>
      <c r="Q1578">
        <v>0</v>
      </c>
      <c r="R1578" t="s">
        <v>32526</v>
      </c>
      <c r="S1578" t="s">
        <v>32547</v>
      </c>
      <c r="T1578" t="s">
        <v>33177</v>
      </c>
      <c r="U1578" t="s">
        <v>33984</v>
      </c>
      <c r="W1578" t="s">
        <v>29767</v>
      </c>
      <c r="X1578" t="s">
        <v>32527</v>
      </c>
    </row>
    <row r="1579" spans="1:24">
      <c r="A1579">
        <f>HYPERLINK("https://www.philgeps.gov.ph/GEPSNONPILOT/Tender/SplashBidNoticeAbstractUI.aspx?menuIndex=3&amp;refID=7046064&amp;Result=3","7046064")</f>
        <v>0</v>
      </c>
      <c r="B1579" t="s">
        <v>584</v>
      </c>
      <c r="C1579" t="s">
        <v>4195</v>
      </c>
      <c r="D1579" t="s">
        <v>12988</v>
      </c>
      <c r="E1579" t="s">
        <v>14531</v>
      </c>
      <c r="F1579" t="s">
        <v>22436</v>
      </c>
      <c r="G1579" t="s">
        <v>22443</v>
      </c>
      <c r="H1579" t="s">
        <v>22452</v>
      </c>
      <c r="I1579" t="s">
        <v>22474</v>
      </c>
      <c r="J1579" t="s">
        <v>22963</v>
      </c>
      <c r="K1579" t="s">
        <v>29335</v>
      </c>
      <c r="M1579" t="s">
        <v>30174</v>
      </c>
      <c r="N1579" t="s">
        <v>32524</v>
      </c>
      <c r="O1579" t="s">
        <v>32525</v>
      </c>
      <c r="P1579">
        <v>0</v>
      </c>
      <c r="Q1579">
        <v>10</v>
      </c>
      <c r="R1579" t="s">
        <v>32526</v>
      </c>
      <c r="S1579" t="s">
        <v>32547</v>
      </c>
      <c r="T1579" t="s">
        <v>33314</v>
      </c>
      <c r="U1579" t="s">
        <v>34828</v>
      </c>
      <c r="W1579" t="s">
        <v>30174</v>
      </c>
      <c r="X1579" t="s">
        <v>32527</v>
      </c>
    </row>
    <row r="1580" spans="1:24">
      <c r="A1580">
        <f>HYPERLINK("https://www.philgeps.gov.ph/GEPSNONPILOT/Tender/SplashBidNoticeAbstractUI.aspx?menuIndex=3&amp;refID=7046066&amp;Result=3","7046066")</f>
        <v>0</v>
      </c>
      <c r="B1580" t="s">
        <v>124</v>
      </c>
      <c r="C1580" t="s">
        <v>4196</v>
      </c>
      <c r="D1580" t="s">
        <v>13031</v>
      </c>
      <c r="E1580" t="s">
        <v>14532</v>
      </c>
      <c r="F1580" t="s">
        <v>22436</v>
      </c>
      <c r="G1580" t="s">
        <v>22444</v>
      </c>
      <c r="H1580" t="s">
        <v>22452</v>
      </c>
      <c r="I1580" t="s">
        <v>22469</v>
      </c>
      <c r="J1580" t="s">
        <v>22788</v>
      </c>
      <c r="K1580" t="s">
        <v>29338</v>
      </c>
      <c r="M1580" t="s">
        <v>30213</v>
      </c>
      <c r="N1580" t="s">
        <v>32524</v>
      </c>
      <c r="O1580" t="s">
        <v>32525</v>
      </c>
      <c r="P1580">
        <v>0</v>
      </c>
      <c r="Q1580">
        <v>3</v>
      </c>
      <c r="R1580" t="s">
        <v>32526</v>
      </c>
      <c r="S1580" t="s">
        <v>32547</v>
      </c>
      <c r="T1580" t="s">
        <v>33252</v>
      </c>
      <c r="U1580" t="s">
        <v>34981</v>
      </c>
      <c r="W1580" t="s">
        <v>30213</v>
      </c>
      <c r="X1580" t="s">
        <v>32527</v>
      </c>
    </row>
    <row r="1581" spans="1:24">
      <c r="A1581">
        <f>HYPERLINK("https://www.philgeps.gov.ph/GEPSNONPILOT/Tender/SplashBidNoticeAbstractUI.aspx?menuIndex=3&amp;refID=7046097&amp;Result=3","7046097")</f>
        <v>0</v>
      </c>
      <c r="B1581" t="s">
        <v>649</v>
      </c>
      <c r="C1581" t="s">
        <v>4197</v>
      </c>
      <c r="D1581" t="s">
        <v>13064</v>
      </c>
      <c r="E1581" t="s">
        <v>14533</v>
      </c>
      <c r="F1581" t="s">
        <v>22436</v>
      </c>
      <c r="G1581" t="s">
        <v>22444</v>
      </c>
      <c r="H1581" t="s">
        <v>22452</v>
      </c>
      <c r="I1581" t="s">
        <v>3529</v>
      </c>
      <c r="J1581" t="s">
        <v>23732</v>
      </c>
      <c r="K1581" t="s">
        <v>29335</v>
      </c>
      <c r="M1581" t="s">
        <v>30240</v>
      </c>
      <c r="N1581" t="s">
        <v>32524</v>
      </c>
      <c r="O1581" t="s">
        <v>32525</v>
      </c>
      <c r="P1581">
        <v>0</v>
      </c>
      <c r="Q1581">
        <v>0</v>
      </c>
      <c r="R1581" t="s">
        <v>32526</v>
      </c>
      <c r="S1581" t="s">
        <v>32547</v>
      </c>
      <c r="T1581" t="s">
        <v>33181</v>
      </c>
      <c r="U1581" t="s">
        <v>34982</v>
      </c>
      <c r="W1581" t="s">
        <v>30240</v>
      </c>
      <c r="X1581" t="s">
        <v>32527</v>
      </c>
    </row>
    <row r="1582" spans="1:24">
      <c r="A1582">
        <f>HYPERLINK("https://www.philgeps.gov.ph/GEPSNONPILOT/Tender/SplashBidNoticeAbstractUI.aspx?menuIndex=3&amp;refID=7046061&amp;Result=3","7046061")</f>
        <v>0</v>
      </c>
      <c r="B1582" t="s">
        <v>648</v>
      </c>
      <c r="C1582" t="s">
        <v>4198</v>
      </c>
      <c r="D1582" t="s">
        <v>12998</v>
      </c>
      <c r="E1582" t="s">
        <v>14534</v>
      </c>
      <c r="F1582" t="s">
        <v>22436</v>
      </c>
      <c r="G1582" t="s">
        <v>22444</v>
      </c>
      <c r="H1582" t="s">
        <v>22454</v>
      </c>
      <c r="I1582" t="s">
        <v>7738</v>
      </c>
      <c r="J1582" t="s">
        <v>23733</v>
      </c>
      <c r="K1582" t="s">
        <v>29398</v>
      </c>
      <c r="M1582" t="s">
        <v>30239</v>
      </c>
      <c r="N1582" t="s">
        <v>32524</v>
      </c>
      <c r="O1582" t="s">
        <v>32525</v>
      </c>
      <c r="P1582">
        <v>0</v>
      </c>
      <c r="Q1582">
        <v>0</v>
      </c>
      <c r="R1582" t="s">
        <v>32526</v>
      </c>
      <c r="S1582" t="s">
        <v>32547</v>
      </c>
      <c r="T1582" t="s">
        <v>33241</v>
      </c>
      <c r="U1582" t="s">
        <v>34980</v>
      </c>
      <c r="W1582" t="s">
        <v>30239</v>
      </c>
      <c r="X1582" t="s">
        <v>32527</v>
      </c>
    </row>
    <row r="1583" spans="1:24">
      <c r="A1583">
        <f>HYPERLINK("https://www.philgeps.gov.ph/GEPSNONPILOT/Tender/SplashBidNoticeAbstractUI.aspx?menuIndex=3&amp;refID=7046107&amp;Result=3","7046107")</f>
        <v>0</v>
      </c>
      <c r="B1583" t="s">
        <v>318</v>
      </c>
      <c r="C1583" t="s">
        <v>4199</v>
      </c>
      <c r="D1583" t="s">
        <v>13013</v>
      </c>
      <c r="E1583" t="s">
        <v>14535</v>
      </c>
      <c r="F1583" t="s">
        <v>22436</v>
      </c>
      <c r="G1583" t="s">
        <v>22446</v>
      </c>
      <c r="H1583" t="s">
        <v>22452</v>
      </c>
      <c r="I1583" t="s">
        <v>3122</v>
      </c>
      <c r="J1583" t="s">
        <v>23021</v>
      </c>
      <c r="K1583" t="s">
        <v>29338</v>
      </c>
      <c r="M1583" t="s">
        <v>30241</v>
      </c>
      <c r="N1583" t="s">
        <v>32524</v>
      </c>
      <c r="O1583" t="s">
        <v>32525</v>
      </c>
      <c r="P1583">
        <v>0</v>
      </c>
      <c r="Q1583">
        <v>0</v>
      </c>
      <c r="R1583" t="s">
        <v>32526</v>
      </c>
      <c r="S1583" t="s">
        <v>32547</v>
      </c>
      <c r="T1583" t="s">
        <v>33185</v>
      </c>
      <c r="U1583" t="s">
        <v>34983</v>
      </c>
      <c r="W1583" t="s">
        <v>30241</v>
      </c>
      <c r="X1583" t="s">
        <v>32527</v>
      </c>
    </row>
    <row r="1584" spans="1:24">
      <c r="A1584">
        <f>HYPERLINK("https://www.philgeps.gov.ph/GEPSNONPILOT/Tender/SplashBidNoticeAbstractUI.aspx?menuIndex=3&amp;refID=7046063&amp;Result=3","7046063")</f>
        <v>0</v>
      </c>
      <c r="B1584" t="s">
        <v>650</v>
      </c>
      <c r="C1584" t="s">
        <v>4200</v>
      </c>
      <c r="D1584" t="s">
        <v>13039</v>
      </c>
      <c r="E1584" t="s">
        <v>14536</v>
      </c>
      <c r="F1584" t="s">
        <v>22436</v>
      </c>
      <c r="G1584" t="s">
        <v>22446</v>
      </c>
      <c r="H1584" t="s">
        <v>22452</v>
      </c>
      <c r="I1584" t="s">
        <v>22495</v>
      </c>
      <c r="J1584" t="s">
        <v>23145</v>
      </c>
      <c r="K1584" t="s">
        <v>29336</v>
      </c>
      <c r="M1584" t="s">
        <v>30242</v>
      </c>
      <c r="N1584" t="s">
        <v>32524</v>
      </c>
      <c r="O1584" t="s">
        <v>32525</v>
      </c>
      <c r="P1584">
        <v>0</v>
      </c>
      <c r="Q1584">
        <v>2</v>
      </c>
      <c r="R1584" t="s">
        <v>32526</v>
      </c>
      <c r="S1584" t="s">
        <v>32547</v>
      </c>
      <c r="T1584" t="s">
        <v>33185</v>
      </c>
      <c r="U1584" t="s">
        <v>34984</v>
      </c>
      <c r="W1584" t="s">
        <v>30242</v>
      </c>
      <c r="X1584" t="s">
        <v>32527</v>
      </c>
    </row>
    <row r="1585" spans="1:24">
      <c r="A1585">
        <f>HYPERLINK("https://www.philgeps.gov.ph/GEPSNONPILOT/Tender/SplashBidNoticeAbstractUI.aspx?menuIndex=3&amp;refID=7046105&amp;Result=3","7046105")</f>
        <v>0</v>
      </c>
      <c r="B1585" t="s">
        <v>124</v>
      </c>
      <c r="C1585" t="s">
        <v>4201</v>
      </c>
      <c r="D1585" t="s">
        <v>13031</v>
      </c>
      <c r="E1585" t="s">
        <v>14537</v>
      </c>
      <c r="F1585" t="s">
        <v>22436</v>
      </c>
      <c r="G1585" t="s">
        <v>22444</v>
      </c>
      <c r="H1585" t="s">
        <v>22452</v>
      </c>
      <c r="I1585" t="s">
        <v>22463</v>
      </c>
      <c r="J1585" t="s">
        <v>23734</v>
      </c>
      <c r="K1585" t="s">
        <v>29338</v>
      </c>
      <c r="M1585" t="s">
        <v>30213</v>
      </c>
      <c r="N1585" t="s">
        <v>32524</v>
      </c>
      <c r="O1585" t="s">
        <v>32525</v>
      </c>
      <c r="P1585">
        <v>0</v>
      </c>
      <c r="Q1585">
        <v>4</v>
      </c>
      <c r="R1585" t="s">
        <v>32526</v>
      </c>
      <c r="S1585" t="s">
        <v>32547</v>
      </c>
      <c r="T1585" t="s">
        <v>33252</v>
      </c>
      <c r="U1585" t="s">
        <v>34985</v>
      </c>
      <c r="W1585" t="s">
        <v>30213</v>
      </c>
      <c r="X1585" t="s">
        <v>32527</v>
      </c>
    </row>
    <row r="1586" spans="1:24">
      <c r="A1586">
        <f>HYPERLINK("https://www.philgeps.gov.ph/GEPSNONPILOT/Tender/SplashBidNoticeAbstractUI.aspx?menuIndex=3&amp;refID=7046098&amp;Result=3","7046098")</f>
        <v>0</v>
      </c>
      <c r="B1586" t="s">
        <v>651</v>
      </c>
      <c r="C1586" t="s">
        <v>4202</v>
      </c>
      <c r="D1586" t="s">
        <v>13029</v>
      </c>
      <c r="E1586" t="s">
        <v>13765</v>
      </c>
      <c r="F1586" t="s">
        <v>22436</v>
      </c>
      <c r="G1586" t="s">
        <v>22443</v>
      </c>
      <c r="H1586" t="s">
        <v>22454</v>
      </c>
      <c r="I1586" t="s">
        <v>7738</v>
      </c>
      <c r="J1586" t="s">
        <v>22616</v>
      </c>
      <c r="K1586" t="s">
        <v>29349</v>
      </c>
      <c r="M1586" t="s">
        <v>30243</v>
      </c>
      <c r="N1586" t="s">
        <v>32524</v>
      </c>
      <c r="O1586" t="s">
        <v>32525</v>
      </c>
      <c r="P1586">
        <v>0</v>
      </c>
      <c r="Q1586">
        <v>0</v>
      </c>
      <c r="R1586" t="s">
        <v>32526</v>
      </c>
      <c r="S1586" t="s">
        <v>32547</v>
      </c>
      <c r="T1586" t="s">
        <v>33329</v>
      </c>
      <c r="U1586" t="s">
        <v>34986</v>
      </c>
      <c r="W1586" t="s">
        <v>30243</v>
      </c>
      <c r="X1586" t="s">
        <v>32527</v>
      </c>
    </row>
    <row r="1587" spans="1:24">
      <c r="A1587">
        <f>HYPERLINK("https://www.philgeps.gov.ph/GEPSNONPILOT/Tender/SplashBidNoticeAbstractUI.aspx?menuIndex=3&amp;refID=7046095&amp;Result=3","7046095")</f>
        <v>0</v>
      </c>
      <c r="B1587" t="s">
        <v>380</v>
      </c>
      <c r="C1587" t="s">
        <v>4203</v>
      </c>
      <c r="D1587" t="s">
        <v>12996</v>
      </c>
      <c r="E1587" t="s">
        <v>13797</v>
      </c>
      <c r="F1587" t="s">
        <v>22436</v>
      </c>
      <c r="G1587" t="s">
        <v>22446</v>
      </c>
      <c r="H1587" t="s">
        <v>22452</v>
      </c>
      <c r="I1587" t="s">
        <v>22465</v>
      </c>
      <c r="J1587" t="s">
        <v>23735</v>
      </c>
      <c r="K1587" t="s">
        <v>29338</v>
      </c>
      <c r="M1587" t="s">
        <v>29958</v>
      </c>
      <c r="N1587" t="s">
        <v>32524</v>
      </c>
      <c r="O1587" t="s">
        <v>32525</v>
      </c>
      <c r="P1587">
        <v>0</v>
      </c>
      <c r="Q1587">
        <v>0</v>
      </c>
      <c r="R1587" t="s">
        <v>32526</v>
      </c>
      <c r="S1587" t="s">
        <v>32547</v>
      </c>
      <c r="T1587" t="s">
        <v>33294</v>
      </c>
      <c r="U1587" t="s">
        <v>34987</v>
      </c>
      <c r="W1587" t="s">
        <v>29958</v>
      </c>
      <c r="X1587" t="s">
        <v>32527</v>
      </c>
    </row>
    <row r="1588" spans="1:24">
      <c r="A1588">
        <f>HYPERLINK("https://www.philgeps.gov.ph/GEPSNONPILOT/Tender/SplashBidNoticeAbstractUI.aspx?menuIndex=3&amp;refID=7046116&amp;Result=3","7046116")</f>
        <v>0</v>
      </c>
      <c r="B1588" t="s">
        <v>44</v>
      </c>
      <c r="C1588" t="s">
        <v>4204</v>
      </c>
      <c r="D1588" t="s">
        <v>13004</v>
      </c>
      <c r="E1588" t="s">
        <v>14538</v>
      </c>
      <c r="F1588" t="s">
        <v>22436</v>
      </c>
      <c r="G1588" t="s">
        <v>22443</v>
      </c>
      <c r="H1588" t="s">
        <v>22452</v>
      </c>
      <c r="I1588" t="s">
        <v>22460</v>
      </c>
      <c r="J1588" t="s">
        <v>23736</v>
      </c>
      <c r="K1588" t="s">
        <v>29341</v>
      </c>
      <c r="M1588" t="s">
        <v>29615</v>
      </c>
      <c r="N1588" t="s">
        <v>32524</v>
      </c>
      <c r="O1588" t="s">
        <v>32525</v>
      </c>
      <c r="P1588">
        <v>0</v>
      </c>
      <c r="Q1588">
        <v>1</v>
      </c>
      <c r="R1588" t="s">
        <v>32526</v>
      </c>
      <c r="S1588" t="s">
        <v>32547</v>
      </c>
      <c r="T1588" t="s">
        <v>33167</v>
      </c>
      <c r="U1588" t="s">
        <v>34988</v>
      </c>
      <c r="W1588" t="s">
        <v>29615</v>
      </c>
      <c r="X1588" t="s">
        <v>32527</v>
      </c>
    </row>
    <row r="1589" spans="1:24">
      <c r="A1589">
        <f>HYPERLINK("https://www.philgeps.gov.ph/GEPSNONPILOT/Tender/SplashBidNoticeAbstractUI.aspx?menuIndex=3&amp;refID=7046096&amp;Result=3","7046096")</f>
        <v>0</v>
      </c>
      <c r="B1589" t="s">
        <v>652</v>
      </c>
      <c r="C1589" t="s">
        <v>4205</v>
      </c>
      <c r="D1589" t="s">
        <v>13040</v>
      </c>
      <c r="E1589" t="s">
        <v>14539</v>
      </c>
      <c r="F1589" t="s">
        <v>22436</v>
      </c>
      <c r="G1589" t="s">
        <v>22444</v>
      </c>
      <c r="H1589" t="s">
        <v>22454</v>
      </c>
      <c r="I1589" t="s">
        <v>7738</v>
      </c>
      <c r="J1589" t="s">
        <v>23737</v>
      </c>
      <c r="K1589" t="s">
        <v>29386</v>
      </c>
      <c r="M1589" t="s">
        <v>30244</v>
      </c>
      <c r="N1589" t="s">
        <v>32524</v>
      </c>
      <c r="O1589" t="s">
        <v>32525</v>
      </c>
      <c r="P1589">
        <v>0</v>
      </c>
      <c r="Q1589">
        <v>0</v>
      </c>
      <c r="R1589" t="s">
        <v>32526</v>
      </c>
      <c r="S1589" t="s">
        <v>32547</v>
      </c>
      <c r="T1589" t="s">
        <v>33233</v>
      </c>
      <c r="U1589" t="s">
        <v>34989</v>
      </c>
      <c r="W1589" t="s">
        <v>30244</v>
      </c>
      <c r="X1589" t="s">
        <v>32527</v>
      </c>
    </row>
    <row r="1590" spans="1:24">
      <c r="A1590">
        <f>HYPERLINK("https://www.philgeps.gov.ph/GEPSNONPILOT/Tender/SplashBidNoticeAbstractUI.aspx?menuIndex=3&amp;refID=7046115&amp;Result=3","7046115")</f>
        <v>0</v>
      </c>
      <c r="B1590" t="s">
        <v>244</v>
      </c>
      <c r="C1590" t="s">
        <v>4206</v>
      </c>
      <c r="D1590" t="s">
        <v>13019</v>
      </c>
      <c r="E1590" t="s">
        <v>14540</v>
      </c>
      <c r="F1590" t="s">
        <v>22436</v>
      </c>
      <c r="G1590" t="s">
        <v>22443</v>
      </c>
      <c r="H1590" t="s">
        <v>22454</v>
      </c>
      <c r="I1590" t="s">
        <v>7738</v>
      </c>
      <c r="J1590" t="s">
        <v>22640</v>
      </c>
      <c r="K1590" t="s">
        <v>29370</v>
      </c>
      <c r="M1590" t="s">
        <v>29818</v>
      </c>
      <c r="N1590" t="s">
        <v>32524</v>
      </c>
      <c r="O1590" t="s">
        <v>32525</v>
      </c>
      <c r="P1590">
        <v>0</v>
      </c>
      <c r="Q1590">
        <v>0</v>
      </c>
      <c r="R1590" t="s">
        <v>32526</v>
      </c>
      <c r="S1590" t="s">
        <v>32547</v>
      </c>
      <c r="T1590" t="s">
        <v>33161</v>
      </c>
      <c r="U1590" t="s">
        <v>34990</v>
      </c>
      <c r="W1590" t="s">
        <v>29818</v>
      </c>
      <c r="X1590" t="s">
        <v>32527</v>
      </c>
    </row>
    <row r="1591" spans="1:24">
      <c r="A1591">
        <f>HYPERLINK("https://www.philgeps.gov.ph/GEPSNONPILOT/Tender/SplashBidNoticeAbstractUI.aspx?menuIndex=3&amp;refID=7046111&amp;Result=3","7046111")</f>
        <v>0</v>
      </c>
      <c r="B1591" t="s">
        <v>152</v>
      </c>
      <c r="C1591" t="s">
        <v>4207</v>
      </c>
      <c r="D1591" t="s">
        <v>13037</v>
      </c>
      <c r="E1591" t="s">
        <v>14541</v>
      </c>
      <c r="F1591" t="s">
        <v>22436</v>
      </c>
      <c r="G1591" t="s">
        <v>22443</v>
      </c>
      <c r="H1591" t="s">
        <v>22452</v>
      </c>
      <c r="I1591" t="s">
        <v>3122</v>
      </c>
      <c r="J1591" t="s">
        <v>23738</v>
      </c>
      <c r="K1591" t="s">
        <v>29336</v>
      </c>
      <c r="M1591" t="s">
        <v>29724</v>
      </c>
      <c r="N1591" t="s">
        <v>32524</v>
      </c>
      <c r="O1591" t="s">
        <v>32525</v>
      </c>
      <c r="P1591">
        <v>0</v>
      </c>
      <c r="Q1591">
        <v>1</v>
      </c>
      <c r="R1591" t="s">
        <v>32526</v>
      </c>
      <c r="S1591" t="s">
        <v>32547</v>
      </c>
      <c r="T1591" t="s">
        <v>33161</v>
      </c>
      <c r="U1591" t="s">
        <v>34991</v>
      </c>
      <c r="W1591" t="s">
        <v>43669</v>
      </c>
      <c r="X1591" t="s">
        <v>32527</v>
      </c>
    </row>
    <row r="1592" spans="1:24">
      <c r="A1592">
        <f>HYPERLINK("https://www.philgeps.gov.ph/GEPSNONPILOT/Tender/SplashBidNoticeAbstractUI.aspx?menuIndex=3&amp;refID=7046093&amp;Result=3","7046093")</f>
        <v>0</v>
      </c>
      <c r="B1592" t="s">
        <v>220</v>
      </c>
      <c r="C1592" t="s">
        <v>4208</v>
      </c>
      <c r="D1592" t="s">
        <v>13037</v>
      </c>
      <c r="E1592" t="s">
        <v>14542</v>
      </c>
      <c r="F1592" t="s">
        <v>22436</v>
      </c>
      <c r="G1592" t="s">
        <v>22446</v>
      </c>
      <c r="H1592" t="s">
        <v>22452</v>
      </c>
      <c r="I1592" t="s">
        <v>2981</v>
      </c>
      <c r="J1592" t="s">
        <v>23739</v>
      </c>
      <c r="K1592" t="s">
        <v>29336</v>
      </c>
      <c r="M1592" t="s">
        <v>29793</v>
      </c>
      <c r="N1592" t="s">
        <v>32524</v>
      </c>
      <c r="O1592" t="s">
        <v>32525</v>
      </c>
      <c r="P1592">
        <v>0</v>
      </c>
      <c r="Q1592">
        <v>0</v>
      </c>
      <c r="R1592" t="s">
        <v>32526</v>
      </c>
      <c r="S1592" t="s">
        <v>32547</v>
      </c>
      <c r="T1592" t="s">
        <v>33209</v>
      </c>
      <c r="U1592" t="s">
        <v>34035</v>
      </c>
      <c r="W1592" t="s">
        <v>29793</v>
      </c>
      <c r="X1592" t="s">
        <v>32527</v>
      </c>
    </row>
    <row r="1593" spans="1:24">
      <c r="A1593">
        <f>HYPERLINK("https://www.philgeps.gov.ph/GEPSNONPILOT/Tender/SplashBidNoticeAbstractUI.aspx?menuIndex=3&amp;refID=7046104&amp;Result=3","7046104")</f>
        <v>0</v>
      </c>
      <c r="B1593" t="s">
        <v>653</v>
      </c>
      <c r="C1593" t="s">
        <v>4209</v>
      </c>
      <c r="E1593" t="s">
        <v>14543</v>
      </c>
      <c r="F1593" t="s">
        <v>22436</v>
      </c>
      <c r="G1593" t="s">
        <v>22443</v>
      </c>
      <c r="H1593" t="s">
        <v>22452</v>
      </c>
      <c r="I1593" t="s">
        <v>22463</v>
      </c>
      <c r="J1593" t="s">
        <v>23740</v>
      </c>
      <c r="K1593" t="s">
        <v>29338</v>
      </c>
      <c r="M1593" t="s">
        <v>30245</v>
      </c>
      <c r="N1593" t="s">
        <v>32524</v>
      </c>
      <c r="O1593" t="s">
        <v>32525</v>
      </c>
      <c r="P1593">
        <v>0</v>
      </c>
      <c r="Q1593">
        <v>3</v>
      </c>
      <c r="R1593" t="s">
        <v>32526</v>
      </c>
      <c r="S1593" t="s">
        <v>32547</v>
      </c>
      <c r="T1593" t="s">
        <v>33181</v>
      </c>
      <c r="U1593" t="s">
        <v>34992</v>
      </c>
      <c r="W1593" t="s">
        <v>30245</v>
      </c>
      <c r="X1593" t="s">
        <v>32527</v>
      </c>
    </row>
    <row r="1594" spans="1:24">
      <c r="A1594">
        <f>HYPERLINK("https://www.philgeps.gov.ph/GEPSNONPILOT/Tender/SplashBidNoticeAbstractUI.aspx?menuIndex=3&amp;refID=7046101&amp;Result=3","7046101")</f>
        <v>0</v>
      </c>
      <c r="B1594" t="s">
        <v>339</v>
      </c>
      <c r="C1594" t="s">
        <v>4210</v>
      </c>
      <c r="D1594" t="s">
        <v>12990</v>
      </c>
      <c r="E1594" t="s">
        <v>13971</v>
      </c>
      <c r="F1594" t="s">
        <v>22436</v>
      </c>
      <c r="G1594" t="s">
        <v>22444</v>
      </c>
      <c r="H1594" t="s">
        <v>22454</v>
      </c>
      <c r="I1594" t="s">
        <v>6387</v>
      </c>
      <c r="J1594" t="s">
        <v>23334</v>
      </c>
      <c r="K1594" t="s">
        <v>29329</v>
      </c>
      <c r="M1594" t="s">
        <v>29915</v>
      </c>
      <c r="N1594" t="s">
        <v>32524</v>
      </c>
      <c r="O1594" t="s">
        <v>32525</v>
      </c>
      <c r="P1594">
        <v>0</v>
      </c>
      <c r="Q1594">
        <v>0</v>
      </c>
      <c r="R1594" t="s">
        <v>32526</v>
      </c>
      <c r="S1594" t="s">
        <v>32547</v>
      </c>
      <c r="T1594" t="s">
        <v>33262</v>
      </c>
      <c r="U1594" t="s">
        <v>34993</v>
      </c>
      <c r="W1594" t="s">
        <v>29915</v>
      </c>
      <c r="X1594" t="s">
        <v>32527</v>
      </c>
    </row>
    <row r="1595" spans="1:24">
      <c r="A1595">
        <f>HYPERLINK("https://www.philgeps.gov.ph/GEPSNONPILOT/Tender/SplashBidNoticeAbstractUI.aspx?menuIndex=3&amp;refID=7046109&amp;Result=3","7046109")</f>
        <v>0</v>
      </c>
      <c r="B1595" t="s">
        <v>648</v>
      </c>
      <c r="C1595" t="s">
        <v>4211</v>
      </c>
      <c r="D1595" t="s">
        <v>12998</v>
      </c>
      <c r="E1595" t="s">
        <v>14544</v>
      </c>
      <c r="F1595" t="s">
        <v>22436</v>
      </c>
      <c r="G1595" t="s">
        <v>22444</v>
      </c>
      <c r="H1595" t="s">
        <v>22454</v>
      </c>
      <c r="I1595" t="s">
        <v>7738</v>
      </c>
      <c r="J1595" t="s">
        <v>23741</v>
      </c>
      <c r="K1595" t="s">
        <v>29363</v>
      </c>
      <c r="M1595" t="s">
        <v>30239</v>
      </c>
      <c r="N1595" t="s">
        <v>32524</v>
      </c>
      <c r="O1595" t="s">
        <v>32525</v>
      </c>
      <c r="P1595">
        <v>0</v>
      </c>
      <c r="Q1595">
        <v>0</v>
      </c>
      <c r="R1595" t="s">
        <v>32526</v>
      </c>
      <c r="S1595" t="s">
        <v>32547</v>
      </c>
      <c r="T1595" t="s">
        <v>33207</v>
      </c>
      <c r="U1595" t="s">
        <v>34980</v>
      </c>
      <c r="W1595" t="s">
        <v>30239</v>
      </c>
      <c r="X1595" t="s">
        <v>32527</v>
      </c>
    </row>
    <row r="1596" spans="1:24">
      <c r="A1596">
        <f>HYPERLINK("https://www.philgeps.gov.ph/GEPSNONPILOT/Tender/SplashBidNoticeAbstractUI.aspx?menuIndex=3&amp;refID=7046114&amp;Result=3","7046114")</f>
        <v>0</v>
      </c>
      <c r="B1596" t="s">
        <v>654</v>
      </c>
      <c r="C1596" t="s">
        <v>4212</v>
      </c>
      <c r="D1596" t="s">
        <v>13013</v>
      </c>
      <c r="E1596" t="s">
        <v>14545</v>
      </c>
      <c r="F1596" t="s">
        <v>22436</v>
      </c>
      <c r="G1596" t="s">
        <v>22443</v>
      </c>
      <c r="H1596" t="s">
        <v>22452</v>
      </c>
      <c r="I1596" t="s">
        <v>4170</v>
      </c>
      <c r="J1596" t="s">
        <v>23742</v>
      </c>
      <c r="K1596" t="s">
        <v>29335</v>
      </c>
      <c r="M1596" t="s">
        <v>30246</v>
      </c>
      <c r="N1596" t="s">
        <v>32524</v>
      </c>
      <c r="O1596" t="s">
        <v>32525</v>
      </c>
      <c r="P1596">
        <v>0</v>
      </c>
      <c r="Q1596">
        <v>0</v>
      </c>
      <c r="R1596" t="s">
        <v>32526</v>
      </c>
      <c r="S1596" t="s">
        <v>32547</v>
      </c>
      <c r="T1596" t="s">
        <v>33169</v>
      </c>
      <c r="U1596" t="s">
        <v>34994</v>
      </c>
      <c r="W1596" t="s">
        <v>30246</v>
      </c>
      <c r="X1596" t="s">
        <v>32527</v>
      </c>
    </row>
    <row r="1597" spans="1:24">
      <c r="A1597">
        <f>HYPERLINK("https://www.philgeps.gov.ph/GEPSNONPILOT/Tender/SplashBidNoticeAbstractUI.aspx?menuIndex=3&amp;refID=7046110&amp;Result=3","7046110")</f>
        <v>0</v>
      </c>
      <c r="B1597" t="s">
        <v>655</v>
      </c>
      <c r="C1597" t="s">
        <v>4213</v>
      </c>
      <c r="D1597" t="s">
        <v>12988</v>
      </c>
      <c r="E1597" t="s">
        <v>14546</v>
      </c>
      <c r="F1597" t="s">
        <v>22436</v>
      </c>
      <c r="G1597" t="s">
        <v>22446</v>
      </c>
      <c r="H1597" t="s">
        <v>22452</v>
      </c>
      <c r="I1597" t="s">
        <v>22463</v>
      </c>
      <c r="J1597" t="s">
        <v>22788</v>
      </c>
      <c r="K1597" t="s">
        <v>29338</v>
      </c>
      <c r="M1597" t="s">
        <v>30247</v>
      </c>
      <c r="N1597" t="s">
        <v>32524</v>
      </c>
      <c r="O1597" t="s">
        <v>32525</v>
      </c>
      <c r="P1597">
        <v>0</v>
      </c>
      <c r="Q1597">
        <v>10</v>
      </c>
      <c r="R1597" t="s">
        <v>32526</v>
      </c>
      <c r="S1597" t="s">
        <v>32547</v>
      </c>
      <c r="T1597" t="s">
        <v>33209</v>
      </c>
      <c r="U1597" t="s">
        <v>34995</v>
      </c>
      <c r="W1597" t="s">
        <v>30247</v>
      </c>
      <c r="X1597" t="s">
        <v>32527</v>
      </c>
    </row>
    <row r="1598" spans="1:24">
      <c r="A1598">
        <f>HYPERLINK("https://www.philgeps.gov.ph/GEPSNONPILOT/Tender/SplashBidNoticeAbstractUI.aspx?menuIndex=3&amp;refID=7046092&amp;Result=3","7046092")</f>
        <v>0</v>
      </c>
      <c r="B1598" t="s">
        <v>656</v>
      </c>
      <c r="C1598" t="s">
        <v>4214</v>
      </c>
      <c r="D1598" t="s">
        <v>13007</v>
      </c>
      <c r="E1598" t="s">
        <v>14547</v>
      </c>
      <c r="F1598" t="s">
        <v>22437</v>
      </c>
      <c r="G1598" t="s">
        <v>22443</v>
      </c>
      <c r="H1598" t="s">
        <v>22452</v>
      </c>
      <c r="I1598" t="s">
        <v>3529</v>
      </c>
      <c r="J1598" t="s">
        <v>23743</v>
      </c>
      <c r="K1598" t="s">
        <v>29335</v>
      </c>
      <c r="M1598" t="s">
        <v>30248</v>
      </c>
      <c r="N1598" t="s">
        <v>32524</v>
      </c>
      <c r="O1598" t="s">
        <v>32525</v>
      </c>
      <c r="P1598">
        <v>0</v>
      </c>
      <c r="Q1598">
        <v>0</v>
      </c>
      <c r="R1598" t="s">
        <v>32526</v>
      </c>
      <c r="S1598" t="s">
        <v>32547</v>
      </c>
      <c r="T1598" t="s">
        <v>33330</v>
      </c>
      <c r="U1598" t="s">
        <v>34996</v>
      </c>
      <c r="W1598" t="s">
        <v>30248</v>
      </c>
      <c r="X1598" t="s">
        <v>32527</v>
      </c>
    </row>
    <row r="1599" spans="1:24">
      <c r="A1599">
        <f>HYPERLINK("https://www.philgeps.gov.ph/GEPSNONPILOT/Tender/SplashBidNoticeAbstractUI.aspx?menuIndex=3&amp;refID=7046102&amp;Result=3","7046102")</f>
        <v>0</v>
      </c>
      <c r="B1599" t="s">
        <v>50</v>
      </c>
      <c r="C1599" t="s">
        <v>4215</v>
      </c>
      <c r="D1599" t="s">
        <v>13008</v>
      </c>
      <c r="E1599" t="s">
        <v>14548</v>
      </c>
      <c r="F1599" t="s">
        <v>22436</v>
      </c>
      <c r="G1599" t="s">
        <v>22444</v>
      </c>
      <c r="H1599" t="s">
        <v>22452</v>
      </c>
      <c r="I1599" t="s">
        <v>22461</v>
      </c>
      <c r="J1599" t="s">
        <v>23744</v>
      </c>
      <c r="K1599" t="s">
        <v>29335</v>
      </c>
      <c r="M1599" t="s">
        <v>29622</v>
      </c>
      <c r="N1599" t="s">
        <v>32524</v>
      </c>
      <c r="O1599" t="s">
        <v>32525</v>
      </c>
      <c r="P1599">
        <v>0</v>
      </c>
      <c r="Q1599">
        <v>0</v>
      </c>
      <c r="R1599" t="s">
        <v>32526</v>
      </c>
      <c r="S1599" t="s">
        <v>32547</v>
      </c>
      <c r="T1599" t="s">
        <v>33166</v>
      </c>
      <c r="U1599" t="s">
        <v>34997</v>
      </c>
      <c r="W1599" t="s">
        <v>29622</v>
      </c>
      <c r="X1599" t="s">
        <v>32527</v>
      </c>
    </row>
    <row r="1600" spans="1:24">
      <c r="A1600">
        <f>HYPERLINK("https://www.philgeps.gov.ph/GEPSNONPILOT/Tender/SplashBidNoticeAbstractUI.aspx?menuIndex=3&amp;refID=7046117&amp;Result=3","7046117")</f>
        <v>0</v>
      </c>
      <c r="B1600" t="s">
        <v>554</v>
      </c>
      <c r="C1600" t="s">
        <v>4216</v>
      </c>
      <c r="D1600" t="s">
        <v>12994</v>
      </c>
      <c r="E1600" t="s">
        <v>14549</v>
      </c>
      <c r="F1600" t="s">
        <v>22436</v>
      </c>
      <c r="G1600" t="s">
        <v>22444</v>
      </c>
      <c r="H1600" t="s">
        <v>22454</v>
      </c>
      <c r="I1600" t="s">
        <v>7738</v>
      </c>
      <c r="J1600" t="s">
        <v>22893</v>
      </c>
      <c r="K1600" t="s">
        <v>29390</v>
      </c>
      <c r="L1600" t="s">
        <v>554</v>
      </c>
      <c r="M1600" t="s">
        <v>30140</v>
      </c>
      <c r="N1600" t="s">
        <v>32524</v>
      </c>
      <c r="O1600" t="s">
        <v>32525</v>
      </c>
      <c r="P1600">
        <v>0</v>
      </c>
      <c r="Q1600">
        <v>18</v>
      </c>
      <c r="R1600" t="s">
        <v>32526</v>
      </c>
      <c r="S1600" t="s">
        <v>32547</v>
      </c>
      <c r="T1600" t="s">
        <v>33181</v>
      </c>
      <c r="U1600" t="s">
        <v>34998</v>
      </c>
      <c r="W1600" t="s">
        <v>30140</v>
      </c>
      <c r="X1600" t="s">
        <v>32527</v>
      </c>
    </row>
    <row r="1601" spans="1:24">
      <c r="A1601">
        <f>HYPERLINK("https://www.philgeps.gov.ph/GEPSNONPILOT/Tender/SplashBidNoticeAbstractUI.aspx?menuIndex=3&amp;refID=7046099&amp;Result=3","7046099")</f>
        <v>0</v>
      </c>
      <c r="B1601" t="s">
        <v>358</v>
      </c>
      <c r="C1601" t="s">
        <v>4217</v>
      </c>
      <c r="D1601" t="s">
        <v>13034</v>
      </c>
      <c r="E1601" t="s">
        <v>14550</v>
      </c>
      <c r="F1601" t="s">
        <v>22436</v>
      </c>
      <c r="G1601" t="s">
        <v>22443</v>
      </c>
      <c r="H1601" t="s">
        <v>22452</v>
      </c>
      <c r="I1601" t="s">
        <v>22486</v>
      </c>
      <c r="J1601" t="s">
        <v>23745</v>
      </c>
      <c r="K1601" t="s">
        <v>29335</v>
      </c>
      <c r="M1601" t="s">
        <v>29935</v>
      </c>
      <c r="N1601" t="s">
        <v>32524</v>
      </c>
      <c r="O1601" t="s">
        <v>32525</v>
      </c>
      <c r="P1601">
        <v>0</v>
      </c>
      <c r="Q1601">
        <v>0</v>
      </c>
      <c r="R1601" t="s">
        <v>32526</v>
      </c>
      <c r="S1601" t="s">
        <v>32547</v>
      </c>
      <c r="T1601" t="s">
        <v>33180</v>
      </c>
      <c r="U1601" t="s">
        <v>34999</v>
      </c>
      <c r="V1601" t="s">
        <v>42500</v>
      </c>
      <c r="W1601" t="s">
        <v>29935</v>
      </c>
      <c r="X1601" t="s">
        <v>32527</v>
      </c>
    </row>
    <row r="1602" spans="1:24">
      <c r="A1602">
        <f>HYPERLINK("https://www.philgeps.gov.ph/GEPSNONPILOT/Tender/SplashBidNoticeAbstractUI.aspx?menuIndex=3&amp;refID=7046103&amp;Result=3","7046103")</f>
        <v>0</v>
      </c>
      <c r="B1602" t="s">
        <v>223</v>
      </c>
      <c r="C1602" t="s">
        <v>4186</v>
      </c>
      <c r="D1602" t="s">
        <v>13024</v>
      </c>
      <c r="E1602" t="s">
        <v>14551</v>
      </c>
      <c r="F1602" t="s">
        <v>22436</v>
      </c>
      <c r="G1602" t="s">
        <v>22446</v>
      </c>
      <c r="H1602" t="s">
        <v>22452</v>
      </c>
      <c r="I1602" t="s">
        <v>22460</v>
      </c>
      <c r="J1602" t="s">
        <v>23746</v>
      </c>
      <c r="K1602" t="s">
        <v>29336</v>
      </c>
      <c r="M1602" t="s">
        <v>29796</v>
      </c>
      <c r="N1602" t="s">
        <v>32524</v>
      </c>
      <c r="O1602" t="s">
        <v>32525</v>
      </c>
      <c r="P1602">
        <v>0</v>
      </c>
      <c r="Q1602">
        <v>0</v>
      </c>
      <c r="R1602" t="s">
        <v>32526</v>
      </c>
      <c r="S1602" t="s">
        <v>32547</v>
      </c>
      <c r="T1602" t="s">
        <v>33180</v>
      </c>
      <c r="U1602" t="s">
        <v>35000</v>
      </c>
      <c r="W1602" t="s">
        <v>29796</v>
      </c>
      <c r="X1602" t="s">
        <v>32527</v>
      </c>
    </row>
    <row r="1603" spans="1:24">
      <c r="A1603">
        <f>HYPERLINK("https://www.philgeps.gov.ph/GEPSNONPILOT/Tender/SplashBidNoticeAbstractUI.aspx?menuIndex=3&amp;refID=7046120&amp;Result=3","7046120")</f>
        <v>0</v>
      </c>
      <c r="B1603" t="s">
        <v>657</v>
      </c>
      <c r="C1603" t="s">
        <v>4218</v>
      </c>
      <c r="D1603" t="s">
        <v>12994</v>
      </c>
      <c r="E1603" t="s">
        <v>14552</v>
      </c>
      <c r="F1603" t="s">
        <v>22436</v>
      </c>
      <c r="G1603" t="s">
        <v>22444</v>
      </c>
      <c r="H1603" t="s">
        <v>22454</v>
      </c>
      <c r="I1603" t="s">
        <v>7738</v>
      </c>
      <c r="J1603" t="s">
        <v>22605</v>
      </c>
      <c r="K1603" t="s">
        <v>29335</v>
      </c>
      <c r="M1603" t="s">
        <v>30249</v>
      </c>
      <c r="N1603" t="s">
        <v>32524</v>
      </c>
      <c r="O1603" t="s">
        <v>32525</v>
      </c>
      <c r="P1603">
        <v>0</v>
      </c>
      <c r="Q1603">
        <v>0</v>
      </c>
      <c r="R1603" t="s">
        <v>32526</v>
      </c>
      <c r="S1603" t="s">
        <v>32547</v>
      </c>
      <c r="T1603" t="s">
        <v>33163</v>
      </c>
      <c r="U1603" t="s">
        <v>35001</v>
      </c>
      <c r="W1603" t="s">
        <v>30249</v>
      </c>
      <c r="X1603" t="s">
        <v>32527</v>
      </c>
    </row>
    <row r="1604" spans="1:24">
      <c r="A1604">
        <f>HYPERLINK("https://www.philgeps.gov.ph/GEPSNONPILOT/Tender/SplashBidNoticeAbstractUI.aspx?menuIndex=3&amp;refID=7046119&amp;Result=3","7046119")</f>
        <v>0</v>
      </c>
      <c r="B1604" t="s">
        <v>658</v>
      </c>
      <c r="C1604" t="s">
        <v>4219</v>
      </c>
      <c r="E1604" t="s">
        <v>14553</v>
      </c>
      <c r="F1604" t="s">
        <v>22436</v>
      </c>
      <c r="G1604" t="s">
        <v>22443</v>
      </c>
      <c r="H1604" t="s">
        <v>22452</v>
      </c>
      <c r="I1604" t="s">
        <v>22486</v>
      </c>
      <c r="J1604" t="s">
        <v>23747</v>
      </c>
      <c r="K1604" t="s">
        <v>29338</v>
      </c>
      <c r="M1604" t="s">
        <v>30250</v>
      </c>
      <c r="N1604" t="s">
        <v>32524</v>
      </c>
      <c r="O1604" t="s">
        <v>32525</v>
      </c>
      <c r="P1604">
        <v>0</v>
      </c>
      <c r="Q1604">
        <v>2</v>
      </c>
      <c r="R1604" t="s">
        <v>32526</v>
      </c>
      <c r="S1604" t="s">
        <v>32547</v>
      </c>
      <c r="T1604" t="s">
        <v>33167</v>
      </c>
      <c r="U1604" t="s">
        <v>35002</v>
      </c>
      <c r="V1604" t="s">
        <v>42574</v>
      </c>
      <c r="W1604" t="s">
        <v>30250</v>
      </c>
      <c r="X1604" t="s">
        <v>32527</v>
      </c>
    </row>
    <row r="1605" spans="1:24">
      <c r="A1605">
        <f>HYPERLINK("https://www.philgeps.gov.ph/GEPSNONPILOT/Tender/SplashBidNoticeAbstractUI.aspx?menuIndex=3&amp;refID=7046124&amp;Result=3","7046124")</f>
        <v>0</v>
      </c>
      <c r="B1605" t="s">
        <v>567</v>
      </c>
      <c r="C1605" t="s">
        <v>4220</v>
      </c>
      <c r="D1605" t="s">
        <v>13012</v>
      </c>
      <c r="E1605" t="s">
        <v>14554</v>
      </c>
      <c r="F1605" t="s">
        <v>22436</v>
      </c>
      <c r="G1605" t="s">
        <v>22444</v>
      </c>
      <c r="H1605" t="s">
        <v>22452</v>
      </c>
      <c r="I1605" t="s">
        <v>22502</v>
      </c>
      <c r="J1605" t="s">
        <v>23276</v>
      </c>
      <c r="K1605" t="s">
        <v>29334</v>
      </c>
      <c r="M1605" t="s">
        <v>30155</v>
      </c>
      <c r="N1605" t="s">
        <v>32524</v>
      </c>
      <c r="O1605" t="s">
        <v>32525</v>
      </c>
      <c r="P1605">
        <v>0</v>
      </c>
      <c r="Q1605">
        <v>3</v>
      </c>
      <c r="R1605" t="s">
        <v>32526</v>
      </c>
      <c r="S1605" t="s">
        <v>32547</v>
      </c>
      <c r="T1605" t="s">
        <v>33315</v>
      </c>
      <c r="U1605" t="s">
        <v>35003</v>
      </c>
      <c r="V1605" t="s">
        <v>42552</v>
      </c>
      <c r="W1605" t="s">
        <v>30155</v>
      </c>
      <c r="X1605" t="s">
        <v>32527</v>
      </c>
    </row>
    <row r="1606" spans="1:24">
      <c r="A1606">
        <f>HYPERLINK("https://www.philgeps.gov.ph/GEPSNONPILOT/Tender/SplashBidNoticeAbstractUI.aspx?menuIndex=3&amp;refID=7046140&amp;Result=3","7046140")</f>
        <v>0</v>
      </c>
      <c r="B1606" t="s">
        <v>659</v>
      </c>
      <c r="C1606" t="s">
        <v>4221</v>
      </c>
      <c r="D1606" t="s">
        <v>13059</v>
      </c>
      <c r="E1606" t="s">
        <v>14555</v>
      </c>
      <c r="F1606" t="s">
        <v>22436</v>
      </c>
      <c r="G1606" t="s">
        <v>22446</v>
      </c>
      <c r="H1606" t="s">
        <v>22452</v>
      </c>
      <c r="I1606" t="s">
        <v>22502</v>
      </c>
      <c r="J1606" t="s">
        <v>22657</v>
      </c>
      <c r="K1606" t="s">
        <v>29368</v>
      </c>
      <c r="M1606" t="s">
        <v>30251</v>
      </c>
      <c r="N1606" t="s">
        <v>32524</v>
      </c>
      <c r="O1606" t="s">
        <v>32525</v>
      </c>
      <c r="P1606">
        <v>0</v>
      </c>
      <c r="Q1606">
        <v>7</v>
      </c>
      <c r="R1606" t="s">
        <v>32526</v>
      </c>
      <c r="S1606" t="s">
        <v>32547</v>
      </c>
      <c r="T1606" t="s">
        <v>33296</v>
      </c>
      <c r="U1606" t="s">
        <v>35004</v>
      </c>
      <c r="W1606" t="s">
        <v>43691</v>
      </c>
      <c r="X1606" t="s">
        <v>32527</v>
      </c>
    </row>
    <row r="1607" spans="1:24">
      <c r="A1607">
        <f>HYPERLINK("https://www.philgeps.gov.ph/GEPSNONPILOT/Tender/SplashBidNoticeAbstractUI.aspx?menuIndex=3&amp;refID=7046141&amp;Result=3","7046141")</f>
        <v>0</v>
      </c>
      <c r="B1607" t="s">
        <v>660</v>
      </c>
      <c r="C1607" t="s">
        <v>4222</v>
      </c>
      <c r="D1607" t="s">
        <v>13013</v>
      </c>
      <c r="E1607" t="s">
        <v>14556</v>
      </c>
      <c r="F1607" t="s">
        <v>22436</v>
      </c>
      <c r="G1607" t="s">
        <v>22444</v>
      </c>
      <c r="H1607" t="s">
        <v>22454</v>
      </c>
      <c r="I1607" t="s">
        <v>7738</v>
      </c>
      <c r="J1607" t="s">
        <v>23604</v>
      </c>
      <c r="K1607" t="s">
        <v>29402</v>
      </c>
      <c r="M1607" t="s">
        <v>30252</v>
      </c>
      <c r="N1607" t="s">
        <v>32524</v>
      </c>
      <c r="O1607" t="s">
        <v>32525</v>
      </c>
      <c r="P1607">
        <v>0</v>
      </c>
      <c r="Q1607">
        <v>0</v>
      </c>
      <c r="R1607" t="s">
        <v>32526</v>
      </c>
      <c r="S1607" t="s">
        <v>32547</v>
      </c>
      <c r="T1607" t="s">
        <v>33165</v>
      </c>
      <c r="U1607" t="s">
        <v>35005</v>
      </c>
      <c r="W1607" t="s">
        <v>30252</v>
      </c>
      <c r="X1607" t="s">
        <v>32527</v>
      </c>
    </row>
    <row r="1608" spans="1:24">
      <c r="A1608">
        <f>HYPERLINK("https://www.philgeps.gov.ph/GEPSNONPILOT/Tender/SplashBidNoticeAbstractUI.aspx?menuIndex=3&amp;refID=7046122&amp;Result=3","7046122")</f>
        <v>0</v>
      </c>
      <c r="B1608" t="s">
        <v>374</v>
      </c>
      <c r="C1608" t="s">
        <v>4223</v>
      </c>
      <c r="E1608" t="s">
        <v>14557</v>
      </c>
      <c r="F1608" t="s">
        <v>22436</v>
      </c>
      <c r="G1608" t="s">
        <v>22444</v>
      </c>
      <c r="H1608" t="s">
        <v>22452</v>
      </c>
      <c r="I1608" t="s">
        <v>22461</v>
      </c>
      <c r="J1608" t="s">
        <v>23748</v>
      </c>
      <c r="K1608" t="s">
        <v>29338</v>
      </c>
      <c r="M1608" t="s">
        <v>29952</v>
      </c>
      <c r="N1608" t="s">
        <v>32524</v>
      </c>
      <c r="O1608" t="s">
        <v>32525</v>
      </c>
      <c r="P1608">
        <v>0</v>
      </c>
      <c r="Q1608">
        <v>3</v>
      </c>
      <c r="R1608" t="s">
        <v>32526</v>
      </c>
      <c r="S1608" t="s">
        <v>32547</v>
      </c>
      <c r="T1608" t="s">
        <v>33188</v>
      </c>
      <c r="U1608" t="s">
        <v>35006</v>
      </c>
      <c r="V1608" t="s">
        <v>42575</v>
      </c>
      <c r="W1608" t="s">
        <v>29952</v>
      </c>
      <c r="X1608" t="s">
        <v>32527</v>
      </c>
    </row>
    <row r="1609" spans="1:24">
      <c r="A1609">
        <f>HYPERLINK("https://www.philgeps.gov.ph/GEPSNONPILOT/Tender/SplashBidNoticeAbstractUI.aspx?menuIndex=3&amp;refID=7046138&amp;Result=3","7046138")</f>
        <v>0</v>
      </c>
      <c r="B1609" t="s">
        <v>649</v>
      </c>
      <c r="C1609" t="s">
        <v>4224</v>
      </c>
      <c r="D1609" t="s">
        <v>13064</v>
      </c>
      <c r="E1609" t="s">
        <v>14558</v>
      </c>
      <c r="F1609" t="s">
        <v>22436</v>
      </c>
      <c r="G1609" t="s">
        <v>22444</v>
      </c>
      <c r="H1609" t="s">
        <v>22453</v>
      </c>
      <c r="I1609" t="s">
        <v>22464</v>
      </c>
      <c r="J1609" t="s">
        <v>23749</v>
      </c>
      <c r="K1609" t="s">
        <v>29335</v>
      </c>
      <c r="M1609" t="s">
        <v>30240</v>
      </c>
      <c r="N1609" t="s">
        <v>32524</v>
      </c>
      <c r="O1609" t="s">
        <v>32525</v>
      </c>
      <c r="P1609">
        <v>0</v>
      </c>
      <c r="Q1609">
        <v>1</v>
      </c>
      <c r="R1609" t="s">
        <v>32526</v>
      </c>
      <c r="S1609" t="s">
        <v>32547</v>
      </c>
      <c r="T1609" t="s">
        <v>33234</v>
      </c>
      <c r="U1609" t="s">
        <v>35007</v>
      </c>
      <c r="W1609" t="s">
        <v>30240</v>
      </c>
      <c r="X1609" t="s">
        <v>32527</v>
      </c>
    </row>
    <row r="1610" spans="1:24">
      <c r="A1610">
        <f>HYPERLINK("https://www.philgeps.gov.ph/GEPSNONPILOT/Tender/SplashBidNoticeAbstractUI.aspx?menuIndex=3&amp;refID=7046118&amp;Result=3","7046118")</f>
        <v>0</v>
      </c>
      <c r="B1610" t="s">
        <v>661</v>
      </c>
      <c r="C1610" t="s">
        <v>4225</v>
      </c>
      <c r="E1610" t="s">
        <v>14559</v>
      </c>
      <c r="F1610" t="s">
        <v>22437</v>
      </c>
      <c r="G1610" t="s">
        <v>22443</v>
      </c>
      <c r="H1610" t="s">
        <v>22452</v>
      </c>
      <c r="I1610" t="s">
        <v>6421</v>
      </c>
      <c r="J1610" t="s">
        <v>22619</v>
      </c>
      <c r="K1610" t="s">
        <v>29338</v>
      </c>
      <c r="M1610" t="s">
        <v>30253</v>
      </c>
      <c r="N1610" t="s">
        <v>32524</v>
      </c>
      <c r="O1610" t="s">
        <v>32525</v>
      </c>
      <c r="P1610">
        <v>0</v>
      </c>
      <c r="Q1610">
        <v>0</v>
      </c>
      <c r="R1610" t="s">
        <v>32526</v>
      </c>
      <c r="S1610" t="s">
        <v>32547</v>
      </c>
      <c r="T1610" t="s">
        <v>33175</v>
      </c>
      <c r="U1610" t="s">
        <v>35008</v>
      </c>
      <c r="W1610" t="s">
        <v>30253</v>
      </c>
      <c r="X1610" t="s">
        <v>32527</v>
      </c>
    </row>
    <row r="1611" spans="1:24">
      <c r="A1611">
        <f>HYPERLINK("https://www.philgeps.gov.ph/GEPSNONPILOT/Tender/SplashBidNoticeAbstractUI.aspx?menuIndex=3&amp;refID=7046135&amp;Result=3","7046135")</f>
        <v>0</v>
      </c>
      <c r="B1611" t="s">
        <v>542</v>
      </c>
      <c r="C1611" t="s">
        <v>4226</v>
      </c>
      <c r="D1611" t="s">
        <v>13062</v>
      </c>
      <c r="E1611" t="s">
        <v>14560</v>
      </c>
      <c r="F1611" t="s">
        <v>22436</v>
      </c>
      <c r="G1611" t="s">
        <v>22444</v>
      </c>
      <c r="H1611" t="s">
        <v>22452</v>
      </c>
      <c r="I1611" t="s">
        <v>22502</v>
      </c>
      <c r="J1611" t="s">
        <v>22634</v>
      </c>
      <c r="K1611" t="s">
        <v>29333</v>
      </c>
      <c r="M1611" t="s">
        <v>30126</v>
      </c>
      <c r="N1611" t="s">
        <v>32524</v>
      </c>
      <c r="O1611" t="s">
        <v>32525</v>
      </c>
      <c r="P1611">
        <v>0</v>
      </c>
      <c r="Q1611">
        <v>15</v>
      </c>
      <c r="R1611" t="s">
        <v>32526</v>
      </c>
      <c r="S1611" t="s">
        <v>32547</v>
      </c>
      <c r="T1611" t="s">
        <v>33283</v>
      </c>
      <c r="U1611" t="s">
        <v>35009</v>
      </c>
      <c r="W1611" t="s">
        <v>30126</v>
      </c>
      <c r="X1611" t="s">
        <v>32527</v>
      </c>
    </row>
    <row r="1612" spans="1:24">
      <c r="A1612">
        <f>HYPERLINK("https://www.philgeps.gov.ph/GEPSNONPILOT/Tender/SplashBidNoticeAbstractUI.aspx?menuIndex=3&amp;refID=7046123&amp;Result=3","7046123")</f>
        <v>0</v>
      </c>
      <c r="B1612" t="s">
        <v>194</v>
      </c>
      <c r="C1612" t="s">
        <v>4227</v>
      </c>
      <c r="D1612" t="s">
        <v>13031</v>
      </c>
      <c r="E1612" t="s">
        <v>14561</v>
      </c>
      <c r="F1612" t="s">
        <v>22436</v>
      </c>
      <c r="G1612" t="s">
        <v>22443</v>
      </c>
      <c r="H1612" t="s">
        <v>22452</v>
      </c>
      <c r="I1612" t="s">
        <v>3027</v>
      </c>
      <c r="J1612" t="s">
        <v>22704</v>
      </c>
      <c r="K1612" t="s">
        <v>29338</v>
      </c>
      <c r="M1612" t="s">
        <v>29767</v>
      </c>
      <c r="N1612" t="s">
        <v>32524</v>
      </c>
      <c r="O1612" t="s">
        <v>32525</v>
      </c>
      <c r="P1612">
        <v>0</v>
      </c>
      <c r="Q1612">
        <v>0</v>
      </c>
      <c r="R1612" t="s">
        <v>32526</v>
      </c>
      <c r="S1612" t="s">
        <v>32547</v>
      </c>
      <c r="T1612" t="s">
        <v>33177</v>
      </c>
      <c r="U1612" t="s">
        <v>33984</v>
      </c>
      <c r="W1612" t="s">
        <v>29767</v>
      </c>
      <c r="X1612" t="s">
        <v>32527</v>
      </c>
    </row>
    <row r="1613" spans="1:24">
      <c r="A1613">
        <f>HYPERLINK("https://www.philgeps.gov.ph/GEPSNONPILOT/Tender/SplashBidNoticeAbstractUI.aspx?menuIndex=3&amp;refID=7046131&amp;Result=3","7046131")</f>
        <v>0</v>
      </c>
      <c r="B1613" t="s">
        <v>280</v>
      </c>
      <c r="C1613" t="s">
        <v>4228</v>
      </c>
      <c r="D1613" t="s">
        <v>13055</v>
      </c>
      <c r="E1613" t="s">
        <v>14562</v>
      </c>
      <c r="F1613" t="s">
        <v>22436</v>
      </c>
      <c r="G1613" t="s">
        <v>22443</v>
      </c>
      <c r="H1613" t="s">
        <v>22452</v>
      </c>
      <c r="I1613" t="s">
        <v>22495</v>
      </c>
      <c r="J1613" t="s">
        <v>22617</v>
      </c>
      <c r="K1613" t="s">
        <v>29336</v>
      </c>
      <c r="M1613" t="s">
        <v>29854</v>
      </c>
      <c r="N1613" t="s">
        <v>32524</v>
      </c>
      <c r="O1613" t="s">
        <v>32525</v>
      </c>
      <c r="P1613">
        <v>0</v>
      </c>
      <c r="Q1613">
        <v>4</v>
      </c>
      <c r="R1613" t="s">
        <v>32526</v>
      </c>
      <c r="S1613" t="s">
        <v>32547</v>
      </c>
      <c r="T1613" t="s">
        <v>33181</v>
      </c>
      <c r="U1613" t="s">
        <v>34804</v>
      </c>
      <c r="V1613" t="s">
        <v>42486</v>
      </c>
      <c r="W1613" t="s">
        <v>29854</v>
      </c>
      <c r="X1613" t="s">
        <v>32527</v>
      </c>
    </row>
    <row r="1614" spans="1:24">
      <c r="A1614">
        <f>HYPERLINK("https://www.philgeps.gov.ph/GEPSNONPILOT/Tender/SplashBidNoticeAbstractUI.aspx?menuIndex=3&amp;refID=7046121&amp;Result=3","7046121")</f>
        <v>0</v>
      </c>
      <c r="B1614" t="s">
        <v>124</v>
      </c>
      <c r="C1614" t="s">
        <v>4229</v>
      </c>
      <c r="D1614" t="s">
        <v>13031</v>
      </c>
      <c r="E1614" t="s">
        <v>14563</v>
      </c>
      <c r="F1614" t="s">
        <v>22436</v>
      </c>
      <c r="G1614" t="s">
        <v>22444</v>
      </c>
      <c r="H1614" t="s">
        <v>22452</v>
      </c>
      <c r="I1614" t="s">
        <v>22465</v>
      </c>
      <c r="J1614" t="s">
        <v>23750</v>
      </c>
      <c r="K1614" t="s">
        <v>29338</v>
      </c>
      <c r="M1614" t="s">
        <v>30213</v>
      </c>
      <c r="N1614" t="s">
        <v>32524</v>
      </c>
      <c r="O1614" t="s">
        <v>32525</v>
      </c>
      <c r="P1614">
        <v>0</v>
      </c>
      <c r="Q1614">
        <v>2</v>
      </c>
      <c r="R1614" t="s">
        <v>32526</v>
      </c>
      <c r="S1614" t="s">
        <v>32547</v>
      </c>
      <c r="T1614" t="s">
        <v>33252</v>
      </c>
      <c r="U1614" t="s">
        <v>35010</v>
      </c>
      <c r="W1614" t="s">
        <v>30213</v>
      </c>
      <c r="X1614" t="s">
        <v>32527</v>
      </c>
    </row>
    <row r="1615" spans="1:24">
      <c r="A1615">
        <f>HYPERLINK("https://www.philgeps.gov.ph/GEPSNONPILOT/Tender/SplashBidNoticeAbstractUI.aspx?menuIndex=3&amp;refID=7046143&amp;Result=3","7046143")</f>
        <v>0</v>
      </c>
      <c r="B1615" t="s">
        <v>627</v>
      </c>
      <c r="C1615" t="s">
        <v>4230</v>
      </c>
      <c r="D1615" t="s">
        <v>13041</v>
      </c>
      <c r="E1615" t="s">
        <v>13232</v>
      </c>
      <c r="F1615" t="s">
        <v>22436</v>
      </c>
      <c r="G1615" t="s">
        <v>22443</v>
      </c>
      <c r="H1615" t="s">
        <v>22452</v>
      </c>
      <c r="I1615" t="s">
        <v>3529</v>
      </c>
      <c r="J1615" t="s">
        <v>23751</v>
      </c>
      <c r="K1615" t="s">
        <v>29356</v>
      </c>
      <c r="M1615" t="s">
        <v>30218</v>
      </c>
      <c r="N1615" t="s">
        <v>32524</v>
      </c>
      <c r="O1615" t="s">
        <v>32525</v>
      </c>
      <c r="P1615">
        <v>0</v>
      </c>
      <c r="Q1615">
        <v>0</v>
      </c>
      <c r="R1615" t="s">
        <v>32526</v>
      </c>
      <c r="S1615" t="s">
        <v>32547</v>
      </c>
      <c r="T1615" t="s">
        <v>33331</v>
      </c>
      <c r="U1615" t="s">
        <v>35011</v>
      </c>
      <c r="W1615" t="s">
        <v>30218</v>
      </c>
      <c r="X1615" t="s">
        <v>32527</v>
      </c>
    </row>
    <row r="1616" spans="1:24">
      <c r="A1616">
        <f>HYPERLINK("https://www.philgeps.gov.ph/GEPSNONPILOT/Tender/SplashBidNoticeAbstractUI.aspx?menuIndex=3&amp;refID=7046134&amp;Result=3","7046134")</f>
        <v>0</v>
      </c>
      <c r="B1616" t="s">
        <v>662</v>
      </c>
      <c r="C1616" t="s">
        <v>4231</v>
      </c>
      <c r="D1616" t="s">
        <v>13001</v>
      </c>
      <c r="E1616" t="s">
        <v>4231</v>
      </c>
      <c r="F1616" t="s">
        <v>22436</v>
      </c>
      <c r="G1616" t="s">
        <v>22443</v>
      </c>
      <c r="H1616" t="s">
        <v>22452</v>
      </c>
      <c r="I1616" t="s">
        <v>3529</v>
      </c>
      <c r="J1616" t="s">
        <v>23752</v>
      </c>
      <c r="K1616" t="s">
        <v>29338</v>
      </c>
      <c r="M1616" t="s">
        <v>30254</v>
      </c>
      <c r="N1616" t="s">
        <v>32524</v>
      </c>
      <c r="O1616" t="s">
        <v>32525</v>
      </c>
      <c r="P1616">
        <v>0</v>
      </c>
      <c r="Q1616">
        <v>0</v>
      </c>
      <c r="R1616" t="s">
        <v>32526</v>
      </c>
      <c r="S1616" t="s">
        <v>32547</v>
      </c>
      <c r="T1616" t="s">
        <v>33332</v>
      </c>
      <c r="U1616" t="s">
        <v>35012</v>
      </c>
      <c r="W1616" t="s">
        <v>30254</v>
      </c>
      <c r="X1616" t="s">
        <v>32527</v>
      </c>
    </row>
    <row r="1617" spans="1:24">
      <c r="A1617">
        <f>HYPERLINK("https://www.philgeps.gov.ph/GEPSNONPILOT/Tender/SplashBidNoticeAbstractUI.aspx?menuIndex=3&amp;refID=7046126&amp;Result=3","7046126")</f>
        <v>0</v>
      </c>
      <c r="B1617" t="s">
        <v>50</v>
      </c>
      <c r="C1617" t="s">
        <v>4232</v>
      </c>
      <c r="D1617" t="s">
        <v>13008</v>
      </c>
      <c r="E1617" t="s">
        <v>14564</v>
      </c>
      <c r="F1617" t="s">
        <v>22436</v>
      </c>
      <c r="G1617" t="s">
        <v>22444</v>
      </c>
      <c r="H1617" t="s">
        <v>22452</v>
      </c>
      <c r="I1617" t="s">
        <v>3027</v>
      </c>
      <c r="J1617" t="s">
        <v>23753</v>
      </c>
      <c r="K1617" t="s">
        <v>29335</v>
      </c>
      <c r="M1617" t="s">
        <v>29622</v>
      </c>
      <c r="N1617" t="s">
        <v>32524</v>
      </c>
      <c r="O1617" t="s">
        <v>32525</v>
      </c>
      <c r="P1617">
        <v>0</v>
      </c>
      <c r="Q1617">
        <v>0</v>
      </c>
      <c r="R1617" t="s">
        <v>32526</v>
      </c>
      <c r="S1617" t="s">
        <v>32547</v>
      </c>
      <c r="T1617" t="s">
        <v>33166</v>
      </c>
      <c r="U1617" t="s">
        <v>35013</v>
      </c>
      <c r="W1617" t="s">
        <v>29622</v>
      </c>
      <c r="X1617" t="s">
        <v>32527</v>
      </c>
    </row>
    <row r="1618" spans="1:24">
      <c r="A1618">
        <f>HYPERLINK("https://www.philgeps.gov.ph/GEPSNONPILOT/Tender/SplashBidNoticeAbstractUI.aspx?menuIndex=3&amp;refID=7046129&amp;Result=3","7046129")</f>
        <v>0</v>
      </c>
      <c r="B1618" t="s">
        <v>648</v>
      </c>
      <c r="C1618" t="s">
        <v>4233</v>
      </c>
      <c r="D1618" t="s">
        <v>12998</v>
      </c>
      <c r="E1618" t="s">
        <v>14565</v>
      </c>
      <c r="F1618" t="s">
        <v>22436</v>
      </c>
      <c r="G1618" t="s">
        <v>22444</v>
      </c>
      <c r="H1618" t="s">
        <v>22454</v>
      </c>
      <c r="I1618" t="s">
        <v>7738</v>
      </c>
      <c r="J1618" t="s">
        <v>23754</v>
      </c>
      <c r="K1618" t="s">
        <v>29403</v>
      </c>
      <c r="M1618" t="s">
        <v>30239</v>
      </c>
      <c r="N1618" t="s">
        <v>32524</v>
      </c>
      <c r="O1618" t="s">
        <v>32525</v>
      </c>
      <c r="P1618">
        <v>0</v>
      </c>
      <c r="Q1618">
        <v>0</v>
      </c>
      <c r="R1618" t="s">
        <v>32526</v>
      </c>
      <c r="S1618" t="s">
        <v>32547</v>
      </c>
      <c r="T1618" t="s">
        <v>33207</v>
      </c>
      <c r="U1618" t="s">
        <v>34980</v>
      </c>
      <c r="W1618" t="s">
        <v>30239</v>
      </c>
      <c r="X1618" t="s">
        <v>32527</v>
      </c>
    </row>
    <row r="1619" spans="1:24">
      <c r="A1619">
        <f>HYPERLINK("https://www.philgeps.gov.ph/GEPSNONPILOT/Tender/SplashBidNoticeAbstractUI.aspx?menuIndex=3&amp;refID=7046137&amp;Result=3","7046137")</f>
        <v>0</v>
      </c>
      <c r="B1619" t="s">
        <v>663</v>
      </c>
      <c r="C1619" t="s">
        <v>4234</v>
      </c>
      <c r="D1619" t="s">
        <v>13039</v>
      </c>
      <c r="E1619" t="s">
        <v>14566</v>
      </c>
      <c r="F1619" t="s">
        <v>22436</v>
      </c>
      <c r="G1619" t="s">
        <v>22444</v>
      </c>
      <c r="H1619" t="s">
        <v>22454</v>
      </c>
      <c r="I1619" t="s">
        <v>7738</v>
      </c>
      <c r="J1619" t="s">
        <v>22893</v>
      </c>
      <c r="K1619" t="s">
        <v>29333</v>
      </c>
      <c r="M1619" t="s">
        <v>30255</v>
      </c>
      <c r="N1619" t="s">
        <v>32524</v>
      </c>
      <c r="O1619" t="s">
        <v>32525</v>
      </c>
      <c r="P1619">
        <v>0</v>
      </c>
      <c r="Q1619">
        <v>0</v>
      </c>
      <c r="R1619" t="s">
        <v>32526</v>
      </c>
      <c r="S1619" t="s">
        <v>32547</v>
      </c>
      <c r="T1619" t="s">
        <v>33168</v>
      </c>
      <c r="U1619" t="s">
        <v>35014</v>
      </c>
      <c r="W1619" t="s">
        <v>30255</v>
      </c>
      <c r="X1619" t="s">
        <v>32527</v>
      </c>
    </row>
    <row r="1620" spans="1:24">
      <c r="A1620">
        <f>HYPERLINK("https://www.philgeps.gov.ph/GEPSNONPILOT/Tender/SplashBidNoticeAbstractUI.aspx?menuIndex=3&amp;refID=7046142&amp;Result=3","7046142")</f>
        <v>0</v>
      </c>
      <c r="B1620" t="s">
        <v>664</v>
      </c>
      <c r="C1620" t="s">
        <v>3548</v>
      </c>
      <c r="E1620" t="s">
        <v>14018</v>
      </c>
      <c r="F1620" t="s">
        <v>22436</v>
      </c>
      <c r="G1620" t="s">
        <v>22444</v>
      </c>
      <c r="H1620" t="s">
        <v>22452</v>
      </c>
      <c r="I1620" t="s">
        <v>22488</v>
      </c>
      <c r="J1620" t="s">
        <v>23755</v>
      </c>
      <c r="K1620" t="s">
        <v>29338</v>
      </c>
      <c r="M1620" t="s">
        <v>30256</v>
      </c>
      <c r="N1620" t="s">
        <v>32524</v>
      </c>
      <c r="O1620" t="s">
        <v>32525</v>
      </c>
      <c r="P1620">
        <v>0</v>
      </c>
      <c r="Q1620">
        <v>0</v>
      </c>
      <c r="R1620" t="s">
        <v>32526</v>
      </c>
      <c r="S1620" t="s">
        <v>32547</v>
      </c>
      <c r="T1620" t="s">
        <v>33211</v>
      </c>
      <c r="U1620" t="s">
        <v>35015</v>
      </c>
      <c r="W1620" t="s">
        <v>30256</v>
      </c>
      <c r="X1620" t="s">
        <v>32527</v>
      </c>
    </row>
    <row r="1621" spans="1:24">
      <c r="A1621">
        <f>HYPERLINK("https://www.philgeps.gov.ph/GEPSNONPILOT/Tender/SplashBidNoticeAbstractUI.aspx?menuIndex=3&amp;refID=7046145&amp;Result=3","7046145")</f>
        <v>0</v>
      </c>
      <c r="B1621" t="s">
        <v>554</v>
      </c>
      <c r="C1621" t="s">
        <v>4235</v>
      </c>
      <c r="D1621" t="s">
        <v>12994</v>
      </c>
      <c r="E1621" t="s">
        <v>14567</v>
      </c>
      <c r="F1621" t="s">
        <v>22436</v>
      </c>
      <c r="G1621" t="s">
        <v>22444</v>
      </c>
      <c r="H1621" t="s">
        <v>22454</v>
      </c>
      <c r="I1621" t="s">
        <v>7738</v>
      </c>
      <c r="J1621" t="s">
        <v>22893</v>
      </c>
      <c r="K1621" t="s">
        <v>29390</v>
      </c>
      <c r="L1621" t="s">
        <v>554</v>
      </c>
      <c r="M1621" t="s">
        <v>30140</v>
      </c>
      <c r="N1621" t="s">
        <v>32524</v>
      </c>
      <c r="O1621" t="s">
        <v>32525</v>
      </c>
      <c r="P1621">
        <v>0</v>
      </c>
      <c r="Q1621">
        <v>18</v>
      </c>
      <c r="R1621" t="s">
        <v>32526</v>
      </c>
      <c r="S1621" t="s">
        <v>32547</v>
      </c>
      <c r="T1621" t="s">
        <v>33243</v>
      </c>
      <c r="U1621" t="s">
        <v>35016</v>
      </c>
      <c r="W1621" t="s">
        <v>30140</v>
      </c>
      <c r="X1621" t="s">
        <v>32527</v>
      </c>
    </row>
    <row r="1622" spans="1:24">
      <c r="A1622">
        <f>HYPERLINK("https://www.philgeps.gov.ph/GEPSNONPILOT/Tender/SplashBidNoticeAbstractUI.aspx?menuIndex=3&amp;refID=7046132&amp;Result=3","7046132")</f>
        <v>0</v>
      </c>
      <c r="B1622" t="s">
        <v>463</v>
      </c>
      <c r="C1622" t="s">
        <v>3829</v>
      </c>
      <c r="D1622" t="s">
        <v>13031</v>
      </c>
      <c r="E1622" t="s">
        <v>14568</v>
      </c>
      <c r="F1622" t="s">
        <v>22436</v>
      </c>
      <c r="G1622" t="s">
        <v>22446</v>
      </c>
      <c r="H1622" t="s">
        <v>22452</v>
      </c>
      <c r="I1622" t="s">
        <v>22460</v>
      </c>
      <c r="J1622" t="s">
        <v>23756</v>
      </c>
      <c r="K1622" t="s">
        <v>29357</v>
      </c>
      <c r="M1622" t="s">
        <v>30045</v>
      </c>
      <c r="N1622" t="s">
        <v>32524</v>
      </c>
      <c r="O1622" t="s">
        <v>32525</v>
      </c>
      <c r="P1622">
        <v>0</v>
      </c>
      <c r="Q1622">
        <v>0</v>
      </c>
      <c r="R1622" t="s">
        <v>32526</v>
      </c>
      <c r="S1622" t="s">
        <v>32547</v>
      </c>
      <c r="T1622" t="s">
        <v>33292</v>
      </c>
      <c r="U1622" t="s">
        <v>35017</v>
      </c>
      <c r="V1622" t="s">
        <v>42520</v>
      </c>
      <c r="W1622" t="s">
        <v>30045</v>
      </c>
      <c r="X1622" t="s">
        <v>32527</v>
      </c>
    </row>
    <row r="1623" spans="1:24">
      <c r="A1623">
        <f>HYPERLINK("https://www.philgeps.gov.ph/GEPSNONPILOT/Tender/SplashBidNoticeAbstractUI.aspx?menuIndex=3&amp;refID=7046160&amp;Result=3","7046160")</f>
        <v>0</v>
      </c>
      <c r="B1623" t="s">
        <v>597</v>
      </c>
      <c r="C1623" t="s">
        <v>4236</v>
      </c>
      <c r="D1623" t="s">
        <v>13006</v>
      </c>
      <c r="E1623" t="s">
        <v>14569</v>
      </c>
      <c r="F1623" t="s">
        <v>22436</v>
      </c>
      <c r="G1623" t="s">
        <v>22443</v>
      </c>
      <c r="H1623" t="s">
        <v>22452</v>
      </c>
      <c r="I1623" t="s">
        <v>22508</v>
      </c>
      <c r="J1623" t="s">
        <v>22922</v>
      </c>
      <c r="K1623" t="s">
        <v>29331</v>
      </c>
      <c r="M1623" t="s">
        <v>30187</v>
      </c>
      <c r="N1623" t="s">
        <v>32524</v>
      </c>
      <c r="O1623" t="s">
        <v>32525</v>
      </c>
      <c r="P1623">
        <v>0</v>
      </c>
      <c r="Q1623">
        <v>3</v>
      </c>
      <c r="R1623" t="s">
        <v>32526</v>
      </c>
      <c r="S1623" t="s">
        <v>32547</v>
      </c>
      <c r="T1623" t="s">
        <v>33167</v>
      </c>
      <c r="U1623" t="s">
        <v>35018</v>
      </c>
      <c r="V1623" t="s">
        <v>42576</v>
      </c>
      <c r="W1623" t="s">
        <v>30187</v>
      </c>
      <c r="X1623" t="s">
        <v>32527</v>
      </c>
    </row>
    <row r="1624" spans="1:24">
      <c r="A1624">
        <f>HYPERLINK("https://www.philgeps.gov.ph/GEPSNONPILOT/Tender/SplashBidNoticeAbstractUI.aspx?menuIndex=3&amp;refID=7046161&amp;Result=3","7046161")</f>
        <v>0</v>
      </c>
      <c r="B1624" t="s">
        <v>665</v>
      </c>
      <c r="C1624" t="s">
        <v>4237</v>
      </c>
      <c r="D1624" t="s">
        <v>13038</v>
      </c>
      <c r="E1624" t="s">
        <v>14570</v>
      </c>
      <c r="F1624" t="s">
        <v>22436</v>
      </c>
      <c r="G1624" t="s">
        <v>22443</v>
      </c>
      <c r="H1624" t="s">
        <v>22452</v>
      </c>
      <c r="I1624" t="s">
        <v>2981</v>
      </c>
      <c r="J1624" t="s">
        <v>23757</v>
      </c>
      <c r="K1624" t="s">
        <v>29337</v>
      </c>
      <c r="M1624" t="s">
        <v>30257</v>
      </c>
      <c r="N1624" t="s">
        <v>32524</v>
      </c>
      <c r="O1624" t="s">
        <v>32525</v>
      </c>
      <c r="P1624">
        <v>0</v>
      </c>
      <c r="Q1624">
        <v>0</v>
      </c>
      <c r="R1624" t="s">
        <v>32526</v>
      </c>
      <c r="S1624" t="s">
        <v>32547</v>
      </c>
      <c r="T1624" t="s">
        <v>33181</v>
      </c>
      <c r="U1624" t="s">
        <v>35019</v>
      </c>
      <c r="W1624" t="s">
        <v>30257</v>
      </c>
      <c r="X1624" t="s">
        <v>32527</v>
      </c>
    </row>
    <row r="1625" spans="1:24">
      <c r="A1625">
        <f>HYPERLINK("https://www.philgeps.gov.ph/GEPSNONPILOT/Tender/SplashBidNoticeAbstractUI.aspx?menuIndex=3&amp;refID=7046146&amp;Result=3","7046146")</f>
        <v>0</v>
      </c>
      <c r="B1625" t="s">
        <v>666</v>
      </c>
      <c r="C1625" t="s">
        <v>4238</v>
      </c>
      <c r="D1625" t="s">
        <v>13051</v>
      </c>
      <c r="E1625" t="s">
        <v>14571</v>
      </c>
      <c r="F1625" t="s">
        <v>22436</v>
      </c>
      <c r="G1625" t="s">
        <v>22444</v>
      </c>
      <c r="H1625" t="s">
        <v>22455</v>
      </c>
      <c r="I1625" t="s">
        <v>22455</v>
      </c>
      <c r="J1625" t="s">
        <v>22877</v>
      </c>
      <c r="K1625" t="s">
        <v>29334</v>
      </c>
      <c r="M1625" t="s">
        <v>30258</v>
      </c>
      <c r="N1625" t="s">
        <v>32524</v>
      </c>
      <c r="O1625" t="s">
        <v>32525</v>
      </c>
      <c r="P1625">
        <v>0</v>
      </c>
      <c r="Q1625">
        <v>5</v>
      </c>
      <c r="R1625" t="s">
        <v>32526</v>
      </c>
      <c r="S1625" t="s">
        <v>32547</v>
      </c>
      <c r="T1625" t="s">
        <v>33272</v>
      </c>
      <c r="U1625" t="s">
        <v>35020</v>
      </c>
      <c r="W1625" t="s">
        <v>30258</v>
      </c>
      <c r="X1625" t="s">
        <v>32527</v>
      </c>
    </row>
    <row r="1626" spans="1:24">
      <c r="A1626">
        <f>HYPERLINK("https://www.philgeps.gov.ph/GEPSNONPILOT/Tender/SplashBidNoticeAbstractUI.aspx?menuIndex=3&amp;refID=7046157&amp;Result=3","7046157")</f>
        <v>0</v>
      </c>
      <c r="B1626" t="s">
        <v>667</v>
      </c>
      <c r="C1626" t="s">
        <v>4239</v>
      </c>
      <c r="D1626" t="s">
        <v>12988</v>
      </c>
      <c r="E1626" t="s">
        <v>14572</v>
      </c>
      <c r="F1626" t="s">
        <v>22436</v>
      </c>
      <c r="G1626" t="s">
        <v>22444</v>
      </c>
      <c r="H1626" t="s">
        <v>22452</v>
      </c>
      <c r="I1626" t="s">
        <v>22485</v>
      </c>
      <c r="J1626" t="s">
        <v>23758</v>
      </c>
      <c r="K1626" t="s">
        <v>29335</v>
      </c>
      <c r="M1626" t="s">
        <v>30259</v>
      </c>
      <c r="N1626" t="s">
        <v>32524</v>
      </c>
      <c r="O1626" t="s">
        <v>32525</v>
      </c>
      <c r="P1626">
        <v>0</v>
      </c>
      <c r="Q1626">
        <v>0</v>
      </c>
      <c r="R1626" t="s">
        <v>32526</v>
      </c>
      <c r="S1626" t="s">
        <v>32547</v>
      </c>
      <c r="T1626" t="s">
        <v>33164</v>
      </c>
      <c r="U1626" t="s">
        <v>35021</v>
      </c>
      <c r="W1626" t="s">
        <v>30259</v>
      </c>
      <c r="X1626" t="s">
        <v>32527</v>
      </c>
    </row>
    <row r="1627" spans="1:24">
      <c r="A1627">
        <f>HYPERLINK("https://www.philgeps.gov.ph/GEPSNONPILOT/Tender/SplashBidNoticeAbstractUI.aspx?menuIndex=3&amp;refID=7046155&amp;Result=3","7046155")</f>
        <v>0</v>
      </c>
      <c r="B1627" t="s">
        <v>29</v>
      </c>
      <c r="C1627" t="s">
        <v>4240</v>
      </c>
      <c r="D1627" t="s">
        <v>12993</v>
      </c>
      <c r="E1627" t="s">
        <v>14573</v>
      </c>
      <c r="F1627" t="s">
        <v>22436</v>
      </c>
      <c r="G1627" t="s">
        <v>22443</v>
      </c>
      <c r="H1627" t="s">
        <v>22452</v>
      </c>
      <c r="I1627" t="s">
        <v>3529</v>
      </c>
      <c r="J1627" t="s">
        <v>23759</v>
      </c>
      <c r="K1627" t="s">
        <v>29336</v>
      </c>
      <c r="M1627" t="s">
        <v>29599</v>
      </c>
      <c r="N1627" t="s">
        <v>32524</v>
      </c>
      <c r="O1627" t="s">
        <v>32525</v>
      </c>
      <c r="P1627">
        <v>0</v>
      </c>
      <c r="Q1627">
        <v>0</v>
      </c>
      <c r="R1627" t="s">
        <v>32526</v>
      </c>
      <c r="S1627" t="s">
        <v>32547</v>
      </c>
      <c r="T1627" t="s">
        <v>33167</v>
      </c>
      <c r="U1627" t="s">
        <v>35022</v>
      </c>
      <c r="W1627" t="s">
        <v>29599</v>
      </c>
      <c r="X1627" t="s">
        <v>32527</v>
      </c>
    </row>
    <row r="1628" spans="1:24">
      <c r="A1628">
        <f>HYPERLINK("https://www.philgeps.gov.ph/GEPSNONPILOT/Tender/SplashBidNoticeAbstractUI.aspx?menuIndex=3&amp;refID=7046159&amp;Result=3","7046159")</f>
        <v>0</v>
      </c>
      <c r="B1628" t="s">
        <v>668</v>
      </c>
      <c r="C1628" t="s">
        <v>4241</v>
      </c>
      <c r="D1628" t="s">
        <v>13024</v>
      </c>
      <c r="E1628" t="s">
        <v>14574</v>
      </c>
      <c r="F1628" t="s">
        <v>22436</v>
      </c>
      <c r="G1628" t="s">
        <v>22444</v>
      </c>
      <c r="H1628" t="s">
        <v>22452</v>
      </c>
      <c r="I1628" t="s">
        <v>22474</v>
      </c>
      <c r="J1628" t="s">
        <v>23760</v>
      </c>
      <c r="K1628" t="s">
        <v>29333</v>
      </c>
      <c r="M1628" t="s">
        <v>30260</v>
      </c>
      <c r="N1628" t="s">
        <v>32524</v>
      </c>
      <c r="O1628" t="s">
        <v>32525</v>
      </c>
      <c r="P1628">
        <v>0</v>
      </c>
      <c r="Q1628">
        <v>5</v>
      </c>
      <c r="R1628" t="s">
        <v>32526</v>
      </c>
      <c r="S1628" t="s">
        <v>32547</v>
      </c>
      <c r="T1628" t="s">
        <v>33160</v>
      </c>
      <c r="U1628" t="s">
        <v>35023</v>
      </c>
      <c r="V1628" t="s">
        <v>42577</v>
      </c>
      <c r="W1628" t="s">
        <v>30260</v>
      </c>
      <c r="X1628" t="s">
        <v>32527</v>
      </c>
    </row>
    <row r="1629" spans="1:24">
      <c r="A1629">
        <f>HYPERLINK("https://www.philgeps.gov.ph/GEPSNONPILOT/Tender/SplashBidNoticeAbstractUI.aspx?menuIndex=3&amp;refID=7046151&amp;Result=3","7046151")</f>
        <v>0</v>
      </c>
      <c r="B1629" t="s">
        <v>648</v>
      </c>
      <c r="C1629" t="s">
        <v>4242</v>
      </c>
      <c r="D1629" t="s">
        <v>12998</v>
      </c>
      <c r="E1629" t="s">
        <v>14575</v>
      </c>
      <c r="F1629" t="s">
        <v>22436</v>
      </c>
      <c r="G1629" t="s">
        <v>22444</v>
      </c>
      <c r="H1629" t="s">
        <v>22454</v>
      </c>
      <c r="I1629" t="s">
        <v>7738</v>
      </c>
      <c r="J1629" t="s">
        <v>23761</v>
      </c>
      <c r="K1629" t="s">
        <v>29404</v>
      </c>
      <c r="M1629" t="s">
        <v>30239</v>
      </c>
      <c r="N1629" t="s">
        <v>32524</v>
      </c>
      <c r="O1629" t="s">
        <v>32525</v>
      </c>
      <c r="P1629">
        <v>0</v>
      </c>
      <c r="Q1629">
        <v>0</v>
      </c>
      <c r="R1629" t="s">
        <v>32526</v>
      </c>
      <c r="S1629" t="s">
        <v>32547</v>
      </c>
      <c r="T1629" t="s">
        <v>33241</v>
      </c>
      <c r="U1629" t="s">
        <v>34980</v>
      </c>
      <c r="W1629" t="s">
        <v>30239</v>
      </c>
      <c r="X1629" t="s">
        <v>32527</v>
      </c>
    </row>
    <row r="1630" spans="1:24">
      <c r="A1630">
        <f>HYPERLINK("https://www.philgeps.gov.ph/GEPSNONPILOT/Tender/SplashBidNoticeAbstractUI.aspx?menuIndex=3&amp;refID=7046150&amp;Result=3","7046150")</f>
        <v>0</v>
      </c>
      <c r="B1630" t="s">
        <v>638</v>
      </c>
      <c r="C1630" t="s">
        <v>4243</v>
      </c>
      <c r="D1630" t="s">
        <v>13049</v>
      </c>
      <c r="E1630" t="s">
        <v>14576</v>
      </c>
      <c r="F1630" t="s">
        <v>22436</v>
      </c>
      <c r="G1630" t="s">
        <v>22444</v>
      </c>
      <c r="H1630" t="s">
        <v>22454</v>
      </c>
      <c r="I1630" t="s">
        <v>7738</v>
      </c>
      <c r="J1630" t="s">
        <v>23762</v>
      </c>
      <c r="K1630" t="s">
        <v>29405</v>
      </c>
      <c r="M1630" t="s">
        <v>30229</v>
      </c>
      <c r="N1630" t="s">
        <v>32524</v>
      </c>
      <c r="O1630" t="s">
        <v>32525</v>
      </c>
      <c r="P1630">
        <v>0</v>
      </c>
      <c r="Q1630">
        <v>0</v>
      </c>
      <c r="R1630" t="s">
        <v>32526</v>
      </c>
      <c r="S1630" t="s">
        <v>32547</v>
      </c>
      <c r="T1630" t="s">
        <v>33294</v>
      </c>
      <c r="U1630" t="s">
        <v>35024</v>
      </c>
      <c r="W1630" t="s">
        <v>30229</v>
      </c>
      <c r="X1630" t="s">
        <v>32527</v>
      </c>
    </row>
    <row r="1631" spans="1:24">
      <c r="A1631">
        <f>HYPERLINK("https://www.philgeps.gov.ph/GEPSNONPILOT/Tender/SplashBidNoticeAbstractUI.aspx?menuIndex=3&amp;refID=7046154&amp;Result=3","7046154")</f>
        <v>0</v>
      </c>
      <c r="B1631" t="s">
        <v>651</v>
      </c>
      <c r="C1631" t="s">
        <v>4244</v>
      </c>
      <c r="D1631" t="s">
        <v>13029</v>
      </c>
      <c r="E1631" t="s">
        <v>14577</v>
      </c>
      <c r="F1631" t="s">
        <v>22436</v>
      </c>
      <c r="G1631" t="s">
        <v>22443</v>
      </c>
      <c r="H1631" t="s">
        <v>22454</v>
      </c>
      <c r="I1631" t="s">
        <v>7738</v>
      </c>
      <c r="J1631" t="s">
        <v>22640</v>
      </c>
      <c r="K1631" t="s">
        <v>29337</v>
      </c>
      <c r="M1631" t="s">
        <v>30243</v>
      </c>
      <c r="N1631" t="s">
        <v>32524</v>
      </c>
      <c r="O1631" t="s">
        <v>32525</v>
      </c>
      <c r="P1631">
        <v>0</v>
      </c>
      <c r="Q1631">
        <v>0</v>
      </c>
      <c r="R1631" t="s">
        <v>32526</v>
      </c>
      <c r="S1631" t="s">
        <v>32547</v>
      </c>
      <c r="T1631" t="s">
        <v>33329</v>
      </c>
      <c r="U1631" t="s">
        <v>35025</v>
      </c>
      <c r="W1631" t="s">
        <v>30243</v>
      </c>
      <c r="X1631" t="s">
        <v>32527</v>
      </c>
    </row>
    <row r="1632" spans="1:24">
      <c r="A1632">
        <f>HYPERLINK("https://www.philgeps.gov.ph/GEPSNONPILOT/Tender/SplashBidNoticeAbstractUI.aspx?menuIndex=3&amp;refID=7046149&amp;Result=3","7046149")</f>
        <v>0</v>
      </c>
      <c r="B1632" t="s">
        <v>524</v>
      </c>
      <c r="C1632" t="s">
        <v>4245</v>
      </c>
      <c r="D1632" t="s">
        <v>13007</v>
      </c>
      <c r="E1632" t="s">
        <v>13701</v>
      </c>
      <c r="F1632" t="s">
        <v>22436</v>
      </c>
      <c r="G1632" t="s">
        <v>22443</v>
      </c>
      <c r="H1632" t="s">
        <v>22452</v>
      </c>
      <c r="I1632" t="s">
        <v>11896</v>
      </c>
      <c r="J1632" t="s">
        <v>22865</v>
      </c>
      <c r="K1632" t="s">
        <v>29340</v>
      </c>
      <c r="M1632" t="s">
        <v>30108</v>
      </c>
      <c r="N1632" t="s">
        <v>32524</v>
      </c>
      <c r="O1632" t="s">
        <v>32525</v>
      </c>
      <c r="P1632">
        <v>0</v>
      </c>
      <c r="Q1632">
        <v>0</v>
      </c>
      <c r="R1632" t="s">
        <v>32526</v>
      </c>
      <c r="S1632" t="s">
        <v>32547</v>
      </c>
      <c r="T1632" t="s">
        <v>33161</v>
      </c>
      <c r="U1632" t="s">
        <v>35026</v>
      </c>
      <c r="V1632" t="s">
        <v>42539</v>
      </c>
      <c r="W1632" t="s">
        <v>30108</v>
      </c>
      <c r="X1632" t="s">
        <v>32527</v>
      </c>
    </row>
    <row r="1633" spans="1:24">
      <c r="A1633">
        <f>HYPERLINK("https://www.philgeps.gov.ph/GEPSNONPILOT/Tender/SplashBidNoticeAbstractUI.aspx?menuIndex=3&amp;refID=7046147&amp;Result=3","7046147")</f>
        <v>0</v>
      </c>
      <c r="B1633" t="s">
        <v>238</v>
      </c>
      <c r="C1633" t="s">
        <v>4246</v>
      </c>
      <c r="D1633" t="s">
        <v>12991</v>
      </c>
      <c r="E1633" t="s">
        <v>14578</v>
      </c>
      <c r="F1633" t="s">
        <v>22436</v>
      </c>
      <c r="G1633" t="s">
        <v>22444</v>
      </c>
      <c r="H1633" t="s">
        <v>22452</v>
      </c>
      <c r="I1633" t="s">
        <v>3027</v>
      </c>
      <c r="J1633" t="s">
        <v>23763</v>
      </c>
      <c r="K1633" t="s">
        <v>29331</v>
      </c>
      <c r="M1633" t="s">
        <v>29811</v>
      </c>
      <c r="N1633" t="s">
        <v>32524</v>
      </c>
      <c r="O1633" t="s">
        <v>32525</v>
      </c>
      <c r="P1633">
        <v>0</v>
      </c>
      <c r="Q1633">
        <v>0</v>
      </c>
      <c r="R1633" t="s">
        <v>32526</v>
      </c>
      <c r="S1633" t="s">
        <v>32547</v>
      </c>
      <c r="T1633" t="s">
        <v>33244</v>
      </c>
      <c r="U1633" t="s">
        <v>35027</v>
      </c>
      <c r="W1633" t="s">
        <v>29811</v>
      </c>
      <c r="X1633" t="s">
        <v>32527</v>
      </c>
    </row>
    <row r="1634" spans="1:24">
      <c r="A1634">
        <f>HYPERLINK("https://www.philgeps.gov.ph/GEPSNONPILOT/Tender/SplashBidNoticeAbstractUI.aspx?menuIndex=3&amp;refID=7046152&amp;Result=3","7046152")</f>
        <v>0</v>
      </c>
      <c r="B1634" t="s">
        <v>124</v>
      </c>
      <c r="C1634" t="s">
        <v>4247</v>
      </c>
      <c r="D1634" t="s">
        <v>13031</v>
      </c>
      <c r="E1634" t="s">
        <v>14579</v>
      </c>
      <c r="F1634" t="s">
        <v>22436</v>
      </c>
      <c r="G1634" t="s">
        <v>22444</v>
      </c>
      <c r="H1634" t="s">
        <v>22452</v>
      </c>
      <c r="I1634" t="s">
        <v>22478</v>
      </c>
      <c r="J1634" t="s">
        <v>23764</v>
      </c>
      <c r="K1634" t="s">
        <v>29338</v>
      </c>
      <c r="M1634" t="s">
        <v>30213</v>
      </c>
      <c r="N1634" t="s">
        <v>32524</v>
      </c>
      <c r="O1634" t="s">
        <v>32525</v>
      </c>
      <c r="P1634">
        <v>0</v>
      </c>
      <c r="Q1634">
        <v>2</v>
      </c>
      <c r="R1634" t="s">
        <v>32526</v>
      </c>
      <c r="S1634" t="s">
        <v>32547</v>
      </c>
      <c r="T1634" t="s">
        <v>33252</v>
      </c>
      <c r="U1634" t="s">
        <v>35028</v>
      </c>
      <c r="W1634" t="s">
        <v>30213</v>
      </c>
      <c r="X1634" t="s">
        <v>32527</v>
      </c>
    </row>
    <row r="1635" spans="1:24">
      <c r="A1635">
        <f>HYPERLINK("https://www.philgeps.gov.ph/GEPSNONPILOT/Tender/SplashBidNoticeAbstractUI.aspx?menuIndex=3&amp;refID=7046167&amp;Result=3","7046167")</f>
        <v>0</v>
      </c>
      <c r="B1635" t="s">
        <v>669</v>
      </c>
      <c r="C1635" t="s">
        <v>4248</v>
      </c>
      <c r="D1635" t="s">
        <v>12988</v>
      </c>
      <c r="E1635" t="s">
        <v>14580</v>
      </c>
      <c r="F1635" t="s">
        <v>22436</v>
      </c>
      <c r="G1635" t="s">
        <v>22443</v>
      </c>
      <c r="H1635" t="s">
        <v>22453</v>
      </c>
      <c r="I1635" t="s">
        <v>22486</v>
      </c>
      <c r="J1635" t="s">
        <v>23765</v>
      </c>
      <c r="K1635" t="s">
        <v>29333</v>
      </c>
      <c r="M1635" t="s">
        <v>30261</v>
      </c>
      <c r="N1635" t="s">
        <v>32524</v>
      </c>
      <c r="O1635" t="s">
        <v>32525</v>
      </c>
      <c r="P1635">
        <v>0</v>
      </c>
      <c r="Q1635">
        <v>1</v>
      </c>
      <c r="R1635" t="s">
        <v>32526</v>
      </c>
      <c r="S1635" t="s">
        <v>32547</v>
      </c>
      <c r="T1635" t="s">
        <v>33252</v>
      </c>
      <c r="U1635" t="s">
        <v>35029</v>
      </c>
      <c r="W1635" t="s">
        <v>30261</v>
      </c>
      <c r="X1635" t="s">
        <v>32527</v>
      </c>
    </row>
    <row r="1636" spans="1:24">
      <c r="A1636">
        <f>HYPERLINK("https://www.philgeps.gov.ph/GEPSNONPILOT/Tender/SplashBidNoticeAbstractUI.aspx?menuIndex=3&amp;refID=7046164&amp;Result=3","7046164")</f>
        <v>0</v>
      </c>
      <c r="B1636" t="s">
        <v>280</v>
      </c>
      <c r="C1636" t="s">
        <v>4249</v>
      </c>
      <c r="D1636" t="s">
        <v>13055</v>
      </c>
      <c r="E1636" t="s">
        <v>14581</v>
      </c>
      <c r="F1636" t="s">
        <v>22436</v>
      </c>
      <c r="G1636" t="s">
        <v>22443</v>
      </c>
      <c r="H1636" t="s">
        <v>22452</v>
      </c>
      <c r="I1636" t="s">
        <v>22476</v>
      </c>
      <c r="J1636" t="s">
        <v>22654</v>
      </c>
      <c r="K1636" t="s">
        <v>29336</v>
      </c>
      <c r="M1636" t="s">
        <v>29854</v>
      </c>
      <c r="N1636" t="s">
        <v>32524</v>
      </c>
      <c r="O1636" t="s">
        <v>32525</v>
      </c>
      <c r="P1636">
        <v>0</v>
      </c>
      <c r="Q1636">
        <v>0</v>
      </c>
      <c r="R1636" t="s">
        <v>32526</v>
      </c>
      <c r="S1636" t="s">
        <v>32547</v>
      </c>
      <c r="T1636" t="s">
        <v>33181</v>
      </c>
      <c r="U1636" t="s">
        <v>34804</v>
      </c>
      <c r="V1636" t="s">
        <v>42486</v>
      </c>
      <c r="W1636" t="s">
        <v>29854</v>
      </c>
      <c r="X1636" t="s">
        <v>32527</v>
      </c>
    </row>
    <row r="1637" spans="1:24">
      <c r="A1637">
        <f>HYPERLINK("https://www.philgeps.gov.ph/GEPSNONPILOT/Tender/SplashBidNoticeAbstractUI.aspx?menuIndex=3&amp;refID=7046166&amp;Result=3","7046166")</f>
        <v>0</v>
      </c>
      <c r="B1637" t="s">
        <v>550</v>
      </c>
      <c r="C1637" t="s">
        <v>4250</v>
      </c>
      <c r="D1637" t="s">
        <v>12988</v>
      </c>
      <c r="E1637" t="s">
        <v>14582</v>
      </c>
      <c r="F1637" t="s">
        <v>22436</v>
      </c>
      <c r="G1637" t="s">
        <v>22443</v>
      </c>
      <c r="H1637" t="s">
        <v>22452</v>
      </c>
      <c r="I1637" t="s">
        <v>2962</v>
      </c>
      <c r="J1637" t="s">
        <v>22800</v>
      </c>
      <c r="K1637" t="s">
        <v>29335</v>
      </c>
      <c r="M1637" t="s">
        <v>30262</v>
      </c>
      <c r="N1637" t="s">
        <v>32524</v>
      </c>
      <c r="O1637" t="s">
        <v>32525</v>
      </c>
      <c r="P1637">
        <v>0</v>
      </c>
      <c r="Q1637">
        <v>2</v>
      </c>
      <c r="R1637" t="s">
        <v>32526</v>
      </c>
      <c r="S1637" t="s">
        <v>32547</v>
      </c>
      <c r="T1637" t="s">
        <v>33210</v>
      </c>
      <c r="U1637" t="s">
        <v>35030</v>
      </c>
      <c r="V1637" t="s">
        <v>42578</v>
      </c>
      <c r="W1637" t="s">
        <v>30262</v>
      </c>
      <c r="X1637" t="s">
        <v>32527</v>
      </c>
    </row>
    <row r="1638" spans="1:24">
      <c r="A1638">
        <f>HYPERLINK("https://www.philgeps.gov.ph/GEPSNONPILOT/Tender/SplashBidNoticeAbstractUI.aspx?menuIndex=3&amp;refID=7046158&amp;Result=3","7046158")</f>
        <v>0</v>
      </c>
      <c r="B1638" t="s">
        <v>364</v>
      </c>
      <c r="C1638" t="s">
        <v>4251</v>
      </c>
      <c r="D1638" t="s">
        <v>13011</v>
      </c>
      <c r="E1638" t="s">
        <v>14583</v>
      </c>
      <c r="F1638" t="s">
        <v>22436</v>
      </c>
      <c r="G1638" t="s">
        <v>22446</v>
      </c>
      <c r="H1638" t="s">
        <v>22452</v>
      </c>
      <c r="I1638" t="s">
        <v>22462</v>
      </c>
      <c r="J1638" t="s">
        <v>22739</v>
      </c>
      <c r="K1638" t="s">
        <v>29338</v>
      </c>
      <c r="M1638" t="s">
        <v>29942</v>
      </c>
      <c r="N1638" t="s">
        <v>32524</v>
      </c>
      <c r="O1638" t="s">
        <v>32525</v>
      </c>
      <c r="P1638">
        <v>0</v>
      </c>
      <c r="Q1638">
        <v>1</v>
      </c>
      <c r="R1638" t="s">
        <v>32526</v>
      </c>
      <c r="S1638" t="s">
        <v>32547</v>
      </c>
      <c r="T1638" t="s">
        <v>33293</v>
      </c>
      <c r="U1638" t="s">
        <v>35031</v>
      </c>
      <c r="W1638" t="s">
        <v>29942</v>
      </c>
      <c r="X1638" t="s">
        <v>32527</v>
      </c>
    </row>
    <row r="1639" spans="1:24">
      <c r="A1639">
        <f>HYPERLINK("https://www.philgeps.gov.ph/GEPSNONPILOT/Tender/SplashBidNoticeAbstractUI.aspx?menuIndex=3&amp;refID=7046168&amp;Result=3","7046168")</f>
        <v>0</v>
      </c>
      <c r="B1639" t="s">
        <v>652</v>
      </c>
      <c r="C1639" t="s">
        <v>4252</v>
      </c>
      <c r="D1639" t="s">
        <v>13040</v>
      </c>
      <c r="E1639" t="s">
        <v>14584</v>
      </c>
      <c r="F1639" t="s">
        <v>22436</v>
      </c>
      <c r="G1639" t="s">
        <v>22444</v>
      </c>
      <c r="H1639" t="s">
        <v>22452</v>
      </c>
      <c r="I1639" t="s">
        <v>22512</v>
      </c>
      <c r="J1639" t="s">
        <v>23766</v>
      </c>
      <c r="K1639" t="s">
        <v>29357</v>
      </c>
      <c r="M1639" t="s">
        <v>30244</v>
      </c>
      <c r="N1639" t="s">
        <v>32524</v>
      </c>
      <c r="O1639" t="s">
        <v>32525</v>
      </c>
      <c r="P1639">
        <v>0</v>
      </c>
      <c r="Q1639">
        <v>1</v>
      </c>
      <c r="R1639" t="s">
        <v>32526</v>
      </c>
      <c r="S1639" t="s">
        <v>32547</v>
      </c>
      <c r="T1639" t="s">
        <v>33233</v>
      </c>
      <c r="U1639" t="s">
        <v>35032</v>
      </c>
      <c r="W1639" t="s">
        <v>30244</v>
      </c>
      <c r="X1639" t="s">
        <v>32527</v>
      </c>
    </row>
    <row r="1640" spans="1:24">
      <c r="A1640">
        <f>HYPERLINK("https://www.philgeps.gov.ph/GEPSNONPILOT/Tender/SplashBidNoticeAbstractUI.aspx?menuIndex=3&amp;refID=7046163&amp;Result=3","7046163")</f>
        <v>0</v>
      </c>
      <c r="B1640" t="s">
        <v>567</v>
      </c>
      <c r="C1640" t="s">
        <v>4253</v>
      </c>
      <c r="D1640" t="s">
        <v>13012</v>
      </c>
      <c r="E1640" t="s">
        <v>14585</v>
      </c>
      <c r="F1640" t="s">
        <v>22436</v>
      </c>
      <c r="G1640" t="s">
        <v>22444</v>
      </c>
      <c r="H1640" t="s">
        <v>22452</v>
      </c>
      <c r="I1640" t="s">
        <v>22502</v>
      </c>
      <c r="J1640" t="s">
        <v>23767</v>
      </c>
      <c r="K1640" t="s">
        <v>29334</v>
      </c>
      <c r="M1640" t="s">
        <v>30155</v>
      </c>
      <c r="N1640" t="s">
        <v>32524</v>
      </c>
      <c r="O1640" t="s">
        <v>32525</v>
      </c>
      <c r="P1640">
        <v>0</v>
      </c>
      <c r="Q1640">
        <v>5</v>
      </c>
      <c r="R1640" t="s">
        <v>32526</v>
      </c>
      <c r="S1640" t="s">
        <v>32547</v>
      </c>
      <c r="T1640" t="s">
        <v>33315</v>
      </c>
      <c r="U1640" t="s">
        <v>35033</v>
      </c>
      <c r="V1640" t="s">
        <v>42552</v>
      </c>
      <c r="W1640" t="s">
        <v>30155</v>
      </c>
      <c r="X1640" t="s">
        <v>32527</v>
      </c>
    </row>
    <row r="1641" spans="1:24">
      <c r="A1641">
        <f>HYPERLINK("https://www.philgeps.gov.ph/GEPSNONPILOT/Tender/SplashBidNoticeAbstractUI.aspx?menuIndex=3&amp;refID=7046162&amp;Result=3","7046162")</f>
        <v>0</v>
      </c>
      <c r="B1641" t="s">
        <v>50</v>
      </c>
      <c r="C1641" t="s">
        <v>4254</v>
      </c>
      <c r="D1641" t="s">
        <v>13008</v>
      </c>
      <c r="E1641" t="s">
        <v>14564</v>
      </c>
      <c r="F1641" t="s">
        <v>22436</v>
      </c>
      <c r="G1641" t="s">
        <v>22444</v>
      </c>
      <c r="H1641" t="s">
        <v>22452</v>
      </c>
      <c r="I1641" t="s">
        <v>22460</v>
      </c>
      <c r="J1641" t="s">
        <v>23768</v>
      </c>
      <c r="K1641" t="s">
        <v>29335</v>
      </c>
      <c r="M1641" t="s">
        <v>29622</v>
      </c>
      <c r="N1641" t="s">
        <v>32524</v>
      </c>
      <c r="O1641" t="s">
        <v>32525</v>
      </c>
      <c r="P1641">
        <v>0</v>
      </c>
      <c r="Q1641">
        <v>0</v>
      </c>
      <c r="R1641" t="s">
        <v>32526</v>
      </c>
      <c r="S1641" t="s">
        <v>32547</v>
      </c>
      <c r="T1641" t="s">
        <v>33166</v>
      </c>
      <c r="U1641" t="s">
        <v>35013</v>
      </c>
      <c r="W1641" t="s">
        <v>29622</v>
      </c>
      <c r="X1641" t="s">
        <v>32527</v>
      </c>
    </row>
    <row r="1642" spans="1:24">
      <c r="A1642">
        <f>HYPERLINK("https://www.philgeps.gov.ph/GEPSNONPILOT/Tender/SplashBidNoticeAbstractUI.aspx?menuIndex=3&amp;refID=7046165&amp;Result=3","7046165")</f>
        <v>0</v>
      </c>
      <c r="B1642" t="s">
        <v>44</v>
      </c>
      <c r="C1642" t="s">
        <v>4255</v>
      </c>
      <c r="D1642" t="s">
        <v>13004</v>
      </c>
      <c r="E1642" t="s">
        <v>14586</v>
      </c>
      <c r="F1642" t="s">
        <v>22436</v>
      </c>
      <c r="G1642" t="s">
        <v>22443</v>
      </c>
      <c r="H1642" t="s">
        <v>22452</v>
      </c>
      <c r="I1642" t="s">
        <v>22456</v>
      </c>
      <c r="J1642" t="s">
        <v>23769</v>
      </c>
      <c r="K1642" t="s">
        <v>29335</v>
      </c>
      <c r="M1642" t="s">
        <v>29615</v>
      </c>
      <c r="N1642" t="s">
        <v>32524</v>
      </c>
      <c r="O1642" t="s">
        <v>32525</v>
      </c>
      <c r="P1642">
        <v>0</v>
      </c>
      <c r="Q1642">
        <v>3</v>
      </c>
      <c r="R1642" t="s">
        <v>32526</v>
      </c>
      <c r="S1642" t="s">
        <v>32547</v>
      </c>
      <c r="T1642" t="s">
        <v>33167</v>
      </c>
      <c r="U1642" t="s">
        <v>34988</v>
      </c>
      <c r="W1642" t="s">
        <v>29615</v>
      </c>
      <c r="X1642" t="s">
        <v>32527</v>
      </c>
    </row>
    <row r="1643" spans="1:24">
      <c r="A1643">
        <f>HYPERLINK("https://www.philgeps.gov.ph/GEPSNONPILOT/Tender/SplashBidNoticeAbstractUI.aspx?menuIndex=3&amp;refID=7046184&amp;Result=3","7046184")</f>
        <v>0</v>
      </c>
      <c r="B1643" t="s">
        <v>670</v>
      </c>
      <c r="C1643" t="s">
        <v>4256</v>
      </c>
      <c r="D1643" t="s">
        <v>13039</v>
      </c>
      <c r="E1643" t="s">
        <v>13396</v>
      </c>
      <c r="F1643" t="s">
        <v>22436</v>
      </c>
      <c r="G1643" t="s">
        <v>22444</v>
      </c>
      <c r="H1643" t="s">
        <v>22452</v>
      </c>
      <c r="I1643" t="s">
        <v>3529</v>
      </c>
      <c r="J1643" t="s">
        <v>23770</v>
      </c>
      <c r="K1643" t="s">
        <v>29336</v>
      </c>
      <c r="L1643" t="s">
        <v>670</v>
      </c>
      <c r="M1643" t="s">
        <v>30263</v>
      </c>
      <c r="N1643" t="s">
        <v>32524</v>
      </c>
      <c r="O1643" t="s">
        <v>32525</v>
      </c>
      <c r="P1643">
        <v>0</v>
      </c>
      <c r="Q1643">
        <v>0</v>
      </c>
      <c r="R1643" t="s">
        <v>32526</v>
      </c>
      <c r="S1643" t="s">
        <v>32547</v>
      </c>
      <c r="T1643" t="s">
        <v>33187</v>
      </c>
      <c r="U1643" t="s">
        <v>35034</v>
      </c>
      <c r="W1643" t="s">
        <v>30263</v>
      </c>
      <c r="X1643" t="s">
        <v>32527</v>
      </c>
    </row>
    <row r="1644" spans="1:24">
      <c r="A1644">
        <f>HYPERLINK("https://www.philgeps.gov.ph/GEPSNONPILOT/Tender/SplashBidNoticeAbstractUI.aspx?menuIndex=3&amp;refID=7046178&amp;Result=3","7046178")</f>
        <v>0</v>
      </c>
      <c r="B1644" t="s">
        <v>124</v>
      </c>
      <c r="C1644" t="s">
        <v>4257</v>
      </c>
      <c r="D1644" t="s">
        <v>13031</v>
      </c>
      <c r="E1644" t="s">
        <v>4257</v>
      </c>
      <c r="F1644" t="s">
        <v>22436</v>
      </c>
      <c r="G1644" t="s">
        <v>22444</v>
      </c>
      <c r="H1644" t="s">
        <v>22454</v>
      </c>
      <c r="I1644" t="s">
        <v>22490</v>
      </c>
      <c r="J1644" t="s">
        <v>23771</v>
      </c>
      <c r="K1644" t="s">
        <v>29338</v>
      </c>
      <c r="M1644" t="s">
        <v>30264</v>
      </c>
      <c r="N1644" t="s">
        <v>32524</v>
      </c>
      <c r="O1644" t="s">
        <v>32525</v>
      </c>
      <c r="P1644">
        <v>0</v>
      </c>
      <c r="Q1644">
        <v>0</v>
      </c>
      <c r="R1644" t="s">
        <v>32526</v>
      </c>
      <c r="S1644" t="s">
        <v>32547</v>
      </c>
      <c r="T1644" t="s">
        <v>33307</v>
      </c>
      <c r="U1644" t="s">
        <v>35035</v>
      </c>
      <c r="W1644" t="s">
        <v>30264</v>
      </c>
      <c r="X1644" t="s">
        <v>32527</v>
      </c>
    </row>
    <row r="1645" spans="1:24">
      <c r="A1645">
        <f>HYPERLINK("https://www.philgeps.gov.ph/GEPSNONPILOT/Tender/SplashBidNoticeAbstractUI.aspx?menuIndex=3&amp;refID=7046179&amp;Result=3","7046179")</f>
        <v>0</v>
      </c>
      <c r="B1645" t="s">
        <v>554</v>
      </c>
      <c r="C1645" t="s">
        <v>4258</v>
      </c>
      <c r="D1645" t="s">
        <v>12994</v>
      </c>
      <c r="E1645" t="s">
        <v>14587</v>
      </c>
      <c r="F1645" t="s">
        <v>22436</v>
      </c>
      <c r="G1645" t="s">
        <v>22444</v>
      </c>
      <c r="H1645" t="s">
        <v>22454</v>
      </c>
      <c r="I1645" t="s">
        <v>7738</v>
      </c>
      <c r="J1645" t="s">
        <v>22779</v>
      </c>
      <c r="K1645" t="s">
        <v>29386</v>
      </c>
      <c r="L1645" t="s">
        <v>554</v>
      </c>
      <c r="M1645" t="s">
        <v>30140</v>
      </c>
      <c r="N1645" t="s">
        <v>32524</v>
      </c>
      <c r="O1645" t="s">
        <v>32525</v>
      </c>
      <c r="P1645">
        <v>0</v>
      </c>
      <c r="Q1645">
        <v>20</v>
      </c>
      <c r="R1645" t="s">
        <v>32526</v>
      </c>
      <c r="S1645" t="s">
        <v>32547</v>
      </c>
      <c r="T1645" t="s">
        <v>33165</v>
      </c>
      <c r="U1645" t="s">
        <v>35036</v>
      </c>
      <c r="W1645" t="s">
        <v>30140</v>
      </c>
      <c r="X1645" t="s">
        <v>32527</v>
      </c>
    </row>
    <row r="1646" spans="1:24">
      <c r="A1646">
        <f>HYPERLINK("https://www.philgeps.gov.ph/GEPSNONPILOT/Tender/SplashBidNoticeAbstractUI.aspx?menuIndex=3&amp;refID=7046182&amp;Result=3","7046182")</f>
        <v>0</v>
      </c>
      <c r="B1646" t="s">
        <v>671</v>
      </c>
      <c r="C1646" t="s">
        <v>4259</v>
      </c>
      <c r="D1646" t="s">
        <v>13013</v>
      </c>
      <c r="E1646" t="s">
        <v>14588</v>
      </c>
      <c r="F1646" t="s">
        <v>22436</v>
      </c>
      <c r="G1646" t="s">
        <v>22443</v>
      </c>
      <c r="H1646" t="s">
        <v>22452</v>
      </c>
      <c r="I1646" t="s">
        <v>22494</v>
      </c>
      <c r="J1646" t="s">
        <v>23772</v>
      </c>
      <c r="K1646" t="s">
        <v>29341</v>
      </c>
      <c r="M1646" t="s">
        <v>30265</v>
      </c>
      <c r="N1646" t="s">
        <v>32524</v>
      </c>
      <c r="O1646" t="s">
        <v>32525</v>
      </c>
      <c r="P1646">
        <v>0</v>
      </c>
      <c r="Q1646">
        <v>0</v>
      </c>
      <c r="R1646" t="s">
        <v>32526</v>
      </c>
      <c r="S1646" t="s">
        <v>32547</v>
      </c>
      <c r="T1646" t="s">
        <v>33161</v>
      </c>
      <c r="U1646" t="s">
        <v>35037</v>
      </c>
      <c r="W1646" t="s">
        <v>30265</v>
      </c>
      <c r="X1646" t="s">
        <v>32527</v>
      </c>
    </row>
    <row r="1647" spans="1:24">
      <c r="A1647">
        <f>HYPERLINK("https://www.philgeps.gov.ph/GEPSNONPILOT/Tender/SplashBidNoticeAbstractUI.aspx?menuIndex=3&amp;refID=7046176&amp;Result=3","7046176")</f>
        <v>0</v>
      </c>
      <c r="B1647" t="s">
        <v>353</v>
      </c>
      <c r="C1647" t="s">
        <v>4260</v>
      </c>
      <c r="D1647" t="s">
        <v>13034</v>
      </c>
      <c r="E1647" t="s">
        <v>14589</v>
      </c>
      <c r="F1647" t="s">
        <v>22436</v>
      </c>
      <c r="G1647" t="s">
        <v>22443</v>
      </c>
      <c r="H1647" t="s">
        <v>22452</v>
      </c>
      <c r="I1647" t="s">
        <v>3529</v>
      </c>
      <c r="J1647" t="s">
        <v>23773</v>
      </c>
      <c r="K1647" t="s">
        <v>29356</v>
      </c>
      <c r="M1647" t="s">
        <v>29930</v>
      </c>
      <c r="N1647" t="s">
        <v>32524</v>
      </c>
      <c r="O1647" t="s">
        <v>32525</v>
      </c>
      <c r="P1647">
        <v>0</v>
      </c>
      <c r="Q1647">
        <v>0</v>
      </c>
      <c r="R1647" t="s">
        <v>32526</v>
      </c>
      <c r="S1647" t="s">
        <v>32547</v>
      </c>
      <c r="T1647" t="s">
        <v>33161</v>
      </c>
      <c r="U1647" t="s">
        <v>35038</v>
      </c>
      <c r="W1647" t="s">
        <v>29930</v>
      </c>
      <c r="X1647" t="s">
        <v>32527</v>
      </c>
    </row>
    <row r="1648" spans="1:24">
      <c r="A1648">
        <f>HYPERLINK("https://www.philgeps.gov.ph/GEPSNONPILOT/Tender/SplashBidNoticeAbstractUI.aspx?menuIndex=3&amp;refID=7046183&amp;Result=3","7046183")</f>
        <v>0</v>
      </c>
      <c r="B1648" t="s">
        <v>667</v>
      </c>
      <c r="C1648" t="s">
        <v>4261</v>
      </c>
      <c r="D1648" t="s">
        <v>12988</v>
      </c>
      <c r="E1648" t="s">
        <v>14590</v>
      </c>
      <c r="F1648" t="s">
        <v>22436</v>
      </c>
      <c r="G1648" t="s">
        <v>22444</v>
      </c>
      <c r="H1648" t="s">
        <v>22452</v>
      </c>
      <c r="I1648" t="s">
        <v>22502</v>
      </c>
      <c r="J1648" t="s">
        <v>23774</v>
      </c>
      <c r="K1648" t="s">
        <v>29344</v>
      </c>
      <c r="M1648" t="s">
        <v>30259</v>
      </c>
      <c r="N1648" t="s">
        <v>32524</v>
      </c>
      <c r="O1648" t="s">
        <v>32525</v>
      </c>
      <c r="P1648">
        <v>0</v>
      </c>
      <c r="Q1648">
        <v>8</v>
      </c>
      <c r="R1648" t="s">
        <v>32526</v>
      </c>
      <c r="S1648" t="s">
        <v>32547</v>
      </c>
      <c r="T1648" t="s">
        <v>33164</v>
      </c>
      <c r="U1648" t="s">
        <v>35039</v>
      </c>
      <c r="W1648" t="s">
        <v>30259</v>
      </c>
      <c r="X1648" t="s">
        <v>32527</v>
      </c>
    </row>
    <row r="1649" spans="1:24">
      <c r="A1649">
        <f>HYPERLINK("https://www.philgeps.gov.ph/GEPSNONPILOT/Tender/SplashBidNoticeAbstractUI.aspx?menuIndex=3&amp;refID=7046171&amp;Result=3","7046171")</f>
        <v>0</v>
      </c>
      <c r="B1649" t="s">
        <v>218</v>
      </c>
      <c r="C1649" t="s">
        <v>4262</v>
      </c>
      <c r="D1649" t="s">
        <v>13022</v>
      </c>
      <c r="E1649" t="s">
        <v>14591</v>
      </c>
      <c r="F1649" t="s">
        <v>22436</v>
      </c>
      <c r="G1649" t="s">
        <v>22444</v>
      </c>
      <c r="H1649" t="s">
        <v>22454</v>
      </c>
      <c r="I1649" t="s">
        <v>7738</v>
      </c>
      <c r="J1649" t="s">
        <v>22640</v>
      </c>
      <c r="K1649" t="s">
        <v>29352</v>
      </c>
      <c r="M1649" t="s">
        <v>29791</v>
      </c>
      <c r="N1649" t="s">
        <v>32524</v>
      </c>
      <c r="O1649" t="s">
        <v>32525</v>
      </c>
      <c r="P1649">
        <v>0</v>
      </c>
      <c r="Q1649">
        <v>0</v>
      </c>
      <c r="R1649" t="s">
        <v>32526</v>
      </c>
      <c r="S1649" t="s">
        <v>32547</v>
      </c>
      <c r="T1649" t="s">
        <v>33157</v>
      </c>
      <c r="U1649" t="s">
        <v>35040</v>
      </c>
      <c r="V1649" t="s">
        <v>42476</v>
      </c>
      <c r="W1649" t="s">
        <v>29791</v>
      </c>
      <c r="X1649" t="s">
        <v>32527</v>
      </c>
    </row>
    <row r="1650" spans="1:24">
      <c r="A1650">
        <f>HYPERLINK("https://www.philgeps.gov.ph/GEPSNONPILOT/Tender/SplashBidNoticeAbstractUI.aspx?menuIndex=3&amp;refID=7046185&amp;Result=3","7046185")</f>
        <v>0</v>
      </c>
      <c r="B1650" t="s">
        <v>652</v>
      </c>
      <c r="C1650" t="s">
        <v>4263</v>
      </c>
      <c r="D1650" t="s">
        <v>13040</v>
      </c>
      <c r="E1650" t="s">
        <v>14592</v>
      </c>
      <c r="F1650" t="s">
        <v>22436</v>
      </c>
      <c r="G1650" t="s">
        <v>22444</v>
      </c>
      <c r="H1650" t="s">
        <v>22454</v>
      </c>
      <c r="I1650" t="s">
        <v>22526</v>
      </c>
      <c r="J1650" t="s">
        <v>22640</v>
      </c>
      <c r="K1650" t="s">
        <v>29341</v>
      </c>
      <c r="M1650" t="s">
        <v>30244</v>
      </c>
      <c r="N1650" t="s">
        <v>32524</v>
      </c>
      <c r="O1650" t="s">
        <v>32525</v>
      </c>
      <c r="P1650">
        <v>0</v>
      </c>
      <c r="Q1650">
        <v>0</v>
      </c>
      <c r="R1650" t="s">
        <v>32526</v>
      </c>
      <c r="S1650" t="s">
        <v>32547</v>
      </c>
      <c r="T1650" t="s">
        <v>33233</v>
      </c>
      <c r="U1650" t="s">
        <v>35041</v>
      </c>
      <c r="W1650" t="s">
        <v>30244</v>
      </c>
      <c r="X1650" t="s">
        <v>32527</v>
      </c>
    </row>
    <row r="1651" spans="1:24">
      <c r="A1651">
        <f>HYPERLINK("https://www.philgeps.gov.ph/GEPSNONPILOT/Tender/SplashBidNoticeAbstractUI.aspx?menuIndex=3&amp;refID=7046174&amp;Result=3","7046174")</f>
        <v>0</v>
      </c>
      <c r="B1651" t="s">
        <v>272</v>
      </c>
      <c r="C1651" t="s">
        <v>4264</v>
      </c>
      <c r="D1651" t="s">
        <v>13018</v>
      </c>
      <c r="E1651" t="s">
        <v>14593</v>
      </c>
      <c r="F1651" t="s">
        <v>22436</v>
      </c>
      <c r="G1651" t="s">
        <v>22443</v>
      </c>
      <c r="H1651" t="s">
        <v>22452</v>
      </c>
      <c r="I1651" t="s">
        <v>3027</v>
      </c>
      <c r="J1651" t="s">
        <v>23226</v>
      </c>
      <c r="K1651" t="s">
        <v>29341</v>
      </c>
      <c r="M1651" t="s">
        <v>29846</v>
      </c>
      <c r="N1651" t="s">
        <v>32524</v>
      </c>
      <c r="O1651" t="s">
        <v>32525</v>
      </c>
      <c r="P1651">
        <v>0</v>
      </c>
      <c r="Q1651">
        <v>0</v>
      </c>
      <c r="R1651" t="s">
        <v>32526</v>
      </c>
      <c r="S1651" t="s">
        <v>32547</v>
      </c>
      <c r="T1651" t="s">
        <v>33167</v>
      </c>
      <c r="U1651" t="s">
        <v>35042</v>
      </c>
      <c r="W1651" t="s">
        <v>29846</v>
      </c>
      <c r="X1651" t="s">
        <v>32527</v>
      </c>
    </row>
    <row r="1652" spans="1:24">
      <c r="A1652">
        <f>HYPERLINK("https://www.philgeps.gov.ph/GEPSNONPILOT/Tender/SplashBidNoticeAbstractUI.aspx?menuIndex=3&amp;refID=7046195&amp;Result=3","7046195")</f>
        <v>0</v>
      </c>
      <c r="B1652" t="s">
        <v>672</v>
      </c>
      <c r="C1652" t="s">
        <v>4265</v>
      </c>
      <c r="D1652" t="s">
        <v>13004</v>
      </c>
      <c r="E1652" t="s">
        <v>14594</v>
      </c>
      <c r="F1652" t="s">
        <v>22436</v>
      </c>
      <c r="G1652" t="s">
        <v>22446</v>
      </c>
      <c r="H1652" t="s">
        <v>22452</v>
      </c>
      <c r="I1652" t="s">
        <v>22471</v>
      </c>
      <c r="J1652" t="s">
        <v>23775</v>
      </c>
      <c r="K1652" t="s">
        <v>29331</v>
      </c>
      <c r="M1652" t="s">
        <v>30266</v>
      </c>
      <c r="N1652" t="s">
        <v>32524</v>
      </c>
      <c r="O1652" t="s">
        <v>32525</v>
      </c>
      <c r="P1652">
        <v>0</v>
      </c>
      <c r="Q1652">
        <v>1</v>
      </c>
      <c r="R1652" t="s">
        <v>32526</v>
      </c>
      <c r="S1652" t="s">
        <v>32547</v>
      </c>
      <c r="T1652" t="s">
        <v>33153</v>
      </c>
      <c r="U1652" t="s">
        <v>35043</v>
      </c>
      <c r="W1652" t="s">
        <v>30266</v>
      </c>
      <c r="X1652" t="s">
        <v>32527</v>
      </c>
    </row>
    <row r="1653" spans="1:24">
      <c r="A1653">
        <f>HYPERLINK("https://www.philgeps.gov.ph/GEPSNONPILOT/Tender/SplashBidNoticeAbstractUI.aspx?menuIndex=3&amp;refID=7046177&amp;Result=3","7046177")</f>
        <v>0</v>
      </c>
      <c r="B1653" t="s">
        <v>337</v>
      </c>
      <c r="C1653" t="s">
        <v>4266</v>
      </c>
      <c r="D1653" t="s">
        <v>13022</v>
      </c>
      <c r="E1653" t="s">
        <v>13102</v>
      </c>
      <c r="F1653" t="s">
        <v>22436</v>
      </c>
      <c r="G1653" t="s">
        <v>22444</v>
      </c>
      <c r="H1653" t="s">
        <v>22452</v>
      </c>
      <c r="I1653" t="s">
        <v>22474</v>
      </c>
      <c r="J1653" t="s">
        <v>23776</v>
      </c>
      <c r="K1653" t="s">
        <v>29334</v>
      </c>
      <c r="M1653" t="s">
        <v>29913</v>
      </c>
      <c r="N1653" t="s">
        <v>32524</v>
      </c>
      <c r="O1653" t="s">
        <v>32525</v>
      </c>
      <c r="P1653">
        <v>0</v>
      </c>
      <c r="Q1653">
        <v>5</v>
      </c>
      <c r="R1653" t="s">
        <v>32526</v>
      </c>
      <c r="S1653" t="s">
        <v>32547</v>
      </c>
      <c r="T1653" t="s">
        <v>33170</v>
      </c>
      <c r="U1653" t="s">
        <v>35044</v>
      </c>
      <c r="W1653" t="s">
        <v>29913</v>
      </c>
      <c r="X1653" t="s">
        <v>32527</v>
      </c>
    </row>
    <row r="1654" spans="1:24">
      <c r="A1654">
        <f>HYPERLINK("https://www.philgeps.gov.ph/GEPSNONPILOT/Tender/SplashBidNoticeAbstractUI.aspx?menuIndex=3&amp;refID=7046170&amp;Result=3","7046170")</f>
        <v>0</v>
      </c>
      <c r="B1654" t="s">
        <v>662</v>
      </c>
      <c r="C1654" t="s">
        <v>4267</v>
      </c>
      <c r="D1654" t="s">
        <v>13001</v>
      </c>
      <c r="E1654" t="s">
        <v>4267</v>
      </c>
      <c r="F1654" t="s">
        <v>22436</v>
      </c>
      <c r="G1654" t="s">
        <v>22443</v>
      </c>
      <c r="H1654" t="s">
        <v>22452</v>
      </c>
      <c r="I1654" t="s">
        <v>22471</v>
      </c>
      <c r="J1654" t="s">
        <v>23777</v>
      </c>
      <c r="K1654" t="s">
        <v>29338</v>
      </c>
      <c r="M1654" t="s">
        <v>30254</v>
      </c>
      <c r="N1654" t="s">
        <v>32524</v>
      </c>
      <c r="O1654" t="s">
        <v>32525</v>
      </c>
      <c r="P1654">
        <v>0</v>
      </c>
      <c r="Q1654">
        <v>3</v>
      </c>
      <c r="R1654" t="s">
        <v>32526</v>
      </c>
      <c r="S1654" t="s">
        <v>32547</v>
      </c>
      <c r="T1654" t="s">
        <v>33332</v>
      </c>
      <c r="U1654" t="s">
        <v>35045</v>
      </c>
      <c r="W1654" t="s">
        <v>30254</v>
      </c>
      <c r="X1654" t="s">
        <v>32527</v>
      </c>
    </row>
    <row r="1655" spans="1:24">
      <c r="A1655">
        <f>HYPERLINK("https://www.philgeps.gov.ph/GEPSNONPILOT/Tender/SplashBidNoticeAbstractUI.aspx?menuIndex=3&amp;refID=7046193&amp;Result=3","7046193")</f>
        <v>0</v>
      </c>
      <c r="B1655" t="s">
        <v>124</v>
      </c>
      <c r="C1655" t="s">
        <v>4268</v>
      </c>
      <c r="D1655" t="s">
        <v>13031</v>
      </c>
      <c r="E1655" t="s">
        <v>14595</v>
      </c>
      <c r="F1655" t="s">
        <v>22436</v>
      </c>
      <c r="G1655" t="s">
        <v>22444</v>
      </c>
      <c r="H1655" t="s">
        <v>22452</v>
      </c>
      <c r="I1655" t="s">
        <v>2981</v>
      </c>
      <c r="J1655" t="s">
        <v>22616</v>
      </c>
      <c r="K1655" t="s">
        <v>29338</v>
      </c>
      <c r="M1655" t="s">
        <v>30213</v>
      </c>
      <c r="N1655" t="s">
        <v>32524</v>
      </c>
      <c r="O1655" t="s">
        <v>32525</v>
      </c>
      <c r="P1655">
        <v>0</v>
      </c>
      <c r="Q1655">
        <v>3</v>
      </c>
      <c r="R1655" t="s">
        <v>32526</v>
      </c>
      <c r="S1655" t="s">
        <v>32547</v>
      </c>
      <c r="T1655" t="s">
        <v>33252</v>
      </c>
      <c r="U1655" t="s">
        <v>35046</v>
      </c>
      <c r="W1655" t="s">
        <v>30213</v>
      </c>
      <c r="X1655" t="s">
        <v>32527</v>
      </c>
    </row>
    <row r="1656" spans="1:24">
      <c r="A1656">
        <f>HYPERLINK("https://www.philgeps.gov.ph/GEPSNONPILOT/Tender/SplashBidNoticeAbstractUI.aspx?menuIndex=3&amp;refID=7046188&amp;Result=3","7046188")</f>
        <v>0</v>
      </c>
      <c r="B1656" t="s">
        <v>662</v>
      </c>
      <c r="C1656" t="s">
        <v>4269</v>
      </c>
      <c r="D1656" t="s">
        <v>13001</v>
      </c>
      <c r="E1656" t="s">
        <v>14596</v>
      </c>
      <c r="F1656" t="s">
        <v>22436</v>
      </c>
      <c r="G1656" t="s">
        <v>22443</v>
      </c>
      <c r="H1656" t="s">
        <v>22452</v>
      </c>
      <c r="I1656" t="s">
        <v>22471</v>
      </c>
      <c r="J1656" t="s">
        <v>23778</v>
      </c>
      <c r="K1656" t="s">
        <v>29338</v>
      </c>
      <c r="M1656" t="s">
        <v>30254</v>
      </c>
      <c r="N1656" t="s">
        <v>32524</v>
      </c>
      <c r="O1656" t="s">
        <v>32525</v>
      </c>
      <c r="P1656">
        <v>0</v>
      </c>
      <c r="Q1656">
        <v>7</v>
      </c>
      <c r="R1656" t="s">
        <v>32526</v>
      </c>
      <c r="S1656" t="s">
        <v>32547</v>
      </c>
      <c r="T1656" t="s">
        <v>33332</v>
      </c>
      <c r="U1656" t="s">
        <v>35047</v>
      </c>
      <c r="W1656" t="s">
        <v>30254</v>
      </c>
      <c r="X1656" t="s">
        <v>32527</v>
      </c>
    </row>
    <row r="1657" spans="1:24">
      <c r="A1657">
        <f>HYPERLINK("https://www.philgeps.gov.ph/GEPSNONPILOT/Tender/SplashBidNoticeAbstractUI.aspx?menuIndex=3&amp;refID=7046173&amp;Result=3","7046173")</f>
        <v>0</v>
      </c>
      <c r="B1657" t="s">
        <v>673</v>
      </c>
      <c r="C1657" t="s">
        <v>4270</v>
      </c>
      <c r="D1657" t="s">
        <v>13042</v>
      </c>
      <c r="E1657" t="s">
        <v>14597</v>
      </c>
      <c r="F1657" t="s">
        <v>22436</v>
      </c>
      <c r="G1657" t="s">
        <v>22446</v>
      </c>
      <c r="H1657" t="s">
        <v>22452</v>
      </c>
      <c r="I1657" t="s">
        <v>12358</v>
      </c>
      <c r="J1657" t="s">
        <v>23779</v>
      </c>
      <c r="K1657" t="s">
        <v>29341</v>
      </c>
      <c r="M1657" t="s">
        <v>30267</v>
      </c>
      <c r="N1657" t="s">
        <v>32524</v>
      </c>
      <c r="O1657" t="s">
        <v>32525</v>
      </c>
      <c r="P1657">
        <v>0</v>
      </c>
      <c r="Q1657">
        <v>1</v>
      </c>
      <c r="R1657" t="s">
        <v>32526</v>
      </c>
      <c r="S1657" t="s">
        <v>32547</v>
      </c>
      <c r="T1657" t="s">
        <v>33220</v>
      </c>
      <c r="U1657" t="s">
        <v>35048</v>
      </c>
      <c r="W1657" t="s">
        <v>30267</v>
      </c>
      <c r="X1657" t="s">
        <v>32527</v>
      </c>
    </row>
    <row r="1658" spans="1:24">
      <c r="A1658">
        <f>HYPERLINK("https://www.philgeps.gov.ph/GEPSNONPILOT/Tender/SplashBidNoticeAbstractUI.aspx?menuIndex=3&amp;refID=7046192&amp;Result=3","7046192")</f>
        <v>0</v>
      </c>
      <c r="B1658" t="s">
        <v>50</v>
      </c>
      <c r="C1658" t="s">
        <v>4271</v>
      </c>
      <c r="D1658" t="s">
        <v>13008</v>
      </c>
      <c r="E1658" t="s">
        <v>14598</v>
      </c>
      <c r="F1658" t="s">
        <v>22436</v>
      </c>
      <c r="G1658" t="s">
        <v>22444</v>
      </c>
      <c r="H1658" t="s">
        <v>22452</v>
      </c>
      <c r="I1658" t="s">
        <v>3027</v>
      </c>
      <c r="J1658" t="s">
        <v>23780</v>
      </c>
      <c r="K1658" t="s">
        <v>29335</v>
      </c>
      <c r="M1658" t="s">
        <v>29622</v>
      </c>
      <c r="N1658" t="s">
        <v>32524</v>
      </c>
      <c r="O1658" t="s">
        <v>32525</v>
      </c>
      <c r="P1658">
        <v>0</v>
      </c>
      <c r="Q1658">
        <v>0</v>
      </c>
      <c r="R1658" t="s">
        <v>32526</v>
      </c>
      <c r="S1658" t="s">
        <v>32547</v>
      </c>
      <c r="T1658" t="s">
        <v>33166</v>
      </c>
      <c r="U1658" t="s">
        <v>35049</v>
      </c>
      <c r="W1658" t="s">
        <v>29622</v>
      </c>
      <c r="X1658" t="s">
        <v>32527</v>
      </c>
    </row>
    <row r="1659" spans="1:24">
      <c r="A1659">
        <f>HYPERLINK("https://www.philgeps.gov.ph/GEPSNONPILOT/Tender/SplashBidNoticeAbstractUI.aspx?menuIndex=3&amp;refID=7046169&amp;Result=3","7046169")</f>
        <v>0</v>
      </c>
      <c r="B1659" t="s">
        <v>124</v>
      </c>
      <c r="C1659" t="s">
        <v>4272</v>
      </c>
      <c r="D1659" t="s">
        <v>13031</v>
      </c>
      <c r="E1659" t="s">
        <v>14599</v>
      </c>
      <c r="F1659" t="s">
        <v>22436</v>
      </c>
      <c r="G1659" t="s">
        <v>22444</v>
      </c>
      <c r="H1659" t="s">
        <v>22452</v>
      </c>
      <c r="I1659" t="s">
        <v>22494</v>
      </c>
      <c r="J1659" t="s">
        <v>23781</v>
      </c>
      <c r="K1659" t="s">
        <v>29338</v>
      </c>
      <c r="M1659" t="s">
        <v>30213</v>
      </c>
      <c r="N1659" t="s">
        <v>32524</v>
      </c>
      <c r="O1659" t="s">
        <v>32525</v>
      </c>
      <c r="P1659">
        <v>0</v>
      </c>
      <c r="Q1659">
        <v>0</v>
      </c>
      <c r="R1659" t="s">
        <v>32526</v>
      </c>
      <c r="S1659" t="s">
        <v>32547</v>
      </c>
      <c r="T1659" t="s">
        <v>33252</v>
      </c>
      <c r="U1659" t="s">
        <v>35050</v>
      </c>
      <c r="W1659" t="s">
        <v>30213</v>
      </c>
      <c r="X1659" t="s">
        <v>32527</v>
      </c>
    </row>
    <row r="1660" spans="1:24">
      <c r="A1660">
        <f>HYPERLINK("https://www.philgeps.gov.ph/GEPSNONPILOT/Tender/SplashBidNoticeAbstractUI.aspx?menuIndex=3&amp;refID=7046189&amp;Result=3","7046189")</f>
        <v>0</v>
      </c>
      <c r="B1660" t="s">
        <v>280</v>
      </c>
      <c r="C1660" t="s">
        <v>4273</v>
      </c>
      <c r="D1660" t="s">
        <v>13055</v>
      </c>
      <c r="E1660" t="s">
        <v>14600</v>
      </c>
      <c r="F1660" t="s">
        <v>22436</v>
      </c>
      <c r="G1660" t="s">
        <v>22443</v>
      </c>
      <c r="H1660" t="s">
        <v>22452</v>
      </c>
      <c r="I1660" t="s">
        <v>22467</v>
      </c>
      <c r="J1660" t="s">
        <v>23782</v>
      </c>
      <c r="K1660" t="s">
        <v>29334</v>
      </c>
      <c r="M1660" t="s">
        <v>29854</v>
      </c>
      <c r="N1660" t="s">
        <v>32524</v>
      </c>
      <c r="O1660" t="s">
        <v>32525</v>
      </c>
      <c r="P1660">
        <v>0</v>
      </c>
      <c r="Q1660">
        <v>0</v>
      </c>
      <c r="R1660" t="s">
        <v>32526</v>
      </c>
      <c r="S1660" t="s">
        <v>32547</v>
      </c>
      <c r="T1660" t="s">
        <v>33181</v>
      </c>
      <c r="U1660" t="s">
        <v>34804</v>
      </c>
      <c r="V1660" t="s">
        <v>42486</v>
      </c>
      <c r="W1660" t="s">
        <v>29854</v>
      </c>
      <c r="X1660" t="s">
        <v>32527</v>
      </c>
    </row>
    <row r="1661" spans="1:24">
      <c r="A1661">
        <f>HYPERLINK("https://www.philgeps.gov.ph/GEPSNONPILOT/Tender/SplashBidNoticeAbstractUI.aspx?menuIndex=3&amp;refID=7046208&amp;Result=3","7046208")</f>
        <v>0</v>
      </c>
      <c r="B1661" t="s">
        <v>662</v>
      </c>
      <c r="C1661" t="s">
        <v>4274</v>
      </c>
      <c r="D1661" t="s">
        <v>13001</v>
      </c>
      <c r="E1661" t="s">
        <v>4274</v>
      </c>
      <c r="F1661" t="s">
        <v>22436</v>
      </c>
      <c r="G1661" t="s">
        <v>22443</v>
      </c>
      <c r="H1661" t="s">
        <v>22452</v>
      </c>
      <c r="I1661" t="s">
        <v>22471</v>
      </c>
      <c r="J1661" t="s">
        <v>23783</v>
      </c>
      <c r="K1661" t="s">
        <v>29338</v>
      </c>
      <c r="M1661" t="s">
        <v>30254</v>
      </c>
      <c r="N1661" t="s">
        <v>32524</v>
      </c>
      <c r="O1661" t="s">
        <v>32525</v>
      </c>
      <c r="P1661">
        <v>0</v>
      </c>
      <c r="Q1661">
        <v>4</v>
      </c>
      <c r="R1661" t="s">
        <v>32526</v>
      </c>
      <c r="S1661" t="s">
        <v>32547</v>
      </c>
      <c r="T1661" t="s">
        <v>33332</v>
      </c>
      <c r="U1661" t="s">
        <v>35051</v>
      </c>
      <c r="W1661" t="s">
        <v>30254</v>
      </c>
      <c r="X1661" t="s">
        <v>32527</v>
      </c>
    </row>
    <row r="1662" spans="1:24">
      <c r="A1662">
        <f>HYPERLINK("https://www.philgeps.gov.ph/GEPSNONPILOT/Tender/SplashBidNoticeAbstractUI.aspx?menuIndex=3&amp;refID=7046209&amp;Result=3","7046209")</f>
        <v>0</v>
      </c>
      <c r="B1662" t="s">
        <v>674</v>
      </c>
      <c r="C1662" t="s">
        <v>4275</v>
      </c>
      <c r="D1662" t="s">
        <v>13069</v>
      </c>
      <c r="E1662" t="s">
        <v>14601</v>
      </c>
      <c r="F1662" t="s">
        <v>22436</v>
      </c>
      <c r="G1662" t="s">
        <v>22443</v>
      </c>
      <c r="H1662" t="s">
        <v>22452</v>
      </c>
      <c r="I1662" t="s">
        <v>22493</v>
      </c>
      <c r="J1662" t="s">
        <v>23599</v>
      </c>
      <c r="K1662" t="s">
        <v>29331</v>
      </c>
      <c r="M1662" t="s">
        <v>30268</v>
      </c>
      <c r="N1662" t="s">
        <v>32524</v>
      </c>
      <c r="O1662" t="s">
        <v>32525</v>
      </c>
      <c r="P1662">
        <v>0</v>
      </c>
      <c r="Q1662">
        <v>2</v>
      </c>
      <c r="R1662" t="s">
        <v>32526</v>
      </c>
      <c r="S1662" t="s">
        <v>32547</v>
      </c>
      <c r="T1662" t="s">
        <v>33167</v>
      </c>
      <c r="U1662" t="s">
        <v>35052</v>
      </c>
      <c r="W1662" t="s">
        <v>30268</v>
      </c>
      <c r="X1662" t="s">
        <v>32527</v>
      </c>
    </row>
    <row r="1663" spans="1:24">
      <c r="A1663">
        <f>HYPERLINK("https://www.philgeps.gov.ph/GEPSNONPILOT/Tender/SplashBidNoticeAbstractUI.aspx?menuIndex=3&amp;refID=7046187&amp;Result=3","7046187")</f>
        <v>0</v>
      </c>
      <c r="B1663" t="s">
        <v>434</v>
      </c>
      <c r="C1663" t="s">
        <v>4276</v>
      </c>
      <c r="D1663" t="s">
        <v>13007</v>
      </c>
      <c r="E1663" t="s">
        <v>14602</v>
      </c>
      <c r="F1663" t="s">
        <v>22436</v>
      </c>
      <c r="G1663" t="s">
        <v>22443</v>
      </c>
      <c r="H1663" t="s">
        <v>22452</v>
      </c>
      <c r="I1663" t="s">
        <v>22465</v>
      </c>
      <c r="J1663" t="s">
        <v>23784</v>
      </c>
      <c r="K1663" t="s">
        <v>29335</v>
      </c>
      <c r="M1663" t="s">
        <v>30015</v>
      </c>
      <c r="N1663" t="s">
        <v>32524</v>
      </c>
      <c r="O1663" t="s">
        <v>32525</v>
      </c>
      <c r="P1663">
        <v>0</v>
      </c>
      <c r="Q1663">
        <v>0</v>
      </c>
      <c r="R1663" t="s">
        <v>32526</v>
      </c>
      <c r="S1663" t="s">
        <v>32547</v>
      </c>
      <c r="T1663" t="s">
        <v>33167</v>
      </c>
      <c r="U1663" t="s">
        <v>35053</v>
      </c>
      <c r="V1663" t="s">
        <v>42512</v>
      </c>
      <c r="W1663" t="s">
        <v>30015</v>
      </c>
      <c r="X1663" t="s">
        <v>32527</v>
      </c>
    </row>
    <row r="1664" spans="1:24">
      <c r="A1664">
        <f>HYPERLINK("https://www.philgeps.gov.ph/GEPSNONPILOT/Tender/SplashBidNoticeAbstractUI.aspx?menuIndex=3&amp;refID=7046207&amp;Result=3","7046207")</f>
        <v>0</v>
      </c>
      <c r="B1664" t="s">
        <v>675</v>
      </c>
      <c r="C1664" t="s">
        <v>4277</v>
      </c>
      <c r="D1664" t="s">
        <v>13041</v>
      </c>
      <c r="E1664" t="s">
        <v>13320</v>
      </c>
      <c r="F1664" t="s">
        <v>22436</v>
      </c>
      <c r="G1664" t="s">
        <v>22443</v>
      </c>
      <c r="H1664" t="s">
        <v>22452</v>
      </c>
      <c r="I1664" t="s">
        <v>22510</v>
      </c>
      <c r="J1664" t="s">
        <v>23785</v>
      </c>
      <c r="K1664" t="s">
        <v>29357</v>
      </c>
      <c r="M1664" t="s">
        <v>30269</v>
      </c>
      <c r="N1664" t="s">
        <v>32524</v>
      </c>
      <c r="O1664" t="s">
        <v>32525</v>
      </c>
      <c r="P1664">
        <v>0</v>
      </c>
      <c r="Q1664">
        <v>1</v>
      </c>
      <c r="R1664" t="s">
        <v>32526</v>
      </c>
      <c r="S1664" t="s">
        <v>32547</v>
      </c>
      <c r="T1664" t="s">
        <v>33169</v>
      </c>
      <c r="U1664" t="s">
        <v>35054</v>
      </c>
      <c r="W1664" t="s">
        <v>30269</v>
      </c>
      <c r="X1664" t="s">
        <v>32527</v>
      </c>
    </row>
    <row r="1665" spans="1:24">
      <c r="A1665">
        <f>HYPERLINK("https://www.philgeps.gov.ph/GEPSNONPILOT/Tender/SplashBidNoticeAbstractUI.aspx?menuIndex=3&amp;refID=7046213&amp;Result=3","7046213")</f>
        <v>0</v>
      </c>
      <c r="B1665" t="s">
        <v>676</v>
      </c>
      <c r="C1665" t="s">
        <v>4278</v>
      </c>
      <c r="D1665" t="s">
        <v>13025</v>
      </c>
      <c r="E1665" t="s">
        <v>14603</v>
      </c>
      <c r="F1665" t="s">
        <v>22436</v>
      </c>
      <c r="G1665" t="s">
        <v>22447</v>
      </c>
      <c r="H1665" t="s">
        <v>22454</v>
      </c>
      <c r="I1665" t="s">
        <v>7738</v>
      </c>
      <c r="J1665" t="s">
        <v>23786</v>
      </c>
      <c r="K1665" t="s">
        <v>29338</v>
      </c>
      <c r="M1665" t="s">
        <v>30270</v>
      </c>
      <c r="N1665" t="s">
        <v>32524</v>
      </c>
      <c r="O1665" t="s">
        <v>32525</v>
      </c>
      <c r="P1665">
        <v>0</v>
      </c>
      <c r="Q1665">
        <v>0</v>
      </c>
      <c r="R1665" t="s">
        <v>32526</v>
      </c>
      <c r="S1665" t="s">
        <v>32547</v>
      </c>
      <c r="T1665" t="s">
        <v>33181</v>
      </c>
      <c r="U1665" t="s">
        <v>35055</v>
      </c>
      <c r="W1665" t="s">
        <v>30270</v>
      </c>
      <c r="X1665" t="s">
        <v>32527</v>
      </c>
    </row>
    <row r="1666" spans="1:24">
      <c r="A1666">
        <f>HYPERLINK("https://www.philgeps.gov.ph/GEPSNONPILOT/Tender/SplashBidNoticeAbstractUI.aspx?menuIndex=3&amp;refID=7046212&amp;Result=3","7046212")</f>
        <v>0</v>
      </c>
      <c r="B1666" t="s">
        <v>554</v>
      </c>
      <c r="C1666" t="s">
        <v>4279</v>
      </c>
      <c r="D1666" t="s">
        <v>12994</v>
      </c>
      <c r="E1666" t="s">
        <v>14604</v>
      </c>
      <c r="F1666" t="s">
        <v>22436</v>
      </c>
      <c r="G1666" t="s">
        <v>22444</v>
      </c>
      <c r="H1666" t="s">
        <v>22454</v>
      </c>
      <c r="I1666" t="s">
        <v>7738</v>
      </c>
      <c r="J1666" t="s">
        <v>22893</v>
      </c>
      <c r="K1666" t="s">
        <v>29390</v>
      </c>
      <c r="L1666" t="s">
        <v>554</v>
      </c>
      <c r="M1666" t="s">
        <v>30140</v>
      </c>
      <c r="N1666" t="s">
        <v>32524</v>
      </c>
      <c r="O1666" t="s">
        <v>32525</v>
      </c>
      <c r="P1666">
        <v>0</v>
      </c>
      <c r="Q1666">
        <v>18</v>
      </c>
      <c r="R1666" t="s">
        <v>32526</v>
      </c>
      <c r="S1666" t="s">
        <v>32547</v>
      </c>
      <c r="T1666" t="s">
        <v>33163</v>
      </c>
      <c r="U1666" t="s">
        <v>35056</v>
      </c>
      <c r="W1666" t="s">
        <v>30140</v>
      </c>
      <c r="X1666" t="s">
        <v>32527</v>
      </c>
    </row>
    <row r="1667" spans="1:24">
      <c r="A1667">
        <f>HYPERLINK("https://www.philgeps.gov.ph/GEPSNONPILOT/Tender/SplashBidNoticeAbstractUI.aspx?menuIndex=3&amp;refID=7046204&amp;Result=3","7046204")</f>
        <v>0</v>
      </c>
      <c r="B1667" t="s">
        <v>676</v>
      </c>
      <c r="C1667" t="s">
        <v>4280</v>
      </c>
      <c r="D1667" t="s">
        <v>13025</v>
      </c>
      <c r="E1667" t="s">
        <v>14605</v>
      </c>
      <c r="F1667" t="s">
        <v>22436</v>
      </c>
      <c r="G1667" t="s">
        <v>22447</v>
      </c>
      <c r="H1667" t="s">
        <v>22454</v>
      </c>
      <c r="I1667" t="s">
        <v>7738</v>
      </c>
      <c r="J1667" t="s">
        <v>23787</v>
      </c>
      <c r="K1667" t="s">
        <v>29338</v>
      </c>
      <c r="M1667" t="s">
        <v>30270</v>
      </c>
      <c r="N1667" t="s">
        <v>32524</v>
      </c>
      <c r="O1667" t="s">
        <v>32525</v>
      </c>
      <c r="P1667">
        <v>0</v>
      </c>
      <c r="Q1667">
        <v>0</v>
      </c>
      <c r="R1667" t="s">
        <v>32526</v>
      </c>
      <c r="S1667" t="s">
        <v>32547</v>
      </c>
      <c r="T1667" t="s">
        <v>33181</v>
      </c>
      <c r="U1667" t="s">
        <v>35057</v>
      </c>
      <c r="W1667" t="s">
        <v>30270</v>
      </c>
      <c r="X1667" t="s">
        <v>32527</v>
      </c>
    </row>
    <row r="1668" spans="1:24">
      <c r="A1668">
        <f>HYPERLINK("https://www.philgeps.gov.ph/GEPSNONPILOT/Tender/SplashBidNoticeAbstractUI.aspx?menuIndex=3&amp;refID=7046199&amp;Result=3","7046199")</f>
        <v>0</v>
      </c>
      <c r="B1668" t="s">
        <v>677</v>
      </c>
      <c r="C1668" t="s">
        <v>4281</v>
      </c>
      <c r="D1668" t="s">
        <v>12999</v>
      </c>
      <c r="E1668" t="s">
        <v>14606</v>
      </c>
      <c r="F1668" t="s">
        <v>22436</v>
      </c>
      <c r="G1668" t="s">
        <v>22444</v>
      </c>
      <c r="H1668" t="s">
        <v>22452</v>
      </c>
      <c r="I1668" t="s">
        <v>22484</v>
      </c>
      <c r="J1668" t="s">
        <v>22960</v>
      </c>
      <c r="K1668" t="s">
        <v>29338</v>
      </c>
      <c r="M1668" t="s">
        <v>30271</v>
      </c>
      <c r="N1668" t="s">
        <v>32524</v>
      </c>
      <c r="O1668" t="s">
        <v>32525</v>
      </c>
      <c r="P1668">
        <v>0</v>
      </c>
      <c r="Q1668">
        <v>11</v>
      </c>
      <c r="R1668" t="s">
        <v>32526</v>
      </c>
      <c r="S1668" t="s">
        <v>32547</v>
      </c>
      <c r="T1668" t="s">
        <v>33170</v>
      </c>
      <c r="U1668" t="s">
        <v>35058</v>
      </c>
      <c r="W1668" t="s">
        <v>30271</v>
      </c>
      <c r="X1668" t="s">
        <v>32527</v>
      </c>
    </row>
    <row r="1669" spans="1:24">
      <c r="A1669">
        <f>HYPERLINK("https://www.philgeps.gov.ph/GEPSNONPILOT/Tender/SplashBidNoticeAbstractUI.aspx?menuIndex=3&amp;refID=7046211&amp;Result=3","7046211")</f>
        <v>0</v>
      </c>
      <c r="B1669" t="s">
        <v>567</v>
      </c>
      <c r="C1669" t="s">
        <v>4282</v>
      </c>
      <c r="D1669" t="s">
        <v>13012</v>
      </c>
      <c r="E1669" t="s">
        <v>14607</v>
      </c>
      <c r="F1669" t="s">
        <v>22436</v>
      </c>
      <c r="G1669" t="s">
        <v>22444</v>
      </c>
      <c r="H1669" t="s">
        <v>22452</v>
      </c>
      <c r="I1669" t="s">
        <v>22502</v>
      </c>
      <c r="J1669" t="s">
        <v>22877</v>
      </c>
      <c r="K1669" t="s">
        <v>29333</v>
      </c>
      <c r="M1669" t="s">
        <v>30155</v>
      </c>
      <c r="N1669" t="s">
        <v>32524</v>
      </c>
      <c r="O1669" t="s">
        <v>32525</v>
      </c>
      <c r="P1669">
        <v>0</v>
      </c>
      <c r="Q1669">
        <v>5</v>
      </c>
      <c r="R1669" t="s">
        <v>32526</v>
      </c>
      <c r="S1669" t="s">
        <v>32547</v>
      </c>
      <c r="T1669" t="s">
        <v>33333</v>
      </c>
      <c r="U1669" t="s">
        <v>35059</v>
      </c>
      <c r="V1669" t="s">
        <v>42552</v>
      </c>
      <c r="W1669" t="s">
        <v>30155</v>
      </c>
      <c r="X1669" t="s">
        <v>32527</v>
      </c>
    </row>
    <row r="1670" spans="1:24">
      <c r="A1670">
        <f>HYPERLINK("https://www.philgeps.gov.ph/GEPSNONPILOT/Tender/SplashBidNoticeAbstractUI.aspx?menuIndex=3&amp;refID=7046203&amp;Result=3","7046203")</f>
        <v>0</v>
      </c>
      <c r="B1670" t="s">
        <v>644</v>
      </c>
      <c r="C1670" t="s">
        <v>4283</v>
      </c>
      <c r="D1670" t="s">
        <v>12994</v>
      </c>
      <c r="E1670" t="s">
        <v>14608</v>
      </c>
      <c r="F1670" t="s">
        <v>22436</v>
      </c>
      <c r="G1670" t="s">
        <v>22443</v>
      </c>
      <c r="H1670" t="s">
        <v>22452</v>
      </c>
      <c r="I1670" t="s">
        <v>3122</v>
      </c>
      <c r="J1670" t="s">
        <v>23431</v>
      </c>
      <c r="K1670" t="s">
        <v>29336</v>
      </c>
      <c r="M1670" t="s">
        <v>30235</v>
      </c>
      <c r="N1670" t="s">
        <v>32524</v>
      </c>
      <c r="O1670" t="s">
        <v>32525</v>
      </c>
      <c r="P1670">
        <v>0</v>
      </c>
      <c r="Q1670">
        <v>0</v>
      </c>
      <c r="R1670" t="s">
        <v>32526</v>
      </c>
      <c r="S1670" t="s">
        <v>32547</v>
      </c>
      <c r="T1670" t="s">
        <v>33167</v>
      </c>
      <c r="U1670" t="s">
        <v>35060</v>
      </c>
      <c r="V1670" t="s">
        <v>42579</v>
      </c>
      <c r="W1670" t="s">
        <v>30235</v>
      </c>
      <c r="X1670" t="s">
        <v>32527</v>
      </c>
    </row>
    <row r="1671" spans="1:24">
      <c r="A1671">
        <f>HYPERLINK("https://www.philgeps.gov.ph/GEPSNONPILOT/Tender/SplashBidNoticeAbstractUI.aspx?menuIndex=3&amp;refID=7046197&amp;Result=3","7046197")</f>
        <v>0</v>
      </c>
      <c r="B1671" t="s">
        <v>678</v>
      </c>
      <c r="C1671" t="s">
        <v>4284</v>
      </c>
      <c r="D1671" t="s">
        <v>13008</v>
      </c>
      <c r="E1671" t="s">
        <v>14609</v>
      </c>
      <c r="F1671" t="s">
        <v>22436</v>
      </c>
      <c r="G1671" t="s">
        <v>22443</v>
      </c>
      <c r="H1671" t="s">
        <v>22452</v>
      </c>
      <c r="I1671" t="s">
        <v>3529</v>
      </c>
      <c r="J1671" t="s">
        <v>23788</v>
      </c>
      <c r="K1671" t="s">
        <v>29357</v>
      </c>
      <c r="M1671" t="s">
        <v>30272</v>
      </c>
      <c r="N1671" t="s">
        <v>32524</v>
      </c>
      <c r="O1671" t="s">
        <v>32525</v>
      </c>
      <c r="P1671">
        <v>0</v>
      </c>
      <c r="Q1671">
        <v>0</v>
      </c>
      <c r="R1671" t="s">
        <v>32526</v>
      </c>
      <c r="S1671" t="s">
        <v>32547</v>
      </c>
      <c r="T1671" t="s">
        <v>33154</v>
      </c>
      <c r="U1671" t="s">
        <v>35061</v>
      </c>
      <c r="W1671" t="s">
        <v>30272</v>
      </c>
      <c r="X1671" t="s">
        <v>32527</v>
      </c>
    </row>
    <row r="1672" spans="1:24">
      <c r="A1672">
        <f>HYPERLINK("https://www.philgeps.gov.ph/GEPSNONPILOT/Tender/SplashBidNoticeAbstractUI.aspx?menuIndex=3&amp;refID=7046196&amp;Result=3","7046196")</f>
        <v>0</v>
      </c>
      <c r="B1672" t="s">
        <v>679</v>
      </c>
      <c r="C1672" t="s">
        <v>4285</v>
      </c>
      <c r="D1672" t="s">
        <v>13045</v>
      </c>
      <c r="E1672" t="s">
        <v>14610</v>
      </c>
      <c r="F1672" t="s">
        <v>22436</v>
      </c>
      <c r="G1672" t="s">
        <v>22444</v>
      </c>
      <c r="H1672" t="s">
        <v>22452</v>
      </c>
      <c r="I1672" t="s">
        <v>22474</v>
      </c>
      <c r="J1672" t="s">
        <v>22960</v>
      </c>
      <c r="K1672" t="s">
        <v>29335</v>
      </c>
      <c r="M1672" t="s">
        <v>30273</v>
      </c>
      <c r="N1672" t="s">
        <v>32524</v>
      </c>
      <c r="O1672" t="s">
        <v>32525</v>
      </c>
      <c r="P1672">
        <v>0</v>
      </c>
      <c r="Q1672">
        <v>5</v>
      </c>
      <c r="R1672" t="s">
        <v>32526</v>
      </c>
      <c r="S1672" t="s">
        <v>32547</v>
      </c>
      <c r="T1672" t="s">
        <v>33158</v>
      </c>
      <c r="U1672" t="s">
        <v>35062</v>
      </c>
      <c r="W1672" t="s">
        <v>30273</v>
      </c>
      <c r="X1672" t="s">
        <v>32527</v>
      </c>
    </row>
    <row r="1673" spans="1:24">
      <c r="A1673">
        <f>HYPERLINK("https://www.philgeps.gov.ph/GEPSNONPILOT/Tender/SplashBidNoticeAbstractUI.aspx?menuIndex=3&amp;refID=7046202&amp;Result=3","7046202")</f>
        <v>0</v>
      </c>
      <c r="B1673" t="s">
        <v>584</v>
      </c>
      <c r="C1673" t="s">
        <v>4195</v>
      </c>
      <c r="D1673" t="s">
        <v>12988</v>
      </c>
      <c r="E1673" t="s">
        <v>14611</v>
      </c>
      <c r="F1673" t="s">
        <v>22436</v>
      </c>
      <c r="G1673" t="s">
        <v>22443</v>
      </c>
      <c r="H1673" t="s">
        <v>22452</v>
      </c>
      <c r="I1673" t="s">
        <v>22474</v>
      </c>
      <c r="J1673" t="s">
        <v>23789</v>
      </c>
      <c r="K1673" t="s">
        <v>29335</v>
      </c>
      <c r="M1673" t="s">
        <v>30174</v>
      </c>
      <c r="N1673" t="s">
        <v>32524</v>
      </c>
      <c r="O1673" t="s">
        <v>32525</v>
      </c>
      <c r="P1673">
        <v>0</v>
      </c>
      <c r="Q1673">
        <v>6</v>
      </c>
      <c r="R1673" t="s">
        <v>32526</v>
      </c>
      <c r="S1673" t="s">
        <v>32547</v>
      </c>
      <c r="T1673" t="s">
        <v>33314</v>
      </c>
      <c r="U1673" t="s">
        <v>34828</v>
      </c>
      <c r="W1673" t="s">
        <v>30174</v>
      </c>
      <c r="X1673" t="s">
        <v>32527</v>
      </c>
    </row>
    <row r="1674" spans="1:24">
      <c r="A1674">
        <f>HYPERLINK("https://www.philgeps.gov.ph/GEPSNONPILOT/Tender/SplashBidNoticeAbstractUI.aspx?menuIndex=3&amp;refID=7046200&amp;Result=3","7046200")</f>
        <v>0</v>
      </c>
      <c r="B1674" t="s">
        <v>680</v>
      </c>
      <c r="C1674" t="s">
        <v>4286</v>
      </c>
      <c r="E1674" t="s">
        <v>14612</v>
      </c>
      <c r="F1674" t="s">
        <v>22436</v>
      </c>
      <c r="G1674" t="s">
        <v>22443</v>
      </c>
      <c r="H1674" t="s">
        <v>22452</v>
      </c>
      <c r="I1674" t="s">
        <v>3827</v>
      </c>
      <c r="J1674" t="s">
        <v>23790</v>
      </c>
      <c r="K1674" t="s">
        <v>29338</v>
      </c>
      <c r="M1674" t="s">
        <v>30274</v>
      </c>
      <c r="N1674" t="s">
        <v>32524</v>
      </c>
      <c r="O1674" t="s">
        <v>32525</v>
      </c>
      <c r="P1674">
        <v>0</v>
      </c>
      <c r="Q1674">
        <v>3</v>
      </c>
      <c r="R1674" t="s">
        <v>32526</v>
      </c>
      <c r="S1674" t="s">
        <v>32547</v>
      </c>
      <c r="T1674" t="s">
        <v>33230</v>
      </c>
      <c r="U1674" t="s">
        <v>35063</v>
      </c>
      <c r="W1674" t="s">
        <v>30274</v>
      </c>
      <c r="X1674" t="s">
        <v>32527</v>
      </c>
    </row>
    <row r="1675" spans="1:24">
      <c r="A1675">
        <f>HYPERLINK("https://www.philgeps.gov.ph/GEPSNONPILOT/Tender/SplashBidNoticeAbstractUI.aspx?menuIndex=3&amp;refID=7046221&amp;Result=3","7046221")</f>
        <v>0</v>
      </c>
      <c r="B1675" t="s">
        <v>671</v>
      </c>
      <c r="C1675" t="s">
        <v>4287</v>
      </c>
      <c r="D1675" t="s">
        <v>13013</v>
      </c>
      <c r="E1675" t="s">
        <v>14613</v>
      </c>
      <c r="F1675" t="s">
        <v>22436</v>
      </c>
      <c r="G1675" t="s">
        <v>22443</v>
      </c>
      <c r="H1675" t="s">
        <v>22452</v>
      </c>
      <c r="I1675" t="s">
        <v>22468</v>
      </c>
      <c r="J1675" t="s">
        <v>23791</v>
      </c>
      <c r="K1675" t="s">
        <v>29341</v>
      </c>
      <c r="M1675" t="s">
        <v>30265</v>
      </c>
      <c r="N1675" t="s">
        <v>32524</v>
      </c>
      <c r="O1675" t="s">
        <v>32525</v>
      </c>
      <c r="P1675">
        <v>0</v>
      </c>
      <c r="Q1675">
        <v>1</v>
      </c>
      <c r="R1675" t="s">
        <v>32526</v>
      </c>
      <c r="S1675" t="s">
        <v>32547</v>
      </c>
      <c r="T1675" t="s">
        <v>33161</v>
      </c>
      <c r="U1675" t="s">
        <v>35064</v>
      </c>
      <c r="W1675" t="s">
        <v>30265</v>
      </c>
      <c r="X1675" t="s">
        <v>32527</v>
      </c>
    </row>
    <row r="1676" spans="1:24">
      <c r="A1676">
        <f>HYPERLINK("https://www.philgeps.gov.ph/GEPSNONPILOT/Tender/SplashBidNoticeAbstractUI.aspx?menuIndex=3&amp;refID=7046219&amp;Result=3","7046219")</f>
        <v>0</v>
      </c>
      <c r="B1676" t="s">
        <v>681</v>
      </c>
      <c r="C1676" t="s">
        <v>4288</v>
      </c>
      <c r="D1676" t="s">
        <v>13037</v>
      </c>
      <c r="E1676" t="s">
        <v>14614</v>
      </c>
      <c r="F1676" t="s">
        <v>22436</v>
      </c>
      <c r="G1676" t="s">
        <v>22443</v>
      </c>
      <c r="H1676" t="s">
        <v>22452</v>
      </c>
      <c r="I1676" t="s">
        <v>22460</v>
      </c>
      <c r="J1676" t="s">
        <v>23792</v>
      </c>
      <c r="K1676" t="s">
        <v>29336</v>
      </c>
      <c r="M1676" t="s">
        <v>30275</v>
      </c>
      <c r="N1676" t="s">
        <v>32524</v>
      </c>
      <c r="O1676" t="s">
        <v>32525</v>
      </c>
      <c r="P1676">
        <v>0</v>
      </c>
      <c r="Q1676">
        <v>0</v>
      </c>
      <c r="R1676" t="s">
        <v>32526</v>
      </c>
      <c r="S1676" t="s">
        <v>32547</v>
      </c>
      <c r="T1676" t="s">
        <v>33196</v>
      </c>
      <c r="U1676" t="s">
        <v>35065</v>
      </c>
      <c r="V1676" t="s">
        <v>42580</v>
      </c>
      <c r="W1676" t="s">
        <v>30275</v>
      </c>
      <c r="X1676" t="s">
        <v>32527</v>
      </c>
    </row>
    <row r="1677" spans="1:24">
      <c r="A1677">
        <f>HYPERLINK("https://www.philgeps.gov.ph/GEPSNONPILOT/Tender/SplashBidNoticeAbstractUI.aspx?menuIndex=3&amp;refID=7046201&amp;Result=3","7046201")</f>
        <v>0</v>
      </c>
      <c r="B1677" t="s">
        <v>682</v>
      </c>
      <c r="C1677" t="s">
        <v>4289</v>
      </c>
      <c r="D1677" t="s">
        <v>12988</v>
      </c>
      <c r="E1677" t="s">
        <v>13220</v>
      </c>
      <c r="F1677" t="s">
        <v>22436</v>
      </c>
      <c r="G1677" t="s">
        <v>22446</v>
      </c>
      <c r="H1677" t="s">
        <v>22452</v>
      </c>
      <c r="I1677" t="s">
        <v>2981</v>
      </c>
      <c r="J1677" t="s">
        <v>23793</v>
      </c>
      <c r="K1677" t="s">
        <v>29338</v>
      </c>
      <c r="M1677" t="s">
        <v>30276</v>
      </c>
      <c r="N1677" t="s">
        <v>32524</v>
      </c>
      <c r="O1677" t="s">
        <v>32525</v>
      </c>
      <c r="P1677">
        <v>0</v>
      </c>
      <c r="Q1677">
        <v>1</v>
      </c>
      <c r="R1677" t="s">
        <v>32526</v>
      </c>
      <c r="S1677" t="s">
        <v>32547</v>
      </c>
      <c r="T1677" t="s">
        <v>33209</v>
      </c>
      <c r="U1677" t="s">
        <v>35066</v>
      </c>
      <c r="W1677" t="s">
        <v>30276</v>
      </c>
      <c r="X1677" t="s">
        <v>32527</v>
      </c>
    </row>
    <row r="1678" spans="1:24">
      <c r="A1678">
        <f>HYPERLINK("https://www.philgeps.gov.ph/GEPSNONPILOT/Tender/SplashBidNoticeAbstractUI.aspx?menuIndex=3&amp;refID=7046218&amp;Result=3","7046218")</f>
        <v>0</v>
      </c>
      <c r="B1678" t="s">
        <v>50</v>
      </c>
      <c r="C1678" t="s">
        <v>4290</v>
      </c>
      <c r="D1678" t="s">
        <v>13008</v>
      </c>
      <c r="E1678" t="s">
        <v>14598</v>
      </c>
      <c r="F1678" t="s">
        <v>22436</v>
      </c>
      <c r="G1678" t="s">
        <v>22444</v>
      </c>
      <c r="H1678" t="s">
        <v>22452</v>
      </c>
      <c r="I1678" t="s">
        <v>22481</v>
      </c>
      <c r="J1678" t="s">
        <v>23794</v>
      </c>
      <c r="K1678" t="s">
        <v>29335</v>
      </c>
      <c r="M1678" t="s">
        <v>29622</v>
      </c>
      <c r="N1678" t="s">
        <v>32524</v>
      </c>
      <c r="O1678" t="s">
        <v>32525</v>
      </c>
      <c r="P1678">
        <v>0</v>
      </c>
      <c r="Q1678">
        <v>0</v>
      </c>
      <c r="R1678" t="s">
        <v>32526</v>
      </c>
      <c r="S1678" t="s">
        <v>32547</v>
      </c>
      <c r="T1678" t="s">
        <v>33166</v>
      </c>
      <c r="U1678" t="s">
        <v>35049</v>
      </c>
      <c r="W1678" t="s">
        <v>29622</v>
      </c>
      <c r="X1678" t="s">
        <v>32527</v>
      </c>
    </row>
    <row r="1679" spans="1:24">
      <c r="A1679">
        <f>HYPERLINK("https://www.philgeps.gov.ph/GEPSNONPILOT/Tender/SplashBidNoticeAbstractUI.aspx?menuIndex=3&amp;refID=7046215&amp;Result=3","7046215")</f>
        <v>0</v>
      </c>
      <c r="B1679" t="s">
        <v>655</v>
      </c>
      <c r="C1679" t="s">
        <v>4291</v>
      </c>
      <c r="D1679" t="s">
        <v>12988</v>
      </c>
      <c r="E1679" t="s">
        <v>14615</v>
      </c>
      <c r="F1679" t="s">
        <v>22436</v>
      </c>
      <c r="G1679" t="s">
        <v>22446</v>
      </c>
      <c r="H1679" t="s">
        <v>22452</v>
      </c>
      <c r="I1679" t="s">
        <v>6421</v>
      </c>
      <c r="J1679" t="s">
        <v>23795</v>
      </c>
      <c r="K1679" t="s">
        <v>29338</v>
      </c>
      <c r="M1679" t="s">
        <v>30247</v>
      </c>
      <c r="N1679" t="s">
        <v>32524</v>
      </c>
      <c r="O1679" t="s">
        <v>32525</v>
      </c>
      <c r="P1679">
        <v>0</v>
      </c>
      <c r="Q1679">
        <v>2</v>
      </c>
      <c r="R1679" t="s">
        <v>32526</v>
      </c>
      <c r="S1679" t="s">
        <v>32547</v>
      </c>
      <c r="T1679" t="s">
        <v>33209</v>
      </c>
      <c r="U1679" t="s">
        <v>35067</v>
      </c>
      <c r="W1679" t="s">
        <v>30247</v>
      </c>
      <c r="X1679" t="s">
        <v>32527</v>
      </c>
    </row>
    <row r="1680" spans="1:24">
      <c r="A1680">
        <f>HYPERLINK("https://www.philgeps.gov.ph/GEPSNONPILOT/Tender/SplashBidNoticeAbstractUI.aspx?menuIndex=3&amp;refID=7046238&amp;Result=3","7046238")</f>
        <v>0</v>
      </c>
      <c r="B1680" t="s">
        <v>658</v>
      </c>
      <c r="C1680" t="s">
        <v>4292</v>
      </c>
      <c r="E1680" t="s">
        <v>14616</v>
      </c>
      <c r="F1680" t="s">
        <v>22436</v>
      </c>
      <c r="G1680" t="s">
        <v>22443</v>
      </c>
      <c r="H1680" t="s">
        <v>22452</v>
      </c>
      <c r="I1680" t="s">
        <v>22482</v>
      </c>
      <c r="J1680" t="s">
        <v>23796</v>
      </c>
      <c r="K1680" t="s">
        <v>29338</v>
      </c>
      <c r="M1680" t="s">
        <v>30250</v>
      </c>
      <c r="N1680" t="s">
        <v>32524</v>
      </c>
      <c r="O1680" t="s">
        <v>32525</v>
      </c>
      <c r="P1680">
        <v>0</v>
      </c>
      <c r="Q1680">
        <v>17</v>
      </c>
      <c r="R1680" t="s">
        <v>32526</v>
      </c>
      <c r="S1680" t="s">
        <v>32547</v>
      </c>
      <c r="T1680" t="s">
        <v>33167</v>
      </c>
      <c r="U1680" t="s">
        <v>35068</v>
      </c>
      <c r="V1680" t="s">
        <v>42574</v>
      </c>
      <c r="W1680" t="s">
        <v>30250</v>
      </c>
      <c r="X1680" t="s">
        <v>32527</v>
      </c>
    </row>
    <row r="1681" spans="1:24">
      <c r="A1681">
        <f>HYPERLINK("https://www.philgeps.gov.ph/GEPSNONPILOT/Tender/SplashBidNoticeAbstractUI.aspx?menuIndex=3&amp;refID=7046222&amp;Result=3","7046222")</f>
        <v>0</v>
      </c>
      <c r="B1681" t="s">
        <v>683</v>
      </c>
      <c r="C1681" t="s">
        <v>4293</v>
      </c>
      <c r="D1681" t="s">
        <v>13022</v>
      </c>
      <c r="E1681" t="s">
        <v>14617</v>
      </c>
      <c r="F1681" t="s">
        <v>22436</v>
      </c>
      <c r="G1681" t="s">
        <v>22443</v>
      </c>
      <c r="H1681" t="s">
        <v>22452</v>
      </c>
      <c r="I1681" t="s">
        <v>22486</v>
      </c>
      <c r="J1681" t="s">
        <v>23797</v>
      </c>
      <c r="K1681" t="s">
        <v>29356</v>
      </c>
      <c r="M1681" t="s">
        <v>30277</v>
      </c>
      <c r="N1681" t="s">
        <v>32524</v>
      </c>
      <c r="O1681" t="s">
        <v>32525</v>
      </c>
      <c r="P1681">
        <v>0</v>
      </c>
      <c r="Q1681">
        <v>0</v>
      </c>
      <c r="R1681" t="s">
        <v>32526</v>
      </c>
      <c r="S1681" t="s">
        <v>32547</v>
      </c>
      <c r="T1681" t="s">
        <v>33223</v>
      </c>
      <c r="U1681" t="s">
        <v>35069</v>
      </c>
      <c r="W1681" t="s">
        <v>30277</v>
      </c>
      <c r="X1681" t="s">
        <v>32527</v>
      </c>
    </row>
    <row r="1682" spans="1:24">
      <c r="A1682">
        <f>HYPERLINK("https://www.philgeps.gov.ph/GEPSNONPILOT/Tender/SplashBidNoticeAbstractUI.aspx?menuIndex=3&amp;refID=7046233&amp;Result=3","7046233")</f>
        <v>0</v>
      </c>
      <c r="B1682" t="s">
        <v>684</v>
      </c>
      <c r="C1682" t="s">
        <v>4294</v>
      </c>
      <c r="D1682" t="s">
        <v>13010</v>
      </c>
      <c r="E1682" t="s">
        <v>13780</v>
      </c>
      <c r="F1682" t="s">
        <v>22436</v>
      </c>
      <c r="G1682" t="s">
        <v>22443</v>
      </c>
      <c r="H1682" t="s">
        <v>22452</v>
      </c>
      <c r="I1682" t="s">
        <v>6387</v>
      </c>
      <c r="J1682" t="s">
        <v>22858</v>
      </c>
      <c r="K1682" t="s">
        <v>29335</v>
      </c>
      <c r="M1682" t="s">
        <v>30278</v>
      </c>
      <c r="N1682" t="s">
        <v>32524</v>
      </c>
      <c r="O1682" t="s">
        <v>32525</v>
      </c>
      <c r="P1682">
        <v>0</v>
      </c>
      <c r="Q1682">
        <v>1</v>
      </c>
      <c r="R1682" t="s">
        <v>32526</v>
      </c>
      <c r="S1682" t="s">
        <v>32547</v>
      </c>
      <c r="T1682" t="s">
        <v>33230</v>
      </c>
      <c r="U1682" t="s">
        <v>35070</v>
      </c>
      <c r="W1682" t="s">
        <v>30278</v>
      </c>
      <c r="X1682" t="s">
        <v>32527</v>
      </c>
    </row>
    <row r="1683" spans="1:24">
      <c r="A1683">
        <f>HYPERLINK("https://www.philgeps.gov.ph/GEPSNONPILOT/Tender/SplashBidNoticeAbstractUI.aspx?menuIndex=3&amp;refID=7046232&amp;Result=3","7046232")</f>
        <v>0</v>
      </c>
      <c r="B1683" t="s">
        <v>365</v>
      </c>
      <c r="C1683" t="s">
        <v>4295</v>
      </c>
      <c r="D1683" t="s">
        <v>12988</v>
      </c>
      <c r="E1683" t="s">
        <v>14618</v>
      </c>
      <c r="F1683" t="s">
        <v>22436</v>
      </c>
      <c r="G1683" t="s">
        <v>22443</v>
      </c>
      <c r="H1683" t="s">
        <v>22452</v>
      </c>
      <c r="I1683" t="s">
        <v>22466</v>
      </c>
      <c r="J1683" t="s">
        <v>22605</v>
      </c>
      <c r="K1683" t="s">
        <v>29335</v>
      </c>
      <c r="M1683" t="s">
        <v>29943</v>
      </c>
      <c r="N1683" t="s">
        <v>32524</v>
      </c>
      <c r="O1683" t="s">
        <v>32525</v>
      </c>
      <c r="P1683">
        <v>0</v>
      </c>
      <c r="Q1683">
        <v>13</v>
      </c>
      <c r="R1683" t="s">
        <v>32526</v>
      </c>
      <c r="S1683" t="s">
        <v>32547</v>
      </c>
      <c r="T1683" t="s">
        <v>33169</v>
      </c>
      <c r="U1683" t="s">
        <v>35071</v>
      </c>
      <c r="V1683" t="s">
        <v>42499</v>
      </c>
      <c r="W1683" t="s">
        <v>29943</v>
      </c>
      <c r="X1683" t="s">
        <v>32527</v>
      </c>
    </row>
    <row r="1684" spans="1:24">
      <c r="A1684">
        <f>HYPERLINK("https://www.philgeps.gov.ph/GEPSNONPILOT/Tender/SplashBidNoticeAbstractUI.aspx?menuIndex=3&amp;refID=7046234&amp;Result=3","7046234")</f>
        <v>0</v>
      </c>
      <c r="B1684" t="s">
        <v>580</v>
      </c>
      <c r="C1684" t="s">
        <v>4296</v>
      </c>
      <c r="D1684" t="s">
        <v>13033</v>
      </c>
      <c r="E1684" t="s">
        <v>14619</v>
      </c>
      <c r="F1684" t="s">
        <v>22436</v>
      </c>
      <c r="G1684" t="s">
        <v>22443</v>
      </c>
      <c r="H1684" t="s">
        <v>22452</v>
      </c>
      <c r="I1684" t="s">
        <v>22463</v>
      </c>
      <c r="J1684" t="s">
        <v>23638</v>
      </c>
      <c r="K1684" t="s">
        <v>29331</v>
      </c>
      <c r="M1684" t="s">
        <v>30168</v>
      </c>
      <c r="N1684" t="s">
        <v>32524</v>
      </c>
      <c r="O1684" t="s">
        <v>32525</v>
      </c>
      <c r="P1684">
        <v>0</v>
      </c>
      <c r="Q1684">
        <v>1</v>
      </c>
      <c r="R1684" t="s">
        <v>32526</v>
      </c>
      <c r="S1684" t="s">
        <v>32547</v>
      </c>
      <c r="T1684" t="s">
        <v>33161</v>
      </c>
      <c r="U1684" t="s">
        <v>35072</v>
      </c>
      <c r="W1684" t="s">
        <v>30168</v>
      </c>
      <c r="X1684" t="s">
        <v>32527</v>
      </c>
    </row>
    <row r="1685" spans="1:24">
      <c r="A1685">
        <f>HYPERLINK("https://www.philgeps.gov.ph/GEPSNONPILOT/Tender/SplashBidNoticeAbstractUI.aspx?menuIndex=3&amp;refID=7046229&amp;Result=3","7046229")</f>
        <v>0</v>
      </c>
      <c r="B1685" t="s">
        <v>685</v>
      </c>
      <c r="C1685" t="s">
        <v>4297</v>
      </c>
      <c r="D1685" t="s">
        <v>13045</v>
      </c>
      <c r="E1685" t="s">
        <v>14620</v>
      </c>
      <c r="F1685" t="s">
        <v>22436</v>
      </c>
      <c r="G1685" t="s">
        <v>22443</v>
      </c>
      <c r="H1685" t="s">
        <v>22452</v>
      </c>
      <c r="I1685" t="s">
        <v>22467</v>
      </c>
      <c r="J1685" t="s">
        <v>23798</v>
      </c>
      <c r="K1685" t="s">
        <v>29331</v>
      </c>
      <c r="M1685" t="s">
        <v>30279</v>
      </c>
      <c r="N1685" t="s">
        <v>32524</v>
      </c>
      <c r="O1685" t="s">
        <v>32525</v>
      </c>
      <c r="P1685">
        <v>0</v>
      </c>
      <c r="Q1685">
        <v>0</v>
      </c>
      <c r="R1685" t="s">
        <v>32526</v>
      </c>
      <c r="S1685" t="s">
        <v>32547</v>
      </c>
      <c r="T1685" t="s">
        <v>33167</v>
      </c>
      <c r="U1685" t="s">
        <v>35073</v>
      </c>
      <c r="V1685" t="s">
        <v>42581</v>
      </c>
      <c r="W1685" t="s">
        <v>30279</v>
      </c>
      <c r="X1685" t="s">
        <v>32527</v>
      </c>
    </row>
    <row r="1686" spans="1:24">
      <c r="A1686">
        <f>HYPERLINK("https://www.philgeps.gov.ph/GEPSNONPILOT/Tender/SplashBidNoticeAbstractUI.aspx?menuIndex=3&amp;refID=7046216&amp;Result=3","7046216")</f>
        <v>0</v>
      </c>
      <c r="B1686" t="s">
        <v>524</v>
      </c>
      <c r="C1686" t="s">
        <v>4298</v>
      </c>
      <c r="D1686" t="s">
        <v>13007</v>
      </c>
      <c r="E1686" t="s">
        <v>14621</v>
      </c>
      <c r="F1686" t="s">
        <v>22436</v>
      </c>
      <c r="G1686" t="s">
        <v>22443</v>
      </c>
      <c r="H1686" t="s">
        <v>22452</v>
      </c>
      <c r="I1686" t="s">
        <v>6421</v>
      </c>
      <c r="J1686" t="s">
        <v>22721</v>
      </c>
      <c r="K1686" t="s">
        <v>29340</v>
      </c>
      <c r="M1686" t="s">
        <v>30108</v>
      </c>
      <c r="N1686" t="s">
        <v>32524</v>
      </c>
      <c r="O1686" t="s">
        <v>32525</v>
      </c>
      <c r="P1686">
        <v>0</v>
      </c>
      <c r="Q1686">
        <v>0</v>
      </c>
      <c r="R1686" t="s">
        <v>32526</v>
      </c>
      <c r="S1686" t="s">
        <v>32547</v>
      </c>
      <c r="T1686" t="s">
        <v>33161</v>
      </c>
      <c r="U1686" t="s">
        <v>35074</v>
      </c>
      <c r="V1686" t="s">
        <v>42539</v>
      </c>
      <c r="W1686" t="s">
        <v>30108</v>
      </c>
      <c r="X1686" t="s">
        <v>32527</v>
      </c>
    </row>
    <row r="1687" spans="1:24">
      <c r="A1687">
        <f>HYPERLINK("https://www.philgeps.gov.ph/GEPSNONPILOT/Tender/SplashBidNoticeAbstractUI.aspx?menuIndex=3&amp;refID=7046228&amp;Result=3","7046228")</f>
        <v>0</v>
      </c>
      <c r="B1687" t="s">
        <v>398</v>
      </c>
      <c r="C1687" t="s">
        <v>4299</v>
      </c>
      <c r="D1687" t="s">
        <v>13018</v>
      </c>
      <c r="E1687" t="s">
        <v>14622</v>
      </c>
      <c r="F1687" t="s">
        <v>22436</v>
      </c>
      <c r="G1687" t="s">
        <v>22443</v>
      </c>
      <c r="H1687" t="s">
        <v>22452</v>
      </c>
      <c r="I1687" t="s">
        <v>22469</v>
      </c>
      <c r="J1687" t="s">
        <v>23799</v>
      </c>
      <c r="K1687" t="s">
        <v>29341</v>
      </c>
      <c r="M1687" t="s">
        <v>29977</v>
      </c>
      <c r="N1687" t="s">
        <v>32524</v>
      </c>
      <c r="O1687" t="s">
        <v>32525</v>
      </c>
      <c r="P1687">
        <v>0</v>
      </c>
      <c r="Q1687">
        <v>0</v>
      </c>
      <c r="R1687" t="s">
        <v>32526</v>
      </c>
      <c r="S1687" t="s">
        <v>32547</v>
      </c>
      <c r="T1687" t="s">
        <v>33181</v>
      </c>
      <c r="U1687" t="s">
        <v>34653</v>
      </c>
      <c r="W1687" t="s">
        <v>29977</v>
      </c>
      <c r="X1687" t="s">
        <v>32527</v>
      </c>
    </row>
    <row r="1688" spans="1:24">
      <c r="A1688">
        <f>HYPERLINK("https://www.philgeps.gov.ph/GEPSNONPILOT/Tender/SplashBidNoticeAbstractUI.aspx?menuIndex=3&amp;refID=7046224&amp;Result=3","7046224")</f>
        <v>0</v>
      </c>
      <c r="B1688" t="s">
        <v>686</v>
      </c>
      <c r="C1688" t="s">
        <v>4300</v>
      </c>
      <c r="E1688" t="s">
        <v>14623</v>
      </c>
      <c r="F1688" t="s">
        <v>22436</v>
      </c>
      <c r="G1688" t="s">
        <v>22444</v>
      </c>
      <c r="H1688" t="s">
        <v>22454</v>
      </c>
      <c r="I1688" t="s">
        <v>7738</v>
      </c>
      <c r="J1688" t="s">
        <v>23800</v>
      </c>
      <c r="K1688" t="s">
        <v>29338</v>
      </c>
      <c r="M1688" t="s">
        <v>30280</v>
      </c>
      <c r="N1688" t="s">
        <v>32524</v>
      </c>
      <c r="O1688" t="s">
        <v>32525</v>
      </c>
      <c r="P1688">
        <v>0</v>
      </c>
      <c r="Q1688">
        <v>0</v>
      </c>
      <c r="R1688" t="s">
        <v>32526</v>
      </c>
      <c r="S1688" t="s">
        <v>32547</v>
      </c>
      <c r="T1688" t="s">
        <v>33165</v>
      </c>
      <c r="U1688" t="s">
        <v>35075</v>
      </c>
      <c r="W1688" t="s">
        <v>30280</v>
      </c>
      <c r="X1688" t="s">
        <v>32527</v>
      </c>
    </row>
    <row r="1689" spans="1:24">
      <c r="A1689">
        <f>HYPERLINK("https://www.philgeps.gov.ph/GEPSNONPILOT/Tender/SplashBidNoticeAbstractUI.aspx?menuIndex=3&amp;refID=7046239&amp;Result=3","7046239")</f>
        <v>0</v>
      </c>
      <c r="B1689" t="s">
        <v>687</v>
      </c>
      <c r="C1689" t="s">
        <v>4301</v>
      </c>
      <c r="E1689" t="s">
        <v>14624</v>
      </c>
      <c r="F1689" t="s">
        <v>22436</v>
      </c>
      <c r="G1689" t="s">
        <v>22444</v>
      </c>
      <c r="H1689" t="s">
        <v>22454</v>
      </c>
      <c r="I1689" t="s">
        <v>7738</v>
      </c>
      <c r="J1689" t="s">
        <v>23801</v>
      </c>
      <c r="K1689" t="s">
        <v>29406</v>
      </c>
      <c r="M1689" t="s">
        <v>30281</v>
      </c>
      <c r="N1689" t="s">
        <v>32524</v>
      </c>
      <c r="O1689" t="s">
        <v>32525</v>
      </c>
      <c r="P1689">
        <v>0</v>
      </c>
      <c r="Q1689">
        <v>0</v>
      </c>
      <c r="R1689" t="s">
        <v>32526</v>
      </c>
      <c r="S1689" t="s">
        <v>32547</v>
      </c>
      <c r="T1689" t="s">
        <v>33157</v>
      </c>
      <c r="U1689" t="s">
        <v>35076</v>
      </c>
      <c r="W1689" t="s">
        <v>30281</v>
      </c>
      <c r="X1689" t="s">
        <v>32527</v>
      </c>
    </row>
    <row r="1690" spans="1:24">
      <c r="A1690">
        <f>HYPERLINK("https://www.philgeps.gov.ph/GEPSNONPILOT/Tender/SplashBidNoticeAbstractUI.aspx?menuIndex=3&amp;refID=7046226&amp;Result=3","7046226")</f>
        <v>0</v>
      </c>
      <c r="B1690" t="s">
        <v>649</v>
      </c>
      <c r="C1690" t="s">
        <v>4302</v>
      </c>
      <c r="D1690" t="s">
        <v>13064</v>
      </c>
      <c r="E1690" t="s">
        <v>14625</v>
      </c>
      <c r="F1690" t="s">
        <v>22436</v>
      </c>
      <c r="G1690" t="s">
        <v>22444</v>
      </c>
      <c r="H1690" t="s">
        <v>22452</v>
      </c>
      <c r="I1690" t="s">
        <v>22468</v>
      </c>
      <c r="J1690" t="s">
        <v>23802</v>
      </c>
      <c r="K1690" t="s">
        <v>29335</v>
      </c>
      <c r="M1690" t="s">
        <v>30240</v>
      </c>
      <c r="N1690" t="s">
        <v>32524</v>
      </c>
      <c r="O1690" t="s">
        <v>32525</v>
      </c>
      <c r="P1690">
        <v>0</v>
      </c>
      <c r="Q1690">
        <v>0</v>
      </c>
      <c r="R1690" t="s">
        <v>32526</v>
      </c>
      <c r="S1690" t="s">
        <v>32547</v>
      </c>
      <c r="T1690" t="s">
        <v>33181</v>
      </c>
      <c r="U1690" t="s">
        <v>35077</v>
      </c>
      <c r="W1690" t="s">
        <v>30240</v>
      </c>
      <c r="X1690" t="s">
        <v>32527</v>
      </c>
    </row>
    <row r="1691" spans="1:24">
      <c r="A1691">
        <f>HYPERLINK("https://www.philgeps.gov.ph/GEPSNONPILOT/Tender/SplashBidNoticeAbstractUI.aspx?menuIndex=3&amp;refID=7046237&amp;Result=3","7046237")</f>
        <v>0</v>
      </c>
      <c r="B1691" t="s">
        <v>515</v>
      </c>
      <c r="C1691" t="s">
        <v>4303</v>
      </c>
      <c r="D1691" t="s">
        <v>13020</v>
      </c>
      <c r="E1691" t="s">
        <v>14626</v>
      </c>
      <c r="F1691" t="s">
        <v>22436</v>
      </c>
      <c r="G1691" t="s">
        <v>22444</v>
      </c>
      <c r="H1691" t="s">
        <v>22454</v>
      </c>
      <c r="I1691" t="s">
        <v>7738</v>
      </c>
      <c r="J1691" t="s">
        <v>22657</v>
      </c>
      <c r="K1691" t="s">
        <v>29336</v>
      </c>
      <c r="M1691" t="s">
        <v>30099</v>
      </c>
      <c r="N1691" t="s">
        <v>32524</v>
      </c>
      <c r="O1691" t="s">
        <v>32525</v>
      </c>
      <c r="P1691">
        <v>0</v>
      </c>
      <c r="Q1691">
        <v>0</v>
      </c>
      <c r="R1691" t="s">
        <v>32526</v>
      </c>
      <c r="S1691" t="s">
        <v>32547</v>
      </c>
      <c r="T1691" t="s">
        <v>33171</v>
      </c>
      <c r="U1691" t="s">
        <v>35078</v>
      </c>
      <c r="V1691" t="s">
        <v>42582</v>
      </c>
      <c r="W1691" t="s">
        <v>30099</v>
      </c>
      <c r="X1691" t="s">
        <v>32527</v>
      </c>
    </row>
    <row r="1692" spans="1:24">
      <c r="A1692">
        <f>HYPERLINK("https://www.philgeps.gov.ph/GEPSNONPILOT/Tender/SplashBidNoticeAbstractUI.aspx?menuIndex=3&amp;refID=7046248&amp;Result=3","7046248")</f>
        <v>0</v>
      </c>
      <c r="B1692" t="s">
        <v>50</v>
      </c>
      <c r="C1692" t="s">
        <v>4304</v>
      </c>
      <c r="D1692" t="s">
        <v>13008</v>
      </c>
      <c r="E1692" t="s">
        <v>14598</v>
      </c>
      <c r="F1692" t="s">
        <v>22436</v>
      </c>
      <c r="G1692" t="s">
        <v>22444</v>
      </c>
      <c r="H1692" t="s">
        <v>22452</v>
      </c>
      <c r="I1692" t="s">
        <v>22460</v>
      </c>
      <c r="J1692" t="s">
        <v>23803</v>
      </c>
      <c r="K1692" t="s">
        <v>29335</v>
      </c>
      <c r="M1692" t="s">
        <v>29622</v>
      </c>
      <c r="N1692" t="s">
        <v>32524</v>
      </c>
      <c r="O1692" t="s">
        <v>32525</v>
      </c>
      <c r="P1692">
        <v>0</v>
      </c>
      <c r="Q1692">
        <v>0</v>
      </c>
      <c r="R1692" t="s">
        <v>32526</v>
      </c>
      <c r="S1692" t="s">
        <v>32547</v>
      </c>
      <c r="T1692" t="s">
        <v>33166</v>
      </c>
      <c r="U1692" t="s">
        <v>35049</v>
      </c>
      <c r="W1692" t="s">
        <v>29622</v>
      </c>
      <c r="X1692" t="s">
        <v>32527</v>
      </c>
    </row>
    <row r="1693" spans="1:24">
      <c r="A1693">
        <f>HYPERLINK("https://www.philgeps.gov.ph/GEPSNONPILOT/Tender/SplashBidNoticeAbstractUI.aspx?menuIndex=3&amp;refID=7046245&amp;Result=3","7046245")</f>
        <v>0</v>
      </c>
      <c r="B1693" t="s">
        <v>326</v>
      </c>
      <c r="C1693" t="s">
        <v>4305</v>
      </c>
      <c r="D1693" t="s">
        <v>13046</v>
      </c>
      <c r="E1693" t="s">
        <v>14627</v>
      </c>
      <c r="F1693" t="s">
        <v>22436</v>
      </c>
      <c r="G1693" t="s">
        <v>22443</v>
      </c>
      <c r="H1693" t="s">
        <v>22452</v>
      </c>
      <c r="I1693" t="s">
        <v>22502</v>
      </c>
      <c r="J1693" t="s">
        <v>23804</v>
      </c>
      <c r="K1693" t="s">
        <v>29341</v>
      </c>
      <c r="M1693" t="s">
        <v>29902</v>
      </c>
      <c r="N1693" t="s">
        <v>32524</v>
      </c>
      <c r="O1693" t="s">
        <v>32525</v>
      </c>
      <c r="P1693">
        <v>0</v>
      </c>
      <c r="Q1693">
        <v>2</v>
      </c>
      <c r="R1693" t="s">
        <v>32526</v>
      </c>
      <c r="S1693" t="s">
        <v>32547</v>
      </c>
      <c r="T1693" t="s">
        <v>33167</v>
      </c>
      <c r="U1693" t="s">
        <v>35079</v>
      </c>
      <c r="W1693" t="s">
        <v>29902</v>
      </c>
      <c r="X1693" t="s">
        <v>32527</v>
      </c>
    </row>
    <row r="1694" spans="1:24">
      <c r="A1694">
        <f>HYPERLINK("https://www.philgeps.gov.ph/GEPSNONPILOT/Tender/SplashBidNoticeAbstractUI.aspx?menuIndex=3&amp;refID=7046225&amp;Result=3","7046225")</f>
        <v>0</v>
      </c>
      <c r="B1694" t="s">
        <v>280</v>
      </c>
      <c r="C1694" t="s">
        <v>4306</v>
      </c>
      <c r="D1694" t="s">
        <v>13055</v>
      </c>
      <c r="E1694" t="s">
        <v>14628</v>
      </c>
      <c r="F1694" t="s">
        <v>22436</v>
      </c>
      <c r="G1694" t="s">
        <v>22443</v>
      </c>
      <c r="H1694" t="s">
        <v>22452</v>
      </c>
      <c r="I1694" t="s">
        <v>6387</v>
      </c>
      <c r="J1694" t="s">
        <v>22616</v>
      </c>
      <c r="K1694" t="s">
        <v>29336</v>
      </c>
      <c r="M1694" t="s">
        <v>29854</v>
      </c>
      <c r="N1694" t="s">
        <v>32524</v>
      </c>
      <c r="O1694" t="s">
        <v>32525</v>
      </c>
      <c r="P1694">
        <v>0</v>
      </c>
      <c r="Q1694">
        <v>2</v>
      </c>
      <c r="R1694" t="s">
        <v>32526</v>
      </c>
      <c r="S1694" t="s">
        <v>32547</v>
      </c>
      <c r="T1694" t="s">
        <v>33181</v>
      </c>
      <c r="U1694" t="s">
        <v>34804</v>
      </c>
      <c r="V1694" t="s">
        <v>42486</v>
      </c>
      <c r="W1694" t="s">
        <v>29854</v>
      </c>
      <c r="X1694" t="s">
        <v>32527</v>
      </c>
    </row>
    <row r="1695" spans="1:24">
      <c r="A1695">
        <f>HYPERLINK("https://www.philgeps.gov.ph/GEPSNONPILOT/Tender/SplashBidNoticeAbstractUI.aspx?menuIndex=3&amp;refID=7046230&amp;Result=3","7046230")</f>
        <v>0</v>
      </c>
      <c r="B1695" t="s">
        <v>688</v>
      </c>
      <c r="C1695" t="s">
        <v>4307</v>
      </c>
      <c r="D1695" t="s">
        <v>12994</v>
      </c>
      <c r="E1695" t="s">
        <v>14629</v>
      </c>
      <c r="F1695" t="s">
        <v>22436</v>
      </c>
      <c r="G1695" t="s">
        <v>22444</v>
      </c>
      <c r="H1695" t="s">
        <v>22454</v>
      </c>
      <c r="I1695" t="s">
        <v>7738</v>
      </c>
      <c r="J1695" t="s">
        <v>23805</v>
      </c>
      <c r="K1695" t="s">
        <v>29407</v>
      </c>
      <c r="M1695" t="s">
        <v>30282</v>
      </c>
      <c r="N1695" t="s">
        <v>32524</v>
      </c>
      <c r="O1695" t="s">
        <v>32525</v>
      </c>
      <c r="P1695">
        <v>0</v>
      </c>
      <c r="Q1695">
        <v>3</v>
      </c>
      <c r="R1695" t="s">
        <v>32526</v>
      </c>
      <c r="S1695" t="s">
        <v>32547</v>
      </c>
      <c r="T1695" t="s">
        <v>33334</v>
      </c>
      <c r="U1695" t="s">
        <v>35080</v>
      </c>
      <c r="W1695" t="s">
        <v>43692</v>
      </c>
      <c r="X1695" t="s">
        <v>32527</v>
      </c>
    </row>
    <row r="1696" spans="1:24">
      <c r="A1696">
        <f>HYPERLINK("https://www.philgeps.gov.ph/GEPSNONPILOT/Tender/SplashBidNoticeAbstractUI.aspx?menuIndex=3&amp;refID=7046247&amp;Result=3","7046247")</f>
        <v>0</v>
      </c>
      <c r="B1696" t="s">
        <v>689</v>
      </c>
      <c r="C1696" t="s">
        <v>4308</v>
      </c>
      <c r="D1696" t="s">
        <v>13006</v>
      </c>
      <c r="E1696" t="s">
        <v>14630</v>
      </c>
      <c r="F1696" t="s">
        <v>22436</v>
      </c>
      <c r="G1696" t="s">
        <v>22446</v>
      </c>
      <c r="H1696" t="s">
        <v>22452</v>
      </c>
      <c r="I1696" t="s">
        <v>5194</v>
      </c>
      <c r="J1696" t="s">
        <v>23806</v>
      </c>
      <c r="K1696" t="s">
        <v>29357</v>
      </c>
      <c r="M1696" t="s">
        <v>30283</v>
      </c>
      <c r="N1696" t="s">
        <v>32524</v>
      </c>
      <c r="O1696" t="s">
        <v>32525</v>
      </c>
      <c r="P1696">
        <v>0</v>
      </c>
      <c r="Q1696">
        <v>1</v>
      </c>
      <c r="R1696" t="s">
        <v>32526</v>
      </c>
      <c r="S1696" t="s">
        <v>32547</v>
      </c>
      <c r="T1696" t="s">
        <v>33228</v>
      </c>
      <c r="U1696" t="s">
        <v>35081</v>
      </c>
      <c r="W1696" t="s">
        <v>30283</v>
      </c>
      <c r="X1696" t="s">
        <v>32527</v>
      </c>
    </row>
    <row r="1697" spans="1:24">
      <c r="A1697">
        <f>HYPERLINK("https://www.philgeps.gov.ph/GEPSNONPILOT/Tender/SplashBidNoticeAbstractUI.aspx?menuIndex=3&amp;refID=7046214&amp;Result=3","7046214")</f>
        <v>0</v>
      </c>
      <c r="B1697" t="s">
        <v>690</v>
      </c>
      <c r="C1697" t="s">
        <v>4309</v>
      </c>
      <c r="D1697" t="s">
        <v>13016</v>
      </c>
      <c r="E1697" t="s">
        <v>14631</v>
      </c>
      <c r="F1697" t="s">
        <v>22436</v>
      </c>
      <c r="G1697" t="s">
        <v>22443</v>
      </c>
      <c r="H1697" t="s">
        <v>22452</v>
      </c>
      <c r="I1697" t="s">
        <v>3529</v>
      </c>
      <c r="J1697" t="s">
        <v>23807</v>
      </c>
      <c r="K1697" t="s">
        <v>29338</v>
      </c>
      <c r="M1697" t="s">
        <v>30284</v>
      </c>
      <c r="N1697" t="s">
        <v>32524</v>
      </c>
      <c r="O1697" t="s">
        <v>32525</v>
      </c>
      <c r="P1697">
        <v>0</v>
      </c>
      <c r="Q1697">
        <v>0</v>
      </c>
      <c r="R1697" t="s">
        <v>32526</v>
      </c>
      <c r="S1697" t="s">
        <v>32547</v>
      </c>
      <c r="T1697" t="s">
        <v>33203</v>
      </c>
      <c r="U1697" t="s">
        <v>35082</v>
      </c>
      <c r="W1697" t="s">
        <v>30284</v>
      </c>
      <c r="X1697" t="s">
        <v>32527</v>
      </c>
    </row>
    <row r="1698" spans="1:24">
      <c r="A1698">
        <f>HYPERLINK("https://www.philgeps.gov.ph/GEPSNONPILOT/Tender/SplashBidNoticeAbstractUI.aspx?menuIndex=3&amp;refID=7046244&amp;Result=3","7046244")</f>
        <v>0</v>
      </c>
      <c r="B1698" t="s">
        <v>659</v>
      </c>
      <c r="C1698" t="s">
        <v>4310</v>
      </c>
      <c r="D1698" t="s">
        <v>13059</v>
      </c>
      <c r="E1698" t="s">
        <v>13808</v>
      </c>
      <c r="F1698" t="s">
        <v>22436</v>
      </c>
      <c r="G1698" t="s">
        <v>22446</v>
      </c>
      <c r="H1698" t="s">
        <v>22452</v>
      </c>
      <c r="I1698" t="s">
        <v>6421</v>
      </c>
      <c r="J1698" t="s">
        <v>22775</v>
      </c>
      <c r="K1698" t="s">
        <v>29368</v>
      </c>
      <c r="M1698" t="s">
        <v>30251</v>
      </c>
      <c r="N1698" t="s">
        <v>32524</v>
      </c>
      <c r="O1698" t="s">
        <v>32525</v>
      </c>
      <c r="P1698">
        <v>0</v>
      </c>
      <c r="Q1698">
        <v>3</v>
      </c>
      <c r="R1698" t="s">
        <v>32526</v>
      </c>
      <c r="S1698" t="s">
        <v>32547</v>
      </c>
      <c r="T1698" t="s">
        <v>33296</v>
      </c>
      <c r="U1698" t="s">
        <v>35083</v>
      </c>
      <c r="W1698" t="s">
        <v>43691</v>
      </c>
      <c r="X1698" t="s">
        <v>32527</v>
      </c>
    </row>
    <row r="1699" spans="1:24">
      <c r="A1699">
        <f>HYPERLINK("https://www.philgeps.gov.ph/GEPSNONPILOT/Tender/SplashBidNoticeAbstractUI.aspx?menuIndex=3&amp;refID=7046246&amp;Result=3","7046246")</f>
        <v>0</v>
      </c>
      <c r="B1699" t="s">
        <v>691</v>
      </c>
      <c r="C1699" t="s">
        <v>4311</v>
      </c>
      <c r="D1699" t="s">
        <v>13037</v>
      </c>
      <c r="E1699" t="s">
        <v>14577</v>
      </c>
      <c r="F1699" t="s">
        <v>22436</v>
      </c>
      <c r="G1699" t="s">
        <v>22443</v>
      </c>
      <c r="H1699" t="s">
        <v>22452</v>
      </c>
      <c r="I1699" t="s">
        <v>3827</v>
      </c>
      <c r="J1699" t="s">
        <v>23808</v>
      </c>
      <c r="K1699" t="s">
        <v>29335</v>
      </c>
      <c r="M1699" t="s">
        <v>30285</v>
      </c>
      <c r="N1699" t="s">
        <v>32524</v>
      </c>
      <c r="O1699" t="s">
        <v>32525</v>
      </c>
      <c r="P1699">
        <v>0</v>
      </c>
      <c r="Q1699">
        <v>0</v>
      </c>
      <c r="R1699" t="s">
        <v>32526</v>
      </c>
      <c r="S1699" t="s">
        <v>32547</v>
      </c>
      <c r="T1699" t="s">
        <v>33161</v>
      </c>
      <c r="U1699" t="s">
        <v>35084</v>
      </c>
      <c r="W1699" t="s">
        <v>30285</v>
      </c>
      <c r="X1699" t="s">
        <v>32527</v>
      </c>
    </row>
    <row r="1700" spans="1:24">
      <c r="A1700">
        <f>HYPERLINK("https://www.philgeps.gov.ph/GEPSNONPILOT/Tender/SplashBidNoticeAbstractUI.aspx?menuIndex=3&amp;refID=7046240&amp;Result=3","7046240")</f>
        <v>0</v>
      </c>
      <c r="B1700" t="s">
        <v>692</v>
      </c>
      <c r="C1700" t="s">
        <v>4312</v>
      </c>
      <c r="D1700" t="s">
        <v>13032</v>
      </c>
      <c r="E1700" t="s">
        <v>14632</v>
      </c>
      <c r="F1700" t="s">
        <v>22436</v>
      </c>
      <c r="G1700" t="s">
        <v>22444</v>
      </c>
      <c r="H1700" t="s">
        <v>22452</v>
      </c>
      <c r="I1700" t="s">
        <v>22465</v>
      </c>
      <c r="J1700" t="s">
        <v>23809</v>
      </c>
      <c r="K1700" t="s">
        <v>29338</v>
      </c>
      <c r="M1700" t="s">
        <v>30286</v>
      </c>
      <c r="N1700" t="s">
        <v>32524</v>
      </c>
      <c r="O1700" t="s">
        <v>32525</v>
      </c>
      <c r="P1700">
        <v>0</v>
      </c>
      <c r="Q1700">
        <v>0</v>
      </c>
      <c r="R1700" t="s">
        <v>32526</v>
      </c>
      <c r="S1700" t="s">
        <v>32547</v>
      </c>
      <c r="T1700" t="s">
        <v>33187</v>
      </c>
      <c r="U1700" t="s">
        <v>35085</v>
      </c>
      <c r="V1700" t="s">
        <v>42583</v>
      </c>
      <c r="W1700" t="s">
        <v>30286</v>
      </c>
      <c r="X1700" t="s">
        <v>32527</v>
      </c>
    </row>
    <row r="1701" spans="1:24">
      <c r="A1701">
        <f>HYPERLINK("https://www.philgeps.gov.ph/GEPSNONPILOT/Tender/SplashBidNoticeAbstractUI.aspx?menuIndex=3&amp;refID=7046249&amp;Result=3","7046249")</f>
        <v>0</v>
      </c>
      <c r="B1701" t="s">
        <v>693</v>
      </c>
      <c r="C1701" t="s">
        <v>4313</v>
      </c>
      <c r="D1701" t="s">
        <v>13039</v>
      </c>
      <c r="E1701" t="s">
        <v>14633</v>
      </c>
      <c r="F1701" t="s">
        <v>22436</v>
      </c>
      <c r="G1701" t="s">
        <v>22444</v>
      </c>
      <c r="H1701" t="s">
        <v>22452</v>
      </c>
      <c r="I1701" t="s">
        <v>5194</v>
      </c>
      <c r="J1701" t="s">
        <v>23810</v>
      </c>
      <c r="K1701" t="s">
        <v>29335</v>
      </c>
      <c r="M1701" t="s">
        <v>30287</v>
      </c>
      <c r="N1701" t="s">
        <v>32524</v>
      </c>
      <c r="O1701" t="s">
        <v>32525</v>
      </c>
      <c r="P1701">
        <v>0</v>
      </c>
      <c r="Q1701">
        <v>0</v>
      </c>
      <c r="R1701" t="s">
        <v>32526</v>
      </c>
      <c r="S1701" t="s">
        <v>32547</v>
      </c>
      <c r="T1701" t="s">
        <v>33171</v>
      </c>
      <c r="U1701" t="s">
        <v>35086</v>
      </c>
      <c r="W1701" t="s">
        <v>30287</v>
      </c>
      <c r="X1701" t="s">
        <v>32527</v>
      </c>
    </row>
    <row r="1702" spans="1:24">
      <c r="A1702">
        <f>HYPERLINK("https://www.philgeps.gov.ph/GEPSNONPILOT/Tender/SplashBidNoticeAbstractUI.aspx?menuIndex=3&amp;refID=7046243&amp;Result=3","7046243")</f>
        <v>0</v>
      </c>
      <c r="B1702" t="s">
        <v>320</v>
      </c>
      <c r="C1702" t="s">
        <v>4314</v>
      </c>
      <c r="D1702" t="s">
        <v>13031</v>
      </c>
      <c r="E1702" t="s">
        <v>14634</v>
      </c>
      <c r="F1702" t="s">
        <v>22436</v>
      </c>
      <c r="G1702" t="s">
        <v>22443</v>
      </c>
      <c r="H1702" t="s">
        <v>22452</v>
      </c>
      <c r="I1702" t="s">
        <v>22467</v>
      </c>
      <c r="J1702" t="s">
        <v>23195</v>
      </c>
      <c r="K1702" t="s">
        <v>29337</v>
      </c>
      <c r="M1702" t="s">
        <v>29896</v>
      </c>
      <c r="N1702" t="s">
        <v>32524</v>
      </c>
      <c r="O1702" t="s">
        <v>32525</v>
      </c>
      <c r="P1702">
        <v>0</v>
      </c>
      <c r="Q1702">
        <v>0</v>
      </c>
      <c r="R1702" t="s">
        <v>32526</v>
      </c>
      <c r="S1702" t="s">
        <v>32547</v>
      </c>
      <c r="T1702" t="s">
        <v>33163</v>
      </c>
      <c r="U1702" t="s">
        <v>35087</v>
      </c>
      <c r="W1702" t="s">
        <v>29896</v>
      </c>
      <c r="X1702" t="s">
        <v>32527</v>
      </c>
    </row>
    <row r="1703" spans="1:24">
      <c r="A1703">
        <f>HYPERLINK("https://www.philgeps.gov.ph/GEPSNONPILOT/Tender/SplashBidNoticeAbstractUI.aspx?menuIndex=3&amp;refID=7046262&amp;Result=3","7046262")</f>
        <v>0</v>
      </c>
      <c r="B1703" t="s">
        <v>694</v>
      </c>
      <c r="C1703" t="s">
        <v>4315</v>
      </c>
      <c r="D1703" t="s">
        <v>13022</v>
      </c>
      <c r="E1703" t="s">
        <v>14635</v>
      </c>
      <c r="F1703" t="s">
        <v>22436</v>
      </c>
      <c r="G1703" t="s">
        <v>22443</v>
      </c>
      <c r="H1703" t="s">
        <v>22452</v>
      </c>
      <c r="I1703" t="s">
        <v>22467</v>
      </c>
      <c r="J1703" t="s">
        <v>23811</v>
      </c>
      <c r="K1703" t="s">
        <v>29353</v>
      </c>
      <c r="M1703" t="s">
        <v>30288</v>
      </c>
      <c r="N1703" t="s">
        <v>32524</v>
      </c>
      <c r="O1703" t="s">
        <v>32525</v>
      </c>
      <c r="P1703">
        <v>0</v>
      </c>
      <c r="Q1703">
        <v>0</v>
      </c>
      <c r="R1703" t="s">
        <v>32526</v>
      </c>
      <c r="S1703" t="s">
        <v>32547</v>
      </c>
      <c r="T1703" t="s">
        <v>33154</v>
      </c>
      <c r="U1703" t="s">
        <v>35088</v>
      </c>
      <c r="W1703" t="s">
        <v>30288</v>
      </c>
      <c r="X1703" t="s">
        <v>32527</v>
      </c>
    </row>
    <row r="1704" spans="1:24">
      <c r="A1704">
        <f>HYPERLINK("https://www.philgeps.gov.ph/GEPSNONPILOT/Tender/SplashBidNoticeAbstractUI.aspx?menuIndex=3&amp;refID=7046255&amp;Result=3","7046255")</f>
        <v>0</v>
      </c>
      <c r="B1704" t="s">
        <v>323</v>
      </c>
      <c r="C1704" t="s">
        <v>4316</v>
      </c>
      <c r="D1704" t="s">
        <v>13013</v>
      </c>
      <c r="E1704" t="s">
        <v>14636</v>
      </c>
      <c r="F1704" t="s">
        <v>22436</v>
      </c>
      <c r="G1704" t="s">
        <v>22444</v>
      </c>
      <c r="H1704" t="s">
        <v>22452</v>
      </c>
      <c r="I1704" t="s">
        <v>22456</v>
      </c>
      <c r="J1704" t="s">
        <v>23812</v>
      </c>
      <c r="K1704" t="s">
        <v>29341</v>
      </c>
      <c r="M1704" t="s">
        <v>29899</v>
      </c>
      <c r="N1704" t="s">
        <v>32524</v>
      </c>
      <c r="O1704" t="s">
        <v>32525</v>
      </c>
      <c r="P1704">
        <v>0</v>
      </c>
      <c r="Q1704">
        <v>2</v>
      </c>
      <c r="R1704" t="s">
        <v>32526</v>
      </c>
      <c r="S1704" t="s">
        <v>32547</v>
      </c>
      <c r="T1704" t="s">
        <v>33278</v>
      </c>
      <c r="U1704" t="s">
        <v>35089</v>
      </c>
      <c r="W1704" t="s">
        <v>29899</v>
      </c>
      <c r="X1704" t="s">
        <v>32527</v>
      </c>
    </row>
    <row r="1705" spans="1:24">
      <c r="A1705">
        <f>HYPERLINK("https://www.philgeps.gov.ph/GEPSNONPILOT/Tender/SplashBidNoticeAbstractUI.aspx?menuIndex=3&amp;refID=7046261&amp;Result=3","7046261")</f>
        <v>0</v>
      </c>
      <c r="B1705" t="s">
        <v>584</v>
      </c>
      <c r="C1705" t="s">
        <v>4317</v>
      </c>
      <c r="D1705" t="s">
        <v>12988</v>
      </c>
      <c r="E1705" t="s">
        <v>14637</v>
      </c>
      <c r="F1705" t="s">
        <v>22436</v>
      </c>
      <c r="G1705" t="s">
        <v>22443</v>
      </c>
      <c r="H1705" t="s">
        <v>22452</v>
      </c>
      <c r="I1705" t="s">
        <v>22518</v>
      </c>
      <c r="J1705" t="s">
        <v>23813</v>
      </c>
      <c r="K1705" t="s">
        <v>29329</v>
      </c>
      <c r="M1705" t="s">
        <v>30174</v>
      </c>
      <c r="N1705" t="s">
        <v>32524</v>
      </c>
      <c r="O1705" t="s">
        <v>32525</v>
      </c>
      <c r="P1705">
        <v>0</v>
      </c>
      <c r="Q1705">
        <v>10</v>
      </c>
      <c r="R1705" t="s">
        <v>32526</v>
      </c>
      <c r="S1705" t="s">
        <v>32547</v>
      </c>
      <c r="T1705" t="s">
        <v>33314</v>
      </c>
      <c r="U1705" t="s">
        <v>34828</v>
      </c>
      <c r="W1705" t="s">
        <v>30174</v>
      </c>
      <c r="X1705" t="s">
        <v>32527</v>
      </c>
    </row>
    <row r="1706" spans="1:24">
      <c r="A1706">
        <f>HYPERLINK("https://www.philgeps.gov.ph/GEPSNONPILOT/Tender/SplashBidNoticeAbstractUI.aspx?menuIndex=3&amp;refID=7046256&amp;Result=3","7046256")</f>
        <v>0</v>
      </c>
      <c r="B1706" t="s">
        <v>554</v>
      </c>
      <c r="C1706" t="s">
        <v>4318</v>
      </c>
      <c r="D1706" t="s">
        <v>12994</v>
      </c>
      <c r="E1706" t="s">
        <v>14638</v>
      </c>
      <c r="F1706" t="s">
        <v>22436</v>
      </c>
      <c r="G1706" t="s">
        <v>22444</v>
      </c>
      <c r="H1706" t="s">
        <v>22454</v>
      </c>
      <c r="I1706" t="s">
        <v>7738</v>
      </c>
      <c r="J1706" t="s">
        <v>22587</v>
      </c>
      <c r="K1706" t="s">
        <v>29345</v>
      </c>
      <c r="L1706" t="s">
        <v>554</v>
      </c>
      <c r="M1706" t="s">
        <v>30140</v>
      </c>
      <c r="N1706" t="s">
        <v>32524</v>
      </c>
      <c r="O1706" t="s">
        <v>32525</v>
      </c>
      <c r="P1706">
        <v>0</v>
      </c>
      <c r="Q1706">
        <v>21</v>
      </c>
      <c r="R1706" t="s">
        <v>32526</v>
      </c>
      <c r="S1706" t="s">
        <v>32547</v>
      </c>
      <c r="T1706" t="s">
        <v>33170</v>
      </c>
      <c r="U1706" t="s">
        <v>35090</v>
      </c>
      <c r="W1706" t="s">
        <v>30140</v>
      </c>
      <c r="X1706" t="s">
        <v>32527</v>
      </c>
    </row>
    <row r="1707" spans="1:24">
      <c r="A1707">
        <f>HYPERLINK("https://www.philgeps.gov.ph/GEPSNONPILOT/Tender/SplashBidNoticeAbstractUI.aspx?menuIndex=3&amp;refID=7046251&amp;Result=3","7046251")</f>
        <v>0</v>
      </c>
      <c r="B1707" t="s">
        <v>695</v>
      </c>
      <c r="C1707" t="s">
        <v>4319</v>
      </c>
      <c r="D1707" t="s">
        <v>12988</v>
      </c>
      <c r="E1707" t="s">
        <v>14639</v>
      </c>
      <c r="F1707" t="s">
        <v>22436</v>
      </c>
      <c r="G1707" t="s">
        <v>22443</v>
      </c>
      <c r="H1707" t="s">
        <v>22452</v>
      </c>
      <c r="I1707" t="s">
        <v>3529</v>
      </c>
      <c r="J1707" t="s">
        <v>23814</v>
      </c>
      <c r="K1707" t="s">
        <v>29357</v>
      </c>
      <c r="M1707" t="s">
        <v>30289</v>
      </c>
      <c r="N1707" t="s">
        <v>32524</v>
      </c>
      <c r="O1707" t="s">
        <v>32525</v>
      </c>
      <c r="P1707">
        <v>0</v>
      </c>
      <c r="Q1707">
        <v>0</v>
      </c>
      <c r="R1707" t="s">
        <v>32526</v>
      </c>
      <c r="S1707" t="s">
        <v>32547</v>
      </c>
      <c r="T1707" t="s">
        <v>33167</v>
      </c>
      <c r="U1707" t="s">
        <v>35091</v>
      </c>
      <c r="W1707" t="s">
        <v>30289</v>
      </c>
      <c r="X1707" t="s">
        <v>32527</v>
      </c>
    </row>
    <row r="1708" spans="1:24">
      <c r="A1708">
        <f>HYPERLINK("https://www.philgeps.gov.ph/GEPSNONPILOT/Tender/SplashBidNoticeAbstractUI.aspx?menuIndex=3&amp;refID=7046276&amp;Result=3","7046276")</f>
        <v>0</v>
      </c>
      <c r="B1708" t="s">
        <v>434</v>
      </c>
      <c r="C1708" t="s">
        <v>4320</v>
      </c>
      <c r="D1708" t="s">
        <v>13007</v>
      </c>
      <c r="E1708" t="s">
        <v>14640</v>
      </c>
      <c r="F1708" t="s">
        <v>22436</v>
      </c>
      <c r="G1708" t="s">
        <v>22443</v>
      </c>
      <c r="H1708" t="s">
        <v>22452</v>
      </c>
      <c r="I1708" t="s">
        <v>22465</v>
      </c>
      <c r="J1708" t="s">
        <v>23815</v>
      </c>
      <c r="K1708" t="s">
        <v>29335</v>
      </c>
      <c r="M1708" t="s">
        <v>30015</v>
      </c>
      <c r="N1708" t="s">
        <v>32524</v>
      </c>
      <c r="O1708" t="s">
        <v>32525</v>
      </c>
      <c r="P1708">
        <v>0</v>
      </c>
      <c r="Q1708">
        <v>0</v>
      </c>
      <c r="R1708" t="s">
        <v>32526</v>
      </c>
      <c r="S1708" t="s">
        <v>32547</v>
      </c>
      <c r="T1708" t="s">
        <v>33167</v>
      </c>
      <c r="U1708" t="s">
        <v>34488</v>
      </c>
      <c r="V1708" t="s">
        <v>42512</v>
      </c>
      <c r="W1708" t="s">
        <v>30015</v>
      </c>
      <c r="X1708" t="s">
        <v>32527</v>
      </c>
    </row>
    <row r="1709" spans="1:24">
      <c r="A1709">
        <f>HYPERLINK("https://www.philgeps.gov.ph/GEPSNONPILOT/Tender/SplashBidNoticeAbstractUI.aspx?menuIndex=3&amp;refID=7046258&amp;Result=3","7046258")</f>
        <v>0</v>
      </c>
      <c r="B1709" t="s">
        <v>567</v>
      </c>
      <c r="C1709" t="s">
        <v>4321</v>
      </c>
      <c r="D1709" t="s">
        <v>13012</v>
      </c>
      <c r="E1709" t="s">
        <v>14641</v>
      </c>
      <c r="F1709" t="s">
        <v>22436</v>
      </c>
      <c r="G1709" t="s">
        <v>22444</v>
      </c>
      <c r="H1709" t="s">
        <v>22452</v>
      </c>
      <c r="I1709" t="s">
        <v>22502</v>
      </c>
      <c r="J1709" t="s">
        <v>23816</v>
      </c>
      <c r="K1709" t="s">
        <v>29333</v>
      </c>
      <c r="M1709" t="s">
        <v>30155</v>
      </c>
      <c r="N1709" t="s">
        <v>32524</v>
      </c>
      <c r="O1709" t="s">
        <v>32525</v>
      </c>
      <c r="P1709">
        <v>0</v>
      </c>
      <c r="Q1709">
        <v>8</v>
      </c>
      <c r="R1709" t="s">
        <v>32526</v>
      </c>
      <c r="S1709" t="s">
        <v>32547</v>
      </c>
      <c r="T1709" t="s">
        <v>33333</v>
      </c>
      <c r="U1709" t="s">
        <v>35092</v>
      </c>
      <c r="V1709" t="s">
        <v>42552</v>
      </c>
      <c r="W1709" t="s">
        <v>30155</v>
      </c>
      <c r="X1709" t="s">
        <v>32527</v>
      </c>
    </row>
    <row r="1710" spans="1:24">
      <c r="A1710">
        <f>HYPERLINK("https://www.philgeps.gov.ph/GEPSNONPILOT/Tender/SplashBidNoticeAbstractUI.aspx?menuIndex=3&amp;refID=7046257&amp;Result=3","7046257")</f>
        <v>0</v>
      </c>
      <c r="B1710" t="s">
        <v>683</v>
      </c>
      <c r="C1710" t="s">
        <v>4322</v>
      </c>
      <c r="D1710" t="s">
        <v>13022</v>
      </c>
      <c r="E1710" t="s">
        <v>14617</v>
      </c>
      <c r="F1710" t="s">
        <v>22436</v>
      </c>
      <c r="G1710" t="s">
        <v>22443</v>
      </c>
      <c r="H1710" t="s">
        <v>22452</v>
      </c>
      <c r="I1710" t="s">
        <v>22486</v>
      </c>
      <c r="J1710" t="s">
        <v>23817</v>
      </c>
      <c r="K1710" t="s">
        <v>29356</v>
      </c>
      <c r="M1710" t="s">
        <v>30277</v>
      </c>
      <c r="N1710" t="s">
        <v>32524</v>
      </c>
      <c r="O1710" t="s">
        <v>32525</v>
      </c>
      <c r="P1710">
        <v>0</v>
      </c>
      <c r="Q1710">
        <v>0</v>
      </c>
      <c r="R1710" t="s">
        <v>32526</v>
      </c>
      <c r="S1710" t="s">
        <v>32547</v>
      </c>
      <c r="T1710" t="s">
        <v>33169</v>
      </c>
      <c r="U1710" t="s">
        <v>33876</v>
      </c>
      <c r="W1710" t="s">
        <v>30277</v>
      </c>
      <c r="X1710" t="s">
        <v>32527</v>
      </c>
    </row>
    <row r="1711" spans="1:24">
      <c r="A1711">
        <f>HYPERLINK("https://www.philgeps.gov.ph/GEPSNONPILOT/Tender/SplashBidNoticeAbstractUI.aspx?menuIndex=3&amp;refID=7046274&amp;Result=3","7046274")</f>
        <v>0</v>
      </c>
      <c r="B1711" t="s">
        <v>399</v>
      </c>
      <c r="C1711" t="s">
        <v>4323</v>
      </c>
      <c r="D1711" t="s">
        <v>13025</v>
      </c>
      <c r="E1711" t="s">
        <v>14642</v>
      </c>
      <c r="F1711" t="s">
        <v>22436</v>
      </c>
      <c r="G1711" t="s">
        <v>22443</v>
      </c>
      <c r="H1711" t="s">
        <v>22452</v>
      </c>
      <c r="I1711" t="s">
        <v>22461</v>
      </c>
      <c r="J1711" t="s">
        <v>22874</v>
      </c>
      <c r="K1711" t="s">
        <v>29338</v>
      </c>
      <c r="M1711" t="s">
        <v>29978</v>
      </c>
      <c r="N1711" t="s">
        <v>32524</v>
      </c>
      <c r="O1711" t="s">
        <v>32525</v>
      </c>
      <c r="P1711">
        <v>0</v>
      </c>
      <c r="Q1711">
        <v>0</v>
      </c>
      <c r="R1711" t="s">
        <v>32526</v>
      </c>
      <c r="S1711" t="s">
        <v>32547</v>
      </c>
      <c r="T1711" t="s">
        <v>33186</v>
      </c>
      <c r="U1711" t="s">
        <v>35093</v>
      </c>
      <c r="W1711" t="s">
        <v>29978</v>
      </c>
      <c r="X1711" t="s">
        <v>32527</v>
      </c>
    </row>
    <row r="1712" spans="1:24">
      <c r="A1712">
        <f>HYPERLINK("https://www.philgeps.gov.ph/GEPSNONPILOT/Tender/SplashBidNoticeAbstractUI.aspx?menuIndex=3&amp;refID=7046272&amp;Result=3","7046272")</f>
        <v>0</v>
      </c>
      <c r="B1712" t="s">
        <v>168</v>
      </c>
      <c r="C1712" t="s">
        <v>4324</v>
      </c>
      <c r="D1712" t="s">
        <v>13015</v>
      </c>
      <c r="E1712" t="s">
        <v>14643</v>
      </c>
      <c r="F1712" t="s">
        <v>22436</v>
      </c>
      <c r="G1712" t="s">
        <v>22443</v>
      </c>
      <c r="H1712" t="s">
        <v>22452</v>
      </c>
      <c r="I1712" t="s">
        <v>3027</v>
      </c>
      <c r="J1712" t="s">
        <v>22605</v>
      </c>
      <c r="K1712" t="s">
        <v>29335</v>
      </c>
      <c r="M1712" t="s">
        <v>30290</v>
      </c>
      <c r="N1712" t="s">
        <v>32524</v>
      </c>
      <c r="O1712" t="s">
        <v>32525</v>
      </c>
      <c r="P1712">
        <v>0</v>
      </c>
      <c r="Q1712">
        <v>0</v>
      </c>
      <c r="R1712" t="s">
        <v>32526</v>
      </c>
      <c r="S1712" t="s">
        <v>32547</v>
      </c>
      <c r="T1712" t="s">
        <v>33161</v>
      </c>
      <c r="U1712" t="s">
        <v>35094</v>
      </c>
      <c r="W1712" t="s">
        <v>30290</v>
      </c>
      <c r="X1712" t="s">
        <v>32527</v>
      </c>
    </row>
    <row r="1713" spans="1:24">
      <c r="A1713">
        <f>HYPERLINK("https://www.philgeps.gov.ph/GEPSNONPILOT/Tender/SplashBidNoticeAbstractUI.aspx?menuIndex=3&amp;refID=7046275&amp;Result=3","7046275")</f>
        <v>0</v>
      </c>
      <c r="B1713" t="s">
        <v>696</v>
      </c>
      <c r="C1713" t="s">
        <v>4325</v>
      </c>
      <c r="D1713" t="s">
        <v>12996</v>
      </c>
      <c r="E1713" t="s">
        <v>14644</v>
      </c>
      <c r="F1713" t="s">
        <v>22436</v>
      </c>
      <c r="G1713" t="s">
        <v>22443</v>
      </c>
      <c r="H1713" t="s">
        <v>22452</v>
      </c>
      <c r="I1713" t="s">
        <v>3529</v>
      </c>
      <c r="J1713" t="s">
        <v>23818</v>
      </c>
      <c r="K1713" t="s">
        <v>29356</v>
      </c>
      <c r="M1713" t="s">
        <v>30291</v>
      </c>
      <c r="N1713" t="s">
        <v>32524</v>
      </c>
      <c r="O1713" t="s">
        <v>32525</v>
      </c>
      <c r="P1713">
        <v>0</v>
      </c>
      <c r="Q1713">
        <v>1</v>
      </c>
      <c r="R1713" t="s">
        <v>32526</v>
      </c>
      <c r="S1713" t="s">
        <v>32547</v>
      </c>
      <c r="T1713" t="s">
        <v>33169</v>
      </c>
      <c r="U1713" t="s">
        <v>35095</v>
      </c>
      <c r="W1713" t="s">
        <v>30291</v>
      </c>
      <c r="X1713" t="s">
        <v>32527</v>
      </c>
    </row>
    <row r="1714" spans="1:24">
      <c r="A1714">
        <f>HYPERLINK("https://www.philgeps.gov.ph/GEPSNONPILOT/Tender/SplashBidNoticeAbstractUI.aspx?menuIndex=3&amp;refID=7046270&amp;Result=3","7046270")</f>
        <v>0</v>
      </c>
      <c r="B1714" t="s">
        <v>697</v>
      </c>
      <c r="C1714" t="s">
        <v>4326</v>
      </c>
      <c r="D1714" t="s">
        <v>13007</v>
      </c>
      <c r="E1714" t="s">
        <v>14645</v>
      </c>
      <c r="F1714" t="s">
        <v>22436</v>
      </c>
      <c r="G1714" t="s">
        <v>22443</v>
      </c>
      <c r="H1714" t="s">
        <v>22452</v>
      </c>
      <c r="I1714" t="s">
        <v>22466</v>
      </c>
      <c r="J1714" t="s">
        <v>23819</v>
      </c>
      <c r="K1714" t="s">
        <v>29336</v>
      </c>
      <c r="M1714" t="s">
        <v>30292</v>
      </c>
      <c r="N1714" t="s">
        <v>32524</v>
      </c>
      <c r="O1714" t="s">
        <v>32525</v>
      </c>
      <c r="P1714">
        <v>0</v>
      </c>
      <c r="Q1714">
        <v>1</v>
      </c>
      <c r="R1714" t="s">
        <v>32526</v>
      </c>
      <c r="S1714" t="s">
        <v>32547</v>
      </c>
      <c r="T1714" t="s">
        <v>33215</v>
      </c>
      <c r="U1714" t="s">
        <v>35096</v>
      </c>
      <c r="W1714" t="s">
        <v>30292</v>
      </c>
      <c r="X1714" t="s">
        <v>32527</v>
      </c>
    </row>
    <row r="1715" spans="1:24">
      <c r="A1715">
        <f>HYPERLINK("https://www.philgeps.gov.ph/GEPSNONPILOT/Tender/SplashBidNoticeAbstractUI.aspx?menuIndex=3&amp;refID=7046269&amp;Result=3","7046269")</f>
        <v>0</v>
      </c>
      <c r="B1715" t="s">
        <v>698</v>
      </c>
      <c r="C1715" t="s">
        <v>4327</v>
      </c>
      <c r="D1715" t="s">
        <v>12988</v>
      </c>
      <c r="E1715" t="s">
        <v>14646</v>
      </c>
      <c r="F1715" t="s">
        <v>22436</v>
      </c>
      <c r="G1715" t="s">
        <v>22443</v>
      </c>
      <c r="H1715" t="s">
        <v>22452</v>
      </c>
      <c r="I1715" t="s">
        <v>22463</v>
      </c>
      <c r="J1715" t="s">
        <v>22750</v>
      </c>
      <c r="K1715" t="s">
        <v>29335</v>
      </c>
      <c r="M1715" t="s">
        <v>30293</v>
      </c>
      <c r="N1715" t="s">
        <v>32524</v>
      </c>
      <c r="O1715" t="s">
        <v>32525</v>
      </c>
      <c r="P1715">
        <v>0</v>
      </c>
      <c r="Q1715">
        <v>11</v>
      </c>
      <c r="R1715" t="s">
        <v>32526</v>
      </c>
      <c r="S1715" t="s">
        <v>32547</v>
      </c>
      <c r="T1715" t="s">
        <v>33169</v>
      </c>
      <c r="U1715" t="s">
        <v>35097</v>
      </c>
      <c r="W1715" t="s">
        <v>30293</v>
      </c>
      <c r="X1715" t="s">
        <v>32527</v>
      </c>
    </row>
    <row r="1716" spans="1:24">
      <c r="A1716">
        <f>HYPERLINK("https://www.philgeps.gov.ph/GEPSNONPILOT/Tender/SplashBidNoticeAbstractUI.aspx?menuIndex=3&amp;refID=7046268&amp;Result=3","7046268")</f>
        <v>0</v>
      </c>
      <c r="B1716" t="s">
        <v>127</v>
      </c>
      <c r="C1716" t="s">
        <v>4328</v>
      </c>
      <c r="D1716" t="s">
        <v>13037</v>
      </c>
      <c r="E1716" t="s">
        <v>14647</v>
      </c>
      <c r="F1716" t="s">
        <v>22436</v>
      </c>
      <c r="G1716" t="s">
        <v>22446</v>
      </c>
      <c r="H1716" t="s">
        <v>22452</v>
      </c>
      <c r="I1716" t="s">
        <v>7110</v>
      </c>
      <c r="J1716" t="s">
        <v>23820</v>
      </c>
      <c r="K1716" t="s">
        <v>29335</v>
      </c>
      <c r="M1716" t="s">
        <v>29699</v>
      </c>
      <c r="N1716" t="s">
        <v>32524</v>
      </c>
      <c r="O1716" t="s">
        <v>32525</v>
      </c>
      <c r="P1716">
        <v>0</v>
      </c>
      <c r="Q1716">
        <v>0</v>
      </c>
      <c r="R1716" t="s">
        <v>32526</v>
      </c>
      <c r="S1716" t="s">
        <v>32547</v>
      </c>
      <c r="T1716" t="s">
        <v>33230</v>
      </c>
      <c r="U1716" t="s">
        <v>35098</v>
      </c>
      <c r="W1716" t="s">
        <v>29699</v>
      </c>
      <c r="X1716" t="s">
        <v>32527</v>
      </c>
    </row>
    <row r="1717" spans="1:24">
      <c r="A1717">
        <f>HYPERLINK("https://www.philgeps.gov.ph/GEPSNONPILOT/Tender/SplashBidNoticeAbstractUI.aspx?menuIndex=3&amp;refID=7046259&amp;Result=3","7046259")</f>
        <v>0</v>
      </c>
      <c r="B1717" t="s">
        <v>48</v>
      </c>
      <c r="C1717" t="s">
        <v>4329</v>
      </c>
      <c r="D1717" t="s">
        <v>13007</v>
      </c>
      <c r="E1717" t="s">
        <v>14648</v>
      </c>
      <c r="F1717" t="s">
        <v>22436</v>
      </c>
      <c r="G1717" t="s">
        <v>22443</v>
      </c>
      <c r="H1717" t="s">
        <v>22452</v>
      </c>
      <c r="I1717" t="s">
        <v>22470</v>
      </c>
      <c r="J1717" t="s">
        <v>23799</v>
      </c>
      <c r="K1717" t="s">
        <v>29338</v>
      </c>
      <c r="M1717" t="s">
        <v>29619</v>
      </c>
      <c r="N1717" t="s">
        <v>32524</v>
      </c>
      <c r="O1717" t="s">
        <v>32525</v>
      </c>
      <c r="P1717">
        <v>0</v>
      </c>
      <c r="Q1717">
        <v>0</v>
      </c>
      <c r="R1717" t="s">
        <v>32526</v>
      </c>
      <c r="S1717" t="s">
        <v>32547</v>
      </c>
      <c r="T1717" t="s">
        <v>33169</v>
      </c>
      <c r="U1717" t="s">
        <v>33656</v>
      </c>
      <c r="W1717" t="s">
        <v>29619</v>
      </c>
      <c r="X1717" t="s">
        <v>32527</v>
      </c>
    </row>
    <row r="1718" spans="1:24">
      <c r="A1718">
        <f>HYPERLINK("https://www.philgeps.gov.ph/GEPSNONPILOT/Tender/SplashBidNoticeAbstractUI.aspx?menuIndex=3&amp;refID=7046273&amp;Result=3","7046273")</f>
        <v>0</v>
      </c>
      <c r="B1718" t="s">
        <v>29</v>
      </c>
      <c r="C1718" t="s">
        <v>4330</v>
      </c>
      <c r="D1718" t="s">
        <v>12993</v>
      </c>
      <c r="E1718" t="s">
        <v>13094</v>
      </c>
      <c r="F1718" t="s">
        <v>22436</v>
      </c>
      <c r="G1718" t="s">
        <v>22444</v>
      </c>
      <c r="H1718" t="s">
        <v>22452</v>
      </c>
      <c r="I1718" t="s">
        <v>22460</v>
      </c>
      <c r="J1718" t="s">
        <v>23821</v>
      </c>
      <c r="K1718" t="s">
        <v>29341</v>
      </c>
      <c r="M1718" t="s">
        <v>29599</v>
      </c>
      <c r="N1718" t="s">
        <v>32524</v>
      </c>
      <c r="O1718" t="s">
        <v>32525</v>
      </c>
      <c r="P1718">
        <v>0</v>
      </c>
      <c r="Q1718">
        <v>1</v>
      </c>
      <c r="R1718" t="s">
        <v>32526</v>
      </c>
      <c r="S1718" t="s">
        <v>32547</v>
      </c>
      <c r="T1718" t="s">
        <v>33158</v>
      </c>
      <c r="U1718" t="s">
        <v>35099</v>
      </c>
      <c r="W1718" t="s">
        <v>29599</v>
      </c>
      <c r="X1718" t="s">
        <v>32527</v>
      </c>
    </row>
    <row r="1719" spans="1:24">
      <c r="A1719">
        <f>HYPERLINK("https://www.philgeps.gov.ph/GEPSNONPILOT/Tender/SplashBidNoticeAbstractUI.aspx?menuIndex=3&amp;refID=7046263&amp;Result=3","7046263")</f>
        <v>0</v>
      </c>
      <c r="B1719" t="s">
        <v>542</v>
      </c>
      <c r="C1719" t="s">
        <v>4331</v>
      </c>
      <c r="D1719" t="s">
        <v>13062</v>
      </c>
      <c r="E1719" t="s">
        <v>14649</v>
      </c>
      <c r="F1719" t="s">
        <v>22436</v>
      </c>
      <c r="G1719" t="s">
        <v>22443</v>
      </c>
      <c r="H1719" t="s">
        <v>22452</v>
      </c>
      <c r="I1719" t="s">
        <v>22492</v>
      </c>
      <c r="J1719" t="s">
        <v>23822</v>
      </c>
      <c r="K1719" t="s">
        <v>29331</v>
      </c>
      <c r="M1719" t="s">
        <v>30294</v>
      </c>
      <c r="N1719" t="s">
        <v>32524</v>
      </c>
      <c r="O1719" t="s">
        <v>32525</v>
      </c>
      <c r="P1719">
        <v>0</v>
      </c>
      <c r="Q1719">
        <v>0</v>
      </c>
      <c r="R1719" t="s">
        <v>32526</v>
      </c>
      <c r="S1719" t="s">
        <v>32547</v>
      </c>
      <c r="T1719" t="s">
        <v>33178</v>
      </c>
      <c r="U1719" t="s">
        <v>35100</v>
      </c>
      <c r="W1719" t="s">
        <v>30294</v>
      </c>
      <c r="X1719" t="s">
        <v>32527</v>
      </c>
    </row>
    <row r="1720" spans="1:24">
      <c r="A1720">
        <f>HYPERLINK("https://www.philgeps.gov.ph/GEPSNONPILOT/Tender/SplashBidNoticeAbstractUI.aspx?menuIndex=3&amp;refID=7046265&amp;Result=3","7046265")</f>
        <v>0</v>
      </c>
      <c r="B1720" t="s">
        <v>682</v>
      </c>
      <c r="C1720" t="s">
        <v>4332</v>
      </c>
      <c r="D1720" t="s">
        <v>12988</v>
      </c>
      <c r="E1720" t="s">
        <v>14650</v>
      </c>
      <c r="F1720" t="s">
        <v>22436</v>
      </c>
      <c r="G1720" t="s">
        <v>22446</v>
      </c>
      <c r="H1720" t="s">
        <v>22452</v>
      </c>
      <c r="I1720" t="s">
        <v>2981</v>
      </c>
      <c r="J1720" t="s">
        <v>23823</v>
      </c>
      <c r="K1720" t="s">
        <v>29338</v>
      </c>
      <c r="M1720" t="s">
        <v>30276</v>
      </c>
      <c r="N1720" t="s">
        <v>32524</v>
      </c>
      <c r="O1720" t="s">
        <v>32525</v>
      </c>
      <c r="P1720">
        <v>0</v>
      </c>
      <c r="Q1720">
        <v>3</v>
      </c>
      <c r="R1720" t="s">
        <v>32526</v>
      </c>
      <c r="S1720" t="s">
        <v>32547</v>
      </c>
      <c r="T1720" t="s">
        <v>33209</v>
      </c>
      <c r="U1720" t="s">
        <v>35066</v>
      </c>
      <c r="W1720" t="s">
        <v>30276</v>
      </c>
      <c r="X1720" t="s">
        <v>32527</v>
      </c>
    </row>
    <row r="1721" spans="1:24">
      <c r="A1721">
        <f>HYPERLINK("https://www.philgeps.gov.ph/GEPSNONPILOT/Tender/SplashBidNoticeAbstractUI.aspx?menuIndex=3&amp;refID=7046290&amp;Result=3","7046290")</f>
        <v>0</v>
      </c>
      <c r="B1721" t="s">
        <v>699</v>
      </c>
      <c r="C1721" t="s">
        <v>4333</v>
      </c>
      <c r="D1721" t="s">
        <v>13045</v>
      </c>
      <c r="E1721" t="s">
        <v>14651</v>
      </c>
      <c r="F1721" t="s">
        <v>22436</v>
      </c>
      <c r="G1721" t="s">
        <v>22443</v>
      </c>
      <c r="H1721" t="s">
        <v>22452</v>
      </c>
      <c r="I1721" t="s">
        <v>3827</v>
      </c>
      <c r="J1721" t="s">
        <v>23824</v>
      </c>
      <c r="K1721" t="s">
        <v>29331</v>
      </c>
      <c r="M1721" t="s">
        <v>30295</v>
      </c>
      <c r="N1721" t="s">
        <v>32524</v>
      </c>
      <c r="O1721" t="s">
        <v>32525</v>
      </c>
      <c r="P1721">
        <v>0</v>
      </c>
      <c r="Q1721">
        <v>0</v>
      </c>
      <c r="R1721" t="s">
        <v>32526</v>
      </c>
      <c r="S1721" t="s">
        <v>32547</v>
      </c>
      <c r="T1721" t="s">
        <v>33161</v>
      </c>
      <c r="U1721" t="s">
        <v>33730</v>
      </c>
      <c r="V1721" t="s">
        <v>42584</v>
      </c>
      <c r="W1721" t="s">
        <v>30295</v>
      </c>
      <c r="X1721" t="s">
        <v>32527</v>
      </c>
    </row>
    <row r="1722" spans="1:24">
      <c r="A1722">
        <f>HYPERLINK("https://www.philgeps.gov.ph/GEPSNONPILOT/Tender/SplashBidNoticeAbstractUI.aspx?menuIndex=3&amp;refID=7046277&amp;Result=3","7046277")</f>
        <v>0</v>
      </c>
      <c r="B1722" t="s">
        <v>44</v>
      </c>
      <c r="C1722" t="s">
        <v>4334</v>
      </c>
      <c r="D1722" t="s">
        <v>13004</v>
      </c>
      <c r="E1722" t="s">
        <v>14652</v>
      </c>
      <c r="F1722" t="s">
        <v>22436</v>
      </c>
      <c r="G1722" t="s">
        <v>22443</v>
      </c>
      <c r="H1722" t="s">
        <v>22452</v>
      </c>
      <c r="I1722" t="s">
        <v>22456</v>
      </c>
      <c r="J1722" t="s">
        <v>23825</v>
      </c>
      <c r="K1722" t="s">
        <v>29335</v>
      </c>
      <c r="M1722" t="s">
        <v>29615</v>
      </c>
      <c r="N1722" t="s">
        <v>32524</v>
      </c>
      <c r="O1722" t="s">
        <v>32525</v>
      </c>
      <c r="P1722">
        <v>0</v>
      </c>
      <c r="Q1722">
        <v>2</v>
      </c>
      <c r="R1722" t="s">
        <v>32526</v>
      </c>
      <c r="S1722" t="s">
        <v>32547</v>
      </c>
      <c r="T1722" t="s">
        <v>33167</v>
      </c>
      <c r="U1722" t="s">
        <v>35101</v>
      </c>
      <c r="W1722" t="s">
        <v>29615</v>
      </c>
      <c r="X1722" t="s">
        <v>32527</v>
      </c>
    </row>
    <row r="1723" spans="1:24">
      <c r="A1723">
        <f>HYPERLINK("https://www.philgeps.gov.ph/GEPSNONPILOT/Tender/SplashBidNoticeAbstractUI.aspx?menuIndex=3&amp;refID=7046286&amp;Result=3","7046286")</f>
        <v>0</v>
      </c>
      <c r="B1723" t="s">
        <v>687</v>
      </c>
      <c r="C1723" t="s">
        <v>4335</v>
      </c>
      <c r="E1723" t="s">
        <v>14653</v>
      </c>
      <c r="F1723" t="s">
        <v>22436</v>
      </c>
      <c r="G1723" t="s">
        <v>22444</v>
      </c>
      <c r="H1723" t="s">
        <v>22454</v>
      </c>
      <c r="I1723" t="s">
        <v>7738</v>
      </c>
      <c r="J1723" t="s">
        <v>23826</v>
      </c>
      <c r="K1723" t="s">
        <v>29406</v>
      </c>
      <c r="M1723" t="s">
        <v>30281</v>
      </c>
      <c r="N1723" t="s">
        <v>32524</v>
      </c>
      <c r="O1723" t="s">
        <v>32525</v>
      </c>
      <c r="P1723">
        <v>0</v>
      </c>
      <c r="Q1723">
        <v>0</v>
      </c>
      <c r="R1723" t="s">
        <v>32526</v>
      </c>
      <c r="S1723" t="s">
        <v>32547</v>
      </c>
      <c r="T1723" t="s">
        <v>33157</v>
      </c>
      <c r="U1723" t="s">
        <v>35102</v>
      </c>
      <c r="W1723" t="s">
        <v>30281</v>
      </c>
      <c r="X1723" t="s">
        <v>32527</v>
      </c>
    </row>
    <row r="1724" spans="1:24">
      <c r="A1724">
        <f>HYPERLINK("https://www.philgeps.gov.ph/GEPSNONPILOT/Tender/SplashBidNoticeAbstractUI.aspx?menuIndex=3&amp;refID=7046291&amp;Result=3","7046291")</f>
        <v>0</v>
      </c>
      <c r="B1724" t="s">
        <v>580</v>
      </c>
      <c r="C1724" t="s">
        <v>4336</v>
      </c>
      <c r="D1724" t="s">
        <v>13033</v>
      </c>
      <c r="E1724" t="s">
        <v>14048</v>
      </c>
      <c r="F1724" t="s">
        <v>22436</v>
      </c>
      <c r="G1724" t="s">
        <v>22443</v>
      </c>
      <c r="H1724" t="s">
        <v>22452</v>
      </c>
      <c r="I1724" t="s">
        <v>22469</v>
      </c>
      <c r="J1724" t="s">
        <v>23827</v>
      </c>
      <c r="K1724" t="s">
        <v>29331</v>
      </c>
      <c r="M1724" t="s">
        <v>30168</v>
      </c>
      <c r="N1724" t="s">
        <v>32524</v>
      </c>
      <c r="O1724" t="s">
        <v>32525</v>
      </c>
      <c r="P1724">
        <v>0</v>
      </c>
      <c r="Q1724">
        <v>0</v>
      </c>
      <c r="R1724" t="s">
        <v>32526</v>
      </c>
      <c r="S1724" t="s">
        <v>32547</v>
      </c>
      <c r="T1724" t="s">
        <v>33161</v>
      </c>
      <c r="U1724" t="s">
        <v>35103</v>
      </c>
      <c r="W1724" t="s">
        <v>30168</v>
      </c>
      <c r="X1724" t="s">
        <v>32527</v>
      </c>
    </row>
    <row r="1725" spans="1:24">
      <c r="A1725">
        <f>HYPERLINK("https://www.philgeps.gov.ph/GEPSNONPILOT/Tender/SplashBidNoticeAbstractUI.aspx?menuIndex=3&amp;refID=7046284&amp;Result=3","7046284")</f>
        <v>0</v>
      </c>
      <c r="B1725" t="s">
        <v>656</v>
      </c>
      <c r="C1725" t="s">
        <v>4337</v>
      </c>
      <c r="D1725" t="s">
        <v>13007</v>
      </c>
      <c r="E1725" t="s">
        <v>14654</v>
      </c>
      <c r="F1725" t="s">
        <v>22437</v>
      </c>
      <c r="G1725" t="s">
        <v>22446</v>
      </c>
      <c r="H1725" t="s">
        <v>22452</v>
      </c>
      <c r="I1725" t="s">
        <v>22460</v>
      </c>
      <c r="J1725" t="s">
        <v>23828</v>
      </c>
      <c r="K1725" t="s">
        <v>29335</v>
      </c>
      <c r="M1725" t="s">
        <v>30248</v>
      </c>
      <c r="N1725" t="s">
        <v>32524</v>
      </c>
      <c r="O1725" t="s">
        <v>32525</v>
      </c>
      <c r="P1725">
        <v>0</v>
      </c>
      <c r="Q1725">
        <v>1</v>
      </c>
      <c r="R1725" t="s">
        <v>32526</v>
      </c>
      <c r="S1725" t="s">
        <v>32547</v>
      </c>
      <c r="T1725" t="s">
        <v>33330</v>
      </c>
      <c r="U1725" t="s">
        <v>35104</v>
      </c>
      <c r="W1725" t="s">
        <v>30248</v>
      </c>
      <c r="X1725" t="s">
        <v>32527</v>
      </c>
    </row>
    <row r="1726" spans="1:24">
      <c r="A1726">
        <f>HYPERLINK("https://www.philgeps.gov.ph/GEPSNONPILOT/Tender/SplashBidNoticeAbstractUI.aspx?menuIndex=3&amp;refID=7046287&amp;Result=3","7046287")</f>
        <v>0</v>
      </c>
      <c r="B1726" t="s">
        <v>700</v>
      </c>
      <c r="C1726" t="s">
        <v>4338</v>
      </c>
      <c r="D1726" t="s">
        <v>12988</v>
      </c>
      <c r="E1726" t="s">
        <v>14655</v>
      </c>
      <c r="F1726" t="s">
        <v>22436</v>
      </c>
      <c r="G1726" t="s">
        <v>22443</v>
      </c>
      <c r="H1726" t="s">
        <v>22452</v>
      </c>
      <c r="I1726" t="s">
        <v>22466</v>
      </c>
      <c r="J1726" t="s">
        <v>22706</v>
      </c>
      <c r="K1726" t="s">
        <v>29337</v>
      </c>
      <c r="M1726" t="s">
        <v>30296</v>
      </c>
      <c r="N1726" t="s">
        <v>32524</v>
      </c>
      <c r="O1726" t="s">
        <v>32525</v>
      </c>
      <c r="P1726">
        <v>0</v>
      </c>
      <c r="Q1726">
        <v>14</v>
      </c>
      <c r="R1726" t="s">
        <v>32526</v>
      </c>
      <c r="S1726" t="s">
        <v>32547</v>
      </c>
      <c r="T1726" t="s">
        <v>33167</v>
      </c>
      <c r="U1726" t="s">
        <v>35105</v>
      </c>
      <c r="V1726" t="s">
        <v>42585</v>
      </c>
      <c r="W1726" t="s">
        <v>30296</v>
      </c>
      <c r="X1726" t="s">
        <v>32527</v>
      </c>
    </row>
    <row r="1727" spans="1:24">
      <c r="A1727">
        <f>HYPERLINK("https://www.philgeps.gov.ph/GEPSNONPILOT/Tender/SplashBidNoticeAbstractUI.aspx?menuIndex=3&amp;refID=7046264&amp;Result=3","7046264")</f>
        <v>0</v>
      </c>
      <c r="B1727" t="s">
        <v>690</v>
      </c>
      <c r="C1727" t="s">
        <v>4339</v>
      </c>
      <c r="D1727" t="s">
        <v>13016</v>
      </c>
      <c r="E1727" t="s">
        <v>14656</v>
      </c>
      <c r="F1727" t="s">
        <v>22436</v>
      </c>
      <c r="G1727" t="s">
        <v>22443</v>
      </c>
      <c r="H1727" t="s">
        <v>22452</v>
      </c>
      <c r="I1727" t="s">
        <v>3529</v>
      </c>
      <c r="J1727" t="s">
        <v>23829</v>
      </c>
      <c r="K1727" t="s">
        <v>29338</v>
      </c>
      <c r="M1727" t="s">
        <v>30284</v>
      </c>
      <c r="N1727" t="s">
        <v>32524</v>
      </c>
      <c r="O1727" t="s">
        <v>32525</v>
      </c>
      <c r="P1727">
        <v>0</v>
      </c>
      <c r="Q1727">
        <v>0</v>
      </c>
      <c r="R1727" t="s">
        <v>32526</v>
      </c>
      <c r="S1727" t="s">
        <v>32547</v>
      </c>
      <c r="T1727" t="s">
        <v>33203</v>
      </c>
      <c r="U1727" t="s">
        <v>35082</v>
      </c>
      <c r="W1727" t="s">
        <v>30284</v>
      </c>
      <c r="X1727" t="s">
        <v>32527</v>
      </c>
    </row>
    <row r="1728" spans="1:24">
      <c r="A1728">
        <f>HYPERLINK("https://www.philgeps.gov.ph/GEPSNONPILOT/Tender/SplashBidNoticeAbstractUI.aspx?menuIndex=3&amp;refID=7046282&amp;Result=3","7046282")</f>
        <v>0</v>
      </c>
      <c r="B1728" t="s">
        <v>701</v>
      </c>
      <c r="C1728" t="s">
        <v>4340</v>
      </c>
      <c r="D1728" t="s">
        <v>12988</v>
      </c>
      <c r="E1728" t="s">
        <v>14657</v>
      </c>
      <c r="F1728" t="s">
        <v>22436</v>
      </c>
      <c r="G1728" t="s">
        <v>22443</v>
      </c>
      <c r="H1728" t="s">
        <v>22452</v>
      </c>
      <c r="I1728" t="s">
        <v>22539</v>
      </c>
      <c r="J1728" t="s">
        <v>22937</v>
      </c>
      <c r="K1728" t="s">
        <v>29338</v>
      </c>
      <c r="M1728" t="s">
        <v>30297</v>
      </c>
      <c r="N1728" t="s">
        <v>32524</v>
      </c>
      <c r="O1728" t="s">
        <v>32525</v>
      </c>
      <c r="P1728">
        <v>0</v>
      </c>
      <c r="Q1728">
        <v>1</v>
      </c>
      <c r="R1728" t="s">
        <v>32526</v>
      </c>
      <c r="S1728" t="s">
        <v>32547</v>
      </c>
      <c r="T1728" t="s">
        <v>33215</v>
      </c>
      <c r="U1728" t="s">
        <v>35106</v>
      </c>
      <c r="W1728" t="s">
        <v>43693</v>
      </c>
      <c r="X1728" t="s">
        <v>32527</v>
      </c>
    </row>
    <row r="1729" spans="1:24">
      <c r="A1729">
        <f>HYPERLINK("https://www.philgeps.gov.ph/GEPSNONPILOT/Tender/SplashBidNoticeAbstractUI.aspx?menuIndex=3&amp;refID=7046288&amp;Result=3","7046288")</f>
        <v>0</v>
      </c>
      <c r="B1729" t="s">
        <v>323</v>
      </c>
      <c r="C1729" t="s">
        <v>4341</v>
      </c>
      <c r="D1729" t="s">
        <v>13013</v>
      </c>
      <c r="E1729" t="s">
        <v>14658</v>
      </c>
      <c r="F1729" t="s">
        <v>22436</v>
      </c>
      <c r="G1729" t="s">
        <v>22444</v>
      </c>
      <c r="H1729" t="s">
        <v>22452</v>
      </c>
      <c r="I1729" t="s">
        <v>22540</v>
      </c>
      <c r="J1729" t="s">
        <v>23830</v>
      </c>
      <c r="K1729" t="s">
        <v>29341</v>
      </c>
      <c r="M1729" t="s">
        <v>29899</v>
      </c>
      <c r="N1729" t="s">
        <v>32524</v>
      </c>
      <c r="O1729" t="s">
        <v>32525</v>
      </c>
      <c r="P1729">
        <v>0</v>
      </c>
      <c r="Q1729">
        <v>1</v>
      </c>
      <c r="R1729" t="s">
        <v>32526</v>
      </c>
      <c r="S1729" t="s">
        <v>32547</v>
      </c>
      <c r="T1729" t="s">
        <v>33278</v>
      </c>
      <c r="U1729" t="s">
        <v>35107</v>
      </c>
      <c r="W1729" t="s">
        <v>29899</v>
      </c>
      <c r="X1729" t="s">
        <v>32527</v>
      </c>
    </row>
    <row r="1730" spans="1:24">
      <c r="A1730">
        <f>HYPERLINK("https://www.philgeps.gov.ph/GEPSNONPILOT/Tender/SplashBidNoticeAbstractUI.aspx?menuIndex=3&amp;refID=7046296&amp;Result=3","7046296")</f>
        <v>0</v>
      </c>
      <c r="B1730" t="s">
        <v>323</v>
      </c>
      <c r="C1730" t="s">
        <v>4342</v>
      </c>
      <c r="D1730" t="s">
        <v>13013</v>
      </c>
      <c r="E1730" t="s">
        <v>14659</v>
      </c>
      <c r="F1730" t="s">
        <v>22436</v>
      </c>
      <c r="G1730" t="s">
        <v>22443</v>
      </c>
      <c r="H1730" t="s">
        <v>22452</v>
      </c>
      <c r="I1730" t="s">
        <v>2981</v>
      </c>
      <c r="J1730" t="s">
        <v>23831</v>
      </c>
      <c r="K1730" t="s">
        <v>29341</v>
      </c>
      <c r="M1730" t="s">
        <v>30298</v>
      </c>
      <c r="N1730" t="s">
        <v>32524</v>
      </c>
      <c r="O1730" t="s">
        <v>32525</v>
      </c>
      <c r="P1730">
        <v>0</v>
      </c>
      <c r="Q1730">
        <v>0</v>
      </c>
      <c r="R1730" t="s">
        <v>32526</v>
      </c>
      <c r="S1730" t="s">
        <v>32547</v>
      </c>
      <c r="T1730" t="s">
        <v>33197</v>
      </c>
      <c r="U1730" t="s">
        <v>35108</v>
      </c>
      <c r="W1730" t="s">
        <v>30298</v>
      </c>
      <c r="X1730" t="s">
        <v>32527</v>
      </c>
    </row>
    <row r="1731" spans="1:24">
      <c r="A1731">
        <f>HYPERLINK("https://www.philgeps.gov.ph/GEPSNONPILOT/Tender/SplashBidNoticeAbstractUI.aspx?menuIndex=3&amp;refID=7046298&amp;Result=3","7046298")</f>
        <v>0</v>
      </c>
      <c r="B1731" t="s">
        <v>280</v>
      </c>
      <c r="C1731" t="s">
        <v>3528</v>
      </c>
      <c r="D1731" t="s">
        <v>13055</v>
      </c>
      <c r="E1731" t="s">
        <v>14660</v>
      </c>
      <c r="F1731" t="s">
        <v>22436</v>
      </c>
      <c r="G1731" t="s">
        <v>22443</v>
      </c>
      <c r="H1731" t="s">
        <v>22452</v>
      </c>
      <c r="I1731" t="s">
        <v>22467</v>
      </c>
      <c r="J1731" t="s">
        <v>22588</v>
      </c>
      <c r="K1731" t="s">
        <v>29334</v>
      </c>
      <c r="M1731" t="s">
        <v>29854</v>
      </c>
      <c r="N1731" t="s">
        <v>32524</v>
      </c>
      <c r="O1731" t="s">
        <v>32525</v>
      </c>
      <c r="P1731">
        <v>0</v>
      </c>
      <c r="Q1731">
        <v>0</v>
      </c>
      <c r="R1731" t="s">
        <v>32526</v>
      </c>
      <c r="S1731" t="s">
        <v>32547</v>
      </c>
      <c r="T1731" t="s">
        <v>33181</v>
      </c>
      <c r="U1731" t="s">
        <v>34336</v>
      </c>
      <c r="V1731" t="s">
        <v>42486</v>
      </c>
      <c r="W1731" t="s">
        <v>29854</v>
      </c>
      <c r="X1731" t="s">
        <v>32527</v>
      </c>
    </row>
    <row r="1732" spans="1:24">
      <c r="A1732">
        <f>HYPERLINK("https://www.philgeps.gov.ph/GEPSNONPILOT/Tender/SplashBidNoticeAbstractUI.aspx?menuIndex=3&amp;refID=7046289&amp;Result=3","7046289")</f>
        <v>0</v>
      </c>
      <c r="B1732" t="s">
        <v>702</v>
      </c>
      <c r="C1732" t="s">
        <v>4343</v>
      </c>
      <c r="D1732" t="s">
        <v>13038</v>
      </c>
      <c r="E1732" t="s">
        <v>14661</v>
      </c>
      <c r="F1732" t="s">
        <v>22436</v>
      </c>
      <c r="G1732" t="s">
        <v>22444</v>
      </c>
      <c r="H1732" t="s">
        <v>22454</v>
      </c>
      <c r="I1732" t="s">
        <v>7738</v>
      </c>
      <c r="J1732" t="s">
        <v>22893</v>
      </c>
      <c r="K1732" t="s">
        <v>29333</v>
      </c>
      <c r="L1732" t="s">
        <v>702</v>
      </c>
      <c r="M1732" t="s">
        <v>30299</v>
      </c>
      <c r="N1732" t="s">
        <v>32524</v>
      </c>
      <c r="O1732" t="s">
        <v>32525</v>
      </c>
      <c r="P1732">
        <v>0</v>
      </c>
      <c r="Q1732">
        <v>0</v>
      </c>
      <c r="R1732" t="s">
        <v>32526</v>
      </c>
      <c r="S1732" t="s">
        <v>32547</v>
      </c>
      <c r="T1732" t="s">
        <v>33171</v>
      </c>
      <c r="U1732" t="s">
        <v>35109</v>
      </c>
      <c r="W1732" t="s">
        <v>30299</v>
      </c>
      <c r="X1732" t="s">
        <v>32527</v>
      </c>
    </row>
    <row r="1733" spans="1:24">
      <c r="A1733">
        <f>HYPERLINK("https://www.philgeps.gov.ph/GEPSNONPILOT/Tender/SplashBidNoticeAbstractUI.aspx?menuIndex=3&amp;refID=7046294&amp;Result=3","7046294")</f>
        <v>0</v>
      </c>
      <c r="B1733" t="s">
        <v>70</v>
      </c>
      <c r="C1733" t="s">
        <v>4344</v>
      </c>
      <c r="E1733" t="s">
        <v>13321</v>
      </c>
      <c r="F1733" t="s">
        <v>22436</v>
      </c>
      <c r="G1733" t="s">
        <v>22446</v>
      </c>
      <c r="H1733" t="s">
        <v>22452</v>
      </c>
      <c r="I1733" t="s">
        <v>22460</v>
      </c>
      <c r="J1733" t="s">
        <v>23832</v>
      </c>
      <c r="K1733" t="s">
        <v>29338</v>
      </c>
      <c r="M1733" t="s">
        <v>29642</v>
      </c>
      <c r="N1733" t="s">
        <v>32524</v>
      </c>
      <c r="O1733" t="s">
        <v>32525</v>
      </c>
      <c r="P1733">
        <v>0</v>
      </c>
      <c r="Q1733">
        <v>0</v>
      </c>
      <c r="R1733" t="s">
        <v>32526</v>
      </c>
      <c r="S1733" t="s">
        <v>32547</v>
      </c>
      <c r="T1733" t="s">
        <v>33185</v>
      </c>
      <c r="U1733" t="s">
        <v>35110</v>
      </c>
      <c r="W1733" t="s">
        <v>29642</v>
      </c>
      <c r="X1733" t="s">
        <v>32527</v>
      </c>
    </row>
    <row r="1734" spans="1:24">
      <c r="A1734">
        <f>HYPERLINK("https://www.philgeps.gov.ph/GEPSNONPILOT/Tender/SplashBidNoticeAbstractUI.aspx?menuIndex=3&amp;refID=7046281&amp;Result=3","7046281")</f>
        <v>0</v>
      </c>
      <c r="B1734" t="s">
        <v>50</v>
      </c>
      <c r="C1734" t="s">
        <v>4345</v>
      </c>
      <c r="D1734" t="s">
        <v>13008</v>
      </c>
      <c r="E1734" t="s">
        <v>14598</v>
      </c>
      <c r="F1734" t="s">
        <v>22436</v>
      </c>
      <c r="G1734" t="s">
        <v>22444</v>
      </c>
      <c r="H1734" t="s">
        <v>22452</v>
      </c>
      <c r="I1734" t="s">
        <v>22479</v>
      </c>
      <c r="J1734" t="s">
        <v>23833</v>
      </c>
      <c r="K1734" t="s">
        <v>29335</v>
      </c>
      <c r="M1734" t="s">
        <v>29622</v>
      </c>
      <c r="N1734" t="s">
        <v>32524</v>
      </c>
      <c r="O1734" t="s">
        <v>32525</v>
      </c>
      <c r="P1734">
        <v>0</v>
      </c>
      <c r="Q1734">
        <v>0</v>
      </c>
      <c r="R1734" t="s">
        <v>32526</v>
      </c>
      <c r="S1734" t="s">
        <v>32547</v>
      </c>
      <c r="T1734" t="s">
        <v>33166</v>
      </c>
      <c r="U1734" t="s">
        <v>35049</v>
      </c>
      <c r="W1734" t="s">
        <v>29622</v>
      </c>
      <c r="X1734" t="s">
        <v>32527</v>
      </c>
    </row>
    <row r="1735" spans="1:24">
      <c r="A1735">
        <f>HYPERLINK("https://www.philgeps.gov.ph/GEPSNONPILOT/Tender/SplashBidNoticeAbstractUI.aspx?menuIndex=3&amp;refID=7046280&amp;Result=3","7046280")</f>
        <v>0</v>
      </c>
      <c r="B1735" t="s">
        <v>703</v>
      </c>
      <c r="C1735" t="s">
        <v>4346</v>
      </c>
      <c r="D1735" t="s">
        <v>13070</v>
      </c>
      <c r="E1735" t="s">
        <v>14662</v>
      </c>
      <c r="F1735" t="s">
        <v>22436</v>
      </c>
      <c r="G1735" t="s">
        <v>22444</v>
      </c>
      <c r="H1735" t="s">
        <v>22454</v>
      </c>
      <c r="I1735" t="s">
        <v>7738</v>
      </c>
      <c r="J1735" t="s">
        <v>23834</v>
      </c>
      <c r="K1735" t="s">
        <v>29389</v>
      </c>
      <c r="M1735" t="s">
        <v>30300</v>
      </c>
      <c r="N1735" t="s">
        <v>32524</v>
      </c>
      <c r="O1735" t="s">
        <v>32525</v>
      </c>
      <c r="P1735">
        <v>0</v>
      </c>
      <c r="Q1735">
        <v>0</v>
      </c>
      <c r="R1735" t="s">
        <v>32526</v>
      </c>
      <c r="S1735" t="s">
        <v>32547</v>
      </c>
      <c r="T1735" t="s">
        <v>33335</v>
      </c>
      <c r="U1735" t="s">
        <v>35111</v>
      </c>
      <c r="W1735" t="s">
        <v>30300</v>
      </c>
      <c r="X1735" t="s">
        <v>32527</v>
      </c>
    </row>
    <row r="1736" spans="1:24">
      <c r="A1736">
        <f>HYPERLINK("https://www.philgeps.gov.ph/GEPSNONPILOT/Tender/SplashBidNoticeAbstractUI.aspx?menuIndex=3&amp;refID=7046299&amp;Result=3","7046299")</f>
        <v>0</v>
      </c>
      <c r="B1736" t="s">
        <v>668</v>
      </c>
      <c r="C1736" t="s">
        <v>4347</v>
      </c>
      <c r="D1736" t="s">
        <v>13024</v>
      </c>
      <c r="E1736" t="s">
        <v>14663</v>
      </c>
      <c r="F1736" t="s">
        <v>22436</v>
      </c>
      <c r="G1736" t="s">
        <v>22444</v>
      </c>
      <c r="H1736" t="s">
        <v>22454</v>
      </c>
      <c r="I1736" t="s">
        <v>22485</v>
      </c>
      <c r="J1736" t="s">
        <v>23835</v>
      </c>
      <c r="K1736" t="s">
        <v>29408</v>
      </c>
      <c r="M1736" t="s">
        <v>30260</v>
      </c>
      <c r="N1736" t="s">
        <v>32524</v>
      </c>
      <c r="O1736" t="s">
        <v>32525</v>
      </c>
      <c r="P1736">
        <v>0</v>
      </c>
      <c r="Q1736">
        <v>3</v>
      </c>
      <c r="R1736" t="s">
        <v>32526</v>
      </c>
      <c r="S1736" t="s">
        <v>32547</v>
      </c>
      <c r="T1736" t="s">
        <v>33336</v>
      </c>
      <c r="U1736" t="s">
        <v>35112</v>
      </c>
      <c r="V1736" t="s">
        <v>42586</v>
      </c>
      <c r="W1736" t="s">
        <v>30260</v>
      </c>
      <c r="X1736" t="s">
        <v>32527</v>
      </c>
    </row>
    <row r="1737" spans="1:24">
      <c r="A1737">
        <f>HYPERLINK("https://www.philgeps.gov.ph/GEPSNONPILOT/Tender/SplashBidNoticeAbstractUI.aspx?menuIndex=3&amp;refID=7046279&amp;Result=3","7046279")</f>
        <v>0</v>
      </c>
      <c r="B1737" t="s">
        <v>704</v>
      </c>
      <c r="C1737" t="s">
        <v>4348</v>
      </c>
      <c r="D1737" t="s">
        <v>12992</v>
      </c>
      <c r="E1737" t="s">
        <v>14664</v>
      </c>
      <c r="F1737" t="s">
        <v>22436</v>
      </c>
      <c r="G1737" t="s">
        <v>22443</v>
      </c>
      <c r="H1737" t="s">
        <v>22452</v>
      </c>
      <c r="I1737" t="s">
        <v>22465</v>
      </c>
      <c r="J1737" t="s">
        <v>23836</v>
      </c>
      <c r="K1737" t="s">
        <v>29357</v>
      </c>
      <c r="M1737" t="s">
        <v>30301</v>
      </c>
      <c r="N1737" t="s">
        <v>32524</v>
      </c>
      <c r="O1737" t="s">
        <v>32525</v>
      </c>
      <c r="P1737">
        <v>0</v>
      </c>
      <c r="Q1737">
        <v>0</v>
      </c>
      <c r="R1737" t="s">
        <v>32526</v>
      </c>
      <c r="S1737" t="s">
        <v>32547</v>
      </c>
      <c r="T1737" t="s">
        <v>33167</v>
      </c>
      <c r="U1737" t="s">
        <v>35113</v>
      </c>
      <c r="V1737" t="s">
        <v>42428</v>
      </c>
      <c r="W1737" t="s">
        <v>30301</v>
      </c>
      <c r="X1737" t="s">
        <v>32527</v>
      </c>
    </row>
    <row r="1738" spans="1:24">
      <c r="A1738">
        <f>HYPERLINK("https://www.philgeps.gov.ph/GEPSNONPILOT/Tender/SplashBidNoticeAbstractUI.aspx?menuIndex=3&amp;refID=7046301&amp;Result=3","7046301")</f>
        <v>0</v>
      </c>
      <c r="B1738" t="s">
        <v>705</v>
      </c>
      <c r="C1738" t="s">
        <v>4349</v>
      </c>
      <c r="D1738" t="s">
        <v>13007</v>
      </c>
      <c r="E1738" t="s">
        <v>14665</v>
      </c>
      <c r="F1738" t="s">
        <v>22436</v>
      </c>
      <c r="G1738" t="s">
        <v>22444</v>
      </c>
      <c r="H1738" t="s">
        <v>22452</v>
      </c>
      <c r="I1738" t="s">
        <v>3827</v>
      </c>
      <c r="J1738" t="s">
        <v>22810</v>
      </c>
      <c r="K1738" t="s">
        <v>29338</v>
      </c>
      <c r="M1738" t="s">
        <v>30302</v>
      </c>
      <c r="N1738" t="s">
        <v>32524</v>
      </c>
      <c r="O1738" t="s">
        <v>32525</v>
      </c>
      <c r="P1738">
        <v>0</v>
      </c>
      <c r="Q1738">
        <v>1</v>
      </c>
      <c r="R1738" t="s">
        <v>32526</v>
      </c>
      <c r="S1738" t="s">
        <v>32547</v>
      </c>
      <c r="T1738" t="s">
        <v>33337</v>
      </c>
      <c r="U1738" t="s">
        <v>35114</v>
      </c>
      <c r="W1738" t="s">
        <v>30302</v>
      </c>
      <c r="X1738" t="s">
        <v>32527</v>
      </c>
    </row>
    <row r="1739" spans="1:24">
      <c r="A1739">
        <f>HYPERLINK("https://www.philgeps.gov.ph/GEPSNONPILOT/Tender/SplashBidNoticeAbstractUI.aspx?menuIndex=3&amp;refID=7046293&amp;Result=3","7046293")</f>
        <v>0</v>
      </c>
      <c r="B1739" t="s">
        <v>706</v>
      </c>
      <c r="C1739" t="s">
        <v>4350</v>
      </c>
      <c r="D1739" t="s">
        <v>12993</v>
      </c>
      <c r="E1739" t="s">
        <v>14666</v>
      </c>
      <c r="F1739" t="s">
        <v>22436</v>
      </c>
      <c r="G1739" t="s">
        <v>22443</v>
      </c>
      <c r="H1739" t="s">
        <v>22452</v>
      </c>
      <c r="I1739" t="s">
        <v>22494</v>
      </c>
      <c r="J1739" t="s">
        <v>23568</v>
      </c>
      <c r="K1739" t="s">
        <v>29356</v>
      </c>
      <c r="M1739" t="s">
        <v>30303</v>
      </c>
      <c r="N1739" t="s">
        <v>32524</v>
      </c>
      <c r="O1739" t="s">
        <v>32525</v>
      </c>
      <c r="P1739">
        <v>0</v>
      </c>
      <c r="Q1739">
        <v>0</v>
      </c>
      <c r="R1739" t="s">
        <v>32526</v>
      </c>
      <c r="S1739" t="s">
        <v>32547</v>
      </c>
      <c r="T1739" t="s">
        <v>33167</v>
      </c>
      <c r="U1739" t="s">
        <v>35115</v>
      </c>
      <c r="W1739" t="s">
        <v>30303</v>
      </c>
      <c r="X1739" t="s">
        <v>32527</v>
      </c>
    </row>
    <row r="1740" spans="1:24">
      <c r="A1740">
        <f>HYPERLINK("https://www.philgeps.gov.ph/GEPSNONPILOT/Tender/SplashBidNoticeAbstractUI.aspx?menuIndex=3&amp;refID=7046278&amp;Result=3","7046278")</f>
        <v>0</v>
      </c>
      <c r="B1740" t="s">
        <v>707</v>
      </c>
      <c r="C1740" t="s">
        <v>4351</v>
      </c>
      <c r="D1740" t="s">
        <v>13000</v>
      </c>
      <c r="E1740" t="s">
        <v>14329</v>
      </c>
      <c r="F1740" t="s">
        <v>22436</v>
      </c>
      <c r="G1740" t="s">
        <v>22444</v>
      </c>
      <c r="H1740" t="s">
        <v>22454</v>
      </c>
      <c r="I1740" t="s">
        <v>7738</v>
      </c>
      <c r="J1740" t="s">
        <v>23837</v>
      </c>
      <c r="K1740" t="s">
        <v>29358</v>
      </c>
      <c r="M1740" t="s">
        <v>30304</v>
      </c>
      <c r="N1740" t="s">
        <v>32524</v>
      </c>
      <c r="O1740" t="s">
        <v>32525</v>
      </c>
      <c r="P1740">
        <v>0</v>
      </c>
      <c r="Q1740">
        <v>0</v>
      </c>
      <c r="R1740" t="s">
        <v>32526</v>
      </c>
      <c r="S1740" t="s">
        <v>32547</v>
      </c>
      <c r="T1740" t="s">
        <v>33165</v>
      </c>
      <c r="U1740" t="s">
        <v>35116</v>
      </c>
      <c r="V1740" t="s">
        <v>42587</v>
      </c>
      <c r="W1740" t="s">
        <v>30304</v>
      </c>
      <c r="X1740" t="s">
        <v>32527</v>
      </c>
    </row>
    <row r="1741" spans="1:24">
      <c r="A1741">
        <f>HYPERLINK("https://www.philgeps.gov.ph/GEPSNONPILOT/Tender/SplashBidNoticeAbstractUI.aspx?menuIndex=3&amp;refID=7046303&amp;Result=3","7046303")</f>
        <v>0</v>
      </c>
      <c r="B1741" t="s">
        <v>687</v>
      </c>
      <c r="C1741" t="s">
        <v>4352</v>
      </c>
      <c r="E1741" t="s">
        <v>14667</v>
      </c>
      <c r="F1741" t="s">
        <v>22436</v>
      </c>
      <c r="G1741" t="s">
        <v>22444</v>
      </c>
      <c r="H1741" t="s">
        <v>22454</v>
      </c>
      <c r="I1741" t="s">
        <v>7738</v>
      </c>
      <c r="J1741" t="s">
        <v>23838</v>
      </c>
      <c r="K1741" t="s">
        <v>29347</v>
      </c>
      <c r="M1741" t="s">
        <v>30281</v>
      </c>
      <c r="N1741" t="s">
        <v>32524</v>
      </c>
      <c r="O1741" t="s">
        <v>32525</v>
      </c>
      <c r="P1741">
        <v>0</v>
      </c>
      <c r="Q1741">
        <v>0</v>
      </c>
      <c r="R1741" t="s">
        <v>32526</v>
      </c>
      <c r="S1741" t="s">
        <v>32547</v>
      </c>
      <c r="T1741" t="s">
        <v>33157</v>
      </c>
      <c r="U1741" t="s">
        <v>35117</v>
      </c>
      <c r="W1741" t="s">
        <v>30281</v>
      </c>
      <c r="X1741" t="s">
        <v>32527</v>
      </c>
    </row>
    <row r="1742" spans="1:24">
      <c r="A1742">
        <f>HYPERLINK("https://www.philgeps.gov.ph/GEPSNONPILOT/Tender/SplashBidNoticeAbstractUI.aspx?menuIndex=3&amp;refID=7046292&amp;Result=3","7046292")</f>
        <v>0</v>
      </c>
      <c r="B1742" t="s">
        <v>458</v>
      </c>
      <c r="C1742" t="s">
        <v>3444</v>
      </c>
      <c r="D1742" t="s">
        <v>13013</v>
      </c>
      <c r="E1742" t="s">
        <v>14668</v>
      </c>
      <c r="F1742" t="s">
        <v>22436</v>
      </c>
      <c r="G1742" t="s">
        <v>22443</v>
      </c>
      <c r="H1742" t="s">
        <v>22452</v>
      </c>
      <c r="I1742" t="s">
        <v>22460</v>
      </c>
      <c r="J1742" t="s">
        <v>23839</v>
      </c>
      <c r="K1742" t="s">
        <v>29357</v>
      </c>
      <c r="M1742" t="s">
        <v>30040</v>
      </c>
      <c r="N1742" t="s">
        <v>32524</v>
      </c>
      <c r="O1742" t="s">
        <v>32525</v>
      </c>
      <c r="P1742">
        <v>0</v>
      </c>
      <c r="Q1742">
        <v>0</v>
      </c>
      <c r="R1742" t="s">
        <v>32526</v>
      </c>
      <c r="S1742" t="s">
        <v>32547</v>
      </c>
      <c r="T1742" t="s">
        <v>33196</v>
      </c>
      <c r="U1742" t="s">
        <v>35118</v>
      </c>
      <c r="W1742" t="s">
        <v>30040</v>
      </c>
      <c r="X1742" t="s">
        <v>32527</v>
      </c>
    </row>
    <row r="1743" spans="1:24">
      <c r="A1743">
        <f>HYPERLINK("https://www.philgeps.gov.ph/GEPSNONPILOT/Tender/SplashBidNoticeAbstractUI.aspx?menuIndex=3&amp;refID=7046317&amp;Result=3","7046317")</f>
        <v>0</v>
      </c>
      <c r="B1743" t="s">
        <v>177</v>
      </c>
      <c r="C1743" t="s">
        <v>4353</v>
      </c>
      <c r="D1743" t="s">
        <v>12988</v>
      </c>
      <c r="E1743" t="s">
        <v>14669</v>
      </c>
      <c r="F1743" t="s">
        <v>22436</v>
      </c>
      <c r="G1743" t="s">
        <v>22443</v>
      </c>
      <c r="H1743" t="s">
        <v>22452</v>
      </c>
      <c r="I1743" t="s">
        <v>22469</v>
      </c>
      <c r="J1743" t="s">
        <v>23840</v>
      </c>
      <c r="K1743" t="s">
        <v>29338</v>
      </c>
      <c r="M1743" t="s">
        <v>29749</v>
      </c>
      <c r="N1743" t="s">
        <v>32524</v>
      </c>
      <c r="O1743" t="s">
        <v>32525</v>
      </c>
      <c r="P1743">
        <v>0</v>
      </c>
      <c r="Q1743">
        <v>14</v>
      </c>
      <c r="R1743" t="s">
        <v>32526</v>
      </c>
      <c r="S1743" t="s">
        <v>32547</v>
      </c>
      <c r="T1743" t="s">
        <v>33225</v>
      </c>
      <c r="U1743" t="s">
        <v>35119</v>
      </c>
      <c r="W1743" t="s">
        <v>29749</v>
      </c>
      <c r="X1743" t="s">
        <v>32527</v>
      </c>
    </row>
    <row r="1744" spans="1:24">
      <c r="A1744">
        <f>HYPERLINK("https://www.philgeps.gov.ph/GEPSNONPILOT/Tender/SplashBidNoticeAbstractUI.aspx?menuIndex=3&amp;refID=7046316&amp;Result=3","7046316")</f>
        <v>0</v>
      </c>
      <c r="B1744" t="s">
        <v>83</v>
      </c>
      <c r="C1744" t="s">
        <v>4354</v>
      </c>
      <c r="D1744" t="s">
        <v>12988</v>
      </c>
      <c r="E1744" t="s">
        <v>14670</v>
      </c>
      <c r="F1744" t="s">
        <v>22436</v>
      </c>
      <c r="G1744" t="s">
        <v>22443</v>
      </c>
      <c r="H1744" t="s">
        <v>22452</v>
      </c>
      <c r="I1744" t="s">
        <v>22456</v>
      </c>
      <c r="J1744" t="s">
        <v>23841</v>
      </c>
      <c r="K1744" t="s">
        <v>29336</v>
      </c>
      <c r="M1744" t="s">
        <v>29655</v>
      </c>
      <c r="N1744" t="s">
        <v>32524</v>
      </c>
      <c r="O1744" t="s">
        <v>32525</v>
      </c>
      <c r="P1744">
        <v>0</v>
      </c>
      <c r="Q1744">
        <v>1</v>
      </c>
      <c r="R1744" t="s">
        <v>32526</v>
      </c>
      <c r="S1744" t="s">
        <v>32547</v>
      </c>
      <c r="T1744" t="s">
        <v>33211</v>
      </c>
      <c r="U1744" t="s">
        <v>35120</v>
      </c>
      <c r="W1744" t="s">
        <v>29655</v>
      </c>
      <c r="X1744" t="s">
        <v>32527</v>
      </c>
    </row>
    <row r="1745" spans="1:24">
      <c r="A1745">
        <f>HYPERLINK("https://www.philgeps.gov.ph/GEPSNONPILOT/Tender/SplashBidNoticeAbstractUI.aspx?menuIndex=3&amp;refID=7046315&amp;Result=3","7046315")</f>
        <v>0</v>
      </c>
      <c r="B1745" t="s">
        <v>708</v>
      </c>
      <c r="C1745" t="s">
        <v>4355</v>
      </c>
      <c r="D1745" t="s">
        <v>13011</v>
      </c>
      <c r="E1745" t="s">
        <v>14671</v>
      </c>
      <c r="F1745" t="s">
        <v>22436</v>
      </c>
      <c r="G1745" t="s">
        <v>22443</v>
      </c>
      <c r="H1745" t="s">
        <v>22454</v>
      </c>
      <c r="I1745" t="s">
        <v>7738</v>
      </c>
      <c r="J1745" t="s">
        <v>23842</v>
      </c>
      <c r="K1745" t="s">
        <v>29338</v>
      </c>
      <c r="M1745" t="s">
        <v>30305</v>
      </c>
      <c r="N1745" t="s">
        <v>32524</v>
      </c>
      <c r="O1745" t="s">
        <v>32525</v>
      </c>
      <c r="P1745">
        <v>0</v>
      </c>
      <c r="Q1745">
        <v>0</v>
      </c>
      <c r="R1745" t="s">
        <v>32526</v>
      </c>
      <c r="S1745" t="s">
        <v>32547</v>
      </c>
      <c r="T1745" t="s">
        <v>33202</v>
      </c>
      <c r="U1745" t="s">
        <v>35121</v>
      </c>
      <c r="W1745" t="s">
        <v>30305</v>
      </c>
      <c r="X1745" t="s">
        <v>32527</v>
      </c>
    </row>
    <row r="1746" spans="1:24">
      <c r="A1746">
        <f>HYPERLINK("https://www.philgeps.gov.ph/GEPSNONPILOT/Tender/SplashBidNoticeAbstractUI.aspx?menuIndex=3&amp;refID=7046310&amp;Result=3","7046310")</f>
        <v>0</v>
      </c>
      <c r="B1746" t="s">
        <v>524</v>
      </c>
      <c r="C1746" t="s">
        <v>4356</v>
      </c>
      <c r="D1746" t="s">
        <v>13007</v>
      </c>
      <c r="E1746" t="s">
        <v>14434</v>
      </c>
      <c r="F1746" t="s">
        <v>22436</v>
      </c>
      <c r="G1746" t="s">
        <v>22443</v>
      </c>
      <c r="H1746" t="s">
        <v>22452</v>
      </c>
      <c r="I1746" t="s">
        <v>3840</v>
      </c>
      <c r="J1746" t="s">
        <v>23036</v>
      </c>
      <c r="K1746" t="s">
        <v>29340</v>
      </c>
      <c r="M1746" t="s">
        <v>30108</v>
      </c>
      <c r="N1746" t="s">
        <v>32524</v>
      </c>
      <c r="O1746" t="s">
        <v>32525</v>
      </c>
      <c r="P1746">
        <v>0</v>
      </c>
      <c r="Q1746">
        <v>0</v>
      </c>
      <c r="R1746" t="s">
        <v>32526</v>
      </c>
      <c r="S1746" t="s">
        <v>32547</v>
      </c>
      <c r="T1746" t="s">
        <v>33161</v>
      </c>
      <c r="U1746" t="s">
        <v>35122</v>
      </c>
      <c r="V1746" t="s">
        <v>42539</v>
      </c>
      <c r="W1746" t="s">
        <v>30108</v>
      </c>
      <c r="X1746" t="s">
        <v>32527</v>
      </c>
    </row>
    <row r="1747" spans="1:24">
      <c r="A1747">
        <f>HYPERLINK("https://www.philgeps.gov.ph/GEPSNONPILOT/Tender/SplashBidNoticeAbstractUI.aspx?menuIndex=3&amp;refID=7046307&amp;Result=3","7046307")</f>
        <v>0</v>
      </c>
      <c r="B1747" t="s">
        <v>326</v>
      </c>
      <c r="C1747" t="s">
        <v>4357</v>
      </c>
      <c r="D1747" t="s">
        <v>13046</v>
      </c>
      <c r="E1747" t="s">
        <v>14672</v>
      </c>
      <c r="F1747" t="s">
        <v>22436</v>
      </c>
      <c r="G1747" t="s">
        <v>22443</v>
      </c>
      <c r="H1747" t="s">
        <v>22452</v>
      </c>
      <c r="I1747" t="s">
        <v>22482</v>
      </c>
      <c r="J1747" t="s">
        <v>23843</v>
      </c>
      <c r="K1747" t="s">
        <v>29341</v>
      </c>
      <c r="M1747" t="s">
        <v>29902</v>
      </c>
      <c r="N1747" t="s">
        <v>32524</v>
      </c>
      <c r="O1747" t="s">
        <v>32525</v>
      </c>
      <c r="P1747">
        <v>0</v>
      </c>
      <c r="Q1747">
        <v>5</v>
      </c>
      <c r="R1747" t="s">
        <v>32526</v>
      </c>
      <c r="S1747" t="s">
        <v>32547</v>
      </c>
      <c r="T1747" t="s">
        <v>33167</v>
      </c>
      <c r="U1747" t="s">
        <v>35123</v>
      </c>
      <c r="W1747" t="s">
        <v>29902</v>
      </c>
      <c r="X1747" t="s">
        <v>32527</v>
      </c>
    </row>
    <row r="1748" spans="1:24">
      <c r="A1748">
        <f>HYPERLINK("https://www.philgeps.gov.ph/GEPSNONPILOT/Tender/SplashBidNoticeAbstractUI.aspx?menuIndex=3&amp;refID=7046312&amp;Result=3","7046312")</f>
        <v>0</v>
      </c>
      <c r="B1748" t="s">
        <v>692</v>
      </c>
      <c r="C1748" t="s">
        <v>4358</v>
      </c>
      <c r="D1748" t="s">
        <v>13032</v>
      </c>
      <c r="E1748" t="s">
        <v>14673</v>
      </c>
      <c r="F1748" t="s">
        <v>22436</v>
      </c>
      <c r="G1748" t="s">
        <v>22444</v>
      </c>
      <c r="H1748" t="s">
        <v>22452</v>
      </c>
      <c r="I1748" t="s">
        <v>22465</v>
      </c>
      <c r="J1748" t="s">
        <v>23844</v>
      </c>
      <c r="K1748" t="s">
        <v>29338</v>
      </c>
      <c r="M1748" t="s">
        <v>30286</v>
      </c>
      <c r="N1748" t="s">
        <v>32524</v>
      </c>
      <c r="O1748" t="s">
        <v>32525</v>
      </c>
      <c r="P1748">
        <v>0</v>
      </c>
      <c r="Q1748">
        <v>0</v>
      </c>
      <c r="R1748" t="s">
        <v>32526</v>
      </c>
      <c r="S1748" t="s">
        <v>32547</v>
      </c>
      <c r="T1748" t="s">
        <v>33187</v>
      </c>
      <c r="U1748" t="s">
        <v>35085</v>
      </c>
      <c r="V1748" t="s">
        <v>42583</v>
      </c>
      <c r="W1748" t="s">
        <v>30286</v>
      </c>
      <c r="X1748" t="s">
        <v>32527</v>
      </c>
    </row>
    <row r="1749" spans="1:24">
      <c r="A1749">
        <f>HYPERLINK("https://www.philgeps.gov.ph/GEPSNONPILOT/Tender/SplashBidNoticeAbstractUI.aspx?menuIndex=3&amp;refID=7046305&amp;Result=3","7046305")</f>
        <v>0</v>
      </c>
      <c r="B1749" t="s">
        <v>399</v>
      </c>
      <c r="C1749" t="s">
        <v>4359</v>
      </c>
      <c r="D1749" t="s">
        <v>13025</v>
      </c>
      <c r="E1749" t="s">
        <v>14674</v>
      </c>
      <c r="F1749" t="s">
        <v>22436</v>
      </c>
      <c r="G1749" t="s">
        <v>22443</v>
      </c>
      <c r="H1749" t="s">
        <v>22452</v>
      </c>
      <c r="I1749" t="s">
        <v>3827</v>
      </c>
      <c r="J1749" t="s">
        <v>23120</v>
      </c>
      <c r="K1749" t="s">
        <v>29338</v>
      </c>
      <c r="M1749" t="s">
        <v>29978</v>
      </c>
      <c r="N1749" t="s">
        <v>32524</v>
      </c>
      <c r="O1749" t="s">
        <v>32525</v>
      </c>
      <c r="P1749">
        <v>0</v>
      </c>
      <c r="Q1749">
        <v>0</v>
      </c>
      <c r="R1749" t="s">
        <v>32526</v>
      </c>
      <c r="S1749" t="s">
        <v>32547</v>
      </c>
      <c r="T1749" t="s">
        <v>33186</v>
      </c>
      <c r="U1749" t="s">
        <v>35093</v>
      </c>
      <c r="W1749" t="s">
        <v>29978</v>
      </c>
      <c r="X1749" t="s">
        <v>32527</v>
      </c>
    </row>
    <row r="1750" spans="1:24">
      <c r="A1750">
        <f>HYPERLINK("https://www.philgeps.gov.ph/GEPSNONPILOT/Tender/SplashBidNoticeAbstractUI.aspx?menuIndex=3&amp;refID=7046304&amp;Result=3","7046304")</f>
        <v>0</v>
      </c>
      <c r="B1750" t="s">
        <v>379</v>
      </c>
      <c r="C1750" t="s">
        <v>4360</v>
      </c>
      <c r="D1750" t="s">
        <v>13042</v>
      </c>
      <c r="E1750" t="s">
        <v>13321</v>
      </c>
      <c r="F1750" t="s">
        <v>22436</v>
      </c>
      <c r="G1750" t="s">
        <v>22443</v>
      </c>
      <c r="H1750" t="s">
        <v>22452</v>
      </c>
      <c r="I1750" t="s">
        <v>2981</v>
      </c>
      <c r="J1750" t="s">
        <v>22874</v>
      </c>
      <c r="K1750" t="s">
        <v>29336</v>
      </c>
      <c r="M1750" t="s">
        <v>29957</v>
      </c>
      <c r="N1750" t="s">
        <v>32524</v>
      </c>
      <c r="O1750" t="s">
        <v>32525</v>
      </c>
      <c r="P1750">
        <v>0</v>
      </c>
      <c r="Q1750">
        <v>1</v>
      </c>
      <c r="R1750" t="s">
        <v>32526</v>
      </c>
      <c r="S1750" t="s">
        <v>32547</v>
      </c>
      <c r="T1750" t="s">
        <v>33285</v>
      </c>
      <c r="U1750" t="s">
        <v>35124</v>
      </c>
      <c r="W1750" t="s">
        <v>29957</v>
      </c>
      <c r="X1750" t="s">
        <v>32527</v>
      </c>
    </row>
    <row r="1751" spans="1:24">
      <c r="A1751">
        <f>HYPERLINK("https://www.philgeps.gov.ph/GEPSNONPILOT/Tender/SplashBidNoticeAbstractUI.aspx?menuIndex=3&amp;refID=7046311&amp;Result=3","7046311")</f>
        <v>0</v>
      </c>
      <c r="B1751" t="s">
        <v>703</v>
      </c>
      <c r="C1751" t="s">
        <v>4361</v>
      </c>
      <c r="D1751" t="s">
        <v>13070</v>
      </c>
      <c r="E1751" t="s">
        <v>14675</v>
      </c>
      <c r="F1751" t="s">
        <v>22436</v>
      </c>
      <c r="G1751" t="s">
        <v>22444</v>
      </c>
      <c r="H1751" t="s">
        <v>22454</v>
      </c>
      <c r="I1751" t="s">
        <v>7738</v>
      </c>
      <c r="J1751" t="s">
        <v>23845</v>
      </c>
      <c r="K1751" t="s">
        <v>29409</v>
      </c>
      <c r="M1751" t="s">
        <v>30300</v>
      </c>
      <c r="N1751" t="s">
        <v>32524</v>
      </c>
      <c r="O1751" t="s">
        <v>32525</v>
      </c>
      <c r="P1751">
        <v>0</v>
      </c>
      <c r="Q1751">
        <v>0</v>
      </c>
      <c r="R1751" t="s">
        <v>32526</v>
      </c>
      <c r="S1751" t="s">
        <v>32547</v>
      </c>
      <c r="T1751" t="s">
        <v>33335</v>
      </c>
      <c r="U1751" t="s">
        <v>35125</v>
      </c>
      <c r="W1751" t="s">
        <v>30300</v>
      </c>
      <c r="X1751" t="s">
        <v>32527</v>
      </c>
    </row>
    <row r="1752" spans="1:24">
      <c r="A1752">
        <f>HYPERLINK("https://www.philgeps.gov.ph/GEPSNONPILOT/Tender/SplashBidNoticeAbstractUI.aspx?menuIndex=3&amp;refID=7046309&amp;Result=3","7046309")</f>
        <v>0</v>
      </c>
      <c r="B1752" t="s">
        <v>709</v>
      </c>
      <c r="C1752" t="s">
        <v>4362</v>
      </c>
      <c r="D1752" t="s">
        <v>12988</v>
      </c>
      <c r="E1752" t="s">
        <v>14676</v>
      </c>
      <c r="F1752" t="s">
        <v>22436</v>
      </c>
      <c r="G1752" t="s">
        <v>22443</v>
      </c>
      <c r="H1752" t="s">
        <v>22452</v>
      </c>
      <c r="I1752" t="s">
        <v>22519</v>
      </c>
      <c r="J1752" t="s">
        <v>22874</v>
      </c>
      <c r="K1752" t="s">
        <v>29371</v>
      </c>
      <c r="M1752" t="s">
        <v>30306</v>
      </c>
      <c r="N1752" t="s">
        <v>32524</v>
      </c>
      <c r="O1752" t="s">
        <v>32525</v>
      </c>
      <c r="P1752">
        <v>0</v>
      </c>
      <c r="Q1752">
        <v>1</v>
      </c>
      <c r="R1752" t="s">
        <v>32526</v>
      </c>
      <c r="S1752" t="s">
        <v>32547</v>
      </c>
      <c r="T1752" t="s">
        <v>33167</v>
      </c>
      <c r="U1752" t="s">
        <v>35126</v>
      </c>
      <c r="W1752" t="s">
        <v>30306</v>
      </c>
      <c r="X1752" t="s">
        <v>32527</v>
      </c>
    </row>
    <row r="1753" spans="1:24">
      <c r="A1753">
        <f>HYPERLINK("https://www.philgeps.gov.ph/GEPSNONPILOT/Tender/SplashBidNoticeAbstractUI.aspx?menuIndex=3&amp;refID=7046306&amp;Result=3","7046306")</f>
        <v>0</v>
      </c>
      <c r="B1753" t="s">
        <v>290</v>
      </c>
      <c r="C1753" t="s">
        <v>4363</v>
      </c>
      <c r="D1753" t="s">
        <v>13011</v>
      </c>
      <c r="E1753" t="s">
        <v>14677</v>
      </c>
      <c r="F1753" t="s">
        <v>22436</v>
      </c>
      <c r="G1753" t="s">
        <v>22443</v>
      </c>
      <c r="H1753" t="s">
        <v>22452</v>
      </c>
      <c r="I1753" t="s">
        <v>2981</v>
      </c>
      <c r="J1753" t="s">
        <v>23846</v>
      </c>
      <c r="K1753" t="s">
        <v>29334</v>
      </c>
      <c r="M1753" t="s">
        <v>29864</v>
      </c>
      <c r="N1753" t="s">
        <v>32524</v>
      </c>
      <c r="O1753" t="s">
        <v>32525</v>
      </c>
      <c r="P1753">
        <v>0</v>
      </c>
      <c r="Q1753">
        <v>0</v>
      </c>
      <c r="R1753" t="s">
        <v>32526</v>
      </c>
      <c r="S1753" t="s">
        <v>32547</v>
      </c>
      <c r="T1753" t="s">
        <v>33228</v>
      </c>
      <c r="U1753" t="s">
        <v>35127</v>
      </c>
      <c r="W1753" t="s">
        <v>43676</v>
      </c>
      <c r="X1753" t="s">
        <v>32527</v>
      </c>
    </row>
    <row r="1754" spans="1:24">
      <c r="A1754">
        <f>HYPERLINK("https://www.philgeps.gov.ph/GEPSNONPILOT/Tender/SplashBidNoticeAbstractUI.aspx?menuIndex=3&amp;refID=7046326&amp;Result=3","7046326")</f>
        <v>0</v>
      </c>
      <c r="B1754" t="s">
        <v>542</v>
      </c>
      <c r="C1754" t="s">
        <v>4364</v>
      </c>
      <c r="D1754" t="s">
        <v>13062</v>
      </c>
      <c r="E1754" t="s">
        <v>14678</v>
      </c>
      <c r="F1754" t="s">
        <v>22436</v>
      </c>
      <c r="G1754" t="s">
        <v>22446</v>
      </c>
      <c r="H1754" t="s">
        <v>22452</v>
      </c>
      <c r="I1754" t="s">
        <v>22482</v>
      </c>
      <c r="J1754" t="s">
        <v>23847</v>
      </c>
      <c r="K1754" t="s">
        <v>29331</v>
      </c>
      <c r="M1754" t="s">
        <v>30294</v>
      </c>
      <c r="N1754" t="s">
        <v>32524</v>
      </c>
      <c r="O1754" t="s">
        <v>32525</v>
      </c>
      <c r="P1754">
        <v>0</v>
      </c>
      <c r="Q1754">
        <v>1</v>
      </c>
      <c r="R1754" t="s">
        <v>32526</v>
      </c>
      <c r="S1754" t="s">
        <v>32547</v>
      </c>
      <c r="T1754" t="s">
        <v>33338</v>
      </c>
      <c r="U1754" t="s">
        <v>35128</v>
      </c>
      <c r="W1754" t="s">
        <v>30294</v>
      </c>
      <c r="X1754" t="s">
        <v>32527</v>
      </c>
    </row>
    <row r="1755" spans="1:24">
      <c r="A1755">
        <f>HYPERLINK("https://www.philgeps.gov.ph/GEPSNONPILOT/Tender/SplashBidNoticeAbstractUI.aspx?menuIndex=3&amp;refID=7046325&amp;Result=3","7046325")</f>
        <v>0</v>
      </c>
      <c r="B1755" t="s">
        <v>710</v>
      </c>
      <c r="C1755" t="s">
        <v>4365</v>
      </c>
      <c r="D1755" t="s">
        <v>12994</v>
      </c>
      <c r="E1755" t="s">
        <v>14679</v>
      </c>
      <c r="F1755" t="s">
        <v>22436</v>
      </c>
      <c r="G1755" t="s">
        <v>22443</v>
      </c>
      <c r="H1755" t="s">
        <v>22452</v>
      </c>
      <c r="I1755" t="s">
        <v>22524</v>
      </c>
      <c r="J1755" t="s">
        <v>22875</v>
      </c>
      <c r="K1755" t="s">
        <v>29341</v>
      </c>
      <c r="M1755" t="s">
        <v>30307</v>
      </c>
      <c r="N1755" t="s">
        <v>32524</v>
      </c>
      <c r="O1755" t="s">
        <v>32525</v>
      </c>
      <c r="P1755">
        <v>0</v>
      </c>
      <c r="Q1755">
        <v>2</v>
      </c>
      <c r="R1755" t="s">
        <v>32526</v>
      </c>
      <c r="S1755" t="s">
        <v>32547</v>
      </c>
      <c r="T1755" t="s">
        <v>33169</v>
      </c>
      <c r="U1755" t="s">
        <v>35129</v>
      </c>
      <c r="W1755" t="s">
        <v>30307</v>
      </c>
      <c r="X1755" t="s">
        <v>32527</v>
      </c>
    </row>
    <row r="1756" spans="1:24">
      <c r="A1756">
        <f>HYPERLINK("https://www.philgeps.gov.ph/GEPSNONPILOT/Tender/SplashBidNoticeAbstractUI.aspx?menuIndex=3&amp;refID=7046322&amp;Result=3","7046322")</f>
        <v>0</v>
      </c>
      <c r="B1756" t="s">
        <v>711</v>
      </c>
      <c r="C1756" t="s">
        <v>4366</v>
      </c>
      <c r="D1756" t="s">
        <v>13020</v>
      </c>
      <c r="E1756" t="s">
        <v>14074</v>
      </c>
      <c r="F1756" t="s">
        <v>22436</v>
      </c>
      <c r="G1756" t="s">
        <v>22444</v>
      </c>
      <c r="H1756" t="s">
        <v>22452</v>
      </c>
      <c r="I1756" t="s">
        <v>3529</v>
      </c>
      <c r="J1756" t="s">
        <v>22853</v>
      </c>
      <c r="K1756" t="s">
        <v>29335</v>
      </c>
      <c r="M1756" t="s">
        <v>30308</v>
      </c>
      <c r="N1756" t="s">
        <v>32524</v>
      </c>
      <c r="O1756" t="s">
        <v>32525</v>
      </c>
      <c r="P1756">
        <v>0</v>
      </c>
      <c r="Q1756">
        <v>0</v>
      </c>
      <c r="R1756" t="s">
        <v>32526</v>
      </c>
      <c r="S1756" t="s">
        <v>32547</v>
      </c>
      <c r="T1756" t="s">
        <v>33163</v>
      </c>
      <c r="U1756" t="s">
        <v>35130</v>
      </c>
      <c r="W1756" t="s">
        <v>30308</v>
      </c>
      <c r="X1756" t="s">
        <v>32527</v>
      </c>
    </row>
    <row r="1757" spans="1:24">
      <c r="A1757">
        <f>HYPERLINK("https://www.philgeps.gov.ph/GEPSNONPILOT/Tender/SplashBidNoticeAbstractUI.aspx?menuIndex=3&amp;refID=7046324&amp;Result=3","7046324")</f>
        <v>0</v>
      </c>
      <c r="B1757" t="s">
        <v>712</v>
      </c>
      <c r="C1757" t="s">
        <v>4367</v>
      </c>
      <c r="D1757" t="s">
        <v>13007</v>
      </c>
      <c r="E1757" t="s">
        <v>14018</v>
      </c>
      <c r="F1757" t="s">
        <v>22436</v>
      </c>
      <c r="G1757" t="s">
        <v>22443</v>
      </c>
      <c r="H1757" t="s">
        <v>22452</v>
      </c>
      <c r="I1757" t="s">
        <v>2993</v>
      </c>
      <c r="J1757" t="s">
        <v>23848</v>
      </c>
      <c r="K1757" t="s">
        <v>29356</v>
      </c>
      <c r="L1757" t="s">
        <v>712</v>
      </c>
      <c r="M1757" t="s">
        <v>30309</v>
      </c>
      <c r="N1757" t="s">
        <v>32524</v>
      </c>
      <c r="O1757" t="s">
        <v>32525</v>
      </c>
      <c r="P1757">
        <v>0</v>
      </c>
      <c r="Q1757">
        <v>0</v>
      </c>
      <c r="R1757" t="s">
        <v>32526</v>
      </c>
      <c r="S1757" t="s">
        <v>32547</v>
      </c>
      <c r="T1757" t="s">
        <v>33215</v>
      </c>
      <c r="U1757" t="s">
        <v>35131</v>
      </c>
      <c r="V1757" t="s">
        <v>42588</v>
      </c>
      <c r="W1757" t="s">
        <v>30309</v>
      </c>
      <c r="X1757" t="s">
        <v>32527</v>
      </c>
    </row>
    <row r="1758" spans="1:24">
      <c r="A1758">
        <f>HYPERLINK("https://www.philgeps.gov.ph/GEPSNONPILOT/Tender/SplashBidNoticeAbstractUI.aspx?menuIndex=3&amp;refID=7046321&amp;Result=3","7046321")</f>
        <v>0</v>
      </c>
      <c r="B1758" t="s">
        <v>706</v>
      </c>
      <c r="C1758" t="s">
        <v>4368</v>
      </c>
      <c r="D1758" t="s">
        <v>12993</v>
      </c>
      <c r="E1758" t="s">
        <v>14680</v>
      </c>
      <c r="F1758" t="s">
        <v>22436</v>
      </c>
      <c r="G1758" t="s">
        <v>22443</v>
      </c>
      <c r="H1758" t="s">
        <v>22452</v>
      </c>
      <c r="I1758" t="s">
        <v>22460</v>
      </c>
      <c r="J1758" t="s">
        <v>23849</v>
      </c>
      <c r="K1758" t="s">
        <v>29356</v>
      </c>
      <c r="M1758" t="s">
        <v>30303</v>
      </c>
      <c r="N1758" t="s">
        <v>32524</v>
      </c>
      <c r="O1758" t="s">
        <v>32525</v>
      </c>
      <c r="P1758">
        <v>0</v>
      </c>
      <c r="Q1758">
        <v>1</v>
      </c>
      <c r="R1758" t="s">
        <v>32526</v>
      </c>
      <c r="S1758" t="s">
        <v>32547</v>
      </c>
      <c r="T1758" t="s">
        <v>33167</v>
      </c>
      <c r="U1758" t="s">
        <v>35132</v>
      </c>
      <c r="W1758" t="s">
        <v>30303</v>
      </c>
      <c r="X1758" t="s">
        <v>32527</v>
      </c>
    </row>
    <row r="1759" spans="1:24">
      <c r="A1759">
        <f>HYPERLINK("https://www.philgeps.gov.ph/GEPSNONPILOT/Tender/SplashBidNoticeAbstractUI.aspx?menuIndex=3&amp;refID=7046328&amp;Result=3","7046328")</f>
        <v>0</v>
      </c>
      <c r="B1759" t="s">
        <v>713</v>
      </c>
      <c r="C1759" t="s">
        <v>4369</v>
      </c>
      <c r="D1759" t="s">
        <v>13007</v>
      </c>
      <c r="E1759" t="s">
        <v>14681</v>
      </c>
      <c r="F1759" t="s">
        <v>22436</v>
      </c>
      <c r="G1759" t="s">
        <v>22443</v>
      </c>
      <c r="H1759" t="s">
        <v>22452</v>
      </c>
      <c r="I1759" t="s">
        <v>12358</v>
      </c>
      <c r="J1759" t="s">
        <v>23850</v>
      </c>
      <c r="K1759" t="s">
        <v>29331</v>
      </c>
      <c r="M1759" t="s">
        <v>30310</v>
      </c>
      <c r="N1759" t="s">
        <v>32524</v>
      </c>
      <c r="O1759" t="s">
        <v>32525</v>
      </c>
      <c r="P1759">
        <v>0</v>
      </c>
      <c r="Q1759">
        <v>1</v>
      </c>
      <c r="R1759" t="s">
        <v>32526</v>
      </c>
      <c r="S1759" t="s">
        <v>32547</v>
      </c>
      <c r="T1759" t="s">
        <v>33154</v>
      </c>
      <c r="U1759" t="s">
        <v>35133</v>
      </c>
      <c r="W1759" t="s">
        <v>30310</v>
      </c>
      <c r="X1759" t="s">
        <v>32527</v>
      </c>
    </row>
    <row r="1760" spans="1:24">
      <c r="A1760">
        <f>HYPERLINK("https://www.philgeps.gov.ph/GEPSNONPILOT/Tender/SplashBidNoticeAbstractUI.aspx?menuIndex=3&amp;refID=7046319&amp;Result=3","7046319")</f>
        <v>0</v>
      </c>
      <c r="B1760" t="s">
        <v>714</v>
      </c>
      <c r="C1760" t="s">
        <v>4370</v>
      </c>
      <c r="D1760" t="s">
        <v>13016</v>
      </c>
      <c r="E1760" t="s">
        <v>14169</v>
      </c>
      <c r="F1760" t="s">
        <v>22436</v>
      </c>
      <c r="G1760" t="s">
        <v>22444</v>
      </c>
      <c r="H1760" t="s">
        <v>22453</v>
      </c>
      <c r="I1760" t="s">
        <v>3529</v>
      </c>
      <c r="J1760" t="s">
        <v>22806</v>
      </c>
      <c r="K1760" t="s">
        <v>29335</v>
      </c>
      <c r="M1760" t="s">
        <v>30311</v>
      </c>
      <c r="N1760" t="s">
        <v>32524</v>
      </c>
      <c r="O1760" t="s">
        <v>32525</v>
      </c>
      <c r="P1760">
        <v>0</v>
      </c>
      <c r="Q1760">
        <v>0</v>
      </c>
      <c r="R1760" t="s">
        <v>32526</v>
      </c>
      <c r="S1760" t="s">
        <v>32547</v>
      </c>
      <c r="T1760" t="s">
        <v>33190</v>
      </c>
      <c r="U1760" t="s">
        <v>35134</v>
      </c>
      <c r="W1760" t="s">
        <v>30311</v>
      </c>
      <c r="X1760" t="s">
        <v>32527</v>
      </c>
    </row>
    <row r="1761" spans="1:24">
      <c r="A1761">
        <f>HYPERLINK("https://www.philgeps.gov.ph/GEPSNONPILOT/Tender/SplashBidNoticeAbstractUI.aspx?menuIndex=3&amp;refID=7046330&amp;Result=3","7046330")</f>
        <v>0</v>
      </c>
      <c r="B1761" t="s">
        <v>699</v>
      </c>
      <c r="C1761" t="s">
        <v>4371</v>
      </c>
      <c r="D1761" t="s">
        <v>13045</v>
      </c>
      <c r="E1761" t="s">
        <v>14682</v>
      </c>
      <c r="F1761" t="s">
        <v>22436</v>
      </c>
      <c r="G1761" t="s">
        <v>22443</v>
      </c>
      <c r="H1761" t="s">
        <v>22452</v>
      </c>
      <c r="I1761" t="s">
        <v>12358</v>
      </c>
      <c r="J1761" t="s">
        <v>23851</v>
      </c>
      <c r="K1761" t="s">
        <v>29331</v>
      </c>
      <c r="M1761" t="s">
        <v>30295</v>
      </c>
      <c r="N1761" t="s">
        <v>32524</v>
      </c>
      <c r="O1761" t="s">
        <v>32525</v>
      </c>
      <c r="P1761">
        <v>0</v>
      </c>
      <c r="Q1761">
        <v>0</v>
      </c>
      <c r="R1761" t="s">
        <v>32526</v>
      </c>
      <c r="S1761" t="s">
        <v>32547</v>
      </c>
      <c r="T1761" t="s">
        <v>33161</v>
      </c>
      <c r="U1761" t="s">
        <v>35135</v>
      </c>
      <c r="V1761" t="s">
        <v>42584</v>
      </c>
      <c r="W1761" t="s">
        <v>30295</v>
      </c>
      <c r="X1761" t="s">
        <v>32527</v>
      </c>
    </row>
    <row r="1762" spans="1:24">
      <c r="A1762">
        <f>HYPERLINK("https://www.philgeps.gov.ph/GEPSNONPILOT/Tender/SplashBidNoticeAbstractUI.aspx?menuIndex=3&amp;refID=7046320&amp;Result=3","7046320")</f>
        <v>0</v>
      </c>
      <c r="B1762" t="s">
        <v>715</v>
      </c>
      <c r="C1762" t="s">
        <v>4372</v>
      </c>
      <c r="D1762" t="s">
        <v>13024</v>
      </c>
      <c r="E1762" t="s">
        <v>14683</v>
      </c>
      <c r="F1762" t="s">
        <v>22436</v>
      </c>
      <c r="G1762" t="s">
        <v>22443</v>
      </c>
      <c r="H1762" t="s">
        <v>22452</v>
      </c>
      <c r="I1762" t="s">
        <v>3827</v>
      </c>
      <c r="J1762" t="s">
        <v>22654</v>
      </c>
      <c r="K1762" t="s">
        <v>29331</v>
      </c>
      <c r="M1762" t="s">
        <v>30312</v>
      </c>
      <c r="N1762" t="s">
        <v>32524</v>
      </c>
      <c r="O1762" t="s">
        <v>32525</v>
      </c>
      <c r="P1762">
        <v>0</v>
      </c>
      <c r="Q1762">
        <v>2</v>
      </c>
      <c r="R1762" t="s">
        <v>32526</v>
      </c>
      <c r="S1762" t="s">
        <v>32547</v>
      </c>
      <c r="T1762" t="s">
        <v>33197</v>
      </c>
      <c r="U1762" t="s">
        <v>35136</v>
      </c>
      <c r="W1762" t="s">
        <v>30312</v>
      </c>
      <c r="X1762" t="s">
        <v>32527</v>
      </c>
    </row>
    <row r="1763" spans="1:24">
      <c r="A1763">
        <f>HYPERLINK("https://www.philgeps.gov.ph/GEPSNONPILOT/Tender/SplashBidNoticeAbstractUI.aspx?menuIndex=3&amp;refID=7046333&amp;Result=3","7046333")</f>
        <v>0</v>
      </c>
      <c r="B1763" t="s">
        <v>705</v>
      </c>
      <c r="C1763" t="s">
        <v>4373</v>
      </c>
      <c r="D1763" t="s">
        <v>13007</v>
      </c>
      <c r="E1763" t="s">
        <v>14684</v>
      </c>
      <c r="F1763" t="s">
        <v>22436</v>
      </c>
      <c r="G1763" t="s">
        <v>22444</v>
      </c>
      <c r="H1763" t="s">
        <v>22452</v>
      </c>
      <c r="I1763" t="s">
        <v>3529</v>
      </c>
      <c r="J1763" t="s">
        <v>23852</v>
      </c>
      <c r="K1763" t="s">
        <v>29338</v>
      </c>
      <c r="M1763" t="s">
        <v>30302</v>
      </c>
      <c r="N1763" t="s">
        <v>32524</v>
      </c>
      <c r="O1763" t="s">
        <v>32525</v>
      </c>
      <c r="P1763">
        <v>0</v>
      </c>
      <c r="Q1763">
        <v>0</v>
      </c>
      <c r="R1763" t="s">
        <v>32526</v>
      </c>
      <c r="S1763" t="s">
        <v>32547</v>
      </c>
      <c r="T1763" t="s">
        <v>33337</v>
      </c>
      <c r="U1763" t="s">
        <v>35137</v>
      </c>
      <c r="W1763" t="s">
        <v>30302</v>
      </c>
      <c r="X1763" t="s">
        <v>32527</v>
      </c>
    </row>
    <row r="1764" spans="1:24">
      <c r="A1764">
        <f>HYPERLINK("https://www.philgeps.gov.ph/GEPSNONPILOT/Tender/SplashBidNoticeAbstractUI.aspx?menuIndex=3&amp;refID=7046356&amp;Result=3","7046356")</f>
        <v>0</v>
      </c>
      <c r="B1764" t="s">
        <v>711</v>
      </c>
      <c r="C1764" t="s">
        <v>4374</v>
      </c>
      <c r="D1764" t="s">
        <v>13020</v>
      </c>
      <c r="E1764" t="s">
        <v>14685</v>
      </c>
      <c r="F1764" t="s">
        <v>22436</v>
      </c>
      <c r="G1764" t="s">
        <v>22444</v>
      </c>
      <c r="H1764" t="s">
        <v>22454</v>
      </c>
      <c r="I1764" t="s">
        <v>7738</v>
      </c>
      <c r="J1764" t="s">
        <v>23853</v>
      </c>
      <c r="K1764" t="s">
        <v>29362</v>
      </c>
      <c r="M1764" t="s">
        <v>30308</v>
      </c>
      <c r="N1764" t="s">
        <v>32524</v>
      </c>
      <c r="O1764" t="s">
        <v>32525</v>
      </c>
      <c r="P1764">
        <v>0</v>
      </c>
      <c r="Q1764">
        <v>0</v>
      </c>
      <c r="R1764" t="s">
        <v>32526</v>
      </c>
      <c r="S1764" t="s">
        <v>32547</v>
      </c>
      <c r="T1764" t="s">
        <v>33186</v>
      </c>
      <c r="U1764" t="s">
        <v>35138</v>
      </c>
      <c r="W1764" t="s">
        <v>30308</v>
      </c>
      <c r="X1764" t="s">
        <v>32527</v>
      </c>
    </row>
    <row r="1765" spans="1:24">
      <c r="A1765">
        <f>HYPERLINK("https://www.philgeps.gov.ph/GEPSNONPILOT/Tender/SplashBidNoticeAbstractUI.aspx?menuIndex=3&amp;refID=7046340&amp;Result=3","7046340")</f>
        <v>0</v>
      </c>
      <c r="B1765" t="s">
        <v>716</v>
      </c>
      <c r="C1765" t="s">
        <v>4375</v>
      </c>
      <c r="D1765" t="s">
        <v>12995</v>
      </c>
      <c r="E1765" t="s">
        <v>14686</v>
      </c>
      <c r="F1765" t="s">
        <v>22436</v>
      </c>
      <c r="G1765" t="s">
        <v>22445</v>
      </c>
      <c r="H1765" t="s">
        <v>22452</v>
      </c>
      <c r="I1765" t="s">
        <v>3827</v>
      </c>
      <c r="J1765" t="s">
        <v>23854</v>
      </c>
      <c r="K1765" t="s">
        <v>29336</v>
      </c>
      <c r="M1765" t="s">
        <v>30313</v>
      </c>
      <c r="N1765" t="s">
        <v>32524</v>
      </c>
      <c r="O1765" t="s">
        <v>32525</v>
      </c>
      <c r="P1765">
        <v>0</v>
      </c>
      <c r="Q1765">
        <v>5</v>
      </c>
      <c r="R1765" t="s">
        <v>32526</v>
      </c>
      <c r="S1765" t="s">
        <v>32547</v>
      </c>
      <c r="T1765" t="s">
        <v>33210</v>
      </c>
      <c r="U1765" t="s">
        <v>35139</v>
      </c>
      <c r="W1765" t="s">
        <v>30313</v>
      </c>
      <c r="X1765" t="s">
        <v>32527</v>
      </c>
    </row>
    <row r="1766" spans="1:24">
      <c r="A1766">
        <f>HYPERLINK("https://www.philgeps.gov.ph/GEPSNONPILOT/Tender/SplashBidNoticeAbstractUI.aspx?menuIndex=3&amp;refID=7046353&amp;Result=3","7046353")</f>
        <v>0</v>
      </c>
      <c r="B1766" t="s">
        <v>717</v>
      </c>
      <c r="C1766" t="s">
        <v>4376</v>
      </c>
      <c r="D1766" t="s">
        <v>13024</v>
      </c>
      <c r="E1766" t="s">
        <v>14687</v>
      </c>
      <c r="F1766" t="s">
        <v>22436</v>
      </c>
      <c r="G1766" t="s">
        <v>22443</v>
      </c>
      <c r="H1766" t="s">
        <v>22452</v>
      </c>
      <c r="I1766" t="s">
        <v>3529</v>
      </c>
      <c r="J1766" t="s">
        <v>23855</v>
      </c>
      <c r="K1766" t="s">
        <v>29338</v>
      </c>
      <c r="M1766" t="s">
        <v>30314</v>
      </c>
      <c r="N1766" t="s">
        <v>32524</v>
      </c>
      <c r="O1766" t="s">
        <v>32525</v>
      </c>
      <c r="P1766">
        <v>0</v>
      </c>
      <c r="Q1766">
        <v>0</v>
      </c>
      <c r="R1766" t="s">
        <v>32526</v>
      </c>
      <c r="S1766" t="s">
        <v>32547</v>
      </c>
      <c r="T1766" t="s">
        <v>33329</v>
      </c>
      <c r="U1766" t="s">
        <v>35140</v>
      </c>
      <c r="W1766" t="s">
        <v>30314</v>
      </c>
      <c r="X1766" t="s">
        <v>32527</v>
      </c>
    </row>
    <row r="1767" spans="1:24">
      <c r="A1767">
        <f>HYPERLINK("https://www.philgeps.gov.ph/GEPSNONPILOT/Tender/SplashBidNoticeAbstractUI.aspx?menuIndex=3&amp;refID=7046351&amp;Result=3","7046351")</f>
        <v>0</v>
      </c>
      <c r="B1767" t="s">
        <v>687</v>
      </c>
      <c r="C1767" t="s">
        <v>4377</v>
      </c>
      <c r="E1767" t="s">
        <v>14688</v>
      </c>
      <c r="F1767" t="s">
        <v>22436</v>
      </c>
      <c r="G1767" t="s">
        <v>22444</v>
      </c>
      <c r="H1767" t="s">
        <v>22454</v>
      </c>
      <c r="I1767" t="s">
        <v>7738</v>
      </c>
      <c r="J1767" t="s">
        <v>23856</v>
      </c>
      <c r="K1767" t="s">
        <v>29410</v>
      </c>
      <c r="M1767" t="s">
        <v>30281</v>
      </c>
      <c r="N1767" t="s">
        <v>32524</v>
      </c>
      <c r="O1767" t="s">
        <v>32525</v>
      </c>
      <c r="P1767">
        <v>0</v>
      </c>
      <c r="Q1767">
        <v>0</v>
      </c>
      <c r="R1767" t="s">
        <v>32526</v>
      </c>
      <c r="S1767" t="s">
        <v>32547</v>
      </c>
      <c r="T1767" t="s">
        <v>33157</v>
      </c>
      <c r="U1767" t="s">
        <v>35117</v>
      </c>
      <c r="W1767" t="s">
        <v>30281</v>
      </c>
      <c r="X1767" t="s">
        <v>32527</v>
      </c>
    </row>
    <row r="1768" spans="1:24">
      <c r="A1768">
        <f>HYPERLINK("https://www.philgeps.gov.ph/GEPSNONPILOT/Tender/SplashBidNoticeAbstractUI.aspx?menuIndex=3&amp;refID=7046354&amp;Result=3","7046354")</f>
        <v>0</v>
      </c>
      <c r="B1768" t="s">
        <v>644</v>
      </c>
      <c r="C1768" t="s">
        <v>4378</v>
      </c>
      <c r="D1768" t="s">
        <v>12994</v>
      </c>
      <c r="E1768" t="s">
        <v>14689</v>
      </c>
      <c r="F1768" t="s">
        <v>22436</v>
      </c>
      <c r="G1768" t="s">
        <v>22443</v>
      </c>
      <c r="H1768" t="s">
        <v>22452</v>
      </c>
      <c r="I1768" t="s">
        <v>3122</v>
      </c>
      <c r="J1768" t="s">
        <v>23235</v>
      </c>
      <c r="K1768" t="s">
        <v>29336</v>
      </c>
      <c r="M1768" t="s">
        <v>30235</v>
      </c>
      <c r="N1768" t="s">
        <v>32524</v>
      </c>
      <c r="O1768" t="s">
        <v>32525</v>
      </c>
      <c r="P1768">
        <v>0</v>
      </c>
      <c r="Q1768">
        <v>0</v>
      </c>
      <c r="R1768" t="s">
        <v>32526</v>
      </c>
      <c r="S1768" t="s">
        <v>32547</v>
      </c>
      <c r="T1768" t="s">
        <v>33339</v>
      </c>
      <c r="U1768" t="s">
        <v>35141</v>
      </c>
      <c r="V1768" t="s">
        <v>42589</v>
      </c>
      <c r="W1768" t="s">
        <v>30235</v>
      </c>
      <c r="X1768" t="s">
        <v>32527</v>
      </c>
    </row>
    <row r="1769" spans="1:24">
      <c r="A1769">
        <f>HYPERLINK("https://www.philgeps.gov.ph/GEPSNONPILOT/Tender/SplashBidNoticeAbstractUI.aspx?menuIndex=3&amp;refID=7046331&amp;Result=3","7046331")</f>
        <v>0</v>
      </c>
      <c r="B1769" t="s">
        <v>399</v>
      </c>
      <c r="C1769" t="s">
        <v>4379</v>
      </c>
      <c r="D1769" t="s">
        <v>13025</v>
      </c>
      <c r="E1769" t="s">
        <v>14690</v>
      </c>
      <c r="F1769" t="s">
        <v>22436</v>
      </c>
      <c r="G1769" t="s">
        <v>22443</v>
      </c>
      <c r="H1769" t="s">
        <v>22452</v>
      </c>
      <c r="I1769" t="s">
        <v>22474</v>
      </c>
      <c r="J1769" t="s">
        <v>22704</v>
      </c>
      <c r="K1769" t="s">
        <v>29338</v>
      </c>
      <c r="M1769" t="s">
        <v>29978</v>
      </c>
      <c r="N1769" t="s">
        <v>32524</v>
      </c>
      <c r="O1769" t="s">
        <v>32525</v>
      </c>
      <c r="P1769">
        <v>0</v>
      </c>
      <c r="Q1769">
        <v>0</v>
      </c>
      <c r="R1769" t="s">
        <v>32526</v>
      </c>
      <c r="S1769" t="s">
        <v>32547</v>
      </c>
      <c r="T1769" t="s">
        <v>33186</v>
      </c>
      <c r="U1769" t="s">
        <v>35093</v>
      </c>
      <c r="W1769" t="s">
        <v>29978</v>
      </c>
      <c r="X1769" t="s">
        <v>32527</v>
      </c>
    </row>
    <row r="1770" spans="1:24">
      <c r="A1770">
        <f>HYPERLINK("https://www.philgeps.gov.ph/GEPSNONPILOT/Tender/SplashBidNoticeAbstractUI.aspx?menuIndex=3&amp;refID=7046347&amp;Result=3","7046347")</f>
        <v>0</v>
      </c>
      <c r="B1770" t="s">
        <v>692</v>
      </c>
      <c r="C1770" t="s">
        <v>4380</v>
      </c>
      <c r="D1770" t="s">
        <v>13032</v>
      </c>
      <c r="E1770" t="s">
        <v>14691</v>
      </c>
      <c r="F1770" t="s">
        <v>22436</v>
      </c>
      <c r="G1770" t="s">
        <v>22444</v>
      </c>
      <c r="H1770" t="s">
        <v>22452</v>
      </c>
      <c r="I1770" t="s">
        <v>22463</v>
      </c>
      <c r="J1770" t="s">
        <v>23857</v>
      </c>
      <c r="K1770" t="s">
        <v>29338</v>
      </c>
      <c r="M1770" t="s">
        <v>30286</v>
      </c>
      <c r="N1770" t="s">
        <v>32524</v>
      </c>
      <c r="O1770" t="s">
        <v>32525</v>
      </c>
      <c r="P1770">
        <v>0</v>
      </c>
      <c r="Q1770">
        <v>3</v>
      </c>
      <c r="R1770" t="s">
        <v>32526</v>
      </c>
      <c r="S1770" t="s">
        <v>32547</v>
      </c>
      <c r="T1770" t="s">
        <v>33187</v>
      </c>
      <c r="U1770" t="s">
        <v>35085</v>
      </c>
      <c r="V1770" t="s">
        <v>42583</v>
      </c>
      <c r="W1770" t="s">
        <v>30286</v>
      </c>
      <c r="X1770" t="s">
        <v>32527</v>
      </c>
    </row>
    <row r="1771" spans="1:24">
      <c r="A1771">
        <f>HYPERLINK("https://www.philgeps.gov.ph/GEPSNONPILOT/Tender/SplashBidNoticeAbstractUI.aspx?menuIndex=3&amp;refID=7046350&amp;Result=3","7046350")</f>
        <v>0</v>
      </c>
      <c r="B1771" t="s">
        <v>88</v>
      </c>
      <c r="C1771" t="s">
        <v>4381</v>
      </c>
      <c r="D1771" t="s">
        <v>13025</v>
      </c>
      <c r="E1771" t="s">
        <v>14692</v>
      </c>
      <c r="F1771" t="s">
        <v>22436</v>
      </c>
      <c r="G1771" t="s">
        <v>22443</v>
      </c>
      <c r="H1771" t="s">
        <v>22452</v>
      </c>
      <c r="I1771" t="s">
        <v>22468</v>
      </c>
      <c r="J1771" t="s">
        <v>23858</v>
      </c>
      <c r="K1771" t="s">
        <v>29338</v>
      </c>
      <c r="M1771" t="s">
        <v>29660</v>
      </c>
      <c r="N1771" t="s">
        <v>32524</v>
      </c>
      <c r="O1771" t="s">
        <v>32525</v>
      </c>
      <c r="P1771">
        <v>0</v>
      </c>
      <c r="Q1771">
        <v>0</v>
      </c>
      <c r="R1771" t="s">
        <v>32526</v>
      </c>
      <c r="S1771" t="s">
        <v>32547</v>
      </c>
      <c r="T1771" t="s">
        <v>33196</v>
      </c>
      <c r="U1771" t="s">
        <v>35142</v>
      </c>
      <c r="W1771" t="s">
        <v>29660</v>
      </c>
      <c r="X1771" t="s">
        <v>32527</v>
      </c>
    </row>
    <row r="1772" spans="1:24">
      <c r="A1772">
        <f>HYPERLINK("https://www.philgeps.gov.ph/GEPSNONPILOT/Tender/SplashBidNoticeAbstractUI.aspx?menuIndex=3&amp;refID=7046336&amp;Result=3","7046336")</f>
        <v>0</v>
      </c>
      <c r="B1772" t="s">
        <v>718</v>
      </c>
      <c r="C1772" t="s">
        <v>4382</v>
      </c>
      <c r="D1772" t="s">
        <v>12988</v>
      </c>
      <c r="E1772" t="s">
        <v>14693</v>
      </c>
      <c r="F1772" t="s">
        <v>22436</v>
      </c>
      <c r="G1772" t="s">
        <v>22443</v>
      </c>
      <c r="H1772" t="s">
        <v>22452</v>
      </c>
      <c r="I1772" t="s">
        <v>22509</v>
      </c>
      <c r="J1772" t="s">
        <v>22706</v>
      </c>
      <c r="K1772" t="s">
        <v>29341</v>
      </c>
      <c r="M1772" t="s">
        <v>30315</v>
      </c>
      <c r="N1772" t="s">
        <v>32524</v>
      </c>
      <c r="O1772" t="s">
        <v>32525</v>
      </c>
      <c r="P1772">
        <v>0</v>
      </c>
      <c r="Q1772">
        <v>5</v>
      </c>
      <c r="R1772" t="s">
        <v>32526</v>
      </c>
      <c r="S1772" t="s">
        <v>32547</v>
      </c>
      <c r="T1772" t="s">
        <v>33169</v>
      </c>
      <c r="U1772" t="s">
        <v>35143</v>
      </c>
      <c r="V1772" t="s">
        <v>42590</v>
      </c>
      <c r="W1772" t="s">
        <v>30315</v>
      </c>
      <c r="X1772" t="s">
        <v>32527</v>
      </c>
    </row>
    <row r="1773" spans="1:24">
      <c r="A1773">
        <f>HYPERLINK("https://www.philgeps.gov.ph/GEPSNONPILOT/Tender/SplashBidNoticeAbstractUI.aspx?menuIndex=3&amp;refID=7046346&amp;Result=3","7046346")</f>
        <v>0</v>
      </c>
      <c r="B1773" t="s">
        <v>706</v>
      </c>
      <c r="C1773" t="s">
        <v>4383</v>
      </c>
      <c r="D1773" t="s">
        <v>12993</v>
      </c>
      <c r="E1773" t="s">
        <v>14694</v>
      </c>
      <c r="F1773" t="s">
        <v>22436</v>
      </c>
      <c r="G1773" t="s">
        <v>22443</v>
      </c>
      <c r="H1773" t="s">
        <v>22452</v>
      </c>
      <c r="I1773" t="s">
        <v>6421</v>
      </c>
      <c r="J1773" t="s">
        <v>22640</v>
      </c>
      <c r="K1773" t="s">
        <v>29356</v>
      </c>
      <c r="M1773" t="s">
        <v>30303</v>
      </c>
      <c r="N1773" t="s">
        <v>32524</v>
      </c>
      <c r="O1773" t="s">
        <v>32525</v>
      </c>
      <c r="P1773">
        <v>0</v>
      </c>
      <c r="Q1773">
        <v>1</v>
      </c>
      <c r="R1773" t="s">
        <v>32526</v>
      </c>
      <c r="S1773" t="s">
        <v>32547</v>
      </c>
      <c r="T1773" t="s">
        <v>33167</v>
      </c>
      <c r="U1773" t="s">
        <v>35144</v>
      </c>
      <c r="W1773" t="s">
        <v>30303</v>
      </c>
      <c r="X1773" t="s">
        <v>32527</v>
      </c>
    </row>
    <row r="1774" spans="1:24">
      <c r="A1774">
        <f>HYPERLINK("https://www.philgeps.gov.ph/GEPSNONPILOT/Tender/SplashBidNoticeAbstractUI.aspx?menuIndex=3&amp;refID=7046348&amp;Result=3","7046348")</f>
        <v>0</v>
      </c>
      <c r="B1774" t="s">
        <v>719</v>
      </c>
      <c r="C1774" t="s">
        <v>4384</v>
      </c>
      <c r="D1774" t="s">
        <v>13040</v>
      </c>
      <c r="E1774" t="s">
        <v>14695</v>
      </c>
      <c r="F1774" t="s">
        <v>22436</v>
      </c>
      <c r="G1774" t="s">
        <v>22444</v>
      </c>
      <c r="H1774" t="s">
        <v>22454</v>
      </c>
      <c r="I1774" t="s">
        <v>7738</v>
      </c>
      <c r="J1774" t="s">
        <v>23859</v>
      </c>
      <c r="K1774" t="s">
        <v>29363</v>
      </c>
      <c r="M1774" t="s">
        <v>30316</v>
      </c>
      <c r="N1774" t="s">
        <v>32524</v>
      </c>
      <c r="O1774" t="s">
        <v>32525</v>
      </c>
      <c r="P1774">
        <v>0</v>
      </c>
      <c r="Q1774">
        <v>0</v>
      </c>
      <c r="R1774" t="s">
        <v>32526</v>
      </c>
      <c r="S1774" t="s">
        <v>32547</v>
      </c>
      <c r="T1774" t="s">
        <v>33233</v>
      </c>
      <c r="U1774" t="s">
        <v>35145</v>
      </c>
      <c r="W1774" t="s">
        <v>30316</v>
      </c>
      <c r="X1774" t="s">
        <v>32527</v>
      </c>
    </row>
    <row r="1775" spans="1:24">
      <c r="A1775">
        <f>HYPERLINK("https://www.philgeps.gov.ph/GEPSNONPILOT/Tender/SplashBidNoticeAbstractUI.aspx?menuIndex=3&amp;refID=7046335&amp;Result=3","7046335")</f>
        <v>0</v>
      </c>
      <c r="B1775" t="s">
        <v>684</v>
      </c>
      <c r="C1775" t="s">
        <v>4385</v>
      </c>
      <c r="D1775" t="s">
        <v>13010</v>
      </c>
      <c r="E1775" t="s">
        <v>14696</v>
      </c>
      <c r="F1775" t="s">
        <v>22436</v>
      </c>
      <c r="G1775" t="s">
        <v>22445</v>
      </c>
      <c r="H1775" t="s">
        <v>22452</v>
      </c>
      <c r="I1775" t="s">
        <v>12358</v>
      </c>
      <c r="J1775" t="s">
        <v>23860</v>
      </c>
      <c r="K1775" t="s">
        <v>29335</v>
      </c>
      <c r="M1775" t="s">
        <v>30278</v>
      </c>
      <c r="N1775" t="s">
        <v>32524</v>
      </c>
      <c r="O1775" t="s">
        <v>32525</v>
      </c>
      <c r="P1775">
        <v>0</v>
      </c>
      <c r="Q1775">
        <v>0</v>
      </c>
      <c r="R1775" t="s">
        <v>32526</v>
      </c>
      <c r="S1775" t="s">
        <v>32547</v>
      </c>
      <c r="T1775" t="s">
        <v>33230</v>
      </c>
      <c r="U1775" t="s">
        <v>35070</v>
      </c>
      <c r="W1775" t="s">
        <v>30278</v>
      </c>
      <c r="X1775" t="s">
        <v>32527</v>
      </c>
    </row>
    <row r="1776" spans="1:24">
      <c r="A1776">
        <f>HYPERLINK("https://www.philgeps.gov.ph/GEPSNONPILOT/Tender/SplashBidNoticeAbstractUI.aspx?menuIndex=3&amp;refID=7046341&amp;Result=3","7046341")</f>
        <v>0</v>
      </c>
      <c r="B1776" t="s">
        <v>324</v>
      </c>
      <c r="C1776" t="s">
        <v>4386</v>
      </c>
      <c r="E1776" t="s">
        <v>14697</v>
      </c>
      <c r="F1776" t="s">
        <v>22436</v>
      </c>
      <c r="G1776" t="s">
        <v>22443</v>
      </c>
      <c r="H1776" t="s">
        <v>22452</v>
      </c>
      <c r="I1776" t="s">
        <v>22540</v>
      </c>
      <c r="J1776" t="s">
        <v>23861</v>
      </c>
      <c r="K1776" t="s">
        <v>29338</v>
      </c>
      <c r="M1776" t="s">
        <v>29900</v>
      </c>
      <c r="N1776" t="s">
        <v>32524</v>
      </c>
      <c r="O1776" t="s">
        <v>32525</v>
      </c>
      <c r="P1776">
        <v>0</v>
      </c>
      <c r="Q1776">
        <v>0</v>
      </c>
      <c r="R1776" t="s">
        <v>32526</v>
      </c>
      <c r="S1776" t="s">
        <v>32547</v>
      </c>
      <c r="T1776" t="s">
        <v>33183</v>
      </c>
      <c r="U1776" t="s">
        <v>35146</v>
      </c>
      <c r="W1776" t="s">
        <v>29900</v>
      </c>
      <c r="X1776" t="s">
        <v>32527</v>
      </c>
    </row>
    <row r="1777" spans="1:24">
      <c r="A1777">
        <f>HYPERLINK("https://www.philgeps.gov.ph/GEPSNONPILOT/Tender/SplashBidNoticeAbstractUI.aspx?menuIndex=3&amp;refID=7046344&amp;Result=3","7046344")</f>
        <v>0</v>
      </c>
      <c r="B1777" t="s">
        <v>400</v>
      </c>
      <c r="C1777" t="s">
        <v>4387</v>
      </c>
      <c r="D1777" t="s">
        <v>13045</v>
      </c>
      <c r="E1777" t="s">
        <v>14698</v>
      </c>
      <c r="F1777" t="s">
        <v>22436</v>
      </c>
      <c r="G1777" t="s">
        <v>22444</v>
      </c>
      <c r="H1777" t="s">
        <v>22452</v>
      </c>
      <c r="I1777" t="s">
        <v>3529</v>
      </c>
      <c r="J1777" t="s">
        <v>23862</v>
      </c>
      <c r="K1777" t="s">
        <v>29336</v>
      </c>
      <c r="M1777" t="s">
        <v>29979</v>
      </c>
      <c r="N1777" t="s">
        <v>32524</v>
      </c>
      <c r="O1777" t="s">
        <v>32525</v>
      </c>
      <c r="P1777">
        <v>0</v>
      </c>
      <c r="Q1777">
        <v>0</v>
      </c>
      <c r="R1777" t="s">
        <v>32526</v>
      </c>
      <c r="S1777" t="s">
        <v>32547</v>
      </c>
      <c r="T1777" t="s">
        <v>33284</v>
      </c>
      <c r="U1777" t="s">
        <v>35147</v>
      </c>
      <c r="W1777" t="s">
        <v>29979</v>
      </c>
      <c r="X1777" t="s">
        <v>32527</v>
      </c>
    </row>
    <row r="1778" spans="1:24">
      <c r="A1778">
        <f>HYPERLINK("https://www.philgeps.gov.ph/GEPSNONPILOT/Tender/SplashBidNoticeAbstractUI.aspx?menuIndex=3&amp;refID=7046345&amp;Result=3","7046345")</f>
        <v>0</v>
      </c>
      <c r="B1778" t="s">
        <v>720</v>
      </c>
      <c r="C1778" t="s">
        <v>4388</v>
      </c>
      <c r="D1778" t="s">
        <v>13058</v>
      </c>
      <c r="E1778" t="s">
        <v>14699</v>
      </c>
      <c r="F1778" t="s">
        <v>22436</v>
      </c>
      <c r="G1778" t="s">
        <v>22444</v>
      </c>
      <c r="H1778" t="s">
        <v>22452</v>
      </c>
      <c r="I1778" t="s">
        <v>22463</v>
      </c>
      <c r="J1778" t="s">
        <v>23863</v>
      </c>
      <c r="K1778" t="s">
        <v>29336</v>
      </c>
      <c r="M1778" t="s">
        <v>30317</v>
      </c>
      <c r="N1778" t="s">
        <v>32524</v>
      </c>
      <c r="O1778" t="s">
        <v>32525</v>
      </c>
      <c r="P1778">
        <v>0</v>
      </c>
      <c r="Q1778">
        <v>2</v>
      </c>
      <c r="R1778" t="s">
        <v>32526</v>
      </c>
      <c r="S1778" t="s">
        <v>32547</v>
      </c>
      <c r="T1778" t="s">
        <v>33187</v>
      </c>
      <c r="U1778" t="s">
        <v>35148</v>
      </c>
      <c r="V1778" t="s">
        <v>42591</v>
      </c>
      <c r="W1778" t="s">
        <v>30317</v>
      </c>
      <c r="X1778" t="s">
        <v>32527</v>
      </c>
    </row>
    <row r="1779" spans="1:24">
      <c r="A1779">
        <f>HYPERLINK("https://www.philgeps.gov.ph/GEPSNONPILOT/Tender/SplashBidNoticeAbstractUI.aspx?menuIndex=3&amp;refID=7046339&amp;Result=3","7046339")</f>
        <v>0</v>
      </c>
      <c r="B1779" t="s">
        <v>721</v>
      </c>
      <c r="C1779" t="s">
        <v>4389</v>
      </c>
      <c r="D1779" t="s">
        <v>12990</v>
      </c>
      <c r="E1779" t="s">
        <v>14700</v>
      </c>
      <c r="F1779" t="s">
        <v>22436</v>
      </c>
      <c r="G1779" t="s">
        <v>22443</v>
      </c>
      <c r="H1779" t="s">
        <v>22452</v>
      </c>
      <c r="I1779" t="s">
        <v>22495</v>
      </c>
      <c r="J1779" t="s">
        <v>23864</v>
      </c>
      <c r="K1779" t="s">
        <v>29358</v>
      </c>
      <c r="M1779" t="s">
        <v>30318</v>
      </c>
      <c r="N1779" t="s">
        <v>32524</v>
      </c>
      <c r="O1779" t="s">
        <v>32525</v>
      </c>
      <c r="P1779">
        <v>0</v>
      </c>
      <c r="Q1779">
        <v>0</v>
      </c>
      <c r="R1779" t="s">
        <v>32526</v>
      </c>
      <c r="S1779" t="s">
        <v>32547</v>
      </c>
      <c r="T1779" t="s">
        <v>33167</v>
      </c>
      <c r="U1779" t="s">
        <v>35149</v>
      </c>
      <c r="W1779" t="s">
        <v>30318</v>
      </c>
      <c r="X1779" t="s">
        <v>32527</v>
      </c>
    </row>
    <row r="1780" spans="1:24">
      <c r="A1780">
        <f>HYPERLINK("https://www.philgeps.gov.ph/GEPSNONPILOT/Tender/SplashBidNoticeAbstractUI.aspx?menuIndex=3&amp;refID=7046357&amp;Result=3","7046357")</f>
        <v>0</v>
      </c>
      <c r="B1780" t="s">
        <v>399</v>
      </c>
      <c r="C1780" t="s">
        <v>4390</v>
      </c>
      <c r="D1780" t="s">
        <v>13025</v>
      </c>
      <c r="E1780" t="s">
        <v>14701</v>
      </c>
      <c r="F1780" t="s">
        <v>22436</v>
      </c>
      <c r="G1780" t="s">
        <v>22443</v>
      </c>
      <c r="H1780" t="s">
        <v>22452</v>
      </c>
      <c r="I1780" t="s">
        <v>22461</v>
      </c>
      <c r="J1780" t="s">
        <v>23865</v>
      </c>
      <c r="K1780" t="s">
        <v>29338</v>
      </c>
      <c r="M1780" t="s">
        <v>29978</v>
      </c>
      <c r="N1780" t="s">
        <v>32524</v>
      </c>
      <c r="O1780" t="s">
        <v>32525</v>
      </c>
      <c r="P1780">
        <v>0</v>
      </c>
      <c r="Q1780">
        <v>1</v>
      </c>
      <c r="R1780" t="s">
        <v>32526</v>
      </c>
      <c r="S1780" t="s">
        <v>32547</v>
      </c>
      <c r="T1780" t="s">
        <v>33186</v>
      </c>
      <c r="U1780" t="s">
        <v>35093</v>
      </c>
      <c r="W1780" t="s">
        <v>29978</v>
      </c>
      <c r="X1780" t="s">
        <v>32527</v>
      </c>
    </row>
    <row r="1781" spans="1:24">
      <c r="A1781">
        <f>HYPERLINK("https://www.philgeps.gov.ph/GEPSNONPILOT/Tender/SplashBidNoticeAbstractUI.aspx?menuIndex=3&amp;refID=7046343&amp;Result=3","7046343")</f>
        <v>0</v>
      </c>
      <c r="B1781" t="s">
        <v>249</v>
      </c>
      <c r="C1781" t="s">
        <v>4391</v>
      </c>
      <c r="D1781" t="s">
        <v>13041</v>
      </c>
      <c r="E1781" t="s">
        <v>14702</v>
      </c>
      <c r="F1781" t="s">
        <v>22436</v>
      </c>
      <c r="G1781" t="s">
        <v>22443</v>
      </c>
      <c r="H1781" t="s">
        <v>22452</v>
      </c>
      <c r="I1781" t="s">
        <v>3529</v>
      </c>
      <c r="J1781" t="s">
        <v>23866</v>
      </c>
      <c r="K1781" t="s">
        <v>29338</v>
      </c>
      <c r="M1781" t="s">
        <v>29823</v>
      </c>
      <c r="N1781" t="s">
        <v>32524</v>
      </c>
      <c r="O1781" t="s">
        <v>32525</v>
      </c>
      <c r="P1781">
        <v>0</v>
      </c>
      <c r="Q1781">
        <v>0</v>
      </c>
      <c r="R1781" t="s">
        <v>32526</v>
      </c>
      <c r="S1781" t="s">
        <v>32547</v>
      </c>
      <c r="T1781" t="s">
        <v>33169</v>
      </c>
      <c r="U1781" t="s">
        <v>35150</v>
      </c>
      <c r="W1781" t="s">
        <v>29823</v>
      </c>
      <c r="X1781" t="s">
        <v>32527</v>
      </c>
    </row>
    <row r="1782" spans="1:24">
      <c r="A1782">
        <f>HYPERLINK("https://www.philgeps.gov.ph/GEPSNONPILOT/Tender/SplashBidNoticeAbstractUI.aspx?menuIndex=3&amp;refID=7046358&amp;Result=3","7046358")</f>
        <v>0</v>
      </c>
      <c r="B1782" t="s">
        <v>655</v>
      </c>
      <c r="C1782" t="s">
        <v>4392</v>
      </c>
      <c r="D1782" t="s">
        <v>12988</v>
      </c>
      <c r="E1782" t="s">
        <v>14703</v>
      </c>
      <c r="F1782" t="s">
        <v>22436</v>
      </c>
      <c r="G1782" t="s">
        <v>22446</v>
      </c>
      <c r="H1782" t="s">
        <v>22452</v>
      </c>
      <c r="I1782" t="s">
        <v>5194</v>
      </c>
      <c r="J1782" t="s">
        <v>23867</v>
      </c>
      <c r="K1782" t="s">
        <v>29338</v>
      </c>
      <c r="M1782" t="s">
        <v>30247</v>
      </c>
      <c r="N1782" t="s">
        <v>32524</v>
      </c>
      <c r="O1782" t="s">
        <v>32525</v>
      </c>
      <c r="P1782">
        <v>0</v>
      </c>
      <c r="Q1782">
        <v>8</v>
      </c>
      <c r="R1782" t="s">
        <v>32526</v>
      </c>
      <c r="S1782" t="s">
        <v>32547</v>
      </c>
      <c r="T1782" t="s">
        <v>33209</v>
      </c>
      <c r="U1782" t="s">
        <v>35151</v>
      </c>
      <c r="W1782" t="s">
        <v>30247</v>
      </c>
      <c r="X1782" t="s">
        <v>32527</v>
      </c>
    </row>
    <row r="1783" spans="1:24">
      <c r="A1783">
        <f>HYPERLINK("https://www.philgeps.gov.ph/GEPSNONPILOT/Tender/SplashBidNoticeAbstractUI.aspx?menuIndex=3&amp;refID=7046375&amp;Result=3","7046375")</f>
        <v>0</v>
      </c>
      <c r="B1783" t="s">
        <v>70</v>
      </c>
      <c r="C1783" t="s">
        <v>4393</v>
      </c>
      <c r="E1783" t="s">
        <v>13881</v>
      </c>
      <c r="F1783" t="s">
        <v>22436</v>
      </c>
      <c r="G1783" t="s">
        <v>22446</v>
      </c>
      <c r="H1783" t="s">
        <v>22452</v>
      </c>
      <c r="I1783" t="s">
        <v>22468</v>
      </c>
      <c r="J1783" t="s">
        <v>23868</v>
      </c>
      <c r="K1783" t="s">
        <v>29338</v>
      </c>
      <c r="M1783" t="s">
        <v>29642</v>
      </c>
      <c r="N1783" t="s">
        <v>32524</v>
      </c>
      <c r="O1783" t="s">
        <v>32525</v>
      </c>
      <c r="P1783">
        <v>0</v>
      </c>
      <c r="Q1783">
        <v>1</v>
      </c>
      <c r="R1783" t="s">
        <v>32526</v>
      </c>
      <c r="S1783" t="s">
        <v>32547</v>
      </c>
      <c r="T1783" t="s">
        <v>33185</v>
      </c>
      <c r="U1783" t="s">
        <v>35152</v>
      </c>
      <c r="W1783" t="s">
        <v>29642</v>
      </c>
      <c r="X1783" t="s">
        <v>32527</v>
      </c>
    </row>
    <row r="1784" spans="1:24">
      <c r="A1784">
        <f>HYPERLINK("https://www.philgeps.gov.ph/GEPSNONPILOT/Tender/SplashBidNoticeAbstractUI.aspx?menuIndex=3&amp;refID=7046368&amp;Result=3","7046368")</f>
        <v>0</v>
      </c>
      <c r="B1784" t="s">
        <v>722</v>
      </c>
      <c r="C1784" t="s">
        <v>4394</v>
      </c>
      <c r="D1784" t="s">
        <v>13007</v>
      </c>
      <c r="E1784" t="s">
        <v>14704</v>
      </c>
      <c r="F1784" t="s">
        <v>22436</v>
      </c>
      <c r="G1784" t="s">
        <v>22443</v>
      </c>
      <c r="H1784" t="s">
        <v>22452</v>
      </c>
      <c r="I1784" t="s">
        <v>3529</v>
      </c>
      <c r="J1784" t="s">
        <v>23869</v>
      </c>
      <c r="K1784" t="s">
        <v>29336</v>
      </c>
      <c r="M1784" t="s">
        <v>30319</v>
      </c>
      <c r="N1784" t="s">
        <v>32524</v>
      </c>
      <c r="O1784" t="s">
        <v>32525</v>
      </c>
      <c r="P1784">
        <v>0</v>
      </c>
      <c r="Q1784">
        <v>0</v>
      </c>
      <c r="R1784" t="s">
        <v>32526</v>
      </c>
      <c r="S1784" t="s">
        <v>32547</v>
      </c>
      <c r="T1784" t="s">
        <v>33215</v>
      </c>
      <c r="U1784" t="s">
        <v>35153</v>
      </c>
      <c r="W1784" t="s">
        <v>30319</v>
      </c>
      <c r="X1784" t="s">
        <v>32527</v>
      </c>
    </row>
    <row r="1785" spans="1:24">
      <c r="A1785">
        <f>HYPERLINK("https://www.philgeps.gov.ph/GEPSNONPILOT/Tender/SplashBidNoticeAbstractUI.aspx?menuIndex=3&amp;refID=7046363&amp;Result=3","7046363")</f>
        <v>0</v>
      </c>
      <c r="B1785" t="s">
        <v>542</v>
      </c>
      <c r="C1785" t="s">
        <v>4395</v>
      </c>
      <c r="D1785" t="s">
        <v>13062</v>
      </c>
      <c r="E1785" t="s">
        <v>14705</v>
      </c>
      <c r="F1785" t="s">
        <v>22436</v>
      </c>
      <c r="G1785" t="s">
        <v>22443</v>
      </c>
      <c r="H1785" t="s">
        <v>22452</v>
      </c>
      <c r="I1785" t="s">
        <v>22482</v>
      </c>
      <c r="J1785" t="s">
        <v>22605</v>
      </c>
      <c r="K1785" t="s">
        <v>29341</v>
      </c>
      <c r="M1785" t="s">
        <v>30294</v>
      </c>
      <c r="N1785" t="s">
        <v>32524</v>
      </c>
      <c r="O1785" t="s">
        <v>32525</v>
      </c>
      <c r="P1785">
        <v>0</v>
      </c>
      <c r="Q1785">
        <v>1</v>
      </c>
      <c r="R1785" t="s">
        <v>32526</v>
      </c>
      <c r="S1785" t="s">
        <v>32547</v>
      </c>
      <c r="T1785" t="s">
        <v>33178</v>
      </c>
      <c r="U1785" t="s">
        <v>35154</v>
      </c>
      <c r="W1785" t="s">
        <v>30294</v>
      </c>
      <c r="X1785" t="s">
        <v>32527</v>
      </c>
    </row>
    <row r="1786" spans="1:24">
      <c r="A1786">
        <f>HYPERLINK("https://www.philgeps.gov.ph/GEPSNONPILOT/Tender/SplashBidNoticeAbstractUI.aspx?menuIndex=3&amp;refID=7046365&amp;Result=3","7046365")</f>
        <v>0</v>
      </c>
      <c r="B1786" t="s">
        <v>166</v>
      </c>
      <c r="C1786" t="s">
        <v>4396</v>
      </c>
      <c r="D1786" t="s">
        <v>13022</v>
      </c>
      <c r="E1786" t="s">
        <v>14706</v>
      </c>
      <c r="F1786" t="s">
        <v>22436</v>
      </c>
      <c r="G1786" t="s">
        <v>22443</v>
      </c>
      <c r="H1786" t="s">
        <v>22452</v>
      </c>
      <c r="I1786" t="s">
        <v>3027</v>
      </c>
      <c r="J1786" t="s">
        <v>22583</v>
      </c>
      <c r="K1786" t="s">
        <v>29338</v>
      </c>
      <c r="M1786" t="s">
        <v>29813</v>
      </c>
      <c r="N1786" t="s">
        <v>32524</v>
      </c>
      <c r="O1786" t="s">
        <v>32525</v>
      </c>
      <c r="P1786">
        <v>0</v>
      </c>
      <c r="Q1786">
        <v>2</v>
      </c>
      <c r="R1786" t="s">
        <v>32526</v>
      </c>
      <c r="S1786" t="s">
        <v>32547</v>
      </c>
      <c r="T1786" t="s">
        <v>33161</v>
      </c>
      <c r="U1786" t="s">
        <v>35155</v>
      </c>
      <c r="W1786" t="s">
        <v>29813</v>
      </c>
      <c r="X1786" t="s">
        <v>32527</v>
      </c>
    </row>
    <row r="1787" spans="1:24">
      <c r="A1787">
        <f>HYPERLINK("https://www.philgeps.gov.ph/GEPSNONPILOT/Tender/SplashBidNoticeAbstractUI.aspx?menuIndex=3&amp;refID=7046377&amp;Result=3","7046377")</f>
        <v>0</v>
      </c>
      <c r="B1787" t="s">
        <v>400</v>
      </c>
      <c r="C1787" t="s">
        <v>4397</v>
      </c>
      <c r="D1787" t="s">
        <v>13045</v>
      </c>
      <c r="E1787" t="s">
        <v>14707</v>
      </c>
      <c r="F1787" t="s">
        <v>22436</v>
      </c>
      <c r="G1787" t="s">
        <v>22444</v>
      </c>
      <c r="H1787" t="s">
        <v>22452</v>
      </c>
      <c r="I1787" t="s">
        <v>5194</v>
      </c>
      <c r="J1787" t="s">
        <v>23870</v>
      </c>
      <c r="K1787" t="s">
        <v>29336</v>
      </c>
      <c r="M1787" t="s">
        <v>29979</v>
      </c>
      <c r="N1787" t="s">
        <v>32524</v>
      </c>
      <c r="O1787" t="s">
        <v>32525</v>
      </c>
      <c r="Q1787">
        <v>1</v>
      </c>
      <c r="R1787" t="s">
        <v>32526</v>
      </c>
      <c r="S1787" t="s">
        <v>32548</v>
      </c>
      <c r="T1787" t="s">
        <v>33284</v>
      </c>
      <c r="U1787" t="s">
        <v>35156</v>
      </c>
      <c r="W1787" t="s">
        <v>29979</v>
      </c>
      <c r="X1787" t="s">
        <v>32527</v>
      </c>
    </row>
    <row r="1788" spans="1:24">
      <c r="A1788">
        <f>HYPERLINK("https://www.philgeps.gov.ph/GEPSNONPILOT/Tender/SplashBidNoticeAbstractUI.aspx?menuIndex=3&amp;refID=7046362&amp;Result=3","7046362")</f>
        <v>0</v>
      </c>
      <c r="B1788" t="s">
        <v>723</v>
      </c>
      <c r="C1788" t="s">
        <v>4398</v>
      </c>
      <c r="D1788" t="s">
        <v>13045</v>
      </c>
      <c r="E1788" t="s">
        <v>14708</v>
      </c>
      <c r="F1788" t="s">
        <v>22436</v>
      </c>
      <c r="G1788" t="s">
        <v>22446</v>
      </c>
      <c r="H1788" t="s">
        <v>22455</v>
      </c>
      <c r="I1788" t="s">
        <v>22466</v>
      </c>
      <c r="J1788" t="s">
        <v>23867</v>
      </c>
      <c r="K1788" t="s">
        <v>29338</v>
      </c>
      <c r="M1788" t="s">
        <v>30320</v>
      </c>
      <c r="N1788" t="s">
        <v>32524</v>
      </c>
      <c r="O1788" t="s">
        <v>32525</v>
      </c>
      <c r="P1788">
        <v>0</v>
      </c>
      <c r="Q1788">
        <v>1</v>
      </c>
      <c r="R1788" t="s">
        <v>32526</v>
      </c>
      <c r="S1788" t="s">
        <v>32547</v>
      </c>
      <c r="T1788" t="s">
        <v>33310</v>
      </c>
      <c r="U1788" t="s">
        <v>35157</v>
      </c>
      <c r="W1788" t="s">
        <v>30320</v>
      </c>
      <c r="X1788" t="s">
        <v>32527</v>
      </c>
    </row>
    <row r="1789" spans="1:24">
      <c r="A1789">
        <f>HYPERLINK("https://www.philgeps.gov.ph/GEPSNONPILOT/Tender/SplashBidNoticeAbstractUI.aspx?menuIndex=3&amp;refID=7046380&amp;Result=3","7046380")</f>
        <v>0</v>
      </c>
      <c r="B1789" t="s">
        <v>272</v>
      </c>
      <c r="C1789" t="s">
        <v>4399</v>
      </c>
      <c r="D1789" t="s">
        <v>13018</v>
      </c>
      <c r="E1789" t="s">
        <v>14709</v>
      </c>
      <c r="F1789" t="s">
        <v>22436</v>
      </c>
      <c r="G1789" t="s">
        <v>22443</v>
      </c>
      <c r="H1789" t="s">
        <v>22453</v>
      </c>
      <c r="I1789" t="s">
        <v>7738</v>
      </c>
      <c r="J1789" t="s">
        <v>23871</v>
      </c>
      <c r="K1789" t="s">
        <v>29335</v>
      </c>
      <c r="M1789" t="s">
        <v>29846</v>
      </c>
      <c r="N1789" t="s">
        <v>32524</v>
      </c>
      <c r="O1789" t="s">
        <v>32525</v>
      </c>
      <c r="P1789">
        <v>0</v>
      </c>
      <c r="Q1789">
        <v>0</v>
      </c>
      <c r="R1789" t="s">
        <v>32526</v>
      </c>
      <c r="S1789" t="s">
        <v>32547</v>
      </c>
      <c r="T1789" t="s">
        <v>33181</v>
      </c>
      <c r="U1789" t="s">
        <v>35158</v>
      </c>
      <c r="W1789" t="s">
        <v>29846</v>
      </c>
      <c r="X1789" t="s">
        <v>32527</v>
      </c>
    </row>
    <row r="1790" spans="1:24">
      <c r="A1790">
        <f>HYPERLINK("https://www.philgeps.gov.ph/GEPSNONPILOT/Tender/SplashBidNoticeAbstractUI.aspx?menuIndex=3&amp;refID=7046372&amp;Result=3","7046372")</f>
        <v>0</v>
      </c>
      <c r="B1790" t="s">
        <v>466</v>
      </c>
      <c r="C1790" t="s">
        <v>4400</v>
      </c>
      <c r="D1790" t="s">
        <v>13045</v>
      </c>
      <c r="E1790" t="s">
        <v>14710</v>
      </c>
      <c r="F1790" t="s">
        <v>22436</v>
      </c>
      <c r="G1790" t="s">
        <v>22447</v>
      </c>
      <c r="H1790" t="s">
        <v>22452</v>
      </c>
      <c r="I1790" t="s">
        <v>5194</v>
      </c>
      <c r="J1790" t="s">
        <v>23872</v>
      </c>
      <c r="K1790" t="s">
        <v>29338</v>
      </c>
      <c r="M1790" t="s">
        <v>30321</v>
      </c>
      <c r="N1790" t="s">
        <v>32524</v>
      </c>
      <c r="O1790" t="s">
        <v>32525</v>
      </c>
      <c r="P1790">
        <v>0</v>
      </c>
      <c r="Q1790">
        <v>2</v>
      </c>
      <c r="R1790" t="s">
        <v>32526</v>
      </c>
      <c r="S1790" t="s">
        <v>32547</v>
      </c>
      <c r="T1790" t="s">
        <v>33169</v>
      </c>
      <c r="U1790" t="s">
        <v>35159</v>
      </c>
      <c r="V1790" t="s">
        <v>42592</v>
      </c>
      <c r="W1790" t="s">
        <v>30321</v>
      </c>
      <c r="X1790" t="s">
        <v>32527</v>
      </c>
    </row>
    <row r="1791" spans="1:24">
      <c r="A1791">
        <f>HYPERLINK("https://www.philgeps.gov.ph/GEPSNONPILOT/Tender/SplashBidNoticeAbstractUI.aspx?menuIndex=3&amp;refID=7046366&amp;Result=3","7046366")</f>
        <v>0</v>
      </c>
      <c r="B1791" t="s">
        <v>720</v>
      </c>
      <c r="C1791" t="s">
        <v>4401</v>
      </c>
      <c r="D1791" t="s">
        <v>13058</v>
      </c>
      <c r="E1791" t="s">
        <v>14711</v>
      </c>
      <c r="F1791" t="s">
        <v>22436</v>
      </c>
      <c r="G1791" t="s">
        <v>22444</v>
      </c>
      <c r="H1791" t="s">
        <v>22452</v>
      </c>
      <c r="I1791" t="s">
        <v>22465</v>
      </c>
      <c r="J1791" t="s">
        <v>23873</v>
      </c>
      <c r="K1791" t="s">
        <v>29336</v>
      </c>
      <c r="M1791" t="s">
        <v>30317</v>
      </c>
      <c r="N1791" t="s">
        <v>32524</v>
      </c>
      <c r="O1791" t="s">
        <v>32525</v>
      </c>
      <c r="P1791">
        <v>0</v>
      </c>
      <c r="Q1791">
        <v>0</v>
      </c>
      <c r="R1791" t="s">
        <v>32526</v>
      </c>
      <c r="S1791" t="s">
        <v>32547</v>
      </c>
      <c r="T1791" t="s">
        <v>33187</v>
      </c>
      <c r="U1791" t="s">
        <v>35160</v>
      </c>
      <c r="V1791" t="s">
        <v>42593</v>
      </c>
      <c r="W1791" t="s">
        <v>30317</v>
      </c>
      <c r="X1791" t="s">
        <v>32527</v>
      </c>
    </row>
    <row r="1792" spans="1:24">
      <c r="A1792">
        <f>HYPERLINK("https://www.philgeps.gov.ph/GEPSNONPILOT/Tender/SplashBidNoticeAbstractUI.aspx?menuIndex=3&amp;refID=7046360&amp;Result=3","7046360")</f>
        <v>0</v>
      </c>
      <c r="B1792" t="s">
        <v>702</v>
      </c>
      <c r="C1792" t="s">
        <v>4402</v>
      </c>
      <c r="D1792" t="s">
        <v>13038</v>
      </c>
      <c r="E1792" t="s">
        <v>14712</v>
      </c>
      <c r="F1792" t="s">
        <v>22436</v>
      </c>
      <c r="G1792" t="s">
        <v>22444</v>
      </c>
      <c r="H1792" t="s">
        <v>22452</v>
      </c>
      <c r="I1792" t="s">
        <v>22478</v>
      </c>
      <c r="J1792" t="s">
        <v>23874</v>
      </c>
      <c r="K1792" t="s">
        <v>29336</v>
      </c>
      <c r="L1792" t="s">
        <v>702</v>
      </c>
      <c r="M1792" t="s">
        <v>30299</v>
      </c>
      <c r="N1792" t="s">
        <v>32524</v>
      </c>
      <c r="O1792" t="s">
        <v>32525</v>
      </c>
      <c r="P1792">
        <v>0</v>
      </c>
      <c r="Q1792">
        <v>1</v>
      </c>
      <c r="R1792" t="s">
        <v>32526</v>
      </c>
      <c r="S1792" t="s">
        <v>32547</v>
      </c>
      <c r="T1792" t="s">
        <v>33171</v>
      </c>
      <c r="U1792" t="s">
        <v>35161</v>
      </c>
      <c r="W1792" t="s">
        <v>30299</v>
      </c>
      <c r="X1792" t="s">
        <v>32527</v>
      </c>
    </row>
    <row r="1793" spans="1:24">
      <c r="A1793">
        <f>HYPERLINK("https://www.philgeps.gov.ph/GEPSNONPILOT/Tender/SplashBidNoticeAbstractUI.aspx?menuIndex=3&amp;refID=7046379&amp;Result=3","7046379")</f>
        <v>0</v>
      </c>
      <c r="B1793" t="s">
        <v>724</v>
      </c>
      <c r="C1793" t="s">
        <v>4403</v>
      </c>
      <c r="E1793" t="s">
        <v>14713</v>
      </c>
      <c r="F1793" t="s">
        <v>22436</v>
      </c>
      <c r="G1793" t="s">
        <v>22446</v>
      </c>
      <c r="H1793" t="s">
        <v>22452</v>
      </c>
      <c r="I1793" t="s">
        <v>22460</v>
      </c>
      <c r="J1793" t="s">
        <v>23875</v>
      </c>
      <c r="K1793" t="s">
        <v>29338</v>
      </c>
      <c r="M1793" t="s">
        <v>30322</v>
      </c>
      <c r="N1793" t="s">
        <v>32524</v>
      </c>
      <c r="O1793" t="s">
        <v>32525</v>
      </c>
      <c r="P1793">
        <v>0</v>
      </c>
      <c r="Q1793">
        <v>1</v>
      </c>
      <c r="R1793" t="s">
        <v>32526</v>
      </c>
      <c r="S1793" t="s">
        <v>32547</v>
      </c>
      <c r="T1793" t="s">
        <v>33256</v>
      </c>
      <c r="U1793" t="s">
        <v>35162</v>
      </c>
      <c r="W1793" t="s">
        <v>30322</v>
      </c>
      <c r="X1793" t="s">
        <v>32527</v>
      </c>
    </row>
    <row r="1794" spans="1:24">
      <c r="A1794">
        <f>HYPERLINK("https://www.philgeps.gov.ph/GEPSNONPILOT/Tender/SplashBidNoticeAbstractUI.aspx?menuIndex=3&amp;refID=7046383&amp;Result=3","7046383")</f>
        <v>0</v>
      </c>
      <c r="B1794" t="s">
        <v>725</v>
      </c>
      <c r="C1794" t="s">
        <v>4404</v>
      </c>
      <c r="D1794" t="s">
        <v>13062</v>
      </c>
      <c r="E1794" t="s">
        <v>14714</v>
      </c>
      <c r="F1794" t="s">
        <v>22436</v>
      </c>
      <c r="G1794" t="s">
        <v>22443</v>
      </c>
      <c r="H1794" t="s">
        <v>22452</v>
      </c>
      <c r="I1794" t="s">
        <v>22468</v>
      </c>
      <c r="J1794" t="s">
        <v>23876</v>
      </c>
      <c r="K1794" t="s">
        <v>29335</v>
      </c>
      <c r="M1794" t="s">
        <v>30323</v>
      </c>
      <c r="N1794" t="s">
        <v>32524</v>
      </c>
      <c r="O1794" t="s">
        <v>32525</v>
      </c>
      <c r="P1794">
        <v>0</v>
      </c>
      <c r="Q1794">
        <v>0</v>
      </c>
      <c r="R1794" t="s">
        <v>32526</v>
      </c>
      <c r="S1794" t="s">
        <v>32547</v>
      </c>
      <c r="T1794" t="s">
        <v>33230</v>
      </c>
      <c r="U1794" t="s">
        <v>35163</v>
      </c>
      <c r="W1794" t="s">
        <v>30323</v>
      </c>
      <c r="X1794" t="s">
        <v>32527</v>
      </c>
    </row>
    <row r="1795" spans="1:24">
      <c r="A1795">
        <f>HYPERLINK("https://www.philgeps.gov.ph/GEPSNONPILOT/Tender/SplashBidNoticeAbstractUI.aspx?menuIndex=3&amp;refID=7046369&amp;Result=3","7046369")</f>
        <v>0</v>
      </c>
      <c r="B1795" t="s">
        <v>726</v>
      </c>
      <c r="C1795" t="s">
        <v>4405</v>
      </c>
      <c r="D1795" t="s">
        <v>13058</v>
      </c>
      <c r="E1795" t="s">
        <v>14715</v>
      </c>
      <c r="F1795" t="s">
        <v>22436</v>
      </c>
      <c r="G1795" t="s">
        <v>22443</v>
      </c>
      <c r="H1795" t="s">
        <v>22452</v>
      </c>
      <c r="I1795" t="s">
        <v>22460</v>
      </c>
      <c r="J1795" t="s">
        <v>23877</v>
      </c>
      <c r="K1795" t="s">
        <v>29341</v>
      </c>
      <c r="M1795" t="s">
        <v>30324</v>
      </c>
      <c r="N1795" t="s">
        <v>32524</v>
      </c>
      <c r="O1795" t="s">
        <v>32525</v>
      </c>
      <c r="P1795">
        <v>0</v>
      </c>
      <c r="Q1795">
        <v>0</v>
      </c>
      <c r="R1795" t="s">
        <v>32526</v>
      </c>
      <c r="S1795" t="s">
        <v>32547</v>
      </c>
      <c r="T1795" t="s">
        <v>33154</v>
      </c>
      <c r="U1795" t="s">
        <v>35164</v>
      </c>
      <c r="W1795" t="s">
        <v>30324</v>
      </c>
      <c r="X1795" t="s">
        <v>32527</v>
      </c>
    </row>
    <row r="1796" spans="1:24">
      <c r="A1796">
        <f>HYPERLINK("https://www.philgeps.gov.ph/GEPSNONPILOT/Tender/SplashBidNoticeAbstractUI.aspx?menuIndex=3&amp;refID=7046359&amp;Result=3","7046359")</f>
        <v>0</v>
      </c>
      <c r="B1796" t="s">
        <v>727</v>
      </c>
      <c r="C1796" t="s">
        <v>4406</v>
      </c>
      <c r="D1796" t="s">
        <v>13019</v>
      </c>
      <c r="E1796" t="s">
        <v>14716</v>
      </c>
      <c r="F1796" t="s">
        <v>22436</v>
      </c>
      <c r="G1796" t="s">
        <v>22444</v>
      </c>
      <c r="H1796" t="s">
        <v>22452</v>
      </c>
      <c r="I1796" t="s">
        <v>22465</v>
      </c>
      <c r="J1796" t="s">
        <v>23878</v>
      </c>
      <c r="K1796" t="s">
        <v>29335</v>
      </c>
      <c r="M1796" t="s">
        <v>30325</v>
      </c>
      <c r="N1796" t="s">
        <v>32524</v>
      </c>
      <c r="O1796" t="s">
        <v>32525</v>
      </c>
      <c r="P1796">
        <v>0</v>
      </c>
      <c r="Q1796">
        <v>0</v>
      </c>
      <c r="R1796" t="s">
        <v>32526</v>
      </c>
      <c r="S1796" t="s">
        <v>32547</v>
      </c>
      <c r="T1796" t="s">
        <v>33340</v>
      </c>
      <c r="U1796" t="s">
        <v>35165</v>
      </c>
      <c r="W1796" t="s">
        <v>30325</v>
      </c>
      <c r="X1796" t="s">
        <v>32527</v>
      </c>
    </row>
    <row r="1797" spans="1:24">
      <c r="A1797">
        <f>HYPERLINK("https://www.philgeps.gov.ph/GEPSNONPILOT/Tender/SplashBidNoticeAbstractUI.aspx?menuIndex=3&amp;refID=7046373&amp;Result=3","7046373")</f>
        <v>0</v>
      </c>
      <c r="B1797" t="s">
        <v>728</v>
      </c>
      <c r="C1797" t="s">
        <v>4407</v>
      </c>
      <c r="D1797" t="s">
        <v>13021</v>
      </c>
      <c r="E1797" t="s">
        <v>14717</v>
      </c>
      <c r="F1797" t="s">
        <v>22436</v>
      </c>
      <c r="G1797" t="s">
        <v>22446</v>
      </c>
      <c r="H1797" t="s">
        <v>22452</v>
      </c>
      <c r="I1797" t="s">
        <v>22516</v>
      </c>
      <c r="J1797" t="s">
        <v>23599</v>
      </c>
      <c r="K1797" t="s">
        <v>29356</v>
      </c>
      <c r="M1797" t="s">
        <v>30326</v>
      </c>
      <c r="N1797" t="s">
        <v>32524</v>
      </c>
      <c r="O1797" t="s">
        <v>32525</v>
      </c>
      <c r="P1797">
        <v>0</v>
      </c>
      <c r="Q1797">
        <v>0</v>
      </c>
      <c r="R1797" t="s">
        <v>32526</v>
      </c>
      <c r="S1797" t="s">
        <v>32547</v>
      </c>
      <c r="T1797" t="s">
        <v>33185</v>
      </c>
      <c r="U1797" t="s">
        <v>35166</v>
      </c>
      <c r="W1797" t="s">
        <v>30326</v>
      </c>
      <c r="X1797" t="s">
        <v>32527</v>
      </c>
    </row>
    <row r="1798" spans="1:24">
      <c r="A1798">
        <f>HYPERLINK("https://www.philgeps.gov.ph/GEPSNONPILOT/Tender/SplashBidNoticeAbstractUI.aspx?menuIndex=3&amp;refID=7046384&amp;Result=3","7046384")</f>
        <v>0</v>
      </c>
      <c r="B1798" t="s">
        <v>729</v>
      </c>
      <c r="C1798" t="s">
        <v>4408</v>
      </c>
      <c r="D1798" t="s">
        <v>13035</v>
      </c>
      <c r="E1798" t="s">
        <v>14718</v>
      </c>
      <c r="F1798" t="s">
        <v>22436</v>
      </c>
      <c r="G1798" t="s">
        <v>22444</v>
      </c>
      <c r="H1798" t="s">
        <v>22454</v>
      </c>
      <c r="I1798" t="s">
        <v>22526</v>
      </c>
      <c r="J1798" t="s">
        <v>22669</v>
      </c>
      <c r="K1798" t="s">
        <v>29329</v>
      </c>
      <c r="M1798" t="s">
        <v>30327</v>
      </c>
      <c r="N1798" t="s">
        <v>32524</v>
      </c>
      <c r="O1798" t="s">
        <v>32525</v>
      </c>
      <c r="P1798">
        <v>0</v>
      </c>
      <c r="Q1798">
        <v>1</v>
      </c>
      <c r="R1798" t="s">
        <v>32526</v>
      </c>
      <c r="S1798" t="s">
        <v>32547</v>
      </c>
      <c r="T1798" t="s">
        <v>33341</v>
      </c>
      <c r="U1798" t="s">
        <v>35167</v>
      </c>
      <c r="W1798" t="s">
        <v>30327</v>
      </c>
      <c r="X1798" t="s">
        <v>32527</v>
      </c>
    </row>
    <row r="1799" spans="1:24">
      <c r="A1799">
        <f>HYPERLINK("https://www.philgeps.gov.ph/GEPSNONPILOT/Tender/SplashBidNoticeAbstractUI.aspx?menuIndex=3&amp;refID=7046381&amp;Result=3","7046381")</f>
        <v>0</v>
      </c>
      <c r="B1799" t="s">
        <v>687</v>
      </c>
      <c r="C1799" t="s">
        <v>4409</v>
      </c>
      <c r="E1799" t="s">
        <v>14719</v>
      </c>
      <c r="F1799" t="s">
        <v>22436</v>
      </c>
      <c r="G1799" t="s">
        <v>22444</v>
      </c>
      <c r="H1799" t="s">
        <v>22454</v>
      </c>
      <c r="I1799" t="s">
        <v>7738</v>
      </c>
      <c r="J1799" t="s">
        <v>23879</v>
      </c>
      <c r="K1799" t="s">
        <v>29333</v>
      </c>
      <c r="M1799" t="s">
        <v>30281</v>
      </c>
      <c r="N1799" t="s">
        <v>32524</v>
      </c>
      <c r="O1799" t="s">
        <v>32525</v>
      </c>
      <c r="P1799">
        <v>0</v>
      </c>
      <c r="Q1799">
        <v>0</v>
      </c>
      <c r="R1799" t="s">
        <v>32526</v>
      </c>
      <c r="S1799" t="s">
        <v>32547</v>
      </c>
      <c r="T1799" t="s">
        <v>33157</v>
      </c>
      <c r="U1799" t="s">
        <v>35102</v>
      </c>
      <c r="W1799" t="s">
        <v>30281</v>
      </c>
      <c r="X1799" t="s">
        <v>32527</v>
      </c>
    </row>
    <row r="1800" spans="1:24">
      <c r="A1800">
        <f>HYPERLINK("https://www.philgeps.gov.ph/GEPSNONPILOT/Tender/SplashBidNoticeAbstractUI.aspx?menuIndex=3&amp;refID=7046378&amp;Result=3","7046378")</f>
        <v>0</v>
      </c>
      <c r="B1800" t="s">
        <v>730</v>
      </c>
      <c r="C1800" t="s">
        <v>4410</v>
      </c>
      <c r="D1800" t="s">
        <v>12992</v>
      </c>
      <c r="E1800" t="s">
        <v>14720</v>
      </c>
      <c r="F1800" t="s">
        <v>22436</v>
      </c>
      <c r="G1800" t="s">
        <v>22446</v>
      </c>
      <c r="H1800" t="s">
        <v>22452</v>
      </c>
      <c r="I1800" t="s">
        <v>2981</v>
      </c>
      <c r="J1800" t="s">
        <v>23880</v>
      </c>
      <c r="K1800" t="s">
        <v>29336</v>
      </c>
      <c r="M1800" t="s">
        <v>30328</v>
      </c>
      <c r="N1800" t="s">
        <v>32524</v>
      </c>
      <c r="O1800" t="s">
        <v>32525</v>
      </c>
      <c r="P1800">
        <v>0</v>
      </c>
      <c r="Q1800">
        <v>2</v>
      </c>
      <c r="R1800" t="s">
        <v>32526</v>
      </c>
      <c r="S1800" t="s">
        <v>32547</v>
      </c>
      <c r="T1800" t="s">
        <v>33175</v>
      </c>
      <c r="U1800" t="s">
        <v>35168</v>
      </c>
      <c r="W1800" t="s">
        <v>30328</v>
      </c>
      <c r="X1800" t="s">
        <v>32527</v>
      </c>
    </row>
    <row r="1801" spans="1:24">
      <c r="A1801">
        <f>HYPERLINK("https://www.philgeps.gov.ph/GEPSNONPILOT/Tender/SplashBidNoticeAbstractUI.aspx?menuIndex=3&amp;refID=7046382&amp;Result=3","7046382")</f>
        <v>0</v>
      </c>
      <c r="B1801" t="s">
        <v>81</v>
      </c>
      <c r="C1801" t="s">
        <v>4411</v>
      </c>
      <c r="D1801" t="s">
        <v>13010</v>
      </c>
      <c r="E1801" t="s">
        <v>14721</v>
      </c>
      <c r="F1801" t="s">
        <v>22436</v>
      </c>
      <c r="G1801" t="s">
        <v>22443</v>
      </c>
      <c r="H1801" t="s">
        <v>22452</v>
      </c>
      <c r="I1801" t="s">
        <v>3358</v>
      </c>
      <c r="J1801" t="s">
        <v>22788</v>
      </c>
      <c r="K1801" t="s">
        <v>29331</v>
      </c>
      <c r="M1801" t="s">
        <v>29653</v>
      </c>
      <c r="N1801" t="s">
        <v>32524</v>
      </c>
      <c r="O1801" t="s">
        <v>32525</v>
      </c>
      <c r="P1801">
        <v>0</v>
      </c>
      <c r="Q1801">
        <v>0</v>
      </c>
      <c r="R1801" t="s">
        <v>32526</v>
      </c>
      <c r="S1801" t="s">
        <v>32547</v>
      </c>
      <c r="T1801" t="s">
        <v>33206</v>
      </c>
      <c r="U1801" t="s">
        <v>35169</v>
      </c>
      <c r="W1801" t="s">
        <v>29653</v>
      </c>
      <c r="X1801" t="s">
        <v>32527</v>
      </c>
    </row>
    <row r="1802" spans="1:24">
      <c r="A1802">
        <f>HYPERLINK("https://www.philgeps.gov.ph/GEPSNONPILOT/Tender/SplashBidNoticeAbstractUI.aspx?menuIndex=3&amp;refID=7046385&amp;Result=3","7046385")</f>
        <v>0</v>
      </c>
      <c r="B1802" t="s">
        <v>480</v>
      </c>
      <c r="C1802" t="s">
        <v>4412</v>
      </c>
      <c r="D1802" t="s">
        <v>13001</v>
      </c>
      <c r="E1802" t="s">
        <v>14722</v>
      </c>
      <c r="F1802" t="s">
        <v>22436</v>
      </c>
      <c r="G1802" t="s">
        <v>22446</v>
      </c>
      <c r="H1802" t="s">
        <v>22452</v>
      </c>
      <c r="I1802" t="s">
        <v>22506</v>
      </c>
      <c r="J1802" t="s">
        <v>23881</v>
      </c>
      <c r="K1802" t="s">
        <v>29340</v>
      </c>
      <c r="M1802" t="s">
        <v>30064</v>
      </c>
      <c r="N1802" t="s">
        <v>32524</v>
      </c>
      <c r="O1802" t="s">
        <v>32525</v>
      </c>
      <c r="P1802">
        <v>0</v>
      </c>
      <c r="Q1802">
        <v>1</v>
      </c>
      <c r="R1802" t="s">
        <v>32526</v>
      </c>
      <c r="S1802" t="s">
        <v>32547</v>
      </c>
      <c r="T1802" t="s">
        <v>33161</v>
      </c>
      <c r="U1802" t="s">
        <v>35170</v>
      </c>
      <c r="W1802" t="s">
        <v>30064</v>
      </c>
      <c r="X1802" t="s">
        <v>32527</v>
      </c>
    </row>
    <row r="1803" spans="1:24">
      <c r="A1803">
        <f>HYPERLINK("https://www.philgeps.gov.ph/GEPSNONPILOT/Tender/SplashBidNoticeAbstractUI.aspx?menuIndex=3&amp;refID=7046387&amp;Result=3","7046387")</f>
        <v>0</v>
      </c>
      <c r="B1803" t="s">
        <v>65</v>
      </c>
      <c r="C1803" t="s">
        <v>4413</v>
      </c>
      <c r="D1803" t="s">
        <v>13017</v>
      </c>
      <c r="E1803" t="s">
        <v>14723</v>
      </c>
      <c r="F1803" t="s">
        <v>22436</v>
      </c>
      <c r="G1803" t="s">
        <v>22446</v>
      </c>
      <c r="H1803" t="s">
        <v>22452</v>
      </c>
      <c r="I1803" t="s">
        <v>22463</v>
      </c>
      <c r="J1803" t="s">
        <v>22785</v>
      </c>
      <c r="K1803" t="s">
        <v>29336</v>
      </c>
      <c r="M1803" t="s">
        <v>29637</v>
      </c>
      <c r="N1803" t="s">
        <v>32524</v>
      </c>
      <c r="O1803" t="s">
        <v>32525</v>
      </c>
      <c r="P1803">
        <v>0</v>
      </c>
      <c r="Q1803">
        <v>6</v>
      </c>
      <c r="R1803" t="s">
        <v>32526</v>
      </c>
      <c r="S1803" t="s">
        <v>32547</v>
      </c>
      <c r="T1803" t="s">
        <v>33161</v>
      </c>
      <c r="U1803" t="s">
        <v>35171</v>
      </c>
      <c r="V1803" t="s">
        <v>42594</v>
      </c>
      <c r="W1803" t="s">
        <v>29637</v>
      </c>
      <c r="X1803" t="s">
        <v>32527</v>
      </c>
    </row>
    <row r="1804" spans="1:24">
      <c r="A1804">
        <f>HYPERLINK("https://www.philgeps.gov.ph/GEPSNONPILOT/Tender/SplashBidNoticeAbstractUI.aspx?menuIndex=3&amp;refID=7046386&amp;Result=3","7046386")</f>
        <v>0</v>
      </c>
      <c r="B1804" t="s">
        <v>703</v>
      </c>
      <c r="C1804" t="s">
        <v>4414</v>
      </c>
      <c r="D1804" t="s">
        <v>13070</v>
      </c>
      <c r="E1804" t="s">
        <v>14724</v>
      </c>
      <c r="F1804" t="s">
        <v>22436</v>
      </c>
      <c r="G1804" t="s">
        <v>22444</v>
      </c>
      <c r="H1804" t="s">
        <v>22454</v>
      </c>
      <c r="I1804" t="s">
        <v>7738</v>
      </c>
      <c r="J1804" t="s">
        <v>23882</v>
      </c>
      <c r="K1804" t="s">
        <v>29342</v>
      </c>
      <c r="M1804" t="s">
        <v>30300</v>
      </c>
      <c r="N1804" t="s">
        <v>32524</v>
      </c>
      <c r="O1804" t="s">
        <v>32525</v>
      </c>
      <c r="P1804">
        <v>0</v>
      </c>
      <c r="Q1804">
        <v>0</v>
      </c>
      <c r="R1804" t="s">
        <v>32526</v>
      </c>
      <c r="S1804" t="s">
        <v>32547</v>
      </c>
      <c r="T1804" t="s">
        <v>33335</v>
      </c>
      <c r="U1804" t="s">
        <v>35172</v>
      </c>
      <c r="W1804" t="s">
        <v>30300</v>
      </c>
      <c r="X1804" t="s">
        <v>32527</v>
      </c>
    </row>
    <row r="1805" spans="1:24">
      <c r="A1805">
        <f>HYPERLINK("https://www.philgeps.gov.ph/GEPSNONPILOT/Tender/SplashBidNoticeAbstractUI.aspx?menuIndex=3&amp;refID=7046388&amp;Result=3","7046388")</f>
        <v>0</v>
      </c>
      <c r="B1805" t="s">
        <v>731</v>
      </c>
      <c r="C1805" t="s">
        <v>4415</v>
      </c>
      <c r="D1805" t="s">
        <v>13022</v>
      </c>
      <c r="E1805" t="s">
        <v>14725</v>
      </c>
      <c r="F1805" t="s">
        <v>22436</v>
      </c>
      <c r="G1805" t="s">
        <v>22447</v>
      </c>
      <c r="H1805" t="s">
        <v>22454</v>
      </c>
      <c r="I1805" t="s">
        <v>7738</v>
      </c>
      <c r="J1805" t="s">
        <v>23643</v>
      </c>
      <c r="K1805" t="s">
        <v>29411</v>
      </c>
      <c r="M1805" t="s">
        <v>30329</v>
      </c>
      <c r="N1805" t="s">
        <v>32524</v>
      </c>
      <c r="O1805" t="s">
        <v>32525</v>
      </c>
      <c r="P1805">
        <v>0</v>
      </c>
      <c r="Q1805">
        <v>0</v>
      </c>
      <c r="R1805" t="s">
        <v>32526</v>
      </c>
      <c r="S1805" t="s">
        <v>32547</v>
      </c>
      <c r="T1805" t="s">
        <v>33235</v>
      </c>
      <c r="U1805" t="s">
        <v>35173</v>
      </c>
      <c r="V1805" t="s">
        <v>42476</v>
      </c>
      <c r="W1805" t="s">
        <v>30329</v>
      </c>
      <c r="X1805" t="s">
        <v>32527</v>
      </c>
    </row>
    <row r="1806" spans="1:24">
      <c r="A1806">
        <f>HYPERLINK("https://www.philgeps.gov.ph/GEPSNONPILOT/Tender/SplashBidNoticeAbstractUI.aspx?menuIndex=3&amp;refID=7046389&amp;Result=3","7046389")</f>
        <v>0</v>
      </c>
      <c r="B1806" t="s">
        <v>692</v>
      </c>
      <c r="C1806" t="s">
        <v>4416</v>
      </c>
      <c r="D1806" t="s">
        <v>13032</v>
      </c>
      <c r="E1806" t="s">
        <v>14726</v>
      </c>
      <c r="F1806" t="s">
        <v>22436</v>
      </c>
      <c r="G1806" t="s">
        <v>22444</v>
      </c>
      <c r="H1806" t="s">
        <v>22452</v>
      </c>
      <c r="I1806" t="s">
        <v>3827</v>
      </c>
      <c r="J1806" t="s">
        <v>23883</v>
      </c>
      <c r="K1806" t="s">
        <v>29338</v>
      </c>
      <c r="M1806" t="s">
        <v>30286</v>
      </c>
      <c r="N1806" t="s">
        <v>32524</v>
      </c>
      <c r="O1806" t="s">
        <v>32525</v>
      </c>
      <c r="P1806">
        <v>0</v>
      </c>
      <c r="Q1806">
        <v>1</v>
      </c>
      <c r="R1806" t="s">
        <v>32526</v>
      </c>
      <c r="S1806" t="s">
        <v>32547</v>
      </c>
      <c r="T1806" t="s">
        <v>33187</v>
      </c>
      <c r="U1806" t="s">
        <v>35085</v>
      </c>
      <c r="V1806" t="s">
        <v>42583</v>
      </c>
      <c r="W1806" t="s">
        <v>30286</v>
      </c>
      <c r="X1806" t="s">
        <v>32527</v>
      </c>
    </row>
    <row r="1807" spans="1:24">
      <c r="A1807">
        <f>HYPERLINK("https://www.philgeps.gov.ph/GEPSNONPILOT/Tender/SplashBidNoticeAbstractUI.aspx?menuIndex=3&amp;refID=7046397&amp;Result=3","7046397")</f>
        <v>0</v>
      </c>
      <c r="B1807" t="s">
        <v>710</v>
      </c>
      <c r="C1807" t="s">
        <v>4417</v>
      </c>
      <c r="D1807" t="s">
        <v>12994</v>
      </c>
      <c r="E1807" t="s">
        <v>14727</v>
      </c>
      <c r="F1807" t="s">
        <v>22436</v>
      </c>
      <c r="G1807" t="s">
        <v>22443</v>
      </c>
      <c r="H1807" t="s">
        <v>22453</v>
      </c>
      <c r="I1807" t="s">
        <v>22524</v>
      </c>
      <c r="J1807" t="s">
        <v>22800</v>
      </c>
      <c r="K1807" t="s">
        <v>29341</v>
      </c>
      <c r="M1807" t="s">
        <v>30307</v>
      </c>
      <c r="N1807" t="s">
        <v>32524</v>
      </c>
      <c r="O1807" t="s">
        <v>32525</v>
      </c>
      <c r="P1807">
        <v>0</v>
      </c>
      <c r="Q1807">
        <v>0</v>
      </c>
      <c r="R1807" t="s">
        <v>32526</v>
      </c>
      <c r="S1807" t="s">
        <v>32547</v>
      </c>
      <c r="T1807" t="s">
        <v>33169</v>
      </c>
      <c r="U1807" t="s">
        <v>35174</v>
      </c>
      <c r="W1807" t="s">
        <v>30307</v>
      </c>
      <c r="X1807" t="s">
        <v>32527</v>
      </c>
    </row>
    <row r="1808" spans="1:24">
      <c r="A1808">
        <f>HYPERLINK("https://www.philgeps.gov.ph/GEPSNONPILOT/Tender/SplashBidNoticeAbstractUI.aspx?menuIndex=3&amp;refID=7046390&amp;Result=3","7046390")</f>
        <v>0</v>
      </c>
      <c r="B1808" t="s">
        <v>720</v>
      </c>
      <c r="C1808" t="s">
        <v>4418</v>
      </c>
      <c r="D1808" t="s">
        <v>13058</v>
      </c>
      <c r="E1808" t="s">
        <v>14728</v>
      </c>
      <c r="F1808" t="s">
        <v>22436</v>
      </c>
      <c r="G1808" t="s">
        <v>22444</v>
      </c>
      <c r="H1808" t="s">
        <v>22452</v>
      </c>
      <c r="I1808" t="s">
        <v>12358</v>
      </c>
      <c r="J1808" t="s">
        <v>23884</v>
      </c>
      <c r="K1808" t="s">
        <v>29336</v>
      </c>
      <c r="M1808" t="s">
        <v>30317</v>
      </c>
      <c r="N1808" t="s">
        <v>32524</v>
      </c>
      <c r="O1808" t="s">
        <v>32525</v>
      </c>
      <c r="P1808">
        <v>0</v>
      </c>
      <c r="Q1808">
        <v>0</v>
      </c>
      <c r="R1808" t="s">
        <v>32526</v>
      </c>
      <c r="S1808" t="s">
        <v>32547</v>
      </c>
      <c r="T1808" t="s">
        <v>33187</v>
      </c>
      <c r="U1808" t="s">
        <v>35175</v>
      </c>
      <c r="V1808" t="s">
        <v>42595</v>
      </c>
      <c r="W1808" t="s">
        <v>30317</v>
      </c>
      <c r="X1808" t="s">
        <v>32527</v>
      </c>
    </row>
    <row r="1809" spans="1:24">
      <c r="A1809">
        <f>HYPERLINK("https://www.philgeps.gov.ph/GEPSNONPILOT/Tender/SplashBidNoticeAbstractUI.aspx?menuIndex=3&amp;refID=7046395&amp;Result=3","7046395")</f>
        <v>0</v>
      </c>
      <c r="B1809" t="s">
        <v>678</v>
      </c>
      <c r="C1809" t="s">
        <v>4419</v>
      </c>
      <c r="D1809" t="s">
        <v>13008</v>
      </c>
      <c r="E1809" t="s">
        <v>14729</v>
      </c>
      <c r="F1809" t="s">
        <v>22436</v>
      </c>
      <c r="G1809" t="s">
        <v>22444</v>
      </c>
      <c r="H1809" t="s">
        <v>22452</v>
      </c>
      <c r="I1809" t="s">
        <v>22484</v>
      </c>
      <c r="J1809" t="s">
        <v>23885</v>
      </c>
      <c r="K1809" t="s">
        <v>29335</v>
      </c>
      <c r="M1809" t="s">
        <v>30272</v>
      </c>
      <c r="N1809" t="s">
        <v>32524</v>
      </c>
      <c r="O1809" t="s">
        <v>32525</v>
      </c>
      <c r="P1809">
        <v>0</v>
      </c>
      <c r="Q1809">
        <v>3</v>
      </c>
      <c r="R1809" t="s">
        <v>32526</v>
      </c>
      <c r="S1809" t="s">
        <v>32547</v>
      </c>
      <c r="T1809" t="s">
        <v>33164</v>
      </c>
      <c r="U1809" t="s">
        <v>35176</v>
      </c>
      <c r="W1809" t="s">
        <v>30272</v>
      </c>
      <c r="X1809" t="s">
        <v>32527</v>
      </c>
    </row>
    <row r="1810" spans="1:24">
      <c r="A1810">
        <f>HYPERLINK("https://www.philgeps.gov.ph/GEPSNONPILOT/Tender/SplashBidNoticeAbstractUI.aspx?menuIndex=3&amp;refID=7046400&amp;Result=3","7046400")</f>
        <v>0</v>
      </c>
      <c r="B1810" t="s">
        <v>714</v>
      </c>
      <c r="C1810" t="s">
        <v>4420</v>
      </c>
      <c r="D1810" t="s">
        <v>13016</v>
      </c>
      <c r="E1810" t="s">
        <v>14730</v>
      </c>
      <c r="F1810" t="s">
        <v>22436</v>
      </c>
      <c r="G1810" t="s">
        <v>22444</v>
      </c>
      <c r="H1810" t="s">
        <v>22453</v>
      </c>
      <c r="I1810" t="s">
        <v>3529</v>
      </c>
      <c r="J1810" t="s">
        <v>23886</v>
      </c>
      <c r="K1810" t="s">
        <v>29333</v>
      </c>
      <c r="M1810" t="s">
        <v>30311</v>
      </c>
      <c r="N1810" t="s">
        <v>32524</v>
      </c>
      <c r="O1810" t="s">
        <v>32525</v>
      </c>
      <c r="P1810">
        <v>0</v>
      </c>
      <c r="Q1810">
        <v>0</v>
      </c>
      <c r="R1810" t="s">
        <v>32526</v>
      </c>
      <c r="S1810" t="s">
        <v>32547</v>
      </c>
      <c r="T1810" t="s">
        <v>33342</v>
      </c>
      <c r="U1810" t="s">
        <v>35134</v>
      </c>
      <c r="W1810" t="s">
        <v>30311</v>
      </c>
      <c r="X1810" t="s">
        <v>32527</v>
      </c>
    </row>
    <row r="1811" spans="1:24">
      <c r="A1811">
        <f>HYPERLINK("https://www.philgeps.gov.ph/GEPSNONPILOT/Tender/SplashBidNoticeAbstractUI.aspx?menuIndex=3&amp;refID=7046396&amp;Result=3","7046396")</f>
        <v>0</v>
      </c>
      <c r="B1811" t="s">
        <v>228</v>
      </c>
      <c r="C1811" t="s">
        <v>4421</v>
      </c>
      <c r="E1811" t="s">
        <v>14731</v>
      </c>
      <c r="F1811" t="s">
        <v>22436</v>
      </c>
      <c r="G1811" t="s">
        <v>22446</v>
      </c>
      <c r="H1811" t="s">
        <v>22452</v>
      </c>
      <c r="I1811" t="s">
        <v>3529</v>
      </c>
      <c r="J1811" t="s">
        <v>23887</v>
      </c>
      <c r="K1811" t="s">
        <v>29341</v>
      </c>
      <c r="M1811" t="s">
        <v>29801</v>
      </c>
      <c r="N1811" t="s">
        <v>32524</v>
      </c>
      <c r="O1811" t="s">
        <v>32525</v>
      </c>
      <c r="P1811">
        <v>0</v>
      </c>
      <c r="Q1811">
        <v>1</v>
      </c>
      <c r="R1811" t="s">
        <v>32526</v>
      </c>
      <c r="S1811" t="s">
        <v>32547</v>
      </c>
      <c r="T1811" t="s">
        <v>33187</v>
      </c>
      <c r="U1811" t="s">
        <v>35177</v>
      </c>
      <c r="V1811" t="s">
        <v>42596</v>
      </c>
      <c r="W1811" t="s">
        <v>29801</v>
      </c>
      <c r="X1811" t="s">
        <v>32527</v>
      </c>
    </row>
    <row r="1812" spans="1:24">
      <c r="A1812">
        <f>HYPERLINK("https://www.philgeps.gov.ph/GEPSNONPILOT/Tender/SplashBidNoticeAbstractUI.aspx?menuIndex=3&amp;refID=7046392&amp;Result=3","7046392")</f>
        <v>0</v>
      </c>
      <c r="B1812" t="s">
        <v>732</v>
      </c>
      <c r="C1812" t="s">
        <v>4422</v>
      </c>
      <c r="D1812" t="s">
        <v>13045</v>
      </c>
      <c r="E1812" t="s">
        <v>14732</v>
      </c>
      <c r="F1812" t="s">
        <v>22436</v>
      </c>
      <c r="G1812" t="s">
        <v>22443</v>
      </c>
      <c r="H1812" t="s">
        <v>22452</v>
      </c>
      <c r="I1812" t="s">
        <v>22463</v>
      </c>
      <c r="J1812" t="s">
        <v>23888</v>
      </c>
      <c r="K1812" t="s">
        <v>29335</v>
      </c>
      <c r="M1812" t="s">
        <v>30330</v>
      </c>
      <c r="N1812" t="s">
        <v>32524</v>
      </c>
      <c r="O1812" t="s">
        <v>32525</v>
      </c>
      <c r="P1812">
        <v>0</v>
      </c>
      <c r="Q1812">
        <v>2</v>
      </c>
      <c r="R1812" t="s">
        <v>32526</v>
      </c>
      <c r="S1812" t="s">
        <v>32547</v>
      </c>
      <c r="T1812" t="s">
        <v>33196</v>
      </c>
      <c r="U1812" t="s">
        <v>35178</v>
      </c>
      <c r="W1812" t="s">
        <v>30330</v>
      </c>
      <c r="X1812" t="s">
        <v>32527</v>
      </c>
    </row>
    <row r="1813" spans="1:24">
      <c r="A1813">
        <f>HYPERLINK("https://www.philgeps.gov.ph/GEPSNONPILOT/Tender/SplashBidNoticeAbstractUI.aspx?menuIndex=3&amp;refID=7046404&amp;Result=3","7046404")</f>
        <v>0</v>
      </c>
      <c r="B1813" t="s">
        <v>81</v>
      </c>
      <c r="C1813" t="s">
        <v>4423</v>
      </c>
      <c r="D1813" t="s">
        <v>13010</v>
      </c>
      <c r="E1813" t="s">
        <v>14733</v>
      </c>
      <c r="F1813" t="s">
        <v>22436</v>
      </c>
      <c r="G1813" t="s">
        <v>22443</v>
      </c>
      <c r="H1813" t="s">
        <v>22452</v>
      </c>
      <c r="I1813" t="s">
        <v>3358</v>
      </c>
      <c r="J1813" t="s">
        <v>22788</v>
      </c>
      <c r="K1813" t="s">
        <v>29331</v>
      </c>
      <c r="M1813" t="s">
        <v>29653</v>
      </c>
      <c r="N1813" t="s">
        <v>32524</v>
      </c>
      <c r="O1813" t="s">
        <v>32525</v>
      </c>
      <c r="P1813">
        <v>0</v>
      </c>
      <c r="Q1813">
        <v>0</v>
      </c>
      <c r="R1813" t="s">
        <v>32526</v>
      </c>
      <c r="S1813" t="s">
        <v>32547</v>
      </c>
      <c r="T1813" t="s">
        <v>33206</v>
      </c>
      <c r="U1813" t="s">
        <v>35179</v>
      </c>
      <c r="W1813" t="s">
        <v>29653</v>
      </c>
      <c r="X1813" t="s">
        <v>32527</v>
      </c>
    </row>
    <row r="1814" spans="1:24">
      <c r="A1814">
        <f>HYPERLINK("https://www.philgeps.gov.ph/GEPSNONPILOT/Tender/SplashBidNoticeAbstractUI.aspx?menuIndex=3&amp;refID=7046401&amp;Result=3","7046401")</f>
        <v>0</v>
      </c>
      <c r="B1814" t="s">
        <v>733</v>
      </c>
      <c r="C1814" t="s">
        <v>4424</v>
      </c>
      <c r="D1814" t="s">
        <v>13045</v>
      </c>
      <c r="E1814" t="s">
        <v>14018</v>
      </c>
      <c r="F1814" t="s">
        <v>22436</v>
      </c>
      <c r="G1814" t="s">
        <v>22443</v>
      </c>
      <c r="H1814" t="s">
        <v>22452</v>
      </c>
      <c r="I1814" t="s">
        <v>3529</v>
      </c>
      <c r="J1814" t="s">
        <v>23889</v>
      </c>
      <c r="K1814" t="s">
        <v>29338</v>
      </c>
      <c r="M1814" t="s">
        <v>30331</v>
      </c>
      <c r="N1814" t="s">
        <v>32524</v>
      </c>
      <c r="O1814" t="s">
        <v>32525</v>
      </c>
      <c r="P1814">
        <v>0</v>
      </c>
      <c r="Q1814">
        <v>0</v>
      </c>
      <c r="R1814" t="s">
        <v>32526</v>
      </c>
      <c r="S1814" t="s">
        <v>32547</v>
      </c>
      <c r="T1814" t="s">
        <v>33169</v>
      </c>
      <c r="U1814" t="s">
        <v>35180</v>
      </c>
      <c r="W1814" t="s">
        <v>30331</v>
      </c>
      <c r="X1814" t="s">
        <v>32527</v>
      </c>
    </row>
    <row r="1815" spans="1:24">
      <c r="A1815">
        <f>HYPERLINK("https://www.philgeps.gov.ph/GEPSNONPILOT/Tender/SplashBidNoticeAbstractUI.aspx?menuIndex=3&amp;refID=7046393&amp;Result=3","7046393")</f>
        <v>0</v>
      </c>
      <c r="B1815" t="s">
        <v>88</v>
      </c>
      <c r="C1815" t="s">
        <v>4425</v>
      </c>
      <c r="D1815" t="s">
        <v>13025</v>
      </c>
      <c r="E1815" t="s">
        <v>14734</v>
      </c>
      <c r="F1815" t="s">
        <v>22436</v>
      </c>
      <c r="G1815" t="s">
        <v>22444</v>
      </c>
      <c r="H1815" t="s">
        <v>22452</v>
      </c>
      <c r="I1815" t="s">
        <v>22460</v>
      </c>
      <c r="J1815" t="s">
        <v>23890</v>
      </c>
      <c r="K1815" t="s">
        <v>29338</v>
      </c>
      <c r="M1815" t="s">
        <v>29660</v>
      </c>
      <c r="N1815" t="s">
        <v>32524</v>
      </c>
      <c r="O1815" t="s">
        <v>32525</v>
      </c>
      <c r="P1815">
        <v>0</v>
      </c>
      <c r="Q1815">
        <v>0</v>
      </c>
      <c r="R1815" t="s">
        <v>32526</v>
      </c>
      <c r="S1815" t="s">
        <v>32547</v>
      </c>
      <c r="T1815" t="s">
        <v>33187</v>
      </c>
      <c r="U1815" t="s">
        <v>35181</v>
      </c>
      <c r="W1815" t="s">
        <v>29660</v>
      </c>
      <c r="X1815" t="s">
        <v>32527</v>
      </c>
    </row>
    <row r="1816" spans="1:24">
      <c r="A1816">
        <f>HYPERLINK("https://www.philgeps.gov.ph/GEPSNONPILOT/Tender/SplashBidNoticeAbstractUI.aspx?menuIndex=3&amp;refID=7046409&amp;Result=3","7046409")</f>
        <v>0</v>
      </c>
      <c r="B1816" t="s">
        <v>177</v>
      </c>
      <c r="C1816" t="s">
        <v>4426</v>
      </c>
      <c r="D1816" t="s">
        <v>12988</v>
      </c>
      <c r="E1816" t="s">
        <v>14735</v>
      </c>
      <c r="F1816" t="s">
        <v>22436</v>
      </c>
      <c r="G1816" t="s">
        <v>22443</v>
      </c>
      <c r="H1816" t="s">
        <v>22452</v>
      </c>
      <c r="I1816" t="s">
        <v>22486</v>
      </c>
      <c r="J1816" t="s">
        <v>22806</v>
      </c>
      <c r="K1816" t="s">
        <v>29338</v>
      </c>
      <c r="M1816" t="s">
        <v>29749</v>
      </c>
      <c r="N1816" t="s">
        <v>32524</v>
      </c>
      <c r="O1816" t="s">
        <v>32525</v>
      </c>
      <c r="P1816">
        <v>0</v>
      </c>
      <c r="Q1816">
        <v>2</v>
      </c>
      <c r="R1816" t="s">
        <v>32526</v>
      </c>
      <c r="S1816" t="s">
        <v>32547</v>
      </c>
      <c r="T1816" t="s">
        <v>33225</v>
      </c>
      <c r="U1816" t="s">
        <v>35182</v>
      </c>
      <c r="W1816" t="s">
        <v>29749</v>
      </c>
      <c r="X1816" t="s">
        <v>32527</v>
      </c>
    </row>
    <row r="1817" spans="1:24">
      <c r="A1817">
        <f>HYPERLINK("https://www.philgeps.gov.ph/GEPSNONPILOT/Tender/SplashBidNoticeAbstractUI.aspx?menuIndex=3&amp;refID=7046412&amp;Result=3","7046412")</f>
        <v>0</v>
      </c>
      <c r="B1817" t="s">
        <v>677</v>
      </c>
      <c r="C1817" t="s">
        <v>4427</v>
      </c>
      <c r="D1817" t="s">
        <v>12999</v>
      </c>
      <c r="E1817" t="s">
        <v>14736</v>
      </c>
      <c r="F1817" t="s">
        <v>22436</v>
      </c>
      <c r="G1817" t="s">
        <v>22443</v>
      </c>
      <c r="H1817" t="s">
        <v>22452</v>
      </c>
      <c r="I1817" t="s">
        <v>22484</v>
      </c>
      <c r="J1817" t="s">
        <v>22893</v>
      </c>
      <c r="K1817" t="s">
        <v>29338</v>
      </c>
      <c r="M1817" t="s">
        <v>30271</v>
      </c>
      <c r="N1817" t="s">
        <v>32524</v>
      </c>
      <c r="O1817" t="s">
        <v>32525</v>
      </c>
      <c r="P1817">
        <v>0</v>
      </c>
      <c r="Q1817">
        <v>16</v>
      </c>
      <c r="R1817" t="s">
        <v>32526</v>
      </c>
      <c r="S1817" t="s">
        <v>32547</v>
      </c>
      <c r="T1817" t="s">
        <v>33182</v>
      </c>
      <c r="U1817" t="s">
        <v>35183</v>
      </c>
      <c r="W1817" t="s">
        <v>30271</v>
      </c>
      <c r="X1817" t="s">
        <v>32527</v>
      </c>
    </row>
    <row r="1818" spans="1:24">
      <c r="A1818">
        <f>HYPERLINK("https://www.philgeps.gov.ph/GEPSNONPILOT/Tender/SplashBidNoticeAbstractUI.aspx?menuIndex=3&amp;refID=7046411&amp;Result=3","7046411")</f>
        <v>0</v>
      </c>
      <c r="B1818" t="s">
        <v>734</v>
      </c>
      <c r="C1818" t="s">
        <v>4428</v>
      </c>
      <c r="D1818" t="s">
        <v>12990</v>
      </c>
      <c r="E1818" t="s">
        <v>14737</v>
      </c>
      <c r="F1818" t="s">
        <v>22436</v>
      </c>
      <c r="G1818" t="s">
        <v>22444</v>
      </c>
      <c r="H1818" t="s">
        <v>22454</v>
      </c>
      <c r="I1818" t="s">
        <v>6387</v>
      </c>
      <c r="J1818" t="s">
        <v>22640</v>
      </c>
      <c r="K1818" t="s">
        <v>29342</v>
      </c>
      <c r="M1818" t="s">
        <v>30332</v>
      </c>
      <c r="N1818" t="s">
        <v>32524</v>
      </c>
      <c r="O1818" t="s">
        <v>32525</v>
      </c>
      <c r="P1818">
        <v>0</v>
      </c>
      <c r="Q1818">
        <v>0</v>
      </c>
      <c r="R1818" t="s">
        <v>32526</v>
      </c>
      <c r="S1818" t="s">
        <v>32547</v>
      </c>
      <c r="T1818" t="s">
        <v>33252</v>
      </c>
      <c r="U1818" t="s">
        <v>35184</v>
      </c>
      <c r="W1818" t="s">
        <v>30332</v>
      </c>
      <c r="X1818" t="s">
        <v>32527</v>
      </c>
    </row>
    <row r="1819" spans="1:24">
      <c r="A1819">
        <f>HYPERLINK("https://www.philgeps.gov.ph/GEPSNONPILOT/Tender/SplashBidNoticeAbstractUI.aspx?menuIndex=3&amp;refID=7046407&amp;Result=3","7046407")</f>
        <v>0</v>
      </c>
      <c r="B1819" t="s">
        <v>636</v>
      </c>
      <c r="C1819" t="s">
        <v>4429</v>
      </c>
      <c r="D1819" t="s">
        <v>13001</v>
      </c>
      <c r="E1819" t="s">
        <v>4429</v>
      </c>
      <c r="F1819" t="s">
        <v>22436</v>
      </c>
      <c r="G1819" t="s">
        <v>22446</v>
      </c>
      <c r="H1819" t="s">
        <v>22452</v>
      </c>
      <c r="I1819" t="s">
        <v>22466</v>
      </c>
      <c r="J1819" t="s">
        <v>23891</v>
      </c>
      <c r="K1819" t="s">
        <v>29357</v>
      </c>
      <c r="M1819" t="s">
        <v>30227</v>
      </c>
      <c r="N1819" t="s">
        <v>32524</v>
      </c>
      <c r="O1819" t="s">
        <v>32525</v>
      </c>
      <c r="P1819">
        <v>0</v>
      </c>
      <c r="Q1819">
        <v>6</v>
      </c>
      <c r="R1819" t="s">
        <v>32526</v>
      </c>
      <c r="S1819" t="s">
        <v>32547</v>
      </c>
      <c r="T1819" t="s">
        <v>33310</v>
      </c>
      <c r="U1819" t="s">
        <v>34949</v>
      </c>
      <c r="W1819" t="s">
        <v>30227</v>
      </c>
      <c r="X1819" t="s">
        <v>32527</v>
      </c>
    </row>
    <row r="1820" spans="1:24">
      <c r="A1820">
        <f>HYPERLINK("https://www.philgeps.gov.ph/GEPSNONPILOT/Tender/SplashBidNoticeAbstractUI.aspx?menuIndex=3&amp;refID=7046408&amp;Result=3","7046408")</f>
        <v>0</v>
      </c>
      <c r="B1820" t="s">
        <v>716</v>
      </c>
      <c r="C1820" t="s">
        <v>4430</v>
      </c>
      <c r="D1820" t="s">
        <v>12995</v>
      </c>
      <c r="E1820" t="s">
        <v>13557</v>
      </c>
      <c r="F1820" t="s">
        <v>22436</v>
      </c>
      <c r="G1820" t="s">
        <v>22445</v>
      </c>
      <c r="H1820" t="s">
        <v>22452</v>
      </c>
      <c r="I1820" t="s">
        <v>3827</v>
      </c>
      <c r="J1820" t="s">
        <v>22605</v>
      </c>
      <c r="K1820" t="s">
        <v>29336</v>
      </c>
      <c r="M1820" t="s">
        <v>30313</v>
      </c>
      <c r="N1820" t="s">
        <v>32524</v>
      </c>
      <c r="O1820" t="s">
        <v>32525</v>
      </c>
      <c r="P1820">
        <v>0</v>
      </c>
      <c r="Q1820">
        <v>0</v>
      </c>
      <c r="R1820" t="s">
        <v>32526</v>
      </c>
      <c r="S1820" t="s">
        <v>32547</v>
      </c>
      <c r="T1820" t="s">
        <v>33210</v>
      </c>
      <c r="U1820" t="s">
        <v>35185</v>
      </c>
      <c r="W1820" t="s">
        <v>30313</v>
      </c>
      <c r="X1820" t="s">
        <v>32527</v>
      </c>
    </row>
    <row r="1821" spans="1:24">
      <c r="A1821">
        <f>HYPERLINK("https://www.philgeps.gov.ph/GEPSNONPILOT/Tender/SplashBidNoticeAbstractUI.aspx?menuIndex=3&amp;refID=7046403&amp;Result=3","7046403")</f>
        <v>0</v>
      </c>
      <c r="B1821" t="s">
        <v>735</v>
      </c>
      <c r="C1821" t="s">
        <v>4431</v>
      </c>
      <c r="D1821" t="s">
        <v>13035</v>
      </c>
      <c r="E1821" t="s">
        <v>14738</v>
      </c>
      <c r="F1821" t="s">
        <v>22436</v>
      </c>
      <c r="G1821" t="s">
        <v>22444</v>
      </c>
      <c r="H1821" t="s">
        <v>22452</v>
      </c>
      <c r="I1821" t="s">
        <v>3827</v>
      </c>
      <c r="J1821" t="s">
        <v>22654</v>
      </c>
      <c r="K1821" t="s">
        <v>29341</v>
      </c>
      <c r="M1821" t="s">
        <v>30333</v>
      </c>
      <c r="N1821" t="s">
        <v>32524</v>
      </c>
      <c r="O1821" t="s">
        <v>32525</v>
      </c>
      <c r="P1821">
        <v>0</v>
      </c>
      <c r="Q1821">
        <v>0</v>
      </c>
      <c r="R1821" t="s">
        <v>32526</v>
      </c>
      <c r="S1821" t="s">
        <v>32547</v>
      </c>
      <c r="T1821" t="s">
        <v>33171</v>
      </c>
      <c r="U1821" t="s">
        <v>35186</v>
      </c>
      <c r="W1821" t="s">
        <v>30333</v>
      </c>
      <c r="X1821" t="s">
        <v>32527</v>
      </c>
    </row>
    <row r="1822" spans="1:24">
      <c r="A1822">
        <f>HYPERLINK("https://www.philgeps.gov.ph/GEPSNONPILOT/Tender/SplashBidNoticeAbstractUI.aspx?menuIndex=3&amp;refID=7046414&amp;Result=3","7046414")</f>
        <v>0</v>
      </c>
      <c r="B1822" t="s">
        <v>720</v>
      </c>
      <c r="C1822" t="s">
        <v>4388</v>
      </c>
      <c r="D1822" t="s">
        <v>13058</v>
      </c>
      <c r="E1822" t="s">
        <v>14739</v>
      </c>
      <c r="F1822" t="s">
        <v>22436</v>
      </c>
      <c r="G1822" t="s">
        <v>22444</v>
      </c>
      <c r="H1822" t="s">
        <v>22452</v>
      </c>
      <c r="I1822" t="s">
        <v>22463</v>
      </c>
      <c r="J1822" t="s">
        <v>23892</v>
      </c>
      <c r="K1822" t="s">
        <v>29336</v>
      </c>
      <c r="M1822" t="s">
        <v>30317</v>
      </c>
      <c r="N1822" t="s">
        <v>32524</v>
      </c>
      <c r="O1822" t="s">
        <v>32525</v>
      </c>
      <c r="P1822">
        <v>0</v>
      </c>
      <c r="Q1822">
        <v>1</v>
      </c>
      <c r="R1822" t="s">
        <v>32526</v>
      </c>
      <c r="S1822" t="s">
        <v>32547</v>
      </c>
      <c r="T1822" t="s">
        <v>33187</v>
      </c>
      <c r="U1822" t="s">
        <v>35187</v>
      </c>
      <c r="V1822" t="s">
        <v>42597</v>
      </c>
      <c r="W1822" t="s">
        <v>30317</v>
      </c>
      <c r="X1822" t="s">
        <v>32527</v>
      </c>
    </row>
    <row r="1823" spans="1:24">
      <c r="A1823">
        <f>HYPERLINK("https://www.philgeps.gov.ph/GEPSNONPILOT/Tender/SplashBidNoticeAbstractUI.aspx?menuIndex=3&amp;refID=7046413&amp;Result=3","7046413")</f>
        <v>0</v>
      </c>
      <c r="B1823" t="s">
        <v>736</v>
      </c>
      <c r="C1823" t="s">
        <v>4432</v>
      </c>
      <c r="D1823" t="s">
        <v>13022</v>
      </c>
      <c r="E1823" t="s">
        <v>14740</v>
      </c>
      <c r="F1823" t="s">
        <v>22436</v>
      </c>
      <c r="G1823" t="s">
        <v>22443</v>
      </c>
      <c r="H1823" t="s">
        <v>22452</v>
      </c>
      <c r="I1823" t="s">
        <v>22493</v>
      </c>
      <c r="J1823" t="s">
        <v>23893</v>
      </c>
      <c r="K1823" t="s">
        <v>29335</v>
      </c>
      <c r="M1823" t="s">
        <v>30334</v>
      </c>
      <c r="N1823" t="s">
        <v>32524</v>
      </c>
      <c r="O1823" t="s">
        <v>32525</v>
      </c>
      <c r="P1823">
        <v>0</v>
      </c>
      <c r="Q1823">
        <v>1</v>
      </c>
      <c r="R1823" t="s">
        <v>32526</v>
      </c>
      <c r="S1823" t="s">
        <v>32547</v>
      </c>
      <c r="T1823" t="s">
        <v>33320</v>
      </c>
      <c r="U1823" t="s">
        <v>35188</v>
      </c>
      <c r="W1823" t="s">
        <v>30334</v>
      </c>
      <c r="X1823" t="s">
        <v>32527</v>
      </c>
    </row>
    <row r="1824" spans="1:24">
      <c r="A1824">
        <f>HYPERLINK("https://www.philgeps.gov.ph/GEPSNONPILOT/Tender/SplashBidNoticeAbstractUI.aspx?menuIndex=3&amp;refID=7046417&amp;Result=3","7046417")</f>
        <v>0</v>
      </c>
      <c r="B1824" t="s">
        <v>140</v>
      </c>
      <c r="C1824" t="s">
        <v>4433</v>
      </c>
      <c r="D1824" t="s">
        <v>12988</v>
      </c>
      <c r="E1824" t="s">
        <v>14741</v>
      </c>
      <c r="F1824" t="s">
        <v>22436</v>
      </c>
      <c r="G1824" t="s">
        <v>22444</v>
      </c>
      <c r="H1824" t="s">
        <v>22454</v>
      </c>
      <c r="I1824" t="s">
        <v>7738</v>
      </c>
      <c r="J1824" t="s">
        <v>23894</v>
      </c>
      <c r="K1824" t="s">
        <v>29412</v>
      </c>
      <c r="M1824" t="s">
        <v>30335</v>
      </c>
      <c r="N1824" t="s">
        <v>32524</v>
      </c>
      <c r="O1824" t="s">
        <v>32525</v>
      </c>
      <c r="P1824">
        <v>0</v>
      </c>
      <c r="Q1824">
        <v>6</v>
      </c>
      <c r="R1824" t="s">
        <v>32526</v>
      </c>
      <c r="S1824" t="s">
        <v>32547</v>
      </c>
      <c r="T1824" t="s">
        <v>33164</v>
      </c>
      <c r="U1824" t="s">
        <v>35189</v>
      </c>
      <c r="W1824" t="s">
        <v>30335</v>
      </c>
      <c r="X1824" t="s">
        <v>32527</v>
      </c>
    </row>
    <row r="1825" spans="1:24">
      <c r="A1825">
        <f>HYPERLINK("https://www.philgeps.gov.ph/GEPSNONPILOT/Tender/SplashBidNoticeAbstractUI.aspx?menuIndex=3&amp;refID=7046424&amp;Result=3","7046424")</f>
        <v>0</v>
      </c>
      <c r="B1825" t="s">
        <v>399</v>
      </c>
      <c r="C1825" t="s">
        <v>4434</v>
      </c>
      <c r="D1825" t="s">
        <v>13025</v>
      </c>
      <c r="E1825" t="s">
        <v>14742</v>
      </c>
      <c r="F1825" t="s">
        <v>22436</v>
      </c>
      <c r="G1825" t="s">
        <v>22443</v>
      </c>
      <c r="H1825" t="s">
        <v>22452</v>
      </c>
      <c r="I1825" t="s">
        <v>2962</v>
      </c>
      <c r="J1825" t="s">
        <v>23895</v>
      </c>
      <c r="K1825" t="s">
        <v>29338</v>
      </c>
      <c r="M1825" t="s">
        <v>29978</v>
      </c>
      <c r="N1825" t="s">
        <v>32524</v>
      </c>
      <c r="O1825" t="s">
        <v>32525</v>
      </c>
      <c r="P1825">
        <v>0</v>
      </c>
      <c r="Q1825">
        <v>0</v>
      </c>
      <c r="R1825" t="s">
        <v>32526</v>
      </c>
      <c r="S1825" t="s">
        <v>32547</v>
      </c>
      <c r="T1825" t="s">
        <v>33186</v>
      </c>
      <c r="U1825" t="s">
        <v>35093</v>
      </c>
      <c r="W1825" t="s">
        <v>29978</v>
      </c>
      <c r="X1825" t="s">
        <v>32527</v>
      </c>
    </row>
    <row r="1826" spans="1:24">
      <c r="A1826">
        <f>HYPERLINK("https://www.philgeps.gov.ph/GEPSNONPILOT/Tender/SplashBidNoticeAbstractUI.aspx?menuIndex=3&amp;refID=7046416&amp;Result=3","7046416")</f>
        <v>0</v>
      </c>
      <c r="B1826" t="s">
        <v>737</v>
      </c>
      <c r="C1826" t="s">
        <v>4435</v>
      </c>
      <c r="D1826" t="s">
        <v>13065</v>
      </c>
      <c r="E1826" t="s">
        <v>14743</v>
      </c>
      <c r="F1826" t="s">
        <v>22436</v>
      </c>
      <c r="G1826" t="s">
        <v>22450</v>
      </c>
      <c r="H1826" t="s">
        <v>22454</v>
      </c>
      <c r="I1826" t="s">
        <v>7738</v>
      </c>
      <c r="J1826" t="s">
        <v>23896</v>
      </c>
      <c r="K1826" t="s">
        <v>29344</v>
      </c>
      <c r="M1826" t="s">
        <v>30336</v>
      </c>
      <c r="N1826" t="s">
        <v>32524</v>
      </c>
      <c r="O1826" t="s">
        <v>32525</v>
      </c>
      <c r="P1826">
        <v>0</v>
      </c>
      <c r="Q1826">
        <v>0</v>
      </c>
      <c r="R1826" t="s">
        <v>32526</v>
      </c>
      <c r="S1826" t="s">
        <v>32547</v>
      </c>
      <c r="T1826" t="s">
        <v>33166</v>
      </c>
      <c r="U1826" t="s">
        <v>35190</v>
      </c>
      <c r="V1826" t="s">
        <v>42598</v>
      </c>
      <c r="W1826" t="s">
        <v>43694</v>
      </c>
      <c r="X1826" t="s">
        <v>32527</v>
      </c>
    </row>
    <row r="1827" spans="1:24">
      <c r="A1827">
        <f>HYPERLINK("https://www.philgeps.gov.ph/GEPSNONPILOT/Tender/SplashBidNoticeAbstractUI.aspx?menuIndex=3&amp;refID=7046421&amp;Result=3","7046421")</f>
        <v>0</v>
      </c>
      <c r="B1827" t="s">
        <v>550</v>
      </c>
      <c r="C1827" t="s">
        <v>4436</v>
      </c>
      <c r="D1827" t="s">
        <v>12988</v>
      </c>
      <c r="E1827" t="s">
        <v>14744</v>
      </c>
      <c r="F1827" t="s">
        <v>22436</v>
      </c>
      <c r="G1827" t="s">
        <v>22444</v>
      </c>
      <c r="H1827" t="s">
        <v>22452</v>
      </c>
      <c r="I1827" t="s">
        <v>22501</v>
      </c>
      <c r="J1827" t="s">
        <v>23897</v>
      </c>
      <c r="K1827" t="s">
        <v>29338</v>
      </c>
      <c r="M1827" t="s">
        <v>30337</v>
      </c>
      <c r="N1827" t="s">
        <v>32524</v>
      </c>
      <c r="O1827" t="s">
        <v>32525</v>
      </c>
      <c r="P1827">
        <v>0</v>
      </c>
      <c r="Q1827">
        <v>2</v>
      </c>
      <c r="R1827" t="s">
        <v>32526</v>
      </c>
      <c r="S1827" t="s">
        <v>32547</v>
      </c>
      <c r="T1827" t="s">
        <v>33219</v>
      </c>
      <c r="U1827" t="s">
        <v>35191</v>
      </c>
      <c r="V1827" t="s">
        <v>42599</v>
      </c>
      <c r="W1827" t="s">
        <v>30337</v>
      </c>
      <c r="X1827" t="s">
        <v>32527</v>
      </c>
    </row>
    <row r="1828" spans="1:24">
      <c r="A1828">
        <f>HYPERLINK("https://www.philgeps.gov.ph/GEPSNONPILOT/Tender/SplashBidNoticeAbstractUI.aspx?menuIndex=3&amp;refID=7046431&amp;Result=3","7046431")</f>
        <v>0</v>
      </c>
      <c r="B1828" t="s">
        <v>721</v>
      </c>
      <c r="C1828" t="s">
        <v>4437</v>
      </c>
      <c r="D1828" t="s">
        <v>12990</v>
      </c>
      <c r="E1828" t="s">
        <v>14745</v>
      </c>
      <c r="F1828" t="s">
        <v>22436</v>
      </c>
      <c r="G1828" t="s">
        <v>22444</v>
      </c>
      <c r="H1828" t="s">
        <v>22454</v>
      </c>
      <c r="I1828" t="s">
        <v>7738</v>
      </c>
      <c r="J1828" t="s">
        <v>23898</v>
      </c>
      <c r="K1828" t="s">
        <v>29362</v>
      </c>
      <c r="M1828" t="s">
        <v>30318</v>
      </c>
      <c r="N1828" t="s">
        <v>32524</v>
      </c>
      <c r="O1828" t="s">
        <v>32525</v>
      </c>
      <c r="P1828">
        <v>0</v>
      </c>
      <c r="Q1828">
        <v>0</v>
      </c>
      <c r="R1828" t="s">
        <v>32526</v>
      </c>
      <c r="S1828" t="s">
        <v>32547</v>
      </c>
      <c r="T1828" t="s">
        <v>33181</v>
      </c>
      <c r="U1828" t="s">
        <v>35192</v>
      </c>
      <c r="W1828" t="s">
        <v>30318</v>
      </c>
      <c r="X1828" t="s">
        <v>32527</v>
      </c>
    </row>
    <row r="1829" spans="1:24">
      <c r="A1829">
        <f>HYPERLINK("https://www.philgeps.gov.ph/GEPSNONPILOT/Tender/SplashBidNoticeAbstractUI.aspx?menuIndex=3&amp;refID=7046428&amp;Result=3","7046428")</f>
        <v>0</v>
      </c>
      <c r="B1829" t="s">
        <v>687</v>
      </c>
      <c r="C1829" t="s">
        <v>4438</v>
      </c>
      <c r="E1829" t="s">
        <v>14746</v>
      </c>
      <c r="F1829" t="s">
        <v>22436</v>
      </c>
      <c r="G1829" t="s">
        <v>22444</v>
      </c>
      <c r="H1829" t="s">
        <v>22454</v>
      </c>
      <c r="I1829" t="s">
        <v>7738</v>
      </c>
      <c r="J1829" t="s">
        <v>23899</v>
      </c>
      <c r="K1829" t="s">
        <v>29413</v>
      </c>
      <c r="M1829" t="s">
        <v>30281</v>
      </c>
      <c r="N1829" t="s">
        <v>32524</v>
      </c>
      <c r="O1829" t="s">
        <v>32525</v>
      </c>
      <c r="P1829">
        <v>0</v>
      </c>
      <c r="Q1829">
        <v>0</v>
      </c>
      <c r="R1829" t="s">
        <v>32526</v>
      </c>
      <c r="S1829" t="s">
        <v>32547</v>
      </c>
      <c r="T1829" t="s">
        <v>33157</v>
      </c>
      <c r="U1829" t="s">
        <v>35076</v>
      </c>
      <c r="W1829" t="s">
        <v>30281</v>
      </c>
      <c r="X1829" t="s">
        <v>32527</v>
      </c>
    </row>
    <row r="1830" spans="1:24">
      <c r="A1830">
        <f>HYPERLINK("https://www.philgeps.gov.ph/GEPSNONPILOT/Tender/SplashBidNoticeAbstractUI.aspx?menuIndex=3&amp;refID=7046420&amp;Result=3","7046420")</f>
        <v>0</v>
      </c>
      <c r="B1830" t="s">
        <v>623</v>
      </c>
      <c r="C1830" t="s">
        <v>4439</v>
      </c>
      <c r="E1830" t="s">
        <v>14747</v>
      </c>
      <c r="F1830" t="s">
        <v>22436</v>
      </c>
      <c r="G1830" t="s">
        <v>22444</v>
      </c>
      <c r="H1830" t="s">
        <v>22452</v>
      </c>
      <c r="I1830" t="s">
        <v>22476</v>
      </c>
      <c r="J1830" t="s">
        <v>23900</v>
      </c>
      <c r="K1830" t="s">
        <v>29338</v>
      </c>
      <c r="M1830" t="s">
        <v>30214</v>
      </c>
      <c r="N1830" t="s">
        <v>32524</v>
      </c>
      <c r="O1830" t="s">
        <v>32525</v>
      </c>
      <c r="P1830">
        <v>0</v>
      </c>
      <c r="Q1830">
        <v>0</v>
      </c>
      <c r="R1830" t="s">
        <v>32526</v>
      </c>
      <c r="S1830" t="s">
        <v>32547</v>
      </c>
      <c r="T1830" t="s">
        <v>33207</v>
      </c>
      <c r="U1830" t="s">
        <v>35193</v>
      </c>
      <c r="W1830" t="s">
        <v>30214</v>
      </c>
      <c r="X1830" t="s">
        <v>32527</v>
      </c>
    </row>
    <row r="1831" spans="1:24">
      <c r="A1831">
        <f>HYPERLINK("https://www.philgeps.gov.ph/GEPSNONPILOT/Tender/SplashBidNoticeAbstractUI.aspx?menuIndex=3&amp;refID=7046430&amp;Result=3","7046430")</f>
        <v>0</v>
      </c>
      <c r="B1831" t="s">
        <v>668</v>
      </c>
      <c r="C1831" t="s">
        <v>4440</v>
      </c>
      <c r="D1831" t="s">
        <v>13024</v>
      </c>
      <c r="E1831" t="s">
        <v>14748</v>
      </c>
      <c r="F1831" t="s">
        <v>22436</v>
      </c>
      <c r="G1831" t="s">
        <v>22444</v>
      </c>
      <c r="H1831" t="s">
        <v>22452</v>
      </c>
      <c r="I1831" t="s">
        <v>22461</v>
      </c>
      <c r="J1831" t="s">
        <v>23901</v>
      </c>
      <c r="K1831" t="s">
        <v>29330</v>
      </c>
      <c r="M1831" t="s">
        <v>30260</v>
      </c>
      <c r="N1831" t="s">
        <v>32524</v>
      </c>
      <c r="O1831" t="s">
        <v>32525</v>
      </c>
      <c r="P1831">
        <v>0</v>
      </c>
      <c r="Q1831">
        <v>2</v>
      </c>
      <c r="R1831" t="s">
        <v>32526</v>
      </c>
      <c r="S1831" t="s">
        <v>32547</v>
      </c>
      <c r="T1831" t="s">
        <v>33343</v>
      </c>
      <c r="U1831" t="s">
        <v>35194</v>
      </c>
      <c r="V1831" t="s">
        <v>42586</v>
      </c>
      <c r="W1831" t="s">
        <v>30260</v>
      </c>
      <c r="X1831" t="s">
        <v>32527</v>
      </c>
    </row>
    <row r="1832" spans="1:24">
      <c r="A1832">
        <f>HYPERLINK("https://www.philgeps.gov.ph/GEPSNONPILOT/Tender/SplashBidNoticeAbstractUI.aspx?menuIndex=3&amp;refID=7046423&amp;Result=3","7046423")</f>
        <v>0</v>
      </c>
      <c r="B1832" t="s">
        <v>726</v>
      </c>
      <c r="C1832" t="s">
        <v>4441</v>
      </c>
      <c r="D1832" t="s">
        <v>13058</v>
      </c>
      <c r="E1832" t="s">
        <v>14749</v>
      </c>
      <c r="F1832" t="s">
        <v>22436</v>
      </c>
      <c r="G1832" t="s">
        <v>22443</v>
      </c>
      <c r="H1832" t="s">
        <v>22452</v>
      </c>
      <c r="I1832" t="s">
        <v>22460</v>
      </c>
      <c r="J1832" t="s">
        <v>23902</v>
      </c>
      <c r="K1832" t="s">
        <v>29341</v>
      </c>
      <c r="M1832" t="s">
        <v>30324</v>
      </c>
      <c r="N1832" t="s">
        <v>32524</v>
      </c>
      <c r="O1832" t="s">
        <v>32525</v>
      </c>
      <c r="P1832">
        <v>0</v>
      </c>
      <c r="Q1832">
        <v>0</v>
      </c>
      <c r="R1832" t="s">
        <v>32526</v>
      </c>
      <c r="S1832" t="s">
        <v>32547</v>
      </c>
      <c r="T1832" t="s">
        <v>33154</v>
      </c>
      <c r="U1832" t="s">
        <v>35164</v>
      </c>
      <c r="W1832" t="s">
        <v>30324</v>
      </c>
      <c r="X1832" t="s">
        <v>32527</v>
      </c>
    </row>
    <row r="1833" spans="1:24">
      <c r="A1833">
        <f>HYPERLINK("https://www.philgeps.gov.ph/GEPSNONPILOT/Tender/SplashBidNoticeAbstractUI.aspx?menuIndex=3&amp;refID=7046432&amp;Result=3","7046432")</f>
        <v>0</v>
      </c>
      <c r="B1833" t="s">
        <v>738</v>
      </c>
      <c r="C1833" t="s">
        <v>4442</v>
      </c>
      <c r="D1833" t="s">
        <v>13046</v>
      </c>
      <c r="E1833" t="s">
        <v>14750</v>
      </c>
      <c r="F1833" t="s">
        <v>22436</v>
      </c>
      <c r="G1833" t="s">
        <v>22444</v>
      </c>
      <c r="H1833" t="s">
        <v>22452</v>
      </c>
      <c r="I1833" t="s">
        <v>6421</v>
      </c>
      <c r="J1833" t="s">
        <v>23903</v>
      </c>
      <c r="K1833" t="s">
        <v>29338</v>
      </c>
      <c r="L1833" t="s">
        <v>738</v>
      </c>
      <c r="M1833" t="s">
        <v>30338</v>
      </c>
      <c r="N1833" t="s">
        <v>32524</v>
      </c>
      <c r="O1833" t="s">
        <v>32525</v>
      </c>
      <c r="P1833">
        <v>0</v>
      </c>
      <c r="Q1833">
        <v>0</v>
      </c>
      <c r="R1833" t="s">
        <v>32526</v>
      </c>
      <c r="S1833" t="s">
        <v>32547</v>
      </c>
      <c r="T1833" t="s">
        <v>33344</v>
      </c>
      <c r="U1833" t="s">
        <v>35195</v>
      </c>
      <c r="W1833" t="s">
        <v>30338</v>
      </c>
      <c r="X1833" t="s">
        <v>32527</v>
      </c>
    </row>
    <row r="1834" spans="1:24">
      <c r="A1834">
        <f>HYPERLINK("https://www.philgeps.gov.ph/GEPSNONPILOT/Tender/SplashBidNoticeAbstractUI.aspx?menuIndex=3&amp;refID=7046427&amp;Result=3","7046427")</f>
        <v>0</v>
      </c>
      <c r="B1834" t="s">
        <v>88</v>
      </c>
      <c r="C1834" t="s">
        <v>4443</v>
      </c>
      <c r="D1834" t="s">
        <v>13025</v>
      </c>
      <c r="E1834" t="s">
        <v>14751</v>
      </c>
      <c r="F1834" t="s">
        <v>22436</v>
      </c>
      <c r="G1834" t="s">
        <v>22444</v>
      </c>
      <c r="H1834" t="s">
        <v>22452</v>
      </c>
      <c r="I1834" t="s">
        <v>22460</v>
      </c>
      <c r="J1834" t="s">
        <v>23904</v>
      </c>
      <c r="K1834" t="s">
        <v>29338</v>
      </c>
      <c r="M1834" t="s">
        <v>29660</v>
      </c>
      <c r="N1834" t="s">
        <v>32524</v>
      </c>
      <c r="O1834" t="s">
        <v>32525</v>
      </c>
      <c r="P1834">
        <v>0</v>
      </c>
      <c r="Q1834">
        <v>0</v>
      </c>
      <c r="R1834" t="s">
        <v>32526</v>
      </c>
      <c r="S1834" t="s">
        <v>32547</v>
      </c>
      <c r="T1834" t="s">
        <v>33187</v>
      </c>
      <c r="U1834" t="s">
        <v>35181</v>
      </c>
      <c r="W1834" t="s">
        <v>29660</v>
      </c>
      <c r="X1834" t="s">
        <v>32527</v>
      </c>
    </row>
    <row r="1835" spans="1:24">
      <c r="A1835">
        <f>HYPERLINK("https://www.philgeps.gov.ph/GEPSNONPILOT/Tender/SplashBidNoticeAbstractUI.aspx?menuIndex=3&amp;refID=7046418&amp;Result=3","7046418")</f>
        <v>0</v>
      </c>
      <c r="B1835" t="s">
        <v>450</v>
      </c>
      <c r="C1835" t="s">
        <v>4444</v>
      </c>
      <c r="D1835" t="s">
        <v>13009</v>
      </c>
      <c r="E1835" t="s">
        <v>14752</v>
      </c>
      <c r="F1835" t="s">
        <v>22436</v>
      </c>
      <c r="G1835" t="s">
        <v>22446</v>
      </c>
      <c r="H1835" t="s">
        <v>22452</v>
      </c>
      <c r="I1835" t="s">
        <v>3529</v>
      </c>
      <c r="J1835" t="s">
        <v>23905</v>
      </c>
      <c r="K1835" t="s">
        <v>29356</v>
      </c>
      <c r="M1835" t="s">
        <v>30032</v>
      </c>
      <c r="N1835" t="s">
        <v>32524</v>
      </c>
      <c r="O1835" t="s">
        <v>32525</v>
      </c>
      <c r="P1835">
        <v>0</v>
      </c>
      <c r="Q1835">
        <v>0</v>
      </c>
      <c r="R1835" t="s">
        <v>32526</v>
      </c>
      <c r="S1835" t="s">
        <v>32547</v>
      </c>
      <c r="T1835" t="s">
        <v>33185</v>
      </c>
      <c r="U1835" t="s">
        <v>35196</v>
      </c>
      <c r="W1835" t="s">
        <v>30032</v>
      </c>
      <c r="X1835" t="s">
        <v>32527</v>
      </c>
    </row>
    <row r="1836" spans="1:24">
      <c r="A1836">
        <f>HYPERLINK("https://www.philgeps.gov.ph/GEPSNONPILOT/Tender/SplashBidNoticeAbstractUI.aspx?menuIndex=3&amp;refID=7046434&amp;Result=3","7046434")</f>
        <v>0</v>
      </c>
      <c r="B1836" t="s">
        <v>715</v>
      </c>
      <c r="C1836" t="s">
        <v>4445</v>
      </c>
      <c r="D1836" t="s">
        <v>13024</v>
      </c>
      <c r="E1836" t="s">
        <v>14753</v>
      </c>
      <c r="F1836" t="s">
        <v>22436</v>
      </c>
      <c r="G1836" t="s">
        <v>22443</v>
      </c>
      <c r="H1836" t="s">
        <v>22452</v>
      </c>
      <c r="I1836" t="s">
        <v>3027</v>
      </c>
      <c r="J1836" t="s">
        <v>23378</v>
      </c>
      <c r="K1836" t="s">
        <v>29340</v>
      </c>
      <c r="M1836" t="s">
        <v>30312</v>
      </c>
      <c r="N1836" t="s">
        <v>32524</v>
      </c>
      <c r="O1836" t="s">
        <v>32525</v>
      </c>
      <c r="P1836">
        <v>0</v>
      </c>
      <c r="Q1836">
        <v>0</v>
      </c>
      <c r="R1836" t="s">
        <v>32526</v>
      </c>
      <c r="S1836" t="s">
        <v>32547</v>
      </c>
      <c r="T1836" t="s">
        <v>33197</v>
      </c>
      <c r="U1836" t="s">
        <v>35197</v>
      </c>
      <c r="W1836" t="s">
        <v>30312</v>
      </c>
      <c r="X1836" t="s">
        <v>32527</v>
      </c>
    </row>
    <row r="1837" spans="1:24">
      <c r="A1837">
        <f>HYPERLINK("https://www.philgeps.gov.ph/GEPSNONPILOT/Tender/SplashBidNoticeAbstractUI.aspx?menuIndex=3&amp;refID=7046433&amp;Result=3","7046433")</f>
        <v>0</v>
      </c>
      <c r="B1837" t="s">
        <v>739</v>
      </c>
      <c r="C1837" t="s">
        <v>4446</v>
      </c>
      <c r="D1837" t="s">
        <v>13029</v>
      </c>
      <c r="E1837" t="s">
        <v>14754</v>
      </c>
      <c r="F1837" t="s">
        <v>22436</v>
      </c>
      <c r="G1837" t="s">
        <v>22443</v>
      </c>
      <c r="H1837" t="s">
        <v>22452</v>
      </c>
      <c r="I1837" t="s">
        <v>22471</v>
      </c>
      <c r="J1837" t="s">
        <v>23906</v>
      </c>
      <c r="K1837" t="s">
        <v>29338</v>
      </c>
      <c r="M1837" t="s">
        <v>30339</v>
      </c>
      <c r="N1837" t="s">
        <v>32524</v>
      </c>
      <c r="O1837" t="s">
        <v>32525</v>
      </c>
      <c r="P1837">
        <v>0</v>
      </c>
      <c r="Q1837">
        <v>1</v>
      </c>
      <c r="R1837" t="s">
        <v>32526</v>
      </c>
      <c r="S1837" t="s">
        <v>32547</v>
      </c>
      <c r="T1837" t="s">
        <v>33169</v>
      </c>
      <c r="U1837" t="s">
        <v>35198</v>
      </c>
      <c r="W1837" t="s">
        <v>30339</v>
      </c>
      <c r="X1837" t="s">
        <v>32527</v>
      </c>
    </row>
    <row r="1838" spans="1:24">
      <c r="A1838">
        <f>HYPERLINK("https://www.philgeps.gov.ph/GEPSNONPILOT/Tender/SplashBidNoticeAbstractUI.aspx?menuIndex=3&amp;refID=7046426&amp;Result=3","7046426")</f>
        <v>0</v>
      </c>
      <c r="B1838" t="s">
        <v>140</v>
      </c>
      <c r="C1838" t="s">
        <v>4447</v>
      </c>
      <c r="D1838" t="s">
        <v>12988</v>
      </c>
      <c r="E1838" t="s">
        <v>14249</v>
      </c>
      <c r="F1838" t="s">
        <v>22436</v>
      </c>
      <c r="G1838" t="s">
        <v>22443</v>
      </c>
      <c r="H1838" t="s">
        <v>22452</v>
      </c>
      <c r="I1838" t="s">
        <v>22541</v>
      </c>
      <c r="J1838" t="s">
        <v>23907</v>
      </c>
      <c r="K1838" t="s">
        <v>29338</v>
      </c>
      <c r="M1838" t="s">
        <v>30340</v>
      </c>
      <c r="N1838" t="s">
        <v>32524</v>
      </c>
      <c r="O1838" t="s">
        <v>32525</v>
      </c>
      <c r="P1838">
        <v>0</v>
      </c>
      <c r="Q1838">
        <v>2</v>
      </c>
      <c r="R1838" t="s">
        <v>32526</v>
      </c>
      <c r="S1838" t="s">
        <v>32547</v>
      </c>
      <c r="T1838" t="s">
        <v>33168</v>
      </c>
      <c r="U1838" t="s">
        <v>35199</v>
      </c>
      <c r="V1838" t="s">
        <v>42600</v>
      </c>
      <c r="W1838" t="s">
        <v>30340</v>
      </c>
      <c r="X1838" t="s">
        <v>32527</v>
      </c>
    </row>
    <row r="1839" spans="1:24">
      <c r="A1839">
        <f>HYPERLINK("https://www.philgeps.gov.ph/GEPSNONPILOT/Tender/SplashBidNoticeAbstractUI.aspx?menuIndex=3&amp;refID=7046419&amp;Result=3","7046419")</f>
        <v>0</v>
      </c>
      <c r="B1839" t="s">
        <v>723</v>
      </c>
      <c r="C1839" t="s">
        <v>4448</v>
      </c>
      <c r="D1839" t="s">
        <v>13045</v>
      </c>
      <c r="E1839" t="s">
        <v>14755</v>
      </c>
      <c r="F1839" t="s">
        <v>22436</v>
      </c>
      <c r="G1839" t="s">
        <v>22446</v>
      </c>
      <c r="H1839" t="s">
        <v>22452</v>
      </c>
      <c r="I1839" t="s">
        <v>3529</v>
      </c>
      <c r="J1839" t="s">
        <v>23908</v>
      </c>
      <c r="K1839" t="s">
        <v>29338</v>
      </c>
      <c r="M1839" t="s">
        <v>30320</v>
      </c>
      <c r="N1839" t="s">
        <v>32524</v>
      </c>
      <c r="O1839" t="s">
        <v>32525</v>
      </c>
      <c r="P1839">
        <v>0</v>
      </c>
      <c r="Q1839">
        <v>0</v>
      </c>
      <c r="R1839" t="s">
        <v>32526</v>
      </c>
      <c r="S1839" t="s">
        <v>32547</v>
      </c>
      <c r="T1839" t="s">
        <v>33310</v>
      </c>
      <c r="U1839" t="s">
        <v>35200</v>
      </c>
      <c r="W1839" t="s">
        <v>30320</v>
      </c>
      <c r="X1839" t="s">
        <v>32527</v>
      </c>
    </row>
    <row r="1840" spans="1:24">
      <c r="A1840">
        <f>HYPERLINK("https://www.philgeps.gov.ph/GEPSNONPILOT/Tender/SplashBidNoticeAbstractUI.aspx?menuIndex=3&amp;refID=7046425&amp;Result=3","7046425")</f>
        <v>0</v>
      </c>
      <c r="B1840" t="s">
        <v>655</v>
      </c>
      <c r="C1840" t="s">
        <v>4449</v>
      </c>
      <c r="D1840" t="s">
        <v>12988</v>
      </c>
      <c r="E1840" t="s">
        <v>14756</v>
      </c>
      <c r="F1840" t="s">
        <v>22436</v>
      </c>
      <c r="G1840" t="s">
        <v>22446</v>
      </c>
      <c r="H1840" t="s">
        <v>22452</v>
      </c>
      <c r="I1840" t="s">
        <v>22460</v>
      </c>
      <c r="J1840" t="s">
        <v>23909</v>
      </c>
      <c r="K1840" t="s">
        <v>29338</v>
      </c>
      <c r="M1840" t="s">
        <v>30247</v>
      </c>
      <c r="N1840" t="s">
        <v>32524</v>
      </c>
      <c r="O1840" t="s">
        <v>32525</v>
      </c>
      <c r="P1840">
        <v>0</v>
      </c>
      <c r="Q1840">
        <v>1</v>
      </c>
      <c r="R1840" t="s">
        <v>32526</v>
      </c>
      <c r="S1840" t="s">
        <v>32547</v>
      </c>
      <c r="T1840" t="s">
        <v>33209</v>
      </c>
      <c r="U1840" t="s">
        <v>35201</v>
      </c>
      <c r="W1840" t="s">
        <v>30247</v>
      </c>
      <c r="X1840" t="s">
        <v>32527</v>
      </c>
    </row>
    <row r="1841" spans="1:24">
      <c r="A1841">
        <f>HYPERLINK("https://www.philgeps.gov.ph/GEPSNONPILOT/Tender/SplashBidNoticeAbstractUI.aspx?menuIndex=3&amp;refID=7046439&amp;Result=3","7046439")</f>
        <v>0</v>
      </c>
      <c r="B1841" t="s">
        <v>740</v>
      </c>
      <c r="C1841" t="s">
        <v>4450</v>
      </c>
      <c r="D1841" t="s">
        <v>13002</v>
      </c>
      <c r="E1841" t="s">
        <v>14757</v>
      </c>
      <c r="F1841" t="s">
        <v>22436</v>
      </c>
      <c r="G1841" t="s">
        <v>22444</v>
      </c>
      <c r="H1841" t="s">
        <v>22454</v>
      </c>
      <c r="I1841" t="s">
        <v>7738</v>
      </c>
      <c r="J1841" t="s">
        <v>22779</v>
      </c>
      <c r="K1841" t="s">
        <v>29347</v>
      </c>
      <c r="M1841" t="s">
        <v>30341</v>
      </c>
      <c r="N1841" t="s">
        <v>32524</v>
      </c>
      <c r="O1841" t="s">
        <v>32525</v>
      </c>
      <c r="P1841">
        <v>0</v>
      </c>
      <c r="Q1841">
        <v>0</v>
      </c>
      <c r="R1841" t="s">
        <v>32526</v>
      </c>
      <c r="S1841" t="s">
        <v>32547</v>
      </c>
      <c r="T1841" t="s">
        <v>33242</v>
      </c>
      <c r="U1841" t="s">
        <v>35202</v>
      </c>
      <c r="W1841" t="s">
        <v>30341</v>
      </c>
      <c r="X1841" t="s">
        <v>32527</v>
      </c>
    </row>
    <row r="1842" spans="1:24">
      <c r="A1842">
        <f>HYPERLINK("https://www.philgeps.gov.ph/GEPSNONPILOT/Tender/SplashBidNoticeAbstractUI.aspx?menuIndex=3&amp;refID=7046453&amp;Result=3","7046453")</f>
        <v>0</v>
      </c>
      <c r="B1842" t="s">
        <v>737</v>
      </c>
      <c r="C1842" t="s">
        <v>4451</v>
      </c>
      <c r="D1842" t="s">
        <v>13065</v>
      </c>
      <c r="E1842" t="s">
        <v>14758</v>
      </c>
      <c r="F1842" t="s">
        <v>22436</v>
      </c>
      <c r="G1842" t="s">
        <v>22450</v>
      </c>
      <c r="H1842" t="s">
        <v>22454</v>
      </c>
      <c r="I1842" t="s">
        <v>7738</v>
      </c>
      <c r="J1842" t="s">
        <v>23910</v>
      </c>
      <c r="K1842" t="s">
        <v>29389</v>
      </c>
      <c r="M1842" t="s">
        <v>30336</v>
      </c>
      <c r="N1842" t="s">
        <v>32524</v>
      </c>
      <c r="O1842" t="s">
        <v>32525</v>
      </c>
      <c r="P1842">
        <v>0</v>
      </c>
      <c r="Q1842">
        <v>0</v>
      </c>
      <c r="R1842" t="s">
        <v>32526</v>
      </c>
      <c r="S1842" t="s">
        <v>32547</v>
      </c>
      <c r="T1842" t="s">
        <v>33166</v>
      </c>
      <c r="U1842" t="s">
        <v>35190</v>
      </c>
      <c r="V1842" t="s">
        <v>42601</v>
      </c>
      <c r="W1842" t="s">
        <v>43694</v>
      </c>
      <c r="X1842" t="s">
        <v>32527</v>
      </c>
    </row>
    <row r="1843" spans="1:24">
      <c r="A1843">
        <f>HYPERLINK("https://www.philgeps.gov.ph/GEPSNONPILOT/Tender/SplashBidNoticeAbstractUI.aspx?menuIndex=3&amp;refID=7046438&amp;Result=3","7046438")</f>
        <v>0</v>
      </c>
      <c r="B1843" t="s">
        <v>741</v>
      </c>
      <c r="C1843" t="s">
        <v>4452</v>
      </c>
      <c r="D1843" t="s">
        <v>13019</v>
      </c>
      <c r="E1843" t="s">
        <v>13368</v>
      </c>
      <c r="F1843" t="s">
        <v>22436</v>
      </c>
      <c r="G1843" t="s">
        <v>22444</v>
      </c>
      <c r="H1843" t="s">
        <v>22454</v>
      </c>
      <c r="I1843" t="s">
        <v>7738</v>
      </c>
      <c r="J1843" t="s">
        <v>22960</v>
      </c>
      <c r="K1843" t="s">
        <v>29333</v>
      </c>
      <c r="M1843" t="s">
        <v>30342</v>
      </c>
      <c r="N1843" t="s">
        <v>32524</v>
      </c>
      <c r="O1843" t="s">
        <v>32525</v>
      </c>
      <c r="P1843">
        <v>0</v>
      </c>
      <c r="Q1843">
        <v>0</v>
      </c>
      <c r="R1843" t="s">
        <v>32526</v>
      </c>
      <c r="S1843" t="s">
        <v>32547</v>
      </c>
      <c r="T1843" t="s">
        <v>33164</v>
      </c>
      <c r="U1843" t="s">
        <v>35203</v>
      </c>
      <c r="W1843" t="s">
        <v>30342</v>
      </c>
      <c r="X1843" t="s">
        <v>32527</v>
      </c>
    </row>
    <row r="1844" spans="1:24">
      <c r="A1844">
        <f>HYPERLINK("https://www.philgeps.gov.ph/GEPSNONPILOT/Tender/SplashBidNoticeAbstractUI.aspx?menuIndex=3&amp;refID=7046450&amp;Result=3","7046450")</f>
        <v>0</v>
      </c>
      <c r="B1844" t="s">
        <v>726</v>
      </c>
      <c r="C1844" t="s">
        <v>4453</v>
      </c>
      <c r="D1844" t="s">
        <v>13058</v>
      </c>
      <c r="E1844" t="s">
        <v>14759</v>
      </c>
      <c r="F1844" t="s">
        <v>22436</v>
      </c>
      <c r="G1844" t="s">
        <v>22443</v>
      </c>
      <c r="H1844" t="s">
        <v>22452</v>
      </c>
      <c r="I1844" t="s">
        <v>22460</v>
      </c>
      <c r="J1844" t="s">
        <v>23911</v>
      </c>
      <c r="K1844" t="s">
        <v>29341</v>
      </c>
      <c r="M1844" t="s">
        <v>30324</v>
      </c>
      <c r="N1844" t="s">
        <v>32524</v>
      </c>
      <c r="O1844" t="s">
        <v>32525</v>
      </c>
      <c r="P1844">
        <v>0</v>
      </c>
      <c r="Q1844">
        <v>0</v>
      </c>
      <c r="R1844" t="s">
        <v>32526</v>
      </c>
      <c r="S1844" t="s">
        <v>32547</v>
      </c>
      <c r="T1844" t="s">
        <v>33154</v>
      </c>
      <c r="U1844" t="s">
        <v>35204</v>
      </c>
      <c r="W1844" t="s">
        <v>30324</v>
      </c>
      <c r="X1844" t="s">
        <v>32527</v>
      </c>
    </row>
    <row r="1845" spans="1:24">
      <c r="A1845">
        <f>HYPERLINK("https://www.philgeps.gov.ph/GEPSNONPILOT/Tender/SplashBidNoticeAbstractUI.aspx?menuIndex=3&amp;refID=7046452&amp;Result=3","7046452")</f>
        <v>0</v>
      </c>
      <c r="B1845" t="s">
        <v>166</v>
      </c>
      <c r="C1845" t="s">
        <v>4454</v>
      </c>
      <c r="E1845" t="s">
        <v>14760</v>
      </c>
      <c r="F1845" t="s">
        <v>22436</v>
      </c>
      <c r="G1845" t="s">
        <v>22443</v>
      </c>
      <c r="H1845" t="s">
        <v>22452</v>
      </c>
      <c r="I1845" t="s">
        <v>3027</v>
      </c>
      <c r="J1845" t="s">
        <v>22588</v>
      </c>
      <c r="K1845" t="s">
        <v>29338</v>
      </c>
      <c r="M1845" t="s">
        <v>29738</v>
      </c>
      <c r="N1845" t="s">
        <v>32524</v>
      </c>
      <c r="O1845" t="s">
        <v>32525</v>
      </c>
      <c r="P1845">
        <v>0</v>
      </c>
      <c r="Q1845">
        <v>1</v>
      </c>
      <c r="R1845" t="s">
        <v>32526</v>
      </c>
      <c r="S1845" t="s">
        <v>32547</v>
      </c>
      <c r="T1845" t="s">
        <v>33154</v>
      </c>
      <c r="U1845" t="s">
        <v>35205</v>
      </c>
      <c r="W1845" t="s">
        <v>29738</v>
      </c>
      <c r="X1845" t="s">
        <v>32527</v>
      </c>
    </row>
    <row r="1846" spans="1:24">
      <c r="A1846">
        <f>HYPERLINK("https://www.philgeps.gov.ph/GEPSNONPILOT/Tender/SplashBidNoticeAbstractUI.aspx?menuIndex=3&amp;refID=7046443&amp;Result=3","7046443")</f>
        <v>0</v>
      </c>
      <c r="B1846" t="s">
        <v>742</v>
      </c>
      <c r="C1846" t="s">
        <v>4455</v>
      </c>
      <c r="D1846" t="s">
        <v>13000</v>
      </c>
      <c r="E1846" t="s">
        <v>14761</v>
      </c>
      <c r="F1846" t="s">
        <v>22436</v>
      </c>
      <c r="G1846" t="s">
        <v>22444</v>
      </c>
      <c r="H1846" t="s">
        <v>22454</v>
      </c>
      <c r="I1846" t="s">
        <v>7738</v>
      </c>
      <c r="J1846" t="s">
        <v>22788</v>
      </c>
      <c r="K1846" t="s">
        <v>29414</v>
      </c>
      <c r="M1846" t="s">
        <v>30343</v>
      </c>
      <c r="N1846" t="s">
        <v>32524</v>
      </c>
      <c r="O1846" t="s">
        <v>32525</v>
      </c>
      <c r="P1846">
        <v>0</v>
      </c>
      <c r="Q1846">
        <v>0</v>
      </c>
      <c r="R1846" t="s">
        <v>32526</v>
      </c>
      <c r="S1846" t="s">
        <v>32547</v>
      </c>
      <c r="T1846" t="s">
        <v>33175</v>
      </c>
      <c r="U1846" t="s">
        <v>35206</v>
      </c>
      <c r="W1846" t="s">
        <v>30343</v>
      </c>
      <c r="X1846" t="s">
        <v>32527</v>
      </c>
    </row>
    <row r="1847" spans="1:24">
      <c r="A1847">
        <f>HYPERLINK("https://www.philgeps.gov.ph/GEPSNONPILOT/Tender/SplashBidNoticeAbstractUI.aspx?menuIndex=3&amp;refID=7046446&amp;Result=3","7046446")</f>
        <v>0</v>
      </c>
      <c r="B1847" t="s">
        <v>721</v>
      </c>
      <c r="C1847" t="s">
        <v>4456</v>
      </c>
      <c r="D1847" t="s">
        <v>12990</v>
      </c>
      <c r="E1847" t="s">
        <v>14762</v>
      </c>
      <c r="F1847" t="s">
        <v>22436</v>
      </c>
      <c r="G1847" t="s">
        <v>22444</v>
      </c>
      <c r="H1847" t="s">
        <v>22454</v>
      </c>
      <c r="I1847" t="s">
        <v>7738</v>
      </c>
      <c r="J1847" t="s">
        <v>23912</v>
      </c>
      <c r="K1847" t="s">
        <v>29335</v>
      </c>
      <c r="M1847" t="s">
        <v>30318</v>
      </c>
      <c r="N1847" t="s">
        <v>32524</v>
      </c>
      <c r="O1847" t="s">
        <v>32525</v>
      </c>
      <c r="P1847">
        <v>0</v>
      </c>
      <c r="Q1847">
        <v>0</v>
      </c>
      <c r="R1847" t="s">
        <v>32526</v>
      </c>
      <c r="S1847" t="s">
        <v>32547</v>
      </c>
      <c r="T1847" t="s">
        <v>33182</v>
      </c>
      <c r="U1847" t="s">
        <v>35207</v>
      </c>
      <c r="W1847" t="s">
        <v>30318</v>
      </c>
      <c r="X1847" t="s">
        <v>32527</v>
      </c>
    </row>
    <row r="1848" spans="1:24">
      <c r="A1848">
        <f>HYPERLINK("https://www.philgeps.gov.ph/GEPSNONPILOT/Tender/SplashBidNoticeAbstractUI.aspx?menuIndex=3&amp;refID=7046455&amp;Result=3","7046455")</f>
        <v>0</v>
      </c>
      <c r="B1848" t="s">
        <v>703</v>
      </c>
      <c r="C1848" t="s">
        <v>4457</v>
      </c>
      <c r="D1848" t="s">
        <v>13070</v>
      </c>
      <c r="E1848" t="s">
        <v>14763</v>
      </c>
      <c r="F1848" t="s">
        <v>22436</v>
      </c>
      <c r="G1848" t="s">
        <v>22444</v>
      </c>
      <c r="H1848" t="s">
        <v>22452</v>
      </c>
      <c r="I1848" t="s">
        <v>3529</v>
      </c>
      <c r="J1848" t="s">
        <v>23913</v>
      </c>
      <c r="K1848" t="s">
        <v>29415</v>
      </c>
      <c r="M1848" t="s">
        <v>30300</v>
      </c>
      <c r="N1848" t="s">
        <v>32524</v>
      </c>
      <c r="O1848" t="s">
        <v>32525</v>
      </c>
      <c r="P1848">
        <v>0</v>
      </c>
      <c r="Q1848">
        <v>0</v>
      </c>
      <c r="R1848" t="s">
        <v>32526</v>
      </c>
      <c r="S1848" t="s">
        <v>32547</v>
      </c>
      <c r="T1848" t="s">
        <v>33335</v>
      </c>
      <c r="U1848" t="s">
        <v>35208</v>
      </c>
      <c r="W1848" t="s">
        <v>30300</v>
      </c>
      <c r="X1848" t="s">
        <v>32527</v>
      </c>
    </row>
    <row r="1849" spans="1:24">
      <c r="A1849">
        <f>HYPERLINK("https://www.philgeps.gov.ph/GEPSNONPILOT/Tender/SplashBidNoticeAbstractUI.aspx?menuIndex=3&amp;refID=7046449&amp;Result=3","7046449")</f>
        <v>0</v>
      </c>
      <c r="B1849" t="s">
        <v>743</v>
      </c>
      <c r="C1849" t="s">
        <v>4458</v>
      </c>
      <c r="D1849" t="s">
        <v>13042</v>
      </c>
      <c r="E1849" t="s">
        <v>14764</v>
      </c>
      <c r="F1849" t="s">
        <v>22436</v>
      </c>
      <c r="G1849" t="s">
        <v>22443</v>
      </c>
      <c r="H1849" t="s">
        <v>22452</v>
      </c>
      <c r="I1849" t="s">
        <v>3529</v>
      </c>
      <c r="J1849" t="s">
        <v>22901</v>
      </c>
      <c r="K1849" t="s">
        <v>29335</v>
      </c>
      <c r="M1849" t="s">
        <v>30344</v>
      </c>
      <c r="N1849" t="s">
        <v>32524</v>
      </c>
      <c r="O1849" t="s">
        <v>32525</v>
      </c>
      <c r="P1849">
        <v>0</v>
      </c>
      <c r="Q1849">
        <v>0</v>
      </c>
      <c r="R1849" t="s">
        <v>32526</v>
      </c>
      <c r="S1849" t="s">
        <v>32547</v>
      </c>
      <c r="T1849" t="s">
        <v>33196</v>
      </c>
      <c r="U1849" t="s">
        <v>35209</v>
      </c>
      <c r="W1849" t="s">
        <v>30344</v>
      </c>
      <c r="X1849" t="s">
        <v>32527</v>
      </c>
    </row>
    <row r="1850" spans="1:24">
      <c r="A1850">
        <f>HYPERLINK("https://www.philgeps.gov.ph/GEPSNONPILOT/Tender/SplashBidNoticeAbstractUI.aspx?menuIndex=3&amp;refID=7046466&amp;Result=3","7046466")</f>
        <v>0</v>
      </c>
      <c r="B1850" t="s">
        <v>716</v>
      </c>
      <c r="C1850" t="s">
        <v>4459</v>
      </c>
      <c r="D1850" t="s">
        <v>12995</v>
      </c>
      <c r="E1850" t="s">
        <v>14765</v>
      </c>
      <c r="F1850" t="s">
        <v>22436</v>
      </c>
      <c r="G1850" t="s">
        <v>22445</v>
      </c>
      <c r="H1850" t="s">
        <v>22452</v>
      </c>
      <c r="I1850" t="s">
        <v>5194</v>
      </c>
      <c r="J1850" t="s">
        <v>23914</v>
      </c>
      <c r="K1850" t="s">
        <v>29336</v>
      </c>
      <c r="M1850" t="s">
        <v>30313</v>
      </c>
      <c r="N1850" t="s">
        <v>32524</v>
      </c>
      <c r="O1850" t="s">
        <v>32525</v>
      </c>
      <c r="P1850">
        <v>0</v>
      </c>
      <c r="Q1850">
        <v>2</v>
      </c>
      <c r="R1850" t="s">
        <v>32526</v>
      </c>
      <c r="S1850" t="s">
        <v>32547</v>
      </c>
      <c r="T1850" t="s">
        <v>33210</v>
      </c>
      <c r="U1850" t="s">
        <v>35210</v>
      </c>
      <c r="W1850" t="s">
        <v>30313</v>
      </c>
      <c r="X1850" t="s">
        <v>32527</v>
      </c>
    </row>
    <row r="1851" spans="1:24">
      <c r="A1851">
        <f>HYPERLINK("https://www.philgeps.gov.ph/GEPSNONPILOT/Tender/SplashBidNoticeAbstractUI.aspx?menuIndex=3&amp;refID=7046463&amp;Result=3","7046463")</f>
        <v>0</v>
      </c>
      <c r="B1851" t="s">
        <v>466</v>
      </c>
      <c r="C1851" t="s">
        <v>4460</v>
      </c>
      <c r="D1851" t="s">
        <v>13045</v>
      </c>
      <c r="E1851" t="s">
        <v>14766</v>
      </c>
      <c r="F1851" t="s">
        <v>22436</v>
      </c>
      <c r="G1851" t="s">
        <v>22447</v>
      </c>
      <c r="H1851" t="s">
        <v>22452</v>
      </c>
      <c r="I1851" t="s">
        <v>22502</v>
      </c>
      <c r="J1851" t="s">
        <v>23915</v>
      </c>
      <c r="K1851" t="s">
        <v>29338</v>
      </c>
      <c r="M1851" t="s">
        <v>30321</v>
      </c>
      <c r="N1851" t="s">
        <v>32524</v>
      </c>
      <c r="O1851" t="s">
        <v>32525</v>
      </c>
      <c r="P1851">
        <v>0</v>
      </c>
      <c r="Q1851">
        <v>5</v>
      </c>
      <c r="R1851" t="s">
        <v>32526</v>
      </c>
      <c r="S1851" t="s">
        <v>32547</v>
      </c>
      <c r="T1851" t="s">
        <v>33169</v>
      </c>
      <c r="U1851" t="s">
        <v>35211</v>
      </c>
      <c r="V1851" t="s">
        <v>42602</v>
      </c>
      <c r="W1851" t="s">
        <v>30321</v>
      </c>
      <c r="X1851" t="s">
        <v>32527</v>
      </c>
    </row>
    <row r="1852" spans="1:24">
      <c r="A1852">
        <f>HYPERLINK("https://www.philgeps.gov.ph/GEPSNONPILOT/Tender/SplashBidNoticeAbstractUI.aspx?menuIndex=3&amp;refID=7046461&amp;Result=3","7046461")</f>
        <v>0</v>
      </c>
      <c r="B1852" t="s">
        <v>88</v>
      </c>
      <c r="C1852" t="s">
        <v>4461</v>
      </c>
      <c r="D1852" t="s">
        <v>13025</v>
      </c>
      <c r="E1852" t="s">
        <v>14767</v>
      </c>
      <c r="F1852" t="s">
        <v>22436</v>
      </c>
      <c r="G1852" t="s">
        <v>22444</v>
      </c>
      <c r="H1852" t="s">
        <v>22452</v>
      </c>
      <c r="I1852" t="s">
        <v>22460</v>
      </c>
      <c r="J1852" t="s">
        <v>23916</v>
      </c>
      <c r="K1852" t="s">
        <v>29338</v>
      </c>
      <c r="M1852" t="s">
        <v>29660</v>
      </c>
      <c r="N1852" t="s">
        <v>32524</v>
      </c>
      <c r="O1852" t="s">
        <v>32525</v>
      </c>
      <c r="P1852">
        <v>0</v>
      </c>
      <c r="Q1852">
        <v>0</v>
      </c>
      <c r="R1852" t="s">
        <v>32526</v>
      </c>
      <c r="S1852" t="s">
        <v>32547</v>
      </c>
      <c r="T1852" t="s">
        <v>33187</v>
      </c>
      <c r="U1852" t="s">
        <v>35181</v>
      </c>
      <c r="W1852" t="s">
        <v>29660</v>
      </c>
      <c r="X1852" t="s">
        <v>32527</v>
      </c>
    </row>
    <row r="1853" spans="1:24">
      <c r="A1853">
        <f>HYPERLINK("https://www.philgeps.gov.ph/GEPSNONPILOT/Tender/SplashBidNoticeAbstractUI.aspx?menuIndex=3&amp;refID=7046462&amp;Result=3","7046462")</f>
        <v>0</v>
      </c>
      <c r="B1853" t="s">
        <v>83</v>
      </c>
      <c r="C1853" t="s">
        <v>4462</v>
      </c>
      <c r="D1853" t="s">
        <v>12988</v>
      </c>
      <c r="E1853" t="s">
        <v>14768</v>
      </c>
      <c r="F1853" t="s">
        <v>22436</v>
      </c>
      <c r="G1853" t="s">
        <v>22445</v>
      </c>
      <c r="H1853" t="s">
        <v>22452</v>
      </c>
      <c r="I1853" t="s">
        <v>22460</v>
      </c>
      <c r="J1853" t="s">
        <v>23917</v>
      </c>
      <c r="K1853" t="s">
        <v>29336</v>
      </c>
      <c r="M1853" t="s">
        <v>29655</v>
      </c>
      <c r="N1853" t="s">
        <v>32524</v>
      </c>
      <c r="O1853" t="s">
        <v>32525</v>
      </c>
      <c r="P1853">
        <v>0</v>
      </c>
      <c r="Q1853">
        <v>0</v>
      </c>
      <c r="R1853" t="s">
        <v>32526</v>
      </c>
      <c r="S1853" t="s">
        <v>32547</v>
      </c>
      <c r="T1853" t="s">
        <v>33211</v>
      </c>
      <c r="U1853" t="s">
        <v>35212</v>
      </c>
      <c r="W1853" t="s">
        <v>29655</v>
      </c>
      <c r="X1853" t="s">
        <v>32527</v>
      </c>
    </row>
    <row r="1854" spans="1:24">
      <c r="A1854">
        <f>HYPERLINK("https://www.philgeps.gov.ph/GEPSNONPILOT/Tender/SplashBidNoticeAbstractUI.aspx?menuIndex=3&amp;refID=7046441&amp;Result=3","7046441")</f>
        <v>0</v>
      </c>
      <c r="B1854" t="s">
        <v>744</v>
      </c>
      <c r="C1854" t="s">
        <v>4463</v>
      </c>
      <c r="D1854" t="s">
        <v>13000</v>
      </c>
      <c r="E1854" t="s">
        <v>14769</v>
      </c>
      <c r="F1854" t="s">
        <v>22436</v>
      </c>
      <c r="G1854" t="s">
        <v>22443</v>
      </c>
      <c r="H1854" t="s">
        <v>22452</v>
      </c>
      <c r="I1854" t="s">
        <v>22482</v>
      </c>
      <c r="J1854" t="s">
        <v>22617</v>
      </c>
      <c r="K1854" t="s">
        <v>29341</v>
      </c>
      <c r="M1854" t="s">
        <v>30345</v>
      </c>
      <c r="N1854" t="s">
        <v>32524</v>
      </c>
      <c r="O1854" t="s">
        <v>32525</v>
      </c>
      <c r="P1854">
        <v>0</v>
      </c>
      <c r="Q1854">
        <v>2</v>
      </c>
      <c r="R1854" t="s">
        <v>32526</v>
      </c>
      <c r="S1854" t="s">
        <v>32547</v>
      </c>
      <c r="T1854" t="s">
        <v>33196</v>
      </c>
      <c r="U1854" t="s">
        <v>35213</v>
      </c>
      <c r="W1854" t="s">
        <v>30345</v>
      </c>
      <c r="X1854" t="s">
        <v>32527</v>
      </c>
    </row>
    <row r="1855" spans="1:24">
      <c r="A1855">
        <f>HYPERLINK("https://www.philgeps.gov.ph/GEPSNONPILOT/Tender/SplashBidNoticeAbstractUI.aspx?menuIndex=3&amp;refID=7046458&amp;Result=3","7046458")</f>
        <v>0</v>
      </c>
      <c r="B1855" t="s">
        <v>745</v>
      </c>
      <c r="C1855" t="s">
        <v>4464</v>
      </c>
      <c r="D1855" t="s">
        <v>13009</v>
      </c>
      <c r="E1855" t="s">
        <v>14770</v>
      </c>
      <c r="F1855" t="s">
        <v>22436</v>
      </c>
      <c r="G1855" t="s">
        <v>22444</v>
      </c>
      <c r="H1855" t="s">
        <v>22452</v>
      </c>
      <c r="I1855" t="s">
        <v>3358</v>
      </c>
      <c r="J1855" t="s">
        <v>23918</v>
      </c>
      <c r="K1855" t="s">
        <v>29335</v>
      </c>
      <c r="M1855" t="s">
        <v>30346</v>
      </c>
      <c r="N1855" t="s">
        <v>32524</v>
      </c>
      <c r="O1855" t="s">
        <v>32525</v>
      </c>
      <c r="P1855">
        <v>0</v>
      </c>
      <c r="Q1855">
        <v>1</v>
      </c>
      <c r="R1855" t="s">
        <v>32526</v>
      </c>
      <c r="S1855" t="s">
        <v>32547</v>
      </c>
      <c r="T1855" t="s">
        <v>33345</v>
      </c>
      <c r="U1855" t="s">
        <v>35214</v>
      </c>
      <c r="W1855" t="s">
        <v>30346</v>
      </c>
      <c r="X1855" t="s">
        <v>32527</v>
      </c>
    </row>
    <row r="1856" spans="1:24">
      <c r="A1856">
        <f>HYPERLINK("https://www.philgeps.gov.ph/GEPSNONPILOT/Tender/SplashBidNoticeAbstractUI.aspx?menuIndex=3&amp;refID=7046468&amp;Result=3","7046468")</f>
        <v>0</v>
      </c>
      <c r="B1856" t="s">
        <v>434</v>
      </c>
      <c r="C1856" t="s">
        <v>4465</v>
      </c>
      <c r="D1856" t="s">
        <v>13007</v>
      </c>
      <c r="E1856" t="s">
        <v>14771</v>
      </c>
      <c r="F1856" t="s">
        <v>22436</v>
      </c>
      <c r="G1856" t="s">
        <v>22443</v>
      </c>
      <c r="H1856" t="s">
        <v>22452</v>
      </c>
      <c r="I1856" t="s">
        <v>22468</v>
      </c>
      <c r="J1856" t="s">
        <v>23919</v>
      </c>
      <c r="K1856" t="s">
        <v>29335</v>
      </c>
      <c r="M1856" t="s">
        <v>30015</v>
      </c>
      <c r="N1856" t="s">
        <v>32524</v>
      </c>
      <c r="O1856" t="s">
        <v>32525</v>
      </c>
      <c r="P1856">
        <v>0</v>
      </c>
      <c r="Q1856">
        <v>0</v>
      </c>
      <c r="R1856" t="s">
        <v>32526</v>
      </c>
      <c r="S1856" t="s">
        <v>32547</v>
      </c>
      <c r="T1856" t="s">
        <v>33167</v>
      </c>
      <c r="U1856" t="s">
        <v>34488</v>
      </c>
      <c r="V1856" t="s">
        <v>42512</v>
      </c>
      <c r="W1856" t="s">
        <v>30015</v>
      </c>
      <c r="X1856" t="s">
        <v>32527</v>
      </c>
    </row>
    <row r="1857" spans="1:24">
      <c r="A1857">
        <f>HYPERLINK("https://www.philgeps.gov.ph/GEPSNONPILOT/Tender/SplashBidNoticeAbstractUI.aspx?menuIndex=3&amp;refID=7046467&amp;Result=3","7046467")</f>
        <v>0</v>
      </c>
      <c r="B1857" t="s">
        <v>720</v>
      </c>
      <c r="C1857" t="s">
        <v>4466</v>
      </c>
      <c r="D1857" t="s">
        <v>13058</v>
      </c>
      <c r="E1857" t="s">
        <v>14772</v>
      </c>
      <c r="F1857" t="s">
        <v>22436</v>
      </c>
      <c r="G1857" t="s">
        <v>22444</v>
      </c>
      <c r="H1857" t="s">
        <v>22452</v>
      </c>
      <c r="I1857" t="s">
        <v>22492</v>
      </c>
      <c r="J1857" t="s">
        <v>23149</v>
      </c>
      <c r="K1857" t="s">
        <v>29336</v>
      </c>
      <c r="M1857" t="s">
        <v>30317</v>
      </c>
      <c r="N1857" t="s">
        <v>32524</v>
      </c>
      <c r="O1857" t="s">
        <v>32525</v>
      </c>
      <c r="P1857">
        <v>0</v>
      </c>
      <c r="Q1857">
        <v>0</v>
      </c>
      <c r="R1857" t="s">
        <v>32526</v>
      </c>
      <c r="S1857" t="s">
        <v>32547</v>
      </c>
      <c r="T1857" t="s">
        <v>33187</v>
      </c>
      <c r="U1857" t="s">
        <v>35215</v>
      </c>
      <c r="V1857" t="s">
        <v>42603</v>
      </c>
      <c r="W1857" t="s">
        <v>30317</v>
      </c>
      <c r="X1857" t="s">
        <v>32527</v>
      </c>
    </row>
    <row r="1858" spans="1:24">
      <c r="A1858">
        <f>HYPERLINK("https://www.philgeps.gov.ph/GEPSNONPILOT/Tender/SplashBidNoticeAbstractUI.aspx?menuIndex=3&amp;refID=7046479&amp;Result=3","7046479")</f>
        <v>0</v>
      </c>
      <c r="B1858" t="s">
        <v>746</v>
      </c>
      <c r="C1858" t="s">
        <v>4467</v>
      </c>
      <c r="E1858" t="s">
        <v>14773</v>
      </c>
      <c r="F1858" t="s">
        <v>22436</v>
      </c>
      <c r="G1858" t="s">
        <v>22443</v>
      </c>
      <c r="H1858" t="s">
        <v>22452</v>
      </c>
      <c r="I1858" t="s">
        <v>3840</v>
      </c>
      <c r="J1858" t="s">
        <v>23920</v>
      </c>
      <c r="K1858" t="s">
        <v>29338</v>
      </c>
      <c r="M1858" t="s">
        <v>30347</v>
      </c>
      <c r="N1858" t="s">
        <v>32524</v>
      </c>
      <c r="O1858" t="s">
        <v>32525</v>
      </c>
      <c r="P1858">
        <v>0</v>
      </c>
      <c r="Q1858">
        <v>0</v>
      </c>
      <c r="R1858" t="s">
        <v>32526</v>
      </c>
      <c r="S1858" t="s">
        <v>32547</v>
      </c>
      <c r="T1858" t="s">
        <v>33169</v>
      </c>
      <c r="U1858" t="s">
        <v>35216</v>
      </c>
      <c r="V1858" t="s">
        <v>42604</v>
      </c>
      <c r="W1858" t="s">
        <v>30347</v>
      </c>
      <c r="X1858" t="s">
        <v>32527</v>
      </c>
    </row>
    <row r="1859" spans="1:24">
      <c r="A1859">
        <f>HYPERLINK("https://www.philgeps.gov.ph/GEPSNONPILOT/Tender/SplashBidNoticeAbstractUI.aspx?menuIndex=3&amp;refID=7046478&amp;Result=3","7046478")</f>
        <v>0</v>
      </c>
      <c r="B1859" t="s">
        <v>347</v>
      </c>
      <c r="C1859" t="s">
        <v>4468</v>
      </c>
      <c r="D1859" t="s">
        <v>13013</v>
      </c>
      <c r="E1859" t="s">
        <v>14774</v>
      </c>
      <c r="F1859" t="s">
        <v>22436</v>
      </c>
      <c r="G1859" t="s">
        <v>22443</v>
      </c>
      <c r="H1859" t="s">
        <v>22452</v>
      </c>
      <c r="I1859" t="s">
        <v>22479</v>
      </c>
      <c r="J1859" t="s">
        <v>23921</v>
      </c>
      <c r="K1859" t="s">
        <v>29338</v>
      </c>
      <c r="M1859" t="s">
        <v>29923</v>
      </c>
      <c r="N1859" t="s">
        <v>32524</v>
      </c>
      <c r="O1859" t="s">
        <v>32525</v>
      </c>
      <c r="P1859">
        <v>0</v>
      </c>
      <c r="Q1859">
        <v>0</v>
      </c>
      <c r="R1859" t="s">
        <v>32526</v>
      </c>
      <c r="S1859" t="s">
        <v>32547</v>
      </c>
      <c r="T1859" t="s">
        <v>33250</v>
      </c>
      <c r="U1859" t="s">
        <v>35217</v>
      </c>
      <c r="W1859" t="s">
        <v>29923</v>
      </c>
      <c r="X1859" t="s">
        <v>32527</v>
      </c>
    </row>
    <row r="1860" spans="1:24">
      <c r="A1860">
        <f>HYPERLINK("https://www.philgeps.gov.ph/GEPSNONPILOT/Tender/SplashBidNoticeAbstractUI.aspx?menuIndex=3&amp;refID=7046481&amp;Result=3","7046481")</f>
        <v>0</v>
      </c>
      <c r="B1860" t="s">
        <v>220</v>
      </c>
      <c r="C1860" t="s">
        <v>4469</v>
      </c>
      <c r="D1860" t="s">
        <v>13037</v>
      </c>
      <c r="E1860" t="s">
        <v>14775</v>
      </c>
      <c r="F1860" t="s">
        <v>22436</v>
      </c>
      <c r="G1860" t="s">
        <v>22446</v>
      </c>
      <c r="H1860" t="s">
        <v>22452</v>
      </c>
      <c r="I1860" t="s">
        <v>2981</v>
      </c>
      <c r="J1860" t="s">
        <v>23922</v>
      </c>
      <c r="K1860" t="s">
        <v>29336</v>
      </c>
      <c r="M1860" t="s">
        <v>29793</v>
      </c>
      <c r="N1860" t="s">
        <v>32524</v>
      </c>
      <c r="O1860" t="s">
        <v>32525</v>
      </c>
      <c r="P1860">
        <v>0</v>
      </c>
      <c r="Q1860">
        <v>0</v>
      </c>
      <c r="R1860" t="s">
        <v>32526</v>
      </c>
      <c r="S1860" t="s">
        <v>32547</v>
      </c>
      <c r="T1860" t="s">
        <v>33209</v>
      </c>
      <c r="U1860" t="s">
        <v>34035</v>
      </c>
      <c r="W1860" t="s">
        <v>29793</v>
      </c>
      <c r="X1860" t="s">
        <v>32527</v>
      </c>
    </row>
    <row r="1861" spans="1:24">
      <c r="A1861">
        <f>HYPERLINK("https://www.philgeps.gov.ph/GEPSNONPILOT/Tender/SplashBidNoticeAbstractUI.aspx?menuIndex=3&amp;refID=7046477&amp;Result=3","7046477")</f>
        <v>0</v>
      </c>
      <c r="B1861" t="s">
        <v>424</v>
      </c>
      <c r="C1861" t="s">
        <v>4470</v>
      </c>
      <c r="D1861" t="s">
        <v>13004</v>
      </c>
      <c r="E1861" t="s">
        <v>14776</v>
      </c>
      <c r="F1861" t="s">
        <v>22436</v>
      </c>
      <c r="G1861" t="s">
        <v>22443</v>
      </c>
      <c r="H1861" t="s">
        <v>22452</v>
      </c>
      <c r="I1861" t="s">
        <v>2962</v>
      </c>
      <c r="J1861" t="s">
        <v>23923</v>
      </c>
      <c r="K1861" t="s">
        <v>29341</v>
      </c>
      <c r="M1861" t="s">
        <v>30004</v>
      </c>
      <c r="N1861" t="s">
        <v>32524</v>
      </c>
      <c r="O1861" t="s">
        <v>32525</v>
      </c>
      <c r="P1861">
        <v>0</v>
      </c>
      <c r="Q1861">
        <v>0</v>
      </c>
      <c r="R1861" t="s">
        <v>32526</v>
      </c>
      <c r="S1861" t="s">
        <v>32547</v>
      </c>
      <c r="T1861" t="s">
        <v>33167</v>
      </c>
      <c r="U1861" t="s">
        <v>35218</v>
      </c>
      <c r="W1861" t="s">
        <v>30004</v>
      </c>
      <c r="X1861" t="s">
        <v>32527</v>
      </c>
    </row>
    <row r="1862" spans="1:24">
      <c r="A1862">
        <f>HYPERLINK("https://www.philgeps.gov.ph/GEPSNONPILOT/Tender/SplashBidNoticeAbstractUI.aspx?menuIndex=3&amp;refID=7046459&amp;Result=3","7046459")</f>
        <v>0</v>
      </c>
      <c r="B1862" t="s">
        <v>747</v>
      </c>
      <c r="C1862" t="s">
        <v>4471</v>
      </c>
      <c r="D1862" t="s">
        <v>12990</v>
      </c>
      <c r="E1862" t="s">
        <v>14777</v>
      </c>
      <c r="F1862" t="s">
        <v>22436</v>
      </c>
      <c r="G1862" t="s">
        <v>22444</v>
      </c>
      <c r="H1862" t="s">
        <v>22452</v>
      </c>
      <c r="I1862" t="s">
        <v>2981</v>
      </c>
      <c r="J1862" t="s">
        <v>23924</v>
      </c>
      <c r="K1862" t="s">
        <v>29338</v>
      </c>
      <c r="M1862" t="s">
        <v>30348</v>
      </c>
      <c r="N1862" t="s">
        <v>32524</v>
      </c>
      <c r="O1862" t="s">
        <v>32525</v>
      </c>
      <c r="P1862">
        <v>0</v>
      </c>
      <c r="Q1862">
        <v>0</v>
      </c>
      <c r="R1862" t="s">
        <v>32526</v>
      </c>
      <c r="S1862" t="s">
        <v>32547</v>
      </c>
      <c r="T1862" t="s">
        <v>33346</v>
      </c>
      <c r="U1862" t="s">
        <v>35219</v>
      </c>
      <c r="W1862" t="s">
        <v>30348</v>
      </c>
      <c r="X1862" t="s">
        <v>32527</v>
      </c>
    </row>
    <row r="1863" spans="1:24">
      <c r="A1863">
        <f>HYPERLINK("https://www.philgeps.gov.ph/GEPSNONPILOT/Tender/SplashBidNoticeAbstractUI.aspx?menuIndex=3&amp;refID=7046476&amp;Result=3","7046476")</f>
        <v>0</v>
      </c>
      <c r="B1863" t="s">
        <v>748</v>
      </c>
      <c r="C1863" t="s">
        <v>4472</v>
      </c>
      <c r="D1863" t="s">
        <v>13022</v>
      </c>
      <c r="E1863" t="s">
        <v>14778</v>
      </c>
      <c r="F1863" t="s">
        <v>22436</v>
      </c>
      <c r="G1863" t="s">
        <v>22443</v>
      </c>
      <c r="H1863" t="s">
        <v>22452</v>
      </c>
      <c r="I1863" t="s">
        <v>5194</v>
      </c>
      <c r="J1863" t="s">
        <v>23925</v>
      </c>
      <c r="K1863" t="s">
        <v>29331</v>
      </c>
      <c r="M1863" t="s">
        <v>30349</v>
      </c>
      <c r="N1863" t="s">
        <v>32524</v>
      </c>
      <c r="O1863" t="s">
        <v>32525</v>
      </c>
      <c r="P1863">
        <v>0</v>
      </c>
      <c r="Q1863">
        <v>0</v>
      </c>
      <c r="R1863" t="s">
        <v>32526</v>
      </c>
      <c r="S1863" t="s">
        <v>32547</v>
      </c>
      <c r="T1863" t="s">
        <v>33197</v>
      </c>
      <c r="U1863" t="s">
        <v>35220</v>
      </c>
      <c r="W1863" t="s">
        <v>30349</v>
      </c>
      <c r="X1863" t="s">
        <v>32527</v>
      </c>
    </row>
    <row r="1864" spans="1:24">
      <c r="A1864">
        <f>HYPERLINK("https://www.philgeps.gov.ph/GEPSNONPILOT/Tender/SplashBidNoticeAbstractUI.aspx?menuIndex=3&amp;refID=7046489&amp;Result=3","7046489")</f>
        <v>0</v>
      </c>
      <c r="B1864" t="s">
        <v>741</v>
      </c>
      <c r="C1864" t="s">
        <v>4473</v>
      </c>
      <c r="D1864" t="s">
        <v>13019</v>
      </c>
      <c r="E1864" t="s">
        <v>13743</v>
      </c>
      <c r="F1864" t="s">
        <v>22436</v>
      </c>
      <c r="G1864" t="s">
        <v>22444</v>
      </c>
      <c r="H1864" t="s">
        <v>22454</v>
      </c>
      <c r="I1864" t="s">
        <v>7738</v>
      </c>
      <c r="J1864" t="s">
        <v>22587</v>
      </c>
      <c r="K1864" t="s">
        <v>29334</v>
      </c>
      <c r="M1864" t="s">
        <v>30342</v>
      </c>
      <c r="N1864" t="s">
        <v>32524</v>
      </c>
      <c r="O1864" t="s">
        <v>32525</v>
      </c>
      <c r="P1864">
        <v>0</v>
      </c>
      <c r="Q1864">
        <v>0</v>
      </c>
      <c r="R1864" t="s">
        <v>32526</v>
      </c>
      <c r="S1864" t="s">
        <v>32547</v>
      </c>
      <c r="T1864" t="s">
        <v>33164</v>
      </c>
      <c r="U1864" t="s">
        <v>35221</v>
      </c>
      <c r="W1864" t="s">
        <v>30342</v>
      </c>
      <c r="X1864" t="s">
        <v>32527</v>
      </c>
    </row>
    <row r="1865" spans="1:24">
      <c r="A1865">
        <f>HYPERLINK("https://www.philgeps.gov.ph/GEPSNONPILOT/Tender/SplashBidNoticeAbstractUI.aspx?menuIndex=3&amp;refID=7046464&amp;Result=3","7046464")</f>
        <v>0</v>
      </c>
      <c r="B1865" t="s">
        <v>721</v>
      </c>
      <c r="C1865" t="s">
        <v>4474</v>
      </c>
      <c r="D1865" t="s">
        <v>12990</v>
      </c>
      <c r="E1865" t="s">
        <v>14779</v>
      </c>
      <c r="F1865" t="s">
        <v>22436</v>
      </c>
      <c r="G1865" t="s">
        <v>22444</v>
      </c>
      <c r="H1865" t="s">
        <v>22454</v>
      </c>
      <c r="I1865" t="s">
        <v>7738</v>
      </c>
      <c r="J1865" t="s">
        <v>23926</v>
      </c>
      <c r="K1865" t="s">
        <v>29335</v>
      </c>
      <c r="M1865" t="s">
        <v>30318</v>
      </c>
      <c r="N1865" t="s">
        <v>32524</v>
      </c>
      <c r="O1865" t="s">
        <v>32525</v>
      </c>
      <c r="P1865">
        <v>0</v>
      </c>
      <c r="Q1865">
        <v>0</v>
      </c>
      <c r="R1865" t="s">
        <v>32526</v>
      </c>
      <c r="S1865" t="s">
        <v>32547</v>
      </c>
      <c r="T1865" t="s">
        <v>33182</v>
      </c>
      <c r="U1865" t="s">
        <v>35222</v>
      </c>
      <c r="W1865" t="s">
        <v>30318</v>
      </c>
      <c r="X1865" t="s">
        <v>32527</v>
      </c>
    </row>
    <row r="1866" spans="1:24">
      <c r="A1866">
        <f>HYPERLINK("https://www.philgeps.gov.ph/GEPSNONPILOT/Tender/SplashBidNoticeAbstractUI.aspx?menuIndex=3&amp;refID=7046488&amp;Result=3","7046488")</f>
        <v>0</v>
      </c>
      <c r="B1866" t="s">
        <v>419</v>
      </c>
      <c r="C1866" t="s">
        <v>4475</v>
      </c>
      <c r="D1866" t="s">
        <v>13058</v>
      </c>
      <c r="E1866" t="s">
        <v>14780</v>
      </c>
      <c r="F1866" t="s">
        <v>22436</v>
      </c>
      <c r="G1866" t="s">
        <v>22443</v>
      </c>
      <c r="H1866" t="s">
        <v>22452</v>
      </c>
      <c r="I1866" t="s">
        <v>22493</v>
      </c>
      <c r="J1866" t="s">
        <v>22813</v>
      </c>
      <c r="K1866" t="s">
        <v>29336</v>
      </c>
      <c r="M1866" t="s">
        <v>29999</v>
      </c>
      <c r="N1866" t="s">
        <v>32524</v>
      </c>
      <c r="O1866" t="s">
        <v>32525</v>
      </c>
      <c r="P1866">
        <v>0</v>
      </c>
      <c r="Q1866">
        <v>1</v>
      </c>
      <c r="R1866" t="s">
        <v>32526</v>
      </c>
      <c r="S1866" t="s">
        <v>32547</v>
      </c>
      <c r="T1866" t="s">
        <v>33256</v>
      </c>
      <c r="U1866" t="s">
        <v>35223</v>
      </c>
      <c r="W1866" t="s">
        <v>29999</v>
      </c>
      <c r="X1866" t="s">
        <v>32527</v>
      </c>
    </row>
    <row r="1867" spans="1:24">
      <c r="A1867">
        <f>HYPERLINK("https://www.philgeps.gov.ph/GEPSNONPILOT/Tender/SplashBidNoticeAbstractUI.aspx?menuIndex=3&amp;refID=7046486&amp;Result=3","7046486")</f>
        <v>0</v>
      </c>
      <c r="B1867" t="s">
        <v>242</v>
      </c>
      <c r="C1867" t="s">
        <v>4476</v>
      </c>
      <c r="D1867" t="s">
        <v>13039</v>
      </c>
      <c r="E1867" t="s">
        <v>14781</v>
      </c>
      <c r="F1867" t="s">
        <v>22437</v>
      </c>
      <c r="G1867" t="s">
        <v>22446</v>
      </c>
      <c r="H1867" t="s">
        <v>22452</v>
      </c>
      <c r="I1867" t="s">
        <v>22517</v>
      </c>
      <c r="J1867" t="s">
        <v>23927</v>
      </c>
      <c r="K1867" t="s">
        <v>29331</v>
      </c>
      <c r="M1867" t="s">
        <v>29816</v>
      </c>
      <c r="N1867" t="s">
        <v>32524</v>
      </c>
      <c r="O1867" t="s">
        <v>32525</v>
      </c>
      <c r="P1867">
        <v>0</v>
      </c>
      <c r="Q1867">
        <v>1</v>
      </c>
      <c r="R1867" t="s">
        <v>32526</v>
      </c>
      <c r="S1867" t="s">
        <v>32547</v>
      </c>
      <c r="T1867" t="s">
        <v>33234</v>
      </c>
      <c r="U1867" t="s">
        <v>35224</v>
      </c>
      <c r="W1867" t="s">
        <v>29816</v>
      </c>
      <c r="X1867" t="s">
        <v>32527</v>
      </c>
    </row>
    <row r="1868" spans="1:24">
      <c r="A1868">
        <f>HYPERLINK("https://www.philgeps.gov.ph/GEPSNONPILOT/Tender/SplashBidNoticeAbstractUI.aspx?menuIndex=3&amp;refID=7046440&amp;Result=3","7046440")</f>
        <v>0</v>
      </c>
      <c r="B1868" t="s">
        <v>280</v>
      </c>
      <c r="C1868" t="s">
        <v>4477</v>
      </c>
      <c r="D1868" t="s">
        <v>13055</v>
      </c>
      <c r="E1868" t="s">
        <v>14782</v>
      </c>
      <c r="F1868" t="s">
        <v>22436</v>
      </c>
      <c r="G1868" t="s">
        <v>22443</v>
      </c>
      <c r="H1868" t="s">
        <v>22452</v>
      </c>
      <c r="I1868" t="s">
        <v>2962</v>
      </c>
      <c r="J1868" t="s">
        <v>23928</v>
      </c>
      <c r="K1868" t="s">
        <v>29336</v>
      </c>
      <c r="M1868" t="s">
        <v>29854</v>
      </c>
      <c r="N1868" t="s">
        <v>32524</v>
      </c>
      <c r="O1868" t="s">
        <v>32525</v>
      </c>
      <c r="P1868">
        <v>0</v>
      </c>
      <c r="Q1868">
        <v>0</v>
      </c>
      <c r="R1868" t="s">
        <v>32526</v>
      </c>
      <c r="S1868" t="s">
        <v>32547</v>
      </c>
      <c r="T1868" t="s">
        <v>33181</v>
      </c>
      <c r="U1868" t="s">
        <v>34336</v>
      </c>
      <c r="V1868" t="s">
        <v>42486</v>
      </c>
      <c r="W1868" t="s">
        <v>29854</v>
      </c>
      <c r="X1868" t="s">
        <v>32527</v>
      </c>
    </row>
    <row r="1869" spans="1:24">
      <c r="A1869">
        <f>HYPERLINK("https://www.philgeps.gov.ph/GEPSNONPILOT/Tender/SplashBidNoticeAbstractUI.aspx?menuIndex=3&amp;refID=7046483&amp;Result=3","7046483")</f>
        <v>0</v>
      </c>
      <c r="B1869" t="s">
        <v>669</v>
      </c>
      <c r="C1869" t="s">
        <v>4478</v>
      </c>
      <c r="D1869" t="s">
        <v>12988</v>
      </c>
      <c r="E1869" t="s">
        <v>14783</v>
      </c>
      <c r="F1869" t="s">
        <v>22436</v>
      </c>
      <c r="G1869" t="s">
        <v>22443</v>
      </c>
      <c r="H1869" t="s">
        <v>22452</v>
      </c>
      <c r="I1869" t="s">
        <v>5194</v>
      </c>
      <c r="J1869" t="s">
        <v>23929</v>
      </c>
      <c r="K1869" t="s">
        <v>29336</v>
      </c>
      <c r="M1869" t="s">
        <v>30261</v>
      </c>
      <c r="N1869" t="s">
        <v>32524</v>
      </c>
      <c r="O1869" t="s">
        <v>32525</v>
      </c>
      <c r="P1869">
        <v>0</v>
      </c>
      <c r="Q1869">
        <v>5</v>
      </c>
      <c r="R1869" t="s">
        <v>32526</v>
      </c>
      <c r="S1869" t="s">
        <v>32547</v>
      </c>
      <c r="T1869" t="s">
        <v>33252</v>
      </c>
      <c r="U1869" t="s">
        <v>35225</v>
      </c>
      <c r="W1869" t="s">
        <v>30261</v>
      </c>
      <c r="X1869" t="s">
        <v>32527</v>
      </c>
    </row>
    <row r="1870" spans="1:24">
      <c r="A1870">
        <f>HYPERLINK("https://www.philgeps.gov.ph/GEPSNONPILOT/Tender/SplashBidNoticeAbstractUI.aspx?menuIndex=3&amp;refID=7046487&amp;Result=3","7046487")</f>
        <v>0</v>
      </c>
      <c r="B1870" t="s">
        <v>737</v>
      </c>
      <c r="C1870" t="s">
        <v>4479</v>
      </c>
      <c r="D1870" t="s">
        <v>13065</v>
      </c>
      <c r="E1870" t="s">
        <v>14784</v>
      </c>
      <c r="F1870" t="s">
        <v>22436</v>
      </c>
      <c r="G1870" t="s">
        <v>22450</v>
      </c>
      <c r="H1870" t="s">
        <v>22454</v>
      </c>
      <c r="I1870" t="s">
        <v>7738</v>
      </c>
      <c r="J1870" t="s">
        <v>23930</v>
      </c>
      <c r="K1870" t="s">
        <v>29334</v>
      </c>
      <c r="M1870" t="s">
        <v>30336</v>
      </c>
      <c r="N1870" t="s">
        <v>32524</v>
      </c>
      <c r="O1870" t="s">
        <v>32525</v>
      </c>
      <c r="P1870">
        <v>0</v>
      </c>
      <c r="Q1870">
        <v>0</v>
      </c>
      <c r="R1870" t="s">
        <v>32526</v>
      </c>
      <c r="S1870" t="s">
        <v>32547</v>
      </c>
      <c r="T1870" t="s">
        <v>33166</v>
      </c>
      <c r="U1870" t="s">
        <v>35190</v>
      </c>
      <c r="V1870" t="s">
        <v>42598</v>
      </c>
      <c r="W1870" t="s">
        <v>43694</v>
      </c>
      <c r="X1870" t="s">
        <v>32527</v>
      </c>
    </row>
    <row r="1871" spans="1:24">
      <c r="A1871">
        <f>HYPERLINK("https://www.philgeps.gov.ph/GEPSNONPILOT/Tender/SplashBidNoticeAbstractUI.aspx?menuIndex=3&amp;refID=7046451&amp;Result=3","7046451")</f>
        <v>0</v>
      </c>
      <c r="B1871" t="s">
        <v>697</v>
      </c>
      <c r="C1871" t="s">
        <v>4480</v>
      </c>
      <c r="D1871" t="s">
        <v>13007</v>
      </c>
      <c r="E1871" t="s">
        <v>14785</v>
      </c>
      <c r="F1871" t="s">
        <v>22436</v>
      </c>
      <c r="G1871" t="s">
        <v>22443</v>
      </c>
      <c r="H1871" t="s">
        <v>22452</v>
      </c>
      <c r="I1871" t="s">
        <v>22508</v>
      </c>
      <c r="J1871" t="s">
        <v>23931</v>
      </c>
      <c r="K1871" t="s">
        <v>29336</v>
      </c>
      <c r="M1871" t="s">
        <v>30292</v>
      </c>
      <c r="N1871" t="s">
        <v>32524</v>
      </c>
      <c r="O1871" t="s">
        <v>32525</v>
      </c>
      <c r="P1871">
        <v>0</v>
      </c>
      <c r="Q1871">
        <v>2</v>
      </c>
      <c r="R1871" t="s">
        <v>32526</v>
      </c>
      <c r="S1871" t="s">
        <v>32547</v>
      </c>
      <c r="T1871" t="s">
        <v>33215</v>
      </c>
      <c r="U1871" t="s">
        <v>35226</v>
      </c>
      <c r="W1871" t="s">
        <v>30292</v>
      </c>
      <c r="X1871" t="s">
        <v>32527</v>
      </c>
    </row>
    <row r="1872" spans="1:24">
      <c r="A1872">
        <f>HYPERLINK("https://www.philgeps.gov.ph/GEPSNONPILOT/Tender/SplashBidNoticeAbstractUI.aspx?menuIndex=3&amp;refID=7046482&amp;Result=3","7046482")</f>
        <v>0</v>
      </c>
      <c r="B1872" t="s">
        <v>721</v>
      </c>
      <c r="C1872" t="s">
        <v>4481</v>
      </c>
      <c r="D1872" t="s">
        <v>12990</v>
      </c>
      <c r="E1872" t="s">
        <v>14786</v>
      </c>
      <c r="F1872" t="s">
        <v>22436</v>
      </c>
      <c r="G1872" t="s">
        <v>22444</v>
      </c>
      <c r="H1872" t="s">
        <v>22454</v>
      </c>
      <c r="I1872" t="s">
        <v>7738</v>
      </c>
      <c r="J1872" t="s">
        <v>23932</v>
      </c>
      <c r="K1872" t="s">
        <v>29335</v>
      </c>
      <c r="M1872" t="s">
        <v>30318</v>
      </c>
      <c r="N1872" t="s">
        <v>32524</v>
      </c>
      <c r="O1872" t="s">
        <v>32525</v>
      </c>
      <c r="P1872">
        <v>0</v>
      </c>
      <c r="Q1872">
        <v>0</v>
      </c>
      <c r="R1872" t="s">
        <v>32526</v>
      </c>
      <c r="S1872" t="s">
        <v>32547</v>
      </c>
      <c r="T1872" t="s">
        <v>33182</v>
      </c>
      <c r="U1872" t="s">
        <v>35227</v>
      </c>
      <c r="W1872" t="s">
        <v>30318</v>
      </c>
      <c r="X1872" t="s">
        <v>32527</v>
      </c>
    </row>
    <row r="1873" spans="1:24">
      <c r="A1873">
        <f>HYPERLINK("https://www.philgeps.gov.ph/GEPSNONPILOT/Tender/SplashBidNoticeAbstractUI.aspx?menuIndex=3&amp;refID=7046475&amp;Result=3","7046475")</f>
        <v>0</v>
      </c>
      <c r="B1873" t="s">
        <v>749</v>
      </c>
      <c r="C1873" t="s">
        <v>4471</v>
      </c>
      <c r="D1873" t="s">
        <v>12990</v>
      </c>
      <c r="E1873" t="s">
        <v>14777</v>
      </c>
      <c r="F1873" t="s">
        <v>22436</v>
      </c>
      <c r="G1873" t="s">
        <v>22444</v>
      </c>
      <c r="H1873" t="s">
        <v>22452</v>
      </c>
      <c r="I1873" t="s">
        <v>2981</v>
      </c>
      <c r="J1873" t="s">
        <v>22605</v>
      </c>
      <c r="K1873" t="s">
        <v>29338</v>
      </c>
      <c r="M1873" t="s">
        <v>30350</v>
      </c>
      <c r="N1873" t="s">
        <v>32524</v>
      </c>
      <c r="O1873" t="s">
        <v>32525</v>
      </c>
      <c r="P1873">
        <v>0</v>
      </c>
      <c r="Q1873">
        <v>0</v>
      </c>
      <c r="R1873" t="s">
        <v>32526</v>
      </c>
      <c r="S1873" t="s">
        <v>32547</v>
      </c>
      <c r="T1873" t="s">
        <v>33278</v>
      </c>
      <c r="U1873" t="s">
        <v>35228</v>
      </c>
      <c r="W1873" t="s">
        <v>30350</v>
      </c>
      <c r="X1873" t="s">
        <v>32527</v>
      </c>
    </row>
    <row r="1874" spans="1:24">
      <c r="A1874">
        <f>HYPERLINK("https://www.philgeps.gov.ph/GEPSNONPILOT/Tender/SplashBidNoticeAbstractUI.aspx?menuIndex=3&amp;refID=7046474&amp;Result=3","7046474")</f>
        <v>0</v>
      </c>
      <c r="B1874" t="s">
        <v>740</v>
      </c>
      <c r="C1874" t="s">
        <v>4482</v>
      </c>
      <c r="D1874" t="s">
        <v>13002</v>
      </c>
      <c r="E1874" t="s">
        <v>14787</v>
      </c>
      <c r="F1874" t="s">
        <v>22436</v>
      </c>
      <c r="G1874" t="s">
        <v>22444</v>
      </c>
      <c r="H1874" t="s">
        <v>22454</v>
      </c>
      <c r="I1874" t="s">
        <v>7738</v>
      </c>
      <c r="J1874" t="s">
        <v>22877</v>
      </c>
      <c r="K1874" t="s">
        <v>29347</v>
      </c>
      <c r="M1874" t="s">
        <v>30341</v>
      </c>
      <c r="N1874" t="s">
        <v>32524</v>
      </c>
      <c r="O1874" t="s">
        <v>32525</v>
      </c>
      <c r="Q1874">
        <v>0</v>
      </c>
      <c r="R1874" t="s">
        <v>32526</v>
      </c>
      <c r="S1874" t="s">
        <v>32549</v>
      </c>
      <c r="T1874" t="s">
        <v>33242</v>
      </c>
      <c r="U1874" t="s">
        <v>35229</v>
      </c>
      <c r="W1874" t="s">
        <v>30341</v>
      </c>
      <c r="X1874" t="s">
        <v>32527</v>
      </c>
    </row>
    <row r="1875" spans="1:24">
      <c r="A1875">
        <f>HYPERLINK("https://www.philgeps.gov.ph/GEPSNONPILOT/Tender/SplashBidNoticeAbstractUI.aspx?menuIndex=3&amp;refID=7046457&amp;Result=3","7046457")</f>
        <v>0</v>
      </c>
      <c r="B1875" t="s">
        <v>750</v>
      </c>
      <c r="C1875" t="s">
        <v>4483</v>
      </c>
      <c r="D1875" t="s">
        <v>13031</v>
      </c>
      <c r="E1875" t="s">
        <v>14788</v>
      </c>
      <c r="F1875" t="s">
        <v>22436</v>
      </c>
      <c r="G1875" t="s">
        <v>22444</v>
      </c>
      <c r="H1875" t="s">
        <v>22454</v>
      </c>
      <c r="I1875" t="s">
        <v>7738</v>
      </c>
      <c r="J1875" t="s">
        <v>22779</v>
      </c>
      <c r="K1875" t="s">
        <v>29334</v>
      </c>
      <c r="M1875" t="s">
        <v>30351</v>
      </c>
      <c r="N1875" t="s">
        <v>32524</v>
      </c>
      <c r="O1875" t="s">
        <v>32525</v>
      </c>
      <c r="P1875">
        <v>0</v>
      </c>
      <c r="Q1875">
        <v>0</v>
      </c>
      <c r="R1875" t="s">
        <v>32526</v>
      </c>
      <c r="S1875" t="s">
        <v>32547</v>
      </c>
      <c r="T1875" t="s">
        <v>33347</v>
      </c>
      <c r="U1875" t="s">
        <v>35230</v>
      </c>
      <c r="W1875" t="s">
        <v>30351</v>
      </c>
      <c r="X1875" t="s">
        <v>32527</v>
      </c>
    </row>
    <row r="1876" spans="1:24">
      <c r="A1876">
        <f>HYPERLINK("https://www.philgeps.gov.ph/GEPSNONPILOT/Tender/SplashBidNoticeAbstractUI.aspx?menuIndex=3&amp;refID=7046473&amp;Result=3","7046473")</f>
        <v>0</v>
      </c>
      <c r="B1876" t="s">
        <v>44</v>
      </c>
      <c r="C1876" t="s">
        <v>4334</v>
      </c>
      <c r="D1876" t="s">
        <v>13004</v>
      </c>
      <c r="E1876" t="s">
        <v>14789</v>
      </c>
      <c r="F1876" t="s">
        <v>22436</v>
      </c>
      <c r="G1876" t="s">
        <v>22443</v>
      </c>
      <c r="H1876" t="s">
        <v>22452</v>
      </c>
      <c r="I1876" t="s">
        <v>22456</v>
      </c>
      <c r="J1876" t="s">
        <v>22989</v>
      </c>
      <c r="K1876" t="s">
        <v>29335</v>
      </c>
      <c r="M1876" t="s">
        <v>29615</v>
      </c>
      <c r="N1876" t="s">
        <v>32524</v>
      </c>
      <c r="O1876" t="s">
        <v>32525</v>
      </c>
      <c r="P1876">
        <v>0</v>
      </c>
      <c r="Q1876">
        <v>2</v>
      </c>
      <c r="R1876" t="s">
        <v>32526</v>
      </c>
      <c r="S1876" t="s">
        <v>32547</v>
      </c>
      <c r="T1876" t="s">
        <v>33167</v>
      </c>
      <c r="U1876" t="s">
        <v>35231</v>
      </c>
      <c r="W1876" t="s">
        <v>29615</v>
      </c>
      <c r="X1876" t="s">
        <v>32527</v>
      </c>
    </row>
    <row r="1877" spans="1:24">
      <c r="A1877">
        <f>HYPERLINK("https://www.philgeps.gov.ph/GEPSNONPILOT/Tender/SplashBidNoticeAbstractUI.aspx?menuIndex=3&amp;refID=7046456&amp;Result=3","7046456")</f>
        <v>0</v>
      </c>
      <c r="B1877" t="s">
        <v>751</v>
      </c>
      <c r="C1877" t="s">
        <v>4484</v>
      </c>
      <c r="D1877" t="s">
        <v>13045</v>
      </c>
      <c r="E1877" t="s">
        <v>14790</v>
      </c>
      <c r="F1877" t="s">
        <v>22436</v>
      </c>
      <c r="G1877" t="s">
        <v>22446</v>
      </c>
      <c r="H1877" t="s">
        <v>22452</v>
      </c>
      <c r="I1877" t="s">
        <v>22468</v>
      </c>
      <c r="J1877" t="s">
        <v>23933</v>
      </c>
      <c r="K1877" t="s">
        <v>29356</v>
      </c>
      <c r="M1877" t="s">
        <v>30352</v>
      </c>
      <c r="N1877" t="s">
        <v>32524</v>
      </c>
      <c r="O1877" t="s">
        <v>32525</v>
      </c>
      <c r="P1877">
        <v>0</v>
      </c>
      <c r="Q1877">
        <v>0</v>
      </c>
      <c r="R1877" t="s">
        <v>32526</v>
      </c>
      <c r="S1877" t="s">
        <v>32547</v>
      </c>
      <c r="T1877" t="s">
        <v>33327</v>
      </c>
      <c r="U1877" t="s">
        <v>35232</v>
      </c>
      <c r="V1877" t="s">
        <v>42605</v>
      </c>
      <c r="W1877" t="s">
        <v>30352</v>
      </c>
      <c r="X1877" t="s">
        <v>32527</v>
      </c>
    </row>
    <row r="1878" spans="1:24">
      <c r="A1878">
        <f>HYPERLINK("https://www.philgeps.gov.ph/GEPSNONPILOT/Tender/SplashBidNoticeAbstractUI.aspx?menuIndex=3&amp;refID=7046469&amp;Result=3","7046469")</f>
        <v>0</v>
      </c>
      <c r="B1878" t="s">
        <v>450</v>
      </c>
      <c r="C1878" t="s">
        <v>4485</v>
      </c>
      <c r="D1878" t="s">
        <v>13009</v>
      </c>
      <c r="E1878" t="s">
        <v>14791</v>
      </c>
      <c r="F1878" t="s">
        <v>22436</v>
      </c>
      <c r="G1878" t="s">
        <v>22446</v>
      </c>
      <c r="H1878" t="s">
        <v>22452</v>
      </c>
      <c r="I1878" t="s">
        <v>3027</v>
      </c>
      <c r="J1878" t="s">
        <v>22657</v>
      </c>
      <c r="K1878" t="s">
        <v>29356</v>
      </c>
      <c r="M1878" t="s">
        <v>30032</v>
      </c>
      <c r="N1878" t="s">
        <v>32524</v>
      </c>
      <c r="O1878" t="s">
        <v>32525</v>
      </c>
      <c r="P1878">
        <v>0</v>
      </c>
      <c r="Q1878">
        <v>0</v>
      </c>
      <c r="R1878" t="s">
        <v>32526</v>
      </c>
      <c r="S1878" t="s">
        <v>32547</v>
      </c>
      <c r="T1878" t="s">
        <v>33185</v>
      </c>
      <c r="U1878" t="s">
        <v>35233</v>
      </c>
      <c r="W1878" t="s">
        <v>30032</v>
      </c>
      <c r="X1878" t="s">
        <v>32527</v>
      </c>
    </row>
    <row r="1879" spans="1:24">
      <c r="A1879">
        <f>HYPERLINK("https://www.philgeps.gov.ph/GEPSNONPILOT/Tender/SplashBidNoticeAbstractUI.aspx?menuIndex=3&amp;refID=7046491&amp;Result=3","7046491")</f>
        <v>0</v>
      </c>
      <c r="B1879" t="s">
        <v>752</v>
      </c>
      <c r="C1879" t="s">
        <v>4486</v>
      </c>
      <c r="D1879" t="s">
        <v>13040</v>
      </c>
      <c r="E1879" t="s">
        <v>14792</v>
      </c>
      <c r="F1879" t="s">
        <v>22436</v>
      </c>
      <c r="G1879" t="s">
        <v>22443</v>
      </c>
      <c r="H1879" t="s">
        <v>22452</v>
      </c>
      <c r="I1879" t="s">
        <v>22484</v>
      </c>
      <c r="J1879" t="s">
        <v>23934</v>
      </c>
      <c r="K1879" t="s">
        <v>29335</v>
      </c>
      <c r="M1879" t="s">
        <v>30353</v>
      </c>
      <c r="N1879" t="s">
        <v>32524</v>
      </c>
      <c r="O1879" t="s">
        <v>32525</v>
      </c>
      <c r="Q1879">
        <v>12</v>
      </c>
      <c r="R1879" t="s">
        <v>32526</v>
      </c>
      <c r="S1879" t="s">
        <v>32550</v>
      </c>
      <c r="T1879" t="s">
        <v>33228</v>
      </c>
      <c r="U1879" t="s">
        <v>35234</v>
      </c>
      <c r="W1879" t="s">
        <v>30353</v>
      </c>
      <c r="X1879" t="s">
        <v>32527</v>
      </c>
    </row>
    <row r="1880" spans="1:24">
      <c r="A1880">
        <f>HYPERLINK("https://www.philgeps.gov.ph/GEPSNONPILOT/Tender/SplashBidNoticeAbstractUI.aspx?menuIndex=3&amp;refID=7046470&amp;Result=3","7046470")</f>
        <v>0</v>
      </c>
      <c r="B1880" t="s">
        <v>753</v>
      </c>
      <c r="C1880" t="s">
        <v>4487</v>
      </c>
      <c r="D1880" t="s">
        <v>13040</v>
      </c>
      <c r="E1880" t="s">
        <v>14793</v>
      </c>
      <c r="F1880" t="s">
        <v>22436</v>
      </c>
      <c r="G1880" t="s">
        <v>22443</v>
      </c>
      <c r="H1880" t="s">
        <v>22452</v>
      </c>
      <c r="I1880" t="s">
        <v>3122</v>
      </c>
      <c r="J1880" t="s">
        <v>23935</v>
      </c>
      <c r="K1880" t="s">
        <v>29356</v>
      </c>
      <c r="M1880" t="s">
        <v>30354</v>
      </c>
      <c r="N1880" t="s">
        <v>32524</v>
      </c>
      <c r="O1880" t="s">
        <v>32525</v>
      </c>
      <c r="P1880">
        <v>0</v>
      </c>
      <c r="Q1880">
        <v>0</v>
      </c>
      <c r="R1880" t="s">
        <v>32526</v>
      </c>
      <c r="S1880" t="s">
        <v>32547</v>
      </c>
      <c r="T1880" t="s">
        <v>33169</v>
      </c>
      <c r="U1880" t="s">
        <v>35235</v>
      </c>
      <c r="W1880" t="s">
        <v>30354</v>
      </c>
      <c r="X1880" t="s">
        <v>32527</v>
      </c>
    </row>
    <row r="1881" spans="1:24">
      <c r="A1881">
        <f>HYPERLINK("https://www.philgeps.gov.ph/GEPSNONPILOT/Tender/SplashBidNoticeAbstractUI.aspx?menuIndex=3&amp;refID=7046472&amp;Result=3","7046472")</f>
        <v>0</v>
      </c>
      <c r="B1881" t="s">
        <v>726</v>
      </c>
      <c r="C1881" t="s">
        <v>4488</v>
      </c>
      <c r="D1881" t="s">
        <v>13058</v>
      </c>
      <c r="E1881" t="s">
        <v>14794</v>
      </c>
      <c r="F1881" t="s">
        <v>22436</v>
      </c>
      <c r="G1881" t="s">
        <v>22443</v>
      </c>
      <c r="H1881" t="s">
        <v>22452</v>
      </c>
      <c r="I1881" t="s">
        <v>22460</v>
      </c>
      <c r="J1881" t="s">
        <v>23936</v>
      </c>
      <c r="K1881" t="s">
        <v>29341</v>
      </c>
      <c r="M1881" t="s">
        <v>30324</v>
      </c>
      <c r="N1881" t="s">
        <v>32524</v>
      </c>
      <c r="O1881" t="s">
        <v>32525</v>
      </c>
      <c r="P1881">
        <v>0</v>
      </c>
      <c r="Q1881">
        <v>0</v>
      </c>
      <c r="R1881" t="s">
        <v>32526</v>
      </c>
      <c r="S1881" t="s">
        <v>32547</v>
      </c>
      <c r="T1881" t="s">
        <v>33154</v>
      </c>
      <c r="U1881" t="s">
        <v>35164</v>
      </c>
      <c r="W1881" t="s">
        <v>30324</v>
      </c>
      <c r="X1881" t="s">
        <v>32527</v>
      </c>
    </row>
    <row r="1882" spans="1:24">
      <c r="A1882">
        <f>HYPERLINK("https://www.philgeps.gov.ph/GEPSNONPILOT/Tender/SplashBidNoticeAbstractUI.aspx?menuIndex=3&amp;refID=7046497&amp;Result=3","7046497")</f>
        <v>0</v>
      </c>
      <c r="B1882" t="s">
        <v>754</v>
      </c>
      <c r="C1882" t="s">
        <v>4489</v>
      </c>
      <c r="D1882" t="s">
        <v>13019</v>
      </c>
      <c r="E1882" t="s">
        <v>13318</v>
      </c>
      <c r="F1882" t="s">
        <v>22436</v>
      </c>
      <c r="G1882" t="s">
        <v>22445</v>
      </c>
      <c r="H1882" t="s">
        <v>22452</v>
      </c>
      <c r="I1882" t="s">
        <v>22463</v>
      </c>
      <c r="J1882" t="s">
        <v>23937</v>
      </c>
      <c r="K1882" t="s">
        <v>29356</v>
      </c>
      <c r="M1882" t="s">
        <v>30355</v>
      </c>
      <c r="N1882" t="s">
        <v>32524</v>
      </c>
      <c r="O1882" t="s">
        <v>32525</v>
      </c>
      <c r="P1882">
        <v>0</v>
      </c>
      <c r="Q1882">
        <v>7</v>
      </c>
      <c r="R1882" t="s">
        <v>32526</v>
      </c>
      <c r="S1882" t="s">
        <v>32547</v>
      </c>
      <c r="T1882" t="s">
        <v>33169</v>
      </c>
      <c r="U1882" t="s">
        <v>35236</v>
      </c>
      <c r="W1882" t="s">
        <v>30355</v>
      </c>
      <c r="X1882" t="s">
        <v>32527</v>
      </c>
    </row>
    <row r="1883" spans="1:24">
      <c r="A1883">
        <f>HYPERLINK("https://www.philgeps.gov.ph/GEPSNONPILOT/Tender/SplashBidNoticeAbstractUI.aspx?menuIndex=3&amp;refID=7046496&amp;Result=3","7046496")</f>
        <v>0</v>
      </c>
      <c r="B1883" t="s">
        <v>70</v>
      </c>
      <c r="C1883" t="s">
        <v>4490</v>
      </c>
      <c r="E1883" t="s">
        <v>13701</v>
      </c>
      <c r="F1883" t="s">
        <v>22436</v>
      </c>
      <c r="G1883" t="s">
        <v>22446</v>
      </c>
      <c r="H1883" t="s">
        <v>22452</v>
      </c>
      <c r="I1883" t="s">
        <v>22471</v>
      </c>
      <c r="J1883" t="s">
        <v>23216</v>
      </c>
      <c r="K1883" t="s">
        <v>29338</v>
      </c>
      <c r="M1883" t="s">
        <v>29642</v>
      </c>
      <c r="N1883" t="s">
        <v>32524</v>
      </c>
      <c r="O1883" t="s">
        <v>32525</v>
      </c>
      <c r="P1883">
        <v>0</v>
      </c>
      <c r="Q1883">
        <v>0</v>
      </c>
      <c r="R1883" t="s">
        <v>32526</v>
      </c>
      <c r="S1883" t="s">
        <v>32547</v>
      </c>
      <c r="T1883" t="s">
        <v>33185</v>
      </c>
      <c r="U1883" t="s">
        <v>35237</v>
      </c>
      <c r="W1883" t="s">
        <v>29642</v>
      </c>
      <c r="X1883" t="s">
        <v>32527</v>
      </c>
    </row>
    <row r="1884" spans="1:24">
      <c r="A1884">
        <f>HYPERLINK("https://www.philgeps.gov.ph/GEPSNONPILOT/Tender/SplashBidNoticeAbstractUI.aspx?menuIndex=3&amp;refID=7046492&amp;Result=3","7046492")</f>
        <v>0</v>
      </c>
      <c r="B1884" t="s">
        <v>755</v>
      </c>
      <c r="C1884" t="s">
        <v>4491</v>
      </c>
      <c r="D1884" t="s">
        <v>13061</v>
      </c>
      <c r="E1884" t="s">
        <v>14795</v>
      </c>
      <c r="F1884" t="s">
        <v>22436</v>
      </c>
      <c r="G1884" t="s">
        <v>22446</v>
      </c>
      <c r="H1884" t="s">
        <v>22453</v>
      </c>
      <c r="I1884" t="s">
        <v>3529</v>
      </c>
      <c r="J1884" t="s">
        <v>23938</v>
      </c>
      <c r="K1884" t="s">
        <v>29336</v>
      </c>
      <c r="M1884" t="s">
        <v>30356</v>
      </c>
      <c r="N1884" t="s">
        <v>32524</v>
      </c>
      <c r="O1884" t="s">
        <v>32525</v>
      </c>
      <c r="P1884">
        <v>0</v>
      </c>
      <c r="Q1884">
        <v>0</v>
      </c>
      <c r="R1884" t="s">
        <v>32526</v>
      </c>
      <c r="S1884" t="s">
        <v>32547</v>
      </c>
      <c r="T1884" t="s">
        <v>33220</v>
      </c>
      <c r="U1884" t="s">
        <v>35238</v>
      </c>
      <c r="W1884" t="s">
        <v>30356</v>
      </c>
      <c r="X1884" t="s">
        <v>32527</v>
      </c>
    </row>
    <row r="1885" spans="1:24">
      <c r="A1885">
        <f>HYPERLINK("https://www.philgeps.gov.ph/GEPSNONPILOT/Tender/SplashBidNoticeAbstractUI.aspx?menuIndex=3&amp;refID=7046490&amp;Result=3","7046490")</f>
        <v>0</v>
      </c>
      <c r="B1885" t="s">
        <v>703</v>
      </c>
      <c r="C1885" t="s">
        <v>4492</v>
      </c>
      <c r="D1885" t="s">
        <v>13070</v>
      </c>
      <c r="E1885" t="s">
        <v>14796</v>
      </c>
      <c r="F1885" t="s">
        <v>22436</v>
      </c>
      <c r="G1885" t="s">
        <v>22444</v>
      </c>
      <c r="H1885" t="s">
        <v>22454</v>
      </c>
      <c r="I1885" t="s">
        <v>7738</v>
      </c>
      <c r="J1885" t="s">
        <v>23939</v>
      </c>
      <c r="K1885" t="s">
        <v>29343</v>
      </c>
      <c r="M1885" t="s">
        <v>30300</v>
      </c>
      <c r="N1885" t="s">
        <v>32524</v>
      </c>
      <c r="O1885" t="s">
        <v>32525</v>
      </c>
      <c r="P1885">
        <v>0</v>
      </c>
      <c r="Q1885">
        <v>0</v>
      </c>
      <c r="R1885" t="s">
        <v>32526</v>
      </c>
      <c r="S1885" t="s">
        <v>32547</v>
      </c>
      <c r="T1885" t="s">
        <v>33335</v>
      </c>
      <c r="U1885" t="s">
        <v>35239</v>
      </c>
      <c r="W1885" t="s">
        <v>30300</v>
      </c>
      <c r="X1885" t="s">
        <v>32527</v>
      </c>
    </row>
    <row r="1886" spans="1:24">
      <c r="A1886">
        <f>HYPERLINK("https://www.philgeps.gov.ph/GEPSNONPILOT/Tender/SplashBidNoticeAbstractUI.aspx?menuIndex=3&amp;refID=7046502&amp;Result=3","7046502")</f>
        <v>0</v>
      </c>
      <c r="B1886" t="s">
        <v>720</v>
      </c>
      <c r="C1886" t="s">
        <v>4493</v>
      </c>
      <c r="D1886" t="s">
        <v>13058</v>
      </c>
      <c r="E1886" t="s">
        <v>14797</v>
      </c>
      <c r="F1886" t="s">
        <v>22436</v>
      </c>
      <c r="G1886" t="s">
        <v>22444</v>
      </c>
      <c r="H1886" t="s">
        <v>22452</v>
      </c>
      <c r="I1886" t="s">
        <v>22465</v>
      </c>
      <c r="J1886" t="s">
        <v>23940</v>
      </c>
      <c r="K1886" t="s">
        <v>29336</v>
      </c>
      <c r="M1886" t="s">
        <v>30317</v>
      </c>
      <c r="N1886" t="s">
        <v>32524</v>
      </c>
      <c r="O1886" t="s">
        <v>32525</v>
      </c>
      <c r="P1886">
        <v>0</v>
      </c>
      <c r="Q1886">
        <v>0</v>
      </c>
      <c r="R1886" t="s">
        <v>32526</v>
      </c>
      <c r="S1886" t="s">
        <v>32547</v>
      </c>
      <c r="T1886" t="s">
        <v>33187</v>
      </c>
      <c r="U1886" t="s">
        <v>35240</v>
      </c>
      <c r="V1886" t="s">
        <v>42606</v>
      </c>
      <c r="W1886" t="s">
        <v>30317</v>
      </c>
      <c r="X1886" t="s">
        <v>32527</v>
      </c>
    </row>
    <row r="1887" spans="1:24">
      <c r="A1887">
        <f>HYPERLINK("https://www.philgeps.gov.ph/GEPSNONPILOT/Tender/SplashBidNoticeAbstractUI.aspx?menuIndex=3&amp;refID=7046493&amp;Result=3","7046493")</f>
        <v>0</v>
      </c>
      <c r="B1887" t="s">
        <v>33</v>
      </c>
      <c r="C1887" t="s">
        <v>4494</v>
      </c>
      <c r="D1887" t="s">
        <v>13004</v>
      </c>
      <c r="E1887" t="s">
        <v>14798</v>
      </c>
      <c r="F1887" t="s">
        <v>22436</v>
      </c>
      <c r="G1887" t="s">
        <v>22443</v>
      </c>
      <c r="H1887" t="s">
        <v>22452</v>
      </c>
      <c r="I1887" t="s">
        <v>22462</v>
      </c>
      <c r="J1887" t="s">
        <v>23941</v>
      </c>
      <c r="K1887" t="s">
        <v>29338</v>
      </c>
      <c r="M1887" t="s">
        <v>29603</v>
      </c>
      <c r="N1887" t="s">
        <v>32524</v>
      </c>
      <c r="O1887" t="s">
        <v>32525</v>
      </c>
      <c r="P1887">
        <v>0</v>
      </c>
      <c r="Q1887">
        <v>2</v>
      </c>
      <c r="R1887" t="s">
        <v>32526</v>
      </c>
      <c r="S1887" t="s">
        <v>32547</v>
      </c>
      <c r="T1887" t="s">
        <v>33154</v>
      </c>
      <c r="U1887" t="s">
        <v>35241</v>
      </c>
      <c r="W1887" t="s">
        <v>29603</v>
      </c>
      <c r="X1887" t="s">
        <v>32527</v>
      </c>
    </row>
    <row r="1888" spans="1:24">
      <c r="A1888">
        <f>HYPERLINK("https://www.philgeps.gov.ph/GEPSNONPILOT/Tender/SplashBidNoticeAbstractUI.aspx?menuIndex=3&amp;refID=7046494&amp;Result=3","7046494")</f>
        <v>0</v>
      </c>
      <c r="B1888" t="s">
        <v>756</v>
      </c>
      <c r="C1888" t="s">
        <v>4495</v>
      </c>
      <c r="D1888" t="s">
        <v>12996</v>
      </c>
      <c r="E1888" t="s">
        <v>14799</v>
      </c>
      <c r="F1888" t="s">
        <v>22436</v>
      </c>
      <c r="G1888" t="s">
        <v>22443</v>
      </c>
      <c r="H1888" t="s">
        <v>22452</v>
      </c>
      <c r="I1888" t="s">
        <v>2981</v>
      </c>
      <c r="J1888" t="s">
        <v>23942</v>
      </c>
      <c r="K1888" t="s">
        <v>29341</v>
      </c>
      <c r="M1888" t="s">
        <v>30357</v>
      </c>
      <c r="N1888" t="s">
        <v>32524</v>
      </c>
      <c r="O1888" t="s">
        <v>32525</v>
      </c>
      <c r="P1888">
        <v>0</v>
      </c>
      <c r="Q1888">
        <v>1</v>
      </c>
      <c r="R1888" t="s">
        <v>32526</v>
      </c>
      <c r="S1888" t="s">
        <v>32547</v>
      </c>
      <c r="T1888" t="s">
        <v>33155</v>
      </c>
      <c r="U1888" t="s">
        <v>35242</v>
      </c>
      <c r="W1888" t="s">
        <v>30357</v>
      </c>
      <c r="X1888" t="s">
        <v>32527</v>
      </c>
    </row>
    <row r="1889" spans="1:24">
      <c r="A1889">
        <f>HYPERLINK("https://www.philgeps.gov.ph/GEPSNONPILOT/Tender/SplashBidNoticeAbstractUI.aspx?menuIndex=3&amp;refID=7046471&amp;Result=3","7046471")</f>
        <v>0</v>
      </c>
      <c r="B1889" t="s">
        <v>280</v>
      </c>
      <c r="C1889" t="s">
        <v>4496</v>
      </c>
      <c r="D1889" t="s">
        <v>13055</v>
      </c>
      <c r="E1889" t="s">
        <v>14800</v>
      </c>
      <c r="F1889" t="s">
        <v>22436</v>
      </c>
      <c r="G1889" t="s">
        <v>22443</v>
      </c>
      <c r="H1889" t="s">
        <v>22452</v>
      </c>
      <c r="I1889" t="s">
        <v>22495</v>
      </c>
      <c r="J1889" t="s">
        <v>23943</v>
      </c>
      <c r="K1889" t="s">
        <v>29336</v>
      </c>
      <c r="M1889" t="s">
        <v>29854</v>
      </c>
      <c r="N1889" t="s">
        <v>32524</v>
      </c>
      <c r="O1889" t="s">
        <v>32525</v>
      </c>
      <c r="P1889">
        <v>0</v>
      </c>
      <c r="Q1889">
        <v>2</v>
      </c>
      <c r="R1889" t="s">
        <v>32526</v>
      </c>
      <c r="S1889" t="s">
        <v>32547</v>
      </c>
      <c r="T1889" t="s">
        <v>33181</v>
      </c>
      <c r="U1889" t="s">
        <v>34804</v>
      </c>
      <c r="V1889" t="s">
        <v>42486</v>
      </c>
      <c r="W1889" t="s">
        <v>29854</v>
      </c>
      <c r="X1889" t="s">
        <v>32527</v>
      </c>
    </row>
    <row r="1890" spans="1:24">
      <c r="A1890">
        <f>HYPERLINK("https://www.philgeps.gov.ph/GEPSNONPILOT/Tender/SplashBidNoticeAbstractUI.aspx?menuIndex=3&amp;refID=7046500&amp;Result=3","7046500")</f>
        <v>0</v>
      </c>
      <c r="B1890" t="s">
        <v>753</v>
      </c>
      <c r="C1890" t="s">
        <v>4497</v>
      </c>
      <c r="D1890" t="s">
        <v>13040</v>
      </c>
      <c r="E1890" t="s">
        <v>14801</v>
      </c>
      <c r="F1890" t="s">
        <v>22436</v>
      </c>
      <c r="G1890" t="s">
        <v>22443</v>
      </c>
      <c r="H1890" t="s">
        <v>22452</v>
      </c>
      <c r="I1890" t="s">
        <v>22465</v>
      </c>
      <c r="J1890" t="s">
        <v>22605</v>
      </c>
      <c r="K1890" t="s">
        <v>29356</v>
      </c>
      <c r="M1890" t="s">
        <v>30354</v>
      </c>
      <c r="N1890" t="s">
        <v>32524</v>
      </c>
      <c r="O1890" t="s">
        <v>32525</v>
      </c>
      <c r="P1890">
        <v>0</v>
      </c>
      <c r="Q1890">
        <v>0</v>
      </c>
      <c r="R1890" t="s">
        <v>32526</v>
      </c>
      <c r="S1890" t="s">
        <v>32547</v>
      </c>
      <c r="T1890" t="s">
        <v>33169</v>
      </c>
      <c r="U1890" t="s">
        <v>35243</v>
      </c>
      <c r="W1890" t="s">
        <v>30354</v>
      </c>
      <c r="X1890" t="s">
        <v>32527</v>
      </c>
    </row>
    <row r="1891" spans="1:24">
      <c r="A1891">
        <f>HYPERLINK("https://www.philgeps.gov.ph/GEPSNONPILOT/Tender/SplashBidNoticeAbstractUI.aspx?menuIndex=3&amp;refID=7046495&amp;Result=3","7046495")</f>
        <v>0</v>
      </c>
      <c r="B1891" t="s">
        <v>757</v>
      </c>
      <c r="C1891" t="s">
        <v>4498</v>
      </c>
      <c r="D1891" t="s">
        <v>13068</v>
      </c>
      <c r="E1891" t="s">
        <v>14802</v>
      </c>
      <c r="F1891" t="s">
        <v>22436</v>
      </c>
      <c r="G1891" t="s">
        <v>22443</v>
      </c>
      <c r="H1891" t="s">
        <v>22454</v>
      </c>
      <c r="I1891" t="s">
        <v>22501</v>
      </c>
      <c r="J1891" t="s">
        <v>23944</v>
      </c>
      <c r="K1891" t="s">
        <v>29350</v>
      </c>
      <c r="M1891" t="s">
        <v>30358</v>
      </c>
      <c r="N1891" t="s">
        <v>32524</v>
      </c>
      <c r="O1891" t="s">
        <v>32525</v>
      </c>
      <c r="P1891">
        <v>0</v>
      </c>
      <c r="Q1891">
        <v>0</v>
      </c>
      <c r="R1891" t="s">
        <v>32526</v>
      </c>
      <c r="S1891" t="s">
        <v>32547</v>
      </c>
      <c r="T1891" t="s">
        <v>33155</v>
      </c>
      <c r="U1891" t="s">
        <v>35244</v>
      </c>
      <c r="W1891" t="s">
        <v>30358</v>
      </c>
      <c r="X1891" t="s">
        <v>32527</v>
      </c>
    </row>
    <row r="1892" spans="1:24">
      <c r="A1892">
        <f>HYPERLINK("https://www.philgeps.gov.ph/GEPSNONPILOT/Tender/SplashBidNoticeAbstractUI.aspx?menuIndex=3&amp;refID=7046510&amp;Result=3","7046510")</f>
        <v>0</v>
      </c>
      <c r="B1892" t="s">
        <v>475</v>
      </c>
      <c r="C1892" t="s">
        <v>4499</v>
      </c>
      <c r="E1892" t="s">
        <v>14803</v>
      </c>
      <c r="F1892" t="s">
        <v>22436</v>
      </c>
      <c r="G1892" t="s">
        <v>22446</v>
      </c>
      <c r="H1892" t="s">
        <v>22452</v>
      </c>
      <c r="I1892" t="s">
        <v>2981</v>
      </c>
      <c r="J1892" t="s">
        <v>23945</v>
      </c>
      <c r="K1892" t="s">
        <v>29338</v>
      </c>
      <c r="M1892" t="s">
        <v>30059</v>
      </c>
      <c r="N1892" t="s">
        <v>32524</v>
      </c>
      <c r="O1892" t="s">
        <v>32525</v>
      </c>
      <c r="P1892">
        <v>0</v>
      </c>
      <c r="Q1892">
        <v>1</v>
      </c>
      <c r="R1892" t="s">
        <v>32526</v>
      </c>
      <c r="S1892" t="s">
        <v>32547</v>
      </c>
      <c r="T1892" t="s">
        <v>33196</v>
      </c>
      <c r="U1892" t="s">
        <v>35245</v>
      </c>
      <c r="W1892" t="s">
        <v>30059</v>
      </c>
      <c r="X1892" t="s">
        <v>32527</v>
      </c>
    </row>
    <row r="1893" spans="1:24">
      <c r="A1893">
        <f>HYPERLINK("https://www.philgeps.gov.ph/GEPSNONPILOT/Tender/SplashBidNoticeAbstractUI.aspx?menuIndex=3&amp;refID=7046501&amp;Result=3","7046501")</f>
        <v>0</v>
      </c>
      <c r="B1893" t="s">
        <v>533</v>
      </c>
      <c r="C1893" t="s">
        <v>4500</v>
      </c>
      <c r="D1893" t="s">
        <v>12990</v>
      </c>
      <c r="E1893" t="s">
        <v>13335</v>
      </c>
      <c r="F1893" t="s">
        <v>22436</v>
      </c>
      <c r="G1893" t="s">
        <v>22446</v>
      </c>
      <c r="H1893" t="s">
        <v>22452</v>
      </c>
      <c r="I1893" t="s">
        <v>22460</v>
      </c>
      <c r="J1893" t="s">
        <v>23182</v>
      </c>
      <c r="K1893" t="s">
        <v>29336</v>
      </c>
      <c r="M1893" t="s">
        <v>30117</v>
      </c>
      <c r="N1893" t="s">
        <v>32524</v>
      </c>
      <c r="O1893" t="s">
        <v>32525</v>
      </c>
      <c r="P1893">
        <v>0</v>
      </c>
      <c r="Q1893">
        <v>1</v>
      </c>
      <c r="R1893" t="s">
        <v>32526</v>
      </c>
      <c r="S1893" t="s">
        <v>32547</v>
      </c>
      <c r="T1893" t="s">
        <v>33313</v>
      </c>
      <c r="U1893" t="s">
        <v>34701</v>
      </c>
      <c r="W1893" t="s">
        <v>30117</v>
      </c>
      <c r="X1893" t="s">
        <v>32527</v>
      </c>
    </row>
    <row r="1894" spans="1:24">
      <c r="A1894">
        <f>HYPERLINK("https://www.philgeps.gov.ph/GEPSNONPILOT/Tender/SplashBidNoticeAbstractUI.aspx?menuIndex=3&amp;refID=7046506&amp;Result=3","7046506")</f>
        <v>0</v>
      </c>
      <c r="B1894" t="s">
        <v>280</v>
      </c>
      <c r="C1894" t="s">
        <v>4501</v>
      </c>
      <c r="D1894" t="s">
        <v>13055</v>
      </c>
      <c r="E1894" t="s">
        <v>14804</v>
      </c>
      <c r="F1894" t="s">
        <v>22436</v>
      </c>
      <c r="G1894" t="s">
        <v>22443</v>
      </c>
      <c r="H1894" t="s">
        <v>22452</v>
      </c>
      <c r="I1894" t="s">
        <v>22465</v>
      </c>
      <c r="J1894" t="s">
        <v>23946</v>
      </c>
      <c r="K1894" t="s">
        <v>29336</v>
      </c>
      <c r="M1894" t="s">
        <v>29854</v>
      </c>
      <c r="N1894" t="s">
        <v>32524</v>
      </c>
      <c r="O1894" t="s">
        <v>32525</v>
      </c>
      <c r="P1894">
        <v>0</v>
      </c>
      <c r="Q1894">
        <v>0</v>
      </c>
      <c r="R1894" t="s">
        <v>32526</v>
      </c>
      <c r="S1894" t="s">
        <v>32547</v>
      </c>
      <c r="T1894" t="s">
        <v>33181</v>
      </c>
      <c r="U1894" t="s">
        <v>34804</v>
      </c>
      <c r="V1894" t="s">
        <v>42486</v>
      </c>
      <c r="W1894" t="s">
        <v>29854</v>
      </c>
      <c r="X1894" t="s">
        <v>32527</v>
      </c>
    </row>
    <row r="1895" spans="1:24">
      <c r="A1895">
        <f>HYPERLINK("https://www.philgeps.gov.ph/GEPSNONPILOT/Tender/SplashBidNoticeAbstractUI.aspx?menuIndex=3&amp;refID=7046505&amp;Result=3","7046505")</f>
        <v>0</v>
      </c>
      <c r="B1895" t="s">
        <v>758</v>
      </c>
      <c r="C1895" t="s">
        <v>4502</v>
      </c>
      <c r="D1895" t="s">
        <v>13043</v>
      </c>
      <c r="E1895" t="s">
        <v>14805</v>
      </c>
      <c r="F1895" t="s">
        <v>22436</v>
      </c>
      <c r="G1895" t="s">
        <v>22443</v>
      </c>
      <c r="H1895" t="s">
        <v>22452</v>
      </c>
      <c r="I1895" t="s">
        <v>22460</v>
      </c>
      <c r="J1895" t="s">
        <v>22695</v>
      </c>
      <c r="K1895" t="s">
        <v>29338</v>
      </c>
      <c r="M1895" t="s">
        <v>30359</v>
      </c>
      <c r="N1895" t="s">
        <v>32524</v>
      </c>
      <c r="O1895" t="s">
        <v>32525</v>
      </c>
      <c r="P1895">
        <v>0</v>
      </c>
      <c r="Q1895">
        <v>0</v>
      </c>
      <c r="R1895" t="s">
        <v>32526</v>
      </c>
      <c r="S1895" t="s">
        <v>32547</v>
      </c>
      <c r="T1895" t="s">
        <v>33206</v>
      </c>
      <c r="U1895" t="s">
        <v>35246</v>
      </c>
      <c r="W1895" t="s">
        <v>30359</v>
      </c>
      <c r="X1895" t="s">
        <v>32527</v>
      </c>
    </row>
    <row r="1896" spans="1:24">
      <c r="A1896">
        <f>HYPERLINK("https://www.philgeps.gov.ph/GEPSNONPILOT/Tender/SplashBidNoticeAbstractUI.aspx?menuIndex=3&amp;refID=7046499&amp;Result=3","7046499")</f>
        <v>0</v>
      </c>
      <c r="B1896" t="s">
        <v>759</v>
      </c>
      <c r="C1896" t="s">
        <v>4471</v>
      </c>
      <c r="D1896" t="s">
        <v>12990</v>
      </c>
      <c r="E1896" t="s">
        <v>14777</v>
      </c>
      <c r="F1896" t="s">
        <v>22436</v>
      </c>
      <c r="G1896" t="s">
        <v>22444</v>
      </c>
      <c r="H1896" t="s">
        <v>22452</v>
      </c>
      <c r="I1896" t="s">
        <v>2981</v>
      </c>
      <c r="J1896" t="s">
        <v>23947</v>
      </c>
      <c r="K1896" t="s">
        <v>29338</v>
      </c>
      <c r="M1896" t="s">
        <v>30360</v>
      </c>
      <c r="N1896" t="s">
        <v>32524</v>
      </c>
      <c r="O1896" t="s">
        <v>32525</v>
      </c>
      <c r="P1896">
        <v>0</v>
      </c>
      <c r="Q1896">
        <v>0</v>
      </c>
      <c r="R1896" t="s">
        <v>32526</v>
      </c>
      <c r="S1896" t="s">
        <v>32547</v>
      </c>
      <c r="T1896" t="s">
        <v>33348</v>
      </c>
      <c r="U1896" t="s">
        <v>35247</v>
      </c>
      <c r="W1896" t="s">
        <v>30360</v>
      </c>
      <c r="X1896" t="s">
        <v>32527</v>
      </c>
    </row>
    <row r="1897" spans="1:24">
      <c r="A1897">
        <f>HYPERLINK("https://www.philgeps.gov.ph/GEPSNONPILOT/Tender/SplashBidNoticeAbstractUI.aspx?menuIndex=3&amp;refID=7046508&amp;Result=3","7046508")</f>
        <v>0</v>
      </c>
      <c r="B1897" t="s">
        <v>640</v>
      </c>
      <c r="C1897" t="s">
        <v>4503</v>
      </c>
      <c r="D1897" t="s">
        <v>12988</v>
      </c>
      <c r="E1897" t="s">
        <v>14806</v>
      </c>
      <c r="F1897" t="s">
        <v>22436</v>
      </c>
      <c r="G1897" t="s">
        <v>22443</v>
      </c>
      <c r="H1897" t="s">
        <v>22452</v>
      </c>
      <c r="I1897" t="s">
        <v>3529</v>
      </c>
      <c r="J1897" t="s">
        <v>23948</v>
      </c>
      <c r="K1897" t="s">
        <v>29329</v>
      </c>
      <c r="M1897" t="s">
        <v>30231</v>
      </c>
      <c r="N1897" t="s">
        <v>32524</v>
      </c>
      <c r="O1897" t="s">
        <v>32525</v>
      </c>
      <c r="P1897">
        <v>0</v>
      </c>
      <c r="Q1897">
        <v>0</v>
      </c>
      <c r="R1897" t="s">
        <v>32526</v>
      </c>
      <c r="S1897" t="s">
        <v>32547</v>
      </c>
      <c r="T1897" t="s">
        <v>33167</v>
      </c>
      <c r="U1897" t="s">
        <v>35248</v>
      </c>
      <c r="W1897" t="s">
        <v>30231</v>
      </c>
      <c r="X1897" t="s">
        <v>32527</v>
      </c>
    </row>
    <row r="1898" spans="1:24">
      <c r="A1898">
        <f>HYPERLINK("https://www.philgeps.gov.ph/GEPSNONPILOT/Tender/SplashBidNoticeAbstractUI.aspx?menuIndex=3&amp;refID=7046498&amp;Result=3","7046498")</f>
        <v>0</v>
      </c>
      <c r="B1898" t="s">
        <v>760</v>
      </c>
      <c r="C1898" t="s">
        <v>4504</v>
      </c>
      <c r="D1898" t="s">
        <v>13051</v>
      </c>
      <c r="E1898" t="s">
        <v>14807</v>
      </c>
      <c r="F1898" t="s">
        <v>22436</v>
      </c>
      <c r="G1898" t="s">
        <v>22445</v>
      </c>
      <c r="H1898" t="s">
        <v>22452</v>
      </c>
      <c r="I1898" t="s">
        <v>22469</v>
      </c>
      <c r="J1898" t="s">
        <v>23188</v>
      </c>
      <c r="K1898" t="s">
        <v>29341</v>
      </c>
      <c r="M1898" t="s">
        <v>30361</v>
      </c>
      <c r="N1898" t="s">
        <v>32524</v>
      </c>
      <c r="O1898" t="s">
        <v>32525</v>
      </c>
      <c r="P1898">
        <v>0</v>
      </c>
      <c r="Q1898">
        <v>1</v>
      </c>
      <c r="R1898" t="s">
        <v>32526</v>
      </c>
      <c r="S1898" t="s">
        <v>32547</v>
      </c>
      <c r="T1898" t="s">
        <v>33197</v>
      </c>
      <c r="U1898" t="s">
        <v>35249</v>
      </c>
      <c r="W1898" t="s">
        <v>30361</v>
      </c>
      <c r="X1898" t="s">
        <v>32527</v>
      </c>
    </row>
    <row r="1899" spans="1:24">
      <c r="A1899">
        <f>HYPERLINK("https://www.philgeps.gov.ph/GEPSNONPILOT/Tender/SplashBidNoticeAbstractUI.aspx?menuIndex=3&amp;refID=7046504&amp;Result=3","7046504")</f>
        <v>0</v>
      </c>
      <c r="B1899" t="s">
        <v>721</v>
      </c>
      <c r="C1899" t="s">
        <v>4505</v>
      </c>
      <c r="D1899" t="s">
        <v>12990</v>
      </c>
      <c r="E1899" t="s">
        <v>14808</v>
      </c>
      <c r="F1899" t="s">
        <v>22436</v>
      </c>
      <c r="G1899" t="s">
        <v>22444</v>
      </c>
      <c r="H1899" t="s">
        <v>22454</v>
      </c>
      <c r="I1899" t="s">
        <v>7738</v>
      </c>
      <c r="J1899" t="s">
        <v>23926</v>
      </c>
      <c r="K1899" t="s">
        <v>29335</v>
      </c>
      <c r="M1899" t="s">
        <v>30318</v>
      </c>
      <c r="N1899" t="s">
        <v>32524</v>
      </c>
      <c r="O1899" t="s">
        <v>32525</v>
      </c>
      <c r="P1899">
        <v>0</v>
      </c>
      <c r="Q1899">
        <v>0</v>
      </c>
      <c r="R1899" t="s">
        <v>32526</v>
      </c>
      <c r="S1899" t="s">
        <v>32547</v>
      </c>
      <c r="T1899" t="s">
        <v>33182</v>
      </c>
      <c r="U1899" t="s">
        <v>35250</v>
      </c>
      <c r="W1899" t="s">
        <v>30318</v>
      </c>
      <c r="X1899" t="s">
        <v>32527</v>
      </c>
    </row>
    <row r="1900" spans="1:24">
      <c r="A1900">
        <f>HYPERLINK("https://www.philgeps.gov.ph/GEPSNONPILOT/Tender/SplashBidNoticeAbstractUI.aspx?menuIndex=3&amp;refID=7046511&amp;Result=3","7046511")</f>
        <v>0</v>
      </c>
      <c r="B1900" t="s">
        <v>88</v>
      </c>
      <c r="C1900" t="s">
        <v>4506</v>
      </c>
      <c r="D1900" t="s">
        <v>13025</v>
      </c>
      <c r="E1900" t="s">
        <v>14809</v>
      </c>
      <c r="F1900" t="s">
        <v>22436</v>
      </c>
      <c r="G1900" t="s">
        <v>22444</v>
      </c>
      <c r="H1900" t="s">
        <v>22452</v>
      </c>
      <c r="I1900" t="s">
        <v>22460</v>
      </c>
      <c r="J1900" t="s">
        <v>23949</v>
      </c>
      <c r="K1900" t="s">
        <v>29338</v>
      </c>
      <c r="M1900" t="s">
        <v>29660</v>
      </c>
      <c r="N1900" t="s">
        <v>32524</v>
      </c>
      <c r="O1900" t="s">
        <v>32525</v>
      </c>
      <c r="P1900">
        <v>0</v>
      </c>
      <c r="Q1900">
        <v>0</v>
      </c>
      <c r="R1900" t="s">
        <v>32526</v>
      </c>
      <c r="S1900" t="s">
        <v>32547</v>
      </c>
      <c r="T1900" t="s">
        <v>33187</v>
      </c>
      <c r="U1900" t="s">
        <v>35181</v>
      </c>
      <c r="W1900" t="s">
        <v>29660</v>
      </c>
      <c r="X1900" t="s">
        <v>32527</v>
      </c>
    </row>
    <row r="1901" spans="1:24">
      <c r="A1901">
        <f>HYPERLINK("https://www.philgeps.gov.ph/GEPSNONPILOT/Tender/SplashBidNoticeAbstractUI.aspx?menuIndex=3&amp;refID=7046503&amp;Result=3","7046503")</f>
        <v>0</v>
      </c>
      <c r="B1901" t="s">
        <v>761</v>
      </c>
      <c r="C1901" t="s">
        <v>4507</v>
      </c>
      <c r="D1901" t="s">
        <v>13046</v>
      </c>
      <c r="E1901" t="s">
        <v>14076</v>
      </c>
      <c r="F1901" t="s">
        <v>22437</v>
      </c>
      <c r="G1901" t="s">
        <v>22444</v>
      </c>
      <c r="H1901" t="s">
        <v>22452</v>
      </c>
      <c r="I1901" t="s">
        <v>3529</v>
      </c>
      <c r="J1901" t="s">
        <v>23950</v>
      </c>
      <c r="K1901" t="s">
        <v>29344</v>
      </c>
      <c r="M1901" t="s">
        <v>30362</v>
      </c>
      <c r="N1901" t="s">
        <v>32524</v>
      </c>
      <c r="O1901" t="s">
        <v>32525</v>
      </c>
      <c r="P1901">
        <v>0</v>
      </c>
      <c r="Q1901">
        <v>0</v>
      </c>
      <c r="R1901" t="s">
        <v>32526</v>
      </c>
      <c r="S1901" t="s">
        <v>32547</v>
      </c>
      <c r="T1901" t="s">
        <v>33157</v>
      </c>
      <c r="U1901" t="s">
        <v>35251</v>
      </c>
      <c r="W1901" t="s">
        <v>30362</v>
      </c>
      <c r="X1901" t="s">
        <v>32527</v>
      </c>
    </row>
    <row r="1902" spans="1:24">
      <c r="A1902">
        <f>HYPERLINK("https://www.philgeps.gov.ph/GEPSNONPILOT/Tender/SplashBidNoticeAbstractUI.aspx?menuIndex=3&amp;refID=7046509&amp;Result=3","7046509")</f>
        <v>0</v>
      </c>
      <c r="B1902" t="s">
        <v>50</v>
      </c>
      <c r="C1902" t="s">
        <v>4508</v>
      </c>
      <c r="D1902" t="s">
        <v>13008</v>
      </c>
      <c r="E1902" t="s">
        <v>14810</v>
      </c>
      <c r="F1902" t="s">
        <v>22436</v>
      </c>
      <c r="G1902" t="s">
        <v>22444</v>
      </c>
      <c r="H1902" t="s">
        <v>22452</v>
      </c>
      <c r="I1902" t="s">
        <v>3027</v>
      </c>
      <c r="J1902" t="s">
        <v>23951</v>
      </c>
      <c r="K1902" t="s">
        <v>29335</v>
      </c>
      <c r="M1902" t="s">
        <v>29622</v>
      </c>
      <c r="N1902" t="s">
        <v>32524</v>
      </c>
      <c r="O1902" t="s">
        <v>32525</v>
      </c>
      <c r="P1902">
        <v>0</v>
      </c>
      <c r="Q1902">
        <v>0</v>
      </c>
      <c r="R1902" t="s">
        <v>32526</v>
      </c>
      <c r="S1902" t="s">
        <v>32547</v>
      </c>
      <c r="T1902" t="s">
        <v>33166</v>
      </c>
      <c r="U1902" t="s">
        <v>35252</v>
      </c>
      <c r="W1902" t="s">
        <v>29622</v>
      </c>
      <c r="X1902" t="s">
        <v>32527</v>
      </c>
    </row>
    <row r="1903" spans="1:24">
      <c r="A1903">
        <f>HYPERLINK("https://www.philgeps.gov.ph/GEPSNONPILOT/Tender/SplashBidNoticeAbstractUI.aspx?menuIndex=3&amp;refID=7046526&amp;Result=3","7046526")</f>
        <v>0</v>
      </c>
      <c r="B1903" t="s">
        <v>762</v>
      </c>
      <c r="C1903" t="s">
        <v>4509</v>
      </c>
      <c r="E1903" t="s">
        <v>14811</v>
      </c>
      <c r="F1903" t="s">
        <v>22436</v>
      </c>
      <c r="G1903" t="s">
        <v>22443</v>
      </c>
      <c r="H1903" t="s">
        <v>22452</v>
      </c>
      <c r="I1903" t="s">
        <v>22479</v>
      </c>
      <c r="J1903" t="s">
        <v>23952</v>
      </c>
      <c r="K1903" t="s">
        <v>29338</v>
      </c>
      <c r="M1903" t="s">
        <v>30363</v>
      </c>
      <c r="N1903" t="s">
        <v>32524</v>
      </c>
      <c r="O1903" t="s">
        <v>32525</v>
      </c>
      <c r="P1903">
        <v>0</v>
      </c>
      <c r="Q1903">
        <v>0</v>
      </c>
      <c r="R1903" t="s">
        <v>32526</v>
      </c>
      <c r="S1903" t="s">
        <v>32547</v>
      </c>
      <c r="T1903" t="s">
        <v>33161</v>
      </c>
      <c r="U1903" t="s">
        <v>35253</v>
      </c>
      <c r="W1903" t="s">
        <v>30363</v>
      </c>
      <c r="X1903" t="s">
        <v>32527</v>
      </c>
    </row>
    <row r="1904" spans="1:24">
      <c r="A1904">
        <f>HYPERLINK("https://www.philgeps.gov.ph/GEPSNONPILOT/Tender/SplashBidNoticeAbstractUI.aspx?menuIndex=3&amp;refID=7046528&amp;Result=3","7046528")</f>
        <v>0</v>
      </c>
      <c r="B1904" t="s">
        <v>720</v>
      </c>
      <c r="C1904" t="s">
        <v>4510</v>
      </c>
      <c r="D1904" t="s">
        <v>13058</v>
      </c>
      <c r="E1904" t="s">
        <v>14812</v>
      </c>
      <c r="F1904" t="s">
        <v>22436</v>
      </c>
      <c r="G1904" t="s">
        <v>22444</v>
      </c>
      <c r="H1904" t="s">
        <v>22452</v>
      </c>
      <c r="I1904" t="s">
        <v>22465</v>
      </c>
      <c r="J1904" t="s">
        <v>23953</v>
      </c>
      <c r="K1904" t="s">
        <v>29336</v>
      </c>
      <c r="M1904" t="s">
        <v>30317</v>
      </c>
      <c r="N1904" t="s">
        <v>32524</v>
      </c>
      <c r="O1904" t="s">
        <v>32525</v>
      </c>
      <c r="P1904">
        <v>0</v>
      </c>
      <c r="Q1904">
        <v>0</v>
      </c>
      <c r="R1904" t="s">
        <v>32526</v>
      </c>
      <c r="S1904" t="s">
        <v>32547</v>
      </c>
      <c r="T1904" t="s">
        <v>33187</v>
      </c>
      <c r="U1904" t="s">
        <v>35254</v>
      </c>
      <c r="V1904" t="s">
        <v>42607</v>
      </c>
      <c r="W1904" t="s">
        <v>30317</v>
      </c>
      <c r="X1904" t="s">
        <v>32527</v>
      </c>
    </row>
    <row r="1905" spans="1:24">
      <c r="A1905">
        <f>HYPERLINK("https://www.philgeps.gov.ph/GEPSNONPILOT/Tender/SplashBidNoticeAbstractUI.aspx?menuIndex=3&amp;refID=7046524&amp;Result=3","7046524")</f>
        <v>0</v>
      </c>
      <c r="B1905" t="s">
        <v>434</v>
      </c>
      <c r="C1905" t="s">
        <v>4511</v>
      </c>
      <c r="D1905" t="s">
        <v>13007</v>
      </c>
      <c r="E1905" t="s">
        <v>14813</v>
      </c>
      <c r="F1905" t="s">
        <v>22436</v>
      </c>
      <c r="G1905" t="s">
        <v>22443</v>
      </c>
      <c r="H1905" t="s">
        <v>22454</v>
      </c>
      <c r="I1905" t="s">
        <v>7738</v>
      </c>
      <c r="J1905" t="s">
        <v>23954</v>
      </c>
      <c r="K1905" t="s">
        <v>29335</v>
      </c>
      <c r="M1905" t="s">
        <v>30015</v>
      </c>
      <c r="N1905" t="s">
        <v>32524</v>
      </c>
      <c r="O1905" t="s">
        <v>32525</v>
      </c>
      <c r="P1905">
        <v>0</v>
      </c>
      <c r="Q1905">
        <v>0</v>
      </c>
      <c r="R1905" t="s">
        <v>32526</v>
      </c>
      <c r="S1905" t="s">
        <v>32547</v>
      </c>
      <c r="T1905" t="s">
        <v>33167</v>
      </c>
      <c r="U1905" t="s">
        <v>34488</v>
      </c>
      <c r="V1905" t="s">
        <v>42512</v>
      </c>
      <c r="W1905" t="s">
        <v>30015</v>
      </c>
      <c r="X1905" t="s">
        <v>32527</v>
      </c>
    </row>
    <row r="1906" spans="1:24">
      <c r="A1906">
        <f>HYPERLINK("https://www.philgeps.gov.ph/GEPSNONPILOT/Tender/SplashBidNoticeAbstractUI.aspx?menuIndex=3&amp;refID=7046529&amp;Result=3","7046529")</f>
        <v>0</v>
      </c>
      <c r="B1906" t="s">
        <v>44</v>
      </c>
      <c r="C1906" t="s">
        <v>4512</v>
      </c>
      <c r="D1906" t="s">
        <v>13004</v>
      </c>
      <c r="E1906" t="s">
        <v>14814</v>
      </c>
      <c r="F1906" t="s">
        <v>22436</v>
      </c>
      <c r="G1906" t="s">
        <v>22443</v>
      </c>
      <c r="H1906" t="s">
        <v>22452</v>
      </c>
      <c r="I1906" t="s">
        <v>22456</v>
      </c>
      <c r="J1906" t="s">
        <v>23955</v>
      </c>
      <c r="K1906" t="s">
        <v>29335</v>
      </c>
      <c r="M1906" t="s">
        <v>29615</v>
      </c>
      <c r="N1906" t="s">
        <v>32524</v>
      </c>
      <c r="O1906" t="s">
        <v>32525</v>
      </c>
      <c r="P1906">
        <v>0</v>
      </c>
      <c r="Q1906">
        <v>2</v>
      </c>
      <c r="R1906" t="s">
        <v>32526</v>
      </c>
      <c r="S1906" t="s">
        <v>32547</v>
      </c>
      <c r="T1906" t="s">
        <v>33167</v>
      </c>
      <c r="U1906" t="s">
        <v>35231</v>
      </c>
      <c r="W1906" t="s">
        <v>29615</v>
      </c>
      <c r="X1906" t="s">
        <v>32527</v>
      </c>
    </row>
    <row r="1907" spans="1:24">
      <c r="A1907">
        <f>HYPERLINK("https://www.philgeps.gov.ph/GEPSNONPILOT/Tender/SplashBidNoticeAbstractUI.aspx?menuIndex=3&amp;refID=7046525&amp;Result=3","7046525")</f>
        <v>0</v>
      </c>
      <c r="B1907" t="s">
        <v>83</v>
      </c>
      <c r="C1907" t="s">
        <v>4513</v>
      </c>
      <c r="D1907" t="s">
        <v>12988</v>
      </c>
      <c r="E1907" t="s">
        <v>14815</v>
      </c>
      <c r="F1907" t="s">
        <v>22436</v>
      </c>
      <c r="G1907" t="s">
        <v>22443</v>
      </c>
      <c r="H1907" t="s">
        <v>22452</v>
      </c>
      <c r="I1907" t="s">
        <v>7738</v>
      </c>
      <c r="J1907" t="s">
        <v>23956</v>
      </c>
      <c r="K1907" t="s">
        <v>29350</v>
      </c>
      <c r="M1907" t="s">
        <v>30134</v>
      </c>
      <c r="N1907" t="s">
        <v>32524</v>
      </c>
      <c r="O1907" t="s">
        <v>32525</v>
      </c>
      <c r="P1907">
        <v>0</v>
      </c>
      <c r="Q1907">
        <v>1</v>
      </c>
      <c r="R1907" t="s">
        <v>32526</v>
      </c>
      <c r="S1907" t="s">
        <v>32547</v>
      </c>
      <c r="T1907" t="s">
        <v>33211</v>
      </c>
      <c r="U1907" t="s">
        <v>35255</v>
      </c>
      <c r="W1907" t="s">
        <v>30134</v>
      </c>
      <c r="X1907" t="s">
        <v>32527</v>
      </c>
    </row>
    <row r="1908" spans="1:24">
      <c r="A1908">
        <f>HYPERLINK("https://www.philgeps.gov.ph/GEPSNONPILOT/Tender/SplashBidNoticeAbstractUI.aspx?menuIndex=3&amp;refID=7046522&amp;Result=3","7046522")</f>
        <v>0</v>
      </c>
      <c r="B1908" t="s">
        <v>196</v>
      </c>
      <c r="C1908" t="s">
        <v>4514</v>
      </c>
      <c r="D1908" t="s">
        <v>13002</v>
      </c>
      <c r="E1908" t="s">
        <v>14816</v>
      </c>
      <c r="F1908" t="s">
        <v>22436</v>
      </c>
      <c r="G1908" t="s">
        <v>22443</v>
      </c>
      <c r="H1908" t="s">
        <v>22452</v>
      </c>
      <c r="I1908" t="s">
        <v>22463</v>
      </c>
      <c r="J1908" t="s">
        <v>23120</v>
      </c>
      <c r="K1908" t="s">
        <v>29331</v>
      </c>
      <c r="M1908" t="s">
        <v>29769</v>
      </c>
      <c r="N1908" t="s">
        <v>32524</v>
      </c>
      <c r="O1908" t="s">
        <v>32525</v>
      </c>
      <c r="P1908">
        <v>0</v>
      </c>
      <c r="Q1908">
        <v>3</v>
      </c>
      <c r="R1908" t="s">
        <v>32526</v>
      </c>
      <c r="S1908" t="s">
        <v>32547</v>
      </c>
      <c r="T1908" t="s">
        <v>33171</v>
      </c>
      <c r="U1908" t="s">
        <v>35256</v>
      </c>
      <c r="W1908" t="s">
        <v>29769</v>
      </c>
      <c r="X1908" t="s">
        <v>32527</v>
      </c>
    </row>
    <row r="1909" spans="1:24">
      <c r="A1909">
        <f>HYPERLINK("https://www.philgeps.gov.ph/GEPSNONPILOT/Tender/SplashBidNoticeAbstractUI.aspx?menuIndex=3&amp;refID=7046519&amp;Result=3","7046519")</f>
        <v>0</v>
      </c>
      <c r="B1909" t="s">
        <v>763</v>
      </c>
      <c r="C1909" t="s">
        <v>4515</v>
      </c>
      <c r="D1909" t="s">
        <v>13013</v>
      </c>
      <c r="E1909" t="s">
        <v>14817</v>
      </c>
      <c r="F1909" t="s">
        <v>22437</v>
      </c>
      <c r="G1909" t="s">
        <v>22444</v>
      </c>
      <c r="H1909" t="s">
        <v>22452</v>
      </c>
      <c r="I1909" t="s">
        <v>3122</v>
      </c>
      <c r="J1909" t="s">
        <v>23957</v>
      </c>
      <c r="K1909" t="s">
        <v>29353</v>
      </c>
      <c r="M1909" t="s">
        <v>30364</v>
      </c>
      <c r="N1909" t="s">
        <v>32524</v>
      </c>
      <c r="O1909" t="s">
        <v>32525</v>
      </c>
      <c r="P1909">
        <v>0</v>
      </c>
      <c r="Q1909">
        <v>0</v>
      </c>
      <c r="R1909" t="s">
        <v>32526</v>
      </c>
      <c r="S1909" t="s">
        <v>32547</v>
      </c>
      <c r="T1909" t="s">
        <v>33164</v>
      </c>
      <c r="U1909" t="s">
        <v>35257</v>
      </c>
      <c r="W1909" t="s">
        <v>30364</v>
      </c>
      <c r="X1909" t="s">
        <v>32527</v>
      </c>
    </row>
    <row r="1910" spans="1:24">
      <c r="A1910">
        <f>HYPERLINK("https://www.philgeps.gov.ph/GEPSNONPILOT/Tender/SplashBidNoticeAbstractUI.aspx?menuIndex=3&amp;refID=7046523&amp;Result=3","7046523")</f>
        <v>0</v>
      </c>
      <c r="B1910" t="s">
        <v>737</v>
      </c>
      <c r="C1910" t="s">
        <v>4516</v>
      </c>
      <c r="D1910" t="s">
        <v>13065</v>
      </c>
      <c r="E1910" t="s">
        <v>14818</v>
      </c>
      <c r="F1910" t="s">
        <v>22436</v>
      </c>
      <c r="G1910" t="s">
        <v>22450</v>
      </c>
      <c r="H1910" t="s">
        <v>22454</v>
      </c>
      <c r="I1910" t="s">
        <v>7738</v>
      </c>
      <c r="J1910" t="s">
        <v>23958</v>
      </c>
      <c r="K1910" t="s">
        <v>29334</v>
      </c>
      <c r="M1910" t="s">
        <v>30336</v>
      </c>
      <c r="N1910" t="s">
        <v>32524</v>
      </c>
      <c r="O1910" t="s">
        <v>32525</v>
      </c>
      <c r="P1910">
        <v>0</v>
      </c>
      <c r="Q1910">
        <v>0</v>
      </c>
      <c r="R1910" t="s">
        <v>32526</v>
      </c>
      <c r="S1910" t="s">
        <v>32547</v>
      </c>
      <c r="T1910" t="s">
        <v>33166</v>
      </c>
      <c r="U1910" t="s">
        <v>35190</v>
      </c>
      <c r="V1910" t="s">
        <v>42608</v>
      </c>
      <c r="W1910" t="s">
        <v>43694</v>
      </c>
      <c r="X1910" t="s">
        <v>32527</v>
      </c>
    </row>
    <row r="1911" spans="1:24">
      <c r="A1911">
        <f>HYPERLINK("https://www.philgeps.gov.ph/GEPSNONPILOT/Tender/SplashBidNoticeAbstractUI.aspx?menuIndex=3&amp;refID=7046534&amp;Result=3","7046534")</f>
        <v>0</v>
      </c>
      <c r="B1911" t="s">
        <v>687</v>
      </c>
      <c r="C1911" t="s">
        <v>4517</v>
      </c>
      <c r="E1911" t="s">
        <v>14819</v>
      </c>
      <c r="F1911" t="s">
        <v>22436</v>
      </c>
      <c r="G1911" t="s">
        <v>22444</v>
      </c>
      <c r="H1911" t="s">
        <v>22454</v>
      </c>
      <c r="I1911" t="s">
        <v>7738</v>
      </c>
      <c r="J1911" t="s">
        <v>23959</v>
      </c>
      <c r="K1911" t="s">
        <v>29416</v>
      </c>
      <c r="M1911" t="s">
        <v>30281</v>
      </c>
      <c r="N1911" t="s">
        <v>32524</v>
      </c>
      <c r="O1911" t="s">
        <v>32525</v>
      </c>
      <c r="P1911">
        <v>0</v>
      </c>
      <c r="Q1911">
        <v>0</v>
      </c>
      <c r="R1911" t="s">
        <v>32526</v>
      </c>
      <c r="S1911" t="s">
        <v>32547</v>
      </c>
      <c r="T1911" t="s">
        <v>33157</v>
      </c>
      <c r="U1911" t="s">
        <v>35258</v>
      </c>
      <c r="W1911" t="s">
        <v>30281</v>
      </c>
      <c r="X1911" t="s">
        <v>32527</v>
      </c>
    </row>
    <row r="1912" spans="1:24">
      <c r="A1912">
        <f>HYPERLINK("https://www.philgeps.gov.ph/GEPSNONPILOT/Tender/SplashBidNoticeAbstractUI.aspx?menuIndex=3&amp;refID=7046513&amp;Result=3","7046513")</f>
        <v>0</v>
      </c>
      <c r="B1912" t="s">
        <v>752</v>
      </c>
      <c r="C1912" t="s">
        <v>4518</v>
      </c>
      <c r="D1912" t="s">
        <v>13040</v>
      </c>
      <c r="E1912" t="s">
        <v>14820</v>
      </c>
      <c r="F1912" t="s">
        <v>22436</v>
      </c>
      <c r="G1912" t="s">
        <v>22443</v>
      </c>
      <c r="H1912" t="s">
        <v>22452</v>
      </c>
      <c r="I1912" t="s">
        <v>22522</v>
      </c>
      <c r="J1912" t="s">
        <v>22743</v>
      </c>
      <c r="K1912" t="s">
        <v>29335</v>
      </c>
      <c r="M1912" t="s">
        <v>30353</v>
      </c>
      <c r="N1912" t="s">
        <v>32524</v>
      </c>
      <c r="O1912" t="s">
        <v>32525</v>
      </c>
      <c r="P1912">
        <v>0</v>
      </c>
      <c r="Q1912">
        <v>2</v>
      </c>
      <c r="R1912" t="s">
        <v>32526</v>
      </c>
      <c r="S1912" t="s">
        <v>32547</v>
      </c>
      <c r="T1912" t="s">
        <v>33228</v>
      </c>
      <c r="U1912" t="s">
        <v>35234</v>
      </c>
      <c r="W1912" t="s">
        <v>30353</v>
      </c>
      <c r="X1912" t="s">
        <v>32527</v>
      </c>
    </row>
    <row r="1913" spans="1:24">
      <c r="A1913">
        <f>HYPERLINK("https://www.philgeps.gov.ph/GEPSNONPILOT/Tender/SplashBidNoticeAbstractUI.aspx?menuIndex=3&amp;refID=7046527&amp;Result=3","7046527")</f>
        <v>0</v>
      </c>
      <c r="B1913" t="s">
        <v>755</v>
      </c>
      <c r="C1913" t="s">
        <v>4519</v>
      </c>
      <c r="D1913" t="s">
        <v>13061</v>
      </c>
      <c r="E1913" t="s">
        <v>14821</v>
      </c>
      <c r="F1913" t="s">
        <v>22436</v>
      </c>
      <c r="G1913" t="s">
        <v>22443</v>
      </c>
      <c r="H1913" t="s">
        <v>22453</v>
      </c>
      <c r="I1913" t="s">
        <v>3529</v>
      </c>
      <c r="J1913" t="s">
        <v>23960</v>
      </c>
      <c r="K1913" t="s">
        <v>29336</v>
      </c>
      <c r="M1913" t="s">
        <v>30356</v>
      </c>
      <c r="N1913" t="s">
        <v>32524</v>
      </c>
      <c r="O1913" t="s">
        <v>32525</v>
      </c>
      <c r="P1913">
        <v>0</v>
      </c>
      <c r="Q1913">
        <v>0</v>
      </c>
      <c r="R1913" t="s">
        <v>32526</v>
      </c>
      <c r="S1913" t="s">
        <v>32547</v>
      </c>
      <c r="T1913" t="s">
        <v>33167</v>
      </c>
      <c r="U1913" t="s">
        <v>35238</v>
      </c>
      <c r="W1913" t="s">
        <v>30356</v>
      </c>
      <c r="X1913" t="s">
        <v>32527</v>
      </c>
    </row>
    <row r="1914" spans="1:24">
      <c r="A1914">
        <f>HYPERLINK("https://www.philgeps.gov.ph/GEPSNONPILOT/Tender/SplashBidNoticeAbstractUI.aspx?menuIndex=3&amp;refID=7046533&amp;Result=3","7046533")</f>
        <v>0</v>
      </c>
      <c r="B1914" t="s">
        <v>732</v>
      </c>
      <c r="C1914" t="s">
        <v>4520</v>
      </c>
      <c r="D1914" t="s">
        <v>13045</v>
      </c>
      <c r="E1914" t="s">
        <v>14822</v>
      </c>
      <c r="F1914" t="s">
        <v>22436</v>
      </c>
      <c r="G1914" t="s">
        <v>22443</v>
      </c>
      <c r="H1914" t="s">
        <v>22452</v>
      </c>
      <c r="I1914" t="s">
        <v>22463</v>
      </c>
      <c r="J1914" t="s">
        <v>23961</v>
      </c>
      <c r="K1914" t="s">
        <v>29335</v>
      </c>
      <c r="M1914" t="s">
        <v>30330</v>
      </c>
      <c r="N1914" t="s">
        <v>32524</v>
      </c>
      <c r="O1914" t="s">
        <v>32525</v>
      </c>
      <c r="P1914">
        <v>0</v>
      </c>
      <c r="Q1914">
        <v>2</v>
      </c>
      <c r="R1914" t="s">
        <v>32526</v>
      </c>
      <c r="S1914" t="s">
        <v>32547</v>
      </c>
      <c r="T1914" t="s">
        <v>33154</v>
      </c>
      <c r="U1914" t="s">
        <v>35178</v>
      </c>
      <c r="W1914" t="s">
        <v>30330</v>
      </c>
      <c r="X1914" t="s">
        <v>32527</v>
      </c>
    </row>
    <row r="1915" spans="1:24">
      <c r="A1915">
        <f>HYPERLINK("https://www.philgeps.gov.ph/GEPSNONPILOT/Tender/SplashBidNoticeAbstractUI.aspx?menuIndex=3&amp;refID=7046521&amp;Result=3","7046521")</f>
        <v>0</v>
      </c>
      <c r="B1915" t="s">
        <v>38</v>
      </c>
      <c r="C1915" t="s">
        <v>4521</v>
      </c>
      <c r="D1915" t="s">
        <v>13000</v>
      </c>
      <c r="E1915" t="s">
        <v>13371</v>
      </c>
      <c r="F1915" t="s">
        <v>22436</v>
      </c>
      <c r="G1915" t="s">
        <v>22445</v>
      </c>
      <c r="H1915" t="s">
        <v>22452</v>
      </c>
      <c r="I1915" t="s">
        <v>3827</v>
      </c>
      <c r="J1915" t="s">
        <v>23378</v>
      </c>
      <c r="K1915" t="s">
        <v>29336</v>
      </c>
      <c r="M1915" t="s">
        <v>29608</v>
      </c>
      <c r="N1915" t="s">
        <v>32524</v>
      </c>
      <c r="O1915" t="s">
        <v>32525</v>
      </c>
      <c r="P1915">
        <v>0</v>
      </c>
      <c r="Q1915">
        <v>0</v>
      </c>
      <c r="R1915" t="s">
        <v>32526</v>
      </c>
      <c r="S1915" t="s">
        <v>32547</v>
      </c>
      <c r="T1915" t="s">
        <v>33154</v>
      </c>
      <c r="U1915" t="s">
        <v>35259</v>
      </c>
      <c r="W1915" t="s">
        <v>29608</v>
      </c>
      <c r="X1915" t="s">
        <v>32527</v>
      </c>
    </row>
    <row r="1916" spans="1:24">
      <c r="A1916">
        <f>HYPERLINK("https://www.philgeps.gov.ph/GEPSNONPILOT/Tender/SplashBidNoticeAbstractUI.aspx?menuIndex=3&amp;refID=7046518&amp;Result=3","7046518")</f>
        <v>0</v>
      </c>
      <c r="B1916" t="s">
        <v>764</v>
      </c>
      <c r="C1916" t="s">
        <v>4522</v>
      </c>
      <c r="D1916" t="s">
        <v>13000</v>
      </c>
      <c r="E1916" t="s">
        <v>14823</v>
      </c>
      <c r="F1916" t="s">
        <v>22436</v>
      </c>
      <c r="G1916" t="s">
        <v>22444</v>
      </c>
      <c r="H1916" t="s">
        <v>22454</v>
      </c>
      <c r="I1916" t="s">
        <v>3529</v>
      </c>
      <c r="J1916" t="s">
        <v>22654</v>
      </c>
      <c r="K1916" t="s">
        <v>29336</v>
      </c>
      <c r="M1916" t="s">
        <v>30365</v>
      </c>
      <c r="N1916" t="s">
        <v>32524</v>
      </c>
      <c r="O1916" t="s">
        <v>32525</v>
      </c>
      <c r="P1916">
        <v>0</v>
      </c>
      <c r="Q1916">
        <v>0</v>
      </c>
      <c r="R1916" t="s">
        <v>32526</v>
      </c>
      <c r="S1916" t="s">
        <v>32547</v>
      </c>
      <c r="T1916" t="s">
        <v>33153</v>
      </c>
      <c r="U1916" t="s">
        <v>35260</v>
      </c>
      <c r="W1916" t="s">
        <v>30365</v>
      </c>
      <c r="X1916" t="s">
        <v>32527</v>
      </c>
    </row>
    <row r="1917" spans="1:24">
      <c r="A1917">
        <f>HYPERLINK("https://www.philgeps.gov.ph/GEPSNONPILOT/Tender/SplashBidNoticeAbstractUI.aspx?menuIndex=3&amp;refID=7046512&amp;Result=3","7046512")</f>
        <v>0</v>
      </c>
      <c r="B1917" t="s">
        <v>765</v>
      </c>
      <c r="C1917" t="s">
        <v>4523</v>
      </c>
      <c r="D1917" t="s">
        <v>13034</v>
      </c>
      <c r="E1917" t="s">
        <v>14824</v>
      </c>
      <c r="F1917" t="s">
        <v>22436</v>
      </c>
      <c r="G1917" t="s">
        <v>22443</v>
      </c>
      <c r="H1917" t="s">
        <v>22452</v>
      </c>
      <c r="I1917" t="s">
        <v>22480</v>
      </c>
      <c r="J1917" t="s">
        <v>22654</v>
      </c>
      <c r="K1917" t="s">
        <v>29356</v>
      </c>
      <c r="M1917" t="s">
        <v>30366</v>
      </c>
      <c r="N1917" t="s">
        <v>32524</v>
      </c>
      <c r="O1917" t="s">
        <v>32525</v>
      </c>
      <c r="P1917">
        <v>0</v>
      </c>
      <c r="Q1917">
        <v>0</v>
      </c>
      <c r="R1917" t="s">
        <v>32526</v>
      </c>
      <c r="S1917" t="s">
        <v>32547</v>
      </c>
      <c r="T1917" t="s">
        <v>33215</v>
      </c>
      <c r="U1917" t="s">
        <v>35261</v>
      </c>
      <c r="V1917" t="s">
        <v>42609</v>
      </c>
      <c r="W1917" t="s">
        <v>30366</v>
      </c>
      <c r="X1917" t="s">
        <v>32527</v>
      </c>
    </row>
    <row r="1918" spans="1:24">
      <c r="A1918">
        <f>HYPERLINK("https://www.philgeps.gov.ph/GEPSNONPILOT/Tender/SplashBidNoticeAbstractUI.aspx?menuIndex=3&amp;refID=7046516&amp;Result=3","7046516")</f>
        <v>0</v>
      </c>
      <c r="B1918" t="s">
        <v>766</v>
      </c>
      <c r="C1918" t="s">
        <v>4524</v>
      </c>
      <c r="D1918" t="s">
        <v>13053</v>
      </c>
      <c r="E1918" t="s">
        <v>14825</v>
      </c>
      <c r="F1918" t="s">
        <v>22436</v>
      </c>
      <c r="G1918" t="s">
        <v>22443</v>
      </c>
      <c r="H1918" t="s">
        <v>22452</v>
      </c>
      <c r="I1918" t="s">
        <v>22542</v>
      </c>
      <c r="J1918" t="s">
        <v>23558</v>
      </c>
      <c r="K1918" t="s">
        <v>29335</v>
      </c>
      <c r="M1918" t="s">
        <v>30367</v>
      </c>
      <c r="N1918" t="s">
        <v>32524</v>
      </c>
      <c r="O1918" t="s">
        <v>32525</v>
      </c>
      <c r="P1918">
        <v>0</v>
      </c>
      <c r="Q1918">
        <v>0</v>
      </c>
      <c r="R1918" t="s">
        <v>32526</v>
      </c>
      <c r="S1918" t="s">
        <v>32547</v>
      </c>
      <c r="T1918" t="s">
        <v>33183</v>
      </c>
      <c r="U1918" t="s">
        <v>35262</v>
      </c>
      <c r="W1918" t="s">
        <v>30367</v>
      </c>
      <c r="X1918" t="s">
        <v>32527</v>
      </c>
    </row>
    <row r="1919" spans="1:24">
      <c r="A1919">
        <f>HYPERLINK("https://www.philgeps.gov.ph/GEPSNONPILOT/Tender/SplashBidNoticeAbstractUI.aspx?menuIndex=3&amp;refID=7046514&amp;Result=3","7046514")</f>
        <v>0</v>
      </c>
      <c r="B1919" t="s">
        <v>767</v>
      </c>
      <c r="C1919" t="s">
        <v>4525</v>
      </c>
      <c r="D1919" t="s">
        <v>12994</v>
      </c>
      <c r="E1919" t="s">
        <v>14826</v>
      </c>
      <c r="F1919" t="s">
        <v>22436</v>
      </c>
      <c r="G1919" t="s">
        <v>22446</v>
      </c>
      <c r="H1919" t="s">
        <v>22452</v>
      </c>
      <c r="I1919" t="s">
        <v>3827</v>
      </c>
      <c r="J1919" t="s">
        <v>23962</v>
      </c>
      <c r="K1919" t="s">
        <v>29341</v>
      </c>
      <c r="M1919" t="s">
        <v>30368</v>
      </c>
      <c r="N1919" t="s">
        <v>32524</v>
      </c>
      <c r="O1919" t="s">
        <v>32525</v>
      </c>
      <c r="P1919">
        <v>0</v>
      </c>
      <c r="Q1919">
        <v>1</v>
      </c>
      <c r="R1919" t="s">
        <v>32526</v>
      </c>
      <c r="S1919" t="s">
        <v>32547</v>
      </c>
      <c r="T1919" t="s">
        <v>33213</v>
      </c>
      <c r="U1919" t="s">
        <v>35263</v>
      </c>
      <c r="W1919" t="s">
        <v>30368</v>
      </c>
      <c r="X1919" t="s">
        <v>32527</v>
      </c>
    </row>
    <row r="1920" spans="1:24">
      <c r="A1920">
        <f>HYPERLINK("https://www.philgeps.gov.ph/GEPSNONPILOT/Tender/SplashBidNoticeAbstractUI.aspx?menuIndex=3&amp;refID=7046532&amp;Result=3","7046532")</f>
        <v>0</v>
      </c>
      <c r="B1920" t="s">
        <v>768</v>
      </c>
      <c r="C1920" t="s">
        <v>4526</v>
      </c>
      <c r="D1920" t="s">
        <v>13046</v>
      </c>
      <c r="E1920" t="s">
        <v>14827</v>
      </c>
      <c r="F1920" t="s">
        <v>22436</v>
      </c>
      <c r="G1920" t="s">
        <v>22443</v>
      </c>
      <c r="H1920" t="s">
        <v>22452</v>
      </c>
      <c r="I1920" t="s">
        <v>22543</v>
      </c>
      <c r="J1920" t="s">
        <v>23963</v>
      </c>
      <c r="K1920" t="s">
        <v>29336</v>
      </c>
      <c r="L1920" t="s">
        <v>768</v>
      </c>
      <c r="M1920" t="s">
        <v>30369</v>
      </c>
      <c r="N1920" t="s">
        <v>32524</v>
      </c>
      <c r="O1920" t="s">
        <v>32525</v>
      </c>
      <c r="P1920">
        <v>0</v>
      </c>
      <c r="Q1920">
        <v>0</v>
      </c>
      <c r="R1920" t="s">
        <v>32526</v>
      </c>
      <c r="S1920" t="s">
        <v>32547</v>
      </c>
      <c r="T1920" t="s">
        <v>33162</v>
      </c>
      <c r="U1920" t="s">
        <v>35264</v>
      </c>
      <c r="V1920" t="s">
        <v>42610</v>
      </c>
      <c r="W1920" t="s">
        <v>30369</v>
      </c>
      <c r="X1920" t="s">
        <v>32527</v>
      </c>
    </row>
    <row r="1921" spans="1:24">
      <c r="A1921">
        <f>HYPERLINK("https://www.philgeps.gov.ph/GEPSNONPILOT/Tender/SplashBidNoticeAbstractUI.aspx?menuIndex=3&amp;refID=7046536&amp;Result=3","7046536")</f>
        <v>0</v>
      </c>
      <c r="B1921" t="s">
        <v>769</v>
      </c>
      <c r="C1921" t="s">
        <v>4527</v>
      </c>
      <c r="D1921" t="s">
        <v>13037</v>
      </c>
      <c r="E1921" t="s">
        <v>14828</v>
      </c>
      <c r="F1921" t="s">
        <v>22436</v>
      </c>
      <c r="G1921" t="s">
        <v>22446</v>
      </c>
      <c r="H1921" t="s">
        <v>22452</v>
      </c>
      <c r="I1921" t="s">
        <v>22471</v>
      </c>
      <c r="J1921" t="s">
        <v>22682</v>
      </c>
      <c r="K1921" t="s">
        <v>29335</v>
      </c>
      <c r="M1921" t="s">
        <v>30370</v>
      </c>
      <c r="N1921" t="s">
        <v>32524</v>
      </c>
      <c r="O1921" t="s">
        <v>32525</v>
      </c>
      <c r="P1921">
        <v>0</v>
      </c>
      <c r="Q1921">
        <v>9</v>
      </c>
      <c r="R1921" t="s">
        <v>32526</v>
      </c>
      <c r="S1921" t="s">
        <v>32547</v>
      </c>
      <c r="T1921" t="s">
        <v>33273</v>
      </c>
      <c r="U1921" t="s">
        <v>35265</v>
      </c>
      <c r="W1921" t="s">
        <v>30370</v>
      </c>
      <c r="X1921" t="s">
        <v>32527</v>
      </c>
    </row>
    <row r="1922" spans="1:24">
      <c r="A1922">
        <f>HYPERLINK("https://www.philgeps.gov.ph/GEPSNONPILOT/Tender/SplashBidNoticeAbstractUI.aspx?menuIndex=3&amp;refID=7046517&amp;Result=3","7046517")</f>
        <v>0</v>
      </c>
      <c r="B1922" t="s">
        <v>770</v>
      </c>
      <c r="C1922" t="s">
        <v>4528</v>
      </c>
      <c r="D1922" t="s">
        <v>12990</v>
      </c>
      <c r="E1922" t="s">
        <v>14829</v>
      </c>
      <c r="F1922" t="s">
        <v>22436</v>
      </c>
      <c r="G1922" t="s">
        <v>22444</v>
      </c>
      <c r="H1922" t="s">
        <v>22454</v>
      </c>
      <c r="I1922" t="s">
        <v>7738</v>
      </c>
      <c r="J1922" t="s">
        <v>23964</v>
      </c>
      <c r="K1922" t="s">
        <v>29337</v>
      </c>
      <c r="M1922" t="s">
        <v>30371</v>
      </c>
      <c r="N1922" t="s">
        <v>32524</v>
      </c>
      <c r="O1922" t="s">
        <v>32525</v>
      </c>
      <c r="P1922">
        <v>0</v>
      </c>
      <c r="Q1922">
        <v>0</v>
      </c>
      <c r="R1922" t="s">
        <v>32526</v>
      </c>
      <c r="S1922" t="s">
        <v>32547</v>
      </c>
      <c r="T1922" t="s">
        <v>33349</v>
      </c>
      <c r="U1922" t="s">
        <v>35266</v>
      </c>
      <c r="W1922" t="s">
        <v>30371</v>
      </c>
      <c r="X1922" t="s">
        <v>32527</v>
      </c>
    </row>
    <row r="1923" spans="1:24">
      <c r="A1923">
        <f>HYPERLINK("https://www.philgeps.gov.ph/GEPSNONPILOT/Tender/SplashBidNoticeAbstractUI.aspx?menuIndex=3&amp;refID=7046535&amp;Result=3","7046535")</f>
        <v>0</v>
      </c>
      <c r="B1923" t="s">
        <v>757</v>
      </c>
      <c r="C1923" t="s">
        <v>4529</v>
      </c>
      <c r="D1923" t="s">
        <v>12992</v>
      </c>
      <c r="E1923" t="s">
        <v>14830</v>
      </c>
      <c r="F1923" t="s">
        <v>22436</v>
      </c>
      <c r="G1923" t="s">
        <v>22443</v>
      </c>
      <c r="H1923" t="s">
        <v>22454</v>
      </c>
      <c r="I1923" t="s">
        <v>22501</v>
      </c>
      <c r="J1923" t="s">
        <v>23965</v>
      </c>
      <c r="K1923" t="s">
        <v>29373</v>
      </c>
      <c r="M1923" t="s">
        <v>30358</v>
      </c>
      <c r="N1923" t="s">
        <v>32524</v>
      </c>
      <c r="O1923" t="s">
        <v>32525</v>
      </c>
      <c r="P1923">
        <v>0</v>
      </c>
      <c r="Q1923">
        <v>0</v>
      </c>
      <c r="R1923" t="s">
        <v>32526</v>
      </c>
      <c r="S1923" t="s">
        <v>32547</v>
      </c>
      <c r="T1923" t="s">
        <v>33155</v>
      </c>
      <c r="U1923" t="s">
        <v>35267</v>
      </c>
      <c r="W1923" t="s">
        <v>30358</v>
      </c>
      <c r="X1923" t="s">
        <v>32527</v>
      </c>
    </row>
    <row r="1924" spans="1:24">
      <c r="A1924">
        <f>HYPERLINK("https://www.philgeps.gov.ph/GEPSNONPILOT/Tender/SplashBidNoticeAbstractUI.aspx?menuIndex=3&amp;refID=7046545&amp;Result=3","7046545")</f>
        <v>0</v>
      </c>
      <c r="B1924" t="s">
        <v>771</v>
      </c>
      <c r="C1924" t="s">
        <v>4530</v>
      </c>
      <c r="D1924" t="s">
        <v>13012</v>
      </c>
      <c r="E1924" t="s">
        <v>14831</v>
      </c>
      <c r="F1924" t="s">
        <v>22436</v>
      </c>
      <c r="G1924" t="s">
        <v>22444</v>
      </c>
      <c r="H1924" t="s">
        <v>22452</v>
      </c>
      <c r="I1924" t="s">
        <v>6421</v>
      </c>
      <c r="J1924" t="s">
        <v>23966</v>
      </c>
      <c r="K1924" t="s">
        <v>29338</v>
      </c>
      <c r="M1924" t="s">
        <v>30372</v>
      </c>
      <c r="N1924" t="s">
        <v>32524</v>
      </c>
      <c r="O1924" t="s">
        <v>32525</v>
      </c>
      <c r="P1924">
        <v>0</v>
      </c>
      <c r="Q1924">
        <v>3</v>
      </c>
      <c r="R1924" t="s">
        <v>32526</v>
      </c>
      <c r="S1924" t="s">
        <v>32547</v>
      </c>
      <c r="T1924" t="s">
        <v>33155</v>
      </c>
      <c r="U1924" t="s">
        <v>35268</v>
      </c>
      <c r="W1924" t="s">
        <v>30372</v>
      </c>
      <c r="X1924" t="s">
        <v>32527</v>
      </c>
    </row>
    <row r="1925" spans="1:24">
      <c r="A1925">
        <f>HYPERLINK("https://www.philgeps.gov.ph/GEPSNONPILOT/Tender/SplashBidNoticeAbstractUI.aspx?menuIndex=3&amp;refID=7046546&amp;Result=3","7046546")</f>
        <v>0</v>
      </c>
      <c r="B1925" t="s">
        <v>716</v>
      </c>
      <c r="C1925" t="s">
        <v>4531</v>
      </c>
      <c r="D1925" t="s">
        <v>13071</v>
      </c>
      <c r="E1925" t="s">
        <v>14832</v>
      </c>
      <c r="F1925" t="s">
        <v>22436</v>
      </c>
      <c r="G1925" t="s">
        <v>22445</v>
      </c>
      <c r="H1925" t="s">
        <v>22452</v>
      </c>
      <c r="I1925" t="s">
        <v>3827</v>
      </c>
      <c r="J1925" t="s">
        <v>23967</v>
      </c>
      <c r="K1925" t="s">
        <v>29336</v>
      </c>
      <c r="M1925" t="s">
        <v>30313</v>
      </c>
      <c r="N1925" t="s">
        <v>32524</v>
      </c>
      <c r="O1925" t="s">
        <v>32525</v>
      </c>
      <c r="P1925">
        <v>0</v>
      </c>
      <c r="Q1925">
        <v>2</v>
      </c>
      <c r="R1925" t="s">
        <v>32526</v>
      </c>
      <c r="S1925" t="s">
        <v>32547</v>
      </c>
      <c r="T1925" t="s">
        <v>33210</v>
      </c>
      <c r="U1925" t="s">
        <v>35269</v>
      </c>
      <c r="W1925" t="s">
        <v>30313</v>
      </c>
      <c r="X1925" t="s">
        <v>32527</v>
      </c>
    </row>
    <row r="1926" spans="1:24">
      <c r="A1926">
        <f>HYPERLINK("https://www.philgeps.gov.ph/GEPSNONPILOT/Tender/SplashBidNoticeAbstractUI.aspx?menuIndex=3&amp;refID=7046544&amp;Result=3","7046544")</f>
        <v>0</v>
      </c>
      <c r="B1926" t="s">
        <v>721</v>
      </c>
      <c r="C1926" t="s">
        <v>4532</v>
      </c>
      <c r="D1926" t="s">
        <v>12990</v>
      </c>
      <c r="E1926" t="s">
        <v>14833</v>
      </c>
      <c r="F1926" t="s">
        <v>22436</v>
      </c>
      <c r="G1926" t="s">
        <v>22444</v>
      </c>
      <c r="H1926" t="s">
        <v>22454</v>
      </c>
      <c r="I1926" t="s">
        <v>7738</v>
      </c>
      <c r="J1926" t="s">
        <v>23968</v>
      </c>
      <c r="K1926" t="s">
        <v>29335</v>
      </c>
      <c r="M1926" t="s">
        <v>30318</v>
      </c>
      <c r="N1926" t="s">
        <v>32524</v>
      </c>
      <c r="O1926" t="s">
        <v>32525</v>
      </c>
      <c r="P1926">
        <v>0</v>
      </c>
      <c r="Q1926">
        <v>0</v>
      </c>
      <c r="R1926" t="s">
        <v>32526</v>
      </c>
      <c r="S1926" t="s">
        <v>32547</v>
      </c>
      <c r="T1926" t="s">
        <v>33182</v>
      </c>
      <c r="U1926" t="s">
        <v>35270</v>
      </c>
      <c r="W1926" t="s">
        <v>30318</v>
      </c>
      <c r="X1926" t="s">
        <v>32527</v>
      </c>
    </row>
    <row r="1927" spans="1:24">
      <c r="A1927">
        <f>HYPERLINK("https://www.philgeps.gov.ph/GEPSNONPILOT/Tender/SplashBidNoticeAbstractUI.aspx?menuIndex=3&amp;refID=7046543&amp;Result=3","7046543")</f>
        <v>0</v>
      </c>
      <c r="B1927" t="s">
        <v>570</v>
      </c>
      <c r="C1927" t="s">
        <v>4533</v>
      </c>
      <c r="D1927" t="s">
        <v>13006</v>
      </c>
      <c r="E1927" t="s">
        <v>14834</v>
      </c>
      <c r="F1927" t="s">
        <v>22436</v>
      </c>
      <c r="G1927" t="s">
        <v>22443</v>
      </c>
      <c r="H1927" t="s">
        <v>22452</v>
      </c>
      <c r="I1927" t="s">
        <v>22502</v>
      </c>
      <c r="J1927" t="s">
        <v>23969</v>
      </c>
      <c r="K1927" t="s">
        <v>29338</v>
      </c>
      <c r="M1927" t="s">
        <v>30158</v>
      </c>
      <c r="N1927" t="s">
        <v>32524</v>
      </c>
      <c r="O1927" t="s">
        <v>32525</v>
      </c>
      <c r="P1927">
        <v>0</v>
      </c>
      <c r="Q1927">
        <v>3</v>
      </c>
      <c r="R1927" t="s">
        <v>32526</v>
      </c>
      <c r="S1927" t="s">
        <v>32547</v>
      </c>
      <c r="T1927" t="s">
        <v>33228</v>
      </c>
      <c r="U1927" t="s">
        <v>35271</v>
      </c>
      <c r="W1927" t="s">
        <v>30158</v>
      </c>
      <c r="X1927" t="s">
        <v>32527</v>
      </c>
    </row>
    <row r="1928" spans="1:24">
      <c r="A1928">
        <f>HYPERLINK("https://www.philgeps.gov.ph/GEPSNONPILOT/Tender/SplashBidNoticeAbstractUI.aspx?menuIndex=3&amp;refID=7046542&amp;Result=3","7046542")</f>
        <v>0</v>
      </c>
      <c r="B1928" t="s">
        <v>772</v>
      </c>
      <c r="C1928" t="s">
        <v>4534</v>
      </c>
      <c r="D1928" t="s">
        <v>13031</v>
      </c>
      <c r="E1928" t="s">
        <v>14835</v>
      </c>
      <c r="F1928" t="s">
        <v>22436</v>
      </c>
      <c r="G1928" t="s">
        <v>22444</v>
      </c>
      <c r="H1928" t="s">
        <v>22454</v>
      </c>
      <c r="I1928" t="s">
        <v>7738</v>
      </c>
      <c r="J1928" t="s">
        <v>22960</v>
      </c>
      <c r="K1928" t="s">
        <v>29333</v>
      </c>
      <c r="M1928" t="s">
        <v>30373</v>
      </c>
      <c r="N1928" t="s">
        <v>32524</v>
      </c>
      <c r="O1928" t="s">
        <v>32525</v>
      </c>
      <c r="P1928">
        <v>0</v>
      </c>
      <c r="Q1928">
        <v>0</v>
      </c>
      <c r="R1928" t="s">
        <v>32526</v>
      </c>
      <c r="S1928" t="s">
        <v>32547</v>
      </c>
      <c r="T1928" t="s">
        <v>33316</v>
      </c>
      <c r="U1928" t="s">
        <v>35272</v>
      </c>
      <c r="W1928" t="s">
        <v>30373</v>
      </c>
      <c r="X1928" t="s">
        <v>32527</v>
      </c>
    </row>
    <row r="1929" spans="1:24">
      <c r="A1929">
        <f>HYPERLINK("https://www.philgeps.gov.ph/GEPSNONPILOT/Tender/SplashBidNoticeAbstractUI.aspx?menuIndex=3&amp;refID=7046552&amp;Result=3","7046552")</f>
        <v>0</v>
      </c>
      <c r="B1929" t="s">
        <v>773</v>
      </c>
      <c r="C1929" t="s">
        <v>4535</v>
      </c>
      <c r="D1929" t="s">
        <v>13003</v>
      </c>
      <c r="E1929" t="s">
        <v>14836</v>
      </c>
      <c r="F1929" t="s">
        <v>22436</v>
      </c>
      <c r="G1929" t="s">
        <v>22444</v>
      </c>
      <c r="H1929" t="s">
        <v>22454</v>
      </c>
      <c r="I1929" t="s">
        <v>7738</v>
      </c>
      <c r="J1929" t="s">
        <v>23970</v>
      </c>
      <c r="K1929" t="s">
        <v>29417</v>
      </c>
      <c r="L1929" t="s">
        <v>773</v>
      </c>
      <c r="M1929" t="s">
        <v>30374</v>
      </c>
      <c r="N1929" t="s">
        <v>32524</v>
      </c>
      <c r="O1929" t="s">
        <v>32525</v>
      </c>
      <c r="P1929">
        <v>0</v>
      </c>
      <c r="Q1929">
        <v>0</v>
      </c>
      <c r="R1929" t="s">
        <v>32526</v>
      </c>
      <c r="S1929" t="s">
        <v>32547</v>
      </c>
      <c r="T1929" t="s">
        <v>33165</v>
      </c>
      <c r="U1929" t="s">
        <v>35273</v>
      </c>
      <c r="V1929" t="s">
        <v>42611</v>
      </c>
      <c r="W1929" t="s">
        <v>30374</v>
      </c>
      <c r="X1929" t="s">
        <v>32527</v>
      </c>
    </row>
    <row r="1930" spans="1:24">
      <c r="A1930">
        <f>HYPERLINK("https://www.philgeps.gov.ph/GEPSNONPILOT/Tender/SplashBidNoticeAbstractUI.aspx?menuIndex=3&amp;refID=7046541&amp;Result=3","7046541")</f>
        <v>0</v>
      </c>
      <c r="B1930" t="s">
        <v>764</v>
      </c>
      <c r="C1930" t="s">
        <v>4536</v>
      </c>
      <c r="D1930" t="s">
        <v>13000</v>
      </c>
      <c r="E1930" t="s">
        <v>14837</v>
      </c>
      <c r="F1930" t="s">
        <v>22436</v>
      </c>
      <c r="G1930" t="s">
        <v>22444</v>
      </c>
      <c r="H1930" t="s">
        <v>22454</v>
      </c>
      <c r="I1930" t="s">
        <v>3529</v>
      </c>
      <c r="J1930" t="s">
        <v>22802</v>
      </c>
      <c r="K1930" t="s">
        <v>29331</v>
      </c>
      <c r="M1930" t="s">
        <v>30365</v>
      </c>
      <c r="N1930" t="s">
        <v>32524</v>
      </c>
      <c r="O1930" t="s">
        <v>32525</v>
      </c>
      <c r="P1930">
        <v>0</v>
      </c>
      <c r="Q1930">
        <v>0</v>
      </c>
      <c r="R1930" t="s">
        <v>32526</v>
      </c>
      <c r="S1930" t="s">
        <v>32547</v>
      </c>
      <c r="T1930" t="s">
        <v>33153</v>
      </c>
      <c r="U1930" t="s">
        <v>35274</v>
      </c>
      <c r="W1930" t="s">
        <v>30365</v>
      </c>
      <c r="X1930" t="s">
        <v>32527</v>
      </c>
    </row>
    <row r="1931" spans="1:24">
      <c r="A1931">
        <f>HYPERLINK("https://www.philgeps.gov.ph/GEPSNONPILOT/Tender/SplashBidNoticeAbstractUI.aspx?menuIndex=3&amp;refID=7046538&amp;Result=3","7046538")</f>
        <v>0</v>
      </c>
      <c r="B1931" t="s">
        <v>774</v>
      </c>
      <c r="C1931" t="s">
        <v>4537</v>
      </c>
      <c r="E1931" t="s">
        <v>14838</v>
      </c>
      <c r="F1931" t="s">
        <v>22436</v>
      </c>
      <c r="G1931" t="s">
        <v>22444</v>
      </c>
      <c r="H1931" t="s">
        <v>22455</v>
      </c>
      <c r="I1931" t="s">
        <v>22455</v>
      </c>
      <c r="J1931" t="s">
        <v>23971</v>
      </c>
      <c r="K1931" t="s">
        <v>29375</v>
      </c>
      <c r="M1931" t="s">
        <v>30375</v>
      </c>
      <c r="N1931" t="s">
        <v>32524</v>
      </c>
      <c r="O1931" t="s">
        <v>32525</v>
      </c>
      <c r="P1931">
        <v>0</v>
      </c>
      <c r="Q1931">
        <v>6</v>
      </c>
      <c r="R1931" t="s">
        <v>32526</v>
      </c>
      <c r="S1931" t="s">
        <v>32547</v>
      </c>
      <c r="T1931" t="s">
        <v>33175</v>
      </c>
      <c r="U1931" t="s">
        <v>35275</v>
      </c>
      <c r="W1931" t="s">
        <v>30375</v>
      </c>
      <c r="X1931" t="s">
        <v>32527</v>
      </c>
    </row>
    <row r="1932" spans="1:24">
      <c r="A1932">
        <f>HYPERLINK("https://www.philgeps.gov.ph/GEPSNONPILOT/Tender/SplashBidNoticeAbstractUI.aspx?menuIndex=3&amp;refID=7046557&amp;Result=3","7046557")</f>
        <v>0</v>
      </c>
      <c r="B1932" t="s">
        <v>88</v>
      </c>
      <c r="C1932" t="s">
        <v>4538</v>
      </c>
      <c r="D1932" t="s">
        <v>13025</v>
      </c>
      <c r="E1932" t="s">
        <v>14839</v>
      </c>
      <c r="F1932" t="s">
        <v>22436</v>
      </c>
      <c r="G1932" t="s">
        <v>22443</v>
      </c>
      <c r="H1932" t="s">
        <v>22452</v>
      </c>
      <c r="I1932" t="s">
        <v>22482</v>
      </c>
      <c r="J1932" t="s">
        <v>23972</v>
      </c>
      <c r="K1932" t="s">
        <v>29338</v>
      </c>
      <c r="M1932" t="s">
        <v>29660</v>
      </c>
      <c r="N1932" t="s">
        <v>32524</v>
      </c>
      <c r="O1932" t="s">
        <v>32525</v>
      </c>
      <c r="P1932">
        <v>0</v>
      </c>
      <c r="Q1932">
        <v>0</v>
      </c>
      <c r="R1932" t="s">
        <v>32526</v>
      </c>
      <c r="S1932" t="s">
        <v>32547</v>
      </c>
      <c r="T1932" t="s">
        <v>33196</v>
      </c>
      <c r="U1932" t="s">
        <v>35276</v>
      </c>
      <c r="W1932" t="s">
        <v>29660</v>
      </c>
      <c r="X1932" t="s">
        <v>32527</v>
      </c>
    </row>
    <row r="1933" spans="1:24">
      <c r="A1933">
        <f>HYPERLINK("https://www.philgeps.gov.ph/GEPSNONPILOT/Tender/SplashBidNoticeAbstractUI.aspx?menuIndex=3&amp;refID=7046549&amp;Result=3","7046549")</f>
        <v>0</v>
      </c>
      <c r="B1933" t="s">
        <v>775</v>
      </c>
      <c r="C1933" t="s">
        <v>4539</v>
      </c>
      <c r="E1933" t="s">
        <v>14840</v>
      </c>
      <c r="F1933" t="s">
        <v>22436</v>
      </c>
      <c r="G1933" t="s">
        <v>22443</v>
      </c>
      <c r="H1933" t="s">
        <v>22452</v>
      </c>
      <c r="I1933" t="s">
        <v>6421</v>
      </c>
      <c r="J1933" t="s">
        <v>23226</v>
      </c>
      <c r="K1933" t="s">
        <v>29341</v>
      </c>
      <c r="M1933" t="s">
        <v>30376</v>
      </c>
      <c r="N1933" t="s">
        <v>32524</v>
      </c>
      <c r="O1933" t="s">
        <v>32525</v>
      </c>
      <c r="P1933">
        <v>0</v>
      </c>
      <c r="Q1933">
        <v>0</v>
      </c>
      <c r="R1933" t="s">
        <v>32526</v>
      </c>
      <c r="S1933" t="s">
        <v>32547</v>
      </c>
      <c r="T1933" t="s">
        <v>33161</v>
      </c>
      <c r="U1933" t="s">
        <v>35277</v>
      </c>
      <c r="W1933" t="s">
        <v>30376</v>
      </c>
      <c r="X1933" t="s">
        <v>32527</v>
      </c>
    </row>
    <row r="1934" spans="1:24">
      <c r="A1934">
        <f>HYPERLINK("https://www.philgeps.gov.ph/GEPSNONPILOT/Tender/SplashBidNoticeAbstractUI.aspx?menuIndex=3&amp;refID=7046556&amp;Result=3","7046556")</f>
        <v>0</v>
      </c>
      <c r="B1934" t="s">
        <v>597</v>
      </c>
      <c r="C1934" t="s">
        <v>4540</v>
      </c>
      <c r="D1934" t="s">
        <v>13006</v>
      </c>
      <c r="E1934" t="s">
        <v>14841</v>
      </c>
      <c r="F1934" t="s">
        <v>22436</v>
      </c>
      <c r="G1934" t="s">
        <v>22443</v>
      </c>
      <c r="H1934" t="s">
        <v>22452</v>
      </c>
      <c r="I1934" t="s">
        <v>22476</v>
      </c>
      <c r="J1934" t="s">
        <v>23829</v>
      </c>
      <c r="K1934" t="s">
        <v>29331</v>
      </c>
      <c r="M1934" t="s">
        <v>30187</v>
      </c>
      <c r="N1934" t="s">
        <v>32524</v>
      </c>
      <c r="O1934" t="s">
        <v>32525</v>
      </c>
      <c r="P1934">
        <v>0</v>
      </c>
      <c r="Q1934">
        <v>1</v>
      </c>
      <c r="R1934" t="s">
        <v>32526</v>
      </c>
      <c r="S1934" t="s">
        <v>32547</v>
      </c>
      <c r="T1934" t="s">
        <v>33167</v>
      </c>
      <c r="U1934" t="s">
        <v>35278</v>
      </c>
      <c r="V1934" t="s">
        <v>42612</v>
      </c>
      <c r="W1934" t="s">
        <v>30187</v>
      </c>
      <c r="X1934" t="s">
        <v>32527</v>
      </c>
    </row>
    <row r="1935" spans="1:24">
      <c r="A1935">
        <f>HYPERLINK("https://www.philgeps.gov.ph/GEPSNONPILOT/Tender/SplashBidNoticeAbstractUI.aspx?menuIndex=3&amp;refID=7046550&amp;Result=3","7046550")</f>
        <v>0</v>
      </c>
      <c r="B1935" t="s">
        <v>347</v>
      </c>
      <c r="C1935" t="s">
        <v>4541</v>
      </c>
      <c r="D1935" t="s">
        <v>13013</v>
      </c>
      <c r="E1935" t="s">
        <v>14083</v>
      </c>
      <c r="F1935" t="s">
        <v>22436</v>
      </c>
      <c r="G1935" t="s">
        <v>22443</v>
      </c>
      <c r="H1935" t="s">
        <v>22452</v>
      </c>
      <c r="I1935" t="s">
        <v>3529</v>
      </c>
      <c r="J1935" t="s">
        <v>23973</v>
      </c>
      <c r="K1935" t="s">
        <v>29338</v>
      </c>
      <c r="M1935" t="s">
        <v>29923</v>
      </c>
      <c r="N1935" t="s">
        <v>32524</v>
      </c>
      <c r="O1935" t="s">
        <v>32525</v>
      </c>
      <c r="P1935">
        <v>0</v>
      </c>
      <c r="Q1935">
        <v>0</v>
      </c>
      <c r="R1935" t="s">
        <v>32526</v>
      </c>
      <c r="S1935" t="s">
        <v>32547</v>
      </c>
      <c r="T1935" t="s">
        <v>33250</v>
      </c>
      <c r="U1935" t="s">
        <v>35279</v>
      </c>
      <c r="W1935" t="s">
        <v>29923</v>
      </c>
      <c r="X1935" t="s">
        <v>32527</v>
      </c>
    </row>
    <row r="1936" spans="1:24">
      <c r="A1936">
        <f>HYPERLINK("https://www.philgeps.gov.ph/GEPSNONPILOT/Tender/SplashBidNoticeAbstractUI.aspx?menuIndex=3&amp;refID=7046537&amp;Result=3","7046537")</f>
        <v>0</v>
      </c>
      <c r="B1936" t="s">
        <v>760</v>
      </c>
      <c r="C1936" t="s">
        <v>4542</v>
      </c>
      <c r="D1936" t="s">
        <v>13051</v>
      </c>
      <c r="E1936" t="s">
        <v>14842</v>
      </c>
      <c r="F1936" t="s">
        <v>22436</v>
      </c>
      <c r="G1936" t="s">
        <v>22445</v>
      </c>
      <c r="H1936" t="s">
        <v>22452</v>
      </c>
      <c r="I1936" t="s">
        <v>22469</v>
      </c>
      <c r="J1936" t="s">
        <v>23974</v>
      </c>
      <c r="K1936" t="s">
        <v>29341</v>
      </c>
      <c r="M1936" t="s">
        <v>30361</v>
      </c>
      <c r="N1936" t="s">
        <v>32524</v>
      </c>
      <c r="O1936" t="s">
        <v>32525</v>
      </c>
      <c r="P1936">
        <v>0</v>
      </c>
      <c r="Q1936">
        <v>2</v>
      </c>
      <c r="R1936" t="s">
        <v>32526</v>
      </c>
      <c r="S1936" t="s">
        <v>32547</v>
      </c>
      <c r="T1936" t="s">
        <v>33197</v>
      </c>
      <c r="U1936" t="s">
        <v>35280</v>
      </c>
      <c r="W1936" t="s">
        <v>30361</v>
      </c>
      <c r="X1936" t="s">
        <v>32527</v>
      </c>
    </row>
    <row r="1937" spans="1:24">
      <c r="A1937">
        <f>HYPERLINK("https://www.philgeps.gov.ph/GEPSNONPILOT/Tender/SplashBidNoticeAbstractUI.aspx?menuIndex=3&amp;refID=7046554&amp;Result=3","7046554")</f>
        <v>0</v>
      </c>
      <c r="B1937" t="s">
        <v>764</v>
      </c>
      <c r="C1937" t="s">
        <v>4543</v>
      </c>
      <c r="D1937" t="s">
        <v>13000</v>
      </c>
      <c r="E1937" t="s">
        <v>14843</v>
      </c>
      <c r="F1937" t="s">
        <v>22436</v>
      </c>
      <c r="G1937" t="s">
        <v>22444</v>
      </c>
      <c r="H1937" t="s">
        <v>22454</v>
      </c>
      <c r="I1937" t="s">
        <v>3529</v>
      </c>
      <c r="J1937" t="s">
        <v>22802</v>
      </c>
      <c r="K1937" t="s">
        <v>29341</v>
      </c>
      <c r="M1937" t="s">
        <v>30365</v>
      </c>
      <c r="N1937" t="s">
        <v>32524</v>
      </c>
      <c r="O1937" t="s">
        <v>32525</v>
      </c>
      <c r="P1937">
        <v>0</v>
      </c>
      <c r="Q1937">
        <v>0</v>
      </c>
      <c r="R1937" t="s">
        <v>32526</v>
      </c>
      <c r="S1937" t="s">
        <v>32547</v>
      </c>
      <c r="T1937" t="s">
        <v>33153</v>
      </c>
      <c r="U1937" t="s">
        <v>35281</v>
      </c>
      <c r="W1937" t="s">
        <v>30365</v>
      </c>
      <c r="X1937" t="s">
        <v>32527</v>
      </c>
    </row>
    <row r="1938" spans="1:24">
      <c r="A1938">
        <f>HYPERLINK("https://www.philgeps.gov.ph/GEPSNONPILOT/Tender/SplashBidNoticeAbstractUI.aspx?menuIndex=3&amp;refID=7046553&amp;Result=3","7046553")</f>
        <v>0</v>
      </c>
      <c r="B1938" t="s">
        <v>776</v>
      </c>
      <c r="C1938" t="s">
        <v>4544</v>
      </c>
      <c r="D1938" t="s">
        <v>13045</v>
      </c>
      <c r="E1938" t="s">
        <v>14844</v>
      </c>
      <c r="F1938" t="s">
        <v>22436</v>
      </c>
      <c r="G1938" t="s">
        <v>22444</v>
      </c>
      <c r="H1938" t="s">
        <v>22452</v>
      </c>
      <c r="I1938" t="s">
        <v>3529</v>
      </c>
      <c r="J1938" t="s">
        <v>23975</v>
      </c>
      <c r="K1938" t="s">
        <v>29341</v>
      </c>
      <c r="M1938" t="s">
        <v>30377</v>
      </c>
      <c r="N1938" t="s">
        <v>32524</v>
      </c>
      <c r="O1938" t="s">
        <v>32525</v>
      </c>
      <c r="P1938">
        <v>0</v>
      </c>
      <c r="Q1938">
        <v>0</v>
      </c>
      <c r="R1938" t="s">
        <v>32526</v>
      </c>
      <c r="S1938" t="s">
        <v>32547</v>
      </c>
      <c r="T1938" t="s">
        <v>33190</v>
      </c>
      <c r="U1938" t="s">
        <v>35282</v>
      </c>
      <c r="W1938" t="s">
        <v>30377</v>
      </c>
      <c r="X1938" t="s">
        <v>32527</v>
      </c>
    </row>
    <row r="1939" spans="1:24">
      <c r="A1939">
        <f>HYPERLINK("https://www.philgeps.gov.ph/GEPSNONPILOT/Tender/SplashBidNoticeAbstractUI.aspx?menuIndex=3&amp;refID=7046555&amp;Result=3","7046555")</f>
        <v>0</v>
      </c>
      <c r="B1939" t="s">
        <v>777</v>
      </c>
      <c r="C1939" t="s">
        <v>4545</v>
      </c>
      <c r="D1939" t="s">
        <v>13043</v>
      </c>
      <c r="E1939" t="s">
        <v>14845</v>
      </c>
      <c r="F1939" t="s">
        <v>22436</v>
      </c>
      <c r="G1939" t="s">
        <v>22443</v>
      </c>
      <c r="H1939" t="s">
        <v>22452</v>
      </c>
      <c r="I1939" t="s">
        <v>22460</v>
      </c>
      <c r="J1939" t="s">
        <v>22865</v>
      </c>
      <c r="K1939" t="s">
        <v>29336</v>
      </c>
      <c r="M1939" t="s">
        <v>30378</v>
      </c>
      <c r="N1939" t="s">
        <v>32524</v>
      </c>
      <c r="O1939" t="s">
        <v>32525</v>
      </c>
      <c r="P1939">
        <v>0</v>
      </c>
      <c r="Q1939">
        <v>0</v>
      </c>
      <c r="R1939" t="s">
        <v>32526</v>
      </c>
      <c r="S1939" t="s">
        <v>32547</v>
      </c>
      <c r="T1939" t="s">
        <v>33154</v>
      </c>
      <c r="U1939" t="s">
        <v>35283</v>
      </c>
      <c r="W1939" t="s">
        <v>30378</v>
      </c>
      <c r="X1939" t="s">
        <v>32527</v>
      </c>
    </row>
    <row r="1940" spans="1:24">
      <c r="A1940">
        <f>HYPERLINK("https://www.philgeps.gov.ph/GEPSNONPILOT/Tender/SplashBidNoticeAbstractUI.aspx?menuIndex=3&amp;refID=7046539&amp;Result=3","7046539")</f>
        <v>0</v>
      </c>
      <c r="B1940" t="s">
        <v>778</v>
      </c>
      <c r="C1940" t="s">
        <v>4546</v>
      </c>
      <c r="D1940" t="s">
        <v>13021</v>
      </c>
      <c r="E1940" t="s">
        <v>14846</v>
      </c>
      <c r="F1940" t="s">
        <v>22436</v>
      </c>
      <c r="G1940" t="s">
        <v>22444</v>
      </c>
      <c r="H1940" t="s">
        <v>22454</v>
      </c>
      <c r="I1940" t="s">
        <v>7738</v>
      </c>
      <c r="J1940" t="s">
        <v>22779</v>
      </c>
      <c r="K1940" t="s">
        <v>29345</v>
      </c>
      <c r="M1940" t="s">
        <v>30379</v>
      </c>
      <c r="N1940" t="s">
        <v>32524</v>
      </c>
      <c r="O1940" t="s">
        <v>32525</v>
      </c>
      <c r="P1940">
        <v>0</v>
      </c>
      <c r="Q1940">
        <v>1</v>
      </c>
      <c r="R1940" t="s">
        <v>32526</v>
      </c>
      <c r="S1940" t="s">
        <v>32547</v>
      </c>
      <c r="T1940" t="s">
        <v>33307</v>
      </c>
      <c r="U1940" t="s">
        <v>35284</v>
      </c>
      <c r="W1940" t="s">
        <v>30379</v>
      </c>
      <c r="X1940" t="s">
        <v>32527</v>
      </c>
    </row>
    <row r="1941" spans="1:24">
      <c r="A1941">
        <f>HYPERLINK("https://www.philgeps.gov.ph/GEPSNONPILOT/Tender/SplashBidNoticeAbstractUI.aspx?menuIndex=3&amp;refID=7046559&amp;Result=3","7046559")</f>
        <v>0</v>
      </c>
      <c r="B1941" t="s">
        <v>779</v>
      </c>
      <c r="C1941" t="s">
        <v>4547</v>
      </c>
      <c r="D1941" t="s">
        <v>13062</v>
      </c>
      <c r="E1941" t="s">
        <v>14847</v>
      </c>
      <c r="F1941" t="s">
        <v>22436</v>
      </c>
      <c r="G1941" t="s">
        <v>22443</v>
      </c>
      <c r="H1941" t="s">
        <v>22452</v>
      </c>
      <c r="I1941" t="s">
        <v>3381</v>
      </c>
      <c r="J1941" t="s">
        <v>22853</v>
      </c>
      <c r="K1941" t="s">
        <v>29333</v>
      </c>
      <c r="M1941" t="s">
        <v>30380</v>
      </c>
      <c r="N1941" t="s">
        <v>32524</v>
      </c>
      <c r="O1941" t="s">
        <v>32525</v>
      </c>
      <c r="P1941">
        <v>0</v>
      </c>
      <c r="Q1941">
        <v>2</v>
      </c>
      <c r="R1941" t="s">
        <v>32526</v>
      </c>
      <c r="S1941" t="s">
        <v>32547</v>
      </c>
      <c r="T1941" t="s">
        <v>33206</v>
      </c>
      <c r="U1941" t="s">
        <v>35285</v>
      </c>
      <c r="W1941" t="s">
        <v>30380</v>
      </c>
      <c r="X1941" t="s">
        <v>32527</v>
      </c>
    </row>
    <row r="1942" spans="1:24">
      <c r="A1942">
        <f>HYPERLINK("https://www.philgeps.gov.ph/GEPSNONPILOT/Tender/SplashBidNoticeAbstractUI.aspx?menuIndex=3&amp;refID=7046547&amp;Result=3","7046547")</f>
        <v>0</v>
      </c>
      <c r="B1942" t="s">
        <v>722</v>
      </c>
      <c r="C1942" t="s">
        <v>4548</v>
      </c>
      <c r="D1942" t="s">
        <v>13007</v>
      </c>
      <c r="E1942" t="s">
        <v>14848</v>
      </c>
      <c r="F1942" t="s">
        <v>22436</v>
      </c>
      <c r="G1942" t="s">
        <v>22443</v>
      </c>
      <c r="H1942" t="s">
        <v>22452</v>
      </c>
      <c r="I1942" t="s">
        <v>5194</v>
      </c>
      <c r="J1942" t="s">
        <v>23976</v>
      </c>
      <c r="K1942" t="s">
        <v>29336</v>
      </c>
      <c r="M1942" t="s">
        <v>30319</v>
      </c>
      <c r="N1942" t="s">
        <v>32524</v>
      </c>
      <c r="O1942" t="s">
        <v>32525</v>
      </c>
      <c r="P1942">
        <v>0</v>
      </c>
      <c r="Q1942">
        <v>1</v>
      </c>
      <c r="R1942" t="s">
        <v>32526</v>
      </c>
      <c r="S1942" t="s">
        <v>32547</v>
      </c>
      <c r="T1942" t="s">
        <v>33215</v>
      </c>
      <c r="U1942" t="s">
        <v>35286</v>
      </c>
      <c r="W1942" t="s">
        <v>30319</v>
      </c>
      <c r="X1942" t="s">
        <v>32527</v>
      </c>
    </row>
    <row r="1943" spans="1:24">
      <c r="A1943">
        <f>HYPERLINK("https://www.philgeps.gov.ph/GEPSNONPILOT/Tender/SplashBidNoticeAbstractUI.aspx?menuIndex=3&amp;refID=7046568&amp;Result=3","7046568")</f>
        <v>0</v>
      </c>
      <c r="B1943" t="s">
        <v>741</v>
      </c>
      <c r="C1943" t="s">
        <v>4549</v>
      </c>
      <c r="D1943" t="s">
        <v>13019</v>
      </c>
      <c r="E1943" t="s">
        <v>13278</v>
      </c>
      <c r="F1943" t="s">
        <v>22436</v>
      </c>
      <c r="G1943" t="s">
        <v>22444</v>
      </c>
      <c r="H1943" t="s">
        <v>22454</v>
      </c>
      <c r="I1943" t="s">
        <v>7738</v>
      </c>
      <c r="J1943" t="s">
        <v>23111</v>
      </c>
      <c r="K1943" t="s">
        <v>29388</v>
      </c>
      <c r="M1943" t="s">
        <v>30342</v>
      </c>
      <c r="N1943" t="s">
        <v>32524</v>
      </c>
      <c r="O1943" t="s">
        <v>32525</v>
      </c>
      <c r="P1943">
        <v>0</v>
      </c>
      <c r="Q1943">
        <v>0</v>
      </c>
      <c r="R1943" t="s">
        <v>32526</v>
      </c>
      <c r="S1943" t="s">
        <v>32547</v>
      </c>
      <c r="T1943" t="s">
        <v>33164</v>
      </c>
      <c r="U1943" t="s">
        <v>35287</v>
      </c>
      <c r="W1943" t="s">
        <v>30342</v>
      </c>
      <c r="X1943" t="s">
        <v>32527</v>
      </c>
    </row>
    <row r="1944" spans="1:24">
      <c r="A1944">
        <f>HYPERLINK("https://www.philgeps.gov.ph/GEPSNONPILOT/Tender/SplashBidNoticeAbstractUI.aspx?menuIndex=3&amp;refID=7046565&amp;Result=3","7046565")</f>
        <v>0</v>
      </c>
      <c r="B1944" t="s">
        <v>760</v>
      </c>
      <c r="C1944" t="s">
        <v>4550</v>
      </c>
      <c r="D1944" t="s">
        <v>13051</v>
      </c>
      <c r="E1944" t="s">
        <v>14849</v>
      </c>
      <c r="F1944" t="s">
        <v>22436</v>
      </c>
      <c r="G1944" t="s">
        <v>22445</v>
      </c>
      <c r="H1944" t="s">
        <v>22452</v>
      </c>
      <c r="I1944" t="s">
        <v>22469</v>
      </c>
      <c r="J1944" t="s">
        <v>23008</v>
      </c>
      <c r="K1944" t="s">
        <v>29341</v>
      </c>
      <c r="M1944" t="s">
        <v>30361</v>
      </c>
      <c r="N1944" t="s">
        <v>32524</v>
      </c>
      <c r="O1944" t="s">
        <v>32525</v>
      </c>
      <c r="P1944">
        <v>0</v>
      </c>
      <c r="Q1944">
        <v>1</v>
      </c>
      <c r="R1944" t="s">
        <v>32526</v>
      </c>
      <c r="S1944" t="s">
        <v>32547</v>
      </c>
      <c r="T1944" t="s">
        <v>33197</v>
      </c>
      <c r="U1944" t="s">
        <v>35288</v>
      </c>
      <c r="W1944" t="s">
        <v>30361</v>
      </c>
      <c r="X1944" t="s">
        <v>32527</v>
      </c>
    </row>
    <row r="1945" spans="1:24">
      <c r="A1945">
        <f>HYPERLINK("https://www.philgeps.gov.ph/GEPSNONPILOT/Tender/SplashBidNoticeAbstractUI.aspx?menuIndex=3&amp;refID=7046566&amp;Result=3","7046566")</f>
        <v>0</v>
      </c>
      <c r="B1945" t="s">
        <v>347</v>
      </c>
      <c r="C1945" t="s">
        <v>4551</v>
      </c>
      <c r="D1945" t="s">
        <v>13013</v>
      </c>
      <c r="E1945" t="s">
        <v>14850</v>
      </c>
      <c r="F1945" t="s">
        <v>22436</v>
      </c>
      <c r="G1945" t="s">
        <v>22443</v>
      </c>
      <c r="H1945" t="s">
        <v>22452</v>
      </c>
      <c r="I1945" t="s">
        <v>2981</v>
      </c>
      <c r="J1945" t="s">
        <v>23977</v>
      </c>
      <c r="K1945" t="s">
        <v>29338</v>
      </c>
      <c r="M1945" t="s">
        <v>29923</v>
      </c>
      <c r="N1945" t="s">
        <v>32524</v>
      </c>
      <c r="O1945" t="s">
        <v>32525</v>
      </c>
      <c r="P1945">
        <v>0</v>
      </c>
      <c r="Q1945">
        <v>0</v>
      </c>
      <c r="R1945" t="s">
        <v>32526</v>
      </c>
      <c r="S1945" t="s">
        <v>32547</v>
      </c>
      <c r="T1945" t="s">
        <v>33250</v>
      </c>
      <c r="U1945" t="s">
        <v>35289</v>
      </c>
      <c r="W1945" t="s">
        <v>29923</v>
      </c>
      <c r="X1945" t="s">
        <v>32527</v>
      </c>
    </row>
    <row r="1946" spans="1:24">
      <c r="A1946">
        <f>HYPERLINK("https://www.philgeps.gov.ph/GEPSNONPILOT/Tender/SplashBidNoticeAbstractUI.aspx?menuIndex=3&amp;refID=7046564&amp;Result=3","7046564")</f>
        <v>0</v>
      </c>
      <c r="B1946" t="s">
        <v>742</v>
      </c>
      <c r="C1946" t="s">
        <v>4552</v>
      </c>
      <c r="D1946" t="s">
        <v>13000</v>
      </c>
      <c r="E1946" t="s">
        <v>14851</v>
      </c>
      <c r="F1946" t="s">
        <v>22436</v>
      </c>
      <c r="G1946" t="s">
        <v>22444</v>
      </c>
      <c r="H1946" t="s">
        <v>22454</v>
      </c>
      <c r="I1946" t="s">
        <v>7738</v>
      </c>
      <c r="J1946" t="s">
        <v>22788</v>
      </c>
      <c r="K1946" t="s">
        <v>29418</v>
      </c>
      <c r="M1946" t="s">
        <v>30343</v>
      </c>
      <c r="N1946" t="s">
        <v>32524</v>
      </c>
      <c r="O1946" t="s">
        <v>32525</v>
      </c>
      <c r="P1946">
        <v>0</v>
      </c>
      <c r="Q1946">
        <v>0</v>
      </c>
      <c r="R1946" t="s">
        <v>32526</v>
      </c>
      <c r="S1946" t="s">
        <v>32547</v>
      </c>
      <c r="T1946" t="s">
        <v>33171</v>
      </c>
      <c r="U1946" t="s">
        <v>35290</v>
      </c>
      <c r="W1946" t="s">
        <v>30343</v>
      </c>
      <c r="X1946" t="s">
        <v>32527</v>
      </c>
    </row>
    <row r="1947" spans="1:24">
      <c r="A1947">
        <f>HYPERLINK("https://www.philgeps.gov.ph/GEPSNONPILOT/Tender/SplashBidNoticeAbstractUI.aspx?menuIndex=3&amp;refID=7046567&amp;Result=3","7046567")</f>
        <v>0</v>
      </c>
      <c r="B1947" t="s">
        <v>687</v>
      </c>
      <c r="C1947" t="s">
        <v>4553</v>
      </c>
      <c r="E1947" t="s">
        <v>14852</v>
      </c>
      <c r="F1947" t="s">
        <v>22436</v>
      </c>
      <c r="G1947" t="s">
        <v>22444</v>
      </c>
      <c r="H1947" t="s">
        <v>22452</v>
      </c>
      <c r="I1947" t="s">
        <v>22504</v>
      </c>
      <c r="J1947" t="s">
        <v>23978</v>
      </c>
      <c r="K1947" t="s">
        <v>29362</v>
      </c>
      <c r="M1947" t="s">
        <v>30281</v>
      </c>
      <c r="N1947" t="s">
        <v>32524</v>
      </c>
      <c r="O1947" t="s">
        <v>32525</v>
      </c>
      <c r="P1947">
        <v>0</v>
      </c>
      <c r="Q1947">
        <v>7</v>
      </c>
      <c r="R1947" t="s">
        <v>32526</v>
      </c>
      <c r="S1947" t="s">
        <v>32547</v>
      </c>
      <c r="T1947" t="s">
        <v>33157</v>
      </c>
      <c r="U1947" t="s">
        <v>35291</v>
      </c>
      <c r="W1947" t="s">
        <v>30281</v>
      </c>
      <c r="X1947" t="s">
        <v>32527</v>
      </c>
    </row>
    <row r="1948" spans="1:24">
      <c r="A1948">
        <f>HYPERLINK("https://www.philgeps.gov.ph/GEPSNONPILOT/Tender/SplashBidNoticeAbstractUI.aspx?menuIndex=3&amp;refID=7046574&amp;Result=3","7046574")</f>
        <v>0</v>
      </c>
      <c r="B1948" t="s">
        <v>771</v>
      </c>
      <c r="C1948" t="s">
        <v>4554</v>
      </c>
      <c r="D1948" t="s">
        <v>13012</v>
      </c>
      <c r="E1948" t="s">
        <v>14853</v>
      </c>
      <c r="F1948" t="s">
        <v>22436</v>
      </c>
      <c r="G1948" t="s">
        <v>22443</v>
      </c>
      <c r="H1948" t="s">
        <v>22452</v>
      </c>
      <c r="I1948" t="s">
        <v>12358</v>
      </c>
      <c r="J1948" t="s">
        <v>23096</v>
      </c>
      <c r="K1948" t="s">
        <v>29338</v>
      </c>
      <c r="M1948" t="s">
        <v>30372</v>
      </c>
      <c r="N1948" t="s">
        <v>32524</v>
      </c>
      <c r="O1948" t="s">
        <v>32525</v>
      </c>
      <c r="P1948">
        <v>0</v>
      </c>
      <c r="Q1948">
        <v>0</v>
      </c>
      <c r="R1948" t="s">
        <v>32526</v>
      </c>
      <c r="S1948" t="s">
        <v>32547</v>
      </c>
      <c r="T1948" t="s">
        <v>33155</v>
      </c>
      <c r="U1948" t="s">
        <v>35268</v>
      </c>
      <c r="W1948" t="s">
        <v>30372</v>
      </c>
      <c r="X1948" t="s">
        <v>32527</v>
      </c>
    </row>
    <row r="1949" spans="1:24">
      <c r="A1949">
        <f>HYPERLINK("https://www.philgeps.gov.ph/GEPSNONPILOT/Tender/SplashBidNoticeAbstractUI.aspx?menuIndex=3&amp;refID=7046580&amp;Result=3","7046580")</f>
        <v>0</v>
      </c>
      <c r="B1949" t="s">
        <v>677</v>
      </c>
      <c r="C1949" t="s">
        <v>4555</v>
      </c>
      <c r="D1949" t="s">
        <v>12999</v>
      </c>
      <c r="E1949" t="s">
        <v>14854</v>
      </c>
      <c r="F1949" t="s">
        <v>22436</v>
      </c>
      <c r="G1949" t="s">
        <v>22446</v>
      </c>
      <c r="H1949" t="s">
        <v>22452</v>
      </c>
      <c r="I1949" t="s">
        <v>22484</v>
      </c>
      <c r="J1949" t="s">
        <v>23979</v>
      </c>
      <c r="K1949" t="s">
        <v>29338</v>
      </c>
      <c r="M1949" t="s">
        <v>30271</v>
      </c>
      <c r="N1949" t="s">
        <v>32524</v>
      </c>
      <c r="O1949" t="s">
        <v>32525</v>
      </c>
      <c r="P1949">
        <v>0</v>
      </c>
      <c r="Q1949">
        <v>5</v>
      </c>
      <c r="R1949" t="s">
        <v>32526</v>
      </c>
      <c r="S1949" t="s">
        <v>32547</v>
      </c>
      <c r="T1949" t="s">
        <v>33182</v>
      </c>
      <c r="U1949" t="s">
        <v>35292</v>
      </c>
      <c r="W1949" t="s">
        <v>30271</v>
      </c>
      <c r="X1949" t="s">
        <v>32527</v>
      </c>
    </row>
    <row r="1950" spans="1:24">
      <c r="A1950">
        <f>HYPERLINK("https://www.philgeps.gov.ph/GEPSNONPILOT/Tender/SplashBidNoticeAbstractUI.aspx?menuIndex=3&amp;refID=7046562&amp;Result=3","7046562")</f>
        <v>0</v>
      </c>
      <c r="B1950" t="s">
        <v>771</v>
      </c>
      <c r="C1950" t="s">
        <v>4556</v>
      </c>
      <c r="D1950" t="s">
        <v>13012</v>
      </c>
      <c r="E1950" t="s">
        <v>14855</v>
      </c>
      <c r="F1950" t="s">
        <v>22436</v>
      </c>
      <c r="G1950" t="s">
        <v>22443</v>
      </c>
      <c r="H1950" t="s">
        <v>22452</v>
      </c>
      <c r="I1950" t="s">
        <v>3027</v>
      </c>
      <c r="J1950" t="s">
        <v>23980</v>
      </c>
      <c r="K1950" t="s">
        <v>29338</v>
      </c>
      <c r="M1950" t="s">
        <v>30372</v>
      </c>
      <c r="N1950" t="s">
        <v>32524</v>
      </c>
      <c r="O1950" t="s">
        <v>32525</v>
      </c>
      <c r="P1950">
        <v>0</v>
      </c>
      <c r="Q1950">
        <v>0</v>
      </c>
      <c r="R1950" t="s">
        <v>32526</v>
      </c>
      <c r="S1950" t="s">
        <v>32547</v>
      </c>
      <c r="T1950" t="s">
        <v>33155</v>
      </c>
      <c r="U1950" t="s">
        <v>35268</v>
      </c>
      <c r="W1950" t="s">
        <v>30372</v>
      </c>
      <c r="X1950" t="s">
        <v>32527</v>
      </c>
    </row>
    <row r="1951" spans="1:24">
      <c r="A1951">
        <f>HYPERLINK("https://www.philgeps.gov.ph/GEPSNONPILOT/Tender/SplashBidNoticeAbstractUI.aspx?menuIndex=3&amp;refID=7046579&amp;Result=3","7046579")</f>
        <v>0</v>
      </c>
      <c r="B1951" t="s">
        <v>50</v>
      </c>
      <c r="C1951" t="s">
        <v>4557</v>
      </c>
      <c r="D1951" t="s">
        <v>13008</v>
      </c>
      <c r="E1951" t="s">
        <v>14856</v>
      </c>
      <c r="F1951" t="s">
        <v>22436</v>
      </c>
      <c r="G1951" t="s">
        <v>22444</v>
      </c>
      <c r="H1951" t="s">
        <v>22452</v>
      </c>
      <c r="I1951" t="s">
        <v>22467</v>
      </c>
      <c r="J1951" t="s">
        <v>23981</v>
      </c>
      <c r="K1951" t="s">
        <v>29335</v>
      </c>
      <c r="M1951" t="s">
        <v>29622</v>
      </c>
      <c r="N1951" t="s">
        <v>32524</v>
      </c>
      <c r="O1951" t="s">
        <v>32525</v>
      </c>
      <c r="P1951">
        <v>0</v>
      </c>
      <c r="Q1951">
        <v>0</v>
      </c>
      <c r="R1951" t="s">
        <v>32526</v>
      </c>
      <c r="S1951" t="s">
        <v>32547</v>
      </c>
      <c r="T1951" t="s">
        <v>33166</v>
      </c>
      <c r="U1951" t="s">
        <v>35293</v>
      </c>
      <c r="W1951" t="s">
        <v>29622</v>
      </c>
      <c r="X1951" t="s">
        <v>32527</v>
      </c>
    </row>
    <row r="1952" spans="1:24">
      <c r="A1952">
        <f>HYPERLINK("https://www.philgeps.gov.ph/GEPSNONPILOT/Tender/SplashBidNoticeAbstractUI.aspx?menuIndex=3&amp;refID=7046575&amp;Result=3","7046575")</f>
        <v>0</v>
      </c>
      <c r="B1952" t="s">
        <v>780</v>
      </c>
      <c r="C1952" t="s">
        <v>4558</v>
      </c>
      <c r="D1952" t="s">
        <v>13004</v>
      </c>
      <c r="E1952" t="s">
        <v>14857</v>
      </c>
      <c r="F1952" t="s">
        <v>22436</v>
      </c>
      <c r="G1952" t="s">
        <v>22443</v>
      </c>
      <c r="H1952" t="s">
        <v>22452</v>
      </c>
      <c r="I1952" t="s">
        <v>22488</v>
      </c>
      <c r="J1952" t="s">
        <v>23982</v>
      </c>
      <c r="K1952" t="s">
        <v>29341</v>
      </c>
      <c r="M1952" t="s">
        <v>30381</v>
      </c>
      <c r="N1952" t="s">
        <v>32524</v>
      </c>
      <c r="O1952" t="s">
        <v>32525</v>
      </c>
      <c r="P1952">
        <v>0</v>
      </c>
      <c r="Q1952">
        <v>0</v>
      </c>
      <c r="R1952" t="s">
        <v>32526</v>
      </c>
      <c r="S1952" t="s">
        <v>32547</v>
      </c>
      <c r="T1952" t="s">
        <v>33223</v>
      </c>
      <c r="U1952" t="s">
        <v>35294</v>
      </c>
      <c r="V1952" t="s">
        <v>42613</v>
      </c>
      <c r="W1952" t="s">
        <v>30381</v>
      </c>
      <c r="X1952" t="s">
        <v>32527</v>
      </c>
    </row>
    <row r="1953" spans="1:24">
      <c r="A1953">
        <f>HYPERLINK("https://www.philgeps.gov.ph/GEPSNONPILOT/Tender/SplashBidNoticeAbstractUI.aspx?menuIndex=3&amp;refID=7046581&amp;Result=3","7046581")</f>
        <v>0</v>
      </c>
      <c r="B1953" t="s">
        <v>773</v>
      </c>
      <c r="C1953" t="s">
        <v>4559</v>
      </c>
      <c r="D1953" t="s">
        <v>13003</v>
      </c>
      <c r="E1953" t="s">
        <v>14858</v>
      </c>
      <c r="F1953" t="s">
        <v>22436</v>
      </c>
      <c r="G1953" t="s">
        <v>22444</v>
      </c>
      <c r="H1953" t="s">
        <v>22454</v>
      </c>
      <c r="I1953" t="s">
        <v>7738</v>
      </c>
      <c r="J1953" t="s">
        <v>23983</v>
      </c>
      <c r="K1953" t="s">
        <v>29419</v>
      </c>
      <c r="L1953" t="s">
        <v>773</v>
      </c>
      <c r="M1953" t="s">
        <v>30374</v>
      </c>
      <c r="N1953" t="s">
        <v>32524</v>
      </c>
      <c r="O1953" t="s">
        <v>32525</v>
      </c>
      <c r="P1953">
        <v>0</v>
      </c>
      <c r="Q1953">
        <v>0</v>
      </c>
      <c r="R1953" t="s">
        <v>32526</v>
      </c>
      <c r="S1953" t="s">
        <v>32547</v>
      </c>
      <c r="T1953" t="s">
        <v>33165</v>
      </c>
      <c r="U1953" t="s">
        <v>35295</v>
      </c>
      <c r="V1953" t="s">
        <v>42614</v>
      </c>
      <c r="W1953" t="s">
        <v>30374</v>
      </c>
      <c r="X1953" t="s">
        <v>32527</v>
      </c>
    </row>
    <row r="1954" spans="1:24">
      <c r="A1954">
        <f>HYPERLINK("https://www.philgeps.gov.ph/GEPSNONPILOT/Tender/SplashBidNoticeAbstractUI.aspx?menuIndex=3&amp;refID=7046577&amp;Result=3","7046577")</f>
        <v>0</v>
      </c>
      <c r="B1954" t="s">
        <v>764</v>
      </c>
      <c r="C1954" t="s">
        <v>4560</v>
      </c>
      <c r="D1954" t="s">
        <v>13000</v>
      </c>
      <c r="E1954" t="s">
        <v>14859</v>
      </c>
      <c r="F1954" t="s">
        <v>22436</v>
      </c>
      <c r="G1954" t="s">
        <v>22444</v>
      </c>
      <c r="H1954" t="s">
        <v>22454</v>
      </c>
      <c r="I1954" t="s">
        <v>3529</v>
      </c>
      <c r="J1954" t="s">
        <v>23984</v>
      </c>
      <c r="K1954" t="s">
        <v>29331</v>
      </c>
      <c r="M1954" t="s">
        <v>30365</v>
      </c>
      <c r="N1954" t="s">
        <v>32524</v>
      </c>
      <c r="O1954" t="s">
        <v>32525</v>
      </c>
      <c r="P1954">
        <v>0</v>
      </c>
      <c r="Q1954">
        <v>0</v>
      </c>
      <c r="R1954" t="s">
        <v>32526</v>
      </c>
      <c r="S1954" t="s">
        <v>32547</v>
      </c>
      <c r="T1954" t="s">
        <v>33224</v>
      </c>
      <c r="U1954" t="s">
        <v>35296</v>
      </c>
      <c r="W1954" t="s">
        <v>30365</v>
      </c>
      <c r="X1954" t="s">
        <v>32527</v>
      </c>
    </row>
    <row r="1955" spans="1:24">
      <c r="A1955">
        <f>HYPERLINK("https://www.philgeps.gov.ph/GEPSNONPILOT/Tender/SplashBidNoticeAbstractUI.aspx?menuIndex=3&amp;refID=7046570&amp;Result=3","7046570")</f>
        <v>0</v>
      </c>
      <c r="B1955" t="s">
        <v>706</v>
      </c>
      <c r="C1955" t="s">
        <v>4561</v>
      </c>
      <c r="D1955" t="s">
        <v>12993</v>
      </c>
      <c r="E1955" t="s">
        <v>14860</v>
      </c>
      <c r="F1955" t="s">
        <v>22436</v>
      </c>
      <c r="G1955" t="s">
        <v>22443</v>
      </c>
      <c r="H1955" t="s">
        <v>22452</v>
      </c>
      <c r="I1955" t="s">
        <v>22460</v>
      </c>
      <c r="J1955" t="s">
        <v>22894</v>
      </c>
      <c r="K1955" t="s">
        <v>29356</v>
      </c>
      <c r="M1955" t="s">
        <v>30303</v>
      </c>
      <c r="N1955" t="s">
        <v>32524</v>
      </c>
      <c r="O1955" t="s">
        <v>32525</v>
      </c>
      <c r="P1955">
        <v>0</v>
      </c>
      <c r="Q1955">
        <v>0</v>
      </c>
      <c r="R1955" t="s">
        <v>32526</v>
      </c>
      <c r="S1955" t="s">
        <v>32547</v>
      </c>
      <c r="T1955" t="s">
        <v>33167</v>
      </c>
      <c r="U1955" t="s">
        <v>35297</v>
      </c>
      <c r="W1955" t="s">
        <v>30303</v>
      </c>
      <c r="X1955" t="s">
        <v>32527</v>
      </c>
    </row>
    <row r="1956" spans="1:24">
      <c r="A1956">
        <f>HYPERLINK("https://www.philgeps.gov.ph/GEPSNONPILOT/Tender/SplashBidNoticeAbstractUI.aspx?menuIndex=3&amp;refID=7046584&amp;Result=3","7046584")</f>
        <v>0</v>
      </c>
      <c r="B1956" t="s">
        <v>781</v>
      </c>
      <c r="C1956" t="s">
        <v>4562</v>
      </c>
      <c r="D1956" t="s">
        <v>12990</v>
      </c>
      <c r="E1956" t="s">
        <v>4562</v>
      </c>
      <c r="F1956" t="s">
        <v>22436</v>
      </c>
      <c r="G1956" t="s">
        <v>22443</v>
      </c>
      <c r="H1956" t="s">
        <v>22452</v>
      </c>
      <c r="I1956" t="s">
        <v>22463</v>
      </c>
      <c r="J1956" t="s">
        <v>23985</v>
      </c>
      <c r="K1956" t="s">
        <v>29338</v>
      </c>
      <c r="M1956" t="s">
        <v>30382</v>
      </c>
      <c r="N1956" t="s">
        <v>32524</v>
      </c>
      <c r="O1956" t="s">
        <v>32525</v>
      </c>
      <c r="P1956">
        <v>0</v>
      </c>
      <c r="Q1956">
        <v>0</v>
      </c>
      <c r="R1956" t="s">
        <v>32526</v>
      </c>
      <c r="S1956" t="s">
        <v>32547</v>
      </c>
      <c r="T1956" t="s">
        <v>33154</v>
      </c>
      <c r="U1956" t="s">
        <v>35298</v>
      </c>
      <c r="W1956" t="s">
        <v>30382</v>
      </c>
      <c r="X1956" t="s">
        <v>32527</v>
      </c>
    </row>
    <row r="1957" spans="1:24">
      <c r="A1957">
        <f>HYPERLINK("https://www.philgeps.gov.ph/GEPSNONPILOT/Tender/SplashBidNoticeAbstractUI.aspx?menuIndex=3&amp;refID=7046561&amp;Result=3","7046561")</f>
        <v>0</v>
      </c>
      <c r="B1957" t="s">
        <v>721</v>
      </c>
      <c r="C1957" t="s">
        <v>4563</v>
      </c>
      <c r="D1957" t="s">
        <v>12990</v>
      </c>
      <c r="E1957" t="s">
        <v>14861</v>
      </c>
      <c r="F1957" t="s">
        <v>22436</v>
      </c>
      <c r="G1957" t="s">
        <v>22444</v>
      </c>
      <c r="H1957" t="s">
        <v>22454</v>
      </c>
      <c r="I1957" t="s">
        <v>7738</v>
      </c>
      <c r="J1957" t="s">
        <v>23986</v>
      </c>
      <c r="K1957" t="s">
        <v>29335</v>
      </c>
      <c r="M1957" t="s">
        <v>30318</v>
      </c>
      <c r="N1957" t="s">
        <v>32524</v>
      </c>
      <c r="O1957" t="s">
        <v>32525</v>
      </c>
      <c r="P1957">
        <v>0</v>
      </c>
      <c r="Q1957">
        <v>0</v>
      </c>
      <c r="R1957" t="s">
        <v>32526</v>
      </c>
      <c r="S1957" t="s">
        <v>32547</v>
      </c>
      <c r="T1957" t="s">
        <v>33181</v>
      </c>
      <c r="U1957" t="s">
        <v>35299</v>
      </c>
      <c r="W1957" t="s">
        <v>30318</v>
      </c>
      <c r="X1957" t="s">
        <v>32527</v>
      </c>
    </row>
    <row r="1958" spans="1:24">
      <c r="A1958">
        <f>HYPERLINK("https://www.philgeps.gov.ph/GEPSNONPILOT/Tender/SplashBidNoticeAbstractUI.aspx?menuIndex=3&amp;refID=7046582&amp;Result=3","7046582")</f>
        <v>0</v>
      </c>
      <c r="B1958" t="s">
        <v>782</v>
      </c>
      <c r="C1958" t="s">
        <v>4564</v>
      </c>
      <c r="D1958" t="s">
        <v>12990</v>
      </c>
      <c r="E1958" t="s">
        <v>14829</v>
      </c>
      <c r="F1958" t="s">
        <v>22436</v>
      </c>
      <c r="G1958" t="s">
        <v>22444</v>
      </c>
      <c r="H1958" t="s">
        <v>22454</v>
      </c>
      <c r="I1958" t="s">
        <v>7738</v>
      </c>
      <c r="J1958" t="s">
        <v>22605</v>
      </c>
      <c r="K1958" t="s">
        <v>29335</v>
      </c>
      <c r="M1958" t="s">
        <v>30383</v>
      </c>
      <c r="N1958" t="s">
        <v>32524</v>
      </c>
      <c r="O1958" t="s">
        <v>32525</v>
      </c>
      <c r="P1958">
        <v>0</v>
      </c>
      <c r="Q1958">
        <v>0</v>
      </c>
      <c r="R1958" t="s">
        <v>32526</v>
      </c>
      <c r="S1958" t="s">
        <v>32547</v>
      </c>
      <c r="T1958" t="s">
        <v>33278</v>
      </c>
      <c r="U1958" t="s">
        <v>35300</v>
      </c>
      <c r="W1958" t="s">
        <v>30383</v>
      </c>
      <c r="X1958" t="s">
        <v>32527</v>
      </c>
    </row>
    <row r="1959" spans="1:24">
      <c r="A1959">
        <f>HYPERLINK("https://www.philgeps.gov.ph/GEPSNONPILOT/Tender/SplashBidNoticeAbstractUI.aspx?menuIndex=3&amp;refID=7046583&amp;Result=3","7046583")</f>
        <v>0</v>
      </c>
      <c r="B1959" t="s">
        <v>151</v>
      </c>
      <c r="C1959" t="s">
        <v>4565</v>
      </c>
      <c r="D1959" t="s">
        <v>13039</v>
      </c>
      <c r="E1959" t="s">
        <v>13381</v>
      </c>
      <c r="F1959" t="s">
        <v>22436</v>
      </c>
      <c r="G1959" t="s">
        <v>22443</v>
      </c>
      <c r="H1959" t="s">
        <v>22452</v>
      </c>
      <c r="I1959" t="s">
        <v>22535</v>
      </c>
      <c r="J1959" t="s">
        <v>22721</v>
      </c>
      <c r="K1959" t="s">
        <v>29356</v>
      </c>
      <c r="M1959" t="s">
        <v>29723</v>
      </c>
      <c r="N1959" t="s">
        <v>32524</v>
      </c>
      <c r="O1959" t="s">
        <v>32525</v>
      </c>
      <c r="P1959">
        <v>0</v>
      </c>
      <c r="Q1959">
        <v>0</v>
      </c>
      <c r="R1959" t="s">
        <v>32526</v>
      </c>
      <c r="S1959" t="s">
        <v>32547</v>
      </c>
      <c r="T1959" t="s">
        <v>33167</v>
      </c>
      <c r="U1959" t="s">
        <v>35301</v>
      </c>
      <c r="W1959" t="s">
        <v>29723</v>
      </c>
      <c r="X1959" t="s">
        <v>32527</v>
      </c>
    </row>
    <row r="1960" spans="1:24">
      <c r="A1960">
        <f>HYPERLINK("https://www.philgeps.gov.ph/GEPSNONPILOT/Tender/SplashBidNoticeAbstractUI.aspx?menuIndex=3&amp;refID=7046573&amp;Result=3","7046573")</f>
        <v>0</v>
      </c>
      <c r="B1960" t="s">
        <v>721</v>
      </c>
      <c r="C1960" t="s">
        <v>4566</v>
      </c>
      <c r="D1960" t="s">
        <v>12990</v>
      </c>
      <c r="E1960" t="s">
        <v>14862</v>
      </c>
      <c r="F1960" t="s">
        <v>22436</v>
      </c>
      <c r="G1960" t="s">
        <v>22444</v>
      </c>
      <c r="H1960" t="s">
        <v>22454</v>
      </c>
      <c r="I1960" t="s">
        <v>7738</v>
      </c>
      <c r="J1960" t="s">
        <v>23987</v>
      </c>
      <c r="K1960" t="s">
        <v>29335</v>
      </c>
      <c r="M1960" t="s">
        <v>30318</v>
      </c>
      <c r="N1960" t="s">
        <v>32524</v>
      </c>
      <c r="O1960" t="s">
        <v>32525</v>
      </c>
      <c r="P1960">
        <v>0</v>
      </c>
      <c r="Q1960">
        <v>0</v>
      </c>
      <c r="R1960" t="s">
        <v>32526</v>
      </c>
      <c r="S1960" t="s">
        <v>32547</v>
      </c>
      <c r="T1960" t="s">
        <v>33182</v>
      </c>
      <c r="U1960" t="s">
        <v>35302</v>
      </c>
      <c r="W1960" t="s">
        <v>30318</v>
      </c>
      <c r="X1960" t="s">
        <v>32527</v>
      </c>
    </row>
    <row r="1961" spans="1:24">
      <c r="A1961">
        <f>HYPERLINK("https://www.philgeps.gov.ph/GEPSNONPILOT/Tender/SplashBidNoticeAbstractUI.aspx?menuIndex=3&amp;refID=7046576&amp;Result=3","7046576")</f>
        <v>0</v>
      </c>
      <c r="B1961" t="s">
        <v>783</v>
      </c>
      <c r="C1961" t="s">
        <v>4567</v>
      </c>
      <c r="D1961" t="s">
        <v>13011</v>
      </c>
      <c r="E1961" t="s">
        <v>14863</v>
      </c>
      <c r="F1961" t="s">
        <v>22436</v>
      </c>
      <c r="G1961" t="s">
        <v>22444</v>
      </c>
      <c r="H1961" t="s">
        <v>22454</v>
      </c>
      <c r="I1961" t="s">
        <v>7738</v>
      </c>
      <c r="J1961" t="s">
        <v>23093</v>
      </c>
      <c r="K1961" t="s">
        <v>29337</v>
      </c>
      <c r="M1961" t="s">
        <v>30384</v>
      </c>
      <c r="N1961" t="s">
        <v>32524</v>
      </c>
      <c r="O1961" t="s">
        <v>32525</v>
      </c>
      <c r="P1961">
        <v>0</v>
      </c>
      <c r="Q1961">
        <v>0</v>
      </c>
      <c r="R1961" t="s">
        <v>32526</v>
      </c>
      <c r="S1961" t="s">
        <v>32547</v>
      </c>
      <c r="T1961" t="s">
        <v>33168</v>
      </c>
      <c r="U1961" t="s">
        <v>35303</v>
      </c>
      <c r="W1961" t="s">
        <v>30384</v>
      </c>
      <c r="X1961" t="s">
        <v>32527</v>
      </c>
    </row>
    <row r="1962" spans="1:24">
      <c r="A1962">
        <f>HYPERLINK("https://www.philgeps.gov.ph/GEPSNONPILOT/Tender/SplashBidNoticeAbstractUI.aspx?menuIndex=3&amp;refID=7046585&amp;Result=3","7046585")</f>
        <v>0</v>
      </c>
      <c r="B1962" t="s">
        <v>596</v>
      </c>
      <c r="C1962" t="s">
        <v>4568</v>
      </c>
      <c r="D1962" t="s">
        <v>12994</v>
      </c>
      <c r="E1962" t="s">
        <v>14864</v>
      </c>
      <c r="F1962" t="s">
        <v>22436</v>
      </c>
      <c r="G1962" t="s">
        <v>22443</v>
      </c>
      <c r="H1962" t="s">
        <v>22452</v>
      </c>
      <c r="I1962" t="s">
        <v>22476</v>
      </c>
      <c r="J1962" t="s">
        <v>23235</v>
      </c>
      <c r="K1962" t="s">
        <v>29338</v>
      </c>
      <c r="M1962" t="s">
        <v>30186</v>
      </c>
      <c r="N1962" t="s">
        <v>32524</v>
      </c>
      <c r="O1962" t="s">
        <v>32525</v>
      </c>
      <c r="P1962">
        <v>0</v>
      </c>
      <c r="Q1962">
        <v>0</v>
      </c>
      <c r="R1962" t="s">
        <v>32526</v>
      </c>
      <c r="S1962" t="s">
        <v>32547</v>
      </c>
      <c r="T1962" t="s">
        <v>33273</v>
      </c>
      <c r="U1962" t="s">
        <v>35304</v>
      </c>
      <c r="W1962" t="s">
        <v>30186</v>
      </c>
      <c r="X1962" t="s">
        <v>32527</v>
      </c>
    </row>
    <row r="1963" spans="1:24">
      <c r="A1963">
        <f>HYPERLINK("https://www.philgeps.gov.ph/GEPSNONPILOT/Tender/SplashBidNoticeAbstractUI.aspx?menuIndex=3&amp;refID=7046588&amp;Result=3","7046588")</f>
        <v>0</v>
      </c>
      <c r="B1963" t="s">
        <v>784</v>
      </c>
      <c r="C1963" t="s">
        <v>4569</v>
      </c>
      <c r="D1963" t="s">
        <v>13045</v>
      </c>
      <c r="E1963" t="s">
        <v>14865</v>
      </c>
      <c r="F1963" t="s">
        <v>22436</v>
      </c>
      <c r="G1963" t="s">
        <v>22445</v>
      </c>
      <c r="H1963" t="s">
        <v>22452</v>
      </c>
      <c r="I1963" t="s">
        <v>5194</v>
      </c>
      <c r="J1963" t="s">
        <v>23988</v>
      </c>
      <c r="K1963" t="s">
        <v>29336</v>
      </c>
      <c r="M1963" t="s">
        <v>30385</v>
      </c>
      <c r="N1963" t="s">
        <v>32524</v>
      </c>
      <c r="O1963" t="s">
        <v>32525</v>
      </c>
      <c r="P1963">
        <v>0</v>
      </c>
      <c r="Q1963">
        <v>1</v>
      </c>
      <c r="R1963" t="s">
        <v>32526</v>
      </c>
      <c r="S1963" t="s">
        <v>32547</v>
      </c>
      <c r="T1963" t="s">
        <v>33154</v>
      </c>
      <c r="U1963" t="s">
        <v>35305</v>
      </c>
      <c r="V1963" t="s">
        <v>42615</v>
      </c>
      <c r="W1963" t="s">
        <v>30385</v>
      </c>
      <c r="X1963" t="s">
        <v>32527</v>
      </c>
    </row>
    <row r="1964" spans="1:24">
      <c r="A1964">
        <f>HYPERLINK("https://www.philgeps.gov.ph/GEPSNONPILOT/Tender/SplashBidNoticeAbstractUI.aspx?menuIndex=3&amp;refID=7046596&amp;Result=3","7046596")</f>
        <v>0</v>
      </c>
      <c r="B1964" t="s">
        <v>721</v>
      </c>
      <c r="C1964" t="s">
        <v>4570</v>
      </c>
      <c r="D1964" t="s">
        <v>12990</v>
      </c>
      <c r="E1964" t="s">
        <v>14866</v>
      </c>
      <c r="F1964" t="s">
        <v>22436</v>
      </c>
      <c r="G1964" t="s">
        <v>22444</v>
      </c>
      <c r="H1964" t="s">
        <v>22454</v>
      </c>
      <c r="I1964" t="s">
        <v>7738</v>
      </c>
      <c r="J1964" t="s">
        <v>23989</v>
      </c>
      <c r="K1964" t="s">
        <v>29335</v>
      </c>
      <c r="M1964" t="s">
        <v>30318</v>
      </c>
      <c r="N1964" t="s">
        <v>32524</v>
      </c>
      <c r="O1964" t="s">
        <v>32525</v>
      </c>
      <c r="P1964">
        <v>0</v>
      </c>
      <c r="Q1964">
        <v>0</v>
      </c>
      <c r="R1964" t="s">
        <v>32526</v>
      </c>
      <c r="S1964" t="s">
        <v>32547</v>
      </c>
      <c r="T1964" t="s">
        <v>33182</v>
      </c>
      <c r="U1964" t="s">
        <v>35306</v>
      </c>
      <c r="W1964" t="s">
        <v>30318</v>
      </c>
      <c r="X1964" t="s">
        <v>32527</v>
      </c>
    </row>
    <row r="1965" spans="1:24">
      <c r="A1965">
        <f>HYPERLINK("https://www.philgeps.gov.ph/GEPSNONPILOT/Tender/SplashBidNoticeAbstractUI.aspx?menuIndex=3&amp;refID=7046597&amp;Result=3","7046597")</f>
        <v>0</v>
      </c>
      <c r="B1965" t="s">
        <v>757</v>
      </c>
      <c r="C1965" t="s">
        <v>4571</v>
      </c>
      <c r="D1965" t="s">
        <v>13020</v>
      </c>
      <c r="E1965" t="s">
        <v>14867</v>
      </c>
      <c r="F1965" t="s">
        <v>22436</v>
      </c>
      <c r="G1965" t="s">
        <v>22443</v>
      </c>
      <c r="H1965" t="s">
        <v>22454</v>
      </c>
      <c r="I1965" t="s">
        <v>22501</v>
      </c>
      <c r="J1965" t="s">
        <v>23990</v>
      </c>
      <c r="K1965" t="s">
        <v>29349</v>
      </c>
      <c r="M1965" t="s">
        <v>30358</v>
      </c>
      <c r="N1965" t="s">
        <v>32524</v>
      </c>
      <c r="O1965" t="s">
        <v>32525</v>
      </c>
      <c r="P1965">
        <v>0</v>
      </c>
      <c r="Q1965">
        <v>0</v>
      </c>
      <c r="R1965" t="s">
        <v>32526</v>
      </c>
      <c r="S1965" t="s">
        <v>32547</v>
      </c>
      <c r="T1965" t="s">
        <v>33155</v>
      </c>
      <c r="U1965" t="s">
        <v>35307</v>
      </c>
      <c r="W1965" t="s">
        <v>30358</v>
      </c>
      <c r="X1965" t="s">
        <v>32527</v>
      </c>
    </row>
    <row r="1966" spans="1:24">
      <c r="A1966">
        <f>HYPERLINK("https://www.philgeps.gov.ph/GEPSNONPILOT/Tender/SplashBidNoticeAbstractUI.aspx?menuIndex=3&amp;refID=7046595&amp;Result=3","7046595")</f>
        <v>0</v>
      </c>
      <c r="B1966" t="s">
        <v>785</v>
      </c>
      <c r="C1966" t="s">
        <v>4572</v>
      </c>
      <c r="D1966" t="s">
        <v>12988</v>
      </c>
      <c r="E1966" t="s">
        <v>14868</v>
      </c>
      <c r="F1966" t="s">
        <v>22436</v>
      </c>
      <c r="G1966" t="s">
        <v>22446</v>
      </c>
      <c r="H1966" t="s">
        <v>22452</v>
      </c>
      <c r="I1966" t="s">
        <v>22460</v>
      </c>
      <c r="J1966" t="s">
        <v>23991</v>
      </c>
      <c r="K1966" t="s">
        <v>29357</v>
      </c>
      <c r="M1966" t="s">
        <v>30386</v>
      </c>
      <c r="N1966" t="s">
        <v>32524</v>
      </c>
      <c r="O1966" t="s">
        <v>32525</v>
      </c>
      <c r="P1966">
        <v>0</v>
      </c>
      <c r="Q1966">
        <v>2</v>
      </c>
      <c r="R1966" t="s">
        <v>32526</v>
      </c>
      <c r="S1966" t="s">
        <v>32547</v>
      </c>
      <c r="T1966" t="s">
        <v>33153</v>
      </c>
      <c r="U1966" t="s">
        <v>34083</v>
      </c>
      <c r="W1966" t="s">
        <v>30386</v>
      </c>
      <c r="X1966" t="s">
        <v>32527</v>
      </c>
    </row>
    <row r="1967" spans="1:24">
      <c r="A1967">
        <f>HYPERLINK("https://www.philgeps.gov.ph/GEPSNONPILOT/Tender/SplashBidNoticeAbstractUI.aspx?menuIndex=3&amp;refID=7046594&amp;Result=3","7046594")</f>
        <v>0</v>
      </c>
      <c r="B1967" t="s">
        <v>786</v>
      </c>
      <c r="C1967" t="s">
        <v>4573</v>
      </c>
      <c r="D1967" t="s">
        <v>12990</v>
      </c>
      <c r="E1967" t="s">
        <v>14869</v>
      </c>
      <c r="F1967" t="s">
        <v>22436</v>
      </c>
      <c r="G1967" t="s">
        <v>22446</v>
      </c>
      <c r="H1967" t="s">
        <v>22453</v>
      </c>
      <c r="I1967" t="s">
        <v>22478</v>
      </c>
      <c r="J1967" t="s">
        <v>23191</v>
      </c>
      <c r="K1967" t="s">
        <v>29336</v>
      </c>
      <c r="M1967" t="s">
        <v>30387</v>
      </c>
      <c r="N1967" t="s">
        <v>32524</v>
      </c>
      <c r="O1967" t="s">
        <v>32525</v>
      </c>
      <c r="P1967">
        <v>0</v>
      </c>
      <c r="Q1967">
        <v>0</v>
      </c>
      <c r="R1967" t="s">
        <v>32526</v>
      </c>
      <c r="S1967" t="s">
        <v>32547</v>
      </c>
      <c r="T1967" t="s">
        <v>33235</v>
      </c>
      <c r="U1967" t="s">
        <v>35308</v>
      </c>
      <c r="W1967" t="s">
        <v>30387</v>
      </c>
      <c r="X1967" t="s">
        <v>32527</v>
      </c>
    </row>
    <row r="1968" spans="1:24">
      <c r="A1968">
        <f>HYPERLINK("https://www.philgeps.gov.ph/GEPSNONPILOT/Tender/SplashBidNoticeAbstractUI.aspx?menuIndex=3&amp;refID=7046593&amp;Result=3","7046593")</f>
        <v>0</v>
      </c>
      <c r="B1968" t="s">
        <v>75</v>
      </c>
      <c r="C1968" t="s">
        <v>4574</v>
      </c>
      <c r="D1968" t="s">
        <v>13021</v>
      </c>
      <c r="E1968" t="s">
        <v>14870</v>
      </c>
      <c r="F1968" t="s">
        <v>22436</v>
      </c>
      <c r="G1968" t="s">
        <v>22443</v>
      </c>
      <c r="H1968" t="s">
        <v>22452</v>
      </c>
      <c r="I1968" t="s">
        <v>11896</v>
      </c>
      <c r="J1968" t="s">
        <v>23992</v>
      </c>
      <c r="K1968" t="s">
        <v>29335</v>
      </c>
      <c r="M1968" t="s">
        <v>29647</v>
      </c>
      <c r="N1968" t="s">
        <v>32524</v>
      </c>
      <c r="O1968" t="s">
        <v>32525</v>
      </c>
      <c r="P1968">
        <v>0</v>
      </c>
      <c r="Q1968">
        <v>0</v>
      </c>
      <c r="R1968" t="s">
        <v>32526</v>
      </c>
      <c r="S1968" t="s">
        <v>32547</v>
      </c>
      <c r="T1968" t="s">
        <v>33167</v>
      </c>
      <c r="U1968" t="s">
        <v>35309</v>
      </c>
      <c r="W1968" t="s">
        <v>29647</v>
      </c>
      <c r="X1968" t="s">
        <v>32527</v>
      </c>
    </row>
    <row r="1969" spans="1:24">
      <c r="A1969">
        <f>HYPERLINK("https://www.philgeps.gov.ph/GEPSNONPILOT/Tender/SplashBidNoticeAbstractUI.aspx?menuIndex=3&amp;refID=7046600&amp;Result=3","7046600")</f>
        <v>0</v>
      </c>
      <c r="B1969" t="s">
        <v>347</v>
      </c>
      <c r="C1969" t="s">
        <v>4575</v>
      </c>
      <c r="D1969" t="s">
        <v>13013</v>
      </c>
      <c r="E1969" t="s">
        <v>14871</v>
      </c>
      <c r="F1969" t="s">
        <v>22436</v>
      </c>
      <c r="G1969" t="s">
        <v>22443</v>
      </c>
      <c r="H1969" t="s">
        <v>22452</v>
      </c>
      <c r="I1969" t="s">
        <v>22456</v>
      </c>
      <c r="J1969" t="s">
        <v>22704</v>
      </c>
      <c r="K1969" t="s">
        <v>29338</v>
      </c>
      <c r="M1969" t="s">
        <v>29923</v>
      </c>
      <c r="N1969" t="s">
        <v>32524</v>
      </c>
      <c r="O1969" t="s">
        <v>32525</v>
      </c>
      <c r="P1969">
        <v>0</v>
      </c>
      <c r="Q1969">
        <v>1</v>
      </c>
      <c r="R1969" t="s">
        <v>32526</v>
      </c>
      <c r="S1969" t="s">
        <v>32547</v>
      </c>
      <c r="T1969" t="s">
        <v>33250</v>
      </c>
      <c r="U1969" t="s">
        <v>35310</v>
      </c>
      <c r="W1969" t="s">
        <v>29923</v>
      </c>
      <c r="X1969" t="s">
        <v>32527</v>
      </c>
    </row>
    <row r="1970" spans="1:24">
      <c r="A1970">
        <f>HYPERLINK("https://www.philgeps.gov.ph/GEPSNONPILOT/Tender/SplashBidNoticeAbstractUI.aspx?menuIndex=3&amp;refID=7046599&amp;Result=3","7046599")</f>
        <v>0</v>
      </c>
      <c r="B1970" t="s">
        <v>787</v>
      </c>
      <c r="C1970" t="s">
        <v>4576</v>
      </c>
      <c r="D1970" t="s">
        <v>13010</v>
      </c>
      <c r="E1970" t="s">
        <v>14872</v>
      </c>
      <c r="F1970" t="s">
        <v>22436</v>
      </c>
      <c r="G1970" t="s">
        <v>22446</v>
      </c>
      <c r="H1970" t="s">
        <v>22452</v>
      </c>
      <c r="I1970" t="s">
        <v>5194</v>
      </c>
      <c r="J1970" t="s">
        <v>23993</v>
      </c>
      <c r="K1970" t="s">
        <v>29356</v>
      </c>
      <c r="M1970" t="s">
        <v>30388</v>
      </c>
      <c r="N1970" t="s">
        <v>32524</v>
      </c>
      <c r="O1970" t="s">
        <v>32525</v>
      </c>
      <c r="P1970">
        <v>0</v>
      </c>
      <c r="Q1970">
        <v>0</v>
      </c>
      <c r="R1970" t="s">
        <v>32526</v>
      </c>
      <c r="S1970" t="s">
        <v>32547</v>
      </c>
      <c r="T1970" t="s">
        <v>33185</v>
      </c>
      <c r="U1970" t="s">
        <v>35311</v>
      </c>
      <c r="V1970" t="s">
        <v>42616</v>
      </c>
      <c r="W1970" t="s">
        <v>30388</v>
      </c>
      <c r="X1970" t="s">
        <v>32527</v>
      </c>
    </row>
    <row r="1971" spans="1:24">
      <c r="A1971">
        <f>HYPERLINK("https://www.philgeps.gov.ph/GEPSNONPILOT/Tender/SplashBidNoticeAbstractUI.aspx?menuIndex=3&amp;refID=7046607&amp;Result=3","7046607")</f>
        <v>0</v>
      </c>
      <c r="B1971" t="s">
        <v>788</v>
      </c>
      <c r="C1971" t="s">
        <v>4577</v>
      </c>
      <c r="D1971" t="s">
        <v>12994</v>
      </c>
      <c r="E1971" t="s">
        <v>14873</v>
      </c>
      <c r="F1971" t="s">
        <v>22436</v>
      </c>
      <c r="G1971" t="s">
        <v>22449</v>
      </c>
      <c r="H1971" t="s">
        <v>22455</v>
      </c>
      <c r="I1971" t="s">
        <v>22455</v>
      </c>
      <c r="J1971" t="s">
        <v>23994</v>
      </c>
      <c r="K1971" t="s">
        <v>29345</v>
      </c>
      <c r="M1971" t="s">
        <v>30389</v>
      </c>
      <c r="N1971" t="s">
        <v>32524</v>
      </c>
      <c r="O1971" t="s">
        <v>32525</v>
      </c>
      <c r="P1971">
        <v>0</v>
      </c>
      <c r="Q1971">
        <v>4</v>
      </c>
      <c r="R1971" t="s">
        <v>32526</v>
      </c>
      <c r="S1971" t="s">
        <v>32547</v>
      </c>
      <c r="T1971" t="s">
        <v>33350</v>
      </c>
      <c r="U1971" t="s">
        <v>35312</v>
      </c>
      <c r="W1971" t="s">
        <v>30389</v>
      </c>
      <c r="X1971" t="s">
        <v>32527</v>
      </c>
    </row>
    <row r="1972" spans="1:24">
      <c r="A1972">
        <f>HYPERLINK("https://www.philgeps.gov.ph/GEPSNONPILOT/Tender/SplashBidNoticeAbstractUI.aspx?menuIndex=3&amp;refID=7046604&amp;Result=3","7046604")</f>
        <v>0</v>
      </c>
      <c r="B1972" t="s">
        <v>789</v>
      </c>
      <c r="C1972" t="s">
        <v>4578</v>
      </c>
      <c r="D1972" t="s">
        <v>13001</v>
      </c>
      <c r="E1972" t="s">
        <v>14874</v>
      </c>
      <c r="F1972" t="s">
        <v>22436</v>
      </c>
      <c r="G1972" t="s">
        <v>22443</v>
      </c>
      <c r="H1972" t="s">
        <v>22452</v>
      </c>
      <c r="I1972" t="s">
        <v>22476</v>
      </c>
      <c r="J1972" t="s">
        <v>22640</v>
      </c>
      <c r="K1972" t="s">
        <v>29341</v>
      </c>
      <c r="M1972" t="s">
        <v>30390</v>
      </c>
      <c r="N1972" t="s">
        <v>32524</v>
      </c>
      <c r="O1972" t="s">
        <v>32525</v>
      </c>
      <c r="P1972">
        <v>0</v>
      </c>
      <c r="Q1972">
        <v>2</v>
      </c>
      <c r="R1972" t="s">
        <v>32526</v>
      </c>
      <c r="S1972" t="s">
        <v>32547</v>
      </c>
      <c r="T1972" t="s">
        <v>33167</v>
      </c>
      <c r="U1972" t="s">
        <v>35313</v>
      </c>
      <c r="W1972" t="s">
        <v>30390</v>
      </c>
      <c r="X1972" t="s">
        <v>32527</v>
      </c>
    </row>
    <row r="1973" spans="1:24">
      <c r="A1973">
        <f>HYPERLINK("https://www.philgeps.gov.ph/GEPSNONPILOT/Tender/SplashBidNoticeAbstractUI.aspx?menuIndex=3&amp;refID=7046598&amp;Result=3","7046598")</f>
        <v>0</v>
      </c>
      <c r="B1973" t="s">
        <v>732</v>
      </c>
      <c r="C1973" t="s">
        <v>4579</v>
      </c>
      <c r="D1973" t="s">
        <v>13045</v>
      </c>
      <c r="E1973" t="s">
        <v>14875</v>
      </c>
      <c r="F1973" t="s">
        <v>22436</v>
      </c>
      <c r="G1973" t="s">
        <v>22443</v>
      </c>
      <c r="H1973" t="s">
        <v>22452</v>
      </c>
      <c r="I1973" t="s">
        <v>22494</v>
      </c>
      <c r="J1973" t="s">
        <v>23995</v>
      </c>
      <c r="K1973" t="s">
        <v>29335</v>
      </c>
      <c r="M1973" t="s">
        <v>30330</v>
      </c>
      <c r="N1973" t="s">
        <v>32524</v>
      </c>
      <c r="O1973" t="s">
        <v>32525</v>
      </c>
      <c r="P1973">
        <v>0</v>
      </c>
      <c r="Q1973">
        <v>0</v>
      </c>
      <c r="R1973" t="s">
        <v>32526</v>
      </c>
      <c r="S1973" t="s">
        <v>32547</v>
      </c>
      <c r="T1973" t="s">
        <v>33196</v>
      </c>
      <c r="U1973" t="s">
        <v>35178</v>
      </c>
      <c r="W1973" t="s">
        <v>30330</v>
      </c>
      <c r="X1973" t="s">
        <v>32527</v>
      </c>
    </row>
    <row r="1974" spans="1:24">
      <c r="A1974">
        <f>HYPERLINK("https://www.philgeps.gov.ph/GEPSNONPILOT/Tender/SplashBidNoticeAbstractUI.aspx?menuIndex=3&amp;refID=7046605&amp;Result=3","7046605")</f>
        <v>0</v>
      </c>
      <c r="B1974" t="s">
        <v>790</v>
      </c>
      <c r="C1974" t="s">
        <v>4580</v>
      </c>
      <c r="D1974" t="s">
        <v>13018</v>
      </c>
      <c r="E1974" t="s">
        <v>14876</v>
      </c>
      <c r="F1974" t="s">
        <v>22436</v>
      </c>
      <c r="G1974" t="s">
        <v>22443</v>
      </c>
      <c r="H1974" t="s">
        <v>22452</v>
      </c>
      <c r="I1974" t="s">
        <v>22456</v>
      </c>
      <c r="J1974" t="s">
        <v>22588</v>
      </c>
      <c r="K1974" t="s">
        <v>29338</v>
      </c>
      <c r="M1974" t="s">
        <v>30391</v>
      </c>
      <c r="N1974" t="s">
        <v>32524</v>
      </c>
      <c r="O1974" t="s">
        <v>32525</v>
      </c>
      <c r="P1974">
        <v>0</v>
      </c>
      <c r="Q1974">
        <v>1</v>
      </c>
      <c r="R1974" t="s">
        <v>32526</v>
      </c>
      <c r="S1974" t="s">
        <v>32547</v>
      </c>
      <c r="T1974" t="s">
        <v>33167</v>
      </c>
      <c r="U1974" t="s">
        <v>35314</v>
      </c>
      <c r="W1974" t="s">
        <v>30391</v>
      </c>
      <c r="X1974" t="s">
        <v>32527</v>
      </c>
    </row>
    <row r="1975" spans="1:24">
      <c r="A1975">
        <f>HYPERLINK("https://www.philgeps.gov.ph/GEPSNONPILOT/Tender/SplashBidNoticeAbstractUI.aspx?menuIndex=3&amp;refID=7046606&amp;Result=3","7046606")</f>
        <v>0</v>
      </c>
      <c r="B1975" t="s">
        <v>791</v>
      </c>
      <c r="C1975" t="s">
        <v>4581</v>
      </c>
      <c r="D1975" t="s">
        <v>13022</v>
      </c>
      <c r="E1975" t="s">
        <v>14877</v>
      </c>
      <c r="F1975" t="s">
        <v>22436</v>
      </c>
      <c r="G1975" t="s">
        <v>22443</v>
      </c>
      <c r="H1975" t="s">
        <v>22452</v>
      </c>
      <c r="I1975" t="s">
        <v>22461</v>
      </c>
      <c r="J1975" t="s">
        <v>23996</v>
      </c>
      <c r="K1975" t="s">
        <v>29341</v>
      </c>
      <c r="M1975" t="s">
        <v>30392</v>
      </c>
      <c r="N1975" t="s">
        <v>32524</v>
      </c>
      <c r="O1975" t="s">
        <v>32525</v>
      </c>
      <c r="P1975">
        <v>0</v>
      </c>
      <c r="Q1975">
        <v>1</v>
      </c>
      <c r="R1975" t="s">
        <v>32526</v>
      </c>
      <c r="S1975" t="s">
        <v>32547</v>
      </c>
      <c r="T1975" t="s">
        <v>33167</v>
      </c>
      <c r="U1975" t="s">
        <v>35315</v>
      </c>
      <c r="W1975" t="s">
        <v>30392</v>
      </c>
      <c r="X1975" t="s">
        <v>32527</v>
      </c>
    </row>
    <row r="1976" spans="1:24">
      <c r="A1976">
        <f>HYPERLINK("https://www.philgeps.gov.ph/GEPSNONPILOT/Tender/SplashBidNoticeAbstractUI.aspx?menuIndex=3&amp;refID=7046603&amp;Result=3","7046603")</f>
        <v>0</v>
      </c>
      <c r="B1976" t="s">
        <v>792</v>
      </c>
      <c r="C1976" t="s">
        <v>4582</v>
      </c>
      <c r="D1976" t="s">
        <v>13000</v>
      </c>
      <c r="E1976" t="s">
        <v>14878</v>
      </c>
      <c r="F1976" t="s">
        <v>22436</v>
      </c>
      <c r="G1976" t="s">
        <v>22446</v>
      </c>
      <c r="H1976" t="s">
        <v>22452</v>
      </c>
      <c r="I1976" t="s">
        <v>3827</v>
      </c>
      <c r="J1976" t="s">
        <v>22851</v>
      </c>
      <c r="K1976" t="s">
        <v>29336</v>
      </c>
      <c r="M1976" t="s">
        <v>30393</v>
      </c>
      <c r="N1976" t="s">
        <v>32524</v>
      </c>
      <c r="O1976" t="s">
        <v>32525</v>
      </c>
      <c r="P1976">
        <v>0</v>
      </c>
      <c r="Q1976">
        <v>3</v>
      </c>
      <c r="R1976" t="s">
        <v>32526</v>
      </c>
      <c r="S1976" t="s">
        <v>32547</v>
      </c>
      <c r="T1976" t="s">
        <v>33213</v>
      </c>
      <c r="U1976" t="s">
        <v>35316</v>
      </c>
      <c r="W1976" t="s">
        <v>30393</v>
      </c>
      <c r="X1976" t="s">
        <v>32527</v>
      </c>
    </row>
    <row r="1977" spans="1:24">
      <c r="A1977">
        <f>HYPERLINK("https://www.philgeps.gov.ph/GEPSNONPILOT/Tender/SplashBidNoticeAbstractUI.aspx?menuIndex=3&amp;refID=7046608&amp;Result=3","7046608")</f>
        <v>0</v>
      </c>
      <c r="B1977" t="s">
        <v>773</v>
      </c>
      <c r="C1977" t="s">
        <v>4583</v>
      </c>
      <c r="D1977" t="s">
        <v>13003</v>
      </c>
      <c r="E1977" t="s">
        <v>14879</v>
      </c>
      <c r="F1977" t="s">
        <v>22436</v>
      </c>
      <c r="G1977" t="s">
        <v>22444</v>
      </c>
      <c r="H1977" t="s">
        <v>22454</v>
      </c>
      <c r="I1977" t="s">
        <v>7738</v>
      </c>
      <c r="J1977" t="s">
        <v>23997</v>
      </c>
      <c r="K1977" t="s">
        <v>29420</v>
      </c>
      <c r="L1977" t="s">
        <v>773</v>
      </c>
      <c r="M1977" t="s">
        <v>30374</v>
      </c>
      <c r="N1977" t="s">
        <v>32524</v>
      </c>
      <c r="O1977" t="s">
        <v>32525</v>
      </c>
      <c r="P1977">
        <v>0</v>
      </c>
      <c r="Q1977">
        <v>0</v>
      </c>
      <c r="R1977" t="s">
        <v>32526</v>
      </c>
      <c r="S1977" t="s">
        <v>32547</v>
      </c>
      <c r="T1977" t="s">
        <v>33165</v>
      </c>
      <c r="U1977" t="s">
        <v>35317</v>
      </c>
      <c r="V1977" t="s">
        <v>42617</v>
      </c>
      <c r="W1977" t="s">
        <v>30374</v>
      </c>
      <c r="X1977" t="s">
        <v>32527</v>
      </c>
    </row>
    <row r="1978" spans="1:24">
      <c r="A1978">
        <f>HYPERLINK("https://www.philgeps.gov.ph/GEPSNONPILOT/Tender/SplashBidNoticeAbstractUI.aspx?menuIndex=3&amp;refID=7046601&amp;Result=3","7046601")</f>
        <v>0</v>
      </c>
      <c r="B1978" t="s">
        <v>793</v>
      </c>
      <c r="C1978" t="s">
        <v>4584</v>
      </c>
      <c r="D1978" t="s">
        <v>13006</v>
      </c>
      <c r="E1978" t="s">
        <v>14880</v>
      </c>
      <c r="F1978" t="s">
        <v>22436</v>
      </c>
      <c r="G1978" t="s">
        <v>22444</v>
      </c>
      <c r="H1978" t="s">
        <v>22452</v>
      </c>
      <c r="I1978" t="s">
        <v>22458</v>
      </c>
      <c r="J1978" t="s">
        <v>23998</v>
      </c>
      <c r="K1978" t="s">
        <v>29338</v>
      </c>
      <c r="M1978" t="s">
        <v>30394</v>
      </c>
      <c r="N1978" t="s">
        <v>32524</v>
      </c>
      <c r="O1978" t="s">
        <v>32525</v>
      </c>
      <c r="P1978">
        <v>0</v>
      </c>
      <c r="Q1978">
        <v>32</v>
      </c>
      <c r="R1978" t="s">
        <v>32526</v>
      </c>
      <c r="S1978" t="s">
        <v>32547</v>
      </c>
      <c r="T1978" t="s">
        <v>33165</v>
      </c>
      <c r="U1978" t="s">
        <v>35318</v>
      </c>
      <c r="W1978" t="s">
        <v>30394</v>
      </c>
      <c r="X1978" t="s">
        <v>32527</v>
      </c>
    </row>
    <row r="1979" spans="1:24">
      <c r="A1979">
        <f>HYPERLINK("https://www.philgeps.gov.ph/GEPSNONPILOT/Tender/SplashBidNoticeAbstractUI.aspx?menuIndex=3&amp;refID=7046602&amp;Result=3","7046602")</f>
        <v>0</v>
      </c>
      <c r="B1979" t="s">
        <v>783</v>
      </c>
      <c r="C1979" t="s">
        <v>4585</v>
      </c>
      <c r="D1979" t="s">
        <v>13011</v>
      </c>
      <c r="E1979" t="s">
        <v>14881</v>
      </c>
      <c r="F1979" t="s">
        <v>22436</v>
      </c>
      <c r="G1979" t="s">
        <v>22444</v>
      </c>
      <c r="H1979" t="s">
        <v>22452</v>
      </c>
      <c r="I1979" t="s">
        <v>22504</v>
      </c>
      <c r="J1979" t="s">
        <v>23999</v>
      </c>
      <c r="K1979" t="s">
        <v>29331</v>
      </c>
      <c r="M1979" t="s">
        <v>30384</v>
      </c>
      <c r="N1979" t="s">
        <v>32524</v>
      </c>
      <c r="O1979" t="s">
        <v>32525</v>
      </c>
      <c r="P1979">
        <v>0</v>
      </c>
      <c r="Q1979">
        <v>1</v>
      </c>
      <c r="R1979" t="s">
        <v>32526</v>
      </c>
      <c r="S1979" t="s">
        <v>32547</v>
      </c>
      <c r="T1979" t="s">
        <v>33168</v>
      </c>
      <c r="U1979" t="s">
        <v>35319</v>
      </c>
      <c r="W1979" t="s">
        <v>30384</v>
      </c>
      <c r="X1979" t="s">
        <v>32527</v>
      </c>
    </row>
    <row r="1980" spans="1:24">
      <c r="A1980">
        <f>HYPERLINK("https://www.philgeps.gov.ph/GEPSNONPILOT/Tender/SplashBidNoticeAbstractUI.aspx?menuIndex=3&amp;refID=7046622&amp;Result=3","7046622")</f>
        <v>0</v>
      </c>
      <c r="B1980" t="s">
        <v>347</v>
      </c>
      <c r="C1980" t="s">
        <v>4586</v>
      </c>
      <c r="D1980" t="s">
        <v>13013</v>
      </c>
      <c r="E1980" t="s">
        <v>14882</v>
      </c>
      <c r="F1980" t="s">
        <v>22436</v>
      </c>
      <c r="G1980" t="s">
        <v>22443</v>
      </c>
      <c r="H1980" t="s">
        <v>22452</v>
      </c>
      <c r="I1980" t="s">
        <v>22479</v>
      </c>
      <c r="J1980" t="s">
        <v>22874</v>
      </c>
      <c r="K1980" t="s">
        <v>29338</v>
      </c>
      <c r="M1980" t="s">
        <v>29923</v>
      </c>
      <c r="N1980" t="s">
        <v>32524</v>
      </c>
      <c r="O1980" t="s">
        <v>32525</v>
      </c>
      <c r="P1980">
        <v>0</v>
      </c>
      <c r="Q1980">
        <v>0</v>
      </c>
      <c r="R1980" t="s">
        <v>32526</v>
      </c>
      <c r="S1980" t="s">
        <v>32547</v>
      </c>
      <c r="T1980" t="s">
        <v>33250</v>
      </c>
      <c r="U1980" t="s">
        <v>35320</v>
      </c>
      <c r="W1980" t="s">
        <v>29923</v>
      </c>
      <c r="X1980" t="s">
        <v>32527</v>
      </c>
    </row>
    <row r="1981" spans="1:24">
      <c r="A1981">
        <f>HYPERLINK("https://www.philgeps.gov.ph/GEPSNONPILOT/Tender/SplashBidNoticeAbstractUI.aspx?menuIndex=3&amp;refID=7046617&amp;Result=3","7046617")</f>
        <v>0</v>
      </c>
      <c r="B1981" t="s">
        <v>757</v>
      </c>
      <c r="C1981" t="s">
        <v>4587</v>
      </c>
      <c r="D1981" t="s">
        <v>13020</v>
      </c>
      <c r="E1981" t="s">
        <v>14883</v>
      </c>
      <c r="F1981" t="s">
        <v>22436</v>
      </c>
      <c r="G1981" t="s">
        <v>22443</v>
      </c>
      <c r="H1981" t="s">
        <v>22454</v>
      </c>
      <c r="I1981" t="s">
        <v>22501</v>
      </c>
      <c r="J1981" t="s">
        <v>24000</v>
      </c>
      <c r="K1981" t="s">
        <v>29421</v>
      </c>
      <c r="M1981" t="s">
        <v>30358</v>
      </c>
      <c r="N1981" t="s">
        <v>32524</v>
      </c>
      <c r="O1981" t="s">
        <v>32525</v>
      </c>
      <c r="P1981">
        <v>0</v>
      </c>
      <c r="Q1981">
        <v>0</v>
      </c>
      <c r="R1981" t="s">
        <v>32526</v>
      </c>
      <c r="S1981" t="s">
        <v>32547</v>
      </c>
      <c r="T1981" t="s">
        <v>33155</v>
      </c>
      <c r="U1981" t="s">
        <v>35321</v>
      </c>
      <c r="W1981" t="s">
        <v>30358</v>
      </c>
      <c r="X1981" t="s">
        <v>32527</v>
      </c>
    </row>
    <row r="1982" spans="1:24">
      <c r="A1982">
        <f>HYPERLINK("https://www.philgeps.gov.ph/GEPSNONPILOT/Tender/SplashBidNoticeAbstractUI.aspx?menuIndex=3&amp;refID=7046590&amp;Result=3","7046590")</f>
        <v>0</v>
      </c>
      <c r="B1982" t="s">
        <v>794</v>
      </c>
      <c r="C1982" t="s">
        <v>4588</v>
      </c>
      <c r="D1982" t="s">
        <v>13026</v>
      </c>
      <c r="E1982" t="s">
        <v>4588</v>
      </c>
      <c r="F1982" t="s">
        <v>22436</v>
      </c>
      <c r="G1982" t="s">
        <v>22444</v>
      </c>
      <c r="H1982" t="s">
        <v>22452</v>
      </c>
      <c r="I1982" t="s">
        <v>22474</v>
      </c>
      <c r="J1982" t="s">
        <v>23387</v>
      </c>
      <c r="K1982" t="s">
        <v>29341</v>
      </c>
      <c r="M1982" t="s">
        <v>30395</v>
      </c>
      <c r="N1982" t="s">
        <v>32524</v>
      </c>
      <c r="O1982" t="s">
        <v>32525</v>
      </c>
      <c r="P1982">
        <v>0</v>
      </c>
      <c r="Q1982">
        <v>7</v>
      </c>
      <c r="R1982" t="s">
        <v>32526</v>
      </c>
      <c r="S1982" t="s">
        <v>32547</v>
      </c>
      <c r="T1982" t="s">
        <v>33265</v>
      </c>
      <c r="U1982" t="s">
        <v>35322</v>
      </c>
      <c r="W1982" t="s">
        <v>30395</v>
      </c>
      <c r="X1982" t="s">
        <v>32527</v>
      </c>
    </row>
    <row r="1983" spans="1:24">
      <c r="A1983">
        <f>HYPERLINK("https://www.philgeps.gov.ph/GEPSNONPILOT/Tender/SplashBidNoticeAbstractUI.aspx?menuIndex=3&amp;refID=7046620&amp;Result=3","7046620")</f>
        <v>0</v>
      </c>
      <c r="B1983" t="s">
        <v>795</v>
      </c>
      <c r="C1983" t="s">
        <v>4589</v>
      </c>
      <c r="D1983" t="s">
        <v>12999</v>
      </c>
      <c r="E1983" t="s">
        <v>13332</v>
      </c>
      <c r="F1983" t="s">
        <v>22436</v>
      </c>
      <c r="G1983" t="s">
        <v>22443</v>
      </c>
      <c r="H1983" t="s">
        <v>22454</v>
      </c>
      <c r="I1983" t="s">
        <v>7738</v>
      </c>
      <c r="J1983" t="s">
        <v>22893</v>
      </c>
      <c r="K1983" t="s">
        <v>29388</v>
      </c>
      <c r="M1983" t="s">
        <v>30396</v>
      </c>
      <c r="N1983" t="s">
        <v>32524</v>
      </c>
      <c r="O1983" t="s">
        <v>32525</v>
      </c>
      <c r="P1983">
        <v>0</v>
      </c>
      <c r="Q1983">
        <v>0</v>
      </c>
      <c r="R1983" t="s">
        <v>32526</v>
      </c>
      <c r="S1983" t="s">
        <v>32547</v>
      </c>
      <c r="T1983" t="s">
        <v>33169</v>
      </c>
      <c r="U1983" t="s">
        <v>35323</v>
      </c>
      <c r="W1983" t="s">
        <v>30396</v>
      </c>
      <c r="X1983" t="s">
        <v>32527</v>
      </c>
    </row>
    <row r="1984" spans="1:24">
      <c r="A1984">
        <f>HYPERLINK("https://www.philgeps.gov.ph/GEPSNONPILOT/Tender/SplashBidNoticeAbstractUI.aspx?menuIndex=3&amp;refID=7046589&amp;Result=3","7046589")</f>
        <v>0</v>
      </c>
      <c r="B1984" t="s">
        <v>88</v>
      </c>
      <c r="C1984" t="s">
        <v>4590</v>
      </c>
      <c r="D1984" t="s">
        <v>13025</v>
      </c>
      <c r="E1984" t="s">
        <v>14884</v>
      </c>
      <c r="F1984" t="s">
        <v>22436</v>
      </c>
      <c r="G1984" t="s">
        <v>22444</v>
      </c>
      <c r="H1984" t="s">
        <v>22452</v>
      </c>
      <c r="I1984" t="s">
        <v>3827</v>
      </c>
      <c r="J1984" t="s">
        <v>22692</v>
      </c>
      <c r="K1984" t="s">
        <v>29338</v>
      </c>
      <c r="M1984" t="s">
        <v>29660</v>
      </c>
      <c r="N1984" t="s">
        <v>32524</v>
      </c>
      <c r="O1984" t="s">
        <v>32525</v>
      </c>
      <c r="P1984">
        <v>0</v>
      </c>
      <c r="Q1984">
        <v>0</v>
      </c>
      <c r="R1984" t="s">
        <v>32526</v>
      </c>
      <c r="S1984" t="s">
        <v>32547</v>
      </c>
      <c r="T1984" t="s">
        <v>33187</v>
      </c>
      <c r="U1984" t="s">
        <v>35181</v>
      </c>
      <c r="W1984" t="s">
        <v>29660</v>
      </c>
      <c r="X1984" t="s">
        <v>32527</v>
      </c>
    </row>
    <row r="1985" spans="1:24">
      <c r="A1985">
        <f>HYPERLINK("https://www.philgeps.gov.ph/GEPSNONPILOT/Tender/SplashBidNoticeAbstractUI.aspx?menuIndex=3&amp;refID=7046614&amp;Result=3","7046614")</f>
        <v>0</v>
      </c>
      <c r="B1985" t="s">
        <v>196</v>
      </c>
      <c r="C1985" t="s">
        <v>4514</v>
      </c>
      <c r="D1985" t="s">
        <v>13002</v>
      </c>
      <c r="E1985" t="s">
        <v>14885</v>
      </c>
      <c r="F1985" t="s">
        <v>22436</v>
      </c>
      <c r="G1985" t="s">
        <v>22443</v>
      </c>
      <c r="H1985" t="s">
        <v>22452</v>
      </c>
      <c r="I1985" t="s">
        <v>22463</v>
      </c>
      <c r="J1985" t="s">
        <v>24001</v>
      </c>
      <c r="K1985" t="s">
        <v>29331</v>
      </c>
      <c r="M1985" t="s">
        <v>29769</v>
      </c>
      <c r="N1985" t="s">
        <v>32524</v>
      </c>
      <c r="O1985" t="s">
        <v>32525</v>
      </c>
      <c r="P1985">
        <v>0</v>
      </c>
      <c r="Q1985">
        <v>0</v>
      </c>
      <c r="R1985" t="s">
        <v>32526</v>
      </c>
      <c r="S1985" t="s">
        <v>32547</v>
      </c>
      <c r="T1985" t="s">
        <v>33171</v>
      </c>
      <c r="U1985" t="s">
        <v>35324</v>
      </c>
      <c r="W1985" t="s">
        <v>29769</v>
      </c>
      <c r="X1985" t="s">
        <v>32527</v>
      </c>
    </row>
    <row r="1986" spans="1:24">
      <c r="A1986">
        <f>HYPERLINK("https://www.philgeps.gov.ph/GEPSNONPILOT/Tender/SplashBidNoticeAbstractUI.aspx?menuIndex=3&amp;refID=7046616&amp;Result=3","7046616")</f>
        <v>0</v>
      </c>
      <c r="B1986" t="s">
        <v>767</v>
      </c>
      <c r="C1986" t="s">
        <v>4591</v>
      </c>
      <c r="D1986" t="s">
        <v>12994</v>
      </c>
      <c r="E1986" t="s">
        <v>14886</v>
      </c>
      <c r="F1986" t="s">
        <v>22436</v>
      </c>
      <c r="G1986" t="s">
        <v>22446</v>
      </c>
      <c r="H1986" t="s">
        <v>22452</v>
      </c>
      <c r="I1986" t="s">
        <v>22463</v>
      </c>
      <c r="J1986" t="s">
        <v>24002</v>
      </c>
      <c r="K1986" t="s">
        <v>29341</v>
      </c>
      <c r="M1986" t="s">
        <v>30368</v>
      </c>
      <c r="N1986" t="s">
        <v>32524</v>
      </c>
      <c r="O1986" t="s">
        <v>32525</v>
      </c>
      <c r="P1986">
        <v>0</v>
      </c>
      <c r="Q1986">
        <v>1</v>
      </c>
      <c r="R1986" t="s">
        <v>32526</v>
      </c>
      <c r="S1986" t="s">
        <v>32547</v>
      </c>
      <c r="T1986" t="s">
        <v>33213</v>
      </c>
      <c r="U1986" t="s">
        <v>35263</v>
      </c>
      <c r="W1986" t="s">
        <v>30368</v>
      </c>
      <c r="X1986" t="s">
        <v>32527</v>
      </c>
    </row>
    <row r="1987" spans="1:24">
      <c r="A1987">
        <f>HYPERLINK("https://www.philgeps.gov.ph/GEPSNONPILOT/Tender/SplashBidNoticeAbstractUI.aspx?menuIndex=3&amp;refID=7046591&amp;Result=3","7046591")</f>
        <v>0</v>
      </c>
      <c r="B1987" t="s">
        <v>765</v>
      </c>
      <c r="C1987" t="s">
        <v>4592</v>
      </c>
      <c r="D1987" t="s">
        <v>13034</v>
      </c>
      <c r="E1987" t="s">
        <v>14887</v>
      </c>
      <c r="F1987" t="s">
        <v>22436</v>
      </c>
      <c r="G1987" t="s">
        <v>22443</v>
      </c>
      <c r="H1987" t="s">
        <v>22452</v>
      </c>
      <c r="I1987" t="s">
        <v>22505</v>
      </c>
      <c r="J1987" t="s">
        <v>22874</v>
      </c>
      <c r="K1987" t="s">
        <v>29356</v>
      </c>
      <c r="M1987" t="s">
        <v>30366</v>
      </c>
      <c r="N1987" t="s">
        <v>32524</v>
      </c>
      <c r="O1987" t="s">
        <v>32525</v>
      </c>
      <c r="P1987">
        <v>0</v>
      </c>
      <c r="Q1987">
        <v>0</v>
      </c>
      <c r="R1987" t="s">
        <v>32526</v>
      </c>
      <c r="S1987" t="s">
        <v>32547</v>
      </c>
      <c r="T1987" t="s">
        <v>33215</v>
      </c>
      <c r="U1987" t="s">
        <v>35325</v>
      </c>
      <c r="V1987" t="s">
        <v>42609</v>
      </c>
      <c r="W1987" t="s">
        <v>30366</v>
      </c>
      <c r="X1987" t="s">
        <v>32527</v>
      </c>
    </row>
    <row r="1988" spans="1:24">
      <c r="A1988">
        <f>HYPERLINK("https://www.philgeps.gov.ph/GEPSNONPILOT/Tender/SplashBidNoticeAbstractUI.aspx?menuIndex=3&amp;refID=7046618&amp;Result=3","7046618")</f>
        <v>0</v>
      </c>
      <c r="B1988" t="s">
        <v>796</v>
      </c>
      <c r="C1988" t="s">
        <v>4593</v>
      </c>
      <c r="D1988" t="s">
        <v>13069</v>
      </c>
      <c r="E1988" t="s">
        <v>14888</v>
      </c>
      <c r="F1988" t="s">
        <v>22436</v>
      </c>
      <c r="G1988" t="s">
        <v>22443</v>
      </c>
      <c r="H1988" t="s">
        <v>22452</v>
      </c>
      <c r="I1988" t="s">
        <v>22469</v>
      </c>
      <c r="J1988" t="s">
        <v>24003</v>
      </c>
      <c r="K1988" t="s">
        <v>29338</v>
      </c>
      <c r="M1988" t="s">
        <v>30397</v>
      </c>
      <c r="N1988" t="s">
        <v>32524</v>
      </c>
      <c r="O1988" t="s">
        <v>32525</v>
      </c>
      <c r="P1988">
        <v>0</v>
      </c>
      <c r="Q1988">
        <v>1</v>
      </c>
      <c r="R1988" t="s">
        <v>32526</v>
      </c>
      <c r="S1988" t="s">
        <v>32547</v>
      </c>
      <c r="T1988" t="s">
        <v>33169</v>
      </c>
      <c r="U1988" t="s">
        <v>35326</v>
      </c>
      <c r="W1988" t="s">
        <v>43695</v>
      </c>
      <c r="X1988" t="s">
        <v>32527</v>
      </c>
    </row>
    <row r="1989" spans="1:24">
      <c r="A1989">
        <f>HYPERLINK("https://www.philgeps.gov.ph/GEPSNONPILOT/Tender/SplashBidNoticeAbstractUI.aspx?menuIndex=3&amp;refID=7046619&amp;Result=3","7046619")</f>
        <v>0</v>
      </c>
      <c r="B1989" t="s">
        <v>771</v>
      </c>
      <c r="C1989" t="s">
        <v>4594</v>
      </c>
      <c r="D1989" t="s">
        <v>13012</v>
      </c>
      <c r="E1989" t="s">
        <v>14889</v>
      </c>
      <c r="F1989" t="s">
        <v>22436</v>
      </c>
      <c r="G1989" t="s">
        <v>22444</v>
      </c>
      <c r="H1989" t="s">
        <v>22454</v>
      </c>
      <c r="I1989" t="s">
        <v>7738</v>
      </c>
      <c r="J1989" t="s">
        <v>24004</v>
      </c>
      <c r="K1989" t="s">
        <v>29338</v>
      </c>
      <c r="M1989" t="s">
        <v>30398</v>
      </c>
      <c r="N1989" t="s">
        <v>32524</v>
      </c>
      <c r="O1989" t="s">
        <v>32525</v>
      </c>
      <c r="P1989">
        <v>0</v>
      </c>
      <c r="Q1989">
        <v>0</v>
      </c>
      <c r="R1989" t="s">
        <v>32526</v>
      </c>
      <c r="S1989" t="s">
        <v>32547</v>
      </c>
      <c r="T1989" t="s">
        <v>33207</v>
      </c>
      <c r="U1989" t="s">
        <v>35268</v>
      </c>
      <c r="W1989" t="s">
        <v>30398</v>
      </c>
      <c r="X1989" t="s">
        <v>32527</v>
      </c>
    </row>
    <row r="1990" spans="1:24">
      <c r="A1990">
        <f>HYPERLINK("https://www.philgeps.gov.ph/GEPSNONPILOT/Tender/SplashBidNoticeAbstractUI.aspx?menuIndex=3&amp;refID=7046612&amp;Result=3","7046612")</f>
        <v>0</v>
      </c>
      <c r="B1990" t="s">
        <v>764</v>
      </c>
      <c r="C1990" t="s">
        <v>4595</v>
      </c>
      <c r="D1990" t="s">
        <v>13000</v>
      </c>
      <c r="E1990" t="s">
        <v>14890</v>
      </c>
      <c r="F1990" t="s">
        <v>22436</v>
      </c>
      <c r="G1990" t="s">
        <v>22444</v>
      </c>
      <c r="H1990" t="s">
        <v>22454</v>
      </c>
      <c r="I1990" t="s">
        <v>3529</v>
      </c>
      <c r="J1990" t="s">
        <v>23643</v>
      </c>
      <c r="K1990" t="s">
        <v>29331</v>
      </c>
      <c r="M1990" t="s">
        <v>30365</v>
      </c>
      <c r="N1990" t="s">
        <v>32524</v>
      </c>
      <c r="O1990" t="s">
        <v>32525</v>
      </c>
      <c r="P1990">
        <v>0</v>
      </c>
      <c r="Q1990">
        <v>0</v>
      </c>
      <c r="R1990" t="s">
        <v>32526</v>
      </c>
      <c r="S1990" t="s">
        <v>32547</v>
      </c>
      <c r="T1990" t="s">
        <v>33153</v>
      </c>
      <c r="U1990" t="s">
        <v>35327</v>
      </c>
      <c r="W1990" t="s">
        <v>30365</v>
      </c>
      <c r="X1990" t="s">
        <v>32527</v>
      </c>
    </row>
    <row r="1991" spans="1:24">
      <c r="A1991">
        <f>HYPERLINK("https://www.philgeps.gov.ph/GEPSNONPILOT/Tender/SplashBidNoticeAbstractUI.aspx?menuIndex=3&amp;refID=7046624&amp;Result=3","7046624")</f>
        <v>0</v>
      </c>
      <c r="B1991" t="s">
        <v>192</v>
      </c>
      <c r="C1991" t="s">
        <v>4596</v>
      </c>
      <c r="D1991" t="s">
        <v>13048</v>
      </c>
      <c r="E1991" t="s">
        <v>14891</v>
      </c>
      <c r="F1991" t="s">
        <v>22436</v>
      </c>
      <c r="G1991" t="s">
        <v>22444</v>
      </c>
      <c r="H1991" t="s">
        <v>22452</v>
      </c>
      <c r="I1991" t="s">
        <v>22504</v>
      </c>
      <c r="J1991" t="s">
        <v>24005</v>
      </c>
      <c r="K1991" t="s">
        <v>29338</v>
      </c>
      <c r="M1991" t="s">
        <v>29765</v>
      </c>
      <c r="N1991" t="s">
        <v>32524</v>
      </c>
      <c r="O1991" t="s">
        <v>32525</v>
      </c>
      <c r="P1991">
        <v>0</v>
      </c>
      <c r="Q1991">
        <v>2</v>
      </c>
      <c r="R1991" t="s">
        <v>32526</v>
      </c>
      <c r="S1991" t="s">
        <v>32547</v>
      </c>
      <c r="T1991" t="s">
        <v>33170</v>
      </c>
      <c r="U1991" t="s">
        <v>35328</v>
      </c>
      <c r="W1991" t="s">
        <v>29765</v>
      </c>
      <c r="X1991" t="s">
        <v>32527</v>
      </c>
    </row>
    <row r="1992" spans="1:24">
      <c r="A1992">
        <f>HYPERLINK("https://www.philgeps.gov.ph/GEPSNONPILOT/Tender/SplashBidNoticeAbstractUI.aspx?menuIndex=3&amp;refID=7046625&amp;Result=3","7046625")</f>
        <v>0</v>
      </c>
      <c r="B1992" t="s">
        <v>791</v>
      </c>
      <c r="C1992" t="s">
        <v>4597</v>
      </c>
      <c r="D1992" t="s">
        <v>13022</v>
      </c>
      <c r="E1992" t="s">
        <v>14892</v>
      </c>
      <c r="F1992" t="s">
        <v>22436</v>
      </c>
      <c r="G1992" t="s">
        <v>22443</v>
      </c>
      <c r="H1992" t="s">
        <v>22452</v>
      </c>
      <c r="I1992" t="s">
        <v>22466</v>
      </c>
      <c r="J1992" t="s">
        <v>22874</v>
      </c>
      <c r="K1992" t="s">
        <v>29341</v>
      </c>
      <c r="M1992" t="s">
        <v>30392</v>
      </c>
      <c r="N1992" t="s">
        <v>32524</v>
      </c>
      <c r="O1992" t="s">
        <v>32525</v>
      </c>
      <c r="P1992">
        <v>0</v>
      </c>
      <c r="Q1992">
        <v>5</v>
      </c>
      <c r="R1992" t="s">
        <v>32526</v>
      </c>
      <c r="S1992" t="s">
        <v>32547</v>
      </c>
      <c r="T1992" t="s">
        <v>33230</v>
      </c>
      <c r="U1992" t="s">
        <v>35315</v>
      </c>
      <c r="W1992" t="s">
        <v>30392</v>
      </c>
      <c r="X1992" t="s">
        <v>32527</v>
      </c>
    </row>
    <row r="1993" spans="1:24">
      <c r="A1993">
        <f>HYPERLINK("https://www.philgeps.gov.ph/GEPSNONPILOT/Tender/SplashBidNoticeAbstractUI.aspx?menuIndex=3&amp;refID=7046611&amp;Result=3","7046611")</f>
        <v>0</v>
      </c>
      <c r="B1993" t="s">
        <v>347</v>
      </c>
      <c r="C1993" t="s">
        <v>4598</v>
      </c>
      <c r="D1993" t="s">
        <v>13013</v>
      </c>
      <c r="E1993" t="s">
        <v>14893</v>
      </c>
      <c r="F1993" t="s">
        <v>22436</v>
      </c>
      <c r="G1993" t="s">
        <v>22443</v>
      </c>
      <c r="H1993" t="s">
        <v>22452</v>
      </c>
      <c r="I1993" t="s">
        <v>22479</v>
      </c>
      <c r="J1993" t="s">
        <v>22704</v>
      </c>
      <c r="K1993" t="s">
        <v>29338</v>
      </c>
      <c r="M1993" t="s">
        <v>29923</v>
      </c>
      <c r="N1993" t="s">
        <v>32524</v>
      </c>
      <c r="O1993" t="s">
        <v>32525</v>
      </c>
      <c r="P1993">
        <v>0</v>
      </c>
      <c r="Q1993">
        <v>1</v>
      </c>
      <c r="R1993" t="s">
        <v>32526</v>
      </c>
      <c r="S1993" t="s">
        <v>32547</v>
      </c>
      <c r="T1993" t="s">
        <v>33250</v>
      </c>
      <c r="U1993" t="s">
        <v>35329</v>
      </c>
      <c r="W1993" t="s">
        <v>29923</v>
      </c>
      <c r="X1993" t="s">
        <v>32527</v>
      </c>
    </row>
    <row r="1994" spans="1:24">
      <c r="A1994">
        <f>HYPERLINK("https://www.philgeps.gov.ph/GEPSNONPILOT/Tender/SplashBidNoticeAbstractUI.aspx?menuIndex=3&amp;refID=7046626&amp;Result=3","7046626")</f>
        <v>0</v>
      </c>
      <c r="B1994" t="s">
        <v>797</v>
      </c>
      <c r="C1994" t="s">
        <v>4599</v>
      </c>
      <c r="D1994" t="s">
        <v>13046</v>
      </c>
      <c r="E1994" t="s">
        <v>14894</v>
      </c>
      <c r="F1994" t="s">
        <v>22436</v>
      </c>
      <c r="G1994" t="s">
        <v>22444</v>
      </c>
      <c r="H1994" t="s">
        <v>22454</v>
      </c>
      <c r="I1994" t="s">
        <v>7738</v>
      </c>
      <c r="J1994" t="s">
        <v>24006</v>
      </c>
      <c r="K1994" t="s">
        <v>29388</v>
      </c>
      <c r="M1994" t="s">
        <v>30399</v>
      </c>
      <c r="N1994" t="s">
        <v>32524</v>
      </c>
      <c r="O1994" t="s">
        <v>32525</v>
      </c>
      <c r="P1994">
        <v>0</v>
      </c>
      <c r="Q1994">
        <v>1</v>
      </c>
      <c r="R1994" t="s">
        <v>32526</v>
      </c>
      <c r="S1994" t="s">
        <v>32547</v>
      </c>
      <c r="T1994" t="s">
        <v>33165</v>
      </c>
      <c r="U1994" t="s">
        <v>35330</v>
      </c>
      <c r="W1994" t="s">
        <v>30399</v>
      </c>
      <c r="X1994" t="s">
        <v>32527</v>
      </c>
    </row>
    <row r="1995" spans="1:24">
      <c r="A1995">
        <f>HYPERLINK("https://www.philgeps.gov.ph/GEPSNONPILOT/Tender/SplashBidNoticeAbstractUI.aspx?menuIndex=3&amp;refID=7046627&amp;Result=3","7046627")</f>
        <v>0</v>
      </c>
      <c r="B1995" t="s">
        <v>741</v>
      </c>
      <c r="C1995" t="s">
        <v>4600</v>
      </c>
      <c r="D1995" t="s">
        <v>13019</v>
      </c>
      <c r="E1995" t="s">
        <v>13571</v>
      </c>
      <c r="F1995" t="s">
        <v>22436</v>
      </c>
      <c r="G1995" t="s">
        <v>22444</v>
      </c>
      <c r="H1995" t="s">
        <v>22454</v>
      </c>
      <c r="I1995" t="s">
        <v>7738</v>
      </c>
      <c r="J1995" t="s">
        <v>23111</v>
      </c>
      <c r="K1995" t="s">
        <v>29388</v>
      </c>
      <c r="M1995" t="s">
        <v>30342</v>
      </c>
      <c r="N1995" t="s">
        <v>32524</v>
      </c>
      <c r="O1995" t="s">
        <v>32525</v>
      </c>
      <c r="P1995">
        <v>0</v>
      </c>
      <c r="Q1995">
        <v>0</v>
      </c>
      <c r="R1995" t="s">
        <v>32526</v>
      </c>
      <c r="S1995" t="s">
        <v>32547</v>
      </c>
      <c r="T1995" t="s">
        <v>33164</v>
      </c>
      <c r="U1995" t="s">
        <v>35331</v>
      </c>
      <c r="W1995" t="s">
        <v>30342</v>
      </c>
      <c r="X1995" t="s">
        <v>32527</v>
      </c>
    </row>
    <row r="1996" spans="1:24">
      <c r="A1996">
        <f>HYPERLINK("https://www.philgeps.gov.ph/GEPSNONPILOT/Tender/SplashBidNoticeAbstractUI.aspx?menuIndex=3&amp;refID=7046613&amp;Result=3","7046613")</f>
        <v>0</v>
      </c>
      <c r="B1996" t="s">
        <v>721</v>
      </c>
      <c r="C1996" t="s">
        <v>4601</v>
      </c>
      <c r="D1996" t="s">
        <v>13027</v>
      </c>
      <c r="E1996" t="s">
        <v>14895</v>
      </c>
      <c r="F1996" t="s">
        <v>22436</v>
      </c>
      <c r="G1996" t="s">
        <v>22444</v>
      </c>
      <c r="H1996" t="s">
        <v>22452</v>
      </c>
      <c r="I1996" t="s">
        <v>22494</v>
      </c>
      <c r="J1996" t="s">
        <v>24007</v>
      </c>
      <c r="K1996" t="s">
        <v>29357</v>
      </c>
      <c r="M1996" t="s">
        <v>30318</v>
      </c>
      <c r="N1996" t="s">
        <v>32524</v>
      </c>
      <c r="O1996" t="s">
        <v>32525</v>
      </c>
      <c r="P1996">
        <v>0</v>
      </c>
      <c r="Q1996">
        <v>0</v>
      </c>
      <c r="R1996" t="s">
        <v>32526</v>
      </c>
      <c r="S1996" t="s">
        <v>32547</v>
      </c>
      <c r="T1996" t="s">
        <v>33182</v>
      </c>
      <c r="U1996" t="s">
        <v>35332</v>
      </c>
      <c r="W1996" t="s">
        <v>30318</v>
      </c>
      <c r="X1996" t="s">
        <v>32527</v>
      </c>
    </row>
    <row r="1997" spans="1:24">
      <c r="A1997">
        <f>HYPERLINK("https://www.philgeps.gov.ph/GEPSNONPILOT/Tender/SplashBidNoticeAbstractUI.aspx?menuIndex=3&amp;refID=7046629&amp;Result=3","7046629")</f>
        <v>0</v>
      </c>
      <c r="B1997" t="s">
        <v>771</v>
      </c>
      <c r="C1997" t="s">
        <v>4602</v>
      </c>
      <c r="D1997" t="s">
        <v>13012</v>
      </c>
      <c r="E1997" t="s">
        <v>14896</v>
      </c>
      <c r="F1997" t="s">
        <v>22436</v>
      </c>
      <c r="G1997" t="s">
        <v>22444</v>
      </c>
      <c r="H1997" t="s">
        <v>22454</v>
      </c>
      <c r="I1997" t="s">
        <v>7738</v>
      </c>
      <c r="J1997" t="s">
        <v>24008</v>
      </c>
      <c r="K1997" t="s">
        <v>29338</v>
      </c>
      <c r="M1997" t="s">
        <v>30398</v>
      </c>
      <c r="N1997" t="s">
        <v>32524</v>
      </c>
      <c r="O1997" t="s">
        <v>32525</v>
      </c>
      <c r="P1997">
        <v>0</v>
      </c>
      <c r="Q1997">
        <v>0</v>
      </c>
      <c r="R1997" t="s">
        <v>32526</v>
      </c>
      <c r="S1997" t="s">
        <v>32547</v>
      </c>
      <c r="T1997" t="s">
        <v>33207</v>
      </c>
      <c r="U1997" t="s">
        <v>35268</v>
      </c>
      <c r="W1997" t="s">
        <v>30398</v>
      </c>
      <c r="X1997" t="s">
        <v>32527</v>
      </c>
    </row>
    <row r="1998" spans="1:24">
      <c r="A1998">
        <f>HYPERLINK("https://www.philgeps.gov.ph/GEPSNONPILOT/Tender/SplashBidNoticeAbstractUI.aspx?menuIndex=3&amp;refID=7046609&amp;Result=3","7046609")</f>
        <v>0</v>
      </c>
      <c r="B1998" t="s">
        <v>784</v>
      </c>
      <c r="C1998" t="s">
        <v>4603</v>
      </c>
      <c r="D1998" t="s">
        <v>13045</v>
      </c>
      <c r="E1998" t="s">
        <v>14897</v>
      </c>
      <c r="F1998" t="s">
        <v>22436</v>
      </c>
      <c r="G1998" t="s">
        <v>22446</v>
      </c>
      <c r="H1998" t="s">
        <v>22452</v>
      </c>
      <c r="I1998" t="s">
        <v>22460</v>
      </c>
      <c r="J1998" t="s">
        <v>24009</v>
      </c>
      <c r="K1998" t="s">
        <v>29336</v>
      </c>
      <c r="M1998" t="s">
        <v>30385</v>
      </c>
      <c r="N1998" t="s">
        <v>32524</v>
      </c>
      <c r="O1998" t="s">
        <v>32525</v>
      </c>
      <c r="P1998">
        <v>0</v>
      </c>
      <c r="Q1998">
        <v>2</v>
      </c>
      <c r="R1998" t="s">
        <v>32526</v>
      </c>
      <c r="S1998" t="s">
        <v>32547</v>
      </c>
      <c r="T1998" t="s">
        <v>33154</v>
      </c>
      <c r="U1998" t="s">
        <v>35305</v>
      </c>
      <c r="W1998" t="s">
        <v>30385</v>
      </c>
      <c r="X1998" t="s">
        <v>32527</v>
      </c>
    </row>
    <row r="1999" spans="1:24">
      <c r="A1999">
        <f>HYPERLINK("https://www.philgeps.gov.ph/GEPSNONPILOT/Tender/SplashBidNoticeAbstractUI.aspx?menuIndex=3&amp;refID=7046630&amp;Result=3","7046630")</f>
        <v>0</v>
      </c>
      <c r="B1999" t="s">
        <v>796</v>
      </c>
      <c r="C1999" t="s">
        <v>4604</v>
      </c>
      <c r="D1999" t="s">
        <v>13069</v>
      </c>
      <c r="E1999" t="s">
        <v>14898</v>
      </c>
      <c r="F1999" t="s">
        <v>22436</v>
      </c>
      <c r="G1999" t="s">
        <v>22443</v>
      </c>
      <c r="H1999" t="s">
        <v>22452</v>
      </c>
      <c r="I1999" t="s">
        <v>22466</v>
      </c>
      <c r="J1999" t="s">
        <v>24010</v>
      </c>
      <c r="K1999" t="s">
        <v>29338</v>
      </c>
      <c r="M1999" t="s">
        <v>30397</v>
      </c>
      <c r="N1999" t="s">
        <v>32524</v>
      </c>
      <c r="O1999" t="s">
        <v>32525</v>
      </c>
      <c r="P1999">
        <v>0</v>
      </c>
      <c r="Q1999">
        <v>7</v>
      </c>
      <c r="R1999" t="s">
        <v>32526</v>
      </c>
      <c r="S1999" t="s">
        <v>32547</v>
      </c>
      <c r="T1999" t="s">
        <v>33169</v>
      </c>
      <c r="U1999" t="s">
        <v>35326</v>
      </c>
      <c r="W1999" t="s">
        <v>43695</v>
      </c>
      <c r="X1999" t="s">
        <v>32527</v>
      </c>
    </row>
    <row r="2000" spans="1:24">
      <c r="A2000">
        <f>HYPERLINK("https://www.philgeps.gov.ph/GEPSNONPILOT/Tender/SplashBidNoticeAbstractUI.aspx?menuIndex=3&amp;refID=7046635&amp;Result=3","7046635")</f>
        <v>0</v>
      </c>
      <c r="B2000" t="s">
        <v>798</v>
      </c>
      <c r="C2000" t="s">
        <v>4605</v>
      </c>
      <c r="D2000" t="s">
        <v>13024</v>
      </c>
      <c r="E2000" t="s">
        <v>14899</v>
      </c>
      <c r="F2000" t="s">
        <v>22436</v>
      </c>
      <c r="G2000" t="s">
        <v>22443</v>
      </c>
      <c r="H2000" t="s">
        <v>22452</v>
      </c>
      <c r="I2000" t="s">
        <v>22485</v>
      </c>
      <c r="J2000" t="s">
        <v>24011</v>
      </c>
      <c r="K2000" t="s">
        <v>29341</v>
      </c>
      <c r="M2000" t="s">
        <v>30400</v>
      </c>
      <c r="N2000" t="s">
        <v>32524</v>
      </c>
      <c r="O2000" t="s">
        <v>32525</v>
      </c>
      <c r="P2000">
        <v>0</v>
      </c>
      <c r="Q2000">
        <v>0</v>
      </c>
      <c r="R2000" t="s">
        <v>32526</v>
      </c>
      <c r="S2000" t="s">
        <v>32547</v>
      </c>
      <c r="T2000" t="s">
        <v>33167</v>
      </c>
      <c r="U2000" t="s">
        <v>35333</v>
      </c>
      <c r="V2000" t="s">
        <v>41410</v>
      </c>
      <c r="W2000" t="s">
        <v>30400</v>
      </c>
      <c r="X2000" t="s">
        <v>32527</v>
      </c>
    </row>
    <row r="2001" spans="1:24">
      <c r="A2001">
        <f>HYPERLINK("https://www.philgeps.gov.ph/GEPSNONPILOT/Tender/SplashBidNoticeAbstractUI.aspx?menuIndex=3&amp;refID=7046636&amp;Result=3","7046636")</f>
        <v>0</v>
      </c>
      <c r="B2001" t="s">
        <v>152</v>
      </c>
      <c r="C2001" t="s">
        <v>4606</v>
      </c>
      <c r="D2001" t="s">
        <v>13037</v>
      </c>
      <c r="E2001" t="s">
        <v>14900</v>
      </c>
      <c r="F2001" t="s">
        <v>22436</v>
      </c>
      <c r="G2001" t="s">
        <v>22445</v>
      </c>
      <c r="H2001" t="s">
        <v>22452</v>
      </c>
      <c r="I2001" t="s">
        <v>22460</v>
      </c>
      <c r="J2001" t="s">
        <v>24012</v>
      </c>
      <c r="K2001" t="s">
        <v>29336</v>
      </c>
      <c r="M2001" t="s">
        <v>29724</v>
      </c>
      <c r="N2001" t="s">
        <v>32524</v>
      </c>
      <c r="O2001" t="s">
        <v>32525</v>
      </c>
      <c r="P2001">
        <v>0</v>
      </c>
      <c r="Q2001">
        <v>0</v>
      </c>
      <c r="R2001" t="s">
        <v>32526</v>
      </c>
      <c r="S2001" t="s">
        <v>32547</v>
      </c>
      <c r="T2001" t="s">
        <v>33161</v>
      </c>
      <c r="U2001" t="s">
        <v>35334</v>
      </c>
      <c r="W2001" t="s">
        <v>43669</v>
      </c>
      <c r="X2001" t="s">
        <v>32527</v>
      </c>
    </row>
    <row r="2002" spans="1:24">
      <c r="A2002">
        <f>HYPERLINK("https://www.philgeps.gov.ph/GEPSNONPILOT/Tender/SplashBidNoticeAbstractUI.aspx?menuIndex=3&amp;refID=7046623&amp;Result=3","7046623")</f>
        <v>0</v>
      </c>
      <c r="B2002" t="s">
        <v>87</v>
      </c>
      <c r="C2002" t="s">
        <v>4607</v>
      </c>
      <c r="D2002" t="s">
        <v>13040</v>
      </c>
      <c r="E2002" t="s">
        <v>14901</v>
      </c>
      <c r="F2002" t="s">
        <v>22436</v>
      </c>
      <c r="G2002" t="s">
        <v>22446</v>
      </c>
      <c r="H2002" t="s">
        <v>22452</v>
      </c>
      <c r="I2002" t="s">
        <v>3827</v>
      </c>
      <c r="J2002" t="s">
        <v>24013</v>
      </c>
      <c r="K2002" t="s">
        <v>29338</v>
      </c>
      <c r="M2002" t="s">
        <v>29659</v>
      </c>
      <c r="N2002" t="s">
        <v>32524</v>
      </c>
      <c r="O2002" t="s">
        <v>32525</v>
      </c>
      <c r="P2002">
        <v>0</v>
      </c>
      <c r="Q2002">
        <v>3</v>
      </c>
      <c r="R2002" t="s">
        <v>32526</v>
      </c>
      <c r="S2002" t="s">
        <v>32547</v>
      </c>
      <c r="T2002" t="s">
        <v>33161</v>
      </c>
      <c r="U2002" t="s">
        <v>35335</v>
      </c>
      <c r="V2002" t="s">
        <v>42456</v>
      </c>
      <c r="W2002" t="s">
        <v>29659</v>
      </c>
      <c r="X2002" t="s">
        <v>32527</v>
      </c>
    </row>
    <row r="2003" spans="1:24">
      <c r="A2003">
        <f>HYPERLINK("https://www.philgeps.gov.ph/GEPSNONPILOT/Tender/SplashBidNoticeAbstractUI.aspx?menuIndex=3&amp;refID=7046615&amp;Result=3","7046615")</f>
        <v>0</v>
      </c>
      <c r="B2003" t="s">
        <v>58</v>
      </c>
      <c r="C2003" t="s">
        <v>4608</v>
      </c>
      <c r="D2003" t="s">
        <v>13014</v>
      </c>
      <c r="E2003" t="s">
        <v>14902</v>
      </c>
      <c r="F2003" t="s">
        <v>22436</v>
      </c>
      <c r="G2003" t="s">
        <v>22444</v>
      </c>
      <c r="H2003" t="s">
        <v>22454</v>
      </c>
      <c r="I2003" t="s">
        <v>7738</v>
      </c>
      <c r="J2003" t="s">
        <v>24014</v>
      </c>
      <c r="K2003" t="s">
        <v>29422</v>
      </c>
      <c r="M2003" t="s">
        <v>29630</v>
      </c>
      <c r="N2003" t="s">
        <v>32524</v>
      </c>
      <c r="O2003" t="s">
        <v>32525</v>
      </c>
      <c r="P2003">
        <v>0</v>
      </c>
      <c r="Q2003">
        <v>0</v>
      </c>
      <c r="R2003" t="s">
        <v>32526</v>
      </c>
      <c r="S2003" t="s">
        <v>32547</v>
      </c>
      <c r="T2003" t="s">
        <v>33219</v>
      </c>
      <c r="U2003" t="s">
        <v>35336</v>
      </c>
      <c r="W2003" t="s">
        <v>29630</v>
      </c>
      <c r="X2003" t="s">
        <v>32527</v>
      </c>
    </row>
    <row r="2004" spans="1:24">
      <c r="A2004">
        <f>HYPERLINK("https://www.philgeps.gov.ph/GEPSNONPILOT/Tender/SplashBidNoticeAbstractUI.aspx?menuIndex=3&amp;refID=7046631&amp;Result=3","7046631")</f>
        <v>0</v>
      </c>
      <c r="B2004" t="s">
        <v>399</v>
      </c>
      <c r="C2004" t="s">
        <v>4609</v>
      </c>
      <c r="D2004" t="s">
        <v>13025</v>
      </c>
      <c r="E2004" t="s">
        <v>14903</v>
      </c>
      <c r="F2004" t="s">
        <v>22436</v>
      </c>
      <c r="G2004" t="s">
        <v>22443</v>
      </c>
      <c r="H2004" t="s">
        <v>22452</v>
      </c>
      <c r="I2004" t="s">
        <v>5194</v>
      </c>
      <c r="J2004" t="s">
        <v>24015</v>
      </c>
      <c r="K2004" t="s">
        <v>29338</v>
      </c>
      <c r="M2004" t="s">
        <v>29978</v>
      </c>
      <c r="N2004" t="s">
        <v>32524</v>
      </c>
      <c r="O2004" t="s">
        <v>32525</v>
      </c>
      <c r="P2004">
        <v>0</v>
      </c>
      <c r="Q2004">
        <v>0</v>
      </c>
      <c r="R2004" t="s">
        <v>32526</v>
      </c>
      <c r="S2004" t="s">
        <v>32547</v>
      </c>
      <c r="T2004" t="s">
        <v>33186</v>
      </c>
      <c r="U2004" t="s">
        <v>35093</v>
      </c>
      <c r="W2004" t="s">
        <v>29978</v>
      </c>
      <c r="X2004" t="s">
        <v>32527</v>
      </c>
    </row>
    <row r="2005" spans="1:24">
      <c r="A2005">
        <f>HYPERLINK("https://www.philgeps.gov.ph/GEPSNONPILOT/Tender/SplashBidNoticeAbstractUI.aspx?menuIndex=3&amp;refID=7046634&amp;Result=3","7046634")</f>
        <v>0</v>
      </c>
      <c r="B2005" t="s">
        <v>799</v>
      </c>
      <c r="C2005" t="s">
        <v>4610</v>
      </c>
      <c r="D2005" t="s">
        <v>13039</v>
      </c>
      <c r="E2005" t="s">
        <v>14904</v>
      </c>
      <c r="F2005" t="s">
        <v>22436</v>
      </c>
      <c r="G2005" t="s">
        <v>22444</v>
      </c>
      <c r="H2005" t="s">
        <v>22452</v>
      </c>
      <c r="I2005" t="s">
        <v>22540</v>
      </c>
      <c r="J2005" t="s">
        <v>24016</v>
      </c>
      <c r="K2005" t="s">
        <v>29339</v>
      </c>
      <c r="M2005" t="s">
        <v>30401</v>
      </c>
      <c r="N2005" t="s">
        <v>32524</v>
      </c>
      <c r="O2005" t="s">
        <v>32525</v>
      </c>
      <c r="P2005">
        <v>0</v>
      </c>
      <c r="Q2005">
        <v>3</v>
      </c>
      <c r="R2005" t="s">
        <v>32526</v>
      </c>
      <c r="S2005" t="s">
        <v>32547</v>
      </c>
      <c r="T2005" t="s">
        <v>33266</v>
      </c>
      <c r="U2005" t="s">
        <v>35337</v>
      </c>
      <c r="V2005" t="s">
        <v>42618</v>
      </c>
      <c r="W2005" t="s">
        <v>30401</v>
      </c>
      <c r="X2005" t="s">
        <v>32527</v>
      </c>
    </row>
    <row r="2006" spans="1:24">
      <c r="A2006">
        <f>HYPERLINK("https://www.philgeps.gov.ph/GEPSNONPILOT/Tender/SplashBidNoticeAbstractUI.aspx?menuIndex=3&amp;refID=7046638&amp;Result=3","7046638")</f>
        <v>0</v>
      </c>
      <c r="B2006" t="s">
        <v>50</v>
      </c>
      <c r="C2006" t="s">
        <v>4611</v>
      </c>
      <c r="D2006" t="s">
        <v>13008</v>
      </c>
      <c r="E2006" t="s">
        <v>14905</v>
      </c>
      <c r="F2006" t="s">
        <v>22436</v>
      </c>
      <c r="G2006" t="s">
        <v>22444</v>
      </c>
      <c r="H2006" t="s">
        <v>22452</v>
      </c>
      <c r="I2006" t="s">
        <v>22461</v>
      </c>
      <c r="J2006" t="s">
        <v>24017</v>
      </c>
      <c r="K2006" t="s">
        <v>29335</v>
      </c>
      <c r="M2006" t="s">
        <v>29622</v>
      </c>
      <c r="N2006" t="s">
        <v>32524</v>
      </c>
      <c r="O2006" t="s">
        <v>32525</v>
      </c>
      <c r="P2006">
        <v>0</v>
      </c>
      <c r="Q2006">
        <v>0</v>
      </c>
      <c r="R2006" t="s">
        <v>32526</v>
      </c>
      <c r="S2006" t="s">
        <v>32547</v>
      </c>
      <c r="T2006" t="s">
        <v>33166</v>
      </c>
      <c r="U2006" t="s">
        <v>35338</v>
      </c>
      <c r="W2006" t="s">
        <v>29622</v>
      </c>
      <c r="X2006" t="s">
        <v>32527</v>
      </c>
    </row>
    <row r="2007" spans="1:24">
      <c r="A2007">
        <f>HYPERLINK("https://www.philgeps.gov.ph/GEPSNONPILOT/Tender/SplashBidNoticeAbstractUI.aspx?menuIndex=3&amp;refID=7046647&amp;Result=3","7046647")</f>
        <v>0</v>
      </c>
      <c r="B2007" t="s">
        <v>784</v>
      </c>
      <c r="C2007" t="s">
        <v>4612</v>
      </c>
      <c r="D2007" t="s">
        <v>13045</v>
      </c>
      <c r="E2007" t="s">
        <v>14906</v>
      </c>
      <c r="F2007" t="s">
        <v>22436</v>
      </c>
      <c r="G2007" t="s">
        <v>22443</v>
      </c>
      <c r="H2007" t="s">
        <v>22452</v>
      </c>
      <c r="I2007" t="s">
        <v>2962</v>
      </c>
      <c r="J2007" t="s">
        <v>24018</v>
      </c>
      <c r="K2007" t="s">
        <v>29336</v>
      </c>
      <c r="M2007" t="s">
        <v>30385</v>
      </c>
      <c r="N2007" t="s">
        <v>32524</v>
      </c>
      <c r="O2007" t="s">
        <v>32525</v>
      </c>
      <c r="P2007">
        <v>0</v>
      </c>
      <c r="Q2007">
        <v>0</v>
      </c>
      <c r="R2007" t="s">
        <v>32526</v>
      </c>
      <c r="S2007" t="s">
        <v>32547</v>
      </c>
      <c r="T2007" t="s">
        <v>33154</v>
      </c>
      <c r="U2007" t="s">
        <v>35305</v>
      </c>
      <c r="W2007" t="s">
        <v>30385</v>
      </c>
      <c r="X2007" t="s">
        <v>32527</v>
      </c>
    </row>
    <row r="2008" spans="1:24">
      <c r="A2008">
        <f>HYPERLINK("https://www.philgeps.gov.ph/GEPSNONPILOT/Tender/SplashBidNoticeAbstractUI.aspx?menuIndex=3&amp;refID=7046637&amp;Result=3","7046637")</f>
        <v>0</v>
      </c>
      <c r="B2008" t="s">
        <v>800</v>
      </c>
      <c r="C2008" t="s">
        <v>4613</v>
      </c>
      <c r="D2008" t="s">
        <v>12996</v>
      </c>
      <c r="E2008" t="s">
        <v>14092</v>
      </c>
      <c r="F2008" t="s">
        <v>22436</v>
      </c>
      <c r="G2008" t="s">
        <v>22447</v>
      </c>
      <c r="H2008" t="s">
        <v>22454</v>
      </c>
      <c r="I2008" t="s">
        <v>7738</v>
      </c>
      <c r="J2008" t="s">
        <v>24019</v>
      </c>
      <c r="K2008" t="s">
        <v>29355</v>
      </c>
      <c r="M2008" t="s">
        <v>30402</v>
      </c>
      <c r="N2008" t="s">
        <v>32524</v>
      </c>
      <c r="O2008" t="s">
        <v>32525</v>
      </c>
      <c r="P2008">
        <v>0</v>
      </c>
      <c r="Q2008">
        <v>0</v>
      </c>
      <c r="R2008" t="s">
        <v>32526</v>
      </c>
      <c r="S2008" t="s">
        <v>32547</v>
      </c>
      <c r="T2008" t="s">
        <v>33183</v>
      </c>
      <c r="U2008" t="s">
        <v>35339</v>
      </c>
      <c r="V2008" t="s">
        <v>42619</v>
      </c>
      <c r="W2008" t="s">
        <v>30402</v>
      </c>
      <c r="X2008" t="s">
        <v>32527</v>
      </c>
    </row>
    <row r="2009" spans="1:24">
      <c r="A2009">
        <f>HYPERLINK("https://www.philgeps.gov.ph/GEPSNONPILOT/Tender/SplashBidNoticeAbstractUI.aspx?menuIndex=3&amp;refID=7046643&amp;Result=3","7046643")</f>
        <v>0</v>
      </c>
      <c r="B2009" t="s">
        <v>801</v>
      </c>
      <c r="C2009" t="s">
        <v>3649</v>
      </c>
      <c r="D2009" t="s">
        <v>13061</v>
      </c>
      <c r="E2009" t="s">
        <v>14907</v>
      </c>
      <c r="F2009" t="s">
        <v>22436</v>
      </c>
      <c r="G2009" t="s">
        <v>22443</v>
      </c>
      <c r="H2009" t="s">
        <v>22452</v>
      </c>
      <c r="I2009" t="s">
        <v>3529</v>
      </c>
      <c r="J2009" t="s">
        <v>24020</v>
      </c>
      <c r="K2009" t="s">
        <v>29341</v>
      </c>
      <c r="M2009" t="s">
        <v>30403</v>
      </c>
      <c r="N2009" t="s">
        <v>32524</v>
      </c>
      <c r="O2009" t="s">
        <v>32525</v>
      </c>
      <c r="P2009">
        <v>0</v>
      </c>
      <c r="Q2009">
        <v>0</v>
      </c>
      <c r="R2009" t="s">
        <v>32526</v>
      </c>
      <c r="S2009" t="s">
        <v>32547</v>
      </c>
      <c r="T2009" t="s">
        <v>33167</v>
      </c>
      <c r="U2009" t="s">
        <v>35340</v>
      </c>
      <c r="V2009" t="s">
        <v>42620</v>
      </c>
      <c r="W2009" t="s">
        <v>30403</v>
      </c>
      <c r="X2009" t="s">
        <v>32527</v>
      </c>
    </row>
    <row r="2010" spans="1:24">
      <c r="A2010">
        <f>HYPERLINK("https://www.philgeps.gov.ph/GEPSNONPILOT/Tender/SplashBidNoticeAbstractUI.aspx?menuIndex=3&amp;refID=7046642&amp;Result=3","7046642")</f>
        <v>0</v>
      </c>
      <c r="B2010" t="s">
        <v>771</v>
      </c>
      <c r="C2010" t="s">
        <v>4614</v>
      </c>
      <c r="D2010" t="s">
        <v>13012</v>
      </c>
      <c r="E2010" t="s">
        <v>14908</v>
      </c>
      <c r="F2010" t="s">
        <v>22436</v>
      </c>
      <c r="G2010" t="s">
        <v>22444</v>
      </c>
      <c r="H2010" t="s">
        <v>22454</v>
      </c>
      <c r="I2010" t="s">
        <v>7738</v>
      </c>
      <c r="J2010" t="s">
        <v>24021</v>
      </c>
      <c r="K2010" t="s">
        <v>29338</v>
      </c>
      <c r="M2010" t="s">
        <v>30398</v>
      </c>
      <c r="N2010" t="s">
        <v>32524</v>
      </c>
      <c r="O2010" t="s">
        <v>32525</v>
      </c>
      <c r="P2010">
        <v>0</v>
      </c>
      <c r="Q2010">
        <v>0</v>
      </c>
      <c r="R2010" t="s">
        <v>32526</v>
      </c>
      <c r="S2010" t="s">
        <v>32547</v>
      </c>
      <c r="T2010" t="s">
        <v>33207</v>
      </c>
      <c r="U2010" t="s">
        <v>35268</v>
      </c>
      <c r="W2010" t="s">
        <v>30398</v>
      </c>
      <c r="X2010" t="s">
        <v>32527</v>
      </c>
    </row>
    <row r="2011" spans="1:24">
      <c r="A2011">
        <f>HYPERLINK("https://www.philgeps.gov.ph/GEPSNONPILOT/Tender/SplashBidNoticeAbstractUI.aspx?menuIndex=3&amp;refID=7046650&amp;Result=3","7046650")</f>
        <v>0</v>
      </c>
      <c r="B2011" t="s">
        <v>69</v>
      </c>
      <c r="C2011" t="s">
        <v>4615</v>
      </c>
      <c r="D2011" t="s">
        <v>13006</v>
      </c>
      <c r="E2011" t="s">
        <v>13559</v>
      </c>
      <c r="F2011" t="s">
        <v>22436</v>
      </c>
      <c r="G2011" t="s">
        <v>22443</v>
      </c>
      <c r="H2011" t="s">
        <v>22453</v>
      </c>
      <c r="I2011" t="s">
        <v>22502</v>
      </c>
      <c r="J2011" t="s">
        <v>22809</v>
      </c>
      <c r="K2011" t="s">
        <v>29335</v>
      </c>
      <c r="M2011" t="s">
        <v>29641</v>
      </c>
      <c r="N2011" t="s">
        <v>32524</v>
      </c>
      <c r="O2011" t="s">
        <v>32525</v>
      </c>
      <c r="P2011">
        <v>0</v>
      </c>
      <c r="Q2011">
        <v>3</v>
      </c>
      <c r="R2011" t="s">
        <v>32526</v>
      </c>
      <c r="S2011" t="s">
        <v>32547</v>
      </c>
      <c r="T2011" t="s">
        <v>33154</v>
      </c>
      <c r="U2011" t="s">
        <v>35341</v>
      </c>
      <c r="W2011" t="s">
        <v>29641</v>
      </c>
      <c r="X2011" t="s">
        <v>32527</v>
      </c>
    </row>
    <row r="2012" spans="1:24">
      <c r="A2012">
        <f>HYPERLINK("https://www.philgeps.gov.ph/GEPSNONPILOT/Tender/SplashBidNoticeAbstractUI.aspx?menuIndex=3&amp;refID=7046651&amp;Result=3","7046651")</f>
        <v>0</v>
      </c>
      <c r="B2012" t="s">
        <v>358</v>
      </c>
      <c r="C2012" t="s">
        <v>4616</v>
      </c>
      <c r="D2012" t="s">
        <v>13034</v>
      </c>
      <c r="E2012" t="s">
        <v>14550</v>
      </c>
      <c r="F2012" t="s">
        <v>22436</v>
      </c>
      <c r="G2012" t="s">
        <v>22443</v>
      </c>
      <c r="H2012" t="s">
        <v>22452</v>
      </c>
      <c r="I2012" t="s">
        <v>22486</v>
      </c>
      <c r="J2012" t="s">
        <v>22874</v>
      </c>
      <c r="K2012" t="s">
        <v>29335</v>
      </c>
      <c r="M2012" t="s">
        <v>29935</v>
      </c>
      <c r="N2012" t="s">
        <v>32524</v>
      </c>
      <c r="O2012" t="s">
        <v>32525</v>
      </c>
      <c r="P2012">
        <v>0</v>
      </c>
      <c r="Q2012">
        <v>0</v>
      </c>
      <c r="R2012" t="s">
        <v>32526</v>
      </c>
      <c r="S2012" t="s">
        <v>32547</v>
      </c>
      <c r="T2012" t="s">
        <v>33180</v>
      </c>
      <c r="U2012" t="s">
        <v>35342</v>
      </c>
      <c r="V2012" t="s">
        <v>42498</v>
      </c>
      <c r="W2012" t="s">
        <v>29935</v>
      </c>
      <c r="X2012" t="s">
        <v>32527</v>
      </c>
    </row>
    <row r="2013" spans="1:24">
      <c r="A2013">
        <f>HYPERLINK("https://www.philgeps.gov.ph/GEPSNONPILOT/Tender/SplashBidNoticeAbstractUI.aspx?menuIndex=3&amp;refID=7046645&amp;Result=3","7046645")</f>
        <v>0</v>
      </c>
      <c r="B2013" t="s">
        <v>802</v>
      </c>
      <c r="C2013" t="s">
        <v>4617</v>
      </c>
      <c r="D2013" t="s">
        <v>12990</v>
      </c>
      <c r="E2013" t="s">
        <v>14829</v>
      </c>
      <c r="F2013" t="s">
        <v>22436</v>
      </c>
      <c r="G2013" t="s">
        <v>22444</v>
      </c>
      <c r="H2013" t="s">
        <v>22454</v>
      </c>
      <c r="I2013" t="s">
        <v>7738</v>
      </c>
      <c r="J2013" t="s">
        <v>24022</v>
      </c>
      <c r="K2013" t="s">
        <v>29333</v>
      </c>
      <c r="M2013" t="s">
        <v>30404</v>
      </c>
      <c r="N2013" t="s">
        <v>32524</v>
      </c>
      <c r="O2013" t="s">
        <v>32525</v>
      </c>
      <c r="P2013">
        <v>0</v>
      </c>
      <c r="Q2013">
        <v>0</v>
      </c>
      <c r="R2013" t="s">
        <v>32526</v>
      </c>
      <c r="S2013" t="s">
        <v>32547</v>
      </c>
      <c r="T2013" t="s">
        <v>33272</v>
      </c>
      <c r="U2013" t="s">
        <v>35343</v>
      </c>
      <c r="W2013" t="s">
        <v>30404</v>
      </c>
      <c r="X2013" t="s">
        <v>32527</v>
      </c>
    </row>
    <row r="2014" spans="1:24">
      <c r="A2014">
        <f>HYPERLINK("https://www.philgeps.gov.ph/GEPSNONPILOT/Tender/SplashBidNoticeAbstractUI.aspx?menuIndex=3&amp;refID=7046641&amp;Result=3","7046641")</f>
        <v>0</v>
      </c>
      <c r="B2014" t="s">
        <v>70</v>
      </c>
      <c r="C2014" t="s">
        <v>4618</v>
      </c>
      <c r="E2014" t="s">
        <v>14621</v>
      </c>
      <c r="F2014" t="s">
        <v>22436</v>
      </c>
      <c r="G2014" t="s">
        <v>22446</v>
      </c>
      <c r="H2014" t="s">
        <v>22452</v>
      </c>
      <c r="I2014" t="s">
        <v>2993</v>
      </c>
      <c r="J2014" t="s">
        <v>24023</v>
      </c>
      <c r="K2014" t="s">
        <v>29338</v>
      </c>
      <c r="M2014" t="s">
        <v>29642</v>
      </c>
      <c r="N2014" t="s">
        <v>32524</v>
      </c>
      <c r="O2014" t="s">
        <v>32525</v>
      </c>
      <c r="P2014">
        <v>0</v>
      </c>
      <c r="Q2014">
        <v>0</v>
      </c>
      <c r="R2014" t="s">
        <v>32526</v>
      </c>
      <c r="S2014" t="s">
        <v>32547</v>
      </c>
      <c r="T2014" t="s">
        <v>33185</v>
      </c>
      <c r="U2014" t="s">
        <v>35344</v>
      </c>
      <c r="W2014" t="s">
        <v>29642</v>
      </c>
      <c r="X2014" t="s">
        <v>32527</v>
      </c>
    </row>
    <row r="2015" spans="1:24">
      <c r="A2015">
        <f>HYPERLINK("https://www.philgeps.gov.ph/GEPSNONPILOT/Tender/SplashBidNoticeAbstractUI.aspx?menuIndex=3&amp;refID=7046639&amp;Result=3","7046639")</f>
        <v>0</v>
      </c>
      <c r="B2015" t="s">
        <v>803</v>
      </c>
      <c r="C2015" t="s">
        <v>4619</v>
      </c>
      <c r="D2015" t="s">
        <v>12995</v>
      </c>
      <c r="E2015" t="s">
        <v>14909</v>
      </c>
      <c r="F2015" t="s">
        <v>22436</v>
      </c>
      <c r="G2015" t="s">
        <v>22446</v>
      </c>
      <c r="H2015" t="s">
        <v>22452</v>
      </c>
      <c r="I2015" t="s">
        <v>22471</v>
      </c>
      <c r="J2015" t="s">
        <v>22806</v>
      </c>
      <c r="K2015" t="s">
        <v>29335</v>
      </c>
      <c r="M2015" t="s">
        <v>30405</v>
      </c>
      <c r="N2015" t="s">
        <v>32524</v>
      </c>
      <c r="O2015" t="s">
        <v>32525</v>
      </c>
      <c r="P2015">
        <v>0</v>
      </c>
      <c r="Q2015">
        <v>6</v>
      </c>
      <c r="R2015" t="s">
        <v>32526</v>
      </c>
      <c r="S2015" t="s">
        <v>32547</v>
      </c>
      <c r="T2015" t="s">
        <v>33351</v>
      </c>
      <c r="U2015" t="s">
        <v>35345</v>
      </c>
      <c r="W2015" t="s">
        <v>30405</v>
      </c>
      <c r="X2015" t="s">
        <v>32527</v>
      </c>
    </row>
    <row r="2016" spans="1:24">
      <c r="A2016">
        <f>HYPERLINK("https://www.philgeps.gov.ph/GEPSNONPILOT/Tender/SplashBidNoticeAbstractUI.aspx?menuIndex=3&amp;refID=7046640&amp;Result=3","7046640")</f>
        <v>0</v>
      </c>
      <c r="B2016" t="s">
        <v>764</v>
      </c>
      <c r="C2016" t="s">
        <v>4620</v>
      </c>
      <c r="D2016" t="s">
        <v>13000</v>
      </c>
      <c r="E2016" t="s">
        <v>14910</v>
      </c>
      <c r="F2016" t="s">
        <v>22436</v>
      </c>
      <c r="G2016" t="s">
        <v>22444</v>
      </c>
      <c r="H2016" t="s">
        <v>22454</v>
      </c>
      <c r="I2016" t="s">
        <v>3529</v>
      </c>
      <c r="J2016" t="s">
        <v>24024</v>
      </c>
      <c r="K2016" t="s">
        <v>29341</v>
      </c>
      <c r="M2016" t="s">
        <v>30365</v>
      </c>
      <c r="N2016" t="s">
        <v>32524</v>
      </c>
      <c r="O2016" t="s">
        <v>32525</v>
      </c>
      <c r="P2016">
        <v>0</v>
      </c>
      <c r="Q2016">
        <v>0</v>
      </c>
      <c r="R2016" t="s">
        <v>32526</v>
      </c>
      <c r="S2016" t="s">
        <v>32547</v>
      </c>
      <c r="T2016" t="s">
        <v>33153</v>
      </c>
      <c r="U2016" t="s">
        <v>35346</v>
      </c>
      <c r="W2016" t="s">
        <v>30365</v>
      </c>
      <c r="X2016" t="s">
        <v>32527</v>
      </c>
    </row>
    <row r="2017" spans="1:24">
      <c r="A2017">
        <f>HYPERLINK("https://www.philgeps.gov.ph/GEPSNONPILOT/Tender/SplashBidNoticeAbstractUI.aspx?menuIndex=3&amp;refID=7046610&amp;Result=3","7046610")</f>
        <v>0</v>
      </c>
      <c r="B2017" t="s">
        <v>50</v>
      </c>
      <c r="C2017" t="s">
        <v>3710</v>
      </c>
      <c r="D2017" t="s">
        <v>13008</v>
      </c>
      <c r="E2017" t="s">
        <v>14911</v>
      </c>
      <c r="F2017" t="s">
        <v>22436</v>
      </c>
      <c r="G2017" t="s">
        <v>22444</v>
      </c>
      <c r="H2017" t="s">
        <v>22452</v>
      </c>
      <c r="I2017" t="s">
        <v>22460</v>
      </c>
      <c r="J2017" t="s">
        <v>23981</v>
      </c>
      <c r="K2017" t="s">
        <v>29335</v>
      </c>
      <c r="M2017" t="s">
        <v>29622</v>
      </c>
      <c r="N2017" t="s">
        <v>32524</v>
      </c>
      <c r="O2017" t="s">
        <v>32525</v>
      </c>
      <c r="P2017">
        <v>0</v>
      </c>
      <c r="Q2017">
        <v>0</v>
      </c>
      <c r="R2017" t="s">
        <v>32526</v>
      </c>
      <c r="S2017" t="s">
        <v>32547</v>
      </c>
      <c r="T2017" t="s">
        <v>33166</v>
      </c>
      <c r="U2017" t="s">
        <v>35347</v>
      </c>
      <c r="W2017" t="s">
        <v>29622</v>
      </c>
      <c r="X2017" t="s">
        <v>32527</v>
      </c>
    </row>
    <row r="2018" spans="1:24">
      <c r="A2018">
        <f>HYPERLINK("https://www.philgeps.gov.ph/GEPSNONPILOT/Tender/SplashBidNoticeAbstractUI.aspx?menuIndex=3&amp;refID=7046652&amp;Result=3","7046652")</f>
        <v>0</v>
      </c>
      <c r="B2018" t="s">
        <v>771</v>
      </c>
      <c r="C2018" t="s">
        <v>4621</v>
      </c>
      <c r="D2018" t="s">
        <v>13012</v>
      </c>
      <c r="E2018" t="s">
        <v>14912</v>
      </c>
      <c r="F2018" t="s">
        <v>22436</v>
      </c>
      <c r="G2018" t="s">
        <v>22444</v>
      </c>
      <c r="H2018" t="s">
        <v>22454</v>
      </c>
      <c r="I2018" t="s">
        <v>7738</v>
      </c>
      <c r="J2018" t="s">
        <v>24025</v>
      </c>
      <c r="K2018" t="s">
        <v>29338</v>
      </c>
      <c r="M2018" t="s">
        <v>30398</v>
      </c>
      <c r="N2018" t="s">
        <v>32524</v>
      </c>
      <c r="O2018" t="s">
        <v>32525</v>
      </c>
      <c r="P2018">
        <v>0</v>
      </c>
      <c r="Q2018">
        <v>0</v>
      </c>
      <c r="R2018" t="s">
        <v>32526</v>
      </c>
      <c r="S2018" t="s">
        <v>32547</v>
      </c>
      <c r="T2018" t="s">
        <v>33207</v>
      </c>
      <c r="U2018" t="s">
        <v>35268</v>
      </c>
      <c r="W2018" t="s">
        <v>30398</v>
      </c>
      <c r="X2018" t="s">
        <v>32527</v>
      </c>
    </row>
    <row r="2019" spans="1:24">
      <c r="A2019">
        <f>HYPERLINK("https://www.philgeps.gov.ph/GEPSNONPILOT/Tender/SplashBidNoticeAbstractUI.aspx?menuIndex=3&amp;refID=7046649&amp;Result=3","7046649")</f>
        <v>0</v>
      </c>
      <c r="B2019" t="s">
        <v>804</v>
      </c>
      <c r="C2019" t="s">
        <v>4622</v>
      </c>
      <c r="D2019" t="s">
        <v>13007</v>
      </c>
      <c r="E2019" t="s">
        <v>14913</v>
      </c>
      <c r="F2019" t="s">
        <v>22436</v>
      </c>
      <c r="G2019" t="s">
        <v>22443</v>
      </c>
      <c r="H2019" t="s">
        <v>22452</v>
      </c>
      <c r="I2019" t="s">
        <v>5194</v>
      </c>
      <c r="J2019" t="s">
        <v>24026</v>
      </c>
      <c r="K2019" t="s">
        <v>29336</v>
      </c>
      <c r="L2019" t="s">
        <v>804</v>
      </c>
      <c r="M2019" t="s">
        <v>30406</v>
      </c>
      <c r="N2019" t="s">
        <v>32524</v>
      </c>
      <c r="O2019" t="s">
        <v>32525</v>
      </c>
      <c r="P2019">
        <v>0</v>
      </c>
      <c r="Q2019">
        <v>0</v>
      </c>
      <c r="R2019" t="s">
        <v>32526</v>
      </c>
      <c r="S2019" t="s">
        <v>32547</v>
      </c>
      <c r="T2019" t="s">
        <v>33196</v>
      </c>
      <c r="U2019" t="s">
        <v>35348</v>
      </c>
      <c r="W2019" t="s">
        <v>30406</v>
      </c>
      <c r="X2019" t="s">
        <v>32527</v>
      </c>
    </row>
    <row r="2020" spans="1:24">
      <c r="A2020">
        <f>HYPERLINK("https://www.philgeps.gov.ph/GEPSNONPILOT/Tender/SplashBidNoticeAbstractUI.aspx?menuIndex=3&amp;refID=7046644&amp;Result=3","7046644")</f>
        <v>0</v>
      </c>
      <c r="B2020" t="s">
        <v>805</v>
      </c>
      <c r="C2020" t="s">
        <v>4623</v>
      </c>
      <c r="D2020" t="s">
        <v>13012</v>
      </c>
      <c r="E2020" t="s">
        <v>14914</v>
      </c>
      <c r="F2020" t="s">
        <v>22436</v>
      </c>
      <c r="G2020" t="s">
        <v>22444</v>
      </c>
      <c r="H2020" t="s">
        <v>22452</v>
      </c>
      <c r="I2020" t="s">
        <v>22488</v>
      </c>
      <c r="J2020" t="s">
        <v>24027</v>
      </c>
      <c r="K2020" t="s">
        <v>29335</v>
      </c>
      <c r="M2020" t="s">
        <v>30407</v>
      </c>
      <c r="N2020" t="s">
        <v>32524</v>
      </c>
      <c r="O2020" t="s">
        <v>32525</v>
      </c>
      <c r="P2020">
        <v>0</v>
      </c>
      <c r="Q2020">
        <v>0</v>
      </c>
      <c r="R2020" t="s">
        <v>32526</v>
      </c>
      <c r="S2020" t="s">
        <v>32547</v>
      </c>
      <c r="T2020" t="s">
        <v>33352</v>
      </c>
      <c r="U2020" t="s">
        <v>35349</v>
      </c>
      <c r="W2020" t="s">
        <v>30407</v>
      </c>
      <c r="X2020" t="s">
        <v>32527</v>
      </c>
    </row>
    <row r="2021" spans="1:24">
      <c r="A2021">
        <f>HYPERLINK("https://www.philgeps.gov.ph/GEPSNONPILOT/Tender/SplashBidNoticeAbstractUI.aspx?menuIndex=3&amp;refID=7046633&amp;Result=3","7046633")</f>
        <v>0</v>
      </c>
      <c r="B2021" t="s">
        <v>732</v>
      </c>
      <c r="C2021" t="s">
        <v>4624</v>
      </c>
      <c r="D2021" t="s">
        <v>13045</v>
      </c>
      <c r="E2021" t="s">
        <v>14915</v>
      </c>
      <c r="F2021" t="s">
        <v>22436</v>
      </c>
      <c r="G2021" t="s">
        <v>22443</v>
      </c>
      <c r="H2021" t="s">
        <v>22452</v>
      </c>
      <c r="I2021" t="s">
        <v>22519</v>
      </c>
      <c r="J2021" t="s">
        <v>24028</v>
      </c>
      <c r="K2021" t="s">
        <v>29335</v>
      </c>
      <c r="M2021" t="s">
        <v>30330</v>
      </c>
      <c r="N2021" t="s">
        <v>32524</v>
      </c>
      <c r="O2021" t="s">
        <v>32525</v>
      </c>
      <c r="P2021">
        <v>0</v>
      </c>
      <c r="Q2021">
        <v>0</v>
      </c>
      <c r="R2021" t="s">
        <v>32526</v>
      </c>
      <c r="S2021" t="s">
        <v>32547</v>
      </c>
      <c r="T2021" t="s">
        <v>33196</v>
      </c>
      <c r="U2021" t="s">
        <v>35178</v>
      </c>
      <c r="W2021" t="s">
        <v>30330</v>
      </c>
      <c r="X2021" t="s">
        <v>32527</v>
      </c>
    </row>
    <row r="2022" spans="1:24">
      <c r="A2022">
        <f>HYPERLINK("https://www.philgeps.gov.ph/GEPSNONPILOT/Tender/SplashBidNoticeAbstractUI.aspx?menuIndex=3&amp;refID=7046655&amp;Result=3","7046655")</f>
        <v>0</v>
      </c>
      <c r="B2022" t="s">
        <v>806</v>
      </c>
      <c r="C2022" t="s">
        <v>2862</v>
      </c>
      <c r="D2022" t="s">
        <v>13002</v>
      </c>
      <c r="E2022" t="s">
        <v>14916</v>
      </c>
      <c r="F2022" t="s">
        <v>22436</v>
      </c>
      <c r="G2022" t="s">
        <v>22444</v>
      </c>
      <c r="H2022" t="s">
        <v>22452</v>
      </c>
      <c r="I2022" t="s">
        <v>22460</v>
      </c>
      <c r="J2022" t="s">
        <v>24029</v>
      </c>
      <c r="K2022" t="s">
        <v>29341</v>
      </c>
      <c r="M2022" t="s">
        <v>30408</v>
      </c>
      <c r="N2022" t="s">
        <v>32524</v>
      </c>
      <c r="O2022" t="s">
        <v>32525</v>
      </c>
      <c r="P2022">
        <v>0</v>
      </c>
      <c r="Q2022">
        <v>0</v>
      </c>
      <c r="R2022" t="s">
        <v>32526</v>
      </c>
      <c r="S2022" t="s">
        <v>32547</v>
      </c>
      <c r="T2022" t="s">
        <v>33191</v>
      </c>
      <c r="U2022" t="s">
        <v>35350</v>
      </c>
      <c r="W2022" t="s">
        <v>30408</v>
      </c>
      <c r="X2022" t="s">
        <v>32527</v>
      </c>
    </row>
    <row r="2023" spans="1:24">
      <c r="A2023">
        <f>HYPERLINK("https://www.philgeps.gov.ph/GEPSNONPILOT/Tender/SplashBidNoticeAbstractUI.aspx?menuIndex=3&amp;refID=7046662&amp;Result=3","7046662")</f>
        <v>0</v>
      </c>
      <c r="B2023" t="s">
        <v>192</v>
      </c>
      <c r="C2023" t="s">
        <v>4625</v>
      </c>
      <c r="D2023" t="s">
        <v>13048</v>
      </c>
      <c r="E2023" t="s">
        <v>14917</v>
      </c>
      <c r="F2023" t="s">
        <v>22436</v>
      </c>
      <c r="G2023" t="s">
        <v>22444</v>
      </c>
      <c r="H2023" t="s">
        <v>22452</v>
      </c>
      <c r="I2023" t="s">
        <v>22460</v>
      </c>
      <c r="J2023" t="s">
        <v>24030</v>
      </c>
      <c r="K2023" t="s">
        <v>29338</v>
      </c>
      <c r="M2023" t="s">
        <v>29765</v>
      </c>
      <c r="N2023" t="s">
        <v>32524</v>
      </c>
      <c r="O2023" t="s">
        <v>32525</v>
      </c>
      <c r="P2023">
        <v>0</v>
      </c>
      <c r="Q2023">
        <v>3</v>
      </c>
      <c r="R2023" t="s">
        <v>32526</v>
      </c>
      <c r="S2023" t="s">
        <v>32547</v>
      </c>
      <c r="T2023" t="s">
        <v>33170</v>
      </c>
      <c r="U2023" t="s">
        <v>35328</v>
      </c>
      <c r="W2023" t="s">
        <v>29765</v>
      </c>
      <c r="X2023" t="s">
        <v>32527</v>
      </c>
    </row>
    <row r="2024" spans="1:24">
      <c r="A2024">
        <f>HYPERLINK("https://www.philgeps.gov.ph/GEPSNONPILOT/Tender/SplashBidNoticeAbstractUI.aspx?menuIndex=3&amp;refID=7046661&amp;Result=3","7046661")</f>
        <v>0</v>
      </c>
      <c r="B2024" t="s">
        <v>807</v>
      </c>
      <c r="C2024" t="s">
        <v>4626</v>
      </c>
      <c r="D2024" t="s">
        <v>13066</v>
      </c>
      <c r="E2024" t="s">
        <v>14918</v>
      </c>
      <c r="F2024" t="s">
        <v>22436</v>
      </c>
      <c r="G2024" t="s">
        <v>22443</v>
      </c>
      <c r="H2024" t="s">
        <v>22452</v>
      </c>
      <c r="I2024" t="s">
        <v>22544</v>
      </c>
      <c r="J2024" t="s">
        <v>24031</v>
      </c>
      <c r="K2024" t="s">
        <v>29382</v>
      </c>
      <c r="M2024" t="s">
        <v>30409</v>
      </c>
      <c r="N2024" t="s">
        <v>32524</v>
      </c>
      <c r="O2024" t="s">
        <v>32525</v>
      </c>
      <c r="P2024">
        <v>0</v>
      </c>
      <c r="Q2024">
        <v>0</v>
      </c>
      <c r="R2024" t="s">
        <v>32526</v>
      </c>
      <c r="S2024" t="s">
        <v>32547</v>
      </c>
      <c r="T2024" t="s">
        <v>33169</v>
      </c>
      <c r="U2024" t="s">
        <v>35351</v>
      </c>
      <c r="V2024" t="s">
        <v>42621</v>
      </c>
      <c r="W2024" t="s">
        <v>30409</v>
      </c>
      <c r="X2024" t="s">
        <v>32527</v>
      </c>
    </row>
    <row r="2025" spans="1:24">
      <c r="A2025">
        <f>HYPERLINK("https://www.philgeps.gov.ph/GEPSNONPILOT/Tender/SplashBidNoticeAbstractUI.aspx?menuIndex=3&amp;refID=7046648&amp;Result=3","7046648")</f>
        <v>0</v>
      </c>
      <c r="B2025" t="s">
        <v>90</v>
      </c>
      <c r="C2025" t="s">
        <v>4627</v>
      </c>
      <c r="D2025" t="s">
        <v>13026</v>
      </c>
      <c r="E2025" t="s">
        <v>14919</v>
      </c>
      <c r="F2025" t="s">
        <v>22436</v>
      </c>
      <c r="G2025" t="s">
        <v>22444</v>
      </c>
      <c r="H2025" t="s">
        <v>22452</v>
      </c>
      <c r="I2025" t="s">
        <v>22474</v>
      </c>
      <c r="J2025" t="s">
        <v>24032</v>
      </c>
      <c r="K2025" t="s">
        <v>29341</v>
      </c>
      <c r="M2025" t="s">
        <v>30410</v>
      </c>
      <c r="N2025" t="s">
        <v>32524</v>
      </c>
      <c r="O2025" t="s">
        <v>32525</v>
      </c>
      <c r="P2025">
        <v>0</v>
      </c>
      <c r="Q2025">
        <v>4</v>
      </c>
      <c r="R2025" t="s">
        <v>32526</v>
      </c>
      <c r="S2025" t="s">
        <v>32547</v>
      </c>
      <c r="T2025" t="s">
        <v>33207</v>
      </c>
      <c r="U2025" t="s">
        <v>35352</v>
      </c>
      <c r="W2025" t="s">
        <v>30410</v>
      </c>
      <c r="X2025" t="s">
        <v>32527</v>
      </c>
    </row>
    <row r="2026" spans="1:24">
      <c r="A2026">
        <f>HYPERLINK("https://www.philgeps.gov.ph/GEPSNONPILOT/Tender/SplashBidNoticeAbstractUI.aspx?menuIndex=3&amp;refID=7046660&amp;Result=3","7046660")</f>
        <v>0</v>
      </c>
      <c r="B2026" t="s">
        <v>771</v>
      </c>
      <c r="C2026" t="s">
        <v>4628</v>
      </c>
      <c r="D2026" t="s">
        <v>13012</v>
      </c>
      <c r="E2026" t="s">
        <v>14920</v>
      </c>
      <c r="F2026" t="s">
        <v>22436</v>
      </c>
      <c r="G2026" t="s">
        <v>22444</v>
      </c>
      <c r="H2026" t="s">
        <v>22454</v>
      </c>
      <c r="I2026" t="s">
        <v>7738</v>
      </c>
      <c r="J2026" t="s">
        <v>24033</v>
      </c>
      <c r="K2026" t="s">
        <v>29338</v>
      </c>
      <c r="M2026" t="s">
        <v>30398</v>
      </c>
      <c r="N2026" t="s">
        <v>32524</v>
      </c>
      <c r="O2026" t="s">
        <v>32525</v>
      </c>
      <c r="P2026">
        <v>0</v>
      </c>
      <c r="Q2026">
        <v>0</v>
      </c>
      <c r="R2026" t="s">
        <v>32526</v>
      </c>
      <c r="S2026" t="s">
        <v>32547</v>
      </c>
      <c r="T2026" t="s">
        <v>33207</v>
      </c>
      <c r="U2026" t="s">
        <v>35268</v>
      </c>
      <c r="W2026" t="s">
        <v>30398</v>
      </c>
      <c r="X2026" t="s">
        <v>32527</v>
      </c>
    </row>
    <row r="2027" spans="1:24">
      <c r="A2027">
        <f>HYPERLINK("https://www.philgeps.gov.ph/GEPSNONPILOT/Tender/SplashBidNoticeAbstractUI.aspx?menuIndex=3&amp;refID=7046657&amp;Result=3","7046657")</f>
        <v>0</v>
      </c>
      <c r="B2027" t="s">
        <v>808</v>
      </c>
      <c r="C2027" t="s">
        <v>3256</v>
      </c>
      <c r="D2027" t="s">
        <v>13068</v>
      </c>
      <c r="E2027" t="s">
        <v>14921</v>
      </c>
      <c r="F2027" t="s">
        <v>22436</v>
      </c>
      <c r="G2027" t="s">
        <v>22444</v>
      </c>
      <c r="H2027" t="s">
        <v>22452</v>
      </c>
      <c r="I2027" t="s">
        <v>6421</v>
      </c>
      <c r="J2027" t="s">
        <v>24034</v>
      </c>
      <c r="K2027" t="s">
        <v>29335</v>
      </c>
      <c r="M2027" t="s">
        <v>30411</v>
      </c>
      <c r="N2027" t="s">
        <v>32524</v>
      </c>
      <c r="O2027" t="s">
        <v>32525</v>
      </c>
      <c r="P2027">
        <v>0</v>
      </c>
      <c r="Q2027">
        <v>1</v>
      </c>
      <c r="R2027" t="s">
        <v>32526</v>
      </c>
      <c r="S2027" t="s">
        <v>32547</v>
      </c>
      <c r="T2027" t="s">
        <v>33155</v>
      </c>
      <c r="U2027" t="s">
        <v>35353</v>
      </c>
      <c r="W2027" t="s">
        <v>30411</v>
      </c>
      <c r="X2027" t="s">
        <v>32527</v>
      </c>
    </row>
    <row r="2028" spans="1:24">
      <c r="A2028">
        <f>HYPERLINK("https://www.philgeps.gov.ph/GEPSNONPILOT/Tender/SplashBidNoticeAbstractUI.aspx?menuIndex=3&amp;refID=7046658&amp;Result=3","7046658")</f>
        <v>0</v>
      </c>
      <c r="B2028" t="s">
        <v>741</v>
      </c>
      <c r="C2028" t="s">
        <v>4629</v>
      </c>
      <c r="D2028" t="s">
        <v>13019</v>
      </c>
      <c r="E2028" t="s">
        <v>13589</v>
      </c>
      <c r="F2028" t="s">
        <v>22436</v>
      </c>
      <c r="G2028" t="s">
        <v>22444</v>
      </c>
      <c r="H2028" t="s">
        <v>22454</v>
      </c>
      <c r="I2028" t="s">
        <v>7738</v>
      </c>
      <c r="J2028" t="s">
        <v>22788</v>
      </c>
      <c r="K2028" t="s">
        <v>29362</v>
      </c>
      <c r="M2028" t="s">
        <v>30342</v>
      </c>
      <c r="N2028" t="s">
        <v>32524</v>
      </c>
      <c r="O2028" t="s">
        <v>32525</v>
      </c>
      <c r="P2028">
        <v>0</v>
      </c>
      <c r="Q2028">
        <v>0</v>
      </c>
      <c r="R2028" t="s">
        <v>32526</v>
      </c>
      <c r="S2028" t="s">
        <v>32547</v>
      </c>
      <c r="T2028" t="s">
        <v>33164</v>
      </c>
      <c r="U2028" t="s">
        <v>35354</v>
      </c>
      <c r="W2028" t="s">
        <v>30342</v>
      </c>
      <c r="X2028" t="s">
        <v>32527</v>
      </c>
    </row>
    <row r="2029" spans="1:24">
      <c r="A2029">
        <f>HYPERLINK("https://www.philgeps.gov.ph/GEPSNONPILOT/Tender/SplashBidNoticeAbstractUI.aspx?menuIndex=3&amp;refID=7046675&amp;Result=3","7046675")</f>
        <v>0</v>
      </c>
      <c r="B2029" t="s">
        <v>44</v>
      </c>
      <c r="C2029" t="s">
        <v>4630</v>
      </c>
      <c r="D2029" t="s">
        <v>13004</v>
      </c>
      <c r="E2029" t="s">
        <v>14922</v>
      </c>
      <c r="F2029" t="s">
        <v>22436</v>
      </c>
      <c r="G2029" t="s">
        <v>22443</v>
      </c>
      <c r="H2029" t="s">
        <v>22452</v>
      </c>
      <c r="I2029" t="s">
        <v>22456</v>
      </c>
      <c r="J2029" t="s">
        <v>24035</v>
      </c>
      <c r="K2029" t="s">
        <v>29335</v>
      </c>
      <c r="M2029" t="s">
        <v>29615</v>
      </c>
      <c r="N2029" t="s">
        <v>32524</v>
      </c>
      <c r="O2029" t="s">
        <v>32525</v>
      </c>
      <c r="P2029">
        <v>0</v>
      </c>
      <c r="Q2029">
        <v>2</v>
      </c>
      <c r="R2029" t="s">
        <v>32526</v>
      </c>
      <c r="S2029" t="s">
        <v>32547</v>
      </c>
      <c r="T2029" t="s">
        <v>33167</v>
      </c>
      <c r="U2029" t="s">
        <v>34988</v>
      </c>
      <c r="W2029" t="s">
        <v>29615</v>
      </c>
      <c r="X2029" t="s">
        <v>32527</v>
      </c>
    </row>
    <row r="2030" spans="1:24">
      <c r="A2030">
        <f>HYPERLINK("https://www.philgeps.gov.ph/GEPSNONPILOT/Tender/SplashBidNoticeAbstractUI.aspx?menuIndex=3&amp;refID=7046659&amp;Result=3","7046659")</f>
        <v>0</v>
      </c>
      <c r="B2030" t="s">
        <v>784</v>
      </c>
      <c r="C2030" t="s">
        <v>4631</v>
      </c>
      <c r="D2030" t="s">
        <v>13045</v>
      </c>
      <c r="E2030" t="s">
        <v>14923</v>
      </c>
      <c r="F2030" t="s">
        <v>22436</v>
      </c>
      <c r="G2030" t="s">
        <v>22445</v>
      </c>
      <c r="H2030" t="s">
        <v>22452</v>
      </c>
      <c r="I2030" t="s">
        <v>5194</v>
      </c>
      <c r="J2030" t="s">
        <v>24036</v>
      </c>
      <c r="K2030" t="s">
        <v>29336</v>
      </c>
      <c r="M2030" t="s">
        <v>30385</v>
      </c>
      <c r="N2030" t="s">
        <v>32524</v>
      </c>
      <c r="O2030" t="s">
        <v>32525</v>
      </c>
      <c r="P2030">
        <v>0</v>
      </c>
      <c r="Q2030">
        <v>2</v>
      </c>
      <c r="R2030" t="s">
        <v>32526</v>
      </c>
      <c r="S2030" t="s">
        <v>32547</v>
      </c>
      <c r="T2030" t="s">
        <v>33154</v>
      </c>
      <c r="U2030" t="s">
        <v>35305</v>
      </c>
      <c r="V2030" t="s">
        <v>42615</v>
      </c>
      <c r="W2030" t="s">
        <v>30385</v>
      </c>
      <c r="X2030" t="s">
        <v>32527</v>
      </c>
    </row>
    <row r="2031" spans="1:24">
      <c r="A2031">
        <f>HYPERLINK("https://www.philgeps.gov.ph/GEPSNONPILOT/Tender/SplashBidNoticeAbstractUI.aspx?menuIndex=3&amp;refID=7046670&amp;Result=3","7046670")</f>
        <v>0</v>
      </c>
      <c r="B2031" t="s">
        <v>196</v>
      </c>
      <c r="C2031" t="s">
        <v>4632</v>
      </c>
      <c r="D2031" t="s">
        <v>13002</v>
      </c>
      <c r="E2031" t="s">
        <v>14924</v>
      </c>
      <c r="F2031" t="s">
        <v>22436</v>
      </c>
      <c r="G2031" t="s">
        <v>22443</v>
      </c>
      <c r="H2031" t="s">
        <v>22452</v>
      </c>
      <c r="I2031" t="s">
        <v>22472</v>
      </c>
      <c r="J2031" t="s">
        <v>22692</v>
      </c>
      <c r="K2031" t="s">
        <v>29335</v>
      </c>
      <c r="M2031" t="s">
        <v>29769</v>
      </c>
      <c r="N2031" t="s">
        <v>32524</v>
      </c>
      <c r="O2031" t="s">
        <v>32525</v>
      </c>
      <c r="P2031">
        <v>0</v>
      </c>
      <c r="Q2031">
        <v>0</v>
      </c>
      <c r="R2031" t="s">
        <v>32526</v>
      </c>
      <c r="S2031" t="s">
        <v>32547</v>
      </c>
      <c r="T2031" t="s">
        <v>33171</v>
      </c>
      <c r="U2031" t="s">
        <v>35355</v>
      </c>
      <c r="W2031" t="s">
        <v>29769</v>
      </c>
      <c r="X2031" t="s">
        <v>32527</v>
      </c>
    </row>
    <row r="2032" spans="1:24">
      <c r="A2032">
        <f>HYPERLINK("https://www.philgeps.gov.ph/GEPSNONPILOT/Tender/SplashBidNoticeAbstractUI.aspx?menuIndex=3&amp;refID=7046672&amp;Result=3","7046672")</f>
        <v>0</v>
      </c>
      <c r="B2032" t="s">
        <v>809</v>
      </c>
      <c r="C2032" t="s">
        <v>4633</v>
      </c>
      <c r="D2032" t="s">
        <v>13045</v>
      </c>
      <c r="E2032" t="s">
        <v>14925</v>
      </c>
      <c r="F2032" t="s">
        <v>22436</v>
      </c>
      <c r="G2032" t="s">
        <v>22443</v>
      </c>
      <c r="H2032" t="s">
        <v>22452</v>
      </c>
      <c r="I2032" t="s">
        <v>22460</v>
      </c>
      <c r="J2032" t="s">
        <v>22704</v>
      </c>
      <c r="K2032" t="s">
        <v>29341</v>
      </c>
      <c r="M2032" t="s">
        <v>30412</v>
      </c>
      <c r="N2032" t="s">
        <v>32524</v>
      </c>
      <c r="O2032" t="s">
        <v>32525</v>
      </c>
      <c r="P2032">
        <v>0</v>
      </c>
      <c r="Q2032">
        <v>1</v>
      </c>
      <c r="R2032" t="s">
        <v>32526</v>
      </c>
      <c r="S2032" t="s">
        <v>32547</v>
      </c>
      <c r="T2032" t="s">
        <v>33169</v>
      </c>
      <c r="U2032" t="s">
        <v>35356</v>
      </c>
      <c r="W2032" t="s">
        <v>30412</v>
      </c>
      <c r="X2032" t="s">
        <v>32527</v>
      </c>
    </row>
    <row r="2033" spans="1:24">
      <c r="A2033">
        <f>HYPERLINK("https://www.philgeps.gov.ph/GEPSNONPILOT/Tender/SplashBidNoticeAbstractUI.aspx?menuIndex=3&amp;refID=7046669&amp;Result=3","7046669")</f>
        <v>0</v>
      </c>
      <c r="B2033" t="s">
        <v>732</v>
      </c>
      <c r="C2033" t="s">
        <v>4634</v>
      </c>
      <c r="D2033" t="s">
        <v>13045</v>
      </c>
      <c r="E2033" t="s">
        <v>14926</v>
      </c>
      <c r="F2033" t="s">
        <v>22436</v>
      </c>
      <c r="G2033" t="s">
        <v>22443</v>
      </c>
      <c r="H2033" t="s">
        <v>22452</v>
      </c>
      <c r="I2033" t="s">
        <v>22519</v>
      </c>
      <c r="J2033" t="s">
        <v>24037</v>
      </c>
      <c r="K2033" t="s">
        <v>29335</v>
      </c>
      <c r="M2033" t="s">
        <v>30330</v>
      </c>
      <c r="N2033" t="s">
        <v>32524</v>
      </c>
      <c r="O2033" t="s">
        <v>32525</v>
      </c>
      <c r="P2033">
        <v>0</v>
      </c>
      <c r="Q2033">
        <v>0</v>
      </c>
      <c r="R2033" t="s">
        <v>32526</v>
      </c>
      <c r="S2033" t="s">
        <v>32547</v>
      </c>
      <c r="T2033" t="s">
        <v>33196</v>
      </c>
      <c r="U2033" t="s">
        <v>35178</v>
      </c>
      <c r="W2033" t="s">
        <v>30330</v>
      </c>
      <c r="X2033" t="s">
        <v>32527</v>
      </c>
    </row>
    <row r="2034" spans="1:24">
      <c r="A2034">
        <f>HYPERLINK("https://www.philgeps.gov.ph/GEPSNONPILOT/Tender/SplashBidNoticeAbstractUI.aspx?menuIndex=3&amp;refID=7046668&amp;Result=3","7046668")</f>
        <v>0</v>
      </c>
      <c r="B2034" t="s">
        <v>50</v>
      </c>
      <c r="C2034" t="s">
        <v>4635</v>
      </c>
      <c r="D2034" t="s">
        <v>13008</v>
      </c>
      <c r="E2034" t="s">
        <v>14905</v>
      </c>
      <c r="F2034" t="s">
        <v>22436</v>
      </c>
      <c r="G2034" t="s">
        <v>22444</v>
      </c>
      <c r="H2034" t="s">
        <v>22452</v>
      </c>
      <c r="I2034" t="s">
        <v>22492</v>
      </c>
      <c r="J2034" t="s">
        <v>24038</v>
      </c>
      <c r="K2034" t="s">
        <v>29335</v>
      </c>
      <c r="M2034" t="s">
        <v>29622</v>
      </c>
      <c r="N2034" t="s">
        <v>32524</v>
      </c>
      <c r="O2034" t="s">
        <v>32525</v>
      </c>
      <c r="P2034">
        <v>0</v>
      </c>
      <c r="Q2034">
        <v>0</v>
      </c>
      <c r="R2034" t="s">
        <v>32526</v>
      </c>
      <c r="S2034" t="s">
        <v>32547</v>
      </c>
      <c r="T2034" t="s">
        <v>33166</v>
      </c>
      <c r="U2034" t="s">
        <v>35338</v>
      </c>
      <c r="W2034" t="s">
        <v>29622</v>
      </c>
      <c r="X2034" t="s">
        <v>32527</v>
      </c>
    </row>
    <row r="2035" spans="1:24">
      <c r="A2035">
        <f>HYPERLINK("https://www.philgeps.gov.ph/GEPSNONPILOT/Tender/SplashBidNoticeAbstractUI.aspx?menuIndex=3&amp;refID=7046676&amp;Result=3","7046676")</f>
        <v>0</v>
      </c>
      <c r="B2035" t="s">
        <v>810</v>
      </c>
      <c r="C2035" t="s">
        <v>4636</v>
      </c>
      <c r="D2035" t="s">
        <v>13006</v>
      </c>
      <c r="E2035" t="s">
        <v>14927</v>
      </c>
      <c r="F2035" t="s">
        <v>22436</v>
      </c>
      <c r="G2035" t="s">
        <v>22450</v>
      </c>
      <c r="H2035" t="s">
        <v>22455</v>
      </c>
      <c r="I2035" t="s">
        <v>22523</v>
      </c>
      <c r="J2035" t="s">
        <v>24039</v>
      </c>
      <c r="K2035" t="s">
        <v>29344</v>
      </c>
      <c r="M2035" t="s">
        <v>30413</v>
      </c>
      <c r="N2035" t="s">
        <v>32524</v>
      </c>
      <c r="O2035" t="s">
        <v>32525</v>
      </c>
      <c r="P2035">
        <v>0</v>
      </c>
      <c r="Q2035">
        <v>0</v>
      </c>
      <c r="R2035" t="s">
        <v>32526</v>
      </c>
      <c r="S2035" t="s">
        <v>32547</v>
      </c>
      <c r="T2035" t="s">
        <v>33182</v>
      </c>
      <c r="U2035" t="s">
        <v>35357</v>
      </c>
      <c r="W2035" t="s">
        <v>30413</v>
      </c>
      <c r="X2035" t="s">
        <v>32527</v>
      </c>
    </row>
    <row r="2036" spans="1:24">
      <c r="A2036">
        <f>HYPERLINK("https://www.philgeps.gov.ph/GEPSNONPILOT/Tender/SplashBidNoticeAbstractUI.aspx?menuIndex=3&amp;refID=7046673&amp;Result=3","7046673")</f>
        <v>0</v>
      </c>
      <c r="B2036" t="s">
        <v>347</v>
      </c>
      <c r="C2036" t="s">
        <v>4637</v>
      </c>
      <c r="D2036" t="s">
        <v>13013</v>
      </c>
      <c r="E2036" t="s">
        <v>14928</v>
      </c>
      <c r="F2036" t="s">
        <v>22436</v>
      </c>
      <c r="G2036" t="s">
        <v>22443</v>
      </c>
      <c r="H2036" t="s">
        <v>22452</v>
      </c>
      <c r="I2036" t="s">
        <v>3529</v>
      </c>
      <c r="J2036" t="s">
        <v>24040</v>
      </c>
      <c r="K2036" t="s">
        <v>29338</v>
      </c>
      <c r="M2036" t="s">
        <v>29923</v>
      </c>
      <c r="N2036" t="s">
        <v>32524</v>
      </c>
      <c r="O2036" t="s">
        <v>32525</v>
      </c>
      <c r="P2036">
        <v>0</v>
      </c>
      <c r="Q2036">
        <v>0</v>
      </c>
      <c r="R2036" t="s">
        <v>32526</v>
      </c>
      <c r="S2036" t="s">
        <v>32547</v>
      </c>
      <c r="T2036" t="s">
        <v>33250</v>
      </c>
      <c r="U2036" t="s">
        <v>35358</v>
      </c>
      <c r="W2036" t="s">
        <v>29923</v>
      </c>
      <c r="X2036" t="s">
        <v>32527</v>
      </c>
    </row>
    <row r="2037" spans="1:24">
      <c r="A2037">
        <f>HYPERLINK("https://www.philgeps.gov.ph/GEPSNONPILOT/Tender/SplashBidNoticeAbstractUI.aspx?menuIndex=3&amp;refID=7046663&amp;Result=3","7046663")</f>
        <v>0</v>
      </c>
      <c r="B2037" t="s">
        <v>811</v>
      </c>
      <c r="C2037" t="s">
        <v>4638</v>
      </c>
      <c r="D2037" t="s">
        <v>13001</v>
      </c>
      <c r="E2037" t="s">
        <v>14929</v>
      </c>
      <c r="F2037" t="s">
        <v>22436</v>
      </c>
      <c r="G2037" t="s">
        <v>22443</v>
      </c>
      <c r="H2037" t="s">
        <v>22453</v>
      </c>
      <c r="I2037" t="s">
        <v>4170</v>
      </c>
      <c r="J2037" t="s">
        <v>24041</v>
      </c>
      <c r="K2037" t="s">
        <v>29371</v>
      </c>
      <c r="M2037" t="s">
        <v>30414</v>
      </c>
      <c r="N2037" t="s">
        <v>32524</v>
      </c>
      <c r="O2037" t="s">
        <v>32525</v>
      </c>
      <c r="P2037">
        <v>0</v>
      </c>
      <c r="Q2037">
        <v>0</v>
      </c>
      <c r="R2037" t="s">
        <v>32526</v>
      </c>
      <c r="S2037" t="s">
        <v>32547</v>
      </c>
      <c r="T2037" t="s">
        <v>33228</v>
      </c>
      <c r="U2037" t="s">
        <v>35359</v>
      </c>
      <c r="W2037" t="s">
        <v>30414</v>
      </c>
      <c r="X2037" t="s">
        <v>32527</v>
      </c>
    </row>
    <row r="2038" spans="1:24">
      <c r="A2038">
        <f>HYPERLINK("https://www.philgeps.gov.ph/GEPSNONPILOT/Tender/SplashBidNoticeAbstractUI.aspx?menuIndex=3&amp;refID=7046666&amp;Result=3","7046666")</f>
        <v>0</v>
      </c>
      <c r="B2038" t="s">
        <v>88</v>
      </c>
      <c r="C2038" t="s">
        <v>4639</v>
      </c>
      <c r="D2038" t="s">
        <v>13025</v>
      </c>
      <c r="E2038" t="s">
        <v>14930</v>
      </c>
      <c r="F2038" t="s">
        <v>22436</v>
      </c>
      <c r="G2038" t="s">
        <v>22444</v>
      </c>
      <c r="H2038" t="s">
        <v>22452</v>
      </c>
      <c r="I2038" t="s">
        <v>3827</v>
      </c>
      <c r="J2038" t="s">
        <v>22692</v>
      </c>
      <c r="K2038" t="s">
        <v>29338</v>
      </c>
      <c r="M2038" t="s">
        <v>29660</v>
      </c>
      <c r="N2038" t="s">
        <v>32524</v>
      </c>
      <c r="O2038" t="s">
        <v>32525</v>
      </c>
      <c r="P2038">
        <v>0</v>
      </c>
      <c r="Q2038">
        <v>0</v>
      </c>
      <c r="R2038" t="s">
        <v>32526</v>
      </c>
      <c r="S2038" t="s">
        <v>32547</v>
      </c>
      <c r="T2038" t="s">
        <v>33187</v>
      </c>
      <c r="U2038" t="s">
        <v>35181</v>
      </c>
      <c r="W2038" t="s">
        <v>29660</v>
      </c>
      <c r="X2038" t="s">
        <v>32527</v>
      </c>
    </row>
    <row r="2039" spans="1:24">
      <c r="A2039">
        <f>HYPERLINK("https://www.philgeps.gov.ph/GEPSNONPILOT/Tender/SplashBidNoticeAbstractUI.aspx?menuIndex=3&amp;refID=7046677&amp;Result=3","7046677")</f>
        <v>0</v>
      </c>
      <c r="B2039" t="s">
        <v>784</v>
      </c>
      <c r="C2039" t="s">
        <v>4640</v>
      </c>
      <c r="D2039" t="s">
        <v>13045</v>
      </c>
      <c r="E2039" t="s">
        <v>14931</v>
      </c>
      <c r="F2039" t="s">
        <v>22436</v>
      </c>
      <c r="G2039" t="s">
        <v>22445</v>
      </c>
      <c r="H2039" t="s">
        <v>22452</v>
      </c>
      <c r="I2039" t="s">
        <v>5194</v>
      </c>
      <c r="J2039" t="s">
        <v>24042</v>
      </c>
      <c r="K2039" t="s">
        <v>29336</v>
      </c>
      <c r="M2039" t="s">
        <v>30385</v>
      </c>
      <c r="N2039" t="s">
        <v>32524</v>
      </c>
      <c r="O2039" t="s">
        <v>32525</v>
      </c>
      <c r="P2039">
        <v>0</v>
      </c>
      <c r="Q2039">
        <v>3</v>
      </c>
      <c r="R2039" t="s">
        <v>32526</v>
      </c>
      <c r="S2039" t="s">
        <v>32547</v>
      </c>
      <c r="T2039" t="s">
        <v>33154</v>
      </c>
      <c r="U2039" t="s">
        <v>35305</v>
      </c>
      <c r="V2039" t="s">
        <v>42615</v>
      </c>
      <c r="W2039" t="s">
        <v>30385</v>
      </c>
      <c r="X2039" t="s">
        <v>32527</v>
      </c>
    </row>
    <row r="2040" spans="1:24">
      <c r="A2040">
        <f>HYPERLINK("https://www.philgeps.gov.ph/GEPSNONPILOT/Tender/SplashBidNoticeAbstractUI.aspx?menuIndex=3&amp;refID=7046665&amp;Result=3","7046665")</f>
        <v>0</v>
      </c>
      <c r="B2040" t="s">
        <v>803</v>
      </c>
      <c r="C2040" t="s">
        <v>4641</v>
      </c>
      <c r="D2040" t="s">
        <v>12995</v>
      </c>
      <c r="E2040" t="s">
        <v>14932</v>
      </c>
      <c r="F2040" t="s">
        <v>22436</v>
      </c>
      <c r="G2040" t="s">
        <v>22446</v>
      </c>
      <c r="H2040" t="s">
        <v>22452</v>
      </c>
      <c r="I2040" t="s">
        <v>22471</v>
      </c>
      <c r="J2040" t="s">
        <v>23226</v>
      </c>
      <c r="K2040" t="s">
        <v>29335</v>
      </c>
      <c r="M2040" t="s">
        <v>30405</v>
      </c>
      <c r="N2040" t="s">
        <v>32524</v>
      </c>
      <c r="O2040" t="s">
        <v>32525</v>
      </c>
      <c r="P2040">
        <v>0</v>
      </c>
      <c r="Q2040">
        <v>6</v>
      </c>
      <c r="R2040" t="s">
        <v>32526</v>
      </c>
      <c r="S2040" t="s">
        <v>32547</v>
      </c>
      <c r="T2040" t="s">
        <v>33310</v>
      </c>
      <c r="U2040" t="s">
        <v>35360</v>
      </c>
      <c r="W2040" t="s">
        <v>30405</v>
      </c>
      <c r="X2040" t="s">
        <v>32527</v>
      </c>
    </row>
    <row r="2041" spans="1:24">
      <c r="A2041">
        <f>HYPERLINK("https://www.philgeps.gov.ph/GEPSNONPILOT/Tender/SplashBidNoticeAbstractUI.aspx?menuIndex=3&amp;refID=7046690&amp;Result=3","7046690")</f>
        <v>0</v>
      </c>
      <c r="B2041" t="s">
        <v>741</v>
      </c>
      <c r="C2041" t="s">
        <v>4642</v>
      </c>
      <c r="D2041" t="s">
        <v>13019</v>
      </c>
      <c r="E2041" t="s">
        <v>14933</v>
      </c>
      <c r="F2041" t="s">
        <v>22436</v>
      </c>
      <c r="G2041" t="s">
        <v>22444</v>
      </c>
      <c r="H2041" t="s">
        <v>22452</v>
      </c>
      <c r="I2041" t="s">
        <v>3827</v>
      </c>
      <c r="J2041" t="s">
        <v>22758</v>
      </c>
      <c r="K2041" t="s">
        <v>29335</v>
      </c>
      <c r="M2041" t="s">
        <v>30342</v>
      </c>
      <c r="N2041" t="s">
        <v>32524</v>
      </c>
      <c r="O2041" t="s">
        <v>32525</v>
      </c>
      <c r="P2041">
        <v>0</v>
      </c>
      <c r="Q2041">
        <v>1</v>
      </c>
      <c r="R2041" t="s">
        <v>32526</v>
      </c>
      <c r="S2041" t="s">
        <v>32547</v>
      </c>
      <c r="T2041" t="s">
        <v>33164</v>
      </c>
      <c r="U2041" t="s">
        <v>35361</v>
      </c>
      <c r="W2041" t="s">
        <v>30342</v>
      </c>
      <c r="X2041" t="s">
        <v>32527</v>
      </c>
    </row>
    <row r="2042" spans="1:24">
      <c r="A2042">
        <f>HYPERLINK("https://www.philgeps.gov.ph/GEPSNONPILOT/Tender/SplashBidNoticeAbstractUI.aspx?menuIndex=3&amp;refID=7046686&amp;Result=3","7046686")</f>
        <v>0</v>
      </c>
      <c r="B2042" t="s">
        <v>527</v>
      </c>
      <c r="C2042" t="s">
        <v>4643</v>
      </c>
      <c r="D2042" t="s">
        <v>12988</v>
      </c>
      <c r="E2042" t="s">
        <v>14934</v>
      </c>
      <c r="F2042" t="s">
        <v>22436</v>
      </c>
      <c r="G2042" t="s">
        <v>22443</v>
      </c>
      <c r="H2042" t="s">
        <v>22452</v>
      </c>
      <c r="I2042" t="s">
        <v>22545</v>
      </c>
      <c r="J2042" t="s">
        <v>24043</v>
      </c>
      <c r="K2042" t="s">
        <v>29338</v>
      </c>
      <c r="M2042" t="s">
        <v>30415</v>
      </c>
      <c r="N2042" t="s">
        <v>32524</v>
      </c>
      <c r="O2042" t="s">
        <v>32525</v>
      </c>
      <c r="P2042">
        <v>0</v>
      </c>
      <c r="Q2042">
        <v>2</v>
      </c>
      <c r="R2042" t="s">
        <v>32526</v>
      </c>
      <c r="S2042" t="s">
        <v>32547</v>
      </c>
      <c r="T2042" t="s">
        <v>33202</v>
      </c>
      <c r="U2042" t="s">
        <v>35362</v>
      </c>
      <c r="W2042" t="s">
        <v>30415</v>
      </c>
      <c r="X2042" t="s">
        <v>32527</v>
      </c>
    </row>
    <row r="2043" spans="1:24">
      <c r="A2043">
        <f>HYPERLINK("https://www.philgeps.gov.ph/GEPSNONPILOT/Tender/SplashBidNoticeAbstractUI.aspx?menuIndex=3&amp;refID=7046689&amp;Result=3","7046689")</f>
        <v>0</v>
      </c>
      <c r="B2043" t="s">
        <v>812</v>
      </c>
      <c r="C2043" t="s">
        <v>4644</v>
      </c>
      <c r="D2043" t="s">
        <v>12988</v>
      </c>
      <c r="E2043" t="s">
        <v>14935</v>
      </c>
      <c r="F2043" t="s">
        <v>22436</v>
      </c>
      <c r="G2043" t="s">
        <v>22444</v>
      </c>
      <c r="H2043" t="s">
        <v>22452</v>
      </c>
      <c r="I2043" t="s">
        <v>22456</v>
      </c>
      <c r="J2043" t="s">
        <v>24044</v>
      </c>
      <c r="K2043" t="s">
        <v>29334</v>
      </c>
      <c r="M2043" t="s">
        <v>30416</v>
      </c>
      <c r="N2043" t="s">
        <v>32524</v>
      </c>
      <c r="O2043" t="s">
        <v>32525</v>
      </c>
      <c r="P2043">
        <v>0</v>
      </c>
      <c r="Q2043">
        <v>12</v>
      </c>
      <c r="R2043" t="s">
        <v>32526</v>
      </c>
      <c r="S2043" t="s">
        <v>32547</v>
      </c>
      <c r="T2043" t="s">
        <v>33179</v>
      </c>
      <c r="U2043" t="s">
        <v>35363</v>
      </c>
      <c r="W2043" t="s">
        <v>30416</v>
      </c>
      <c r="X2043" t="s">
        <v>32527</v>
      </c>
    </row>
    <row r="2044" spans="1:24">
      <c r="A2044">
        <f>HYPERLINK("https://www.philgeps.gov.ph/GEPSNONPILOT/Tender/SplashBidNoticeAbstractUI.aspx?menuIndex=3&amp;refID=7046683&amp;Result=3","7046683")</f>
        <v>0</v>
      </c>
      <c r="B2044" t="s">
        <v>167</v>
      </c>
      <c r="C2044" t="s">
        <v>4645</v>
      </c>
      <c r="D2044" t="s">
        <v>13002</v>
      </c>
      <c r="E2044" t="s">
        <v>14936</v>
      </c>
      <c r="F2044" t="s">
        <v>22436</v>
      </c>
      <c r="G2044" t="s">
        <v>22444</v>
      </c>
      <c r="H2044" t="s">
        <v>22452</v>
      </c>
      <c r="I2044" t="s">
        <v>12358</v>
      </c>
      <c r="J2044" t="s">
        <v>24045</v>
      </c>
      <c r="K2044" t="s">
        <v>29335</v>
      </c>
      <c r="L2044" t="s">
        <v>167</v>
      </c>
      <c r="M2044" t="s">
        <v>29739</v>
      </c>
      <c r="N2044" t="s">
        <v>32524</v>
      </c>
      <c r="O2044" t="s">
        <v>32525</v>
      </c>
      <c r="P2044">
        <v>0</v>
      </c>
      <c r="Q2044">
        <v>1</v>
      </c>
      <c r="R2044" t="s">
        <v>32526</v>
      </c>
      <c r="S2044" t="s">
        <v>32547</v>
      </c>
      <c r="T2044" t="s">
        <v>33181</v>
      </c>
      <c r="U2044" t="s">
        <v>35364</v>
      </c>
      <c r="W2044" t="s">
        <v>29739</v>
      </c>
      <c r="X2044" t="s">
        <v>32527</v>
      </c>
    </row>
    <row r="2045" spans="1:24">
      <c r="A2045">
        <f>HYPERLINK("https://www.philgeps.gov.ph/GEPSNONPILOT/Tender/SplashBidNoticeAbstractUI.aspx?menuIndex=3&amp;refID=7046684&amp;Result=3","7046684")</f>
        <v>0</v>
      </c>
      <c r="B2045" t="s">
        <v>813</v>
      </c>
      <c r="C2045" t="s">
        <v>4646</v>
      </c>
      <c r="D2045" t="s">
        <v>13042</v>
      </c>
      <c r="E2045" t="s">
        <v>14937</v>
      </c>
      <c r="F2045" t="s">
        <v>22436</v>
      </c>
      <c r="G2045" t="s">
        <v>22443</v>
      </c>
      <c r="H2045" t="s">
        <v>22455</v>
      </c>
      <c r="I2045" t="s">
        <v>22466</v>
      </c>
      <c r="J2045" t="s">
        <v>24046</v>
      </c>
      <c r="K2045" t="s">
        <v>29341</v>
      </c>
      <c r="M2045" t="s">
        <v>30417</v>
      </c>
      <c r="N2045" t="s">
        <v>32524</v>
      </c>
      <c r="O2045" t="s">
        <v>32525</v>
      </c>
      <c r="P2045">
        <v>0</v>
      </c>
      <c r="Q2045">
        <v>8</v>
      </c>
      <c r="R2045" t="s">
        <v>32526</v>
      </c>
      <c r="S2045" t="s">
        <v>32547</v>
      </c>
      <c r="T2045" t="s">
        <v>33169</v>
      </c>
      <c r="U2045" t="s">
        <v>35365</v>
      </c>
      <c r="W2045" t="s">
        <v>30417</v>
      </c>
      <c r="X2045" t="s">
        <v>32527</v>
      </c>
    </row>
    <row r="2046" spans="1:24">
      <c r="A2046">
        <f>HYPERLINK("https://www.philgeps.gov.ph/GEPSNONPILOT/Tender/SplashBidNoticeAbstractUI.aspx?menuIndex=3&amp;refID=7046685&amp;Result=3","7046685")</f>
        <v>0</v>
      </c>
      <c r="B2046" t="s">
        <v>814</v>
      </c>
      <c r="C2046" t="s">
        <v>4647</v>
      </c>
      <c r="D2046" t="s">
        <v>13025</v>
      </c>
      <c r="E2046" t="s">
        <v>14938</v>
      </c>
      <c r="F2046" t="s">
        <v>22436</v>
      </c>
      <c r="G2046" t="s">
        <v>22446</v>
      </c>
      <c r="H2046" t="s">
        <v>22452</v>
      </c>
      <c r="I2046" t="s">
        <v>2962</v>
      </c>
      <c r="J2046" t="s">
        <v>22589</v>
      </c>
      <c r="K2046" t="s">
        <v>29335</v>
      </c>
      <c r="M2046" t="s">
        <v>30418</v>
      </c>
      <c r="N2046" t="s">
        <v>32524</v>
      </c>
      <c r="O2046" t="s">
        <v>32525</v>
      </c>
      <c r="P2046">
        <v>0</v>
      </c>
      <c r="Q2046">
        <v>0</v>
      </c>
      <c r="R2046" t="s">
        <v>32526</v>
      </c>
      <c r="S2046" t="s">
        <v>32547</v>
      </c>
      <c r="T2046" t="s">
        <v>33185</v>
      </c>
      <c r="U2046" t="s">
        <v>35366</v>
      </c>
      <c r="W2046" t="s">
        <v>30418</v>
      </c>
      <c r="X2046" t="s">
        <v>32527</v>
      </c>
    </row>
    <row r="2047" spans="1:24">
      <c r="A2047">
        <f>HYPERLINK("https://www.philgeps.gov.ph/GEPSNONPILOT/Tender/SplashBidNoticeAbstractUI.aspx?menuIndex=3&amp;refID=7046688&amp;Result=3","7046688")</f>
        <v>0</v>
      </c>
      <c r="B2047" t="s">
        <v>803</v>
      </c>
      <c r="C2047" t="s">
        <v>4648</v>
      </c>
      <c r="D2047" t="s">
        <v>12995</v>
      </c>
      <c r="E2047" t="s">
        <v>14939</v>
      </c>
      <c r="F2047" t="s">
        <v>22436</v>
      </c>
      <c r="G2047" t="s">
        <v>22446</v>
      </c>
      <c r="H2047" t="s">
        <v>22452</v>
      </c>
      <c r="I2047" t="s">
        <v>22471</v>
      </c>
      <c r="J2047" t="s">
        <v>23356</v>
      </c>
      <c r="K2047" t="s">
        <v>29335</v>
      </c>
      <c r="M2047" t="s">
        <v>30405</v>
      </c>
      <c r="N2047" t="s">
        <v>32524</v>
      </c>
      <c r="O2047" t="s">
        <v>32525</v>
      </c>
      <c r="P2047">
        <v>0</v>
      </c>
      <c r="Q2047">
        <v>6</v>
      </c>
      <c r="R2047" t="s">
        <v>32526</v>
      </c>
      <c r="S2047" t="s">
        <v>32547</v>
      </c>
      <c r="T2047" t="s">
        <v>33327</v>
      </c>
      <c r="U2047" t="s">
        <v>35367</v>
      </c>
      <c r="W2047" t="s">
        <v>30405</v>
      </c>
      <c r="X2047" t="s">
        <v>32527</v>
      </c>
    </row>
    <row r="2048" spans="1:24">
      <c r="A2048">
        <f>HYPERLINK("https://www.philgeps.gov.ph/GEPSNONPILOT/Tender/SplashBidNoticeAbstractUI.aspx?menuIndex=3&amp;refID=7046682&amp;Result=3","7046682")</f>
        <v>0</v>
      </c>
      <c r="B2048" t="s">
        <v>815</v>
      </c>
      <c r="C2048" t="s">
        <v>4649</v>
      </c>
      <c r="D2048" t="s">
        <v>13006</v>
      </c>
      <c r="E2048" t="s">
        <v>14940</v>
      </c>
      <c r="F2048" t="s">
        <v>22436</v>
      </c>
      <c r="G2048" t="s">
        <v>22445</v>
      </c>
      <c r="H2048" t="s">
        <v>22452</v>
      </c>
      <c r="I2048" t="s">
        <v>5194</v>
      </c>
      <c r="J2048" t="s">
        <v>22640</v>
      </c>
      <c r="K2048" t="s">
        <v>29331</v>
      </c>
      <c r="M2048" t="s">
        <v>30419</v>
      </c>
      <c r="N2048" t="s">
        <v>32524</v>
      </c>
      <c r="O2048" t="s">
        <v>32525</v>
      </c>
      <c r="P2048">
        <v>0</v>
      </c>
      <c r="Q2048">
        <v>2</v>
      </c>
      <c r="R2048" t="s">
        <v>32526</v>
      </c>
      <c r="S2048" t="s">
        <v>32547</v>
      </c>
      <c r="T2048" t="s">
        <v>33168</v>
      </c>
      <c r="U2048" t="s">
        <v>35368</v>
      </c>
      <c r="W2048" t="s">
        <v>30419</v>
      </c>
      <c r="X2048" t="s">
        <v>32527</v>
      </c>
    </row>
    <row r="2049" spans="1:24">
      <c r="A2049">
        <f>HYPERLINK("https://www.philgeps.gov.ph/GEPSNONPILOT/Tender/SplashBidNoticeAbstractUI.aspx?menuIndex=3&amp;refID=7046687&amp;Result=3","7046687")</f>
        <v>0</v>
      </c>
      <c r="B2049" t="s">
        <v>756</v>
      </c>
      <c r="C2049" t="s">
        <v>4650</v>
      </c>
      <c r="D2049" t="s">
        <v>12996</v>
      </c>
      <c r="E2049" t="s">
        <v>14941</v>
      </c>
      <c r="F2049" t="s">
        <v>22436</v>
      </c>
      <c r="G2049" t="s">
        <v>22446</v>
      </c>
      <c r="H2049" t="s">
        <v>22452</v>
      </c>
      <c r="I2049" t="s">
        <v>22476</v>
      </c>
      <c r="J2049" t="s">
        <v>22800</v>
      </c>
      <c r="K2049" t="s">
        <v>29341</v>
      </c>
      <c r="M2049" t="s">
        <v>30357</v>
      </c>
      <c r="N2049" t="s">
        <v>32524</v>
      </c>
      <c r="O2049" t="s">
        <v>32525</v>
      </c>
      <c r="P2049">
        <v>0</v>
      </c>
      <c r="Q2049">
        <v>0</v>
      </c>
      <c r="R2049" t="s">
        <v>32526</v>
      </c>
      <c r="S2049" t="s">
        <v>32547</v>
      </c>
      <c r="T2049" t="s">
        <v>33155</v>
      </c>
      <c r="U2049" t="s">
        <v>35369</v>
      </c>
      <c r="W2049" t="s">
        <v>30357</v>
      </c>
      <c r="X2049" t="s">
        <v>32527</v>
      </c>
    </row>
    <row r="2050" spans="1:24">
      <c r="A2050">
        <f>HYPERLINK("https://www.philgeps.gov.ph/GEPSNONPILOT/Tender/SplashBidNoticeAbstractUI.aspx?menuIndex=3&amp;refID=7046680&amp;Result=3","7046680")</f>
        <v>0</v>
      </c>
      <c r="B2050" t="s">
        <v>732</v>
      </c>
      <c r="C2050" t="s">
        <v>4651</v>
      </c>
      <c r="D2050" t="s">
        <v>13045</v>
      </c>
      <c r="E2050" t="s">
        <v>14942</v>
      </c>
      <c r="F2050" t="s">
        <v>22436</v>
      </c>
      <c r="G2050" t="s">
        <v>22443</v>
      </c>
      <c r="H2050" t="s">
        <v>22452</v>
      </c>
      <c r="I2050" t="s">
        <v>22519</v>
      </c>
      <c r="J2050" t="s">
        <v>24047</v>
      </c>
      <c r="K2050" t="s">
        <v>29335</v>
      </c>
      <c r="M2050" t="s">
        <v>30330</v>
      </c>
      <c r="N2050" t="s">
        <v>32524</v>
      </c>
      <c r="O2050" t="s">
        <v>32525</v>
      </c>
      <c r="P2050">
        <v>0</v>
      </c>
      <c r="Q2050">
        <v>0</v>
      </c>
      <c r="R2050" t="s">
        <v>32526</v>
      </c>
      <c r="S2050" t="s">
        <v>32547</v>
      </c>
      <c r="T2050" t="s">
        <v>33196</v>
      </c>
      <c r="U2050" t="s">
        <v>35178</v>
      </c>
      <c r="W2050" t="s">
        <v>30330</v>
      </c>
      <c r="X2050" t="s">
        <v>32527</v>
      </c>
    </row>
    <row r="2051" spans="1:24">
      <c r="A2051">
        <f>HYPERLINK("https://www.philgeps.gov.ph/GEPSNONPILOT/Tender/SplashBidNoticeAbstractUI.aspx?menuIndex=3&amp;refID=7046656&amp;Result=3","7046656")</f>
        <v>0</v>
      </c>
      <c r="B2051" t="s">
        <v>791</v>
      </c>
      <c r="C2051" t="s">
        <v>4652</v>
      </c>
      <c r="D2051" t="s">
        <v>13022</v>
      </c>
      <c r="E2051" t="s">
        <v>14943</v>
      </c>
      <c r="F2051" t="s">
        <v>22436</v>
      </c>
      <c r="G2051" t="s">
        <v>22444</v>
      </c>
      <c r="H2051" t="s">
        <v>22452</v>
      </c>
      <c r="I2051" t="s">
        <v>3529</v>
      </c>
      <c r="J2051" t="s">
        <v>24048</v>
      </c>
      <c r="K2051" t="s">
        <v>29335</v>
      </c>
      <c r="M2051" t="s">
        <v>30420</v>
      </c>
      <c r="N2051" t="s">
        <v>32524</v>
      </c>
      <c r="O2051" t="s">
        <v>32525</v>
      </c>
      <c r="P2051">
        <v>0</v>
      </c>
      <c r="Q2051">
        <v>2</v>
      </c>
      <c r="R2051" t="s">
        <v>32526</v>
      </c>
      <c r="S2051" t="s">
        <v>32547</v>
      </c>
      <c r="T2051" t="s">
        <v>33353</v>
      </c>
      <c r="U2051" t="s">
        <v>35370</v>
      </c>
      <c r="V2051" t="s">
        <v>42622</v>
      </c>
      <c r="W2051" t="s">
        <v>30420</v>
      </c>
      <c r="X2051" t="s">
        <v>32527</v>
      </c>
    </row>
    <row r="2052" spans="1:24">
      <c r="A2052">
        <f>HYPERLINK("https://www.philgeps.gov.ph/GEPSNONPILOT/Tender/SplashBidNoticeAbstractUI.aspx?menuIndex=3&amp;refID=7046681&amp;Result=3","7046681")</f>
        <v>0</v>
      </c>
      <c r="B2052" t="s">
        <v>799</v>
      </c>
      <c r="C2052" t="s">
        <v>4653</v>
      </c>
      <c r="D2052" t="s">
        <v>13072</v>
      </c>
      <c r="E2052" t="s">
        <v>14944</v>
      </c>
      <c r="F2052" t="s">
        <v>22436</v>
      </c>
      <c r="G2052" t="s">
        <v>22444</v>
      </c>
      <c r="H2052" t="s">
        <v>22452</v>
      </c>
      <c r="I2052" t="s">
        <v>22540</v>
      </c>
      <c r="J2052" t="s">
        <v>24049</v>
      </c>
      <c r="K2052" t="s">
        <v>29334</v>
      </c>
      <c r="M2052" t="s">
        <v>30401</v>
      </c>
      <c r="N2052" t="s">
        <v>32524</v>
      </c>
      <c r="O2052" t="s">
        <v>32525</v>
      </c>
      <c r="P2052">
        <v>0</v>
      </c>
      <c r="Q2052">
        <v>6</v>
      </c>
      <c r="R2052" t="s">
        <v>32526</v>
      </c>
      <c r="S2052" t="s">
        <v>32547</v>
      </c>
      <c r="T2052" t="s">
        <v>33354</v>
      </c>
      <c r="U2052" t="s">
        <v>35371</v>
      </c>
      <c r="V2052" t="s">
        <v>42623</v>
      </c>
      <c r="W2052" t="s">
        <v>30401</v>
      </c>
      <c r="X2052" t="s">
        <v>32527</v>
      </c>
    </row>
    <row r="2053" spans="1:24">
      <c r="A2053">
        <f>HYPERLINK("https://www.philgeps.gov.ph/GEPSNONPILOT/Tender/SplashBidNoticeAbstractUI.aspx?menuIndex=3&amp;refID=7046697&amp;Result=3","7046697")</f>
        <v>0</v>
      </c>
      <c r="B2053" t="s">
        <v>808</v>
      </c>
      <c r="C2053" t="s">
        <v>4654</v>
      </c>
      <c r="D2053" t="s">
        <v>13068</v>
      </c>
      <c r="E2053" t="s">
        <v>14945</v>
      </c>
      <c r="F2053" t="s">
        <v>22436</v>
      </c>
      <c r="G2053" t="s">
        <v>22444</v>
      </c>
      <c r="H2053" t="s">
        <v>22452</v>
      </c>
      <c r="I2053" t="s">
        <v>12358</v>
      </c>
      <c r="J2053" t="s">
        <v>24050</v>
      </c>
      <c r="K2053" t="s">
        <v>29335</v>
      </c>
      <c r="M2053" t="s">
        <v>30411</v>
      </c>
      <c r="N2053" t="s">
        <v>32524</v>
      </c>
      <c r="O2053" t="s">
        <v>32525</v>
      </c>
      <c r="P2053">
        <v>0</v>
      </c>
      <c r="Q2053">
        <v>1</v>
      </c>
      <c r="R2053" t="s">
        <v>32526</v>
      </c>
      <c r="S2053" t="s">
        <v>32547</v>
      </c>
      <c r="T2053" t="s">
        <v>33155</v>
      </c>
      <c r="U2053" t="s">
        <v>35372</v>
      </c>
      <c r="W2053" t="s">
        <v>30411</v>
      </c>
      <c r="X2053" t="s">
        <v>32527</v>
      </c>
    </row>
    <row r="2054" spans="1:24">
      <c r="A2054">
        <f>HYPERLINK("https://www.philgeps.gov.ph/GEPSNONPILOT/Tender/SplashBidNoticeAbstractUI.aspx?menuIndex=3&amp;refID=7046664&amp;Result=3","7046664")</f>
        <v>0</v>
      </c>
      <c r="B2054" t="s">
        <v>816</v>
      </c>
      <c r="C2054" t="s">
        <v>4655</v>
      </c>
      <c r="D2054" t="s">
        <v>13069</v>
      </c>
      <c r="E2054" t="s">
        <v>14946</v>
      </c>
      <c r="F2054" t="s">
        <v>22436</v>
      </c>
      <c r="G2054" t="s">
        <v>22444</v>
      </c>
      <c r="H2054" t="s">
        <v>22454</v>
      </c>
      <c r="I2054" t="s">
        <v>7738</v>
      </c>
      <c r="J2054" t="s">
        <v>24051</v>
      </c>
      <c r="K2054" t="s">
        <v>29344</v>
      </c>
      <c r="M2054" t="s">
        <v>30421</v>
      </c>
      <c r="N2054" t="s">
        <v>32524</v>
      </c>
      <c r="O2054" t="s">
        <v>32525</v>
      </c>
      <c r="P2054">
        <v>0</v>
      </c>
      <c r="Q2054">
        <v>1</v>
      </c>
      <c r="R2054" t="s">
        <v>32526</v>
      </c>
      <c r="S2054" t="s">
        <v>32547</v>
      </c>
      <c r="T2054" t="s">
        <v>33355</v>
      </c>
      <c r="U2054" t="s">
        <v>35373</v>
      </c>
      <c r="V2054" t="s">
        <v>42624</v>
      </c>
      <c r="W2054" t="s">
        <v>30421</v>
      </c>
      <c r="X2054" t="s">
        <v>32527</v>
      </c>
    </row>
    <row r="2055" spans="1:24">
      <c r="A2055">
        <f>HYPERLINK("https://www.philgeps.gov.ph/GEPSNONPILOT/Tender/SplashBidNoticeAbstractUI.aspx?menuIndex=3&amp;refID=7046679&amp;Result=3","7046679")</f>
        <v>0</v>
      </c>
      <c r="B2055" t="s">
        <v>370</v>
      </c>
      <c r="C2055" t="s">
        <v>4656</v>
      </c>
      <c r="D2055" t="s">
        <v>13007</v>
      </c>
      <c r="E2055" t="s">
        <v>14947</v>
      </c>
      <c r="F2055" t="s">
        <v>22436</v>
      </c>
      <c r="G2055" t="s">
        <v>22443</v>
      </c>
      <c r="H2055" t="s">
        <v>22452</v>
      </c>
      <c r="I2055" t="s">
        <v>22470</v>
      </c>
      <c r="J2055" t="s">
        <v>24052</v>
      </c>
      <c r="K2055" t="s">
        <v>29335</v>
      </c>
      <c r="M2055" t="s">
        <v>30422</v>
      </c>
      <c r="N2055" t="s">
        <v>32524</v>
      </c>
      <c r="O2055" t="s">
        <v>32525</v>
      </c>
      <c r="P2055">
        <v>0</v>
      </c>
      <c r="Q2055">
        <v>1</v>
      </c>
      <c r="R2055" t="s">
        <v>32526</v>
      </c>
      <c r="S2055" t="s">
        <v>32547</v>
      </c>
      <c r="T2055" t="s">
        <v>33181</v>
      </c>
      <c r="U2055" t="s">
        <v>35374</v>
      </c>
      <c r="W2055" t="s">
        <v>30422</v>
      </c>
      <c r="X2055" t="s">
        <v>32527</v>
      </c>
    </row>
    <row r="2056" spans="1:24">
      <c r="A2056">
        <f>HYPERLINK("https://www.philgeps.gov.ph/GEPSNONPILOT/Tender/SplashBidNoticeAbstractUI.aspx?menuIndex=3&amp;refID=7046691&amp;Result=3","7046691")</f>
        <v>0</v>
      </c>
      <c r="B2056" t="s">
        <v>732</v>
      </c>
      <c r="C2056" t="s">
        <v>4657</v>
      </c>
      <c r="D2056" t="s">
        <v>13045</v>
      </c>
      <c r="E2056" t="s">
        <v>14948</v>
      </c>
      <c r="F2056" t="s">
        <v>22436</v>
      </c>
      <c r="G2056" t="s">
        <v>22443</v>
      </c>
      <c r="H2056" t="s">
        <v>22452</v>
      </c>
      <c r="I2056" t="s">
        <v>22519</v>
      </c>
      <c r="J2056" t="s">
        <v>22986</v>
      </c>
      <c r="K2056" t="s">
        <v>29335</v>
      </c>
      <c r="M2056" t="s">
        <v>30330</v>
      </c>
      <c r="N2056" t="s">
        <v>32524</v>
      </c>
      <c r="O2056" t="s">
        <v>32525</v>
      </c>
      <c r="P2056">
        <v>0</v>
      </c>
      <c r="Q2056">
        <v>0</v>
      </c>
      <c r="R2056" t="s">
        <v>32526</v>
      </c>
      <c r="S2056" t="s">
        <v>32547</v>
      </c>
      <c r="T2056" t="s">
        <v>33196</v>
      </c>
      <c r="U2056" t="s">
        <v>35178</v>
      </c>
      <c r="W2056" t="s">
        <v>30330</v>
      </c>
      <c r="X2056" t="s">
        <v>32527</v>
      </c>
    </row>
    <row r="2057" spans="1:24">
      <c r="A2057">
        <f>HYPERLINK("https://www.philgeps.gov.ph/GEPSNONPILOT/Tender/SplashBidNoticeAbstractUI.aspx?menuIndex=3&amp;refID=7046696&amp;Result=3","7046696")</f>
        <v>0</v>
      </c>
      <c r="B2057" t="s">
        <v>817</v>
      </c>
      <c r="C2057" t="s">
        <v>4658</v>
      </c>
      <c r="D2057" t="s">
        <v>12988</v>
      </c>
      <c r="E2057" t="s">
        <v>14949</v>
      </c>
      <c r="F2057" t="s">
        <v>22436</v>
      </c>
      <c r="G2057" t="s">
        <v>22443</v>
      </c>
      <c r="H2057" t="s">
        <v>22452</v>
      </c>
      <c r="I2057" t="s">
        <v>22502</v>
      </c>
      <c r="J2057" t="s">
        <v>23356</v>
      </c>
      <c r="K2057" t="s">
        <v>29336</v>
      </c>
      <c r="M2057" t="s">
        <v>30423</v>
      </c>
      <c r="N2057" t="s">
        <v>32524</v>
      </c>
      <c r="O2057" t="s">
        <v>32525</v>
      </c>
      <c r="P2057">
        <v>0</v>
      </c>
      <c r="Q2057">
        <v>18</v>
      </c>
      <c r="R2057" t="s">
        <v>32526</v>
      </c>
      <c r="S2057" t="s">
        <v>32547</v>
      </c>
      <c r="T2057" t="s">
        <v>33169</v>
      </c>
      <c r="U2057" t="s">
        <v>35375</v>
      </c>
      <c r="W2057" t="s">
        <v>30423</v>
      </c>
      <c r="X2057" t="s">
        <v>32527</v>
      </c>
    </row>
    <row r="2058" spans="1:24">
      <c r="A2058">
        <f>HYPERLINK("https://www.philgeps.gov.ph/GEPSNONPILOT/Tender/SplashBidNoticeAbstractUI.aspx?menuIndex=3&amp;refID=7046698&amp;Result=3","7046698")</f>
        <v>0</v>
      </c>
      <c r="B2058" t="s">
        <v>817</v>
      </c>
      <c r="C2058" t="s">
        <v>4659</v>
      </c>
      <c r="D2058" t="s">
        <v>12988</v>
      </c>
      <c r="E2058" t="s">
        <v>14228</v>
      </c>
      <c r="F2058" t="s">
        <v>22436</v>
      </c>
      <c r="G2058" t="s">
        <v>22443</v>
      </c>
      <c r="H2058" t="s">
        <v>22452</v>
      </c>
      <c r="I2058" t="s">
        <v>22502</v>
      </c>
      <c r="J2058" t="s">
        <v>22640</v>
      </c>
      <c r="K2058" t="s">
        <v>29336</v>
      </c>
      <c r="M2058" t="s">
        <v>30423</v>
      </c>
      <c r="N2058" t="s">
        <v>32524</v>
      </c>
      <c r="O2058" t="s">
        <v>32525</v>
      </c>
      <c r="P2058">
        <v>0</v>
      </c>
      <c r="Q2058">
        <v>16</v>
      </c>
      <c r="R2058" t="s">
        <v>32526</v>
      </c>
      <c r="S2058" t="s">
        <v>32547</v>
      </c>
      <c r="T2058" t="s">
        <v>33169</v>
      </c>
      <c r="U2058" t="s">
        <v>35376</v>
      </c>
      <c r="W2058" t="s">
        <v>30423</v>
      </c>
      <c r="X2058" t="s">
        <v>32527</v>
      </c>
    </row>
    <row r="2059" spans="1:24">
      <c r="A2059">
        <f>HYPERLINK("https://www.philgeps.gov.ph/GEPSNONPILOT/Tender/SplashBidNoticeAbstractUI.aspx?menuIndex=3&amp;refID=7046678&amp;Result=3","7046678")</f>
        <v>0</v>
      </c>
      <c r="B2059" t="s">
        <v>801</v>
      </c>
      <c r="C2059" t="s">
        <v>3649</v>
      </c>
      <c r="D2059" t="s">
        <v>13061</v>
      </c>
      <c r="E2059" t="s">
        <v>14950</v>
      </c>
      <c r="F2059" t="s">
        <v>22436</v>
      </c>
      <c r="G2059" t="s">
        <v>22443</v>
      </c>
      <c r="H2059" t="s">
        <v>22452</v>
      </c>
      <c r="I2059" t="s">
        <v>3529</v>
      </c>
      <c r="J2059" t="s">
        <v>24053</v>
      </c>
      <c r="K2059" t="s">
        <v>29341</v>
      </c>
      <c r="M2059" t="s">
        <v>30403</v>
      </c>
      <c r="N2059" t="s">
        <v>32524</v>
      </c>
      <c r="O2059" t="s">
        <v>32525</v>
      </c>
      <c r="P2059">
        <v>0</v>
      </c>
      <c r="Q2059">
        <v>0</v>
      </c>
      <c r="R2059" t="s">
        <v>32526</v>
      </c>
      <c r="S2059" t="s">
        <v>32547</v>
      </c>
      <c r="T2059" t="s">
        <v>33167</v>
      </c>
      <c r="U2059" t="s">
        <v>35377</v>
      </c>
      <c r="V2059" t="s">
        <v>42620</v>
      </c>
      <c r="W2059" t="s">
        <v>30403</v>
      </c>
      <c r="X2059" t="s">
        <v>32527</v>
      </c>
    </row>
    <row r="2060" spans="1:24">
      <c r="A2060">
        <f>HYPERLINK("https://www.philgeps.gov.ph/GEPSNONPILOT/Tender/SplashBidNoticeAbstractUI.aspx?menuIndex=3&amp;refID=7046694&amp;Result=3","7046694")</f>
        <v>0</v>
      </c>
      <c r="B2060" t="s">
        <v>50</v>
      </c>
      <c r="C2060" t="s">
        <v>4660</v>
      </c>
      <c r="D2060" t="s">
        <v>13008</v>
      </c>
      <c r="E2060" t="s">
        <v>14951</v>
      </c>
      <c r="F2060" t="s">
        <v>22436</v>
      </c>
      <c r="G2060" t="s">
        <v>22444</v>
      </c>
      <c r="H2060" t="s">
        <v>22452</v>
      </c>
      <c r="I2060" t="s">
        <v>2981</v>
      </c>
      <c r="J2060" t="s">
        <v>24054</v>
      </c>
      <c r="K2060" t="s">
        <v>29335</v>
      </c>
      <c r="M2060" t="s">
        <v>29622</v>
      </c>
      <c r="N2060" t="s">
        <v>32524</v>
      </c>
      <c r="O2060" t="s">
        <v>32525</v>
      </c>
      <c r="P2060">
        <v>0</v>
      </c>
      <c r="Q2060">
        <v>0</v>
      </c>
      <c r="R2060" t="s">
        <v>32526</v>
      </c>
      <c r="S2060" t="s">
        <v>32547</v>
      </c>
      <c r="T2060" t="s">
        <v>33166</v>
      </c>
      <c r="U2060" t="s">
        <v>35378</v>
      </c>
      <c r="W2060" t="s">
        <v>29622</v>
      </c>
      <c r="X2060" t="s">
        <v>32527</v>
      </c>
    </row>
    <row r="2061" spans="1:24">
      <c r="A2061">
        <f>HYPERLINK("https://www.philgeps.gov.ph/GEPSNONPILOT/Tender/SplashBidNoticeAbstractUI.aspx?menuIndex=3&amp;refID=7046700&amp;Result=3","7046700")</f>
        <v>0</v>
      </c>
      <c r="B2061" t="s">
        <v>527</v>
      </c>
      <c r="C2061" t="s">
        <v>4661</v>
      </c>
      <c r="D2061" t="s">
        <v>12988</v>
      </c>
      <c r="E2061" t="s">
        <v>14952</v>
      </c>
      <c r="F2061" t="s">
        <v>22436</v>
      </c>
      <c r="G2061" t="s">
        <v>22443</v>
      </c>
      <c r="H2061" t="s">
        <v>22452</v>
      </c>
      <c r="I2061" t="s">
        <v>4688</v>
      </c>
      <c r="J2061" t="s">
        <v>22853</v>
      </c>
      <c r="K2061" t="s">
        <v>29334</v>
      </c>
      <c r="M2061" t="s">
        <v>30415</v>
      </c>
      <c r="N2061" t="s">
        <v>32524</v>
      </c>
      <c r="O2061" t="s">
        <v>32525</v>
      </c>
      <c r="P2061">
        <v>0</v>
      </c>
      <c r="Q2061">
        <v>6</v>
      </c>
      <c r="R2061" t="s">
        <v>32526</v>
      </c>
      <c r="S2061" t="s">
        <v>32547</v>
      </c>
      <c r="T2061" t="s">
        <v>33202</v>
      </c>
      <c r="U2061" t="s">
        <v>35362</v>
      </c>
      <c r="W2061" t="s">
        <v>30415</v>
      </c>
      <c r="X2061" t="s">
        <v>32527</v>
      </c>
    </row>
    <row r="2062" spans="1:24">
      <c r="A2062">
        <f>HYPERLINK("https://www.philgeps.gov.ph/GEPSNONPILOT/Tender/SplashBidNoticeAbstractUI.aspx?menuIndex=3&amp;refID=7046695&amp;Result=3","7046695")</f>
        <v>0</v>
      </c>
      <c r="B2062" t="s">
        <v>799</v>
      </c>
      <c r="C2062" t="s">
        <v>4662</v>
      </c>
      <c r="D2062" t="s">
        <v>13072</v>
      </c>
      <c r="E2062" t="s">
        <v>14953</v>
      </c>
      <c r="F2062" t="s">
        <v>22436</v>
      </c>
      <c r="G2062" t="s">
        <v>22444</v>
      </c>
      <c r="H2062" t="s">
        <v>22452</v>
      </c>
      <c r="I2062" t="s">
        <v>7110</v>
      </c>
      <c r="J2062" t="s">
        <v>24055</v>
      </c>
      <c r="K2062" t="s">
        <v>29333</v>
      </c>
      <c r="M2062" t="s">
        <v>30401</v>
      </c>
      <c r="N2062" t="s">
        <v>32524</v>
      </c>
      <c r="O2062" t="s">
        <v>32525</v>
      </c>
      <c r="P2062">
        <v>0</v>
      </c>
      <c r="Q2062">
        <v>11</v>
      </c>
      <c r="R2062" t="s">
        <v>32526</v>
      </c>
      <c r="S2062" t="s">
        <v>32547</v>
      </c>
      <c r="T2062" t="s">
        <v>33354</v>
      </c>
      <c r="U2062" t="s">
        <v>35371</v>
      </c>
      <c r="V2062" t="s">
        <v>42625</v>
      </c>
      <c r="W2062" t="s">
        <v>30401</v>
      </c>
      <c r="X2062" t="s">
        <v>32527</v>
      </c>
    </row>
    <row r="2063" spans="1:24">
      <c r="A2063">
        <f>HYPERLINK("https://www.philgeps.gov.ph/GEPSNONPILOT/Tender/SplashBidNoticeAbstractUI.aspx?menuIndex=3&amp;refID=7046699&amp;Result=3","7046699")</f>
        <v>0</v>
      </c>
      <c r="B2063" t="s">
        <v>167</v>
      </c>
      <c r="C2063" t="s">
        <v>4663</v>
      </c>
      <c r="D2063" t="s">
        <v>13002</v>
      </c>
      <c r="E2063" t="s">
        <v>14954</v>
      </c>
      <c r="F2063" t="s">
        <v>22436</v>
      </c>
      <c r="G2063" t="s">
        <v>22444</v>
      </c>
      <c r="H2063" t="s">
        <v>22452</v>
      </c>
      <c r="I2063" t="s">
        <v>22467</v>
      </c>
      <c r="J2063" t="s">
        <v>24056</v>
      </c>
      <c r="K2063" t="s">
        <v>29335</v>
      </c>
      <c r="L2063" t="s">
        <v>167</v>
      </c>
      <c r="M2063" t="s">
        <v>29739</v>
      </c>
      <c r="N2063" t="s">
        <v>32524</v>
      </c>
      <c r="O2063" t="s">
        <v>32525</v>
      </c>
      <c r="P2063">
        <v>0</v>
      </c>
      <c r="Q2063">
        <v>0</v>
      </c>
      <c r="R2063" t="s">
        <v>32526</v>
      </c>
      <c r="S2063" t="s">
        <v>32547</v>
      </c>
      <c r="T2063" t="s">
        <v>33181</v>
      </c>
      <c r="U2063" t="s">
        <v>35379</v>
      </c>
      <c r="W2063" t="s">
        <v>29739</v>
      </c>
      <c r="X2063" t="s">
        <v>32527</v>
      </c>
    </row>
    <row r="2064" spans="1:24">
      <c r="A2064">
        <f>HYPERLINK("https://www.philgeps.gov.ph/GEPSNONPILOT/Tender/SplashBidNoticeAbstractUI.aspx?menuIndex=3&amp;refID=7046707&amp;Result=3","7046707")</f>
        <v>0</v>
      </c>
      <c r="B2064" t="s">
        <v>812</v>
      </c>
      <c r="C2064" t="s">
        <v>4664</v>
      </c>
      <c r="D2064" t="s">
        <v>12988</v>
      </c>
      <c r="E2064" t="s">
        <v>14955</v>
      </c>
      <c r="F2064" t="s">
        <v>22436</v>
      </c>
      <c r="G2064" t="s">
        <v>22444</v>
      </c>
      <c r="H2064" t="s">
        <v>22454</v>
      </c>
      <c r="I2064" t="s">
        <v>7738</v>
      </c>
      <c r="J2064" t="s">
        <v>24057</v>
      </c>
      <c r="K2064" t="s">
        <v>29334</v>
      </c>
      <c r="M2064" t="s">
        <v>30416</v>
      </c>
      <c r="N2064" t="s">
        <v>32524</v>
      </c>
      <c r="O2064" t="s">
        <v>32525</v>
      </c>
      <c r="P2064">
        <v>0</v>
      </c>
      <c r="Q2064">
        <v>2</v>
      </c>
      <c r="R2064" t="s">
        <v>32526</v>
      </c>
      <c r="S2064" t="s">
        <v>32547</v>
      </c>
      <c r="T2064" t="s">
        <v>33267</v>
      </c>
      <c r="U2064" t="s">
        <v>35380</v>
      </c>
      <c r="W2064" t="s">
        <v>30416</v>
      </c>
      <c r="X2064" t="s">
        <v>32527</v>
      </c>
    </row>
    <row r="2065" spans="1:24">
      <c r="A2065">
        <f>HYPERLINK("https://www.philgeps.gov.ph/GEPSNONPILOT/Tender/SplashBidNoticeAbstractUI.aspx?menuIndex=3&amp;refID=7046701&amp;Result=3","7046701")</f>
        <v>0</v>
      </c>
      <c r="B2065" t="s">
        <v>440</v>
      </c>
      <c r="C2065" t="s">
        <v>4665</v>
      </c>
      <c r="D2065" t="s">
        <v>13000</v>
      </c>
      <c r="E2065" t="s">
        <v>14956</v>
      </c>
      <c r="F2065" t="s">
        <v>22436</v>
      </c>
      <c r="G2065" t="s">
        <v>22443</v>
      </c>
      <c r="H2065" t="s">
        <v>22452</v>
      </c>
      <c r="I2065" t="s">
        <v>22456</v>
      </c>
      <c r="J2065" t="s">
        <v>24058</v>
      </c>
      <c r="K2065" t="s">
        <v>29357</v>
      </c>
      <c r="M2065" t="s">
        <v>30021</v>
      </c>
      <c r="N2065" t="s">
        <v>32524</v>
      </c>
      <c r="O2065" t="s">
        <v>32525</v>
      </c>
      <c r="P2065">
        <v>0</v>
      </c>
      <c r="Q2065">
        <v>5</v>
      </c>
      <c r="R2065" t="s">
        <v>32526</v>
      </c>
      <c r="S2065" t="s">
        <v>32547</v>
      </c>
      <c r="T2065" t="s">
        <v>33167</v>
      </c>
      <c r="U2065" t="s">
        <v>34503</v>
      </c>
      <c r="W2065" t="s">
        <v>30021</v>
      </c>
      <c r="X2065" t="s">
        <v>32527</v>
      </c>
    </row>
    <row r="2066" spans="1:24">
      <c r="A2066">
        <f>HYPERLINK("https://www.philgeps.gov.ph/GEPSNONPILOT/Tender/SplashBidNoticeAbstractUI.aspx?menuIndex=3&amp;refID=7046708&amp;Result=3","7046708")</f>
        <v>0</v>
      </c>
      <c r="B2066" t="s">
        <v>803</v>
      </c>
      <c r="C2066" t="s">
        <v>4666</v>
      </c>
      <c r="D2066" t="s">
        <v>12995</v>
      </c>
      <c r="E2066" t="s">
        <v>14957</v>
      </c>
      <c r="F2066" t="s">
        <v>22436</v>
      </c>
      <c r="G2066" t="s">
        <v>22446</v>
      </c>
      <c r="H2066" t="s">
        <v>22452</v>
      </c>
      <c r="I2066" t="s">
        <v>22474</v>
      </c>
      <c r="J2066" t="s">
        <v>23235</v>
      </c>
      <c r="K2066" t="s">
        <v>29336</v>
      </c>
      <c r="M2066" t="s">
        <v>30405</v>
      </c>
      <c r="N2066" t="s">
        <v>32524</v>
      </c>
      <c r="O2066" t="s">
        <v>32525</v>
      </c>
      <c r="P2066">
        <v>0</v>
      </c>
      <c r="Q2066">
        <v>0</v>
      </c>
      <c r="R2066" t="s">
        <v>32526</v>
      </c>
      <c r="S2066" t="s">
        <v>32547</v>
      </c>
      <c r="T2066" t="s">
        <v>33356</v>
      </c>
      <c r="U2066" t="s">
        <v>35381</v>
      </c>
      <c r="W2066" t="s">
        <v>30405</v>
      </c>
      <c r="X2066" t="s">
        <v>32527</v>
      </c>
    </row>
    <row r="2067" spans="1:24">
      <c r="A2067">
        <f>HYPERLINK("https://www.philgeps.gov.ph/GEPSNONPILOT/Tender/SplashBidNoticeAbstractUI.aspx?menuIndex=3&amp;refID=7046709&amp;Result=3","7046709")</f>
        <v>0</v>
      </c>
      <c r="B2067" t="s">
        <v>817</v>
      </c>
      <c r="C2067" t="s">
        <v>4667</v>
      </c>
      <c r="D2067" t="s">
        <v>12988</v>
      </c>
      <c r="E2067" t="s">
        <v>14167</v>
      </c>
      <c r="F2067" t="s">
        <v>22436</v>
      </c>
      <c r="G2067" t="s">
        <v>22443</v>
      </c>
      <c r="H2067" t="s">
        <v>22452</v>
      </c>
      <c r="I2067" t="s">
        <v>22502</v>
      </c>
      <c r="J2067" t="s">
        <v>22640</v>
      </c>
      <c r="K2067" t="s">
        <v>29336</v>
      </c>
      <c r="M2067" t="s">
        <v>30423</v>
      </c>
      <c r="N2067" t="s">
        <v>32524</v>
      </c>
      <c r="O2067" t="s">
        <v>32525</v>
      </c>
      <c r="P2067">
        <v>0</v>
      </c>
      <c r="Q2067">
        <v>16</v>
      </c>
      <c r="R2067" t="s">
        <v>32526</v>
      </c>
      <c r="S2067" t="s">
        <v>32547</v>
      </c>
      <c r="T2067" t="s">
        <v>33169</v>
      </c>
      <c r="U2067" t="s">
        <v>35382</v>
      </c>
      <c r="W2067" t="s">
        <v>30423</v>
      </c>
      <c r="X2067" t="s">
        <v>32527</v>
      </c>
    </row>
    <row r="2068" spans="1:24">
      <c r="A2068">
        <f>HYPERLINK("https://www.philgeps.gov.ph/GEPSNONPILOT/Tender/SplashBidNoticeAbstractUI.aspx?menuIndex=3&amp;refID=7046702&amp;Result=3","7046702")</f>
        <v>0</v>
      </c>
      <c r="B2068" t="s">
        <v>817</v>
      </c>
      <c r="C2068" t="s">
        <v>4668</v>
      </c>
      <c r="D2068" t="s">
        <v>12988</v>
      </c>
      <c r="E2068" t="s">
        <v>14446</v>
      </c>
      <c r="F2068" t="s">
        <v>22436</v>
      </c>
      <c r="G2068" t="s">
        <v>22443</v>
      </c>
      <c r="H2068" t="s">
        <v>22452</v>
      </c>
      <c r="I2068" t="s">
        <v>22502</v>
      </c>
      <c r="J2068" t="s">
        <v>22640</v>
      </c>
      <c r="K2068" t="s">
        <v>29336</v>
      </c>
      <c r="M2068" t="s">
        <v>30423</v>
      </c>
      <c r="N2068" t="s">
        <v>32524</v>
      </c>
      <c r="O2068" t="s">
        <v>32525</v>
      </c>
      <c r="P2068">
        <v>0</v>
      </c>
      <c r="Q2068">
        <v>15</v>
      </c>
      <c r="R2068" t="s">
        <v>32526</v>
      </c>
      <c r="S2068" t="s">
        <v>32547</v>
      </c>
      <c r="T2068" t="s">
        <v>33169</v>
      </c>
      <c r="U2068" t="s">
        <v>35383</v>
      </c>
      <c r="W2068" t="s">
        <v>30423</v>
      </c>
      <c r="X2068" t="s">
        <v>32527</v>
      </c>
    </row>
    <row r="2069" spans="1:24">
      <c r="A2069">
        <f>HYPERLINK("https://www.philgeps.gov.ph/GEPSNONPILOT/Tender/SplashBidNoticeAbstractUI.aspx?menuIndex=3&amp;refID=7046712&amp;Result=3","7046712")</f>
        <v>0</v>
      </c>
      <c r="B2069" t="s">
        <v>167</v>
      </c>
      <c r="C2069" t="s">
        <v>4669</v>
      </c>
      <c r="D2069" t="s">
        <v>13002</v>
      </c>
      <c r="E2069" t="s">
        <v>14958</v>
      </c>
      <c r="F2069" t="s">
        <v>22436</v>
      </c>
      <c r="G2069" t="s">
        <v>22444</v>
      </c>
      <c r="H2069" t="s">
        <v>22452</v>
      </c>
      <c r="I2069" t="s">
        <v>22467</v>
      </c>
      <c r="J2069" t="s">
        <v>24059</v>
      </c>
      <c r="K2069" t="s">
        <v>29335</v>
      </c>
      <c r="L2069" t="s">
        <v>167</v>
      </c>
      <c r="M2069" t="s">
        <v>29739</v>
      </c>
      <c r="N2069" t="s">
        <v>32524</v>
      </c>
      <c r="O2069" t="s">
        <v>32525</v>
      </c>
      <c r="P2069">
        <v>0</v>
      </c>
      <c r="Q2069">
        <v>0</v>
      </c>
      <c r="R2069" t="s">
        <v>32526</v>
      </c>
      <c r="S2069" t="s">
        <v>32547</v>
      </c>
      <c r="T2069" t="s">
        <v>33181</v>
      </c>
      <c r="U2069" t="s">
        <v>35384</v>
      </c>
      <c r="W2069" t="s">
        <v>29739</v>
      </c>
      <c r="X2069" t="s">
        <v>32527</v>
      </c>
    </row>
    <row r="2070" spans="1:24">
      <c r="A2070">
        <f>HYPERLINK("https://www.philgeps.gov.ph/GEPSNONPILOT/Tender/SplashBidNoticeAbstractUI.aspx?menuIndex=3&amp;refID=7046703&amp;Result=3","7046703")</f>
        <v>0</v>
      </c>
      <c r="B2070" t="s">
        <v>658</v>
      </c>
      <c r="C2070" t="s">
        <v>4670</v>
      </c>
      <c r="E2070" t="s">
        <v>14959</v>
      </c>
      <c r="F2070" t="s">
        <v>22436</v>
      </c>
      <c r="G2070" t="s">
        <v>22443</v>
      </c>
      <c r="H2070" t="s">
        <v>22452</v>
      </c>
      <c r="I2070" t="s">
        <v>7738</v>
      </c>
      <c r="J2070" t="s">
        <v>24060</v>
      </c>
      <c r="K2070" t="s">
        <v>29338</v>
      </c>
      <c r="M2070" t="s">
        <v>30250</v>
      </c>
      <c r="N2070" t="s">
        <v>32524</v>
      </c>
      <c r="O2070" t="s">
        <v>32525</v>
      </c>
      <c r="P2070">
        <v>0</v>
      </c>
      <c r="Q2070">
        <v>0</v>
      </c>
      <c r="R2070" t="s">
        <v>32526</v>
      </c>
      <c r="S2070" t="s">
        <v>32547</v>
      </c>
      <c r="T2070" t="s">
        <v>33167</v>
      </c>
      <c r="U2070" t="s">
        <v>35385</v>
      </c>
      <c r="V2070" t="s">
        <v>42574</v>
      </c>
      <c r="W2070" t="s">
        <v>30250</v>
      </c>
      <c r="X2070" t="s">
        <v>32527</v>
      </c>
    </row>
    <row r="2071" spans="1:24">
      <c r="A2071">
        <f>HYPERLINK("https://www.philgeps.gov.ph/GEPSNONPILOT/Tender/SplashBidNoticeAbstractUI.aspx?menuIndex=3&amp;refID=7046710&amp;Result=3","7046710")</f>
        <v>0</v>
      </c>
      <c r="B2071" t="s">
        <v>818</v>
      </c>
      <c r="C2071" t="s">
        <v>4671</v>
      </c>
      <c r="E2071" t="s">
        <v>14960</v>
      </c>
      <c r="F2071" t="s">
        <v>22436</v>
      </c>
      <c r="G2071" t="s">
        <v>22443</v>
      </c>
      <c r="H2071" t="s">
        <v>22452</v>
      </c>
      <c r="I2071" t="s">
        <v>2981</v>
      </c>
      <c r="J2071" t="s">
        <v>24061</v>
      </c>
      <c r="K2071" t="s">
        <v>29338</v>
      </c>
      <c r="M2071" t="s">
        <v>30424</v>
      </c>
      <c r="N2071" t="s">
        <v>32524</v>
      </c>
      <c r="O2071" t="s">
        <v>32525</v>
      </c>
      <c r="P2071">
        <v>0</v>
      </c>
      <c r="Q2071">
        <v>18</v>
      </c>
      <c r="R2071" t="s">
        <v>32526</v>
      </c>
      <c r="S2071" t="s">
        <v>32547</v>
      </c>
      <c r="T2071" t="s">
        <v>33228</v>
      </c>
      <c r="U2071" t="s">
        <v>35386</v>
      </c>
      <c r="W2071" t="s">
        <v>30424</v>
      </c>
      <c r="X2071" t="s">
        <v>32527</v>
      </c>
    </row>
    <row r="2072" spans="1:24">
      <c r="A2072">
        <f>HYPERLINK("https://www.philgeps.gov.ph/GEPSNONPILOT/Tender/SplashBidNoticeAbstractUI.aspx?menuIndex=3&amp;refID=7046717&amp;Result=3","7046717")</f>
        <v>0</v>
      </c>
      <c r="B2072" t="s">
        <v>806</v>
      </c>
      <c r="C2072" t="s">
        <v>4672</v>
      </c>
      <c r="D2072" t="s">
        <v>13002</v>
      </c>
      <c r="E2072" t="s">
        <v>14961</v>
      </c>
      <c r="F2072" t="s">
        <v>22436</v>
      </c>
      <c r="G2072" t="s">
        <v>22444</v>
      </c>
      <c r="H2072" t="s">
        <v>22452</v>
      </c>
      <c r="I2072" t="s">
        <v>5194</v>
      </c>
      <c r="J2072" t="s">
        <v>24062</v>
      </c>
      <c r="K2072" t="s">
        <v>29341</v>
      </c>
      <c r="M2072" t="s">
        <v>30408</v>
      </c>
      <c r="N2072" t="s">
        <v>32524</v>
      </c>
      <c r="O2072" t="s">
        <v>32525</v>
      </c>
      <c r="P2072">
        <v>0</v>
      </c>
      <c r="Q2072">
        <v>1</v>
      </c>
      <c r="R2072" t="s">
        <v>32526</v>
      </c>
      <c r="S2072" t="s">
        <v>32547</v>
      </c>
      <c r="T2072" t="s">
        <v>33191</v>
      </c>
      <c r="U2072" t="s">
        <v>35387</v>
      </c>
      <c r="W2072" t="s">
        <v>30408</v>
      </c>
      <c r="X2072" t="s">
        <v>32527</v>
      </c>
    </row>
    <row r="2073" spans="1:24">
      <c r="A2073">
        <f>HYPERLINK("https://www.philgeps.gov.ph/GEPSNONPILOT/Tender/SplashBidNoticeAbstractUI.aspx?menuIndex=3&amp;refID=7046719&amp;Result=3","7046719")</f>
        <v>0</v>
      </c>
      <c r="B2073" t="s">
        <v>819</v>
      </c>
      <c r="C2073" t="s">
        <v>4673</v>
      </c>
      <c r="D2073" t="s">
        <v>13040</v>
      </c>
      <c r="E2073" t="s">
        <v>14962</v>
      </c>
      <c r="F2073" t="s">
        <v>22436</v>
      </c>
      <c r="G2073" t="s">
        <v>22443</v>
      </c>
      <c r="H2073" t="s">
        <v>22452</v>
      </c>
      <c r="I2073" t="s">
        <v>22458</v>
      </c>
      <c r="J2073" t="s">
        <v>24063</v>
      </c>
      <c r="K2073" t="s">
        <v>29338</v>
      </c>
      <c r="M2073" t="s">
        <v>30425</v>
      </c>
      <c r="N2073" t="s">
        <v>32524</v>
      </c>
      <c r="O2073" t="s">
        <v>32525</v>
      </c>
      <c r="P2073">
        <v>0</v>
      </c>
      <c r="Q2073">
        <v>6</v>
      </c>
      <c r="R2073" t="s">
        <v>32526</v>
      </c>
      <c r="S2073" t="s">
        <v>32547</v>
      </c>
      <c r="T2073" t="s">
        <v>33167</v>
      </c>
      <c r="U2073" t="s">
        <v>35388</v>
      </c>
      <c r="W2073" t="s">
        <v>30425</v>
      </c>
      <c r="X2073" t="s">
        <v>32527</v>
      </c>
    </row>
    <row r="2074" spans="1:24">
      <c r="A2074">
        <f>HYPERLINK("https://www.philgeps.gov.ph/GEPSNONPILOT/Tender/SplashBidNoticeAbstractUI.aspx?menuIndex=3&amp;refID=7046716&amp;Result=3","7046716")</f>
        <v>0</v>
      </c>
      <c r="B2074" t="s">
        <v>817</v>
      </c>
      <c r="C2074" t="s">
        <v>4674</v>
      </c>
      <c r="D2074" t="s">
        <v>12988</v>
      </c>
      <c r="E2074" t="s">
        <v>14963</v>
      </c>
      <c r="F2074" t="s">
        <v>22436</v>
      </c>
      <c r="G2074" t="s">
        <v>22443</v>
      </c>
      <c r="H2074" t="s">
        <v>22452</v>
      </c>
      <c r="I2074" t="s">
        <v>22502</v>
      </c>
      <c r="J2074" t="s">
        <v>22788</v>
      </c>
      <c r="K2074" t="s">
        <v>29336</v>
      </c>
      <c r="M2074" t="s">
        <v>30423</v>
      </c>
      <c r="N2074" t="s">
        <v>32524</v>
      </c>
      <c r="O2074" t="s">
        <v>32525</v>
      </c>
      <c r="P2074">
        <v>0</v>
      </c>
      <c r="Q2074">
        <v>16</v>
      </c>
      <c r="R2074" t="s">
        <v>32526</v>
      </c>
      <c r="S2074" t="s">
        <v>32547</v>
      </c>
      <c r="T2074" t="s">
        <v>33169</v>
      </c>
      <c r="U2074" t="s">
        <v>35389</v>
      </c>
      <c r="W2074" t="s">
        <v>30423</v>
      </c>
      <c r="X2074" t="s">
        <v>32527</v>
      </c>
    </row>
    <row r="2075" spans="1:24">
      <c r="A2075">
        <f>HYPERLINK("https://www.philgeps.gov.ph/GEPSNONPILOT/Tender/SplashBidNoticeAbstractUI.aspx?menuIndex=3&amp;refID=7046722&amp;Result=3","7046722")</f>
        <v>0</v>
      </c>
      <c r="B2075" t="s">
        <v>817</v>
      </c>
      <c r="C2075" t="s">
        <v>4675</v>
      </c>
      <c r="D2075" t="s">
        <v>12988</v>
      </c>
      <c r="E2075" t="s">
        <v>14964</v>
      </c>
      <c r="F2075" t="s">
        <v>22436</v>
      </c>
      <c r="G2075" t="s">
        <v>22443</v>
      </c>
      <c r="H2075" t="s">
        <v>22452</v>
      </c>
      <c r="I2075" t="s">
        <v>22502</v>
      </c>
      <c r="J2075" t="s">
        <v>22788</v>
      </c>
      <c r="K2075" t="s">
        <v>29336</v>
      </c>
      <c r="M2075" t="s">
        <v>30423</v>
      </c>
      <c r="N2075" t="s">
        <v>32524</v>
      </c>
      <c r="O2075" t="s">
        <v>32525</v>
      </c>
      <c r="P2075">
        <v>0</v>
      </c>
      <c r="Q2075">
        <v>20</v>
      </c>
      <c r="R2075" t="s">
        <v>32526</v>
      </c>
      <c r="S2075" t="s">
        <v>32547</v>
      </c>
      <c r="T2075" t="s">
        <v>33169</v>
      </c>
      <c r="U2075" t="s">
        <v>35390</v>
      </c>
      <c r="W2075" t="s">
        <v>30423</v>
      </c>
      <c r="X2075" t="s">
        <v>32527</v>
      </c>
    </row>
    <row r="2076" spans="1:24">
      <c r="A2076">
        <f>HYPERLINK("https://www.philgeps.gov.ph/GEPSNONPILOT/Tender/SplashBidNoticeAbstractUI.aspx?menuIndex=3&amp;refID=7046706&amp;Result=3","7046706")</f>
        <v>0</v>
      </c>
      <c r="B2076" t="s">
        <v>819</v>
      </c>
      <c r="C2076" t="s">
        <v>4676</v>
      </c>
      <c r="D2076" t="s">
        <v>13040</v>
      </c>
      <c r="E2076" t="s">
        <v>14965</v>
      </c>
      <c r="F2076" t="s">
        <v>22436</v>
      </c>
      <c r="G2076" t="s">
        <v>22443</v>
      </c>
      <c r="H2076" t="s">
        <v>22452</v>
      </c>
      <c r="I2076" t="s">
        <v>22495</v>
      </c>
      <c r="J2076" t="s">
        <v>24064</v>
      </c>
      <c r="K2076" t="s">
        <v>29338</v>
      </c>
      <c r="M2076" t="s">
        <v>30425</v>
      </c>
      <c r="N2076" t="s">
        <v>32524</v>
      </c>
      <c r="O2076" t="s">
        <v>32525</v>
      </c>
      <c r="P2076">
        <v>0</v>
      </c>
      <c r="Q2076">
        <v>7</v>
      </c>
      <c r="R2076" t="s">
        <v>32526</v>
      </c>
      <c r="S2076" t="s">
        <v>32547</v>
      </c>
      <c r="T2076" t="s">
        <v>33167</v>
      </c>
      <c r="U2076" t="s">
        <v>35391</v>
      </c>
      <c r="W2076" t="s">
        <v>30425</v>
      </c>
      <c r="X2076" t="s">
        <v>32527</v>
      </c>
    </row>
    <row r="2077" spans="1:24">
      <c r="A2077">
        <f>HYPERLINK("https://www.philgeps.gov.ph/GEPSNONPILOT/Tender/SplashBidNoticeAbstractUI.aspx?menuIndex=3&amp;refID=7046720&amp;Result=3","7046720")</f>
        <v>0</v>
      </c>
      <c r="B2077" t="s">
        <v>820</v>
      </c>
      <c r="C2077" t="s">
        <v>4677</v>
      </c>
      <c r="D2077" t="s">
        <v>13004</v>
      </c>
      <c r="E2077" t="s">
        <v>14966</v>
      </c>
      <c r="F2077" t="s">
        <v>22436</v>
      </c>
      <c r="G2077" t="s">
        <v>22443</v>
      </c>
      <c r="H2077" t="s">
        <v>22452</v>
      </c>
      <c r="I2077" t="s">
        <v>3529</v>
      </c>
      <c r="J2077" t="s">
        <v>24065</v>
      </c>
      <c r="K2077" t="s">
        <v>29356</v>
      </c>
      <c r="M2077" t="s">
        <v>30426</v>
      </c>
      <c r="N2077" t="s">
        <v>32524</v>
      </c>
      <c r="O2077" t="s">
        <v>32525</v>
      </c>
      <c r="P2077">
        <v>0</v>
      </c>
      <c r="Q2077">
        <v>1</v>
      </c>
      <c r="R2077" t="s">
        <v>32526</v>
      </c>
      <c r="S2077" t="s">
        <v>32547</v>
      </c>
      <c r="T2077" t="s">
        <v>33167</v>
      </c>
      <c r="U2077" t="s">
        <v>35392</v>
      </c>
      <c r="W2077" t="s">
        <v>30426</v>
      </c>
      <c r="X2077" t="s">
        <v>32527</v>
      </c>
    </row>
    <row r="2078" spans="1:24">
      <c r="A2078">
        <f>HYPERLINK("https://www.philgeps.gov.ph/GEPSNONPILOT/Tender/SplashBidNoticeAbstractUI.aspx?menuIndex=3&amp;refID=7046714&amp;Result=3","7046714")</f>
        <v>0</v>
      </c>
      <c r="B2078" t="s">
        <v>821</v>
      </c>
      <c r="C2078" t="s">
        <v>4678</v>
      </c>
      <c r="D2078" t="s">
        <v>12988</v>
      </c>
      <c r="E2078" t="s">
        <v>14967</v>
      </c>
      <c r="F2078" t="s">
        <v>22436</v>
      </c>
      <c r="G2078" t="s">
        <v>22444</v>
      </c>
      <c r="H2078" t="s">
        <v>22452</v>
      </c>
      <c r="I2078" t="s">
        <v>22460</v>
      </c>
      <c r="J2078" t="s">
        <v>24066</v>
      </c>
      <c r="K2078" t="s">
        <v>29338</v>
      </c>
      <c r="M2078" t="s">
        <v>30427</v>
      </c>
      <c r="N2078" t="s">
        <v>32524</v>
      </c>
      <c r="O2078" t="s">
        <v>32525</v>
      </c>
      <c r="P2078">
        <v>0</v>
      </c>
      <c r="Q2078">
        <v>6</v>
      </c>
      <c r="R2078" t="s">
        <v>32526</v>
      </c>
      <c r="S2078" t="s">
        <v>32547</v>
      </c>
      <c r="T2078" t="s">
        <v>33166</v>
      </c>
      <c r="U2078" t="s">
        <v>35393</v>
      </c>
      <c r="W2078" t="s">
        <v>30427</v>
      </c>
      <c r="X2078" t="s">
        <v>32527</v>
      </c>
    </row>
    <row r="2079" spans="1:24">
      <c r="A2079">
        <f>HYPERLINK("https://www.philgeps.gov.ph/GEPSNONPILOT/Tender/SplashBidNoticeAbstractUI.aspx?menuIndex=3&amp;refID=7046713&amp;Result=3","7046713")</f>
        <v>0</v>
      </c>
      <c r="B2079" t="s">
        <v>822</v>
      </c>
      <c r="C2079" t="s">
        <v>4679</v>
      </c>
      <c r="D2079" t="s">
        <v>13011</v>
      </c>
      <c r="E2079" t="s">
        <v>14968</v>
      </c>
      <c r="F2079" t="s">
        <v>22436</v>
      </c>
      <c r="G2079" t="s">
        <v>22444</v>
      </c>
      <c r="H2079" t="s">
        <v>22452</v>
      </c>
      <c r="I2079" t="s">
        <v>3529</v>
      </c>
      <c r="J2079" t="s">
        <v>24067</v>
      </c>
      <c r="K2079" t="s">
        <v>29358</v>
      </c>
      <c r="L2079" t="s">
        <v>822</v>
      </c>
      <c r="M2079" t="s">
        <v>30428</v>
      </c>
      <c r="N2079" t="s">
        <v>32524</v>
      </c>
      <c r="O2079" t="s">
        <v>32525</v>
      </c>
      <c r="P2079">
        <v>0</v>
      </c>
      <c r="Q2079">
        <v>0</v>
      </c>
      <c r="R2079" t="s">
        <v>32526</v>
      </c>
      <c r="S2079" t="s">
        <v>32547</v>
      </c>
      <c r="T2079" t="s">
        <v>33175</v>
      </c>
      <c r="U2079" t="s">
        <v>35394</v>
      </c>
      <c r="W2079" t="s">
        <v>30428</v>
      </c>
      <c r="X2079" t="s">
        <v>32527</v>
      </c>
    </row>
    <row r="2080" spans="1:24">
      <c r="A2080">
        <f>HYPERLINK("https://www.philgeps.gov.ph/GEPSNONPILOT/Tender/SplashBidNoticeAbstractUI.aspx?menuIndex=3&amp;refID=7046711&amp;Result=3","7046711")</f>
        <v>0</v>
      </c>
      <c r="B2080" t="s">
        <v>823</v>
      </c>
      <c r="C2080" t="s">
        <v>4680</v>
      </c>
      <c r="D2080" t="s">
        <v>13000</v>
      </c>
      <c r="E2080" t="s">
        <v>14969</v>
      </c>
      <c r="F2080" t="s">
        <v>22436</v>
      </c>
      <c r="G2080" t="s">
        <v>22443</v>
      </c>
      <c r="H2080" t="s">
        <v>22452</v>
      </c>
      <c r="I2080" t="s">
        <v>3827</v>
      </c>
      <c r="J2080" t="s">
        <v>24068</v>
      </c>
      <c r="K2080" t="s">
        <v>29338</v>
      </c>
      <c r="M2080" t="s">
        <v>30429</v>
      </c>
      <c r="N2080" t="s">
        <v>32524</v>
      </c>
      <c r="O2080" t="s">
        <v>32525</v>
      </c>
      <c r="P2080">
        <v>0</v>
      </c>
      <c r="Q2080">
        <v>1</v>
      </c>
      <c r="R2080" t="s">
        <v>32526</v>
      </c>
      <c r="S2080" t="s">
        <v>32547</v>
      </c>
      <c r="T2080" t="s">
        <v>33167</v>
      </c>
      <c r="U2080" t="s">
        <v>35395</v>
      </c>
      <c r="W2080" t="s">
        <v>30429</v>
      </c>
      <c r="X2080" t="s">
        <v>32527</v>
      </c>
    </row>
    <row r="2081" spans="1:24">
      <c r="A2081">
        <f>HYPERLINK("https://www.philgeps.gov.ph/GEPSNONPILOT/Tender/SplashBidNoticeAbstractUI.aspx?menuIndex=3&amp;refID=7046718&amp;Result=3","7046718")</f>
        <v>0</v>
      </c>
      <c r="B2081" t="s">
        <v>824</v>
      </c>
      <c r="C2081" t="s">
        <v>4681</v>
      </c>
      <c r="D2081" t="s">
        <v>13051</v>
      </c>
      <c r="E2081" t="s">
        <v>14970</v>
      </c>
      <c r="F2081" t="s">
        <v>22437</v>
      </c>
      <c r="G2081" t="s">
        <v>22444</v>
      </c>
      <c r="H2081" t="s">
        <v>22452</v>
      </c>
      <c r="I2081" t="s">
        <v>22467</v>
      </c>
      <c r="J2081" t="s">
        <v>24069</v>
      </c>
      <c r="K2081" t="s">
        <v>29335</v>
      </c>
      <c r="M2081" t="s">
        <v>30430</v>
      </c>
      <c r="N2081" t="s">
        <v>32524</v>
      </c>
      <c r="O2081" t="s">
        <v>32525</v>
      </c>
      <c r="P2081">
        <v>0</v>
      </c>
      <c r="Q2081">
        <v>1</v>
      </c>
      <c r="R2081" t="s">
        <v>32526</v>
      </c>
      <c r="S2081" t="s">
        <v>32547</v>
      </c>
      <c r="T2081" t="s">
        <v>33357</v>
      </c>
      <c r="U2081" t="s">
        <v>35396</v>
      </c>
      <c r="W2081" t="s">
        <v>30430</v>
      </c>
      <c r="X2081" t="s">
        <v>32527</v>
      </c>
    </row>
    <row r="2082" spans="1:24">
      <c r="A2082">
        <f>HYPERLINK("https://www.philgeps.gov.ph/GEPSNONPILOT/Tender/SplashBidNoticeAbstractUI.aspx?menuIndex=3&amp;refID=7046739&amp;Result=3","7046739")</f>
        <v>0</v>
      </c>
      <c r="B2082" t="s">
        <v>825</v>
      </c>
      <c r="C2082" t="s">
        <v>4682</v>
      </c>
      <c r="D2082" t="s">
        <v>13062</v>
      </c>
      <c r="E2082" t="s">
        <v>14971</v>
      </c>
      <c r="F2082" t="s">
        <v>22436</v>
      </c>
      <c r="G2082" t="s">
        <v>22444</v>
      </c>
      <c r="H2082" t="s">
        <v>22452</v>
      </c>
      <c r="I2082" t="s">
        <v>22546</v>
      </c>
      <c r="J2082" t="s">
        <v>24070</v>
      </c>
      <c r="K2082" t="s">
        <v>29338</v>
      </c>
      <c r="M2082" t="s">
        <v>30431</v>
      </c>
      <c r="N2082" t="s">
        <v>32524</v>
      </c>
      <c r="O2082" t="s">
        <v>32525</v>
      </c>
      <c r="P2082">
        <v>0</v>
      </c>
      <c r="Q2082">
        <v>0</v>
      </c>
      <c r="R2082" t="s">
        <v>32526</v>
      </c>
      <c r="S2082" t="s">
        <v>32547</v>
      </c>
      <c r="T2082" t="s">
        <v>33186</v>
      </c>
      <c r="U2082" t="s">
        <v>35397</v>
      </c>
      <c r="W2082" t="s">
        <v>43696</v>
      </c>
      <c r="X2082" t="s">
        <v>32527</v>
      </c>
    </row>
    <row r="2083" spans="1:24">
      <c r="A2083">
        <f>HYPERLINK("https://www.philgeps.gov.ph/GEPSNONPILOT/Tender/SplashBidNoticeAbstractUI.aspx?menuIndex=3&amp;refID=7046737&amp;Result=3","7046737")</f>
        <v>0</v>
      </c>
      <c r="B2083" t="s">
        <v>817</v>
      </c>
      <c r="C2083" t="s">
        <v>4683</v>
      </c>
      <c r="D2083" t="s">
        <v>12988</v>
      </c>
      <c r="E2083" t="s">
        <v>14083</v>
      </c>
      <c r="F2083" t="s">
        <v>22436</v>
      </c>
      <c r="G2083" t="s">
        <v>22443</v>
      </c>
      <c r="H2083" t="s">
        <v>22452</v>
      </c>
      <c r="I2083" t="s">
        <v>22502</v>
      </c>
      <c r="J2083" t="s">
        <v>22616</v>
      </c>
      <c r="K2083" t="s">
        <v>29336</v>
      </c>
      <c r="M2083" t="s">
        <v>30423</v>
      </c>
      <c r="N2083" t="s">
        <v>32524</v>
      </c>
      <c r="O2083" t="s">
        <v>32525</v>
      </c>
      <c r="P2083">
        <v>0</v>
      </c>
      <c r="Q2083">
        <v>17</v>
      </c>
      <c r="R2083" t="s">
        <v>32526</v>
      </c>
      <c r="S2083" t="s">
        <v>32547</v>
      </c>
      <c r="T2083" t="s">
        <v>33169</v>
      </c>
      <c r="U2083" t="s">
        <v>35398</v>
      </c>
      <c r="W2083" t="s">
        <v>30423</v>
      </c>
      <c r="X2083" t="s">
        <v>32527</v>
      </c>
    </row>
    <row r="2084" spans="1:24">
      <c r="A2084">
        <f>HYPERLINK("https://www.philgeps.gov.ph/GEPSNONPILOT/Tender/SplashBidNoticeAbstractUI.aspx?menuIndex=3&amp;refID=7046734&amp;Result=3","7046734")</f>
        <v>0</v>
      </c>
      <c r="B2084" t="s">
        <v>823</v>
      </c>
      <c r="C2084" t="s">
        <v>4684</v>
      </c>
      <c r="D2084" t="s">
        <v>13000</v>
      </c>
      <c r="E2084" t="s">
        <v>14972</v>
      </c>
      <c r="F2084" t="s">
        <v>22436</v>
      </c>
      <c r="G2084" t="s">
        <v>22443</v>
      </c>
      <c r="H2084" t="s">
        <v>22452</v>
      </c>
      <c r="I2084" t="s">
        <v>22460</v>
      </c>
      <c r="J2084" t="s">
        <v>24071</v>
      </c>
      <c r="K2084" t="s">
        <v>29338</v>
      </c>
      <c r="M2084" t="s">
        <v>30429</v>
      </c>
      <c r="N2084" t="s">
        <v>32524</v>
      </c>
      <c r="O2084" t="s">
        <v>32525</v>
      </c>
      <c r="P2084">
        <v>0</v>
      </c>
      <c r="Q2084">
        <v>0</v>
      </c>
      <c r="R2084" t="s">
        <v>32526</v>
      </c>
      <c r="S2084" t="s">
        <v>32547</v>
      </c>
      <c r="T2084" t="s">
        <v>33167</v>
      </c>
      <c r="U2084" t="s">
        <v>35399</v>
      </c>
      <c r="W2084" t="s">
        <v>30429</v>
      </c>
      <c r="X2084" t="s">
        <v>32527</v>
      </c>
    </row>
    <row r="2085" spans="1:24">
      <c r="A2085">
        <f>HYPERLINK("https://www.philgeps.gov.ph/GEPSNONPILOT/Tender/SplashBidNoticeAbstractUI.aspx?menuIndex=3&amp;refID=7046738&amp;Result=3","7046738")</f>
        <v>0</v>
      </c>
      <c r="B2085" t="s">
        <v>817</v>
      </c>
      <c r="C2085" t="s">
        <v>4685</v>
      </c>
      <c r="D2085" t="s">
        <v>12988</v>
      </c>
      <c r="E2085" t="s">
        <v>14850</v>
      </c>
      <c r="F2085" t="s">
        <v>22436</v>
      </c>
      <c r="G2085" t="s">
        <v>22443</v>
      </c>
      <c r="H2085" t="s">
        <v>22452</v>
      </c>
      <c r="I2085" t="s">
        <v>22502</v>
      </c>
      <c r="J2085" t="s">
        <v>22893</v>
      </c>
      <c r="K2085" t="s">
        <v>29336</v>
      </c>
      <c r="M2085" t="s">
        <v>30423</v>
      </c>
      <c r="N2085" t="s">
        <v>32524</v>
      </c>
      <c r="O2085" t="s">
        <v>32525</v>
      </c>
      <c r="P2085">
        <v>0</v>
      </c>
      <c r="Q2085">
        <v>18</v>
      </c>
      <c r="R2085" t="s">
        <v>32526</v>
      </c>
      <c r="S2085" t="s">
        <v>32547</v>
      </c>
      <c r="T2085" t="s">
        <v>33169</v>
      </c>
      <c r="U2085" t="s">
        <v>35400</v>
      </c>
      <c r="W2085" t="s">
        <v>30423</v>
      </c>
      <c r="X2085" t="s">
        <v>32527</v>
      </c>
    </row>
    <row r="2086" spans="1:24">
      <c r="A2086">
        <f>HYPERLINK("https://www.philgeps.gov.ph/GEPSNONPILOT/Tender/SplashBidNoticeAbstractUI.aspx?menuIndex=3&amp;refID=7046745&amp;Result=3","7046745")</f>
        <v>0</v>
      </c>
      <c r="B2086" t="s">
        <v>823</v>
      </c>
      <c r="C2086" t="s">
        <v>4686</v>
      </c>
      <c r="D2086" t="s">
        <v>13000</v>
      </c>
      <c r="E2086" t="s">
        <v>14973</v>
      </c>
      <c r="F2086" t="s">
        <v>22436</v>
      </c>
      <c r="G2086" t="s">
        <v>22443</v>
      </c>
      <c r="H2086" t="s">
        <v>22452</v>
      </c>
      <c r="I2086" t="s">
        <v>22460</v>
      </c>
      <c r="J2086" t="s">
        <v>24072</v>
      </c>
      <c r="K2086" t="s">
        <v>29338</v>
      </c>
      <c r="M2086" t="s">
        <v>30429</v>
      </c>
      <c r="N2086" t="s">
        <v>32524</v>
      </c>
      <c r="O2086" t="s">
        <v>32525</v>
      </c>
      <c r="P2086">
        <v>0</v>
      </c>
      <c r="Q2086">
        <v>0</v>
      </c>
      <c r="R2086" t="s">
        <v>32526</v>
      </c>
      <c r="S2086" t="s">
        <v>32547</v>
      </c>
      <c r="T2086" t="s">
        <v>33167</v>
      </c>
      <c r="U2086" t="s">
        <v>35401</v>
      </c>
      <c r="W2086" t="s">
        <v>30429</v>
      </c>
      <c r="X2086" t="s">
        <v>32527</v>
      </c>
    </row>
    <row r="2087" spans="1:24">
      <c r="A2087">
        <f>HYPERLINK("https://www.philgeps.gov.ph/GEPSNONPILOT/Tender/SplashBidNoticeAbstractUI.aspx?menuIndex=3&amp;refID=7046723&amp;Result=3","7046723")</f>
        <v>0</v>
      </c>
      <c r="B2087" t="s">
        <v>816</v>
      </c>
      <c r="C2087" t="s">
        <v>4687</v>
      </c>
      <c r="D2087" t="s">
        <v>13069</v>
      </c>
      <c r="E2087" t="s">
        <v>14974</v>
      </c>
      <c r="F2087" t="s">
        <v>22436</v>
      </c>
      <c r="G2087" t="s">
        <v>22444</v>
      </c>
      <c r="H2087" t="s">
        <v>22454</v>
      </c>
      <c r="I2087" t="s">
        <v>7738</v>
      </c>
      <c r="J2087" t="s">
        <v>24073</v>
      </c>
      <c r="K2087" t="s">
        <v>29344</v>
      </c>
      <c r="M2087" t="s">
        <v>30421</v>
      </c>
      <c r="N2087" t="s">
        <v>32524</v>
      </c>
      <c r="O2087" t="s">
        <v>32525</v>
      </c>
      <c r="P2087">
        <v>0</v>
      </c>
      <c r="Q2087">
        <v>2</v>
      </c>
      <c r="R2087" t="s">
        <v>32526</v>
      </c>
      <c r="S2087" t="s">
        <v>32547</v>
      </c>
      <c r="T2087" t="s">
        <v>33355</v>
      </c>
      <c r="U2087" t="s">
        <v>35402</v>
      </c>
      <c r="V2087" t="s">
        <v>42626</v>
      </c>
      <c r="W2087" t="s">
        <v>30421</v>
      </c>
      <c r="X2087" t="s">
        <v>32527</v>
      </c>
    </row>
    <row r="2088" spans="1:24">
      <c r="A2088">
        <f>HYPERLINK("https://www.philgeps.gov.ph/GEPSNONPILOT/Tender/SplashBidNoticeAbstractUI.aspx?menuIndex=3&amp;refID=7046744&amp;Result=3","7046744")</f>
        <v>0</v>
      </c>
      <c r="B2088" t="s">
        <v>826</v>
      </c>
      <c r="C2088" t="s">
        <v>4688</v>
      </c>
      <c r="D2088" t="s">
        <v>12998</v>
      </c>
      <c r="E2088" t="s">
        <v>14975</v>
      </c>
      <c r="F2088" t="s">
        <v>22436</v>
      </c>
      <c r="G2088" t="s">
        <v>22446</v>
      </c>
      <c r="H2088" t="s">
        <v>22452</v>
      </c>
      <c r="I2088" t="s">
        <v>4688</v>
      </c>
      <c r="J2088" t="s">
        <v>23182</v>
      </c>
      <c r="K2088" t="s">
        <v>29356</v>
      </c>
      <c r="M2088" t="s">
        <v>30432</v>
      </c>
      <c r="N2088" t="s">
        <v>32524</v>
      </c>
      <c r="O2088" t="s">
        <v>32525</v>
      </c>
      <c r="P2088">
        <v>0</v>
      </c>
      <c r="Q2088">
        <v>6</v>
      </c>
      <c r="R2088" t="s">
        <v>32526</v>
      </c>
      <c r="S2088" t="s">
        <v>32547</v>
      </c>
      <c r="T2088" t="s">
        <v>33209</v>
      </c>
      <c r="U2088" t="s">
        <v>35403</v>
      </c>
      <c r="W2088" t="s">
        <v>30432</v>
      </c>
      <c r="X2088" t="s">
        <v>32527</v>
      </c>
    </row>
    <row r="2089" spans="1:24">
      <c r="A2089">
        <f>HYPERLINK("https://www.philgeps.gov.ph/GEPSNONPILOT/Tender/SplashBidNoticeAbstractUI.aspx?menuIndex=3&amp;refID=7046733&amp;Result=3","7046733")</f>
        <v>0</v>
      </c>
      <c r="B2089" t="s">
        <v>817</v>
      </c>
      <c r="C2089" t="s">
        <v>4689</v>
      </c>
      <c r="D2089" t="s">
        <v>12988</v>
      </c>
      <c r="E2089" t="s">
        <v>14774</v>
      </c>
      <c r="F2089" t="s">
        <v>22436</v>
      </c>
      <c r="G2089" t="s">
        <v>22443</v>
      </c>
      <c r="H2089" t="s">
        <v>22452</v>
      </c>
      <c r="I2089" t="s">
        <v>22502</v>
      </c>
      <c r="J2089" t="s">
        <v>22743</v>
      </c>
      <c r="K2089" t="s">
        <v>29336</v>
      </c>
      <c r="M2089" t="s">
        <v>30423</v>
      </c>
      <c r="N2089" t="s">
        <v>32524</v>
      </c>
      <c r="O2089" t="s">
        <v>32525</v>
      </c>
      <c r="P2089">
        <v>0</v>
      </c>
      <c r="Q2089">
        <v>15</v>
      </c>
      <c r="R2089" t="s">
        <v>32526</v>
      </c>
      <c r="S2089" t="s">
        <v>32547</v>
      </c>
      <c r="T2089" t="s">
        <v>33169</v>
      </c>
      <c r="U2089" t="s">
        <v>35404</v>
      </c>
      <c r="W2089" t="s">
        <v>30423</v>
      </c>
      <c r="X2089" t="s">
        <v>32527</v>
      </c>
    </row>
    <row r="2090" spans="1:24">
      <c r="A2090">
        <f>HYPERLINK("https://www.philgeps.gov.ph/GEPSNONPILOT/Tender/SplashBidNoticeAbstractUI.aspx?menuIndex=3&amp;refID=7046742&amp;Result=3","7046742")</f>
        <v>0</v>
      </c>
      <c r="B2090" t="s">
        <v>795</v>
      </c>
      <c r="C2090" t="s">
        <v>4690</v>
      </c>
      <c r="D2090" t="s">
        <v>12999</v>
      </c>
      <c r="E2090" t="s">
        <v>14976</v>
      </c>
      <c r="F2090" t="s">
        <v>22436</v>
      </c>
      <c r="G2090" t="s">
        <v>22443</v>
      </c>
      <c r="H2090" t="s">
        <v>22452</v>
      </c>
      <c r="I2090" t="s">
        <v>22482</v>
      </c>
      <c r="J2090" t="s">
        <v>22798</v>
      </c>
      <c r="K2090" t="s">
        <v>29335</v>
      </c>
      <c r="M2090" t="s">
        <v>30396</v>
      </c>
      <c r="N2090" t="s">
        <v>32524</v>
      </c>
      <c r="O2090" t="s">
        <v>32525</v>
      </c>
      <c r="P2090">
        <v>0</v>
      </c>
      <c r="Q2090">
        <v>1</v>
      </c>
      <c r="R2090" t="s">
        <v>32526</v>
      </c>
      <c r="S2090" t="s">
        <v>32547</v>
      </c>
      <c r="T2090" t="s">
        <v>33169</v>
      </c>
      <c r="U2090" t="s">
        <v>35405</v>
      </c>
      <c r="W2090" t="s">
        <v>30396</v>
      </c>
      <c r="X2090" t="s">
        <v>32527</v>
      </c>
    </row>
    <row r="2091" spans="1:24">
      <c r="A2091">
        <f>HYPERLINK("https://www.philgeps.gov.ph/GEPSNONPILOT/Tender/SplashBidNoticeAbstractUI.aspx?menuIndex=3&amp;refID=7046731&amp;Result=3","7046731")</f>
        <v>0</v>
      </c>
      <c r="B2091" t="s">
        <v>827</v>
      </c>
      <c r="C2091" t="s">
        <v>4691</v>
      </c>
      <c r="D2091" t="s">
        <v>12988</v>
      </c>
      <c r="E2091" t="s">
        <v>13149</v>
      </c>
      <c r="F2091" t="s">
        <v>22436</v>
      </c>
      <c r="G2091" t="s">
        <v>22444</v>
      </c>
      <c r="H2091" t="s">
        <v>22452</v>
      </c>
      <c r="I2091" t="s">
        <v>22484</v>
      </c>
      <c r="J2091" t="s">
        <v>24074</v>
      </c>
      <c r="K2091" t="s">
        <v>29334</v>
      </c>
      <c r="M2091" t="s">
        <v>30433</v>
      </c>
      <c r="N2091" t="s">
        <v>32524</v>
      </c>
      <c r="O2091" t="s">
        <v>32525</v>
      </c>
      <c r="P2091">
        <v>0</v>
      </c>
      <c r="Q2091">
        <v>27</v>
      </c>
      <c r="R2091" t="s">
        <v>32526</v>
      </c>
      <c r="S2091" t="s">
        <v>32547</v>
      </c>
      <c r="T2091" t="s">
        <v>33166</v>
      </c>
      <c r="U2091" t="s">
        <v>35406</v>
      </c>
      <c r="W2091" t="s">
        <v>30433</v>
      </c>
      <c r="X2091" t="s">
        <v>32527</v>
      </c>
    </row>
    <row r="2092" spans="1:24">
      <c r="A2092">
        <f>HYPERLINK("https://www.philgeps.gov.ph/GEPSNONPILOT/Tender/SplashBidNoticeAbstractUI.aspx?menuIndex=3&amp;refID=7046743&amp;Result=3","7046743")</f>
        <v>0</v>
      </c>
      <c r="B2092" t="s">
        <v>817</v>
      </c>
      <c r="C2092" t="s">
        <v>4692</v>
      </c>
      <c r="D2092" t="s">
        <v>12988</v>
      </c>
      <c r="E2092" t="s">
        <v>14871</v>
      </c>
      <c r="F2092" t="s">
        <v>22436</v>
      </c>
      <c r="G2092" t="s">
        <v>22443</v>
      </c>
      <c r="H2092" t="s">
        <v>22452</v>
      </c>
      <c r="I2092" t="s">
        <v>22502</v>
      </c>
      <c r="J2092" t="s">
        <v>22654</v>
      </c>
      <c r="K2092" t="s">
        <v>29336</v>
      </c>
      <c r="M2092" t="s">
        <v>30423</v>
      </c>
      <c r="N2092" t="s">
        <v>32524</v>
      </c>
      <c r="O2092" t="s">
        <v>32525</v>
      </c>
      <c r="P2092">
        <v>0</v>
      </c>
      <c r="Q2092">
        <v>9</v>
      </c>
      <c r="R2092" t="s">
        <v>32526</v>
      </c>
      <c r="S2092" t="s">
        <v>32547</v>
      </c>
      <c r="T2092" t="s">
        <v>33169</v>
      </c>
      <c r="U2092" t="s">
        <v>35407</v>
      </c>
      <c r="W2092" t="s">
        <v>30423</v>
      </c>
      <c r="X2092" t="s">
        <v>32527</v>
      </c>
    </row>
    <row r="2093" spans="1:24">
      <c r="A2093">
        <f>HYPERLINK("https://www.philgeps.gov.ph/GEPSNONPILOT/Tender/SplashBidNoticeAbstractUI.aspx?menuIndex=3&amp;refID=7046736&amp;Result=3","7046736")</f>
        <v>0</v>
      </c>
      <c r="B2093" t="s">
        <v>828</v>
      </c>
      <c r="C2093" t="s">
        <v>4693</v>
      </c>
      <c r="D2093" t="s">
        <v>13018</v>
      </c>
      <c r="E2093" t="s">
        <v>13411</v>
      </c>
      <c r="F2093" t="s">
        <v>22436</v>
      </c>
      <c r="G2093" t="s">
        <v>22443</v>
      </c>
      <c r="H2093" t="s">
        <v>22452</v>
      </c>
      <c r="I2093" t="s">
        <v>22484</v>
      </c>
      <c r="J2093" t="s">
        <v>24075</v>
      </c>
      <c r="K2093" t="s">
        <v>29333</v>
      </c>
      <c r="M2093" t="s">
        <v>30434</v>
      </c>
      <c r="N2093" t="s">
        <v>32524</v>
      </c>
      <c r="O2093" t="s">
        <v>32525</v>
      </c>
      <c r="P2093">
        <v>0</v>
      </c>
      <c r="Q2093">
        <v>2</v>
      </c>
      <c r="R2093" t="s">
        <v>32526</v>
      </c>
      <c r="S2093" t="s">
        <v>32547</v>
      </c>
      <c r="T2093" t="s">
        <v>33167</v>
      </c>
      <c r="U2093" t="s">
        <v>35408</v>
      </c>
      <c r="W2093" t="s">
        <v>30434</v>
      </c>
      <c r="X2093" t="s">
        <v>32527</v>
      </c>
    </row>
    <row r="2094" spans="1:24">
      <c r="A2094">
        <f>HYPERLINK("https://www.philgeps.gov.ph/GEPSNONPILOT/Tender/SplashBidNoticeAbstractUI.aspx?menuIndex=3&amp;refID=7046741&amp;Result=3","7046741")</f>
        <v>0</v>
      </c>
      <c r="B2094" t="s">
        <v>829</v>
      </c>
      <c r="C2094" t="s">
        <v>4694</v>
      </c>
      <c r="D2094" t="s">
        <v>13050</v>
      </c>
      <c r="E2094" t="s">
        <v>14977</v>
      </c>
      <c r="F2094" t="s">
        <v>22436</v>
      </c>
      <c r="G2094" t="s">
        <v>22444</v>
      </c>
      <c r="H2094" t="s">
        <v>22452</v>
      </c>
      <c r="I2094" t="s">
        <v>22470</v>
      </c>
      <c r="J2094" t="s">
        <v>24076</v>
      </c>
      <c r="K2094" t="s">
        <v>29333</v>
      </c>
      <c r="M2094" t="s">
        <v>30435</v>
      </c>
      <c r="N2094" t="s">
        <v>32524</v>
      </c>
      <c r="O2094" t="s">
        <v>32525</v>
      </c>
      <c r="P2094">
        <v>0</v>
      </c>
      <c r="Q2094">
        <v>3</v>
      </c>
      <c r="R2094" t="s">
        <v>32526</v>
      </c>
      <c r="S2094" t="s">
        <v>32547</v>
      </c>
      <c r="T2094" t="s">
        <v>33205</v>
      </c>
      <c r="U2094" t="s">
        <v>35409</v>
      </c>
      <c r="W2094" t="s">
        <v>30435</v>
      </c>
      <c r="X2094" t="s">
        <v>32527</v>
      </c>
    </row>
    <row r="2095" spans="1:24">
      <c r="A2095">
        <f>HYPERLINK("https://www.philgeps.gov.ph/GEPSNONPILOT/Tender/SplashBidNoticeAbstractUI.aspx?menuIndex=3&amp;refID=7046727&amp;Result=3","7046727")</f>
        <v>0</v>
      </c>
      <c r="B2095" t="s">
        <v>795</v>
      </c>
      <c r="C2095" t="s">
        <v>4695</v>
      </c>
      <c r="D2095" t="s">
        <v>12999</v>
      </c>
      <c r="E2095" t="s">
        <v>14978</v>
      </c>
      <c r="F2095" t="s">
        <v>22436</v>
      </c>
      <c r="G2095" t="s">
        <v>22443</v>
      </c>
      <c r="H2095" t="s">
        <v>22452</v>
      </c>
      <c r="I2095" t="s">
        <v>2981</v>
      </c>
      <c r="J2095" t="s">
        <v>22616</v>
      </c>
      <c r="K2095" t="s">
        <v>29335</v>
      </c>
      <c r="M2095" t="s">
        <v>30396</v>
      </c>
      <c r="N2095" t="s">
        <v>32524</v>
      </c>
      <c r="O2095" t="s">
        <v>32525</v>
      </c>
      <c r="P2095">
        <v>0</v>
      </c>
      <c r="Q2095">
        <v>0</v>
      </c>
      <c r="R2095" t="s">
        <v>32526</v>
      </c>
      <c r="S2095" t="s">
        <v>32547</v>
      </c>
      <c r="T2095" t="s">
        <v>33169</v>
      </c>
      <c r="U2095" t="s">
        <v>35410</v>
      </c>
      <c r="W2095" t="s">
        <v>30396</v>
      </c>
      <c r="X2095" t="s">
        <v>32527</v>
      </c>
    </row>
    <row r="2096" spans="1:24">
      <c r="A2096">
        <f>HYPERLINK("https://www.philgeps.gov.ph/GEPSNONPILOT/Tender/SplashBidNoticeAbstractUI.aspx?menuIndex=3&amp;refID=7046728&amp;Result=3","7046728")</f>
        <v>0</v>
      </c>
      <c r="B2096" t="s">
        <v>769</v>
      </c>
      <c r="C2096" t="s">
        <v>4696</v>
      </c>
      <c r="D2096" t="s">
        <v>13037</v>
      </c>
      <c r="E2096" t="s">
        <v>14979</v>
      </c>
      <c r="F2096" t="s">
        <v>22436</v>
      </c>
      <c r="G2096" t="s">
        <v>22446</v>
      </c>
      <c r="H2096" t="s">
        <v>22452</v>
      </c>
      <c r="I2096" t="s">
        <v>22471</v>
      </c>
      <c r="J2096" t="s">
        <v>24077</v>
      </c>
      <c r="K2096" t="s">
        <v>29335</v>
      </c>
      <c r="M2096" t="s">
        <v>30370</v>
      </c>
      <c r="N2096" t="s">
        <v>32524</v>
      </c>
      <c r="O2096" t="s">
        <v>32525</v>
      </c>
      <c r="P2096">
        <v>0</v>
      </c>
      <c r="Q2096">
        <v>9</v>
      </c>
      <c r="R2096" t="s">
        <v>32526</v>
      </c>
      <c r="S2096" t="s">
        <v>32547</v>
      </c>
      <c r="T2096" t="s">
        <v>33169</v>
      </c>
      <c r="U2096" t="s">
        <v>35411</v>
      </c>
      <c r="W2096" t="s">
        <v>30370</v>
      </c>
      <c r="X2096" t="s">
        <v>32527</v>
      </c>
    </row>
    <row r="2097" spans="1:24">
      <c r="A2097">
        <f>HYPERLINK("https://www.philgeps.gov.ph/GEPSNONPILOT/Tender/SplashBidNoticeAbstractUI.aspx?menuIndex=3&amp;refID=7046732&amp;Result=3","7046732")</f>
        <v>0</v>
      </c>
      <c r="B2097" t="s">
        <v>830</v>
      </c>
      <c r="C2097" t="s">
        <v>4697</v>
      </c>
      <c r="D2097" t="s">
        <v>13011</v>
      </c>
      <c r="E2097" t="s">
        <v>14980</v>
      </c>
      <c r="F2097" t="s">
        <v>22436</v>
      </c>
      <c r="G2097" t="s">
        <v>22446</v>
      </c>
      <c r="H2097" t="s">
        <v>22452</v>
      </c>
      <c r="I2097" t="s">
        <v>22456</v>
      </c>
      <c r="J2097" t="s">
        <v>23289</v>
      </c>
      <c r="K2097" t="s">
        <v>29340</v>
      </c>
      <c r="M2097" t="s">
        <v>30436</v>
      </c>
      <c r="N2097" t="s">
        <v>32524</v>
      </c>
      <c r="O2097" t="s">
        <v>32525</v>
      </c>
      <c r="P2097">
        <v>0</v>
      </c>
      <c r="Q2097">
        <v>0</v>
      </c>
      <c r="R2097" t="s">
        <v>32526</v>
      </c>
      <c r="S2097" t="s">
        <v>32547</v>
      </c>
      <c r="T2097" t="s">
        <v>33313</v>
      </c>
      <c r="U2097" t="s">
        <v>35412</v>
      </c>
      <c r="W2097" t="s">
        <v>30436</v>
      </c>
      <c r="X2097" t="s">
        <v>32527</v>
      </c>
    </row>
    <row r="2098" spans="1:24">
      <c r="A2098">
        <f>HYPERLINK("https://www.philgeps.gov.ph/GEPSNONPILOT/Tender/SplashBidNoticeAbstractUI.aspx?menuIndex=3&amp;refID=7046740&amp;Result=3","7046740")</f>
        <v>0</v>
      </c>
      <c r="B2098" t="s">
        <v>831</v>
      </c>
      <c r="C2098" t="s">
        <v>4698</v>
      </c>
      <c r="D2098" t="s">
        <v>13025</v>
      </c>
      <c r="E2098" t="s">
        <v>14981</v>
      </c>
      <c r="F2098" t="s">
        <v>22436</v>
      </c>
      <c r="G2098" t="s">
        <v>22444</v>
      </c>
      <c r="H2098" t="s">
        <v>22454</v>
      </c>
      <c r="I2098" t="s">
        <v>7738</v>
      </c>
      <c r="J2098" t="s">
        <v>22634</v>
      </c>
      <c r="K2098" t="s">
        <v>29344</v>
      </c>
      <c r="M2098" t="s">
        <v>30437</v>
      </c>
      <c r="N2098" t="s">
        <v>32524</v>
      </c>
      <c r="O2098" t="s">
        <v>32525</v>
      </c>
      <c r="P2098">
        <v>0</v>
      </c>
      <c r="Q2098">
        <v>1</v>
      </c>
      <c r="R2098" t="s">
        <v>32526</v>
      </c>
      <c r="S2098" t="s">
        <v>32547</v>
      </c>
      <c r="T2098" t="s">
        <v>33164</v>
      </c>
      <c r="U2098" t="s">
        <v>35413</v>
      </c>
      <c r="W2098" t="s">
        <v>30437</v>
      </c>
      <c r="X2098" t="s">
        <v>32527</v>
      </c>
    </row>
    <row r="2099" spans="1:24">
      <c r="A2099">
        <f>HYPERLINK("https://www.philgeps.gov.ph/GEPSNONPILOT/Tender/SplashBidNoticeAbstractUI.aspx?menuIndex=3&amp;refID=7046724&amp;Result=3","7046724")</f>
        <v>0</v>
      </c>
      <c r="B2099" t="s">
        <v>832</v>
      </c>
      <c r="C2099" t="s">
        <v>4699</v>
      </c>
      <c r="E2099" t="s">
        <v>14982</v>
      </c>
      <c r="F2099" t="s">
        <v>22436</v>
      </c>
      <c r="G2099" t="s">
        <v>22443</v>
      </c>
      <c r="H2099" t="s">
        <v>22452</v>
      </c>
      <c r="I2099" t="s">
        <v>22509</v>
      </c>
      <c r="J2099" t="s">
        <v>24078</v>
      </c>
      <c r="K2099" t="s">
        <v>29338</v>
      </c>
      <c r="M2099" t="s">
        <v>30438</v>
      </c>
      <c r="N2099" t="s">
        <v>32524</v>
      </c>
      <c r="O2099" t="s">
        <v>32525</v>
      </c>
      <c r="P2099">
        <v>0</v>
      </c>
      <c r="Q2099">
        <v>1</v>
      </c>
      <c r="R2099" t="s">
        <v>32526</v>
      </c>
      <c r="S2099" t="s">
        <v>32547</v>
      </c>
      <c r="T2099" t="s">
        <v>33161</v>
      </c>
      <c r="U2099" t="s">
        <v>35414</v>
      </c>
      <c r="W2099" t="s">
        <v>30438</v>
      </c>
      <c r="X2099" t="s">
        <v>32527</v>
      </c>
    </row>
    <row r="2100" spans="1:24">
      <c r="A2100">
        <f>HYPERLINK("https://www.philgeps.gov.ph/GEPSNONPILOT/Tender/SplashBidNoticeAbstractUI.aspx?menuIndex=3&amp;refID=7046746&amp;Result=3","7046746")</f>
        <v>0</v>
      </c>
      <c r="B2100" t="s">
        <v>832</v>
      </c>
      <c r="C2100" t="s">
        <v>4700</v>
      </c>
      <c r="E2100" t="s">
        <v>14983</v>
      </c>
      <c r="F2100" t="s">
        <v>22436</v>
      </c>
      <c r="G2100" t="s">
        <v>22443</v>
      </c>
      <c r="H2100" t="s">
        <v>22452</v>
      </c>
      <c r="I2100" t="s">
        <v>22475</v>
      </c>
      <c r="J2100" t="s">
        <v>24079</v>
      </c>
      <c r="K2100" t="s">
        <v>29338</v>
      </c>
      <c r="M2100" t="s">
        <v>30438</v>
      </c>
      <c r="N2100" t="s">
        <v>32524</v>
      </c>
      <c r="O2100" t="s">
        <v>32525</v>
      </c>
      <c r="P2100">
        <v>0</v>
      </c>
      <c r="Q2100">
        <v>0</v>
      </c>
      <c r="R2100" t="s">
        <v>32526</v>
      </c>
      <c r="S2100" t="s">
        <v>32547</v>
      </c>
      <c r="T2100" t="s">
        <v>33161</v>
      </c>
      <c r="U2100" t="s">
        <v>35414</v>
      </c>
      <c r="W2100" t="s">
        <v>30438</v>
      </c>
      <c r="X2100" t="s">
        <v>32527</v>
      </c>
    </row>
    <row r="2101" spans="1:24">
      <c r="A2101">
        <f>HYPERLINK("https://www.philgeps.gov.ph/GEPSNONPILOT/Tender/SplashBidNoticeAbstractUI.aspx?menuIndex=3&amp;refID=7046725&amp;Result=3","7046725")</f>
        <v>0</v>
      </c>
      <c r="B2101" t="s">
        <v>817</v>
      </c>
      <c r="C2101" t="s">
        <v>4701</v>
      </c>
      <c r="D2101" t="s">
        <v>12988</v>
      </c>
      <c r="E2101" t="s">
        <v>13797</v>
      </c>
      <c r="F2101" t="s">
        <v>22436</v>
      </c>
      <c r="G2101" t="s">
        <v>22443</v>
      </c>
      <c r="H2101" t="s">
        <v>22452</v>
      </c>
      <c r="I2101" t="s">
        <v>22469</v>
      </c>
      <c r="J2101" t="s">
        <v>22806</v>
      </c>
      <c r="K2101" t="s">
        <v>29336</v>
      </c>
      <c r="M2101" t="s">
        <v>30423</v>
      </c>
      <c r="N2101" t="s">
        <v>32524</v>
      </c>
      <c r="O2101" t="s">
        <v>32525</v>
      </c>
      <c r="P2101">
        <v>0</v>
      </c>
      <c r="Q2101">
        <v>11</v>
      </c>
      <c r="R2101" t="s">
        <v>32526</v>
      </c>
      <c r="S2101" t="s">
        <v>32547</v>
      </c>
      <c r="T2101" t="s">
        <v>33169</v>
      </c>
      <c r="U2101" t="s">
        <v>35415</v>
      </c>
      <c r="W2101" t="s">
        <v>30423</v>
      </c>
      <c r="X2101" t="s">
        <v>32527</v>
      </c>
    </row>
    <row r="2102" spans="1:24">
      <c r="A2102">
        <f>HYPERLINK("https://www.philgeps.gov.ph/GEPSNONPILOT/Tender/SplashBidNoticeAbstractUI.aspx?menuIndex=3&amp;refID=7046726&amp;Result=3","7046726")</f>
        <v>0</v>
      </c>
      <c r="B2102" t="s">
        <v>833</v>
      </c>
      <c r="C2102" t="s">
        <v>3148</v>
      </c>
      <c r="D2102" t="s">
        <v>13011</v>
      </c>
      <c r="E2102" t="s">
        <v>14137</v>
      </c>
      <c r="F2102" t="s">
        <v>22436</v>
      </c>
      <c r="G2102" t="s">
        <v>22445</v>
      </c>
      <c r="H2102" t="s">
        <v>22453</v>
      </c>
      <c r="I2102" t="s">
        <v>5194</v>
      </c>
      <c r="J2102" t="s">
        <v>22874</v>
      </c>
      <c r="K2102" t="s">
        <v>29341</v>
      </c>
      <c r="M2102" t="s">
        <v>30439</v>
      </c>
      <c r="N2102" t="s">
        <v>32524</v>
      </c>
      <c r="O2102" t="s">
        <v>32525</v>
      </c>
      <c r="P2102">
        <v>0</v>
      </c>
      <c r="Q2102">
        <v>3</v>
      </c>
      <c r="R2102" t="s">
        <v>32526</v>
      </c>
      <c r="S2102" t="s">
        <v>32547</v>
      </c>
      <c r="T2102" t="s">
        <v>33235</v>
      </c>
      <c r="U2102" t="s">
        <v>35416</v>
      </c>
      <c r="W2102" t="s">
        <v>30439</v>
      </c>
      <c r="X2102" t="s">
        <v>32527</v>
      </c>
    </row>
    <row r="2103" spans="1:24">
      <c r="A2103">
        <f>HYPERLINK("https://www.philgeps.gov.ph/GEPSNONPILOT/Tender/SplashBidNoticeAbstractUI.aspx?menuIndex=3&amp;refID=7046750&amp;Result=3","7046750")</f>
        <v>0</v>
      </c>
      <c r="B2103" t="s">
        <v>834</v>
      </c>
      <c r="C2103" t="s">
        <v>4702</v>
      </c>
      <c r="E2103" t="s">
        <v>14984</v>
      </c>
      <c r="F2103" t="s">
        <v>22436</v>
      </c>
      <c r="G2103" t="s">
        <v>22443</v>
      </c>
      <c r="H2103" t="s">
        <v>22452</v>
      </c>
      <c r="I2103" t="s">
        <v>22484</v>
      </c>
      <c r="J2103" t="s">
        <v>24080</v>
      </c>
      <c r="K2103" t="s">
        <v>29338</v>
      </c>
      <c r="M2103" t="s">
        <v>30440</v>
      </c>
      <c r="N2103" t="s">
        <v>32524</v>
      </c>
      <c r="O2103" t="s">
        <v>32525</v>
      </c>
      <c r="P2103">
        <v>0</v>
      </c>
      <c r="Q2103">
        <v>6</v>
      </c>
      <c r="R2103" t="s">
        <v>32526</v>
      </c>
      <c r="S2103" t="s">
        <v>32547</v>
      </c>
      <c r="T2103" t="s">
        <v>33169</v>
      </c>
      <c r="U2103" t="s">
        <v>35417</v>
      </c>
      <c r="W2103" t="s">
        <v>30440</v>
      </c>
      <c r="X2103" t="s">
        <v>32527</v>
      </c>
    </row>
    <row r="2104" spans="1:24">
      <c r="A2104">
        <f>HYPERLINK("https://www.philgeps.gov.ph/GEPSNONPILOT/Tender/SplashBidNoticeAbstractUI.aspx?menuIndex=3&amp;refID=7046758&amp;Result=3","7046758")</f>
        <v>0</v>
      </c>
      <c r="B2104" t="s">
        <v>835</v>
      </c>
      <c r="C2104" t="s">
        <v>4703</v>
      </c>
      <c r="D2104" t="s">
        <v>13067</v>
      </c>
      <c r="E2104" t="s">
        <v>14985</v>
      </c>
      <c r="F2104" t="s">
        <v>22436</v>
      </c>
      <c r="G2104" t="s">
        <v>22444</v>
      </c>
      <c r="H2104" t="s">
        <v>22452</v>
      </c>
      <c r="I2104" t="s">
        <v>12358</v>
      </c>
      <c r="J2104" t="s">
        <v>24081</v>
      </c>
      <c r="K2104" t="s">
        <v>29335</v>
      </c>
      <c r="M2104" t="s">
        <v>30441</v>
      </c>
      <c r="N2104" t="s">
        <v>32524</v>
      </c>
      <c r="O2104" t="s">
        <v>32525</v>
      </c>
      <c r="P2104">
        <v>0</v>
      </c>
      <c r="Q2104">
        <v>0</v>
      </c>
      <c r="R2104" t="s">
        <v>32526</v>
      </c>
      <c r="S2104" t="s">
        <v>32547</v>
      </c>
      <c r="T2104" t="s">
        <v>33186</v>
      </c>
      <c r="U2104" t="s">
        <v>35418</v>
      </c>
      <c r="W2104" t="s">
        <v>30441</v>
      </c>
      <c r="X2104" t="s">
        <v>32527</v>
      </c>
    </row>
    <row r="2105" spans="1:24">
      <c r="A2105">
        <f>HYPERLINK("https://www.philgeps.gov.ph/GEPSNONPILOT/Tender/SplashBidNoticeAbstractUI.aspx?menuIndex=3&amp;refID=7046749&amp;Result=3","7046749")</f>
        <v>0</v>
      </c>
      <c r="B2105" t="s">
        <v>835</v>
      </c>
      <c r="C2105" t="s">
        <v>4704</v>
      </c>
      <c r="D2105" t="s">
        <v>13067</v>
      </c>
      <c r="E2105" t="s">
        <v>14986</v>
      </c>
      <c r="F2105" t="s">
        <v>22436</v>
      </c>
      <c r="G2105" t="s">
        <v>22444</v>
      </c>
      <c r="H2105" t="s">
        <v>22452</v>
      </c>
      <c r="I2105" t="s">
        <v>3827</v>
      </c>
      <c r="J2105" t="s">
        <v>24082</v>
      </c>
      <c r="K2105" t="s">
        <v>29335</v>
      </c>
      <c r="M2105" t="s">
        <v>30441</v>
      </c>
      <c r="N2105" t="s">
        <v>32524</v>
      </c>
      <c r="O2105" t="s">
        <v>32525</v>
      </c>
      <c r="P2105">
        <v>0</v>
      </c>
      <c r="Q2105">
        <v>1</v>
      </c>
      <c r="R2105" t="s">
        <v>32526</v>
      </c>
      <c r="S2105" t="s">
        <v>32547</v>
      </c>
      <c r="T2105" t="s">
        <v>33186</v>
      </c>
      <c r="U2105" t="s">
        <v>35419</v>
      </c>
      <c r="W2105" t="s">
        <v>30441</v>
      </c>
      <c r="X2105" t="s">
        <v>32527</v>
      </c>
    </row>
    <row r="2106" spans="1:24">
      <c r="A2106">
        <f>HYPERLINK("https://www.philgeps.gov.ph/GEPSNONPILOT/Tender/SplashBidNoticeAbstractUI.aspx?menuIndex=3&amp;refID=7046755&amp;Result=3","7046755")</f>
        <v>0</v>
      </c>
      <c r="B2106" t="s">
        <v>44</v>
      </c>
      <c r="C2106" t="s">
        <v>4705</v>
      </c>
      <c r="D2106" t="s">
        <v>13004</v>
      </c>
      <c r="E2106" t="s">
        <v>14987</v>
      </c>
      <c r="F2106" t="s">
        <v>22436</v>
      </c>
      <c r="G2106" t="s">
        <v>22443</v>
      </c>
      <c r="H2106" t="s">
        <v>22452</v>
      </c>
      <c r="I2106" t="s">
        <v>22456</v>
      </c>
      <c r="J2106" t="s">
        <v>24083</v>
      </c>
      <c r="K2106" t="s">
        <v>29335</v>
      </c>
      <c r="M2106" t="s">
        <v>29615</v>
      </c>
      <c r="N2106" t="s">
        <v>32524</v>
      </c>
      <c r="O2106" t="s">
        <v>32525</v>
      </c>
      <c r="P2106">
        <v>0</v>
      </c>
      <c r="Q2106">
        <v>3</v>
      </c>
      <c r="R2106" t="s">
        <v>32526</v>
      </c>
      <c r="S2106" t="s">
        <v>32547</v>
      </c>
      <c r="T2106" t="s">
        <v>33167</v>
      </c>
      <c r="U2106" t="s">
        <v>35101</v>
      </c>
      <c r="W2106" t="s">
        <v>29615</v>
      </c>
      <c r="X2106" t="s">
        <v>32527</v>
      </c>
    </row>
    <row r="2107" spans="1:24">
      <c r="A2107">
        <f>HYPERLINK("https://www.philgeps.gov.ph/GEPSNONPILOT/Tender/SplashBidNoticeAbstractUI.aspx?menuIndex=3&amp;refID=7046753&amp;Result=3","7046753")</f>
        <v>0</v>
      </c>
      <c r="B2107" t="s">
        <v>836</v>
      </c>
      <c r="C2107" t="s">
        <v>4706</v>
      </c>
      <c r="D2107" t="s">
        <v>13056</v>
      </c>
      <c r="E2107" t="s">
        <v>14988</v>
      </c>
      <c r="F2107" t="s">
        <v>22436</v>
      </c>
      <c r="G2107" t="s">
        <v>22444</v>
      </c>
      <c r="H2107" t="s">
        <v>22452</v>
      </c>
      <c r="I2107" t="s">
        <v>22469</v>
      </c>
      <c r="J2107" t="s">
        <v>24084</v>
      </c>
      <c r="K2107" t="s">
        <v>29357</v>
      </c>
      <c r="M2107" t="s">
        <v>30442</v>
      </c>
      <c r="N2107" t="s">
        <v>32524</v>
      </c>
      <c r="O2107" t="s">
        <v>32525</v>
      </c>
      <c r="P2107">
        <v>0</v>
      </c>
      <c r="Q2107">
        <v>0</v>
      </c>
      <c r="R2107" t="s">
        <v>32526</v>
      </c>
      <c r="S2107" t="s">
        <v>32547</v>
      </c>
      <c r="T2107" t="s">
        <v>33153</v>
      </c>
      <c r="U2107" t="s">
        <v>35420</v>
      </c>
      <c r="W2107" t="s">
        <v>30442</v>
      </c>
      <c r="X2107" t="s">
        <v>32527</v>
      </c>
    </row>
    <row r="2108" spans="1:24">
      <c r="A2108">
        <f>HYPERLINK("https://www.philgeps.gov.ph/GEPSNONPILOT/Tender/SplashBidNoticeAbstractUI.aspx?menuIndex=3&amp;refID=7046748&amp;Result=3","7046748")</f>
        <v>0</v>
      </c>
      <c r="B2108" t="s">
        <v>631</v>
      </c>
      <c r="C2108" t="s">
        <v>4707</v>
      </c>
      <c r="D2108" t="s">
        <v>13044</v>
      </c>
      <c r="E2108" t="s">
        <v>14989</v>
      </c>
      <c r="F2108" t="s">
        <v>22436</v>
      </c>
      <c r="G2108" t="s">
        <v>22443</v>
      </c>
      <c r="H2108" t="s">
        <v>22452</v>
      </c>
      <c r="I2108" t="s">
        <v>22460</v>
      </c>
      <c r="J2108" t="s">
        <v>24085</v>
      </c>
      <c r="K2108" t="s">
        <v>29338</v>
      </c>
      <c r="M2108" t="s">
        <v>30222</v>
      </c>
      <c r="N2108" t="s">
        <v>32524</v>
      </c>
      <c r="O2108" t="s">
        <v>32525</v>
      </c>
      <c r="P2108">
        <v>0</v>
      </c>
      <c r="Q2108">
        <v>0</v>
      </c>
      <c r="R2108" t="s">
        <v>32526</v>
      </c>
      <c r="S2108" t="s">
        <v>32547</v>
      </c>
      <c r="T2108" t="s">
        <v>33161</v>
      </c>
      <c r="U2108" t="s">
        <v>35421</v>
      </c>
      <c r="W2108" t="s">
        <v>30222</v>
      </c>
      <c r="X2108" t="s">
        <v>32527</v>
      </c>
    </row>
    <row r="2109" spans="1:24">
      <c r="A2109">
        <f>HYPERLINK("https://www.philgeps.gov.ph/GEPSNONPILOT/Tender/SplashBidNoticeAbstractUI.aspx?menuIndex=3&amp;refID=7046761&amp;Result=3","7046761")</f>
        <v>0</v>
      </c>
      <c r="B2109" t="s">
        <v>795</v>
      </c>
      <c r="C2109" t="s">
        <v>4708</v>
      </c>
      <c r="D2109" t="s">
        <v>12999</v>
      </c>
      <c r="E2109" t="s">
        <v>14990</v>
      </c>
      <c r="F2109" t="s">
        <v>22436</v>
      </c>
      <c r="G2109" t="s">
        <v>22443</v>
      </c>
      <c r="H2109" t="s">
        <v>22452</v>
      </c>
      <c r="I2109" t="s">
        <v>3827</v>
      </c>
      <c r="J2109" t="s">
        <v>22874</v>
      </c>
      <c r="K2109" t="s">
        <v>29341</v>
      </c>
      <c r="M2109" t="s">
        <v>30396</v>
      </c>
      <c r="N2109" t="s">
        <v>32524</v>
      </c>
      <c r="O2109" t="s">
        <v>32525</v>
      </c>
      <c r="P2109">
        <v>0</v>
      </c>
      <c r="Q2109">
        <v>0</v>
      </c>
      <c r="R2109" t="s">
        <v>32526</v>
      </c>
      <c r="S2109" t="s">
        <v>32547</v>
      </c>
      <c r="T2109" t="s">
        <v>33169</v>
      </c>
      <c r="U2109" t="s">
        <v>35422</v>
      </c>
      <c r="W2109" t="s">
        <v>30396</v>
      </c>
      <c r="X2109" t="s">
        <v>32527</v>
      </c>
    </row>
    <row r="2110" spans="1:24">
      <c r="A2110">
        <f>HYPERLINK("https://www.philgeps.gov.ph/GEPSNONPILOT/Tender/SplashBidNoticeAbstractUI.aspx?menuIndex=3&amp;refID=7046757&amp;Result=3","7046757")</f>
        <v>0</v>
      </c>
      <c r="B2110" t="s">
        <v>825</v>
      </c>
      <c r="C2110" t="s">
        <v>4709</v>
      </c>
      <c r="D2110" t="s">
        <v>13062</v>
      </c>
      <c r="E2110" t="s">
        <v>14991</v>
      </c>
      <c r="F2110" t="s">
        <v>22436</v>
      </c>
      <c r="G2110" t="s">
        <v>22444</v>
      </c>
      <c r="H2110" t="s">
        <v>22452</v>
      </c>
      <c r="I2110" t="s">
        <v>3840</v>
      </c>
      <c r="J2110" t="s">
        <v>24086</v>
      </c>
      <c r="K2110" t="s">
        <v>29338</v>
      </c>
      <c r="M2110" t="s">
        <v>30431</v>
      </c>
      <c r="N2110" t="s">
        <v>32524</v>
      </c>
      <c r="O2110" t="s">
        <v>32525</v>
      </c>
      <c r="P2110">
        <v>0</v>
      </c>
      <c r="Q2110">
        <v>0</v>
      </c>
      <c r="R2110" t="s">
        <v>32526</v>
      </c>
      <c r="S2110" t="s">
        <v>32547</v>
      </c>
      <c r="T2110" t="s">
        <v>33186</v>
      </c>
      <c r="U2110" t="s">
        <v>35423</v>
      </c>
      <c r="W2110" t="s">
        <v>43696</v>
      </c>
      <c r="X2110" t="s">
        <v>32527</v>
      </c>
    </row>
    <row r="2111" spans="1:24">
      <c r="A2111">
        <f>HYPERLINK("https://www.philgeps.gov.ph/GEPSNONPILOT/Tender/SplashBidNoticeAbstractUI.aspx?menuIndex=3&amp;refID=7046759&amp;Result=3","7046759")</f>
        <v>0</v>
      </c>
      <c r="B2111" t="s">
        <v>817</v>
      </c>
      <c r="C2111" t="s">
        <v>4710</v>
      </c>
      <c r="D2111" t="s">
        <v>12988</v>
      </c>
      <c r="E2111" t="s">
        <v>14893</v>
      </c>
      <c r="F2111" t="s">
        <v>22436</v>
      </c>
      <c r="G2111" t="s">
        <v>22443</v>
      </c>
      <c r="H2111" t="s">
        <v>22452</v>
      </c>
      <c r="I2111" t="s">
        <v>22502</v>
      </c>
      <c r="J2111" t="s">
        <v>22640</v>
      </c>
      <c r="K2111" t="s">
        <v>29336</v>
      </c>
      <c r="M2111" t="s">
        <v>30423</v>
      </c>
      <c r="N2111" t="s">
        <v>32524</v>
      </c>
      <c r="O2111" t="s">
        <v>32525</v>
      </c>
      <c r="P2111">
        <v>0</v>
      </c>
      <c r="Q2111">
        <v>14</v>
      </c>
      <c r="R2111" t="s">
        <v>32526</v>
      </c>
      <c r="S2111" t="s">
        <v>32547</v>
      </c>
      <c r="T2111" t="s">
        <v>33169</v>
      </c>
      <c r="U2111" t="s">
        <v>35424</v>
      </c>
      <c r="W2111" t="s">
        <v>30423</v>
      </c>
      <c r="X2111" t="s">
        <v>32527</v>
      </c>
    </row>
    <row r="2112" spans="1:24">
      <c r="A2112">
        <f>HYPERLINK("https://www.philgeps.gov.ph/GEPSNONPILOT/Tender/SplashBidNoticeAbstractUI.aspx?menuIndex=3&amp;refID=7046766&amp;Result=3","7046766")</f>
        <v>0</v>
      </c>
      <c r="B2112" t="s">
        <v>837</v>
      </c>
      <c r="C2112" t="s">
        <v>4711</v>
      </c>
      <c r="D2112" t="s">
        <v>13004</v>
      </c>
      <c r="E2112" t="s">
        <v>14992</v>
      </c>
      <c r="F2112" t="s">
        <v>22436</v>
      </c>
      <c r="G2112" t="s">
        <v>22444</v>
      </c>
      <c r="H2112" t="s">
        <v>22452</v>
      </c>
      <c r="I2112" t="s">
        <v>3529</v>
      </c>
      <c r="J2112" t="s">
        <v>24087</v>
      </c>
      <c r="K2112" t="s">
        <v>29338</v>
      </c>
      <c r="L2112" t="s">
        <v>837</v>
      </c>
      <c r="M2112" t="s">
        <v>30443</v>
      </c>
      <c r="N2112" t="s">
        <v>32524</v>
      </c>
      <c r="O2112" t="s">
        <v>32525</v>
      </c>
      <c r="P2112">
        <v>0</v>
      </c>
      <c r="Q2112">
        <v>2</v>
      </c>
      <c r="R2112" t="s">
        <v>32526</v>
      </c>
      <c r="S2112" t="s">
        <v>32547</v>
      </c>
      <c r="T2112" t="s">
        <v>33272</v>
      </c>
      <c r="U2112" t="s">
        <v>35425</v>
      </c>
      <c r="W2112" t="s">
        <v>30443</v>
      </c>
      <c r="X2112" t="s">
        <v>32527</v>
      </c>
    </row>
    <row r="2113" spans="1:24">
      <c r="A2113">
        <f>HYPERLINK("https://www.philgeps.gov.ph/GEPSNONPILOT/Tender/SplashBidNoticeAbstractUI.aspx?menuIndex=3&amp;refID=7046756&amp;Result=3","7046756")</f>
        <v>0</v>
      </c>
      <c r="B2113" t="s">
        <v>50</v>
      </c>
      <c r="C2113" t="s">
        <v>4712</v>
      </c>
      <c r="D2113" t="s">
        <v>13008</v>
      </c>
      <c r="E2113" t="s">
        <v>14993</v>
      </c>
      <c r="F2113" t="s">
        <v>22436</v>
      </c>
      <c r="G2113" t="s">
        <v>22444</v>
      </c>
      <c r="H2113" t="s">
        <v>22452</v>
      </c>
      <c r="I2113" t="s">
        <v>3122</v>
      </c>
      <c r="J2113" t="s">
        <v>22893</v>
      </c>
      <c r="K2113" t="s">
        <v>29335</v>
      </c>
      <c r="M2113" t="s">
        <v>29622</v>
      </c>
      <c r="N2113" t="s">
        <v>32524</v>
      </c>
      <c r="O2113" t="s">
        <v>32525</v>
      </c>
      <c r="P2113">
        <v>0</v>
      </c>
      <c r="Q2113">
        <v>0</v>
      </c>
      <c r="R2113" t="s">
        <v>32526</v>
      </c>
      <c r="S2113" t="s">
        <v>32547</v>
      </c>
      <c r="T2113" t="s">
        <v>33166</v>
      </c>
      <c r="U2113" t="s">
        <v>35426</v>
      </c>
      <c r="W2113" t="s">
        <v>29622</v>
      </c>
      <c r="X2113" t="s">
        <v>32527</v>
      </c>
    </row>
    <row r="2114" spans="1:24">
      <c r="A2114">
        <f>HYPERLINK("https://www.philgeps.gov.ph/GEPSNONPILOT/Tender/SplashBidNoticeAbstractUI.aspx?menuIndex=3&amp;refID=7046762&amp;Result=3","7046762")</f>
        <v>0</v>
      </c>
      <c r="B2114" t="s">
        <v>817</v>
      </c>
      <c r="C2114" t="s">
        <v>4713</v>
      </c>
      <c r="D2114" t="s">
        <v>12988</v>
      </c>
      <c r="E2114" t="s">
        <v>14882</v>
      </c>
      <c r="F2114" t="s">
        <v>22436</v>
      </c>
      <c r="G2114" t="s">
        <v>22443</v>
      </c>
      <c r="H2114" t="s">
        <v>22452</v>
      </c>
      <c r="I2114" t="s">
        <v>22502</v>
      </c>
      <c r="J2114" t="s">
        <v>22704</v>
      </c>
      <c r="K2114" t="s">
        <v>29336</v>
      </c>
      <c r="M2114" t="s">
        <v>30423</v>
      </c>
      <c r="N2114" t="s">
        <v>32524</v>
      </c>
      <c r="O2114" t="s">
        <v>32525</v>
      </c>
      <c r="P2114">
        <v>0</v>
      </c>
      <c r="Q2114">
        <v>10</v>
      </c>
      <c r="R2114" t="s">
        <v>32526</v>
      </c>
      <c r="S2114" t="s">
        <v>32547</v>
      </c>
      <c r="T2114" t="s">
        <v>33169</v>
      </c>
      <c r="U2114" t="s">
        <v>35427</v>
      </c>
      <c r="W2114" t="s">
        <v>30423</v>
      </c>
      <c r="X2114" t="s">
        <v>32527</v>
      </c>
    </row>
    <row r="2115" spans="1:24">
      <c r="A2115">
        <f>HYPERLINK("https://www.philgeps.gov.ph/GEPSNONPILOT/Tender/SplashBidNoticeAbstractUI.aspx?menuIndex=3&amp;refID=7046763&amp;Result=3","7046763")</f>
        <v>0</v>
      </c>
      <c r="B2115" t="s">
        <v>838</v>
      </c>
      <c r="C2115" t="s">
        <v>4714</v>
      </c>
      <c r="D2115" t="s">
        <v>12998</v>
      </c>
      <c r="E2115" t="s">
        <v>14329</v>
      </c>
      <c r="F2115" t="s">
        <v>22436</v>
      </c>
      <c r="G2115" t="s">
        <v>22443</v>
      </c>
      <c r="H2115" t="s">
        <v>22452</v>
      </c>
      <c r="I2115" t="s">
        <v>22456</v>
      </c>
      <c r="J2115" t="s">
        <v>24088</v>
      </c>
      <c r="K2115" t="s">
        <v>29356</v>
      </c>
      <c r="M2115" t="s">
        <v>30444</v>
      </c>
      <c r="N2115" t="s">
        <v>32524</v>
      </c>
      <c r="O2115" t="s">
        <v>32525</v>
      </c>
      <c r="P2115">
        <v>0</v>
      </c>
      <c r="Q2115">
        <v>0</v>
      </c>
      <c r="R2115" t="s">
        <v>32526</v>
      </c>
      <c r="S2115" t="s">
        <v>32547</v>
      </c>
      <c r="T2115" t="s">
        <v>33196</v>
      </c>
      <c r="U2115" t="s">
        <v>35428</v>
      </c>
      <c r="W2115" t="s">
        <v>30444</v>
      </c>
      <c r="X2115" t="s">
        <v>32527</v>
      </c>
    </row>
    <row r="2116" spans="1:24">
      <c r="A2116">
        <f>HYPERLINK("https://www.philgeps.gov.ph/GEPSNONPILOT/Tender/SplashBidNoticeAbstractUI.aspx?menuIndex=3&amp;refID=7046760&amp;Result=3","7046760")</f>
        <v>0</v>
      </c>
      <c r="B2116" t="s">
        <v>178</v>
      </c>
      <c r="C2116" t="s">
        <v>4715</v>
      </c>
      <c r="D2116" t="s">
        <v>13046</v>
      </c>
      <c r="E2116" t="s">
        <v>14994</v>
      </c>
      <c r="F2116" t="s">
        <v>22436</v>
      </c>
      <c r="G2116" t="s">
        <v>22443</v>
      </c>
      <c r="H2116" t="s">
        <v>22452</v>
      </c>
      <c r="I2116" t="s">
        <v>3529</v>
      </c>
      <c r="J2116" t="s">
        <v>24089</v>
      </c>
      <c r="K2116" t="s">
        <v>29341</v>
      </c>
      <c r="M2116" t="s">
        <v>29750</v>
      </c>
      <c r="N2116" t="s">
        <v>32524</v>
      </c>
      <c r="O2116" t="s">
        <v>32525</v>
      </c>
      <c r="P2116">
        <v>0</v>
      </c>
      <c r="Q2116">
        <v>0</v>
      </c>
      <c r="R2116" t="s">
        <v>32526</v>
      </c>
      <c r="S2116" t="s">
        <v>32547</v>
      </c>
      <c r="T2116" t="s">
        <v>33288</v>
      </c>
      <c r="U2116" t="s">
        <v>35429</v>
      </c>
      <c r="W2116" t="s">
        <v>29750</v>
      </c>
      <c r="X2116" t="s">
        <v>32527</v>
      </c>
    </row>
    <row r="2117" spans="1:24">
      <c r="A2117">
        <f>HYPERLINK("https://www.philgeps.gov.ph/GEPSNONPILOT/Tender/SplashBidNoticeAbstractUI.aspx?menuIndex=3&amp;refID=7046764&amp;Result=3","7046764")</f>
        <v>0</v>
      </c>
      <c r="B2117" t="s">
        <v>69</v>
      </c>
      <c r="C2117" t="s">
        <v>4716</v>
      </c>
      <c r="D2117" t="s">
        <v>12997</v>
      </c>
      <c r="E2117" t="s">
        <v>13333</v>
      </c>
      <c r="F2117" t="s">
        <v>22436</v>
      </c>
      <c r="G2117" t="s">
        <v>22443</v>
      </c>
      <c r="H2117" t="s">
        <v>22452</v>
      </c>
      <c r="I2117" t="s">
        <v>2981</v>
      </c>
      <c r="J2117" t="s">
        <v>22640</v>
      </c>
      <c r="K2117" t="s">
        <v>29335</v>
      </c>
      <c r="M2117" t="s">
        <v>29641</v>
      </c>
      <c r="N2117" t="s">
        <v>32524</v>
      </c>
      <c r="O2117" t="s">
        <v>32525</v>
      </c>
      <c r="P2117">
        <v>0</v>
      </c>
      <c r="Q2117">
        <v>3</v>
      </c>
      <c r="R2117" t="s">
        <v>32526</v>
      </c>
      <c r="S2117" t="s">
        <v>32547</v>
      </c>
      <c r="T2117" t="s">
        <v>33235</v>
      </c>
      <c r="U2117" t="s">
        <v>35430</v>
      </c>
      <c r="W2117" t="s">
        <v>29641</v>
      </c>
      <c r="X2117" t="s">
        <v>32527</v>
      </c>
    </row>
    <row r="2118" spans="1:24">
      <c r="A2118">
        <f>HYPERLINK("https://www.philgeps.gov.ph/GEPSNONPILOT/Tender/SplashBidNoticeAbstractUI.aspx?menuIndex=3&amp;refID=7046752&amp;Result=3","7046752")</f>
        <v>0</v>
      </c>
      <c r="B2118" t="s">
        <v>825</v>
      </c>
      <c r="C2118" t="s">
        <v>4717</v>
      </c>
      <c r="D2118" t="s">
        <v>13062</v>
      </c>
      <c r="E2118" t="s">
        <v>14991</v>
      </c>
      <c r="F2118" t="s">
        <v>22436</v>
      </c>
      <c r="G2118" t="s">
        <v>22444</v>
      </c>
      <c r="H2118" t="s">
        <v>22452</v>
      </c>
      <c r="I2118" t="s">
        <v>22460</v>
      </c>
      <c r="J2118" t="s">
        <v>24090</v>
      </c>
      <c r="K2118" t="s">
        <v>29338</v>
      </c>
      <c r="M2118" t="s">
        <v>30431</v>
      </c>
      <c r="N2118" t="s">
        <v>32524</v>
      </c>
      <c r="O2118" t="s">
        <v>32525</v>
      </c>
      <c r="P2118">
        <v>0</v>
      </c>
      <c r="Q2118">
        <v>1</v>
      </c>
      <c r="R2118" t="s">
        <v>32526</v>
      </c>
      <c r="S2118" t="s">
        <v>32547</v>
      </c>
      <c r="T2118" t="s">
        <v>33186</v>
      </c>
      <c r="U2118" t="s">
        <v>35431</v>
      </c>
      <c r="W2118" t="s">
        <v>43696</v>
      </c>
      <c r="X2118" t="s">
        <v>32527</v>
      </c>
    </row>
    <row r="2119" spans="1:24">
      <c r="A2119">
        <f>HYPERLINK("https://www.philgeps.gov.ph/GEPSNONPILOT/Tender/SplashBidNoticeAbstractUI.aspx?menuIndex=3&amp;refID=7046767&amp;Result=3","7046767")</f>
        <v>0</v>
      </c>
      <c r="B2119" t="s">
        <v>50</v>
      </c>
      <c r="C2119" t="s">
        <v>4718</v>
      </c>
      <c r="D2119" t="s">
        <v>13008</v>
      </c>
      <c r="E2119" t="s">
        <v>14995</v>
      </c>
      <c r="F2119" t="s">
        <v>22436</v>
      </c>
      <c r="G2119" t="s">
        <v>22444</v>
      </c>
      <c r="H2119" t="s">
        <v>22452</v>
      </c>
      <c r="I2119" t="s">
        <v>12358</v>
      </c>
      <c r="J2119" t="s">
        <v>23514</v>
      </c>
      <c r="K2119" t="s">
        <v>29335</v>
      </c>
      <c r="M2119" t="s">
        <v>29622</v>
      </c>
      <c r="N2119" t="s">
        <v>32524</v>
      </c>
      <c r="O2119" t="s">
        <v>32525</v>
      </c>
      <c r="P2119">
        <v>0</v>
      </c>
      <c r="Q2119">
        <v>0</v>
      </c>
      <c r="R2119" t="s">
        <v>32526</v>
      </c>
      <c r="S2119" t="s">
        <v>32547</v>
      </c>
      <c r="T2119" t="s">
        <v>33166</v>
      </c>
      <c r="U2119" t="s">
        <v>35432</v>
      </c>
      <c r="W2119" t="s">
        <v>29622</v>
      </c>
      <c r="X2119" t="s">
        <v>32527</v>
      </c>
    </row>
    <row r="2120" spans="1:24">
      <c r="A2120">
        <f>HYPERLINK("https://www.philgeps.gov.ph/GEPSNONPILOT/Tender/SplashBidNoticeAbstractUI.aspx?menuIndex=3&amp;refID=7046768&amp;Result=3","7046768")</f>
        <v>0</v>
      </c>
      <c r="B2120" t="s">
        <v>444</v>
      </c>
      <c r="C2120" t="s">
        <v>4719</v>
      </c>
      <c r="D2120" t="s">
        <v>13024</v>
      </c>
      <c r="E2120" t="s">
        <v>13668</v>
      </c>
      <c r="F2120" t="s">
        <v>22436</v>
      </c>
      <c r="G2120" t="s">
        <v>22444</v>
      </c>
      <c r="H2120" t="s">
        <v>22452</v>
      </c>
      <c r="I2120" t="s">
        <v>3529</v>
      </c>
      <c r="J2120" t="s">
        <v>24091</v>
      </c>
      <c r="K2120" t="s">
        <v>29335</v>
      </c>
      <c r="M2120" t="s">
        <v>30026</v>
      </c>
      <c r="N2120" t="s">
        <v>32524</v>
      </c>
      <c r="O2120" t="s">
        <v>32525</v>
      </c>
      <c r="P2120">
        <v>0</v>
      </c>
      <c r="Q2120">
        <v>0</v>
      </c>
      <c r="R2120" t="s">
        <v>32526</v>
      </c>
      <c r="S2120" t="s">
        <v>32547</v>
      </c>
      <c r="T2120" t="s">
        <v>33190</v>
      </c>
      <c r="U2120" t="s">
        <v>35433</v>
      </c>
      <c r="W2120" t="s">
        <v>30026</v>
      </c>
      <c r="X2120" t="s">
        <v>32527</v>
      </c>
    </row>
    <row r="2121" spans="1:24">
      <c r="A2121">
        <f>HYPERLINK("https://www.philgeps.gov.ph/GEPSNONPILOT/Tender/SplashBidNoticeAbstractUI.aspx?menuIndex=3&amp;refID=7046751&amp;Result=3","7046751")</f>
        <v>0</v>
      </c>
      <c r="B2121" t="s">
        <v>839</v>
      </c>
      <c r="C2121" t="s">
        <v>4720</v>
      </c>
      <c r="D2121" t="s">
        <v>13000</v>
      </c>
      <c r="E2121" t="s">
        <v>14996</v>
      </c>
      <c r="F2121" t="s">
        <v>22436</v>
      </c>
      <c r="G2121" t="s">
        <v>22443</v>
      </c>
      <c r="H2121" t="s">
        <v>22452</v>
      </c>
      <c r="I2121" t="s">
        <v>22472</v>
      </c>
      <c r="J2121" t="s">
        <v>22724</v>
      </c>
      <c r="K2121" t="s">
        <v>29356</v>
      </c>
      <c r="M2121" t="s">
        <v>30445</v>
      </c>
      <c r="N2121" t="s">
        <v>32524</v>
      </c>
      <c r="O2121" t="s">
        <v>32525</v>
      </c>
      <c r="P2121">
        <v>0</v>
      </c>
      <c r="Q2121">
        <v>1</v>
      </c>
      <c r="R2121" t="s">
        <v>32526</v>
      </c>
      <c r="S2121" t="s">
        <v>32547</v>
      </c>
      <c r="T2121" t="s">
        <v>33196</v>
      </c>
      <c r="U2121" t="s">
        <v>35434</v>
      </c>
      <c r="W2121" t="s">
        <v>30445</v>
      </c>
      <c r="X2121" t="s">
        <v>32527</v>
      </c>
    </row>
    <row r="2122" spans="1:24">
      <c r="A2122">
        <f>HYPERLINK("https://www.philgeps.gov.ph/GEPSNONPILOT/Tender/SplashBidNoticeAbstractUI.aspx?menuIndex=3&amp;refID=7046772&amp;Result=3","7046772")</f>
        <v>0</v>
      </c>
      <c r="B2122" t="s">
        <v>840</v>
      </c>
      <c r="C2122" t="s">
        <v>4721</v>
      </c>
      <c r="D2122" t="s">
        <v>13065</v>
      </c>
      <c r="E2122" t="s">
        <v>14997</v>
      </c>
      <c r="F2122" t="s">
        <v>22436</v>
      </c>
      <c r="G2122" t="s">
        <v>22444</v>
      </c>
      <c r="H2122" t="s">
        <v>22452</v>
      </c>
      <c r="I2122" t="s">
        <v>2962</v>
      </c>
      <c r="J2122" t="s">
        <v>24092</v>
      </c>
      <c r="K2122" t="s">
        <v>29356</v>
      </c>
      <c r="M2122" t="s">
        <v>30446</v>
      </c>
      <c r="N2122" t="s">
        <v>32524</v>
      </c>
      <c r="O2122" t="s">
        <v>32525</v>
      </c>
      <c r="P2122">
        <v>0</v>
      </c>
      <c r="Q2122">
        <v>0</v>
      </c>
      <c r="R2122" t="s">
        <v>32526</v>
      </c>
      <c r="S2122" t="s">
        <v>32547</v>
      </c>
      <c r="T2122" t="s">
        <v>33168</v>
      </c>
      <c r="U2122" t="s">
        <v>35435</v>
      </c>
      <c r="V2122" t="s">
        <v>42627</v>
      </c>
      <c r="W2122" t="s">
        <v>30446</v>
      </c>
      <c r="X2122" t="s">
        <v>32527</v>
      </c>
    </row>
    <row r="2123" spans="1:24">
      <c r="A2123">
        <f>HYPERLINK("https://www.philgeps.gov.ph/GEPSNONPILOT/Tender/SplashBidNoticeAbstractUI.aspx?menuIndex=3&amp;refID=7046747&amp;Result=3","7046747")</f>
        <v>0</v>
      </c>
      <c r="B2123" t="s">
        <v>825</v>
      </c>
      <c r="C2123" t="s">
        <v>4722</v>
      </c>
      <c r="D2123" t="s">
        <v>13062</v>
      </c>
      <c r="E2123" t="s">
        <v>14998</v>
      </c>
      <c r="F2123" t="s">
        <v>22436</v>
      </c>
      <c r="G2123" t="s">
        <v>22444</v>
      </c>
      <c r="H2123" t="s">
        <v>22452</v>
      </c>
      <c r="I2123" t="s">
        <v>22460</v>
      </c>
      <c r="J2123" t="s">
        <v>24093</v>
      </c>
      <c r="K2123" t="s">
        <v>29338</v>
      </c>
      <c r="M2123" t="s">
        <v>30431</v>
      </c>
      <c r="N2123" t="s">
        <v>32524</v>
      </c>
      <c r="O2123" t="s">
        <v>32525</v>
      </c>
      <c r="P2123">
        <v>0</v>
      </c>
      <c r="Q2123">
        <v>1</v>
      </c>
      <c r="R2123" t="s">
        <v>32526</v>
      </c>
      <c r="S2123" t="s">
        <v>32547</v>
      </c>
      <c r="T2123" t="s">
        <v>33186</v>
      </c>
      <c r="U2123" t="s">
        <v>35436</v>
      </c>
      <c r="W2123" t="s">
        <v>43696</v>
      </c>
      <c r="X2123" t="s">
        <v>32527</v>
      </c>
    </row>
    <row r="2124" spans="1:24">
      <c r="A2124">
        <f>HYPERLINK("https://www.philgeps.gov.ph/GEPSNONPILOT/Tender/SplashBidNoticeAbstractUI.aspx?menuIndex=3&amp;refID=7046776&amp;Result=3","7046776")</f>
        <v>0</v>
      </c>
      <c r="B2124" t="s">
        <v>841</v>
      </c>
      <c r="C2124" t="s">
        <v>4723</v>
      </c>
      <c r="D2124" t="s">
        <v>13023</v>
      </c>
      <c r="E2124" t="s">
        <v>14999</v>
      </c>
      <c r="F2124" t="s">
        <v>22436</v>
      </c>
      <c r="G2124" t="s">
        <v>22443</v>
      </c>
      <c r="H2124" t="s">
        <v>22452</v>
      </c>
      <c r="I2124" t="s">
        <v>22461</v>
      </c>
      <c r="J2124" t="s">
        <v>24094</v>
      </c>
      <c r="K2124" t="s">
        <v>29331</v>
      </c>
      <c r="M2124" t="s">
        <v>30447</v>
      </c>
      <c r="N2124" t="s">
        <v>32524</v>
      </c>
      <c r="O2124" t="s">
        <v>32525</v>
      </c>
      <c r="P2124">
        <v>0</v>
      </c>
      <c r="Q2124">
        <v>4</v>
      </c>
      <c r="R2124" t="s">
        <v>32526</v>
      </c>
      <c r="S2124" t="s">
        <v>32547</v>
      </c>
      <c r="T2124" t="s">
        <v>33161</v>
      </c>
      <c r="U2124" t="s">
        <v>35437</v>
      </c>
      <c r="W2124" t="s">
        <v>43697</v>
      </c>
      <c r="X2124" t="s">
        <v>32527</v>
      </c>
    </row>
    <row r="2125" spans="1:24">
      <c r="A2125">
        <f>HYPERLINK("https://www.philgeps.gov.ph/GEPSNONPILOT/Tender/SplashBidNoticeAbstractUI.aspx?menuIndex=3&amp;refID=7046770&amp;Result=3","7046770")</f>
        <v>0</v>
      </c>
      <c r="B2125" t="s">
        <v>826</v>
      </c>
      <c r="C2125" t="s">
        <v>3827</v>
      </c>
      <c r="D2125" t="s">
        <v>12998</v>
      </c>
      <c r="E2125" t="s">
        <v>15000</v>
      </c>
      <c r="F2125" t="s">
        <v>22436</v>
      </c>
      <c r="G2125" t="s">
        <v>22446</v>
      </c>
      <c r="H2125" t="s">
        <v>22452</v>
      </c>
      <c r="I2125" t="s">
        <v>3827</v>
      </c>
      <c r="J2125" t="s">
        <v>22874</v>
      </c>
      <c r="K2125" t="s">
        <v>29356</v>
      </c>
      <c r="M2125" t="s">
        <v>30432</v>
      </c>
      <c r="N2125" t="s">
        <v>32524</v>
      </c>
      <c r="O2125" t="s">
        <v>32525</v>
      </c>
      <c r="P2125">
        <v>0</v>
      </c>
      <c r="Q2125">
        <v>2</v>
      </c>
      <c r="R2125" t="s">
        <v>32526</v>
      </c>
      <c r="S2125" t="s">
        <v>32547</v>
      </c>
      <c r="T2125" t="s">
        <v>33209</v>
      </c>
      <c r="U2125" t="s">
        <v>35438</v>
      </c>
      <c r="W2125" t="s">
        <v>30432</v>
      </c>
      <c r="X2125" t="s">
        <v>32527</v>
      </c>
    </row>
    <row r="2126" spans="1:24">
      <c r="A2126">
        <f>HYPERLINK("https://www.philgeps.gov.ph/GEPSNONPILOT/Tender/SplashBidNoticeAbstractUI.aspx?menuIndex=3&amp;refID=7046784&amp;Result=3","7046784")</f>
        <v>0</v>
      </c>
      <c r="B2126" t="s">
        <v>842</v>
      </c>
      <c r="C2126" t="s">
        <v>4724</v>
      </c>
      <c r="D2126" t="s">
        <v>13039</v>
      </c>
      <c r="E2126" t="s">
        <v>15001</v>
      </c>
      <c r="F2126" t="s">
        <v>22436</v>
      </c>
      <c r="G2126" t="s">
        <v>22444</v>
      </c>
      <c r="H2126" t="s">
        <v>22454</v>
      </c>
      <c r="I2126" t="s">
        <v>22526</v>
      </c>
      <c r="J2126" t="s">
        <v>24095</v>
      </c>
      <c r="K2126" t="s">
        <v>29334</v>
      </c>
      <c r="M2126" t="s">
        <v>30448</v>
      </c>
      <c r="N2126" t="s">
        <v>32524</v>
      </c>
      <c r="O2126" t="s">
        <v>32525</v>
      </c>
      <c r="P2126">
        <v>0</v>
      </c>
      <c r="Q2126">
        <v>0</v>
      </c>
      <c r="R2126" t="s">
        <v>32526</v>
      </c>
      <c r="S2126" t="s">
        <v>32547</v>
      </c>
      <c r="T2126" t="s">
        <v>33165</v>
      </c>
      <c r="U2126" t="s">
        <v>35439</v>
      </c>
      <c r="W2126" t="s">
        <v>30448</v>
      </c>
      <c r="X2126" t="s">
        <v>32527</v>
      </c>
    </row>
    <row r="2127" spans="1:24">
      <c r="A2127">
        <f>HYPERLINK("https://www.philgeps.gov.ph/GEPSNONPILOT/Tender/SplashBidNoticeAbstractUI.aspx?menuIndex=3&amp;refID=7046769&amp;Result=3","7046769")</f>
        <v>0</v>
      </c>
      <c r="B2127" t="s">
        <v>843</v>
      </c>
      <c r="C2127" t="s">
        <v>4725</v>
      </c>
      <c r="D2127" t="s">
        <v>13019</v>
      </c>
      <c r="E2127" t="s">
        <v>15002</v>
      </c>
      <c r="F2127" t="s">
        <v>22436</v>
      </c>
      <c r="G2127" t="s">
        <v>22446</v>
      </c>
      <c r="H2127" t="s">
        <v>22452</v>
      </c>
      <c r="I2127" t="s">
        <v>22494</v>
      </c>
      <c r="J2127" t="s">
        <v>24096</v>
      </c>
      <c r="K2127" t="s">
        <v>29357</v>
      </c>
      <c r="M2127" t="s">
        <v>30449</v>
      </c>
      <c r="N2127" t="s">
        <v>32524</v>
      </c>
      <c r="O2127" t="s">
        <v>32525</v>
      </c>
      <c r="Q2127">
        <v>0</v>
      </c>
      <c r="R2127" t="s">
        <v>32526</v>
      </c>
      <c r="S2127" t="s">
        <v>32551</v>
      </c>
      <c r="T2127" t="s">
        <v>33183</v>
      </c>
      <c r="U2127" t="s">
        <v>35440</v>
      </c>
      <c r="V2127" t="s">
        <v>42628</v>
      </c>
      <c r="W2127" t="s">
        <v>30449</v>
      </c>
      <c r="X2127" t="s">
        <v>32527</v>
      </c>
    </row>
    <row r="2128" spans="1:24">
      <c r="A2128">
        <f>HYPERLINK("https://www.philgeps.gov.ph/GEPSNONPILOT/Tender/SplashBidNoticeAbstractUI.aspx?menuIndex=3&amp;refID=7046779&amp;Result=3","7046779")</f>
        <v>0</v>
      </c>
      <c r="B2128" t="s">
        <v>828</v>
      </c>
      <c r="C2128" t="s">
        <v>4726</v>
      </c>
      <c r="D2128" t="s">
        <v>13018</v>
      </c>
      <c r="E2128" t="s">
        <v>15003</v>
      </c>
      <c r="F2128" t="s">
        <v>22436</v>
      </c>
      <c r="G2128" t="s">
        <v>22443</v>
      </c>
      <c r="H2128" t="s">
        <v>22452</v>
      </c>
      <c r="I2128" t="s">
        <v>22482</v>
      </c>
      <c r="J2128" t="s">
        <v>24097</v>
      </c>
      <c r="K2128" t="s">
        <v>29334</v>
      </c>
      <c r="M2128" t="s">
        <v>30434</v>
      </c>
      <c r="N2128" t="s">
        <v>32524</v>
      </c>
      <c r="O2128" t="s">
        <v>32525</v>
      </c>
      <c r="P2128">
        <v>0</v>
      </c>
      <c r="Q2128">
        <v>1</v>
      </c>
      <c r="R2128" t="s">
        <v>32526</v>
      </c>
      <c r="S2128" t="s">
        <v>32547</v>
      </c>
      <c r="T2128" t="s">
        <v>33167</v>
      </c>
      <c r="U2128" t="s">
        <v>35441</v>
      </c>
      <c r="W2128" t="s">
        <v>30434</v>
      </c>
      <c r="X2128" t="s">
        <v>32527</v>
      </c>
    </row>
    <row r="2129" spans="1:24">
      <c r="A2129">
        <f>HYPERLINK("https://www.philgeps.gov.ph/GEPSNONPILOT/Tender/SplashBidNoticeAbstractUI.aspx?menuIndex=3&amp;refID=7046783&amp;Result=3","7046783")</f>
        <v>0</v>
      </c>
      <c r="B2129" t="s">
        <v>50</v>
      </c>
      <c r="C2129" t="s">
        <v>4727</v>
      </c>
      <c r="D2129" t="s">
        <v>13008</v>
      </c>
      <c r="E2129" t="s">
        <v>15004</v>
      </c>
      <c r="F2129" t="s">
        <v>22436</v>
      </c>
      <c r="G2129" t="s">
        <v>22444</v>
      </c>
      <c r="H2129" t="s">
        <v>22452</v>
      </c>
      <c r="I2129" t="s">
        <v>22474</v>
      </c>
      <c r="J2129" t="s">
        <v>22669</v>
      </c>
      <c r="K2129" t="s">
        <v>29335</v>
      </c>
      <c r="M2129" t="s">
        <v>29622</v>
      </c>
      <c r="N2129" t="s">
        <v>32524</v>
      </c>
      <c r="O2129" t="s">
        <v>32525</v>
      </c>
      <c r="P2129">
        <v>0</v>
      </c>
      <c r="Q2129">
        <v>4</v>
      </c>
      <c r="R2129" t="s">
        <v>32526</v>
      </c>
      <c r="S2129" t="s">
        <v>32547</v>
      </c>
      <c r="T2129" t="s">
        <v>33166</v>
      </c>
      <c r="U2129" t="s">
        <v>35442</v>
      </c>
      <c r="W2129" t="s">
        <v>29622</v>
      </c>
      <c r="X2129" t="s">
        <v>32527</v>
      </c>
    </row>
    <row r="2130" spans="1:24">
      <c r="A2130">
        <f>HYPERLINK("https://www.philgeps.gov.ph/GEPSNONPILOT/Tender/SplashBidNoticeAbstractUI.aspx?menuIndex=3&amp;refID=7046775&amp;Result=3","7046775")</f>
        <v>0</v>
      </c>
      <c r="B2130" t="s">
        <v>50</v>
      </c>
      <c r="C2130" t="s">
        <v>4728</v>
      </c>
      <c r="D2130" t="s">
        <v>13008</v>
      </c>
      <c r="E2130" t="s">
        <v>15005</v>
      </c>
      <c r="F2130" t="s">
        <v>22436</v>
      </c>
      <c r="G2130" t="s">
        <v>22444</v>
      </c>
      <c r="H2130" t="s">
        <v>22452</v>
      </c>
      <c r="I2130" t="s">
        <v>22476</v>
      </c>
      <c r="J2130" t="s">
        <v>24098</v>
      </c>
      <c r="K2130" t="s">
        <v>29335</v>
      </c>
      <c r="M2130" t="s">
        <v>29622</v>
      </c>
      <c r="N2130" t="s">
        <v>32524</v>
      </c>
      <c r="O2130" t="s">
        <v>32525</v>
      </c>
      <c r="P2130">
        <v>0</v>
      </c>
      <c r="Q2130">
        <v>0</v>
      </c>
      <c r="R2130" t="s">
        <v>32526</v>
      </c>
      <c r="S2130" t="s">
        <v>32547</v>
      </c>
      <c r="T2130" t="s">
        <v>33166</v>
      </c>
      <c r="U2130" t="s">
        <v>35443</v>
      </c>
      <c r="W2130" t="s">
        <v>29622</v>
      </c>
      <c r="X2130" t="s">
        <v>32527</v>
      </c>
    </row>
    <row r="2131" spans="1:24">
      <c r="A2131">
        <f>HYPERLINK("https://www.philgeps.gov.ph/GEPSNONPILOT/Tender/SplashBidNoticeAbstractUI.aspx?menuIndex=3&amp;refID=7046778&amp;Result=3","7046778")</f>
        <v>0</v>
      </c>
      <c r="B2131" t="s">
        <v>844</v>
      </c>
      <c r="C2131" t="s">
        <v>4729</v>
      </c>
      <c r="D2131" t="s">
        <v>13009</v>
      </c>
      <c r="E2131" t="s">
        <v>15006</v>
      </c>
      <c r="F2131" t="s">
        <v>22436</v>
      </c>
      <c r="G2131" t="s">
        <v>22444</v>
      </c>
      <c r="H2131" t="s">
        <v>22454</v>
      </c>
      <c r="I2131" t="s">
        <v>7738</v>
      </c>
      <c r="J2131" t="s">
        <v>24099</v>
      </c>
      <c r="K2131" t="s">
        <v>29345</v>
      </c>
      <c r="M2131" t="s">
        <v>30450</v>
      </c>
      <c r="N2131" t="s">
        <v>32524</v>
      </c>
      <c r="O2131" t="s">
        <v>32525</v>
      </c>
      <c r="P2131">
        <v>0</v>
      </c>
      <c r="Q2131">
        <v>0</v>
      </c>
      <c r="R2131" t="s">
        <v>32526</v>
      </c>
      <c r="S2131" t="s">
        <v>32547</v>
      </c>
      <c r="T2131" t="s">
        <v>33158</v>
      </c>
      <c r="U2131" t="s">
        <v>35444</v>
      </c>
      <c r="W2131" t="s">
        <v>30450</v>
      </c>
      <c r="X2131" t="s">
        <v>32527</v>
      </c>
    </row>
    <row r="2132" spans="1:24">
      <c r="A2132">
        <f>HYPERLINK("https://www.philgeps.gov.ph/GEPSNONPILOT/Tender/SplashBidNoticeAbstractUI.aspx?menuIndex=3&amp;refID=7046782&amp;Result=3","7046782")</f>
        <v>0</v>
      </c>
      <c r="B2132" t="s">
        <v>845</v>
      </c>
      <c r="C2132" t="s">
        <v>4730</v>
      </c>
      <c r="D2132" t="s">
        <v>12998</v>
      </c>
      <c r="E2132" t="s">
        <v>14329</v>
      </c>
      <c r="F2132" t="s">
        <v>22436</v>
      </c>
      <c r="G2132" t="s">
        <v>22443</v>
      </c>
      <c r="H2132" t="s">
        <v>22452</v>
      </c>
      <c r="I2132" t="s">
        <v>22471</v>
      </c>
      <c r="J2132" t="s">
        <v>24100</v>
      </c>
      <c r="K2132" t="s">
        <v>29356</v>
      </c>
      <c r="M2132" t="s">
        <v>30451</v>
      </c>
      <c r="N2132" t="s">
        <v>32524</v>
      </c>
      <c r="O2132" t="s">
        <v>32525</v>
      </c>
      <c r="P2132">
        <v>0</v>
      </c>
      <c r="Q2132">
        <v>2</v>
      </c>
      <c r="R2132" t="s">
        <v>32526</v>
      </c>
      <c r="S2132" t="s">
        <v>32547</v>
      </c>
      <c r="T2132" t="s">
        <v>33196</v>
      </c>
      <c r="U2132" t="s">
        <v>35445</v>
      </c>
      <c r="W2132" t="s">
        <v>30451</v>
      </c>
      <c r="X2132" t="s">
        <v>32527</v>
      </c>
    </row>
    <row r="2133" spans="1:24">
      <c r="A2133">
        <f>HYPERLINK("https://www.philgeps.gov.ph/GEPSNONPILOT/Tender/SplashBidNoticeAbstractUI.aspx?menuIndex=3&amp;refID=7046792&amp;Result=3","7046792")</f>
        <v>0</v>
      </c>
      <c r="B2133" t="s">
        <v>846</v>
      </c>
      <c r="C2133" t="s">
        <v>4731</v>
      </c>
      <c r="D2133" t="s">
        <v>13017</v>
      </c>
      <c r="E2133" t="s">
        <v>15007</v>
      </c>
      <c r="F2133" t="s">
        <v>22436</v>
      </c>
      <c r="G2133" t="s">
        <v>22444</v>
      </c>
      <c r="H2133" t="s">
        <v>22454</v>
      </c>
      <c r="I2133" t="s">
        <v>7738</v>
      </c>
      <c r="J2133" t="s">
        <v>23786</v>
      </c>
      <c r="K2133" t="s">
        <v>29392</v>
      </c>
      <c r="M2133" t="s">
        <v>30452</v>
      </c>
      <c r="N2133" t="s">
        <v>32524</v>
      </c>
      <c r="O2133" t="s">
        <v>32525</v>
      </c>
      <c r="P2133">
        <v>0</v>
      </c>
      <c r="Q2133">
        <v>0</v>
      </c>
      <c r="R2133" t="s">
        <v>32526</v>
      </c>
      <c r="S2133" t="s">
        <v>32547</v>
      </c>
      <c r="T2133" t="s">
        <v>33165</v>
      </c>
      <c r="U2133" t="s">
        <v>35446</v>
      </c>
      <c r="V2133" t="s">
        <v>42629</v>
      </c>
      <c r="W2133" t="s">
        <v>30452</v>
      </c>
      <c r="X2133" t="s">
        <v>32527</v>
      </c>
    </row>
    <row r="2134" spans="1:24">
      <c r="A2134">
        <f>HYPERLINK("https://www.philgeps.gov.ph/GEPSNONPILOT/Tender/SplashBidNoticeAbstractUI.aspx?menuIndex=3&amp;refID=7046781&amp;Result=3","7046781")</f>
        <v>0</v>
      </c>
      <c r="B2134" t="s">
        <v>841</v>
      </c>
      <c r="C2134" t="s">
        <v>4732</v>
      </c>
      <c r="D2134" t="s">
        <v>13023</v>
      </c>
      <c r="E2134" t="s">
        <v>15008</v>
      </c>
      <c r="F2134" t="s">
        <v>22436</v>
      </c>
      <c r="G2134" t="s">
        <v>22443</v>
      </c>
      <c r="H2134" t="s">
        <v>22452</v>
      </c>
      <c r="I2134" t="s">
        <v>22461</v>
      </c>
      <c r="J2134" t="s">
        <v>22620</v>
      </c>
      <c r="K2134" t="s">
        <v>29331</v>
      </c>
      <c r="M2134" t="s">
        <v>30447</v>
      </c>
      <c r="N2134" t="s">
        <v>32524</v>
      </c>
      <c r="O2134" t="s">
        <v>32525</v>
      </c>
      <c r="P2134">
        <v>0</v>
      </c>
      <c r="Q2134">
        <v>2</v>
      </c>
      <c r="R2134" t="s">
        <v>32526</v>
      </c>
      <c r="S2134" t="s">
        <v>32547</v>
      </c>
      <c r="T2134" t="s">
        <v>33161</v>
      </c>
      <c r="U2134" t="s">
        <v>35437</v>
      </c>
      <c r="W2134" t="s">
        <v>43697</v>
      </c>
      <c r="X2134" t="s">
        <v>32527</v>
      </c>
    </row>
    <row r="2135" spans="1:24">
      <c r="A2135">
        <f>HYPERLINK("https://www.philgeps.gov.ph/GEPSNONPILOT/Tender/SplashBidNoticeAbstractUI.aspx?menuIndex=3&amp;refID=7046777&amp;Result=3","7046777")</f>
        <v>0</v>
      </c>
      <c r="B2135" t="s">
        <v>829</v>
      </c>
      <c r="C2135" t="s">
        <v>4733</v>
      </c>
      <c r="D2135" t="s">
        <v>13050</v>
      </c>
      <c r="E2135" t="s">
        <v>15009</v>
      </c>
      <c r="F2135" t="s">
        <v>22436</v>
      </c>
      <c r="G2135" t="s">
        <v>22444</v>
      </c>
      <c r="H2135" t="s">
        <v>22452</v>
      </c>
      <c r="I2135" t="s">
        <v>22469</v>
      </c>
      <c r="J2135" t="s">
        <v>24101</v>
      </c>
      <c r="K2135" t="s">
        <v>29333</v>
      </c>
      <c r="M2135" t="s">
        <v>30435</v>
      </c>
      <c r="N2135" t="s">
        <v>32524</v>
      </c>
      <c r="O2135" t="s">
        <v>32525</v>
      </c>
      <c r="P2135">
        <v>0</v>
      </c>
      <c r="Q2135">
        <v>5</v>
      </c>
      <c r="R2135" t="s">
        <v>32526</v>
      </c>
      <c r="S2135" t="s">
        <v>32547</v>
      </c>
      <c r="T2135" t="s">
        <v>33170</v>
      </c>
      <c r="U2135" t="s">
        <v>35447</v>
      </c>
      <c r="W2135" t="s">
        <v>30435</v>
      </c>
      <c r="X2135" t="s">
        <v>32527</v>
      </c>
    </row>
    <row r="2136" spans="1:24">
      <c r="A2136">
        <f>HYPERLINK("https://www.philgeps.gov.ph/GEPSNONPILOT/Tender/SplashBidNoticeAbstractUI.aspx?menuIndex=3&amp;refID=7046795&amp;Result=3","7046795")</f>
        <v>0</v>
      </c>
      <c r="B2136" t="s">
        <v>841</v>
      </c>
      <c r="C2136" t="s">
        <v>4734</v>
      </c>
      <c r="D2136" t="s">
        <v>13059</v>
      </c>
      <c r="E2136" t="s">
        <v>15010</v>
      </c>
      <c r="F2136" t="s">
        <v>22436</v>
      </c>
      <c r="G2136" t="s">
        <v>22443</v>
      </c>
      <c r="H2136" t="s">
        <v>22452</v>
      </c>
      <c r="I2136" t="s">
        <v>22488</v>
      </c>
      <c r="J2136" t="s">
        <v>22585</v>
      </c>
      <c r="K2136" t="s">
        <v>29331</v>
      </c>
      <c r="M2136" t="s">
        <v>30447</v>
      </c>
      <c r="N2136" t="s">
        <v>32524</v>
      </c>
      <c r="O2136" t="s">
        <v>32525</v>
      </c>
      <c r="P2136">
        <v>0</v>
      </c>
      <c r="Q2136">
        <v>0</v>
      </c>
      <c r="R2136" t="s">
        <v>32526</v>
      </c>
      <c r="S2136" t="s">
        <v>32547</v>
      </c>
      <c r="T2136" t="s">
        <v>33161</v>
      </c>
      <c r="U2136" t="s">
        <v>35437</v>
      </c>
      <c r="W2136" t="s">
        <v>43697</v>
      </c>
      <c r="X2136" t="s">
        <v>32527</v>
      </c>
    </row>
    <row r="2137" spans="1:24">
      <c r="A2137">
        <f>HYPERLINK("https://www.philgeps.gov.ph/GEPSNONPILOT/Tender/SplashBidNoticeAbstractUI.aspx?menuIndex=3&amp;refID=7046789&amp;Result=3","7046789")</f>
        <v>0</v>
      </c>
      <c r="B2137" t="s">
        <v>847</v>
      </c>
      <c r="C2137" t="s">
        <v>4735</v>
      </c>
      <c r="D2137" t="s">
        <v>12988</v>
      </c>
      <c r="E2137" t="s">
        <v>15011</v>
      </c>
      <c r="F2137" t="s">
        <v>22436</v>
      </c>
      <c r="G2137" t="s">
        <v>22443</v>
      </c>
      <c r="H2137" t="s">
        <v>22452</v>
      </c>
      <c r="I2137" t="s">
        <v>22501</v>
      </c>
      <c r="J2137" t="s">
        <v>22874</v>
      </c>
      <c r="K2137" t="s">
        <v>29338</v>
      </c>
      <c r="M2137" t="s">
        <v>30453</v>
      </c>
      <c r="N2137" t="s">
        <v>32524</v>
      </c>
      <c r="O2137" t="s">
        <v>32525</v>
      </c>
      <c r="P2137">
        <v>0</v>
      </c>
      <c r="Q2137">
        <v>0</v>
      </c>
      <c r="R2137" t="s">
        <v>32526</v>
      </c>
      <c r="S2137" t="s">
        <v>32547</v>
      </c>
      <c r="T2137" t="s">
        <v>33215</v>
      </c>
      <c r="U2137" t="s">
        <v>35448</v>
      </c>
      <c r="W2137" t="s">
        <v>30453</v>
      </c>
      <c r="X2137" t="s">
        <v>32527</v>
      </c>
    </row>
    <row r="2138" spans="1:24">
      <c r="A2138">
        <f>HYPERLINK("https://www.philgeps.gov.ph/GEPSNONPILOT/Tender/SplashBidNoticeAbstractUI.aspx?menuIndex=3&amp;refID=7046785&amp;Result=3","7046785")</f>
        <v>0</v>
      </c>
      <c r="B2138" t="s">
        <v>841</v>
      </c>
      <c r="C2138" t="s">
        <v>4736</v>
      </c>
      <c r="D2138" t="s">
        <v>13023</v>
      </c>
      <c r="E2138" t="s">
        <v>15012</v>
      </c>
      <c r="F2138" t="s">
        <v>22436</v>
      </c>
      <c r="G2138" t="s">
        <v>22446</v>
      </c>
      <c r="H2138" t="s">
        <v>22452</v>
      </c>
      <c r="I2138" t="s">
        <v>22531</v>
      </c>
      <c r="J2138" t="s">
        <v>24102</v>
      </c>
      <c r="K2138" t="s">
        <v>29331</v>
      </c>
      <c r="M2138" t="s">
        <v>30447</v>
      </c>
      <c r="N2138" t="s">
        <v>32524</v>
      </c>
      <c r="O2138" t="s">
        <v>32525</v>
      </c>
      <c r="P2138">
        <v>0</v>
      </c>
      <c r="Q2138">
        <v>10</v>
      </c>
      <c r="R2138" t="s">
        <v>32526</v>
      </c>
      <c r="S2138" t="s">
        <v>32547</v>
      </c>
      <c r="T2138" t="s">
        <v>33161</v>
      </c>
      <c r="U2138" t="s">
        <v>35437</v>
      </c>
      <c r="W2138" t="s">
        <v>43697</v>
      </c>
      <c r="X2138" t="s">
        <v>32527</v>
      </c>
    </row>
    <row r="2139" spans="1:24">
      <c r="A2139">
        <f>HYPERLINK("https://www.philgeps.gov.ph/GEPSNONPILOT/Tender/SplashBidNoticeAbstractUI.aspx?menuIndex=3&amp;refID=7046794&amp;Result=3","7046794")</f>
        <v>0</v>
      </c>
      <c r="B2139" t="s">
        <v>844</v>
      </c>
      <c r="C2139" t="s">
        <v>4737</v>
      </c>
      <c r="D2139" t="s">
        <v>13009</v>
      </c>
      <c r="E2139" t="s">
        <v>15013</v>
      </c>
      <c r="F2139" t="s">
        <v>22436</v>
      </c>
      <c r="G2139" t="s">
        <v>22444</v>
      </c>
      <c r="H2139" t="s">
        <v>22454</v>
      </c>
      <c r="I2139" t="s">
        <v>7738</v>
      </c>
      <c r="J2139" t="s">
        <v>24103</v>
      </c>
      <c r="K2139" t="s">
        <v>29344</v>
      </c>
      <c r="M2139" t="s">
        <v>30450</v>
      </c>
      <c r="N2139" t="s">
        <v>32524</v>
      </c>
      <c r="O2139" t="s">
        <v>32525</v>
      </c>
      <c r="P2139">
        <v>0</v>
      </c>
      <c r="Q2139">
        <v>0</v>
      </c>
      <c r="R2139" t="s">
        <v>32526</v>
      </c>
      <c r="S2139" t="s">
        <v>32547</v>
      </c>
      <c r="T2139" t="s">
        <v>33158</v>
      </c>
      <c r="U2139" t="s">
        <v>35444</v>
      </c>
      <c r="W2139" t="s">
        <v>30450</v>
      </c>
      <c r="X2139" t="s">
        <v>32527</v>
      </c>
    </row>
    <row r="2140" spans="1:24">
      <c r="A2140">
        <f>HYPERLINK("https://www.philgeps.gov.ph/GEPSNONPILOT/Tender/SplashBidNoticeAbstractUI.aspx?menuIndex=3&amp;refID=7046788&amp;Result=3","7046788")</f>
        <v>0</v>
      </c>
      <c r="B2140" t="s">
        <v>50</v>
      </c>
      <c r="C2140" t="s">
        <v>4738</v>
      </c>
      <c r="D2140" t="s">
        <v>13008</v>
      </c>
      <c r="E2140" t="s">
        <v>15014</v>
      </c>
      <c r="F2140" t="s">
        <v>22436</v>
      </c>
      <c r="G2140" t="s">
        <v>22444</v>
      </c>
      <c r="H2140" t="s">
        <v>22452</v>
      </c>
      <c r="I2140" t="s">
        <v>3027</v>
      </c>
      <c r="J2140" t="s">
        <v>24104</v>
      </c>
      <c r="K2140" t="s">
        <v>29335</v>
      </c>
      <c r="M2140" t="s">
        <v>29622</v>
      </c>
      <c r="N2140" t="s">
        <v>32524</v>
      </c>
      <c r="O2140" t="s">
        <v>32525</v>
      </c>
      <c r="P2140">
        <v>0</v>
      </c>
      <c r="Q2140">
        <v>0</v>
      </c>
      <c r="R2140" t="s">
        <v>32526</v>
      </c>
      <c r="S2140" t="s">
        <v>32547</v>
      </c>
      <c r="T2140" t="s">
        <v>33166</v>
      </c>
      <c r="U2140" t="s">
        <v>35449</v>
      </c>
      <c r="W2140" t="s">
        <v>29622</v>
      </c>
      <c r="X2140" t="s">
        <v>32527</v>
      </c>
    </row>
    <row r="2141" spans="1:24">
      <c r="A2141">
        <f>HYPERLINK("https://www.philgeps.gov.ph/GEPSNONPILOT/Tender/SplashBidNoticeAbstractUI.aspx?menuIndex=3&amp;refID=7046787&amp;Result=3","7046787")</f>
        <v>0</v>
      </c>
      <c r="B2141" t="s">
        <v>841</v>
      </c>
      <c r="C2141" t="s">
        <v>4739</v>
      </c>
      <c r="D2141" t="s">
        <v>13029</v>
      </c>
      <c r="E2141" t="s">
        <v>15015</v>
      </c>
      <c r="F2141" t="s">
        <v>22436</v>
      </c>
      <c r="G2141" t="s">
        <v>22448</v>
      </c>
      <c r="H2141" t="s">
        <v>22452</v>
      </c>
      <c r="I2141" t="s">
        <v>22461</v>
      </c>
      <c r="J2141" t="s">
        <v>23277</v>
      </c>
      <c r="K2141" t="s">
        <v>29331</v>
      </c>
      <c r="M2141" t="s">
        <v>30447</v>
      </c>
      <c r="N2141" t="s">
        <v>32524</v>
      </c>
      <c r="O2141" t="s">
        <v>32525</v>
      </c>
      <c r="P2141">
        <v>0</v>
      </c>
      <c r="Q2141">
        <v>2</v>
      </c>
      <c r="R2141" t="s">
        <v>32526</v>
      </c>
      <c r="S2141" t="s">
        <v>32547</v>
      </c>
      <c r="T2141" t="s">
        <v>33161</v>
      </c>
      <c r="U2141" t="s">
        <v>35437</v>
      </c>
      <c r="W2141" t="s">
        <v>43697</v>
      </c>
      <c r="X2141" t="s">
        <v>32527</v>
      </c>
    </row>
    <row r="2142" spans="1:24">
      <c r="A2142">
        <f>HYPERLINK("https://www.philgeps.gov.ph/GEPSNONPILOT/Tender/SplashBidNoticeAbstractUI.aspx?menuIndex=3&amp;refID=7046797&amp;Result=3","7046797")</f>
        <v>0</v>
      </c>
      <c r="B2142" t="s">
        <v>841</v>
      </c>
      <c r="C2142" t="s">
        <v>4740</v>
      </c>
      <c r="D2142" t="s">
        <v>13059</v>
      </c>
      <c r="E2142" t="s">
        <v>15016</v>
      </c>
      <c r="F2142" t="s">
        <v>22436</v>
      </c>
      <c r="G2142" t="s">
        <v>22443</v>
      </c>
      <c r="H2142" t="s">
        <v>22452</v>
      </c>
      <c r="I2142" t="s">
        <v>22488</v>
      </c>
      <c r="J2142" t="s">
        <v>23085</v>
      </c>
      <c r="K2142" t="s">
        <v>29331</v>
      </c>
      <c r="M2142" t="s">
        <v>30447</v>
      </c>
      <c r="N2142" t="s">
        <v>32524</v>
      </c>
      <c r="O2142" t="s">
        <v>32525</v>
      </c>
      <c r="P2142">
        <v>0</v>
      </c>
      <c r="Q2142">
        <v>1</v>
      </c>
      <c r="R2142" t="s">
        <v>32526</v>
      </c>
      <c r="S2142" t="s">
        <v>32547</v>
      </c>
      <c r="T2142" t="s">
        <v>33161</v>
      </c>
      <c r="U2142" t="s">
        <v>35437</v>
      </c>
      <c r="W2142" t="s">
        <v>43697</v>
      </c>
      <c r="X2142" t="s">
        <v>32527</v>
      </c>
    </row>
    <row r="2143" spans="1:24">
      <c r="A2143">
        <f>HYPERLINK("https://www.philgeps.gov.ph/GEPSNONPILOT/Tender/SplashBidNoticeAbstractUI.aspx?menuIndex=3&amp;refID=7046803&amp;Result=3","7046803")</f>
        <v>0</v>
      </c>
      <c r="B2143" t="s">
        <v>846</v>
      </c>
      <c r="C2143" t="s">
        <v>4741</v>
      </c>
      <c r="D2143" t="s">
        <v>13017</v>
      </c>
      <c r="E2143" t="s">
        <v>15017</v>
      </c>
      <c r="F2143" t="s">
        <v>22436</v>
      </c>
      <c r="G2143" t="s">
        <v>22444</v>
      </c>
      <c r="H2143" t="s">
        <v>22454</v>
      </c>
      <c r="I2143" t="s">
        <v>7738</v>
      </c>
      <c r="J2143" t="s">
        <v>23384</v>
      </c>
      <c r="K2143" t="s">
        <v>29402</v>
      </c>
      <c r="M2143" t="s">
        <v>30452</v>
      </c>
      <c r="N2143" t="s">
        <v>32524</v>
      </c>
      <c r="O2143" t="s">
        <v>32525</v>
      </c>
      <c r="P2143">
        <v>0</v>
      </c>
      <c r="Q2143">
        <v>0</v>
      </c>
      <c r="R2143" t="s">
        <v>32526</v>
      </c>
      <c r="S2143" t="s">
        <v>32547</v>
      </c>
      <c r="T2143" t="s">
        <v>33165</v>
      </c>
      <c r="U2143" t="s">
        <v>35450</v>
      </c>
      <c r="V2143" t="s">
        <v>42630</v>
      </c>
      <c r="W2143" t="s">
        <v>30452</v>
      </c>
      <c r="X2143" t="s">
        <v>32527</v>
      </c>
    </row>
    <row r="2144" spans="1:24">
      <c r="A2144">
        <f>HYPERLINK("https://www.philgeps.gov.ph/GEPSNONPILOT/Tender/SplashBidNoticeAbstractUI.aspx?menuIndex=3&amp;refID=7046796&amp;Result=3","7046796")</f>
        <v>0</v>
      </c>
      <c r="B2144" t="s">
        <v>50</v>
      </c>
      <c r="C2144" t="s">
        <v>4742</v>
      </c>
      <c r="D2144" t="s">
        <v>13008</v>
      </c>
      <c r="E2144" t="s">
        <v>15014</v>
      </c>
      <c r="F2144" t="s">
        <v>22436</v>
      </c>
      <c r="G2144" t="s">
        <v>22444</v>
      </c>
      <c r="H2144" t="s">
        <v>22452</v>
      </c>
      <c r="I2144" t="s">
        <v>22481</v>
      </c>
      <c r="J2144" t="s">
        <v>24105</v>
      </c>
      <c r="K2144" t="s">
        <v>29335</v>
      </c>
      <c r="M2144" t="s">
        <v>29622</v>
      </c>
      <c r="N2144" t="s">
        <v>32524</v>
      </c>
      <c r="O2144" t="s">
        <v>32525</v>
      </c>
      <c r="P2144">
        <v>0</v>
      </c>
      <c r="Q2144">
        <v>0</v>
      </c>
      <c r="R2144" t="s">
        <v>32526</v>
      </c>
      <c r="S2144" t="s">
        <v>32547</v>
      </c>
      <c r="T2144" t="s">
        <v>33166</v>
      </c>
      <c r="U2144" t="s">
        <v>35449</v>
      </c>
      <c r="W2144" t="s">
        <v>29622</v>
      </c>
      <c r="X2144" t="s">
        <v>32527</v>
      </c>
    </row>
    <row r="2145" spans="1:24">
      <c r="A2145">
        <f>HYPERLINK("https://www.philgeps.gov.ph/GEPSNONPILOT/Tender/SplashBidNoticeAbstractUI.aspx?menuIndex=3&amp;refID=7046798&amp;Result=3","7046798")</f>
        <v>0</v>
      </c>
      <c r="B2145" t="s">
        <v>587</v>
      </c>
      <c r="C2145" t="s">
        <v>4743</v>
      </c>
      <c r="D2145" t="s">
        <v>12988</v>
      </c>
      <c r="E2145" t="s">
        <v>15018</v>
      </c>
      <c r="F2145" t="s">
        <v>22436</v>
      </c>
      <c r="G2145" t="s">
        <v>22443</v>
      </c>
      <c r="H2145" t="s">
        <v>22452</v>
      </c>
      <c r="I2145" t="s">
        <v>22460</v>
      </c>
      <c r="J2145" t="s">
        <v>24106</v>
      </c>
      <c r="K2145" t="s">
        <v>29335</v>
      </c>
      <c r="M2145" t="s">
        <v>30454</v>
      </c>
      <c r="N2145" t="s">
        <v>32524</v>
      </c>
      <c r="O2145" t="s">
        <v>32525</v>
      </c>
      <c r="P2145">
        <v>0</v>
      </c>
      <c r="Q2145">
        <v>2</v>
      </c>
      <c r="R2145" t="s">
        <v>32526</v>
      </c>
      <c r="S2145" t="s">
        <v>32547</v>
      </c>
      <c r="T2145" t="s">
        <v>33153</v>
      </c>
      <c r="U2145" t="s">
        <v>35451</v>
      </c>
      <c r="W2145" t="s">
        <v>30454</v>
      </c>
      <c r="X2145" t="s">
        <v>32527</v>
      </c>
    </row>
    <row r="2146" spans="1:24">
      <c r="A2146">
        <f>HYPERLINK("https://www.philgeps.gov.ph/GEPSNONPILOT/Tender/SplashBidNoticeAbstractUI.aspx?menuIndex=3&amp;refID=7046800&amp;Result=3","7046800")</f>
        <v>0</v>
      </c>
      <c r="B2146" t="s">
        <v>848</v>
      </c>
      <c r="C2146" t="s">
        <v>3626</v>
      </c>
      <c r="E2146" t="s">
        <v>15019</v>
      </c>
      <c r="F2146" t="s">
        <v>22436</v>
      </c>
      <c r="G2146" t="s">
        <v>22446</v>
      </c>
      <c r="H2146" t="s">
        <v>22452</v>
      </c>
      <c r="I2146" t="s">
        <v>22469</v>
      </c>
      <c r="J2146" t="s">
        <v>22657</v>
      </c>
      <c r="K2146" t="s">
        <v>29338</v>
      </c>
      <c r="M2146" t="s">
        <v>30455</v>
      </c>
      <c r="N2146" t="s">
        <v>32524</v>
      </c>
      <c r="O2146" t="s">
        <v>32525</v>
      </c>
      <c r="P2146">
        <v>0</v>
      </c>
      <c r="Q2146">
        <v>7</v>
      </c>
      <c r="R2146" t="s">
        <v>32526</v>
      </c>
      <c r="S2146" t="s">
        <v>32547</v>
      </c>
      <c r="T2146" t="s">
        <v>33220</v>
      </c>
      <c r="U2146" t="s">
        <v>35452</v>
      </c>
      <c r="W2146" t="s">
        <v>30455</v>
      </c>
      <c r="X2146" t="s">
        <v>32527</v>
      </c>
    </row>
    <row r="2147" spans="1:24">
      <c r="A2147">
        <f>HYPERLINK("https://www.philgeps.gov.ph/GEPSNONPILOT/Tender/SplashBidNoticeAbstractUI.aspx?menuIndex=3&amp;refID=7046819&amp;Result=3","7046819")</f>
        <v>0</v>
      </c>
      <c r="B2147" t="s">
        <v>849</v>
      </c>
      <c r="C2147" t="s">
        <v>4744</v>
      </c>
      <c r="D2147" t="s">
        <v>12988</v>
      </c>
      <c r="E2147" t="s">
        <v>15020</v>
      </c>
      <c r="F2147" t="s">
        <v>22436</v>
      </c>
      <c r="G2147" t="s">
        <v>22444</v>
      </c>
      <c r="H2147" t="s">
        <v>22453</v>
      </c>
      <c r="I2147" t="s">
        <v>2981</v>
      </c>
      <c r="J2147" t="s">
        <v>22607</v>
      </c>
      <c r="K2147" t="s">
        <v>29341</v>
      </c>
      <c r="M2147" t="s">
        <v>30456</v>
      </c>
      <c r="N2147" t="s">
        <v>32524</v>
      </c>
      <c r="O2147" t="s">
        <v>32525</v>
      </c>
      <c r="P2147">
        <v>0</v>
      </c>
      <c r="Q2147">
        <v>1</v>
      </c>
      <c r="R2147" t="s">
        <v>32526</v>
      </c>
      <c r="S2147" t="s">
        <v>32547</v>
      </c>
      <c r="T2147" t="s">
        <v>33358</v>
      </c>
      <c r="U2147" t="s">
        <v>35453</v>
      </c>
      <c r="V2147" t="s">
        <v>42631</v>
      </c>
      <c r="W2147" t="s">
        <v>30456</v>
      </c>
      <c r="X2147" t="s">
        <v>32527</v>
      </c>
    </row>
    <row r="2148" spans="1:24">
      <c r="A2148">
        <f>HYPERLINK("https://www.philgeps.gov.ph/GEPSNONPILOT/Tender/SplashBidNoticeAbstractUI.aspx?menuIndex=3&amp;refID=7046815&amp;Result=3","7046815")</f>
        <v>0</v>
      </c>
      <c r="B2148" t="s">
        <v>850</v>
      </c>
      <c r="C2148" t="s">
        <v>4745</v>
      </c>
      <c r="D2148" t="s">
        <v>13037</v>
      </c>
      <c r="E2148" t="s">
        <v>15021</v>
      </c>
      <c r="F2148" t="s">
        <v>22436</v>
      </c>
      <c r="G2148" t="s">
        <v>22443</v>
      </c>
      <c r="H2148" t="s">
        <v>22452</v>
      </c>
      <c r="I2148" t="s">
        <v>22461</v>
      </c>
      <c r="J2148" t="s">
        <v>24107</v>
      </c>
      <c r="K2148" t="s">
        <v>29357</v>
      </c>
      <c r="M2148" t="s">
        <v>30457</v>
      </c>
      <c r="N2148" t="s">
        <v>32524</v>
      </c>
      <c r="O2148" t="s">
        <v>32525</v>
      </c>
      <c r="P2148">
        <v>0</v>
      </c>
      <c r="Q2148">
        <v>2</v>
      </c>
      <c r="R2148" t="s">
        <v>32526</v>
      </c>
      <c r="S2148" t="s">
        <v>32547</v>
      </c>
      <c r="T2148" t="s">
        <v>33339</v>
      </c>
      <c r="U2148" t="s">
        <v>35454</v>
      </c>
      <c r="W2148" t="s">
        <v>30457</v>
      </c>
      <c r="X2148" t="s">
        <v>32527</v>
      </c>
    </row>
    <row r="2149" spans="1:24">
      <c r="A2149">
        <f>HYPERLINK("https://www.philgeps.gov.ph/GEPSNONPILOT/Tender/SplashBidNoticeAbstractUI.aspx?menuIndex=3&amp;refID=7046822&amp;Result=3","7046822")</f>
        <v>0</v>
      </c>
      <c r="B2149" t="s">
        <v>851</v>
      </c>
      <c r="C2149" t="s">
        <v>4746</v>
      </c>
      <c r="D2149" t="s">
        <v>12996</v>
      </c>
      <c r="E2149" t="s">
        <v>13182</v>
      </c>
      <c r="F2149" t="s">
        <v>22436</v>
      </c>
      <c r="G2149" t="s">
        <v>22444</v>
      </c>
      <c r="H2149" t="s">
        <v>22454</v>
      </c>
      <c r="I2149" t="s">
        <v>7738</v>
      </c>
      <c r="J2149" t="s">
        <v>24108</v>
      </c>
      <c r="K2149" t="s">
        <v>29335</v>
      </c>
      <c r="M2149" t="s">
        <v>30458</v>
      </c>
      <c r="N2149" t="s">
        <v>32524</v>
      </c>
      <c r="O2149" t="s">
        <v>32525</v>
      </c>
      <c r="P2149">
        <v>0</v>
      </c>
      <c r="Q2149">
        <v>2</v>
      </c>
      <c r="R2149" t="s">
        <v>32526</v>
      </c>
      <c r="S2149" t="s">
        <v>32547</v>
      </c>
      <c r="T2149" t="s">
        <v>33153</v>
      </c>
      <c r="U2149" t="s">
        <v>35455</v>
      </c>
      <c r="W2149" t="s">
        <v>30458</v>
      </c>
      <c r="X2149" t="s">
        <v>32527</v>
      </c>
    </row>
    <row r="2150" spans="1:24">
      <c r="A2150">
        <f>HYPERLINK("https://www.philgeps.gov.ph/GEPSNONPILOT/Tender/SplashBidNoticeAbstractUI.aspx?menuIndex=3&amp;refID=7046813&amp;Result=3","7046813")</f>
        <v>0</v>
      </c>
      <c r="B2150" t="s">
        <v>849</v>
      </c>
      <c r="C2150" t="s">
        <v>4747</v>
      </c>
      <c r="D2150" t="s">
        <v>12988</v>
      </c>
      <c r="E2150" t="s">
        <v>15022</v>
      </c>
      <c r="F2150" t="s">
        <v>22436</v>
      </c>
      <c r="G2150" t="s">
        <v>22446</v>
      </c>
      <c r="H2150" t="s">
        <v>22453</v>
      </c>
      <c r="I2150" t="s">
        <v>2981</v>
      </c>
      <c r="J2150" t="s">
        <v>22692</v>
      </c>
      <c r="K2150" t="s">
        <v>29336</v>
      </c>
      <c r="M2150" t="s">
        <v>30456</v>
      </c>
      <c r="N2150" t="s">
        <v>32524</v>
      </c>
      <c r="O2150" t="s">
        <v>32525</v>
      </c>
      <c r="P2150">
        <v>0</v>
      </c>
      <c r="Q2150">
        <v>1</v>
      </c>
      <c r="R2150" t="s">
        <v>32526</v>
      </c>
      <c r="S2150" t="s">
        <v>32547</v>
      </c>
      <c r="T2150" t="s">
        <v>33320</v>
      </c>
      <c r="U2150" t="s">
        <v>35456</v>
      </c>
      <c r="V2150" t="s">
        <v>42631</v>
      </c>
      <c r="W2150" t="s">
        <v>30456</v>
      </c>
      <c r="X2150" t="s">
        <v>32527</v>
      </c>
    </row>
    <row r="2151" spans="1:24">
      <c r="A2151">
        <f>HYPERLINK("https://www.philgeps.gov.ph/GEPSNONPILOT/Tender/SplashBidNoticeAbstractUI.aspx?menuIndex=3&amp;refID=7046818&amp;Result=3","7046818")</f>
        <v>0</v>
      </c>
      <c r="B2151" t="s">
        <v>849</v>
      </c>
      <c r="C2151" t="s">
        <v>4748</v>
      </c>
      <c r="D2151" t="s">
        <v>12988</v>
      </c>
      <c r="E2151" t="s">
        <v>15023</v>
      </c>
      <c r="F2151" t="s">
        <v>22436</v>
      </c>
      <c r="G2151" t="s">
        <v>22444</v>
      </c>
      <c r="H2151" t="s">
        <v>22453</v>
      </c>
      <c r="I2151" t="s">
        <v>2981</v>
      </c>
      <c r="J2151" t="s">
        <v>22607</v>
      </c>
      <c r="K2151" t="s">
        <v>29341</v>
      </c>
      <c r="M2151" t="s">
        <v>30456</v>
      </c>
      <c r="N2151" t="s">
        <v>32524</v>
      </c>
      <c r="O2151" t="s">
        <v>32525</v>
      </c>
      <c r="P2151">
        <v>0</v>
      </c>
      <c r="Q2151">
        <v>1</v>
      </c>
      <c r="R2151" t="s">
        <v>32526</v>
      </c>
      <c r="S2151" t="s">
        <v>32547</v>
      </c>
      <c r="T2151" t="s">
        <v>33181</v>
      </c>
      <c r="U2151" t="s">
        <v>35457</v>
      </c>
      <c r="V2151" t="s">
        <v>42631</v>
      </c>
      <c r="W2151" t="s">
        <v>30456</v>
      </c>
      <c r="X2151" t="s">
        <v>32527</v>
      </c>
    </row>
    <row r="2152" spans="1:24">
      <c r="A2152">
        <f>HYPERLINK("https://www.philgeps.gov.ph/GEPSNONPILOT/Tender/SplashBidNoticeAbstractUI.aspx?menuIndex=3&amp;refID=7046817&amp;Result=3","7046817")</f>
        <v>0</v>
      </c>
      <c r="B2152" t="s">
        <v>852</v>
      </c>
      <c r="C2152" t="s">
        <v>4749</v>
      </c>
      <c r="D2152" t="s">
        <v>13006</v>
      </c>
      <c r="E2152" t="s">
        <v>15024</v>
      </c>
      <c r="F2152" t="s">
        <v>22436</v>
      </c>
      <c r="G2152" t="s">
        <v>22443</v>
      </c>
      <c r="H2152" t="s">
        <v>22452</v>
      </c>
      <c r="I2152" t="s">
        <v>22461</v>
      </c>
      <c r="J2152" t="s">
        <v>24109</v>
      </c>
      <c r="K2152" t="s">
        <v>29336</v>
      </c>
      <c r="L2152" t="s">
        <v>852</v>
      </c>
      <c r="M2152" t="s">
        <v>30459</v>
      </c>
      <c r="N2152" t="s">
        <v>32524</v>
      </c>
      <c r="O2152" t="s">
        <v>32525</v>
      </c>
      <c r="P2152">
        <v>0</v>
      </c>
      <c r="Q2152">
        <v>2</v>
      </c>
      <c r="R2152" t="s">
        <v>32526</v>
      </c>
      <c r="S2152" t="s">
        <v>32547</v>
      </c>
      <c r="T2152" t="s">
        <v>33161</v>
      </c>
      <c r="U2152" t="s">
        <v>35458</v>
      </c>
      <c r="W2152" t="s">
        <v>30459</v>
      </c>
      <c r="X2152" t="s">
        <v>32527</v>
      </c>
    </row>
    <row r="2153" spans="1:24">
      <c r="A2153">
        <f>HYPERLINK("https://www.philgeps.gov.ph/GEPSNONPILOT/Tender/SplashBidNoticeAbstractUI.aspx?menuIndex=3&amp;refID=7046820&amp;Result=3","7046820")</f>
        <v>0</v>
      </c>
      <c r="B2153" t="s">
        <v>853</v>
      </c>
      <c r="C2153" t="s">
        <v>4750</v>
      </c>
      <c r="D2153" t="s">
        <v>13038</v>
      </c>
      <c r="E2153" t="s">
        <v>15025</v>
      </c>
      <c r="F2153" t="s">
        <v>22436</v>
      </c>
      <c r="G2153" t="s">
        <v>22444</v>
      </c>
      <c r="H2153" t="s">
        <v>22452</v>
      </c>
      <c r="I2153" t="s">
        <v>5194</v>
      </c>
      <c r="J2153" t="s">
        <v>24110</v>
      </c>
      <c r="K2153" t="s">
        <v>29341</v>
      </c>
      <c r="M2153" t="s">
        <v>30460</v>
      </c>
      <c r="N2153" t="s">
        <v>32524</v>
      </c>
      <c r="O2153" t="s">
        <v>32525</v>
      </c>
      <c r="P2153">
        <v>0</v>
      </c>
      <c r="Q2153">
        <v>1</v>
      </c>
      <c r="R2153" t="s">
        <v>32526</v>
      </c>
      <c r="S2153" t="s">
        <v>32547</v>
      </c>
      <c r="T2153" t="s">
        <v>33155</v>
      </c>
      <c r="U2153" t="s">
        <v>35459</v>
      </c>
      <c r="W2153" t="s">
        <v>30460</v>
      </c>
      <c r="X2153" t="s">
        <v>32527</v>
      </c>
    </row>
    <row r="2154" spans="1:24">
      <c r="A2154">
        <f>HYPERLINK("https://www.philgeps.gov.ph/GEPSNONPILOT/Tender/SplashBidNoticeAbstractUI.aspx?menuIndex=3&amp;refID=7046808&amp;Result=3","7046808")</f>
        <v>0</v>
      </c>
      <c r="B2154" t="s">
        <v>849</v>
      </c>
      <c r="C2154" t="s">
        <v>4751</v>
      </c>
      <c r="D2154" t="s">
        <v>12988</v>
      </c>
      <c r="E2154" t="s">
        <v>15026</v>
      </c>
      <c r="F2154" t="s">
        <v>22436</v>
      </c>
      <c r="G2154" t="s">
        <v>22444</v>
      </c>
      <c r="H2154" t="s">
        <v>22453</v>
      </c>
      <c r="I2154" t="s">
        <v>2981</v>
      </c>
      <c r="J2154" t="s">
        <v>22616</v>
      </c>
      <c r="K2154" t="s">
        <v>29336</v>
      </c>
      <c r="M2154" t="s">
        <v>30456</v>
      </c>
      <c r="N2154" t="s">
        <v>32524</v>
      </c>
      <c r="O2154" t="s">
        <v>32525</v>
      </c>
      <c r="P2154">
        <v>0</v>
      </c>
      <c r="Q2154">
        <v>1</v>
      </c>
      <c r="R2154" t="s">
        <v>32526</v>
      </c>
      <c r="S2154" t="s">
        <v>32547</v>
      </c>
      <c r="T2154" t="s">
        <v>33177</v>
      </c>
      <c r="U2154" t="s">
        <v>35460</v>
      </c>
      <c r="V2154" t="s">
        <v>42631</v>
      </c>
      <c r="W2154" t="s">
        <v>30456</v>
      </c>
      <c r="X2154" t="s">
        <v>32527</v>
      </c>
    </row>
    <row r="2155" spans="1:24">
      <c r="A2155">
        <f>HYPERLINK("https://www.philgeps.gov.ph/GEPSNONPILOT/Tender/SplashBidNoticeAbstractUI.aspx?menuIndex=3&amp;refID=7046812&amp;Result=3","7046812")</f>
        <v>0</v>
      </c>
      <c r="B2155" t="s">
        <v>846</v>
      </c>
      <c r="C2155" t="s">
        <v>4752</v>
      </c>
      <c r="D2155" t="s">
        <v>13017</v>
      </c>
      <c r="E2155" t="s">
        <v>15027</v>
      </c>
      <c r="F2155" t="s">
        <v>22436</v>
      </c>
      <c r="G2155" t="s">
        <v>22444</v>
      </c>
      <c r="H2155" t="s">
        <v>22454</v>
      </c>
      <c r="I2155" t="s">
        <v>7738</v>
      </c>
      <c r="J2155" t="s">
        <v>24111</v>
      </c>
      <c r="K2155" t="s">
        <v>29401</v>
      </c>
      <c r="M2155" t="s">
        <v>30452</v>
      </c>
      <c r="N2155" t="s">
        <v>32524</v>
      </c>
      <c r="O2155" t="s">
        <v>32525</v>
      </c>
      <c r="P2155">
        <v>0</v>
      </c>
      <c r="Q2155">
        <v>1</v>
      </c>
      <c r="R2155" t="s">
        <v>32526</v>
      </c>
      <c r="S2155" t="s">
        <v>32547</v>
      </c>
      <c r="T2155" t="s">
        <v>33165</v>
      </c>
      <c r="U2155" t="s">
        <v>35461</v>
      </c>
      <c r="V2155" t="s">
        <v>42632</v>
      </c>
      <c r="W2155" t="s">
        <v>30452</v>
      </c>
      <c r="X2155" t="s">
        <v>32527</v>
      </c>
    </row>
    <row r="2156" spans="1:24">
      <c r="A2156">
        <f>HYPERLINK("https://www.philgeps.gov.ph/GEPSNONPILOT/Tender/SplashBidNoticeAbstractUI.aspx?menuIndex=3&amp;refID=7046806&amp;Result=3","7046806")</f>
        <v>0</v>
      </c>
      <c r="B2156" t="s">
        <v>854</v>
      </c>
      <c r="C2156" t="s">
        <v>4753</v>
      </c>
      <c r="D2156" t="s">
        <v>13066</v>
      </c>
      <c r="E2156" t="s">
        <v>15028</v>
      </c>
      <c r="F2156" t="s">
        <v>22436</v>
      </c>
      <c r="G2156" t="s">
        <v>22446</v>
      </c>
      <c r="H2156" t="s">
        <v>22452</v>
      </c>
      <c r="I2156" t="s">
        <v>22493</v>
      </c>
      <c r="J2156" t="s">
        <v>23191</v>
      </c>
      <c r="K2156" t="s">
        <v>29338</v>
      </c>
      <c r="M2156" t="s">
        <v>30461</v>
      </c>
      <c r="N2156" t="s">
        <v>32524</v>
      </c>
      <c r="O2156" t="s">
        <v>32525</v>
      </c>
      <c r="P2156">
        <v>0</v>
      </c>
      <c r="Q2156">
        <v>0</v>
      </c>
      <c r="R2156" t="s">
        <v>32526</v>
      </c>
      <c r="S2156" t="s">
        <v>32547</v>
      </c>
      <c r="T2156" t="s">
        <v>33203</v>
      </c>
      <c r="U2156" t="s">
        <v>35462</v>
      </c>
      <c r="W2156" t="s">
        <v>30461</v>
      </c>
      <c r="X2156" t="s">
        <v>32527</v>
      </c>
    </row>
    <row r="2157" spans="1:24">
      <c r="A2157">
        <f>HYPERLINK("https://www.philgeps.gov.ph/GEPSNONPILOT/Tender/SplashBidNoticeAbstractUI.aspx?menuIndex=3&amp;refID=7046807&amp;Result=3","7046807")</f>
        <v>0</v>
      </c>
      <c r="B2157" t="s">
        <v>850</v>
      </c>
      <c r="C2157" t="s">
        <v>4745</v>
      </c>
      <c r="D2157" t="s">
        <v>13037</v>
      </c>
      <c r="E2157" t="s">
        <v>15029</v>
      </c>
      <c r="F2157" t="s">
        <v>22436</v>
      </c>
      <c r="G2157" t="s">
        <v>22443</v>
      </c>
      <c r="H2157" t="s">
        <v>22452</v>
      </c>
      <c r="I2157" t="s">
        <v>22461</v>
      </c>
      <c r="J2157" t="s">
        <v>24112</v>
      </c>
      <c r="K2157" t="s">
        <v>29357</v>
      </c>
      <c r="M2157" t="s">
        <v>30457</v>
      </c>
      <c r="N2157" t="s">
        <v>32524</v>
      </c>
      <c r="O2157" t="s">
        <v>32525</v>
      </c>
      <c r="P2157">
        <v>0</v>
      </c>
      <c r="Q2157">
        <v>2</v>
      </c>
      <c r="R2157" t="s">
        <v>32526</v>
      </c>
      <c r="S2157" t="s">
        <v>32547</v>
      </c>
      <c r="T2157" t="s">
        <v>33339</v>
      </c>
      <c r="U2157" t="s">
        <v>35463</v>
      </c>
      <c r="W2157" t="s">
        <v>30457</v>
      </c>
      <c r="X2157" t="s">
        <v>32527</v>
      </c>
    </row>
    <row r="2158" spans="1:24">
      <c r="A2158">
        <f>HYPERLINK("https://www.philgeps.gov.ph/GEPSNONPILOT/Tender/SplashBidNoticeAbstractUI.aspx?menuIndex=3&amp;refID=7046804&amp;Result=3","7046804")</f>
        <v>0</v>
      </c>
      <c r="B2158" t="s">
        <v>836</v>
      </c>
      <c r="C2158" t="s">
        <v>4754</v>
      </c>
      <c r="D2158" t="s">
        <v>13056</v>
      </c>
      <c r="E2158" t="s">
        <v>15030</v>
      </c>
      <c r="F2158" t="s">
        <v>22436</v>
      </c>
      <c r="G2158" t="s">
        <v>22444</v>
      </c>
      <c r="H2158" t="s">
        <v>22452</v>
      </c>
      <c r="I2158" t="s">
        <v>22469</v>
      </c>
      <c r="J2158" t="s">
        <v>24113</v>
      </c>
      <c r="K2158" t="s">
        <v>29357</v>
      </c>
      <c r="M2158" t="s">
        <v>30442</v>
      </c>
      <c r="N2158" t="s">
        <v>32524</v>
      </c>
      <c r="O2158" t="s">
        <v>32525</v>
      </c>
      <c r="P2158">
        <v>0</v>
      </c>
      <c r="Q2158">
        <v>0</v>
      </c>
      <c r="R2158" t="s">
        <v>32526</v>
      </c>
      <c r="S2158" t="s">
        <v>32547</v>
      </c>
      <c r="T2158" t="s">
        <v>33153</v>
      </c>
      <c r="U2158" t="s">
        <v>35464</v>
      </c>
      <c r="W2158" t="s">
        <v>30442</v>
      </c>
      <c r="X2158" t="s">
        <v>32527</v>
      </c>
    </row>
    <row r="2159" spans="1:24">
      <c r="A2159">
        <f>HYPERLINK("https://www.philgeps.gov.ph/GEPSNONPILOT/Tender/SplashBidNoticeAbstractUI.aspx?menuIndex=3&amp;refID=7046823&amp;Result=3","7046823")</f>
        <v>0</v>
      </c>
      <c r="B2159" t="s">
        <v>849</v>
      </c>
      <c r="C2159" t="s">
        <v>4755</v>
      </c>
      <c r="D2159" t="s">
        <v>12988</v>
      </c>
      <c r="E2159" t="s">
        <v>15031</v>
      </c>
      <c r="F2159" t="s">
        <v>22436</v>
      </c>
      <c r="G2159" t="s">
        <v>22444</v>
      </c>
      <c r="H2159" t="s">
        <v>22453</v>
      </c>
      <c r="I2159" t="s">
        <v>2981</v>
      </c>
      <c r="J2159" t="s">
        <v>22893</v>
      </c>
      <c r="K2159" t="s">
        <v>29341</v>
      </c>
      <c r="M2159" t="s">
        <v>30456</v>
      </c>
      <c r="N2159" t="s">
        <v>32524</v>
      </c>
      <c r="O2159" t="s">
        <v>32525</v>
      </c>
      <c r="P2159">
        <v>0</v>
      </c>
      <c r="Q2159">
        <v>3</v>
      </c>
      <c r="R2159" t="s">
        <v>32526</v>
      </c>
      <c r="S2159" t="s">
        <v>32547</v>
      </c>
      <c r="T2159" t="s">
        <v>33243</v>
      </c>
      <c r="U2159" t="s">
        <v>35456</v>
      </c>
      <c r="V2159" t="s">
        <v>42631</v>
      </c>
      <c r="W2159" t="s">
        <v>30456</v>
      </c>
      <c r="X2159" t="s">
        <v>32527</v>
      </c>
    </row>
    <row r="2160" spans="1:24">
      <c r="A2160">
        <f>HYPERLINK("https://www.philgeps.gov.ph/GEPSNONPILOT/Tender/SplashBidNoticeAbstractUI.aspx?menuIndex=3&amp;refID=7046805&amp;Result=3","7046805")</f>
        <v>0</v>
      </c>
      <c r="B2160" t="s">
        <v>849</v>
      </c>
      <c r="C2160" t="s">
        <v>4756</v>
      </c>
      <c r="D2160" t="s">
        <v>12988</v>
      </c>
      <c r="E2160" t="s">
        <v>15032</v>
      </c>
      <c r="F2160" t="s">
        <v>22436</v>
      </c>
      <c r="G2160" t="s">
        <v>22444</v>
      </c>
      <c r="H2160" t="s">
        <v>22453</v>
      </c>
      <c r="I2160" t="s">
        <v>2981</v>
      </c>
      <c r="J2160" t="s">
        <v>22853</v>
      </c>
      <c r="K2160" t="s">
        <v>29341</v>
      </c>
      <c r="M2160" t="s">
        <v>30456</v>
      </c>
      <c r="N2160" t="s">
        <v>32524</v>
      </c>
      <c r="O2160" t="s">
        <v>32525</v>
      </c>
      <c r="P2160">
        <v>0</v>
      </c>
      <c r="Q2160">
        <v>1</v>
      </c>
      <c r="R2160" t="s">
        <v>32526</v>
      </c>
      <c r="S2160" t="s">
        <v>32547</v>
      </c>
      <c r="T2160" t="s">
        <v>33168</v>
      </c>
      <c r="U2160" t="s">
        <v>35465</v>
      </c>
      <c r="V2160" t="s">
        <v>42631</v>
      </c>
      <c r="W2160" t="s">
        <v>30456</v>
      </c>
      <c r="X2160" t="s">
        <v>32527</v>
      </c>
    </row>
    <row r="2161" spans="1:24">
      <c r="A2161">
        <f>HYPERLINK("https://www.philgeps.gov.ph/GEPSNONPILOT/Tender/SplashBidNoticeAbstractUI.aspx?menuIndex=3&amp;refID=7046801&amp;Result=3","7046801")</f>
        <v>0</v>
      </c>
      <c r="B2161" t="s">
        <v>846</v>
      </c>
      <c r="C2161" t="s">
        <v>4757</v>
      </c>
      <c r="D2161" t="s">
        <v>13017</v>
      </c>
      <c r="E2161" t="s">
        <v>15033</v>
      </c>
      <c r="F2161" t="s">
        <v>22436</v>
      </c>
      <c r="G2161" t="s">
        <v>22444</v>
      </c>
      <c r="H2161" t="s">
        <v>22454</v>
      </c>
      <c r="I2161" t="s">
        <v>7738</v>
      </c>
      <c r="J2161" t="s">
        <v>23384</v>
      </c>
      <c r="K2161" t="s">
        <v>29402</v>
      </c>
      <c r="M2161" t="s">
        <v>30452</v>
      </c>
      <c r="N2161" t="s">
        <v>32524</v>
      </c>
      <c r="O2161" t="s">
        <v>32525</v>
      </c>
      <c r="P2161">
        <v>0</v>
      </c>
      <c r="Q2161">
        <v>0</v>
      </c>
      <c r="R2161" t="s">
        <v>32526</v>
      </c>
      <c r="S2161" t="s">
        <v>32547</v>
      </c>
      <c r="T2161" t="s">
        <v>33165</v>
      </c>
      <c r="U2161" t="s">
        <v>35466</v>
      </c>
      <c r="V2161" t="s">
        <v>42633</v>
      </c>
      <c r="W2161" t="s">
        <v>30452</v>
      </c>
      <c r="X2161" t="s">
        <v>32527</v>
      </c>
    </row>
    <row r="2162" spans="1:24">
      <c r="A2162">
        <f>HYPERLINK("https://www.philgeps.gov.ph/GEPSNONPILOT/Tender/SplashBidNoticeAbstractUI.aspx?menuIndex=3&amp;refID=7046835&amp;Result=3","7046835")</f>
        <v>0</v>
      </c>
      <c r="B2162" t="s">
        <v>850</v>
      </c>
      <c r="C2162" t="s">
        <v>4758</v>
      </c>
      <c r="D2162" t="s">
        <v>13037</v>
      </c>
      <c r="E2162" t="s">
        <v>15034</v>
      </c>
      <c r="F2162" t="s">
        <v>22436</v>
      </c>
      <c r="G2162" t="s">
        <v>22443</v>
      </c>
      <c r="H2162" t="s">
        <v>22452</v>
      </c>
      <c r="I2162" t="s">
        <v>22461</v>
      </c>
      <c r="J2162" t="s">
        <v>24114</v>
      </c>
      <c r="K2162" t="s">
        <v>29357</v>
      </c>
      <c r="M2162" t="s">
        <v>30457</v>
      </c>
      <c r="N2162" t="s">
        <v>32524</v>
      </c>
      <c r="O2162" t="s">
        <v>32525</v>
      </c>
      <c r="P2162">
        <v>0</v>
      </c>
      <c r="Q2162">
        <v>1</v>
      </c>
      <c r="R2162" t="s">
        <v>32526</v>
      </c>
      <c r="S2162" t="s">
        <v>32547</v>
      </c>
      <c r="T2162" t="s">
        <v>33339</v>
      </c>
      <c r="U2162" t="s">
        <v>35467</v>
      </c>
      <c r="W2162" t="s">
        <v>30457</v>
      </c>
      <c r="X2162" t="s">
        <v>32527</v>
      </c>
    </row>
    <row r="2163" spans="1:24">
      <c r="A2163">
        <f>HYPERLINK("https://www.philgeps.gov.ph/GEPSNONPILOT/Tender/SplashBidNoticeAbstractUI.aspx?menuIndex=3&amp;refID=7046834&amp;Result=3","7046834")</f>
        <v>0</v>
      </c>
      <c r="B2163" t="s">
        <v>855</v>
      </c>
      <c r="C2163" t="s">
        <v>4759</v>
      </c>
      <c r="E2163" t="s">
        <v>15035</v>
      </c>
      <c r="F2163" t="s">
        <v>22436</v>
      </c>
      <c r="G2163" t="s">
        <v>22443</v>
      </c>
      <c r="H2163" t="s">
        <v>22452</v>
      </c>
      <c r="I2163" t="s">
        <v>2981</v>
      </c>
      <c r="J2163" t="s">
        <v>22640</v>
      </c>
      <c r="K2163" t="s">
        <v>29341</v>
      </c>
      <c r="M2163" t="s">
        <v>30462</v>
      </c>
      <c r="N2163" t="s">
        <v>32524</v>
      </c>
      <c r="O2163" t="s">
        <v>32525</v>
      </c>
      <c r="P2163">
        <v>0</v>
      </c>
      <c r="Q2163">
        <v>0</v>
      </c>
      <c r="R2163" t="s">
        <v>32526</v>
      </c>
      <c r="S2163" t="s">
        <v>32547</v>
      </c>
      <c r="T2163" t="s">
        <v>33161</v>
      </c>
      <c r="U2163" t="s">
        <v>35468</v>
      </c>
      <c r="W2163" t="s">
        <v>30462</v>
      </c>
      <c r="X2163" t="s">
        <v>32527</v>
      </c>
    </row>
    <row r="2164" spans="1:24">
      <c r="A2164">
        <f>HYPERLINK("https://www.philgeps.gov.ph/GEPSNONPILOT/Tender/SplashBidNoticeAbstractUI.aspx?menuIndex=3&amp;refID=7046833&amp;Result=3","7046833")</f>
        <v>0</v>
      </c>
      <c r="B2164" t="s">
        <v>856</v>
      </c>
      <c r="C2164" t="s">
        <v>4760</v>
      </c>
      <c r="D2164" t="s">
        <v>12993</v>
      </c>
      <c r="E2164" t="s">
        <v>15036</v>
      </c>
      <c r="F2164" t="s">
        <v>22436</v>
      </c>
      <c r="G2164" t="s">
        <v>22444</v>
      </c>
      <c r="H2164" t="s">
        <v>22452</v>
      </c>
      <c r="I2164" t="s">
        <v>3529</v>
      </c>
      <c r="J2164" t="s">
        <v>24115</v>
      </c>
      <c r="K2164" t="s">
        <v>29333</v>
      </c>
      <c r="M2164" t="s">
        <v>30463</v>
      </c>
      <c r="N2164" t="s">
        <v>32524</v>
      </c>
      <c r="O2164" t="s">
        <v>32525</v>
      </c>
      <c r="P2164">
        <v>0</v>
      </c>
      <c r="Q2164">
        <v>0</v>
      </c>
      <c r="R2164" t="s">
        <v>32526</v>
      </c>
      <c r="S2164" t="s">
        <v>32547</v>
      </c>
      <c r="T2164" t="s">
        <v>33186</v>
      </c>
      <c r="U2164" t="s">
        <v>35469</v>
      </c>
      <c r="W2164" t="s">
        <v>43698</v>
      </c>
      <c r="X2164" t="s">
        <v>32527</v>
      </c>
    </row>
    <row r="2165" spans="1:24">
      <c r="A2165">
        <f>HYPERLINK("https://www.philgeps.gov.ph/GEPSNONPILOT/Tender/SplashBidNoticeAbstractUI.aspx?menuIndex=3&amp;refID=7046847&amp;Result=3","7046847")</f>
        <v>0</v>
      </c>
      <c r="B2165" t="s">
        <v>857</v>
      </c>
      <c r="C2165" t="s">
        <v>4761</v>
      </c>
      <c r="D2165" t="s">
        <v>12990</v>
      </c>
      <c r="E2165" t="s">
        <v>15037</v>
      </c>
      <c r="F2165" t="s">
        <v>22436</v>
      </c>
      <c r="G2165" t="s">
        <v>22446</v>
      </c>
      <c r="H2165" t="s">
        <v>22452</v>
      </c>
      <c r="I2165" t="s">
        <v>3827</v>
      </c>
      <c r="J2165" t="s">
        <v>22865</v>
      </c>
      <c r="K2165" t="s">
        <v>29338</v>
      </c>
      <c r="M2165" t="s">
        <v>30464</v>
      </c>
      <c r="N2165" t="s">
        <v>32524</v>
      </c>
      <c r="O2165" t="s">
        <v>32525</v>
      </c>
      <c r="P2165">
        <v>0</v>
      </c>
      <c r="Q2165">
        <v>0</v>
      </c>
      <c r="R2165" t="s">
        <v>32526</v>
      </c>
      <c r="S2165" t="s">
        <v>32547</v>
      </c>
      <c r="T2165" t="s">
        <v>33167</v>
      </c>
      <c r="U2165" t="s">
        <v>35470</v>
      </c>
      <c r="W2165" t="s">
        <v>30464</v>
      </c>
      <c r="X2165" t="s">
        <v>32527</v>
      </c>
    </row>
    <row r="2166" spans="1:24">
      <c r="A2166">
        <f>HYPERLINK("https://www.philgeps.gov.ph/GEPSNONPILOT/Tender/SplashBidNoticeAbstractUI.aspx?menuIndex=3&amp;refID=7046799&amp;Result=3","7046799")</f>
        <v>0</v>
      </c>
      <c r="B2166" t="s">
        <v>50</v>
      </c>
      <c r="C2166" t="s">
        <v>4762</v>
      </c>
      <c r="D2166" t="s">
        <v>13008</v>
      </c>
      <c r="E2166" t="s">
        <v>15014</v>
      </c>
      <c r="F2166" t="s">
        <v>22436</v>
      </c>
      <c r="G2166" t="s">
        <v>22444</v>
      </c>
      <c r="H2166" t="s">
        <v>22452</v>
      </c>
      <c r="I2166" t="s">
        <v>22481</v>
      </c>
      <c r="J2166" t="s">
        <v>24116</v>
      </c>
      <c r="K2166" t="s">
        <v>29335</v>
      </c>
      <c r="M2166" t="s">
        <v>29622</v>
      </c>
      <c r="N2166" t="s">
        <v>32524</v>
      </c>
      <c r="O2166" t="s">
        <v>32525</v>
      </c>
      <c r="P2166">
        <v>0</v>
      </c>
      <c r="Q2166">
        <v>0</v>
      </c>
      <c r="R2166" t="s">
        <v>32526</v>
      </c>
      <c r="S2166" t="s">
        <v>32547</v>
      </c>
      <c r="T2166" t="s">
        <v>33166</v>
      </c>
      <c r="U2166" t="s">
        <v>35449</v>
      </c>
      <c r="W2166" t="s">
        <v>29622</v>
      </c>
      <c r="X2166" t="s">
        <v>32527</v>
      </c>
    </row>
    <row r="2167" spans="1:24">
      <c r="A2167">
        <f>HYPERLINK("https://www.philgeps.gov.ph/GEPSNONPILOT/Tender/SplashBidNoticeAbstractUI.aspx?menuIndex=3&amp;refID=7046845&amp;Result=3","7046845")</f>
        <v>0</v>
      </c>
      <c r="B2167" t="s">
        <v>741</v>
      </c>
      <c r="C2167" t="s">
        <v>4763</v>
      </c>
      <c r="D2167" t="s">
        <v>13019</v>
      </c>
      <c r="E2167" t="s">
        <v>15038</v>
      </c>
      <c r="F2167" t="s">
        <v>22436</v>
      </c>
      <c r="G2167" t="s">
        <v>22444</v>
      </c>
      <c r="H2167" t="s">
        <v>22454</v>
      </c>
      <c r="I2167" t="s">
        <v>7738</v>
      </c>
      <c r="J2167" t="s">
        <v>22634</v>
      </c>
      <c r="K2167" t="s">
        <v>29388</v>
      </c>
      <c r="M2167" t="s">
        <v>30342</v>
      </c>
      <c r="N2167" t="s">
        <v>32524</v>
      </c>
      <c r="O2167" t="s">
        <v>32525</v>
      </c>
      <c r="P2167">
        <v>0</v>
      </c>
      <c r="Q2167">
        <v>0</v>
      </c>
      <c r="R2167" t="s">
        <v>32526</v>
      </c>
      <c r="S2167" t="s">
        <v>32547</v>
      </c>
      <c r="T2167" t="s">
        <v>33164</v>
      </c>
      <c r="U2167" t="s">
        <v>35471</v>
      </c>
      <c r="W2167" t="s">
        <v>30342</v>
      </c>
      <c r="X2167" t="s">
        <v>32527</v>
      </c>
    </row>
    <row r="2168" spans="1:24">
      <c r="A2168">
        <f>HYPERLINK("https://www.philgeps.gov.ph/GEPSNONPILOT/Tender/SplashBidNoticeAbstractUI.aspx?menuIndex=3&amp;refID=7046842&amp;Result=3","7046842")</f>
        <v>0</v>
      </c>
      <c r="B2168" t="s">
        <v>857</v>
      </c>
      <c r="C2168" t="s">
        <v>4764</v>
      </c>
      <c r="D2168" t="s">
        <v>12990</v>
      </c>
      <c r="E2168" t="s">
        <v>15039</v>
      </c>
      <c r="F2168" t="s">
        <v>22436</v>
      </c>
      <c r="G2168" t="s">
        <v>22446</v>
      </c>
      <c r="H2168" t="s">
        <v>22452</v>
      </c>
      <c r="I2168" t="s">
        <v>22468</v>
      </c>
      <c r="J2168" t="s">
        <v>22692</v>
      </c>
      <c r="K2168" t="s">
        <v>29338</v>
      </c>
      <c r="M2168" t="s">
        <v>30464</v>
      </c>
      <c r="N2168" t="s">
        <v>32524</v>
      </c>
      <c r="O2168" t="s">
        <v>32525</v>
      </c>
      <c r="P2168">
        <v>0</v>
      </c>
      <c r="Q2168">
        <v>0</v>
      </c>
      <c r="R2168" t="s">
        <v>32526</v>
      </c>
      <c r="S2168" t="s">
        <v>32547</v>
      </c>
      <c r="T2168" t="s">
        <v>33167</v>
      </c>
      <c r="U2168" t="s">
        <v>35472</v>
      </c>
      <c r="W2168" t="s">
        <v>30464</v>
      </c>
      <c r="X2168" t="s">
        <v>32527</v>
      </c>
    </row>
    <row r="2169" spans="1:24">
      <c r="A2169">
        <f>HYPERLINK("https://www.philgeps.gov.ph/GEPSNONPILOT/Tender/SplashBidNoticeAbstractUI.aspx?menuIndex=3&amp;refID=7046843&amp;Result=3","7046843")</f>
        <v>0</v>
      </c>
      <c r="B2169" t="s">
        <v>858</v>
      </c>
      <c r="C2169" t="s">
        <v>4765</v>
      </c>
      <c r="D2169" t="s">
        <v>12988</v>
      </c>
      <c r="E2169" t="s">
        <v>15040</v>
      </c>
      <c r="F2169" t="s">
        <v>22436</v>
      </c>
      <c r="G2169" t="s">
        <v>22443</v>
      </c>
      <c r="H2169" t="s">
        <v>22453</v>
      </c>
      <c r="I2169" t="s">
        <v>22484</v>
      </c>
      <c r="J2169" t="s">
        <v>23120</v>
      </c>
      <c r="K2169" t="s">
        <v>29371</v>
      </c>
      <c r="M2169" t="s">
        <v>30465</v>
      </c>
      <c r="N2169" t="s">
        <v>32524</v>
      </c>
      <c r="O2169" t="s">
        <v>32525</v>
      </c>
      <c r="P2169">
        <v>0</v>
      </c>
      <c r="Q2169">
        <v>2</v>
      </c>
      <c r="R2169" t="s">
        <v>32526</v>
      </c>
      <c r="S2169" t="s">
        <v>32547</v>
      </c>
      <c r="T2169" t="s">
        <v>33215</v>
      </c>
      <c r="U2169" t="s">
        <v>35473</v>
      </c>
      <c r="W2169" t="s">
        <v>30465</v>
      </c>
      <c r="X2169" t="s">
        <v>32527</v>
      </c>
    </row>
    <row r="2170" spans="1:24">
      <c r="A2170">
        <f>HYPERLINK("https://www.philgeps.gov.ph/GEPSNONPILOT/Tender/SplashBidNoticeAbstractUI.aspx?menuIndex=3&amp;refID=7046849&amp;Result=3","7046849")</f>
        <v>0</v>
      </c>
      <c r="B2170" t="s">
        <v>850</v>
      </c>
      <c r="C2170" t="s">
        <v>4766</v>
      </c>
      <c r="D2170" t="s">
        <v>13037</v>
      </c>
      <c r="E2170" t="s">
        <v>15041</v>
      </c>
      <c r="F2170" t="s">
        <v>22436</v>
      </c>
      <c r="G2170" t="s">
        <v>22443</v>
      </c>
      <c r="H2170" t="s">
        <v>22452</v>
      </c>
      <c r="I2170" t="s">
        <v>22546</v>
      </c>
      <c r="J2170" t="s">
        <v>24117</v>
      </c>
      <c r="K2170" t="s">
        <v>29357</v>
      </c>
      <c r="M2170" t="s">
        <v>30457</v>
      </c>
      <c r="N2170" t="s">
        <v>32524</v>
      </c>
      <c r="O2170" t="s">
        <v>32525</v>
      </c>
      <c r="P2170">
        <v>0</v>
      </c>
      <c r="Q2170">
        <v>0</v>
      </c>
      <c r="R2170" t="s">
        <v>32526</v>
      </c>
      <c r="S2170" t="s">
        <v>32547</v>
      </c>
      <c r="T2170" t="s">
        <v>33339</v>
      </c>
      <c r="U2170" t="s">
        <v>35474</v>
      </c>
      <c r="W2170" t="s">
        <v>30457</v>
      </c>
      <c r="X2170" t="s">
        <v>32527</v>
      </c>
    </row>
    <row r="2171" spans="1:24">
      <c r="A2171">
        <f>HYPERLINK("https://www.philgeps.gov.ph/GEPSNONPILOT/Tender/SplashBidNoticeAbstractUI.aspx?menuIndex=3&amp;refID=7046837&amp;Result=3","7046837")</f>
        <v>0</v>
      </c>
      <c r="B2171" t="s">
        <v>859</v>
      </c>
      <c r="C2171" t="s">
        <v>4767</v>
      </c>
      <c r="D2171" t="s">
        <v>13001</v>
      </c>
      <c r="E2171" t="s">
        <v>15042</v>
      </c>
      <c r="F2171" t="s">
        <v>22436</v>
      </c>
      <c r="G2171" t="s">
        <v>22444</v>
      </c>
      <c r="H2171" t="s">
        <v>22452</v>
      </c>
      <c r="I2171" t="s">
        <v>22465</v>
      </c>
      <c r="J2171" t="s">
        <v>24118</v>
      </c>
      <c r="K2171" t="s">
        <v>29336</v>
      </c>
      <c r="M2171" t="s">
        <v>30466</v>
      </c>
      <c r="N2171" t="s">
        <v>32524</v>
      </c>
      <c r="O2171" t="s">
        <v>32525</v>
      </c>
      <c r="P2171">
        <v>0</v>
      </c>
      <c r="Q2171">
        <v>1</v>
      </c>
      <c r="R2171" t="s">
        <v>32526</v>
      </c>
      <c r="S2171" t="s">
        <v>32547</v>
      </c>
      <c r="T2171" t="s">
        <v>33181</v>
      </c>
      <c r="U2171" t="s">
        <v>35475</v>
      </c>
      <c r="W2171" t="s">
        <v>30466</v>
      </c>
      <c r="X2171" t="s">
        <v>32527</v>
      </c>
    </row>
    <row r="2172" spans="1:24">
      <c r="A2172">
        <f>HYPERLINK("https://www.philgeps.gov.ph/GEPSNONPILOT/Tender/SplashBidNoticeAbstractUI.aspx?menuIndex=3&amp;refID=7046839&amp;Result=3","7046839")</f>
        <v>0</v>
      </c>
      <c r="B2172" t="s">
        <v>860</v>
      </c>
      <c r="C2172" t="s">
        <v>4768</v>
      </c>
      <c r="D2172" t="s">
        <v>13028</v>
      </c>
      <c r="E2172" t="s">
        <v>15043</v>
      </c>
      <c r="F2172" t="s">
        <v>22436</v>
      </c>
      <c r="G2172" t="s">
        <v>22443</v>
      </c>
      <c r="H2172" t="s">
        <v>22452</v>
      </c>
      <c r="I2172" t="s">
        <v>22478</v>
      </c>
      <c r="J2172" t="s">
        <v>22617</v>
      </c>
      <c r="K2172" t="s">
        <v>29335</v>
      </c>
      <c r="M2172" t="s">
        <v>30467</v>
      </c>
      <c r="N2172" t="s">
        <v>32524</v>
      </c>
      <c r="O2172" t="s">
        <v>32525</v>
      </c>
      <c r="P2172">
        <v>0</v>
      </c>
      <c r="Q2172">
        <v>1</v>
      </c>
      <c r="R2172" t="s">
        <v>32526</v>
      </c>
      <c r="S2172" t="s">
        <v>32547</v>
      </c>
      <c r="T2172" t="s">
        <v>33359</v>
      </c>
      <c r="U2172" t="s">
        <v>35476</v>
      </c>
      <c r="W2172" t="s">
        <v>30467</v>
      </c>
      <c r="X2172" t="s">
        <v>32527</v>
      </c>
    </row>
    <row r="2173" spans="1:24">
      <c r="A2173">
        <f>HYPERLINK("https://www.philgeps.gov.ph/GEPSNONPILOT/Tender/SplashBidNoticeAbstractUI.aspx?menuIndex=3&amp;refID=7046828&amp;Result=3","7046828")</f>
        <v>0</v>
      </c>
      <c r="B2173" t="s">
        <v>861</v>
      </c>
      <c r="C2173" t="s">
        <v>4769</v>
      </c>
      <c r="D2173" t="s">
        <v>13058</v>
      </c>
      <c r="E2173" t="s">
        <v>4769</v>
      </c>
      <c r="F2173" t="s">
        <v>22436</v>
      </c>
      <c r="G2173" t="s">
        <v>22444</v>
      </c>
      <c r="H2173" t="s">
        <v>22452</v>
      </c>
      <c r="I2173" t="s">
        <v>6387</v>
      </c>
      <c r="J2173" t="s">
        <v>22616</v>
      </c>
      <c r="K2173" t="s">
        <v>29341</v>
      </c>
      <c r="M2173" t="s">
        <v>30468</v>
      </c>
      <c r="N2173" t="s">
        <v>32524</v>
      </c>
      <c r="O2173" t="s">
        <v>32525</v>
      </c>
      <c r="P2173">
        <v>0</v>
      </c>
      <c r="Q2173">
        <v>0</v>
      </c>
      <c r="R2173" t="s">
        <v>32526</v>
      </c>
      <c r="S2173" t="s">
        <v>32547</v>
      </c>
      <c r="T2173" t="s">
        <v>33181</v>
      </c>
      <c r="U2173" t="s">
        <v>35477</v>
      </c>
      <c r="W2173" t="s">
        <v>30468</v>
      </c>
      <c r="X2173" t="s">
        <v>32527</v>
      </c>
    </row>
    <row r="2174" spans="1:24">
      <c r="A2174">
        <f>HYPERLINK("https://www.philgeps.gov.ph/GEPSNONPILOT/Tender/SplashBidNoticeAbstractUI.aspx?menuIndex=3&amp;refID=7046830&amp;Result=3","7046830")</f>
        <v>0</v>
      </c>
      <c r="B2174" t="s">
        <v>862</v>
      </c>
      <c r="C2174" t="s">
        <v>4770</v>
      </c>
      <c r="D2174" t="s">
        <v>12995</v>
      </c>
      <c r="E2174" t="s">
        <v>15044</v>
      </c>
      <c r="F2174" t="s">
        <v>22436</v>
      </c>
      <c r="G2174" t="s">
        <v>22446</v>
      </c>
      <c r="H2174" t="s">
        <v>22452</v>
      </c>
      <c r="I2174" t="s">
        <v>5194</v>
      </c>
      <c r="J2174" t="s">
        <v>24119</v>
      </c>
      <c r="K2174" t="s">
        <v>29338</v>
      </c>
      <c r="M2174" t="s">
        <v>30469</v>
      </c>
      <c r="N2174" t="s">
        <v>32524</v>
      </c>
      <c r="O2174" t="s">
        <v>32525</v>
      </c>
      <c r="P2174">
        <v>0</v>
      </c>
      <c r="Q2174">
        <v>3</v>
      </c>
      <c r="R2174" t="s">
        <v>32526</v>
      </c>
      <c r="S2174" t="s">
        <v>32547</v>
      </c>
      <c r="T2174" t="s">
        <v>33196</v>
      </c>
      <c r="U2174" t="s">
        <v>35478</v>
      </c>
      <c r="W2174" t="s">
        <v>30469</v>
      </c>
      <c r="X2174" t="s">
        <v>32527</v>
      </c>
    </row>
    <row r="2175" spans="1:24">
      <c r="A2175">
        <f>HYPERLINK("https://www.philgeps.gov.ph/GEPSNONPILOT/Tender/SplashBidNoticeAbstractUI.aspx?menuIndex=3&amp;refID=7046825&amp;Result=3","7046825")</f>
        <v>0</v>
      </c>
      <c r="B2175" t="s">
        <v>863</v>
      </c>
      <c r="C2175" t="s">
        <v>4771</v>
      </c>
      <c r="D2175" t="s">
        <v>13002</v>
      </c>
      <c r="E2175" t="s">
        <v>15045</v>
      </c>
      <c r="F2175" t="s">
        <v>22436</v>
      </c>
      <c r="G2175" t="s">
        <v>22447</v>
      </c>
      <c r="H2175" t="s">
        <v>22452</v>
      </c>
      <c r="I2175" t="s">
        <v>2981</v>
      </c>
      <c r="J2175" t="s">
        <v>24120</v>
      </c>
      <c r="K2175" t="s">
        <v>29331</v>
      </c>
      <c r="M2175" t="s">
        <v>30470</v>
      </c>
      <c r="N2175" t="s">
        <v>32524</v>
      </c>
      <c r="O2175" t="s">
        <v>32525</v>
      </c>
      <c r="P2175">
        <v>0</v>
      </c>
      <c r="Q2175">
        <v>0</v>
      </c>
      <c r="R2175" t="s">
        <v>32526</v>
      </c>
      <c r="S2175" t="s">
        <v>32547</v>
      </c>
      <c r="T2175" t="s">
        <v>33183</v>
      </c>
      <c r="U2175" t="s">
        <v>35479</v>
      </c>
      <c r="W2175" t="s">
        <v>30470</v>
      </c>
      <c r="X2175" t="s">
        <v>32527</v>
      </c>
    </row>
    <row r="2176" spans="1:24">
      <c r="A2176">
        <f>HYPERLINK("https://www.philgeps.gov.ph/GEPSNONPILOT/Tender/SplashBidNoticeAbstractUI.aspx?menuIndex=3&amp;refID=7046831&amp;Result=3","7046831")</f>
        <v>0</v>
      </c>
      <c r="B2176" t="s">
        <v>864</v>
      </c>
      <c r="C2176" t="s">
        <v>4772</v>
      </c>
      <c r="D2176" t="s">
        <v>13022</v>
      </c>
      <c r="E2176" t="s">
        <v>15046</v>
      </c>
      <c r="F2176" t="s">
        <v>22436</v>
      </c>
      <c r="G2176" t="s">
        <v>22444</v>
      </c>
      <c r="H2176" t="s">
        <v>22454</v>
      </c>
      <c r="I2176" t="s">
        <v>7738</v>
      </c>
      <c r="J2176" t="s">
        <v>24121</v>
      </c>
      <c r="K2176" t="s">
        <v>29341</v>
      </c>
      <c r="M2176" t="s">
        <v>30471</v>
      </c>
      <c r="N2176" t="s">
        <v>32524</v>
      </c>
      <c r="O2176" t="s">
        <v>32525</v>
      </c>
      <c r="P2176">
        <v>0</v>
      </c>
      <c r="Q2176">
        <v>0</v>
      </c>
      <c r="R2176" t="s">
        <v>32526</v>
      </c>
      <c r="S2176" t="s">
        <v>32547</v>
      </c>
      <c r="T2176" t="s">
        <v>33218</v>
      </c>
      <c r="U2176" t="s">
        <v>35480</v>
      </c>
      <c r="W2176" t="s">
        <v>30471</v>
      </c>
      <c r="X2176" t="s">
        <v>32527</v>
      </c>
    </row>
    <row r="2177" spans="1:24">
      <c r="A2177">
        <f>HYPERLINK("https://www.philgeps.gov.ph/GEPSNONPILOT/Tender/SplashBidNoticeAbstractUI.aspx?menuIndex=3&amp;refID=7046851&amp;Result=3","7046851")</f>
        <v>0</v>
      </c>
      <c r="B2177" t="s">
        <v>865</v>
      </c>
      <c r="C2177" t="s">
        <v>3472</v>
      </c>
      <c r="D2177" t="s">
        <v>12988</v>
      </c>
      <c r="E2177" t="s">
        <v>15047</v>
      </c>
      <c r="F2177" t="s">
        <v>22436</v>
      </c>
      <c r="G2177" t="s">
        <v>22443</v>
      </c>
      <c r="H2177" t="s">
        <v>22452</v>
      </c>
      <c r="I2177" t="s">
        <v>22460</v>
      </c>
      <c r="J2177" t="s">
        <v>24122</v>
      </c>
      <c r="K2177" t="s">
        <v>29335</v>
      </c>
      <c r="M2177" t="s">
        <v>30472</v>
      </c>
      <c r="N2177" t="s">
        <v>32524</v>
      </c>
      <c r="O2177" t="s">
        <v>32525</v>
      </c>
      <c r="P2177">
        <v>0</v>
      </c>
      <c r="Q2177">
        <v>7</v>
      </c>
      <c r="R2177" t="s">
        <v>32526</v>
      </c>
      <c r="S2177" t="s">
        <v>32547</v>
      </c>
      <c r="T2177" t="s">
        <v>33169</v>
      </c>
      <c r="U2177" t="s">
        <v>35481</v>
      </c>
      <c r="V2177" t="s">
        <v>42634</v>
      </c>
      <c r="W2177" t="s">
        <v>30472</v>
      </c>
      <c r="X2177" t="s">
        <v>32527</v>
      </c>
    </row>
    <row r="2178" spans="1:24">
      <c r="A2178">
        <f>HYPERLINK("https://www.philgeps.gov.ph/GEPSNONPILOT/Tender/SplashBidNoticeAbstractUI.aspx?menuIndex=3&amp;refID=7046850&amp;Result=3","7046850")</f>
        <v>0</v>
      </c>
      <c r="B2178" t="s">
        <v>866</v>
      </c>
      <c r="C2178" t="s">
        <v>4773</v>
      </c>
      <c r="D2178" t="s">
        <v>12988</v>
      </c>
      <c r="E2178" t="s">
        <v>15048</v>
      </c>
      <c r="F2178" t="s">
        <v>22436</v>
      </c>
      <c r="G2178" t="s">
        <v>22444</v>
      </c>
      <c r="H2178" t="s">
        <v>22452</v>
      </c>
      <c r="I2178" t="s">
        <v>22457</v>
      </c>
      <c r="J2178" t="s">
        <v>24123</v>
      </c>
      <c r="K2178" t="s">
        <v>29338</v>
      </c>
      <c r="M2178" t="s">
        <v>30473</v>
      </c>
      <c r="N2178" t="s">
        <v>32524</v>
      </c>
      <c r="O2178" t="s">
        <v>32525</v>
      </c>
      <c r="P2178">
        <v>0</v>
      </c>
      <c r="Q2178">
        <v>1</v>
      </c>
      <c r="R2178" t="s">
        <v>32526</v>
      </c>
      <c r="S2178" t="s">
        <v>32547</v>
      </c>
      <c r="T2178" t="s">
        <v>33164</v>
      </c>
      <c r="U2178" t="s">
        <v>35482</v>
      </c>
      <c r="W2178" t="s">
        <v>30473</v>
      </c>
      <c r="X2178" t="s">
        <v>32527</v>
      </c>
    </row>
    <row r="2179" spans="1:24">
      <c r="A2179">
        <f>HYPERLINK("https://www.philgeps.gov.ph/GEPSNONPILOT/Tender/SplashBidNoticeAbstractUI.aspx?menuIndex=3&amp;refID=7046827&amp;Result=3","7046827")</f>
        <v>0</v>
      </c>
      <c r="B2179" t="s">
        <v>864</v>
      </c>
      <c r="C2179" t="s">
        <v>4774</v>
      </c>
      <c r="D2179" t="s">
        <v>13022</v>
      </c>
      <c r="E2179" t="s">
        <v>15049</v>
      </c>
      <c r="F2179" t="s">
        <v>22436</v>
      </c>
      <c r="G2179" t="s">
        <v>22444</v>
      </c>
      <c r="H2179" t="s">
        <v>22454</v>
      </c>
      <c r="I2179" t="s">
        <v>7738</v>
      </c>
      <c r="J2179" t="s">
        <v>22766</v>
      </c>
      <c r="K2179" t="s">
        <v>29370</v>
      </c>
      <c r="M2179" t="s">
        <v>30471</v>
      </c>
      <c r="N2179" t="s">
        <v>32524</v>
      </c>
      <c r="O2179" t="s">
        <v>32525</v>
      </c>
      <c r="P2179">
        <v>0</v>
      </c>
      <c r="Q2179">
        <v>0</v>
      </c>
      <c r="R2179" t="s">
        <v>32526</v>
      </c>
      <c r="S2179" t="s">
        <v>32547</v>
      </c>
      <c r="T2179" t="s">
        <v>33218</v>
      </c>
      <c r="U2179" t="s">
        <v>35483</v>
      </c>
      <c r="W2179" t="s">
        <v>30471</v>
      </c>
      <c r="X2179" t="s">
        <v>32527</v>
      </c>
    </row>
    <row r="2180" spans="1:24">
      <c r="A2180">
        <f>HYPERLINK("https://www.philgeps.gov.ph/GEPSNONPILOT/Tender/SplashBidNoticeAbstractUI.aspx?menuIndex=3&amp;refID=7046864&amp;Result=3","7046864")</f>
        <v>0</v>
      </c>
      <c r="B2180" t="s">
        <v>858</v>
      </c>
      <c r="C2180" t="s">
        <v>4775</v>
      </c>
      <c r="D2180" t="s">
        <v>12988</v>
      </c>
      <c r="E2180" t="s">
        <v>15050</v>
      </c>
      <c r="F2180" t="s">
        <v>22436</v>
      </c>
      <c r="G2180" t="s">
        <v>22443</v>
      </c>
      <c r="H2180" t="s">
        <v>22453</v>
      </c>
      <c r="I2180" t="s">
        <v>22484</v>
      </c>
      <c r="J2180" t="s">
        <v>22605</v>
      </c>
      <c r="K2180" t="s">
        <v>29371</v>
      </c>
      <c r="M2180" t="s">
        <v>30465</v>
      </c>
      <c r="N2180" t="s">
        <v>32524</v>
      </c>
      <c r="O2180" t="s">
        <v>32525</v>
      </c>
      <c r="P2180">
        <v>0</v>
      </c>
      <c r="Q2180">
        <v>2</v>
      </c>
      <c r="R2180" t="s">
        <v>32526</v>
      </c>
      <c r="S2180" t="s">
        <v>32547</v>
      </c>
      <c r="T2180" t="s">
        <v>33215</v>
      </c>
      <c r="U2180" t="s">
        <v>35473</v>
      </c>
      <c r="W2180" t="s">
        <v>30465</v>
      </c>
      <c r="X2180" t="s">
        <v>32527</v>
      </c>
    </row>
    <row r="2181" spans="1:24">
      <c r="A2181">
        <f>HYPERLINK("https://www.philgeps.gov.ph/GEPSNONPILOT/Tender/SplashBidNoticeAbstractUI.aspx?menuIndex=3&amp;refID=7046829&amp;Result=3","7046829")</f>
        <v>0</v>
      </c>
      <c r="B2181" t="s">
        <v>867</v>
      </c>
      <c r="C2181" t="s">
        <v>4776</v>
      </c>
      <c r="D2181" t="s">
        <v>13011</v>
      </c>
      <c r="E2181" t="s">
        <v>15051</v>
      </c>
      <c r="F2181" t="s">
        <v>22436</v>
      </c>
      <c r="G2181" t="s">
        <v>22445</v>
      </c>
      <c r="H2181" t="s">
        <v>22452</v>
      </c>
      <c r="I2181" t="s">
        <v>3827</v>
      </c>
      <c r="J2181" t="s">
        <v>24124</v>
      </c>
      <c r="K2181" t="s">
        <v>29335</v>
      </c>
      <c r="L2181" t="s">
        <v>867</v>
      </c>
      <c r="M2181" t="s">
        <v>30474</v>
      </c>
      <c r="N2181" t="s">
        <v>32524</v>
      </c>
      <c r="O2181" t="s">
        <v>32525</v>
      </c>
      <c r="P2181">
        <v>0</v>
      </c>
      <c r="Q2181">
        <v>10</v>
      </c>
      <c r="R2181" t="s">
        <v>32526</v>
      </c>
      <c r="S2181" t="s">
        <v>32547</v>
      </c>
      <c r="T2181" t="s">
        <v>33228</v>
      </c>
      <c r="U2181" t="s">
        <v>35484</v>
      </c>
      <c r="W2181" t="s">
        <v>30474</v>
      </c>
      <c r="X2181" t="s">
        <v>32527</v>
      </c>
    </row>
    <row r="2182" spans="1:24">
      <c r="A2182">
        <f>HYPERLINK("https://www.philgeps.gov.ph/GEPSNONPILOT/Tender/SplashBidNoticeAbstractUI.aspx?menuIndex=3&amp;refID=7046863&amp;Result=3","7046863")</f>
        <v>0</v>
      </c>
      <c r="B2182" t="s">
        <v>868</v>
      </c>
      <c r="C2182" t="s">
        <v>4777</v>
      </c>
      <c r="D2182" t="s">
        <v>13012</v>
      </c>
      <c r="E2182" t="s">
        <v>15052</v>
      </c>
      <c r="F2182" t="s">
        <v>22437</v>
      </c>
      <c r="G2182" t="s">
        <v>22444</v>
      </c>
      <c r="H2182" t="s">
        <v>22452</v>
      </c>
      <c r="I2182" t="s">
        <v>3529</v>
      </c>
      <c r="J2182" t="s">
        <v>24125</v>
      </c>
      <c r="K2182" t="s">
        <v>29331</v>
      </c>
      <c r="M2182" t="s">
        <v>30475</v>
      </c>
      <c r="N2182" t="s">
        <v>32524</v>
      </c>
      <c r="O2182" t="s">
        <v>32525</v>
      </c>
      <c r="P2182">
        <v>0</v>
      </c>
      <c r="Q2182">
        <v>0</v>
      </c>
      <c r="R2182" t="s">
        <v>32526</v>
      </c>
      <c r="S2182" t="s">
        <v>32547</v>
      </c>
      <c r="T2182" t="s">
        <v>33234</v>
      </c>
      <c r="U2182" t="s">
        <v>35485</v>
      </c>
      <c r="W2182" t="s">
        <v>30475</v>
      </c>
      <c r="X2182" t="s">
        <v>32527</v>
      </c>
    </row>
    <row r="2183" spans="1:24">
      <c r="A2183">
        <f>HYPERLINK("https://www.philgeps.gov.ph/GEPSNONPILOT/Tender/SplashBidNoticeAbstractUI.aspx?menuIndex=3&amp;refID=7046840&amp;Result=3","7046840")</f>
        <v>0</v>
      </c>
      <c r="B2183" t="s">
        <v>850</v>
      </c>
      <c r="C2183" t="s">
        <v>4778</v>
      </c>
      <c r="D2183" t="s">
        <v>13037</v>
      </c>
      <c r="E2183" t="s">
        <v>15053</v>
      </c>
      <c r="F2183" t="s">
        <v>22436</v>
      </c>
      <c r="G2183" t="s">
        <v>22443</v>
      </c>
      <c r="H2183" t="s">
        <v>22452</v>
      </c>
      <c r="I2183" t="s">
        <v>22461</v>
      </c>
      <c r="J2183" t="s">
        <v>24126</v>
      </c>
      <c r="K2183" t="s">
        <v>29357</v>
      </c>
      <c r="M2183" t="s">
        <v>30457</v>
      </c>
      <c r="N2183" t="s">
        <v>32524</v>
      </c>
      <c r="O2183" t="s">
        <v>32525</v>
      </c>
      <c r="P2183">
        <v>0</v>
      </c>
      <c r="Q2183">
        <v>1</v>
      </c>
      <c r="R2183" t="s">
        <v>32526</v>
      </c>
      <c r="S2183" t="s">
        <v>32547</v>
      </c>
      <c r="T2183" t="s">
        <v>33339</v>
      </c>
      <c r="U2183" t="s">
        <v>35486</v>
      </c>
      <c r="W2183" t="s">
        <v>30457</v>
      </c>
      <c r="X2183" t="s">
        <v>32527</v>
      </c>
    </row>
    <row r="2184" spans="1:24">
      <c r="A2184">
        <f>HYPERLINK("https://www.philgeps.gov.ph/GEPSNONPILOT/Tender/SplashBidNoticeAbstractUI.aspx?menuIndex=3&amp;refID=7046865&amp;Result=3","7046865")</f>
        <v>0</v>
      </c>
      <c r="B2184" t="s">
        <v>869</v>
      </c>
      <c r="C2184" t="s">
        <v>4779</v>
      </c>
      <c r="D2184" t="s">
        <v>13004</v>
      </c>
      <c r="E2184" t="s">
        <v>15054</v>
      </c>
      <c r="F2184" t="s">
        <v>22436</v>
      </c>
      <c r="G2184" t="s">
        <v>22444</v>
      </c>
      <c r="H2184" t="s">
        <v>22454</v>
      </c>
      <c r="I2184" t="s">
        <v>22471</v>
      </c>
      <c r="J2184" t="s">
        <v>22806</v>
      </c>
      <c r="K2184" t="s">
        <v>29344</v>
      </c>
      <c r="M2184" t="s">
        <v>30476</v>
      </c>
      <c r="N2184" t="s">
        <v>32524</v>
      </c>
      <c r="O2184" t="s">
        <v>32525</v>
      </c>
      <c r="P2184">
        <v>0</v>
      </c>
      <c r="Q2184">
        <v>0</v>
      </c>
      <c r="R2184" t="s">
        <v>32526</v>
      </c>
      <c r="S2184" t="s">
        <v>32547</v>
      </c>
      <c r="T2184" t="s">
        <v>33227</v>
      </c>
      <c r="U2184" t="s">
        <v>35487</v>
      </c>
      <c r="W2184" t="s">
        <v>30476</v>
      </c>
      <c r="X2184" t="s">
        <v>32527</v>
      </c>
    </row>
    <row r="2185" spans="1:24">
      <c r="A2185">
        <f>HYPERLINK("https://www.philgeps.gov.ph/GEPSNONPILOT/Tender/SplashBidNoticeAbstractUI.aspx?menuIndex=3&amp;refID=7046841&amp;Result=3","7046841")</f>
        <v>0</v>
      </c>
      <c r="B2185" t="s">
        <v>534</v>
      </c>
      <c r="C2185" t="s">
        <v>4780</v>
      </c>
      <c r="D2185" t="s">
        <v>12988</v>
      </c>
      <c r="E2185" t="s">
        <v>15055</v>
      </c>
      <c r="F2185" t="s">
        <v>22436</v>
      </c>
      <c r="G2185" t="s">
        <v>22443</v>
      </c>
      <c r="H2185" t="s">
        <v>22452</v>
      </c>
      <c r="I2185" t="s">
        <v>22508</v>
      </c>
      <c r="J2185" t="s">
        <v>24018</v>
      </c>
      <c r="K2185" t="s">
        <v>29356</v>
      </c>
      <c r="M2185" t="s">
        <v>30477</v>
      </c>
      <c r="N2185" t="s">
        <v>32524</v>
      </c>
      <c r="O2185" t="s">
        <v>32525</v>
      </c>
      <c r="P2185">
        <v>0</v>
      </c>
      <c r="Q2185">
        <v>1</v>
      </c>
      <c r="R2185" t="s">
        <v>32526</v>
      </c>
      <c r="S2185" t="s">
        <v>32547</v>
      </c>
      <c r="T2185" t="s">
        <v>33339</v>
      </c>
      <c r="U2185" t="s">
        <v>35488</v>
      </c>
      <c r="W2185" t="s">
        <v>30477</v>
      </c>
      <c r="X2185" t="s">
        <v>32527</v>
      </c>
    </row>
    <row r="2186" spans="1:24">
      <c r="A2186">
        <f>HYPERLINK("https://www.philgeps.gov.ph/GEPSNONPILOT/Tender/SplashBidNoticeAbstractUI.aspx?menuIndex=3&amp;refID=7046868&amp;Result=3","7046868")</f>
        <v>0</v>
      </c>
      <c r="B2186" t="s">
        <v>870</v>
      </c>
      <c r="C2186" t="s">
        <v>4781</v>
      </c>
      <c r="D2186" t="s">
        <v>12988</v>
      </c>
      <c r="E2186" t="s">
        <v>15056</v>
      </c>
      <c r="F2186" t="s">
        <v>22436</v>
      </c>
      <c r="G2186" t="s">
        <v>22444</v>
      </c>
      <c r="H2186" t="s">
        <v>22452</v>
      </c>
      <c r="I2186" t="s">
        <v>2981</v>
      </c>
      <c r="J2186" t="s">
        <v>24127</v>
      </c>
      <c r="K2186" t="s">
        <v>29331</v>
      </c>
      <c r="M2186" t="s">
        <v>30478</v>
      </c>
      <c r="N2186" t="s">
        <v>32524</v>
      </c>
      <c r="O2186" t="s">
        <v>32525</v>
      </c>
      <c r="P2186">
        <v>0</v>
      </c>
      <c r="Q2186">
        <v>0</v>
      </c>
      <c r="R2186" t="s">
        <v>32526</v>
      </c>
      <c r="S2186" t="s">
        <v>32547</v>
      </c>
      <c r="T2186" t="s">
        <v>33233</v>
      </c>
      <c r="U2186" t="s">
        <v>35489</v>
      </c>
      <c r="W2186" t="s">
        <v>30478</v>
      </c>
      <c r="X2186" t="s">
        <v>32527</v>
      </c>
    </row>
    <row r="2187" spans="1:24">
      <c r="A2187">
        <f>HYPERLINK("https://www.philgeps.gov.ph/GEPSNONPILOT/Tender/SplashBidNoticeAbstractUI.aspx?menuIndex=3&amp;refID=7046871&amp;Result=3","7046871")</f>
        <v>0</v>
      </c>
      <c r="B2187" t="s">
        <v>871</v>
      </c>
      <c r="C2187" t="s">
        <v>4782</v>
      </c>
      <c r="D2187" t="s">
        <v>13000</v>
      </c>
      <c r="E2187" t="s">
        <v>15057</v>
      </c>
      <c r="F2187" t="s">
        <v>22436</v>
      </c>
      <c r="G2187" t="s">
        <v>22444</v>
      </c>
      <c r="H2187" t="s">
        <v>22454</v>
      </c>
      <c r="I2187" t="s">
        <v>3529</v>
      </c>
      <c r="J2187" t="s">
        <v>22585</v>
      </c>
      <c r="K2187" t="s">
        <v>29336</v>
      </c>
      <c r="M2187" t="s">
        <v>30479</v>
      </c>
      <c r="N2187" t="s">
        <v>32524</v>
      </c>
      <c r="O2187" t="s">
        <v>32525</v>
      </c>
      <c r="P2187">
        <v>0</v>
      </c>
      <c r="Q2187">
        <v>0</v>
      </c>
      <c r="R2187" t="s">
        <v>32526</v>
      </c>
      <c r="S2187" t="s">
        <v>32547</v>
      </c>
      <c r="T2187" t="s">
        <v>33182</v>
      </c>
      <c r="U2187" t="s">
        <v>35490</v>
      </c>
      <c r="W2187" t="s">
        <v>30479</v>
      </c>
      <c r="X2187" t="s">
        <v>32527</v>
      </c>
    </row>
    <row r="2188" spans="1:24">
      <c r="A2188">
        <f>HYPERLINK("https://www.philgeps.gov.ph/GEPSNONPILOT/Tender/SplashBidNoticeAbstractUI.aspx?menuIndex=3&amp;refID=7046869&amp;Result=3","7046869")</f>
        <v>0</v>
      </c>
      <c r="B2188" t="s">
        <v>872</v>
      </c>
      <c r="C2188" t="s">
        <v>4783</v>
      </c>
      <c r="D2188" t="s">
        <v>13049</v>
      </c>
      <c r="E2188" t="s">
        <v>15058</v>
      </c>
      <c r="F2188" t="s">
        <v>22436</v>
      </c>
      <c r="G2188" t="s">
        <v>22444</v>
      </c>
      <c r="H2188" t="s">
        <v>22454</v>
      </c>
      <c r="I2188" t="s">
        <v>7738</v>
      </c>
      <c r="J2188" t="s">
        <v>23835</v>
      </c>
      <c r="K2188" t="s">
        <v>29388</v>
      </c>
      <c r="M2188" t="s">
        <v>30480</v>
      </c>
      <c r="N2188" t="s">
        <v>32524</v>
      </c>
      <c r="O2188" t="s">
        <v>32525</v>
      </c>
      <c r="P2188">
        <v>0</v>
      </c>
      <c r="Q2188">
        <v>0</v>
      </c>
      <c r="R2188" t="s">
        <v>32526</v>
      </c>
      <c r="S2188" t="s">
        <v>32547</v>
      </c>
      <c r="T2188" t="s">
        <v>33357</v>
      </c>
      <c r="U2188" t="s">
        <v>35491</v>
      </c>
      <c r="W2188" t="s">
        <v>43699</v>
      </c>
      <c r="X2188" t="s">
        <v>32527</v>
      </c>
    </row>
    <row r="2189" spans="1:24">
      <c r="A2189">
        <f>HYPERLINK("https://www.philgeps.gov.ph/GEPSNONPILOT/Tender/SplashBidNoticeAbstractUI.aspx?menuIndex=3&amp;refID=7046848&amp;Result=3","7046848")</f>
        <v>0</v>
      </c>
      <c r="B2189" t="s">
        <v>873</v>
      </c>
      <c r="C2189" t="s">
        <v>4784</v>
      </c>
      <c r="D2189" t="s">
        <v>13062</v>
      </c>
      <c r="E2189" t="s">
        <v>15059</v>
      </c>
      <c r="F2189" t="s">
        <v>22436</v>
      </c>
      <c r="G2189" t="s">
        <v>22444</v>
      </c>
      <c r="H2189" t="s">
        <v>22452</v>
      </c>
      <c r="I2189" t="s">
        <v>22467</v>
      </c>
      <c r="J2189" t="s">
        <v>24128</v>
      </c>
      <c r="K2189" t="s">
        <v>29341</v>
      </c>
      <c r="M2189" t="s">
        <v>30481</v>
      </c>
      <c r="N2189" t="s">
        <v>32524</v>
      </c>
      <c r="O2189" t="s">
        <v>32525</v>
      </c>
      <c r="P2189">
        <v>0</v>
      </c>
      <c r="Q2189">
        <v>0</v>
      </c>
      <c r="R2189" t="s">
        <v>32526</v>
      </c>
      <c r="S2189" t="s">
        <v>32547</v>
      </c>
      <c r="T2189" t="s">
        <v>33166</v>
      </c>
      <c r="U2189" t="s">
        <v>35492</v>
      </c>
      <c r="W2189" t="s">
        <v>30481</v>
      </c>
      <c r="X2189" t="s">
        <v>32527</v>
      </c>
    </row>
    <row r="2190" spans="1:24">
      <c r="A2190">
        <f>HYPERLINK("https://www.philgeps.gov.ph/GEPSNONPILOT/Tender/SplashBidNoticeAbstractUI.aspx?menuIndex=3&amp;refID=7046866&amp;Result=3","7046866")</f>
        <v>0</v>
      </c>
      <c r="B2190" t="s">
        <v>874</v>
      </c>
      <c r="C2190" t="s">
        <v>4785</v>
      </c>
      <c r="E2190" t="s">
        <v>15060</v>
      </c>
      <c r="F2190" t="s">
        <v>22436</v>
      </c>
      <c r="G2190" t="s">
        <v>22443</v>
      </c>
      <c r="H2190" t="s">
        <v>22452</v>
      </c>
      <c r="I2190" t="s">
        <v>22519</v>
      </c>
      <c r="J2190" t="s">
        <v>22588</v>
      </c>
      <c r="K2190" t="s">
        <v>29338</v>
      </c>
      <c r="M2190" t="s">
        <v>30482</v>
      </c>
      <c r="N2190" t="s">
        <v>32524</v>
      </c>
      <c r="O2190" t="s">
        <v>32525</v>
      </c>
      <c r="P2190">
        <v>0</v>
      </c>
      <c r="Q2190">
        <v>1</v>
      </c>
      <c r="R2190" t="s">
        <v>32526</v>
      </c>
      <c r="S2190" t="s">
        <v>32547</v>
      </c>
      <c r="T2190" t="s">
        <v>33196</v>
      </c>
      <c r="U2190" t="s">
        <v>35493</v>
      </c>
      <c r="W2190" t="s">
        <v>30482</v>
      </c>
      <c r="X2190" t="s">
        <v>32527</v>
      </c>
    </row>
    <row r="2191" spans="1:24">
      <c r="A2191">
        <f>HYPERLINK("https://www.philgeps.gov.ph/GEPSNONPILOT/Tender/SplashBidNoticeAbstractUI.aspx?menuIndex=3&amp;refID=7046860&amp;Result=3","7046860")</f>
        <v>0</v>
      </c>
      <c r="B2191" t="s">
        <v>854</v>
      </c>
      <c r="C2191" t="s">
        <v>4786</v>
      </c>
      <c r="D2191" t="s">
        <v>13066</v>
      </c>
      <c r="E2191" t="s">
        <v>15061</v>
      </c>
      <c r="F2191" t="s">
        <v>22436</v>
      </c>
      <c r="G2191" t="s">
        <v>22446</v>
      </c>
      <c r="H2191" t="s">
        <v>22452</v>
      </c>
      <c r="I2191" t="s">
        <v>22476</v>
      </c>
      <c r="J2191" t="s">
        <v>22700</v>
      </c>
      <c r="K2191" t="s">
        <v>29338</v>
      </c>
      <c r="M2191" t="s">
        <v>30461</v>
      </c>
      <c r="N2191" t="s">
        <v>32524</v>
      </c>
      <c r="O2191" t="s">
        <v>32525</v>
      </c>
      <c r="P2191">
        <v>0</v>
      </c>
      <c r="Q2191">
        <v>0</v>
      </c>
      <c r="R2191" t="s">
        <v>32526</v>
      </c>
      <c r="S2191" t="s">
        <v>32547</v>
      </c>
      <c r="T2191" t="s">
        <v>33293</v>
      </c>
      <c r="U2191" t="s">
        <v>35494</v>
      </c>
      <c r="W2191" t="s">
        <v>30461</v>
      </c>
      <c r="X2191" t="s">
        <v>32527</v>
      </c>
    </row>
    <row r="2192" spans="1:24">
      <c r="A2192">
        <f>HYPERLINK("https://www.philgeps.gov.ph/GEPSNONPILOT/Tender/SplashBidNoticeAbstractUI.aspx?menuIndex=3&amp;refID=7046870&amp;Result=3","7046870")</f>
        <v>0</v>
      </c>
      <c r="B2192" t="s">
        <v>875</v>
      </c>
      <c r="C2192" t="s">
        <v>4787</v>
      </c>
      <c r="D2192" t="s">
        <v>13007</v>
      </c>
      <c r="E2192" t="s">
        <v>15062</v>
      </c>
      <c r="F2192" t="s">
        <v>22436</v>
      </c>
      <c r="G2192" t="s">
        <v>22443</v>
      </c>
      <c r="H2192" t="s">
        <v>22452</v>
      </c>
      <c r="I2192" t="s">
        <v>2993</v>
      </c>
      <c r="J2192" t="s">
        <v>24129</v>
      </c>
      <c r="K2192" t="s">
        <v>29341</v>
      </c>
      <c r="M2192" t="s">
        <v>30483</v>
      </c>
      <c r="N2192" t="s">
        <v>32524</v>
      </c>
      <c r="O2192" t="s">
        <v>32525</v>
      </c>
      <c r="P2192">
        <v>0</v>
      </c>
      <c r="Q2192">
        <v>0</v>
      </c>
      <c r="R2192" t="s">
        <v>32526</v>
      </c>
      <c r="S2192" t="s">
        <v>32547</v>
      </c>
      <c r="T2192" t="s">
        <v>33161</v>
      </c>
      <c r="U2192" t="s">
        <v>35495</v>
      </c>
      <c r="W2192" t="s">
        <v>30483</v>
      </c>
      <c r="X2192" t="s">
        <v>32527</v>
      </c>
    </row>
    <row r="2193" spans="1:24">
      <c r="A2193">
        <f>HYPERLINK("https://www.philgeps.gov.ph/GEPSNONPILOT/Tender/SplashBidNoticeAbstractUI.aspx?menuIndex=3&amp;refID=7046862&amp;Result=3","7046862")</f>
        <v>0</v>
      </c>
      <c r="B2193" t="s">
        <v>741</v>
      </c>
      <c r="C2193" t="s">
        <v>4788</v>
      </c>
      <c r="D2193" t="s">
        <v>13019</v>
      </c>
      <c r="E2193" t="s">
        <v>15063</v>
      </c>
      <c r="F2193" t="s">
        <v>22436</v>
      </c>
      <c r="G2193" t="s">
        <v>22444</v>
      </c>
      <c r="H2193" t="s">
        <v>22452</v>
      </c>
      <c r="I2193" t="s">
        <v>6421</v>
      </c>
      <c r="J2193" t="s">
        <v>22640</v>
      </c>
      <c r="K2193" t="s">
        <v>29341</v>
      </c>
      <c r="M2193" t="s">
        <v>30342</v>
      </c>
      <c r="N2193" t="s">
        <v>32524</v>
      </c>
      <c r="O2193" t="s">
        <v>32525</v>
      </c>
      <c r="P2193">
        <v>0</v>
      </c>
      <c r="Q2193">
        <v>0</v>
      </c>
      <c r="R2193" t="s">
        <v>32526</v>
      </c>
      <c r="S2193" t="s">
        <v>32547</v>
      </c>
      <c r="T2193" t="s">
        <v>33164</v>
      </c>
      <c r="U2193" t="s">
        <v>35496</v>
      </c>
      <c r="W2193" t="s">
        <v>30342</v>
      </c>
      <c r="X2193" t="s">
        <v>32527</v>
      </c>
    </row>
    <row r="2194" spans="1:24">
      <c r="A2194">
        <f>HYPERLINK("https://www.philgeps.gov.ph/GEPSNONPILOT/Tender/SplashBidNoticeAbstractUI.aspx?menuIndex=3&amp;refID=7046855&amp;Result=3","7046855")</f>
        <v>0</v>
      </c>
      <c r="B2194" t="s">
        <v>873</v>
      </c>
      <c r="C2194" t="s">
        <v>4789</v>
      </c>
      <c r="D2194" t="s">
        <v>13062</v>
      </c>
      <c r="E2194" t="s">
        <v>15064</v>
      </c>
      <c r="F2194" t="s">
        <v>22436</v>
      </c>
      <c r="G2194" t="s">
        <v>22444</v>
      </c>
      <c r="H2194" t="s">
        <v>22452</v>
      </c>
      <c r="I2194" t="s">
        <v>12358</v>
      </c>
      <c r="J2194" t="s">
        <v>22929</v>
      </c>
      <c r="K2194" t="s">
        <v>29341</v>
      </c>
      <c r="M2194" t="s">
        <v>30481</v>
      </c>
      <c r="N2194" t="s">
        <v>32524</v>
      </c>
      <c r="O2194" t="s">
        <v>32525</v>
      </c>
      <c r="P2194">
        <v>0</v>
      </c>
      <c r="Q2194">
        <v>0</v>
      </c>
      <c r="R2194" t="s">
        <v>32526</v>
      </c>
      <c r="S2194" t="s">
        <v>32547</v>
      </c>
      <c r="T2194" t="s">
        <v>33166</v>
      </c>
      <c r="U2194" t="s">
        <v>35497</v>
      </c>
      <c r="W2194" t="s">
        <v>30481</v>
      </c>
      <c r="X2194" t="s">
        <v>32527</v>
      </c>
    </row>
    <row r="2195" spans="1:24">
      <c r="A2195">
        <f>HYPERLINK("https://www.philgeps.gov.ph/GEPSNONPILOT/Tender/SplashBidNoticeAbstractUI.aspx?menuIndex=3&amp;refID=7046861&amp;Result=3","7046861")</f>
        <v>0</v>
      </c>
      <c r="B2195" t="s">
        <v>873</v>
      </c>
      <c r="C2195" t="s">
        <v>4790</v>
      </c>
      <c r="D2195" t="s">
        <v>13062</v>
      </c>
      <c r="E2195" t="s">
        <v>15065</v>
      </c>
      <c r="F2195" t="s">
        <v>22436</v>
      </c>
      <c r="G2195" t="s">
        <v>22444</v>
      </c>
      <c r="H2195" t="s">
        <v>22454</v>
      </c>
      <c r="I2195" t="s">
        <v>7738</v>
      </c>
      <c r="J2195" t="s">
        <v>24130</v>
      </c>
      <c r="K2195" t="s">
        <v>29394</v>
      </c>
      <c r="M2195" t="s">
        <v>30481</v>
      </c>
      <c r="N2195" t="s">
        <v>32524</v>
      </c>
      <c r="O2195" t="s">
        <v>32525</v>
      </c>
      <c r="P2195">
        <v>0</v>
      </c>
      <c r="Q2195">
        <v>0</v>
      </c>
      <c r="R2195" t="s">
        <v>32526</v>
      </c>
      <c r="S2195" t="s">
        <v>32547</v>
      </c>
      <c r="T2195" t="s">
        <v>33207</v>
      </c>
      <c r="U2195" t="s">
        <v>35498</v>
      </c>
      <c r="W2195" t="s">
        <v>30481</v>
      </c>
      <c r="X2195" t="s">
        <v>32527</v>
      </c>
    </row>
    <row r="2196" spans="1:24">
      <c r="A2196">
        <f>HYPERLINK("https://www.philgeps.gov.ph/GEPSNONPILOT/Tender/SplashBidNoticeAbstractUI.aspx?menuIndex=3&amp;refID=7046853&amp;Result=3","7046853")</f>
        <v>0</v>
      </c>
      <c r="B2196" t="s">
        <v>869</v>
      </c>
      <c r="C2196" t="s">
        <v>4791</v>
      </c>
      <c r="D2196" t="s">
        <v>13004</v>
      </c>
      <c r="E2196" t="s">
        <v>15066</v>
      </c>
      <c r="F2196" t="s">
        <v>22436</v>
      </c>
      <c r="G2196" t="s">
        <v>22444</v>
      </c>
      <c r="H2196" t="s">
        <v>22452</v>
      </c>
      <c r="I2196" t="s">
        <v>22468</v>
      </c>
      <c r="J2196" t="s">
        <v>22893</v>
      </c>
      <c r="K2196" t="s">
        <v>29344</v>
      </c>
      <c r="M2196" t="s">
        <v>30476</v>
      </c>
      <c r="N2196" t="s">
        <v>32524</v>
      </c>
      <c r="O2196" t="s">
        <v>32525</v>
      </c>
      <c r="P2196">
        <v>0</v>
      </c>
      <c r="Q2196">
        <v>1</v>
      </c>
      <c r="R2196" t="s">
        <v>32526</v>
      </c>
      <c r="S2196" t="s">
        <v>32547</v>
      </c>
      <c r="T2196" t="s">
        <v>33360</v>
      </c>
      <c r="U2196" t="s">
        <v>35499</v>
      </c>
      <c r="W2196" t="s">
        <v>30476</v>
      </c>
      <c r="X2196" t="s">
        <v>32527</v>
      </c>
    </row>
    <row r="2197" spans="1:24">
      <c r="A2197">
        <f>HYPERLINK("https://www.philgeps.gov.ph/GEPSNONPILOT/Tender/SplashBidNoticeAbstractUI.aspx?menuIndex=3&amp;refID=7046873&amp;Result=3","7046873")</f>
        <v>0</v>
      </c>
      <c r="B2197" t="s">
        <v>872</v>
      </c>
      <c r="C2197" t="s">
        <v>4792</v>
      </c>
      <c r="D2197" t="s">
        <v>13049</v>
      </c>
      <c r="E2197" t="s">
        <v>15067</v>
      </c>
      <c r="F2197" t="s">
        <v>22436</v>
      </c>
      <c r="G2197" t="s">
        <v>22444</v>
      </c>
      <c r="H2197" t="s">
        <v>22454</v>
      </c>
      <c r="I2197" t="s">
        <v>7738</v>
      </c>
      <c r="J2197" t="s">
        <v>22893</v>
      </c>
      <c r="K2197" t="s">
        <v>29335</v>
      </c>
      <c r="M2197" t="s">
        <v>30480</v>
      </c>
      <c r="N2197" t="s">
        <v>32524</v>
      </c>
      <c r="O2197" t="s">
        <v>32525</v>
      </c>
      <c r="P2197">
        <v>0</v>
      </c>
      <c r="Q2197">
        <v>0</v>
      </c>
      <c r="R2197" t="s">
        <v>32526</v>
      </c>
      <c r="S2197" t="s">
        <v>32547</v>
      </c>
      <c r="T2197" t="s">
        <v>33172</v>
      </c>
      <c r="U2197" t="s">
        <v>35500</v>
      </c>
      <c r="W2197" t="s">
        <v>43699</v>
      </c>
      <c r="X2197" t="s">
        <v>32527</v>
      </c>
    </row>
    <row r="2198" spans="1:24">
      <c r="A2198">
        <f>HYPERLINK("https://www.philgeps.gov.ph/GEPSNONPILOT/Tender/SplashBidNoticeAbstractUI.aspx?menuIndex=3&amp;refID=7046852&amp;Result=3","7046852")</f>
        <v>0</v>
      </c>
      <c r="B2198" t="s">
        <v>534</v>
      </c>
      <c r="C2198" t="s">
        <v>4793</v>
      </c>
      <c r="D2198" t="s">
        <v>12988</v>
      </c>
      <c r="E2198" t="s">
        <v>15068</v>
      </c>
      <c r="F2198" t="s">
        <v>22436</v>
      </c>
      <c r="G2198" t="s">
        <v>22443</v>
      </c>
      <c r="H2198" t="s">
        <v>22452</v>
      </c>
      <c r="I2198" t="s">
        <v>3840</v>
      </c>
      <c r="J2198" t="s">
        <v>22619</v>
      </c>
      <c r="K2198" t="s">
        <v>29356</v>
      </c>
      <c r="M2198" t="s">
        <v>30477</v>
      </c>
      <c r="N2198" t="s">
        <v>32524</v>
      </c>
      <c r="O2198" t="s">
        <v>32525</v>
      </c>
      <c r="P2198">
        <v>0</v>
      </c>
      <c r="Q2198">
        <v>2</v>
      </c>
      <c r="R2198" t="s">
        <v>32526</v>
      </c>
      <c r="S2198" t="s">
        <v>32547</v>
      </c>
      <c r="T2198" t="s">
        <v>33339</v>
      </c>
      <c r="U2198" t="s">
        <v>35501</v>
      </c>
      <c r="W2198" t="s">
        <v>30477</v>
      </c>
      <c r="X2198" t="s">
        <v>32527</v>
      </c>
    </row>
    <row r="2199" spans="1:24">
      <c r="A2199">
        <f>HYPERLINK("https://www.philgeps.gov.ph/GEPSNONPILOT/Tender/SplashBidNoticeAbstractUI.aspx?menuIndex=3&amp;refID=7046880&amp;Result=3","7046880")</f>
        <v>0</v>
      </c>
      <c r="B2199" t="s">
        <v>344</v>
      </c>
      <c r="C2199" t="s">
        <v>4794</v>
      </c>
      <c r="D2199" t="s">
        <v>13051</v>
      </c>
      <c r="E2199" t="s">
        <v>15069</v>
      </c>
      <c r="F2199" t="s">
        <v>22436</v>
      </c>
      <c r="G2199" t="s">
        <v>22443</v>
      </c>
      <c r="H2199" t="s">
        <v>22454</v>
      </c>
      <c r="I2199" t="s">
        <v>7738</v>
      </c>
      <c r="J2199" t="s">
        <v>23128</v>
      </c>
      <c r="K2199" t="s">
        <v>29335</v>
      </c>
      <c r="M2199" t="s">
        <v>29920</v>
      </c>
      <c r="N2199" t="s">
        <v>32524</v>
      </c>
      <c r="O2199" t="s">
        <v>32525</v>
      </c>
      <c r="P2199">
        <v>0</v>
      </c>
      <c r="Q2199">
        <v>0</v>
      </c>
      <c r="R2199" t="s">
        <v>32526</v>
      </c>
      <c r="S2199" t="s">
        <v>32547</v>
      </c>
      <c r="T2199" t="s">
        <v>33154</v>
      </c>
      <c r="U2199" t="s">
        <v>35502</v>
      </c>
      <c r="W2199" t="s">
        <v>29920</v>
      </c>
      <c r="X2199" t="s">
        <v>32527</v>
      </c>
    </row>
    <row r="2200" spans="1:24">
      <c r="A2200">
        <f>HYPERLINK("https://www.philgeps.gov.ph/GEPSNONPILOT/Tender/SplashBidNoticeAbstractUI.aspx?menuIndex=3&amp;refID=7046878&amp;Result=3","7046878")</f>
        <v>0</v>
      </c>
      <c r="B2200" t="s">
        <v>876</v>
      </c>
      <c r="C2200" t="s">
        <v>4795</v>
      </c>
      <c r="D2200" t="s">
        <v>13041</v>
      </c>
      <c r="E2200" t="s">
        <v>15070</v>
      </c>
      <c r="F2200" t="s">
        <v>22436</v>
      </c>
      <c r="G2200" t="s">
        <v>22443</v>
      </c>
      <c r="H2200" t="s">
        <v>22452</v>
      </c>
      <c r="I2200" t="s">
        <v>22456</v>
      </c>
      <c r="J2200" t="s">
        <v>24131</v>
      </c>
      <c r="K2200" t="s">
        <v>29337</v>
      </c>
      <c r="M2200" t="s">
        <v>30484</v>
      </c>
      <c r="N2200" t="s">
        <v>32524</v>
      </c>
      <c r="O2200" t="s">
        <v>32525</v>
      </c>
      <c r="P2200">
        <v>0</v>
      </c>
      <c r="Q2200">
        <v>5</v>
      </c>
      <c r="R2200" t="s">
        <v>32526</v>
      </c>
      <c r="S2200" t="s">
        <v>32547</v>
      </c>
      <c r="T2200" t="s">
        <v>33167</v>
      </c>
      <c r="U2200" t="s">
        <v>35503</v>
      </c>
      <c r="V2200" t="s">
        <v>42635</v>
      </c>
      <c r="W2200" t="s">
        <v>30484</v>
      </c>
      <c r="X2200" t="s">
        <v>32527</v>
      </c>
    </row>
    <row r="2201" spans="1:24">
      <c r="A2201">
        <f>HYPERLINK("https://www.philgeps.gov.ph/GEPSNONPILOT/Tender/SplashBidNoticeAbstractUI.aspx?menuIndex=3&amp;refID=7046882&amp;Result=3","7046882")</f>
        <v>0</v>
      </c>
      <c r="B2201" t="s">
        <v>877</v>
      </c>
      <c r="C2201" t="s">
        <v>4796</v>
      </c>
      <c r="D2201" t="s">
        <v>13041</v>
      </c>
      <c r="E2201" t="s">
        <v>14621</v>
      </c>
      <c r="F2201" t="s">
        <v>22436</v>
      </c>
      <c r="G2201" t="s">
        <v>22444</v>
      </c>
      <c r="H2201" t="s">
        <v>22454</v>
      </c>
      <c r="I2201" t="s">
        <v>7738</v>
      </c>
      <c r="J2201" t="s">
        <v>24132</v>
      </c>
      <c r="K2201" t="s">
        <v>29418</v>
      </c>
      <c r="M2201" t="s">
        <v>30485</v>
      </c>
      <c r="N2201" t="s">
        <v>32524</v>
      </c>
      <c r="O2201" t="s">
        <v>32525</v>
      </c>
      <c r="P2201">
        <v>0</v>
      </c>
      <c r="Q2201">
        <v>0</v>
      </c>
      <c r="R2201" t="s">
        <v>32526</v>
      </c>
      <c r="S2201" t="s">
        <v>32547</v>
      </c>
      <c r="T2201" t="s">
        <v>33165</v>
      </c>
      <c r="U2201" t="s">
        <v>35504</v>
      </c>
      <c r="W2201" t="s">
        <v>30485</v>
      </c>
      <c r="X2201" t="s">
        <v>32527</v>
      </c>
    </row>
    <row r="2202" spans="1:24">
      <c r="A2202">
        <f>HYPERLINK("https://www.philgeps.gov.ph/GEPSNONPILOT/Tender/SplashBidNoticeAbstractUI.aspx?menuIndex=3&amp;refID=7046875&amp;Result=3","7046875")</f>
        <v>0</v>
      </c>
      <c r="B2202" t="s">
        <v>878</v>
      </c>
      <c r="C2202" t="s">
        <v>4797</v>
      </c>
      <c r="D2202" t="s">
        <v>13023</v>
      </c>
      <c r="E2202" t="s">
        <v>15071</v>
      </c>
      <c r="F2202" t="s">
        <v>22436</v>
      </c>
      <c r="G2202" t="s">
        <v>22443</v>
      </c>
      <c r="H2202" t="s">
        <v>22452</v>
      </c>
      <c r="I2202" t="s">
        <v>22476</v>
      </c>
      <c r="J2202" t="s">
        <v>24133</v>
      </c>
      <c r="K2202" t="s">
        <v>29356</v>
      </c>
      <c r="M2202" t="s">
        <v>30486</v>
      </c>
      <c r="N2202" t="s">
        <v>32524</v>
      </c>
      <c r="O2202" t="s">
        <v>32525</v>
      </c>
      <c r="P2202">
        <v>0</v>
      </c>
      <c r="Q2202">
        <v>0</v>
      </c>
      <c r="R2202" t="s">
        <v>32526</v>
      </c>
      <c r="S2202" t="s">
        <v>32547</v>
      </c>
      <c r="T2202" t="s">
        <v>33169</v>
      </c>
      <c r="U2202" t="s">
        <v>35505</v>
      </c>
      <c r="W2202" t="s">
        <v>30486</v>
      </c>
      <c r="X2202" t="s">
        <v>32527</v>
      </c>
    </row>
    <row r="2203" spans="1:24">
      <c r="A2203">
        <f>HYPERLINK("https://www.philgeps.gov.ph/GEPSNONPILOT/Tender/SplashBidNoticeAbstractUI.aspx?menuIndex=3&amp;refID=7046879&amp;Result=3","7046879")</f>
        <v>0</v>
      </c>
      <c r="B2203" t="s">
        <v>879</v>
      </c>
      <c r="C2203" t="s">
        <v>3161</v>
      </c>
      <c r="D2203" t="s">
        <v>12988</v>
      </c>
      <c r="E2203" t="s">
        <v>15072</v>
      </c>
      <c r="F2203" t="s">
        <v>22436</v>
      </c>
      <c r="G2203" t="s">
        <v>22443</v>
      </c>
      <c r="H2203" t="s">
        <v>22452</v>
      </c>
      <c r="I2203" t="s">
        <v>22502</v>
      </c>
      <c r="J2203" t="s">
        <v>22898</v>
      </c>
      <c r="K2203" t="s">
        <v>29338</v>
      </c>
      <c r="M2203" t="s">
        <v>30487</v>
      </c>
      <c r="N2203" t="s">
        <v>32524</v>
      </c>
      <c r="O2203" t="s">
        <v>32525</v>
      </c>
      <c r="P2203">
        <v>0</v>
      </c>
      <c r="Q2203">
        <v>14</v>
      </c>
      <c r="R2203" t="s">
        <v>32526</v>
      </c>
      <c r="S2203" t="s">
        <v>32547</v>
      </c>
      <c r="T2203" t="s">
        <v>33230</v>
      </c>
      <c r="U2203" t="s">
        <v>35503</v>
      </c>
      <c r="W2203" t="s">
        <v>30487</v>
      </c>
      <c r="X2203" t="s">
        <v>32527</v>
      </c>
    </row>
    <row r="2204" spans="1:24">
      <c r="A2204">
        <f>HYPERLINK("https://www.philgeps.gov.ph/GEPSNONPILOT/Tender/SplashBidNoticeAbstractUI.aspx?menuIndex=3&amp;refID=7046858&amp;Result=3","7046858")</f>
        <v>0</v>
      </c>
      <c r="B2204" t="s">
        <v>873</v>
      </c>
      <c r="C2204" t="s">
        <v>4798</v>
      </c>
      <c r="D2204" t="s">
        <v>13062</v>
      </c>
      <c r="E2204" t="s">
        <v>15073</v>
      </c>
      <c r="F2204" t="s">
        <v>22436</v>
      </c>
      <c r="G2204" t="s">
        <v>22444</v>
      </c>
      <c r="H2204" t="s">
        <v>22454</v>
      </c>
      <c r="I2204" t="s">
        <v>7738</v>
      </c>
      <c r="J2204" t="s">
        <v>24134</v>
      </c>
      <c r="K2204" t="s">
        <v>29423</v>
      </c>
      <c r="M2204" t="s">
        <v>30481</v>
      </c>
      <c r="N2204" t="s">
        <v>32524</v>
      </c>
      <c r="O2204" t="s">
        <v>32525</v>
      </c>
      <c r="P2204">
        <v>0</v>
      </c>
      <c r="Q2204">
        <v>0</v>
      </c>
      <c r="R2204" t="s">
        <v>32526</v>
      </c>
      <c r="S2204" t="s">
        <v>32547</v>
      </c>
      <c r="T2204" t="s">
        <v>33207</v>
      </c>
      <c r="U2204" t="s">
        <v>35506</v>
      </c>
      <c r="W2204" t="s">
        <v>30481</v>
      </c>
      <c r="X2204" t="s">
        <v>32527</v>
      </c>
    </row>
    <row r="2205" spans="1:24">
      <c r="A2205">
        <f>HYPERLINK("https://www.philgeps.gov.ph/GEPSNONPILOT/Tender/SplashBidNoticeAbstractUI.aspx?menuIndex=3&amp;refID=7046874&amp;Result=3","7046874")</f>
        <v>0</v>
      </c>
      <c r="B2205" t="s">
        <v>877</v>
      </c>
      <c r="C2205" t="s">
        <v>4799</v>
      </c>
      <c r="D2205" t="s">
        <v>13041</v>
      </c>
      <c r="E2205" t="s">
        <v>13701</v>
      </c>
      <c r="F2205" t="s">
        <v>22436</v>
      </c>
      <c r="G2205" t="s">
        <v>22444</v>
      </c>
      <c r="H2205" t="s">
        <v>22454</v>
      </c>
      <c r="I2205" t="s">
        <v>7738</v>
      </c>
      <c r="J2205" t="s">
        <v>24135</v>
      </c>
      <c r="K2205" t="s">
        <v>29418</v>
      </c>
      <c r="M2205" t="s">
        <v>30485</v>
      </c>
      <c r="N2205" t="s">
        <v>32524</v>
      </c>
      <c r="O2205" t="s">
        <v>32525</v>
      </c>
      <c r="P2205">
        <v>0</v>
      </c>
      <c r="Q2205">
        <v>0</v>
      </c>
      <c r="R2205" t="s">
        <v>32526</v>
      </c>
      <c r="S2205" t="s">
        <v>32547</v>
      </c>
      <c r="T2205" t="s">
        <v>33165</v>
      </c>
      <c r="U2205" t="s">
        <v>35507</v>
      </c>
      <c r="W2205" t="s">
        <v>30485</v>
      </c>
      <c r="X2205" t="s">
        <v>32527</v>
      </c>
    </row>
    <row r="2206" spans="1:24">
      <c r="A2206">
        <f>HYPERLINK("https://www.philgeps.gov.ph/GEPSNONPILOT/Tender/SplashBidNoticeAbstractUI.aspx?menuIndex=3&amp;refID=7046877&amp;Result=3","7046877")</f>
        <v>0</v>
      </c>
      <c r="B2206" t="s">
        <v>850</v>
      </c>
      <c r="C2206" t="s">
        <v>4800</v>
      </c>
      <c r="D2206" t="s">
        <v>13037</v>
      </c>
      <c r="E2206" t="s">
        <v>15074</v>
      </c>
      <c r="F2206" t="s">
        <v>22436</v>
      </c>
      <c r="G2206" t="s">
        <v>22443</v>
      </c>
      <c r="H2206" t="s">
        <v>22452</v>
      </c>
      <c r="I2206" t="s">
        <v>3358</v>
      </c>
      <c r="J2206" t="s">
        <v>24136</v>
      </c>
      <c r="K2206" t="s">
        <v>29357</v>
      </c>
      <c r="M2206" t="s">
        <v>30457</v>
      </c>
      <c r="N2206" t="s">
        <v>32524</v>
      </c>
      <c r="O2206" t="s">
        <v>32525</v>
      </c>
      <c r="P2206">
        <v>0</v>
      </c>
      <c r="Q2206">
        <v>0</v>
      </c>
      <c r="R2206" t="s">
        <v>32526</v>
      </c>
      <c r="S2206" t="s">
        <v>32547</v>
      </c>
      <c r="T2206" t="s">
        <v>33154</v>
      </c>
      <c r="U2206" t="s">
        <v>35508</v>
      </c>
      <c r="W2206" t="s">
        <v>30457</v>
      </c>
      <c r="X2206" t="s">
        <v>32527</v>
      </c>
    </row>
    <row r="2207" spans="1:24">
      <c r="A2207">
        <f>HYPERLINK("https://www.philgeps.gov.ph/GEPSNONPILOT/Tender/SplashBidNoticeAbstractUI.aspx?menuIndex=3&amp;refID=7046892&amp;Result=3","7046892")</f>
        <v>0</v>
      </c>
      <c r="B2207" t="s">
        <v>875</v>
      </c>
      <c r="C2207" t="s">
        <v>4801</v>
      </c>
      <c r="D2207" t="s">
        <v>13007</v>
      </c>
      <c r="E2207" t="s">
        <v>15075</v>
      </c>
      <c r="F2207" t="s">
        <v>22436</v>
      </c>
      <c r="G2207" t="s">
        <v>22443</v>
      </c>
      <c r="H2207" t="s">
        <v>22452</v>
      </c>
      <c r="I2207" t="s">
        <v>2993</v>
      </c>
      <c r="J2207" t="s">
        <v>24137</v>
      </c>
      <c r="K2207" t="s">
        <v>29341</v>
      </c>
      <c r="M2207" t="s">
        <v>30483</v>
      </c>
      <c r="N2207" t="s">
        <v>32524</v>
      </c>
      <c r="O2207" t="s">
        <v>32525</v>
      </c>
      <c r="P2207">
        <v>0</v>
      </c>
      <c r="Q2207">
        <v>0</v>
      </c>
      <c r="R2207" t="s">
        <v>32526</v>
      </c>
      <c r="S2207" t="s">
        <v>32547</v>
      </c>
      <c r="T2207" t="s">
        <v>33167</v>
      </c>
      <c r="U2207" t="s">
        <v>35509</v>
      </c>
      <c r="W2207" t="s">
        <v>30483</v>
      </c>
      <c r="X2207" t="s">
        <v>32527</v>
      </c>
    </row>
    <row r="2208" spans="1:24">
      <c r="A2208">
        <f>HYPERLINK("https://www.philgeps.gov.ph/GEPSNONPILOT/Tender/SplashBidNoticeAbstractUI.aspx?menuIndex=3&amp;refID=7046889&amp;Result=3","7046889")</f>
        <v>0</v>
      </c>
      <c r="B2208" t="s">
        <v>850</v>
      </c>
      <c r="C2208" t="s">
        <v>4802</v>
      </c>
      <c r="D2208" t="s">
        <v>13037</v>
      </c>
      <c r="E2208" t="s">
        <v>15076</v>
      </c>
      <c r="F2208" t="s">
        <v>22436</v>
      </c>
      <c r="G2208" t="s">
        <v>22443</v>
      </c>
      <c r="H2208" t="s">
        <v>22452</v>
      </c>
      <c r="I2208" t="s">
        <v>22488</v>
      </c>
      <c r="J2208" t="s">
        <v>23226</v>
      </c>
      <c r="K2208" t="s">
        <v>29357</v>
      </c>
      <c r="M2208" t="s">
        <v>30457</v>
      </c>
      <c r="N2208" t="s">
        <v>32524</v>
      </c>
      <c r="O2208" t="s">
        <v>32525</v>
      </c>
      <c r="P2208">
        <v>0</v>
      </c>
      <c r="Q2208">
        <v>0</v>
      </c>
      <c r="R2208" t="s">
        <v>32526</v>
      </c>
      <c r="S2208" t="s">
        <v>32547</v>
      </c>
      <c r="T2208" t="s">
        <v>33339</v>
      </c>
      <c r="U2208" t="s">
        <v>35510</v>
      </c>
      <c r="W2208" t="s">
        <v>30457</v>
      </c>
      <c r="X2208" t="s">
        <v>32527</v>
      </c>
    </row>
    <row r="2209" spans="1:24">
      <c r="A2209">
        <f>HYPERLINK("https://www.philgeps.gov.ph/GEPSNONPILOT/Tender/SplashBidNoticeAbstractUI.aspx?menuIndex=3&amp;refID=7046854&amp;Result=3","7046854")</f>
        <v>0</v>
      </c>
      <c r="B2209" t="s">
        <v>854</v>
      </c>
      <c r="C2209" t="s">
        <v>4803</v>
      </c>
      <c r="D2209" t="s">
        <v>13066</v>
      </c>
      <c r="E2209" t="s">
        <v>15077</v>
      </c>
      <c r="F2209" t="s">
        <v>22436</v>
      </c>
      <c r="G2209" t="s">
        <v>22446</v>
      </c>
      <c r="H2209" t="s">
        <v>22452</v>
      </c>
      <c r="I2209" t="s">
        <v>22495</v>
      </c>
      <c r="J2209" t="s">
        <v>22986</v>
      </c>
      <c r="K2209" t="s">
        <v>29338</v>
      </c>
      <c r="M2209" t="s">
        <v>30461</v>
      </c>
      <c r="N2209" t="s">
        <v>32524</v>
      </c>
      <c r="O2209" t="s">
        <v>32525</v>
      </c>
      <c r="P2209">
        <v>0</v>
      </c>
      <c r="Q2209">
        <v>0</v>
      </c>
      <c r="R2209" t="s">
        <v>32526</v>
      </c>
      <c r="S2209" t="s">
        <v>32547</v>
      </c>
      <c r="T2209" t="s">
        <v>33230</v>
      </c>
      <c r="U2209" t="s">
        <v>35511</v>
      </c>
      <c r="W2209" t="s">
        <v>30461</v>
      </c>
      <c r="X2209" t="s">
        <v>32527</v>
      </c>
    </row>
    <row r="2210" spans="1:24">
      <c r="A2210">
        <f>HYPERLINK("https://www.philgeps.gov.ph/GEPSNONPILOT/Tender/SplashBidNoticeAbstractUI.aspx?menuIndex=3&amp;refID=7046857&amp;Result=3","7046857")</f>
        <v>0</v>
      </c>
      <c r="B2210" t="s">
        <v>878</v>
      </c>
      <c r="C2210" t="s">
        <v>4804</v>
      </c>
      <c r="D2210" t="s">
        <v>13023</v>
      </c>
      <c r="E2210" t="s">
        <v>15078</v>
      </c>
      <c r="F2210" t="s">
        <v>22436</v>
      </c>
      <c r="G2210" t="s">
        <v>22443</v>
      </c>
      <c r="H2210" t="s">
        <v>22452</v>
      </c>
      <c r="I2210" t="s">
        <v>22476</v>
      </c>
      <c r="J2210" t="s">
        <v>24138</v>
      </c>
      <c r="K2210" t="s">
        <v>29356</v>
      </c>
      <c r="M2210" t="s">
        <v>30486</v>
      </c>
      <c r="N2210" t="s">
        <v>32524</v>
      </c>
      <c r="O2210" t="s">
        <v>32525</v>
      </c>
      <c r="P2210">
        <v>0</v>
      </c>
      <c r="Q2210">
        <v>0</v>
      </c>
      <c r="R2210" t="s">
        <v>32526</v>
      </c>
      <c r="S2210" t="s">
        <v>32547</v>
      </c>
      <c r="T2210" t="s">
        <v>33169</v>
      </c>
      <c r="U2210" t="s">
        <v>35505</v>
      </c>
      <c r="W2210" t="s">
        <v>30486</v>
      </c>
      <c r="X2210" t="s">
        <v>32527</v>
      </c>
    </row>
    <row r="2211" spans="1:24">
      <c r="A2211">
        <f>HYPERLINK("https://www.philgeps.gov.ph/GEPSNONPILOT/Tender/SplashBidNoticeAbstractUI.aspx?menuIndex=3&amp;refID=7046893&amp;Result=3","7046893")</f>
        <v>0</v>
      </c>
      <c r="B2211" t="s">
        <v>880</v>
      </c>
      <c r="C2211" t="s">
        <v>4805</v>
      </c>
      <c r="D2211" t="s">
        <v>13066</v>
      </c>
      <c r="E2211" t="s">
        <v>15079</v>
      </c>
      <c r="F2211" t="s">
        <v>22436</v>
      </c>
      <c r="G2211" t="s">
        <v>22443</v>
      </c>
      <c r="H2211" t="s">
        <v>22452</v>
      </c>
      <c r="I2211" t="s">
        <v>22469</v>
      </c>
      <c r="J2211" t="s">
        <v>24139</v>
      </c>
      <c r="K2211" t="s">
        <v>29338</v>
      </c>
      <c r="M2211" t="s">
        <v>30488</v>
      </c>
      <c r="N2211" t="s">
        <v>32524</v>
      </c>
      <c r="O2211" t="s">
        <v>32525</v>
      </c>
      <c r="P2211">
        <v>0</v>
      </c>
      <c r="Q2211">
        <v>0</v>
      </c>
      <c r="R2211" t="s">
        <v>32526</v>
      </c>
      <c r="S2211" t="s">
        <v>32547</v>
      </c>
      <c r="T2211" t="s">
        <v>33167</v>
      </c>
      <c r="U2211" t="s">
        <v>35512</v>
      </c>
      <c r="W2211" t="s">
        <v>43700</v>
      </c>
      <c r="X2211" t="s">
        <v>32527</v>
      </c>
    </row>
    <row r="2212" spans="1:24">
      <c r="A2212">
        <f>HYPERLINK("https://www.philgeps.gov.ph/GEPSNONPILOT/Tender/SplashBidNoticeAbstractUI.aspx?menuIndex=3&amp;refID=7046897&amp;Result=3","7046897")</f>
        <v>0</v>
      </c>
      <c r="B2212" t="s">
        <v>854</v>
      </c>
      <c r="C2212" t="s">
        <v>4806</v>
      </c>
      <c r="D2212" t="s">
        <v>13066</v>
      </c>
      <c r="E2212" t="s">
        <v>15080</v>
      </c>
      <c r="F2212" t="s">
        <v>22436</v>
      </c>
      <c r="G2212" t="s">
        <v>22446</v>
      </c>
      <c r="H2212" t="s">
        <v>22452</v>
      </c>
      <c r="I2212" t="s">
        <v>3827</v>
      </c>
      <c r="J2212" t="s">
        <v>23613</v>
      </c>
      <c r="K2212" t="s">
        <v>29338</v>
      </c>
      <c r="M2212" t="s">
        <v>30461</v>
      </c>
      <c r="N2212" t="s">
        <v>32524</v>
      </c>
      <c r="O2212" t="s">
        <v>32525</v>
      </c>
      <c r="P2212">
        <v>0</v>
      </c>
      <c r="Q2212">
        <v>0</v>
      </c>
      <c r="R2212" t="s">
        <v>32526</v>
      </c>
      <c r="S2212" t="s">
        <v>32547</v>
      </c>
      <c r="T2212" t="s">
        <v>33180</v>
      </c>
      <c r="U2212" t="s">
        <v>35513</v>
      </c>
      <c r="W2212" t="s">
        <v>30461</v>
      </c>
      <c r="X2212" t="s">
        <v>32527</v>
      </c>
    </row>
    <row r="2213" spans="1:24">
      <c r="A2213">
        <f>HYPERLINK("https://www.philgeps.gov.ph/GEPSNONPILOT/Tender/SplashBidNoticeAbstractUI.aspx?menuIndex=3&amp;refID=7046896&amp;Result=3","7046896")</f>
        <v>0</v>
      </c>
      <c r="B2213" t="s">
        <v>858</v>
      </c>
      <c r="C2213" t="s">
        <v>4807</v>
      </c>
      <c r="D2213" t="s">
        <v>12988</v>
      </c>
      <c r="E2213" t="s">
        <v>15081</v>
      </c>
      <c r="F2213" t="s">
        <v>22436</v>
      </c>
      <c r="G2213" t="s">
        <v>22443</v>
      </c>
      <c r="H2213" t="s">
        <v>22453</v>
      </c>
      <c r="I2213" t="s">
        <v>4688</v>
      </c>
      <c r="J2213" t="s">
        <v>24140</v>
      </c>
      <c r="K2213" t="s">
        <v>29353</v>
      </c>
      <c r="M2213" t="s">
        <v>30465</v>
      </c>
      <c r="N2213" t="s">
        <v>32524</v>
      </c>
      <c r="O2213" t="s">
        <v>32525</v>
      </c>
      <c r="P2213">
        <v>0</v>
      </c>
      <c r="Q2213">
        <v>0</v>
      </c>
      <c r="R2213" t="s">
        <v>32526</v>
      </c>
      <c r="S2213" t="s">
        <v>32547</v>
      </c>
      <c r="T2213" t="s">
        <v>33215</v>
      </c>
      <c r="U2213" t="s">
        <v>35473</v>
      </c>
      <c r="W2213" t="s">
        <v>30465</v>
      </c>
      <c r="X2213" t="s">
        <v>32527</v>
      </c>
    </row>
    <row r="2214" spans="1:24">
      <c r="A2214">
        <f>HYPERLINK("https://www.philgeps.gov.ph/GEPSNONPILOT/Tender/SplashBidNoticeAbstractUI.aspx?menuIndex=3&amp;refID=7046895&amp;Result=3","7046895")</f>
        <v>0</v>
      </c>
      <c r="B2214" t="s">
        <v>854</v>
      </c>
      <c r="C2214" t="s">
        <v>4808</v>
      </c>
      <c r="D2214" t="s">
        <v>13066</v>
      </c>
      <c r="E2214" t="s">
        <v>15082</v>
      </c>
      <c r="F2214" t="s">
        <v>22436</v>
      </c>
      <c r="G2214" t="s">
        <v>22446</v>
      </c>
      <c r="H2214" t="s">
        <v>22452</v>
      </c>
      <c r="I2214" t="s">
        <v>22490</v>
      </c>
      <c r="J2214" t="s">
        <v>22937</v>
      </c>
      <c r="K2214" t="s">
        <v>29338</v>
      </c>
      <c r="M2214" t="s">
        <v>30461</v>
      </c>
      <c r="N2214" t="s">
        <v>32524</v>
      </c>
      <c r="O2214" t="s">
        <v>32525</v>
      </c>
      <c r="P2214">
        <v>0</v>
      </c>
      <c r="Q2214">
        <v>0</v>
      </c>
      <c r="R2214" t="s">
        <v>32526</v>
      </c>
      <c r="S2214" t="s">
        <v>32547</v>
      </c>
      <c r="T2214" t="s">
        <v>33235</v>
      </c>
      <c r="U2214" t="s">
        <v>35514</v>
      </c>
      <c r="W2214" t="s">
        <v>30461</v>
      </c>
      <c r="X2214" t="s">
        <v>32527</v>
      </c>
    </row>
    <row r="2215" spans="1:24">
      <c r="A2215">
        <f>HYPERLINK("https://www.philgeps.gov.ph/GEPSNONPILOT/Tender/SplashBidNoticeAbstractUI.aspx?menuIndex=3&amp;refID=7046867&amp;Result=3","7046867")</f>
        <v>0</v>
      </c>
      <c r="B2215" t="s">
        <v>877</v>
      </c>
      <c r="C2215" t="s">
        <v>4809</v>
      </c>
      <c r="D2215" t="s">
        <v>13041</v>
      </c>
      <c r="E2215" t="s">
        <v>15083</v>
      </c>
      <c r="F2215" t="s">
        <v>22436</v>
      </c>
      <c r="G2215" t="s">
        <v>22444</v>
      </c>
      <c r="H2215" t="s">
        <v>22454</v>
      </c>
      <c r="I2215" t="s">
        <v>7738</v>
      </c>
      <c r="J2215" t="s">
        <v>24141</v>
      </c>
      <c r="K2215" t="s">
        <v>29424</v>
      </c>
      <c r="M2215" t="s">
        <v>30485</v>
      </c>
      <c r="N2215" t="s">
        <v>32524</v>
      </c>
      <c r="O2215" t="s">
        <v>32525</v>
      </c>
      <c r="P2215">
        <v>0</v>
      </c>
      <c r="Q2215">
        <v>0</v>
      </c>
      <c r="R2215" t="s">
        <v>32526</v>
      </c>
      <c r="S2215" t="s">
        <v>32547</v>
      </c>
      <c r="T2215" t="s">
        <v>33165</v>
      </c>
      <c r="U2215" t="s">
        <v>35515</v>
      </c>
      <c r="W2215" t="s">
        <v>30485</v>
      </c>
      <c r="X2215" t="s">
        <v>32527</v>
      </c>
    </row>
    <row r="2216" spans="1:24">
      <c r="A2216">
        <f>HYPERLINK("https://www.philgeps.gov.ph/GEPSNONPILOT/Tender/SplashBidNoticeAbstractUI.aspx?menuIndex=3&amp;refID=7046885&amp;Result=3","7046885")</f>
        <v>0</v>
      </c>
      <c r="B2216" t="s">
        <v>854</v>
      </c>
      <c r="C2216" t="s">
        <v>4810</v>
      </c>
      <c r="D2216" t="s">
        <v>13066</v>
      </c>
      <c r="E2216" t="s">
        <v>15084</v>
      </c>
      <c r="F2216" t="s">
        <v>22436</v>
      </c>
      <c r="G2216" t="s">
        <v>22446</v>
      </c>
      <c r="H2216" t="s">
        <v>22452</v>
      </c>
      <c r="I2216" t="s">
        <v>22499</v>
      </c>
      <c r="J2216" t="s">
        <v>22721</v>
      </c>
      <c r="K2216" t="s">
        <v>29338</v>
      </c>
      <c r="M2216" t="s">
        <v>30461</v>
      </c>
      <c r="N2216" t="s">
        <v>32524</v>
      </c>
      <c r="O2216" t="s">
        <v>32525</v>
      </c>
      <c r="P2216">
        <v>0</v>
      </c>
      <c r="Q2216">
        <v>0</v>
      </c>
      <c r="R2216" t="s">
        <v>32526</v>
      </c>
      <c r="S2216" t="s">
        <v>32547</v>
      </c>
      <c r="T2216" t="s">
        <v>33194</v>
      </c>
      <c r="U2216" t="s">
        <v>35516</v>
      </c>
      <c r="W2216" t="s">
        <v>30461</v>
      </c>
      <c r="X2216" t="s">
        <v>32527</v>
      </c>
    </row>
    <row r="2217" spans="1:24">
      <c r="A2217">
        <f>HYPERLINK("https://www.philgeps.gov.ph/GEPSNONPILOT/Tender/SplashBidNoticeAbstractUI.aspx?menuIndex=3&amp;refID=7046883&amp;Result=3","7046883")</f>
        <v>0</v>
      </c>
      <c r="B2217" t="s">
        <v>140</v>
      </c>
      <c r="C2217" t="s">
        <v>4811</v>
      </c>
      <c r="D2217" t="s">
        <v>12988</v>
      </c>
      <c r="E2217" t="s">
        <v>15085</v>
      </c>
      <c r="F2217" t="s">
        <v>22436</v>
      </c>
      <c r="G2217" t="s">
        <v>22443</v>
      </c>
      <c r="H2217" t="s">
        <v>22452</v>
      </c>
      <c r="I2217" t="s">
        <v>2981</v>
      </c>
      <c r="J2217" t="s">
        <v>24142</v>
      </c>
      <c r="K2217" t="s">
        <v>29338</v>
      </c>
      <c r="M2217" t="s">
        <v>30489</v>
      </c>
      <c r="N2217" t="s">
        <v>32524</v>
      </c>
      <c r="O2217" t="s">
        <v>32525</v>
      </c>
      <c r="P2217">
        <v>0</v>
      </c>
      <c r="Q2217">
        <v>0</v>
      </c>
      <c r="R2217" t="s">
        <v>32526</v>
      </c>
      <c r="S2217" t="s">
        <v>32547</v>
      </c>
      <c r="T2217" t="s">
        <v>33224</v>
      </c>
      <c r="U2217" t="s">
        <v>35517</v>
      </c>
      <c r="W2217" t="s">
        <v>30489</v>
      </c>
      <c r="X2217" t="s">
        <v>32527</v>
      </c>
    </row>
    <row r="2218" spans="1:24">
      <c r="A2218">
        <f>HYPERLINK("https://www.philgeps.gov.ph/GEPSNONPILOT/Tender/SplashBidNoticeAbstractUI.aspx?menuIndex=3&amp;refID=7046894&amp;Result=3","7046894")</f>
        <v>0</v>
      </c>
      <c r="B2218" t="s">
        <v>879</v>
      </c>
      <c r="C2218" t="s">
        <v>3161</v>
      </c>
      <c r="D2218" t="s">
        <v>12988</v>
      </c>
      <c r="E2218" t="s">
        <v>15086</v>
      </c>
      <c r="F2218" t="s">
        <v>22436</v>
      </c>
      <c r="G2218" t="s">
        <v>22443</v>
      </c>
      <c r="H2218" t="s">
        <v>22452</v>
      </c>
      <c r="I2218" t="s">
        <v>22502</v>
      </c>
      <c r="J2218" t="s">
        <v>23631</v>
      </c>
      <c r="K2218" t="s">
        <v>29338</v>
      </c>
      <c r="M2218" t="s">
        <v>30487</v>
      </c>
      <c r="N2218" t="s">
        <v>32524</v>
      </c>
      <c r="O2218" t="s">
        <v>32525</v>
      </c>
      <c r="P2218">
        <v>0</v>
      </c>
      <c r="Q2218">
        <v>13</v>
      </c>
      <c r="R2218" t="s">
        <v>32526</v>
      </c>
      <c r="S2218" t="s">
        <v>32547</v>
      </c>
      <c r="T2218" t="s">
        <v>33230</v>
      </c>
      <c r="U2218" t="s">
        <v>35503</v>
      </c>
      <c r="W2218" t="s">
        <v>30487</v>
      </c>
      <c r="X2218" t="s">
        <v>32527</v>
      </c>
    </row>
    <row r="2219" spans="1:24">
      <c r="A2219">
        <f>HYPERLINK("https://www.philgeps.gov.ph/GEPSNONPILOT/Tender/SplashBidNoticeAbstractUI.aspx?menuIndex=3&amp;refID=7046886&amp;Result=3","7046886")</f>
        <v>0</v>
      </c>
      <c r="B2219" t="s">
        <v>880</v>
      </c>
      <c r="C2219" t="s">
        <v>4812</v>
      </c>
      <c r="D2219" t="s">
        <v>13066</v>
      </c>
      <c r="E2219" t="s">
        <v>15087</v>
      </c>
      <c r="F2219" t="s">
        <v>22436</v>
      </c>
      <c r="G2219" t="s">
        <v>22443</v>
      </c>
      <c r="H2219" t="s">
        <v>22452</v>
      </c>
      <c r="I2219" t="s">
        <v>22469</v>
      </c>
      <c r="J2219" t="s">
        <v>24143</v>
      </c>
      <c r="K2219" t="s">
        <v>29338</v>
      </c>
      <c r="M2219" t="s">
        <v>30488</v>
      </c>
      <c r="N2219" t="s">
        <v>32524</v>
      </c>
      <c r="O2219" t="s">
        <v>32525</v>
      </c>
      <c r="P2219">
        <v>0</v>
      </c>
      <c r="Q2219">
        <v>1</v>
      </c>
      <c r="R2219" t="s">
        <v>32526</v>
      </c>
      <c r="S2219" t="s">
        <v>32547</v>
      </c>
      <c r="T2219" t="s">
        <v>33167</v>
      </c>
      <c r="U2219" t="s">
        <v>35518</v>
      </c>
      <c r="W2219" t="s">
        <v>43700</v>
      </c>
      <c r="X2219" t="s">
        <v>32527</v>
      </c>
    </row>
    <row r="2220" spans="1:24">
      <c r="A2220">
        <f>HYPERLINK("https://www.philgeps.gov.ph/GEPSNONPILOT/Tender/SplashBidNoticeAbstractUI.aspx?menuIndex=3&amp;refID=7046898&amp;Result=3","7046898")</f>
        <v>0</v>
      </c>
      <c r="B2220" t="s">
        <v>880</v>
      </c>
      <c r="C2220" t="s">
        <v>4813</v>
      </c>
      <c r="D2220" t="s">
        <v>13066</v>
      </c>
      <c r="E2220" t="s">
        <v>15088</v>
      </c>
      <c r="F2220" t="s">
        <v>22436</v>
      </c>
      <c r="G2220" t="s">
        <v>22443</v>
      </c>
      <c r="H2220" t="s">
        <v>22452</v>
      </c>
      <c r="I2220" t="s">
        <v>22469</v>
      </c>
      <c r="J2220" t="s">
        <v>24144</v>
      </c>
      <c r="K2220" t="s">
        <v>29338</v>
      </c>
      <c r="M2220" t="s">
        <v>30488</v>
      </c>
      <c r="N2220" t="s">
        <v>32524</v>
      </c>
      <c r="O2220" t="s">
        <v>32525</v>
      </c>
      <c r="P2220">
        <v>0</v>
      </c>
      <c r="Q2220">
        <v>1</v>
      </c>
      <c r="R2220" t="s">
        <v>32526</v>
      </c>
      <c r="S2220" t="s">
        <v>32547</v>
      </c>
      <c r="T2220" t="s">
        <v>33167</v>
      </c>
      <c r="U2220" t="s">
        <v>35519</v>
      </c>
      <c r="W2220" t="s">
        <v>43700</v>
      </c>
      <c r="X2220" t="s">
        <v>32527</v>
      </c>
    </row>
    <row r="2221" spans="1:24">
      <c r="A2221">
        <f>HYPERLINK("https://www.philgeps.gov.ph/GEPSNONPILOT/Tender/SplashBidNoticeAbstractUI.aspx?menuIndex=3&amp;refID=7046902&amp;Result=3","7046902")</f>
        <v>0</v>
      </c>
      <c r="B2221" t="s">
        <v>880</v>
      </c>
      <c r="C2221" t="s">
        <v>4814</v>
      </c>
      <c r="D2221" t="s">
        <v>13066</v>
      </c>
      <c r="E2221" t="s">
        <v>15089</v>
      </c>
      <c r="F2221" t="s">
        <v>22436</v>
      </c>
      <c r="G2221" t="s">
        <v>22443</v>
      </c>
      <c r="H2221" t="s">
        <v>22452</v>
      </c>
      <c r="I2221" t="s">
        <v>22469</v>
      </c>
      <c r="J2221" t="s">
        <v>24145</v>
      </c>
      <c r="K2221" t="s">
        <v>29338</v>
      </c>
      <c r="M2221" t="s">
        <v>30488</v>
      </c>
      <c r="N2221" t="s">
        <v>32524</v>
      </c>
      <c r="O2221" t="s">
        <v>32525</v>
      </c>
      <c r="P2221">
        <v>0</v>
      </c>
      <c r="Q2221">
        <v>0</v>
      </c>
      <c r="R2221" t="s">
        <v>32526</v>
      </c>
      <c r="S2221" t="s">
        <v>32547</v>
      </c>
      <c r="T2221" t="s">
        <v>33167</v>
      </c>
      <c r="U2221" t="s">
        <v>35518</v>
      </c>
      <c r="W2221" t="s">
        <v>43700</v>
      </c>
      <c r="X2221" t="s">
        <v>32527</v>
      </c>
    </row>
    <row r="2222" spans="1:24">
      <c r="A2222">
        <f>HYPERLINK("https://www.philgeps.gov.ph/GEPSNONPILOT/Tender/SplashBidNoticeAbstractUI.aspx?menuIndex=3&amp;refID=7046888&amp;Result=3","7046888")</f>
        <v>0</v>
      </c>
      <c r="B2222" t="s">
        <v>140</v>
      </c>
      <c r="C2222" t="s">
        <v>4815</v>
      </c>
      <c r="D2222" t="s">
        <v>12988</v>
      </c>
      <c r="E2222" t="s">
        <v>15090</v>
      </c>
      <c r="F2222" t="s">
        <v>22436</v>
      </c>
      <c r="G2222" t="s">
        <v>22443</v>
      </c>
      <c r="H2222" t="s">
        <v>22452</v>
      </c>
      <c r="I2222" t="s">
        <v>3529</v>
      </c>
      <c r="J2222" t="s">
        <v>24146</v>
      </c>
      <c r="K2222" t="s">
        <v>29338</v>
      </c>
      <c r="M2222" t="s">
        <v>30489</v>
      </c>
      <c r="N2222" t="s">
        <v>32524</v>
      </c>
      <c r="O2222" t="s">
        <v>32525</v>
      </c>
      <c r="P2222">
        <v>0</v>
      </c>
      <c r="Q2222">
        <v>0</v>
      </c>
      <c r="R2222" t="s">
        <v>32526</v>
      </c>
      <c r="S2222" t="s">
        <v>32547</v>
      </c>
      <c r="T2222" t="s">
        <v>33224</v>
      </c>
      <c r="U2222" t="s">
        <v>35520</v>
      </c>
      <c r="W2222" t="s">
        <v>30489</v>
      </c>
      <c r="X2222" t="s">
        <v>32527</v>
      </c>
    </row>
    <row r="2223" spans="1:24">
      <c r="A2223">
        <f>HYPERLINK("https://www.philgeps.gov.ph/GEPSNONPILOT/Tender/SplashBidNoticeAbstractUI.aspx?menuIndex=3&amp;refID=7046910&amp;Result=3","7046910")</f>
        <v>0</v>
      </c>
      <c r="B2223" t="s">
        <v>881</v>
      </c>
      <c r="C2223" t="s">
        <v>4816</v>
      </c>
      <c r="D2223" t="s">
        <v>12994</v>
      </c>
      <c r="E2223" t="s">
        <v>15091</v>
      </c>
      <c r="F2223" t="s">
        <v>22436</v>
      </c>
      <c r="G2223" t="s">
        <v>22444</v>
      </c>
      <c r="H2223" t="s">
        <v>22454</v>
      </c>
      <c r="I2223" t="s">
        <v>7738</v>
      </c>
      <c r="J2223" t="s">
        <v>24147</v>
      </c>
      <c r="K2223" t="s">
        <v>29344</v>
      </c>
      <c r="M2223" t="s">
        <v>30490</v>
      </c>
      <c r="N2223" t="s">
        <v>32524</v>
      </c>
      <c r="O2223" t="s">
        <v>32525</v>
      </c>
      <c r="P2223">
        <v>0</v>
      </c>
      <c r="Q2223">
        <v>15</v>
      </c>
      <c r="R2223" t="s">
        <v>32526</v>
      </c>
      <c r="S2223" t="s">
        <v>32547</v>
      </c>
      <c r="T2223" t="s">
        <v>33172</v>
      </c>
      <c r="U2223" t="s">
        <v>35521</v>
      </c>
      <c r="V2223" t="s">
        <v>42636</v>
      </c>
      <c r="W2223" t="s">
        <v>30490</v>
      </c>
      <c r="X2223" t="s">
        <v>32527</v>
      </c>
    </row>
    <row r="2224" spans="1:24">
      <c r="A2224">
        <f>HYPERLINK("https://www.philgeps.gov.ph/GEPSNONPILOT/Tender/SplashBidNoticeAbstractUI.aspx?menuIndex=3&amp;refID=7046904&amp;Result=3","7046904")</f>
        <v>0</v>
      </c>
      <c r="B2224" t="s">
        <v>879</v>
      </c>
      <c r="C2224" t="s">
        <v>4817</v>
      </c>
      <c r="D2224" t="s">
        <v>12988</v>
      </c>
      <c r="E2224" t="s">
        <v>15092</v>
      </c>
      <c r="F2224" t="s">
        <v>22436</v>
      </c>
      <c r="G2224" t="s">
        <v>22443</v>
      </c>
      <c r="H2224" t="s">
        <v>22452</v>
      </c>
      <c r="I2224" t="s">
        <v>22502</v>
      </c>
      <c r="J2224" t="s">
        <v>24148</v>
      </c>
      <c r="K2224" t="s">
        <v>29338</v>
      </c>
      <c r="M2224" t="s">
        <v>30487</v>
      </c>
      <c r="N2224" t="s">
        <v>32524</v>
      </c>
      <c r="O2224" t="s">
        <v>32525</v>
      </c>
      <c r="P2224">
        <v>0</v>
      </c>
      <c r="Q2224">
        <v>2</v>
      </c>
      <c r="R2224" t="s">
        <v>32526</v>
      </c>
      <c r="S2224" t="s">
        <v>32547</v>
      </c>
      <c r="T2224" t="s">
        <v>33230</v>
      </c>
      <c r="U2224" t="s">
        <v>35503</v>
      </c>
      <c r="W2224" t="s">
        <v>30487</v>
      </c>
      <c r="X2224" t="s">
        <v>32527</v>
      </c>
    </row>
    <row r="2225" spans="1:24">
      <c r="A2225">
        <f>HYPERLINK("https://www.philgeps.gov.ph/GEPSNONPILOT/Tender/SplashBidNoticeAbstractUI.aspx?menuIndex=3&amp;refID=7046915&amp;Result=3","7046915")</f>
        <v>0</v>
      </c>
      <c r="B2225" t="s">
        <v>882</v>
      </c>
      <c r="C2225" t="s">
        <v>4818</v>
      </c>
      <c r="D2225" t="s">
        <v>12988</v>
      </c>
      <c r="E2225" t="s">
        <v>15093</v>
      </c>
      <c r="F2225" t="s">
        <v>22436</v>
      </c>
      <c r="G2225" t="s">
        <v>22443</v>
      </c>
      <c r="H2225" t="s">
        <v>22452</v>
      </c>
      <c r="I2225" t="s">
        <v>22547</v>
      </c>
      <c r="J2225" t="s">
        <v>24149</v>
      </c>
      <c r="K2225" t="s">
        <v>29338</v>
      </c>
      <c r="M2225" t="s">
        <v>30491</v>
      </c>
      <c r="N2225" t="s">
        <v>32524</v>
      </c>
      <c r="O2225" t="s">
        <v>32525</v>
      </c>
      <c r="P2225">
        <v>0</v>
      </c>
      <c r="Q2225">
        <v>2</v>
      </c>
      <c r="R2225" t="s">
        <v>32526</v>
      </c>
      <c r="S2225" t="s">
        <v>32547</v>
      </c>
      <c r="T2225" t="s">
        <v>33169</v>
      </c>
      <c r="U2225" t="s">
        <v>35522</v>
      </c>
      <c r="W2225" t="s">
        <v>30491</v>
      </c>
      <c r="X2225" t="s">
        <v>32527</v>
      </c>
    </row>
    <row r="2226" spans="1:24">
      <c r="A2226">
        <f>HYPERLINK("https://www.philgeps.gov.ph/GEPSNONPILOT/Tender/SplashBidNoticeAbstractUI.aspx?menuIndex=3&amp;refID=7046914&amp;Result=3","7046914")</f>
        <v>0</v>
      </c>
      <c r="B2226" t="s">
        <v>527</v>
      </c>
      <c r="C2226" t="s">
        <v>4819</v>
      </c>
      <c r="D2226" t="s">
        <v>12988</v>
      </c>
      <c r="E2226" t="s">
        <v>15094</v>
      </c>
      <c r="F2226" t="s">
        <v>22436</v>
      </c>
      <c r="G2226" t="s">
        <v>22444</v>
      </c>
      <c r="H2226" t="s">
        <v>22452</v>
      </c>
      <c r="I2226" t="s">
        <v>22516</v>
      </c>
      <c r="J2226" t="s">
        <v>24150</v>
      </c>
      <c r="K2226" t="s">
        <v>29353</v>
      </c>
      <c r="M2226" t="s">
        <v>30492</v>
      </c>
      <c r="N2226" t="s">
        <v>32524</v>
      </c>
      <c r="O2226" t="s">
        <v>32525</v>
      </c>
      <c r="P2226">
        <v>0</v>
      </c>
      <c r="Q2226">
        <v>3</v>
      </c>
      <c r="R2226" t="s">
        <v>32526</v>
      </c>
      <c r="S2226" t="s">
        <v>32547</v>
      </c>
      <c r="T2226" t="s">
        <v>33272</v>
      </c>
      <c r="U2226" t="s">
        <v>35523</v>
      </c>
      <c r="W2226" t="s">
        <v>30492</v>
      </c>
      <c r="X2226" t="s">
        <v>32527</v>
      </c>
    </row>
    <row r="2227" spans="1:24">
      <c r="A2227">
        <f>HYPERLINK("https://www.philgeps.gov.ph/GEPSNONPILOT/Tender/SplashBidNoticeAbstractUI.aspx?menuIndex=3&amp;refID=7046917&amp;Result=3","7046917")</f>
        <v>0</v>
      </c>
      <c r="B2227" t="s">
        <v>879</v>
      </c>
      <c r="C2227" t="s">
        <v>4820</v>
      </c>
      <c r="D2227" t="s">
        <v>12988</v>
      </c>
      <c r="E2227" t="s">
        <v>15095</v>
      </c>
      <c r="F2227" t="s">
        <v>22436</v>
      </c>
      <c r="G2227" t="s">
        <v>22443</v>
      </c>
      <c r="H2227" t="s">
        <v>22452</v>
      </c>
      <c r="I2227" t="s">
        <v>22502</v>
      </c>
      <c r="J2227" t="s">
        <v>22654</v>
      </c>
      <c r="K2227" t="s">
        <v>29338</v>
      </c>
      <c r="M2227" t="s">
        <v>30487</v>
      </c>
      <c r="N2227" t="s">
        <v>32524</v>
      </c>
      <c r="O2227" t="s">
        <v>32525</v>
      </c>
      <c r="P2227">
        <v>0</v>
      </c>
      <c r="Q2227">
        <v>4</v>
      </c>
      <c r="R2227" t="s">
        <v>32526</v>
      </c>
      <c r="S2227" t="s">
        <v>32547</v>
      </c>
      <c r="T2227" t="s">
        <v>33230</v>
      </c>
      <c r="U2227" t="s">
        <v>35503</v>
      </c>
      <c r="W2227" t="s">
        <v>30487</v>
      </c>
      <c r="X2227" t="s">
        <v>32527</v>
      </c>
    </row>
    <row r="2228" spans="1:24">
      <c r="A2228">
        <f>HYPERLINK("https://www.philgeps.gov.ph/GEPSNONPILOT/Tender/SplashBidNoticeAbstractUI.aspx?menuIndex=3&amp;refID=7046905&amp;Result=3","7046905")</f>
        <v>0</v>
      </c>
      <c r="B2228" t="s">
        <v>850</v>
      </c>
      <c r="C2228" t="s">
        <v>4821</v>
      </c>
      <c r="D2228" t="s">
        <v>13037</v>
      </c>
      <c r="E2228" t="s">
        <v>15096</v>
      </c>
      <c r="F2228" t="s">
        <v>22436</v>
      </c>
      <c r="G2228" t="s">
        <v>22443</v>
      </c>
      <c r="H2228" t="s">
        <v>22452</v>
      </c>
      <c r="I2228" t="s">
        <v>22488</v>
      </c>
      <c r="J2228" t="s">
        <v>22806</v>
      </c>
      <c r="K2228" t="s">
        <v>29357</v>
      </c>
      <c r="M2228" t="s">
        <v>30457</v>
      </c>
      <c r="N2228" t="s">
        <v>32524</v>
      </c>
      <c r="O2228" t="s">
        <v>32525</v>
      </c>
      <c r="P2228">
        <v>0</v>
      </c>
      <c r="Q2228">
        <v>0</v>
      </c>
      <c r="R2228" t="s">
        <v>32526</v>
      </c>
      <c r="S2228" t="s">
        <v>32547</v>
      </c>
      <c r="T2228" t="s">
        <v>33339</v>
      </c>
      <c r="U2228" t="s">
        <v>35524</v>
      </c>
      <c r="W2228" t="s">
        <v>30457</v>
      </c>
      <c r="X2228" t="s">
        <v>32527</v>
      </c>
    </row>
    <row r="2229" spans="1:24">
      <c r="A2229">
        <f>HYPERLINK("https://www.philgeps.gov.ph/GEPSNONPILOT/Tender/SplashBidNoticeAbstractUI.aspx?menuIndex=3&amp;refID=7046918&amp;Result=3","7046918")</f>
        <v>0</v>
      </c>
      <c r="B2229" t="s">
        <v>875</v>
      </c>
      <c r="C2229" t="s">
        <v>4822</v>
      </c>
      <c r="D2229" t="s">
        <v>13007</v>
      </c>
      <c r="E2229" t="s">
        <v>15097</v>
      </c>
      <c r="F2229" t="s">
        <v>22436</v>
      </c>
      <c r="G2229" t="s">
        <v>22443</v>
      </c>
      <c r="H2229" t="s">
        <v>22453</v>
      </c>
      <c r="I2229" t="s">
        <v>3529</v>
      </c>
      <c r="J2229" t="s">
        <v>24151</v>
      </c>
      <c r="K2229" t="s">
        <v>29341</v>
      </c>
      <c r="M2229" t="s">
        <v>30483</v>
      </c>
      <c r="N2229" t="s">
        <v>32524</v>
      </c>
      <c r="O2229" t="s">
        <v>32525</v>
      </c>
      <c r="P2229">
        <v>0</v>
      </c>
      <c r="Q2229">
        <v>0</v>
      </c>
      <c r="R2229" t="s">
        <v>32526</v>
      </c>
      <c r="S2229" t="s">
        <v>32547</v>
      </c>
      <c r="T2229" t="s">
        <v>33167</v>
      </c>
      <c r="U2229" t="s">
        <v>35525</v>
      </c>
      <c r="W2229" t="s">
        <v>30483</v>
      </c>
      <c r="X2229" t="s">
        <v>32527</v>
      </c>
    </row>
    <row r="2230" spans="1:24">
      <c r="A2230">
        <f>HYPERLINK("https://www.philgeps.gov.ph/GEPSNONPILOT/Tender/SplashBidNoticeAbstractUI.aspx?menuIndex=3&amp;refID=7046927&amp;Result=3","7046927")</f>
        <v>0</v>
      </c>
      <c r="B2230" t="s">
        <v>858</v>
      </c>
      <c r="C2230" t="s">
        <v>4823</v>
      </c>
      <c r="D2230" t="s">
        <v>12988</v>
      </c>
      <c r="E2230" t="s">
        <v>15098</v>
      </c>
      <c r="F2230" t="s">
        <v>22436</v>
      </c>
      <c r="G2230" t="s">
        <v>22443</v>
      </c>
      <c r="H2230" t="s">
        <v>22453</v>
      </c>
      <c r="I2230" t="s">
        <v>2962</v>
      </c>
      <c r="J2230" t="s">
        <v>24152</v>
      </c>
      <c r="K2230" t="s">
        <v>29353</v>
      </c>
      <c r="M2230" t="s">
        <v>30465</v>
      </c>
      <c r="N2230" t="s">
        <v>32524</v>
      </c>
      <c r="O2230" t="s">
        <v>32525</v>
      </c>
      <c r="P2230">
        <v>0</v>
      </c>
      <c r="Q2230">
        <v>1</v>
      </c>
      <c r="R2230" t="s">
        <v>32526</v>
      </c>
      <c r="S2230" t="s">
        <v>32547</v>
      </c>
      <c r="T2230" t="s">
        <v>33215</v>
      </c>
      <c r="U2230" t="s">
        <v>35473</v>
      </c>
      <c r="W2230" t="s">
        <v>30465</v>
      </c>
      <c r="X2230" t="s">
        <v>32527</v>
      </c>
    </row>
    <row r="2231" spans="1:24">
      <c r="A2231">
        <f>HYPERLINK("https://www.philgeps.gov.ph/GEPSNONPILOT/Tender/SplashBidNoticeAbstractUI.aspx?menuIndex=3&amp;refID=7046916&amp;Result=3","7046916")</f>
        <v>0</v>
      </c>
      <c r="B2231" t="s">
        <v>850</v>
      </c>
      <c r="C2231" t="s">
        <v>4824</v>
      </c>
      <c r="D2231" t="s">
        <v>13037</v>
      </c>
      <c r="E2231" t="s">
        <v>15099</v>
      </c>
      <c r="F2231" t="s">
        <v>22436</v>
      </c>
      <c r="G2231" t="s">
        <v>22443</v>
      </c>
      <c r="H2231" t="s">
        <v>22452</v>
      </c>
      <c r="I2231" t="s">
        <v>22488</v>
      </c>
      <c r="J2231" t="s">
        <v>22893</v>
      </c>
      <c r="K2231" t="s">
        <v>29357</v>
      </c>
      <c r="M2231" t="s">
        <v>30457</v>
      </c>
      <c r="N2231" t="s">
        <v>32524</v>
      </c>
      <c r="O2231" t="s">
        <v>32525</v>
      </c>
      <c r="P2231">
        <v>0</v>
      </c>
      <c r="Q2231">
        <v>0</v>
      </c>
      <c r="R2231" t="s">
        <v>32526</v>
      </c>
      <c r="S2231" t="s">
        <v>32547</v>
      </c>
      <c r="T2231" t="s">
        <v>33339</v>
      </c>
      <c r="U2231" t="s">
        <v>35526</v>
      </c>
      <c r="W2231" t="s">
        <v>30457</v>
      </c>
      <c r="X2231" t="s">
        <v>32527</v>
      </c>
    </row>
    <row r="2232" spans="1:24">
      <c r="A2232">
        <f>HYPERLINK("https://www.philgeps.gov.ph/GEPSNONPILOT/Tender/SplashBidNoticeAbstractUI.aspx?menuIndex=3&amp;refID=7046926&amp;Result=3","7046926")</f>
        <v>0</v>
      </c>
      <c r="B2232" t="s">
        <v>881</v>
      </c>
      <c r="C2232" t="s">
        <v>4825</v>
      </c>
      <c r="D2232" t="s">
        <v>12994</v>
      </c>
      <c r="E2232" t="s">
        <v>15100</v>
      </c>
      <c r="F2232" t="s">
        <v>22436</v>
      </c>
      <c r="G2232" t="s">
        <v>22444</v>
      </c>
      <c r="H2232" t="s">
        <v>22454</v>
      </c>
      <c r="I2232" t="s">
        <v>7738</v>
      </c>
      <c r="J2232" t="s">
        <v>24153</v>
      </c>
      <c r="K2232" t="s">
        <v>29333</v>
      </c>
      <c r="M2232" t="s">
        <v>30490</v>
      </c>
      <c r="N2232" t="s">
        <v>32524</v>
      </c>
      <c r="O2232" t="s">
        <v>32525</v>
      </c>
      <c r="P2232">
        <v>0</v>
      </c>
      <c r="Q2232">
        <v>7</v>
      </c>
      <c r="R2232" t="s">
        <v>32526</v>
      </c>
      <c r="S2232" t="s">
        <v>32547</v>
      </c>
      <c r="T2232" t="s">
        <v>33182</v>
      </c>
      <c r="U2232" t="s">
        <v>35527</v>
      </c>
      <c r="V2232" t="s">
        <v>42637</v>
      </c>
      <c r="W2232" t="s">
        <v>30490</v>
      </c>
      <c r="X2232" t="s">
        <v>32527</v>
      </c>
    </row>
    <row r="2233" spans="1:24">
      <c r="A2233">
        <f>HYPERLINK("https://www.philgeps.gov.ph/GEPSNONPILOT/Tender/SplashBidNoticeAbstractUI.aspx?menuIndex=3&amp;refID=7046906&amp;Result=3","7046906")</f>
        <v>0</v>
      </c>
      <c r="B2233" t="s">
        <v>883</v>
      </c>
      <c r="C2233" t="s">
        <v>4826</v>
      </c>
      <c r="D2233" t="s">
        <v>12990</v>
      </c>
      <c r="E2233" t="s">
        <v>15101</v>
      </c>
      <c r="F2233" t="s">
        <v>22437</v>
      </c>
      <c r="G2233" t="s">
        <v>22446</v>
      </c>
      <c r="H2233" t="s">
        <v>22452</v>
      </c>
      <c r="I2233" t="s">
        <v>22460</v>
      </c>
      <c r="J2233" t="s">
        <v>24154</v>
      </c>
      <c r="K2233" t="s">
        <v>29336</v>
      </c>
      <c r="M2233" t="s">
        <v>30493</v>
      </c>
      <c r="N2233" t="s">
        <v>32524</v>
      </c>
      <c r="O2233" t="s">
        <v>32525</v>
      </c>
      <c r="P2233">
        <v>0</v>
      </c>
      <c r="Q2233">
        <v>0</v>
      </c>
      <c r="R2233" t="s">
        <v>32526</v>
      </c>
      <c r="S2233" t="s">
        <v>32547</v>
      </c>
      <c r="T2233" t="s">
        <v>33154</v>
      </c>
      <c r="U2233" t="s">
        <v>35528</v>
      </c>
      <c r="W2233" t="s">
        <v>30493</v>
      </c>
      <c r="X2233" t="s">
        <v>32527</v>
      </c>
    </row>
    <row r="2234" spans="1:24">
      <c r="A2234">
        <f>HYPERLINK("https://www.philgeps.gov.ph/GEPSNONPILOT/Tender/SplashBidNoticeAbstractUI.aspx?menuIndex=3&amp;refID=7046922&amp;Result=3","7046922")</f>
        <v>0</v>
      </c>
      <c r="B2234" t="s">
        <v>826</v>
      </c>
      <c r="C2234" t="s">
        <v>4827</v>
      </c>
      <c r="D2234" t="s">
        <v>12998</v>
      </c>
      <c r="E2234" t="s">
        <v>14153</v>
      </c>
      <c r="F2234" t="s">
        <v>22436</v>
      </c>
      <c r="G2234" t="s">
        <v>22446</v>
      </c>
      <c r="H2234" t="s">
        <v>22452</v>
      </c>
      <c r="I2234" t="s">
        <v>2981</v>
      </c>
      <c r="J2234" t="s">
        <v>22865</v>
      </c>
      <c r="K2234" t="s">
        <v>29356</v>
      </c>
      <c r="M2234" t="s">
        <v>30494</v>
      </c>
      <c r="N2234" t="s">
        <v>32524</v>
      </c>
      <c r="O2234" t="s">
        <v>32525</v>
      </c>
      <c r="P2234">
        <v>0</v>
      </c>
      <c r="Q2234">
        <v>1</v>
      </c>
      <c r="R2234" t="s">
        <v>32526</v>
      </c>
      <c r="S2234" t="s">
        <v>32547</v>
      </c>
      <c r="T2234" t="s">
        <v>33313</v>
      </c>
      <c r="U2234" t="s">
        <v>33733</v>
      </c>
      <c r="W2234" t="s">
        <v>30494</v>
      </c>
      <c r="X2234" t="s">
        <v>32527</v>
      </c>
    </row>
    <row r="2235" spans="1:24">
      <c r="A2235">
        <f>HYPERLINK("https://www.philgeps.gov.ph/GEPSNONPILOT/Tender/SplashBidNoticeAbstractUI.aspx?menuIndex=3&amp;refID=7046924&amp;Result=3","7046924")</f>
        <v>0</v>
      </c>
      <c r="B2235" t="s">
        <v>884</v>
      </c>
      <c r="C2235" t="s">
        <v>4828</v>
      </c>
      <c r="D2235" t="s">
        <v>12988</v>
      </c>
      <c r="E2235" t="s">
        <v>15102</v>
      </c>
      <c r="F2235" t="s">
        <v>22436</v>
      </c>
      <c r="G2235" t="s">
        <v>22443</v>
      </c>
      <c r="H2235" t="s">
        <v>22452</v>
      </c>
      <c r="I2235" t="s">
        <v>3827</v>
      </c>
      <c r="J2235" t="s">
        <v>24155</v>
      </c>
      <c r="K2235" t="s">
        <v>29340</v>
      </c>
      <c r="M2235" t="s">
        <v>30495</v>
      </c>
      <c r="N2235" t="s">
        <v>32524</v>
      </c>
      <c r="O2235" t="s">
        <v>32525</v>
      </c>
      <c r="P2235">
        <v>0</v>
      </c>
      <c r="Q2235">
        <v>3</v>
      </c>
      <c r="R2235" t="s">
        <v>32526</v>
      </c>
      <c r="S2235" t="s">
        <v>32547</v>
      </c>
      <c r="T2235" t="s">
        <v>33169</v>
      </c>
      <c r="U2235" t="s">
        <v>35529</v>
      </c>
      <c r="V2235" t="s">
        <v>42638</v>
      </c>
      <c r="W2235" t="s">
        <v>30495</v>
      </c>
      <c r="X2235" t="s">
        <v>32527</v>
      </c>
    </row>
    <row r="2236" spans="1:24">
      <c r="A2236">
        <f>HYPERLINK("https://www.philgeps.gov.ph/GEPSNONPILOT/Tender/SplashBidNoticeAbstractUI.aspx?menuIndex=3&amp;refID=7046913&amp;Result=3","7046913")</f>
        <v>0</v>
      </c>
      <c r="B2236" t="s">
        <v>768</v>
      </c>
      <c r="C2236" t="s">
        <v>4829</v>
      </c>
      <c r="D2236" t="s">
        <v>13046</v>
      </c>
      <c r="E2236" t="s">
        <v>15103</v>
      </c>
      <c r="F2236" t="s">
        <v>22436</v>
      </c>
      <c r="G2236" t="s">
        <v>22444</v>
      </c>
      <c r="H2236" t="s">
        <v>22452</v>
      </c>
      <c r="I2236" t="s">
        <v>6387</v>
      </c>
      <c r="J2236" t="s">
        <v>24156</v>
      </c>
      <c r="K2236" t="s">
        <v>29334</v>
      </c>
      <c r="L2236" t="s">
        <v>768</v>
      </c>
      <c r="M2236" t="s">
        <v>30369</v>
      </c>
      <c r="N2236" t="s">
        <v>32524</v>
      </c>
      <c r="O2236" t="s">
        <v>32525</v>
      </c>
      <c r="P2236">
        <v>0</v>
      </c>
      <c r="Q2236">
        <v>0</v>
      </c>
      <c r="R2236" t="s">
        <v>32526</v>
      </c>
      <c r="S2236" t="s">
        <v>32547</v>
      </c>
      <c r="T2236" t="s">
        <v>33186</v>
      </c>
      <c r="U2236" t="s">
        <v>35530</v>
      </c>
      <c r="V2236" t="s">
        <v>42639</v>
      </c>
      <c r="W2236" t="s">
        <v>30369</v>
      </c>
      <c r="X2236" t="s">
        <v>32527</v>
      </c>
    </row>
    <row r="2237" spans="1:24">
      <c r="A2237">
        <f>HYPERLINK("https://www.philgeps.gov.ph/GEPSNONPILOT/Tender/SplashBidNoticeAbstractUI.aspx?menuIndex=3&amp;refID=7046923&amp;Result=3","7046923")</f>
        <v>0</v>
      </c>
      <c r="B2237" t="s">
        <v>850</v>
      </c>
      <c r="C2237" t="s">
        <v>4830</v>
      </c>
      <c r="D2237" t="s">
        <v>13037</v>
      </c>
      <c r="E2237" t="s">
        <v>15104</v>
      </c>
      <c r="F2237" t="s">
        <v>22436</v>
      </c>
      <c r="G2237" t="s">
        <v>22443</v>
      </c>
      <c r="H2237" t="s">
        <v>22452</v>
      </c>
      <c r="I2237" t="s">
        <v>22488</v>
      </c>
      <c r="J2237" t="s">
        <v>22806</v>
      </c>
      <c r="K2237" t="s">
        <v>29357</v>
      </c>
      <c r="M2237" t="s">
        <v>30457</v>
      </c>
      <c r="N2237" t="s">
        <v>32524</v>
      </c>
      <c r="O2237" t="s">
        <v>32525</v>
      </c>
      <c r="P2237">
        <v>0</v>
      </c>
      <c r="Q2237">
        <v>1</v>
      </c>
      <c r="R2237" t="s">
        <v>32526</v>
      </c>
      <c r="S2237" t="s">
        <v>32547</v>
      </c>
      <c r="T2237" t="s">
        <v>33339</v>
      </c>
      <c r="U2237" t="s">
        <v>35531</v>
      </c>
      <c r="W2237" t="s">
        <v>30457</v>
      </c>
      <c r="X2237" t="s">
        <v>32527</v>
      </c>
    </row>
    <row r="2238" spans="1:24">
      <c r="A2238">
        <f>HYPERLINK("https://www.philgeps.gov.ph/GEPSNONPILOT/Tender/SplashBidNoticeAbstractUI.aspx?menuIndex=3&amp;refID=7046929&amp;Result=3","7046929")</f>
        <v>0</v>
      </c>
      <c r="B2238" t="s">
        <v>885</v>
      </c>
      <c r="C2238" t="s">
        <v>4831</v>
      </c>
      <c r="D2238" t="s">
        <v>12999</v>
      </c>
      <c r="E2238" t="s">
        <v>15105</v>
      </c>
      <c r="F2238" t="s">
        <v>22437</v>
      </c>
      <c r="G2238" t="s">
        <v>22444</v>
      </c>
      <c r="H2238" t="s">
        <v>22454</v>
      </c>
      <c r="I2238" t="s">
        <v>7738</v>
      </c>
      <c r="J2238" t="s">
        <v>24157</v>
      </c>
      <c r="K2238" t="s">
        <v>29333</v>
      </c>
      <c r="M2238" t="s">
        <v>30496</v>
      </c>
      <c r="N2238" t="s">
        <v>32524</v>
      </c>
      <c r="O2238" t="s">
        <v>32525</v>
      </c>
      <c r="P2238">
        <v>0</v>
      </c>
      <c r="Q2238">
        <v>0</v>
      </c>
      <c r="R2238" t="s">
        <v>32526</v>
      </c>
      <c r="S2238" t="s">
        <v>32547</v>
      </c>
      <c r="T2238" t="s">
        <v>33361</v>
      </c>
      <c r="U2238" t="s">
        <v>35532</v>
      </c>
      <c r="W2238" t="s">
        <v>30496</v>
      </c>
      <c r="X2238" t="s">
        <v>32527</v>
      </c>
    </row>
    <row r="2239" spans="1:24">
      <c r="A2239">
        <f>HYPERLINK("https://www.philgeps.gov.ph/GEPSNONPILOT/Tender/SplashBidNoticeAbstractUI.aspx?menuIndex=3&amp;refID=7046909&amp;Result=3","7046909")</f>
        <v>0</v>
      </c>
      <c r="B2239" t="s">
        <v>850</v>
      </c>
      <c r="C2239" t="s">
        <v>4832</v>
      </c>
      <c r="D2239" t="s">
        <v>13037</v>
      </c>
      <c r="E2239" t="s">
        <v>15106</v>
      </c>
      <c r="F2239" t="s">
        <v>22436</v>
      </c>
      <c r="G2239" t="s">
        <v>22443</v>
      </c>
      <c r="H2239" t="s">
        <v>22452</v>
      </c>
      <c r="I2239" t="s">
        <v>22488</v>
      </c>
      <c r="J2239" t="s">
        <v>22779</v>
      </c>
      <c r="K2239" t="s">
        <v>29357</v>
      </c>
      <c r="M2239" t="s">
        <v>30457</v>
      </c>
      <c r="N2239" t="s">
        <v>32524</v>
      </c>
      <c r="O2239" t="s">
        <v>32525</v>
      </c>
      <c r="P2239">
        <v>0</v>
      </c>
      <c r="Q2239">
        <v>0</v>
      </c>
      <c r="R2239" t="s">
        <v>32526</v>
      </c>
      <c r="S2239" t="s">
        <v>32547</v>
      </c>
      <c r="T2239" t="s">
        <v>33339</v>
      </c>
      <c r="U2239" t="s">
        <v>35533</v>
      </c>
      <c r="W2239" t="s">
        <v>30457</v>
      </c>
      <c r="X2239" t="s">
        <v>32527</v>
      </c>
    </row>
    <row r="2240" spans="1:24">
      <c r="A2240">
        <f>HYPERLINK("https://www.philgeps.gov.ph/GEPSNONPILOT/Tender/SplashBidNoticeAbstractUI.aspx?menuIndex=3&amp;refID=7046919&amp;Result=3","7046919")</f>
        <v>0</v>
      </c>
      <c r="B2240" t="s">
        <v>886</v>
      </c>
      <c r="C2240" t="s">
        <v>4833</v>
      </c>
      <c r="E2240" t="s">
        <v>15107</v>
      </c>
      <c r="F2240" t="s">
        <v>22436</v>
      </c>
      <c r="G2240" t="s">
        <v>22446</v>
      </c>
      <c r="H2240" t="s">
        <v>22452</v>
      </c>
      <c r="I2240" t="s">
        <v>2981</v>
      </c>
      <c r="J2240" t="s">
        <v>22605</v>
      </c>
      <c r="K2240" t="s">
        <v>29356</v>
      </c>
      <c r="M2240" t="s">
        <v>30497</v>
      </c>
      <c r="N2240" t="s">
        <v>32524</v>
      </c>
      <c r="O2240" t="s">
        <v>32525</v>
      </c>
      <c r="P2240">
        <v>0</v>
      </c>
      <c r="Q2240">
        <v>3</v>
      </c>
      <c r="R2240" t="s">
        <v>32526</v>
      </c>
      <c r="S2240" t="s">
        <v>32547</v>
      </c>
      <c r="T2240" t="s">
        <v>33154</v>
      </c>
      <c r="U2240" t="s">
        <v>35534</v>
      </c>
      <c r="W2240" t="s">
        <v>30497</v>
      </c>
      <c r="X2240" t="s">
        <v>32527</v>
      </c>
    </row>
    <row r="2241" spans="1:24">
      <c r="A2241">
        <f>HYPERLINK("https://www.philgeps.gov.ph/GEPSNONPILOT/Tender/SplashBidNoticeAbstractUI.aspx?menuIndex=3&amp;refID=7046940&amp;Result=3","7046940")</f>
        <v>0</v>
      </c>
      <c r="B2241" t="s">
        <v>887</v>
      </c>
      <c r="C2241" t="s">
        <v>4834</v>
      </c>
      <c r="D2241" t="s">
        <v>12988</v>
      </c>
      <c r="E2241" t="s">
        <v>15108</v>
      </c>
      <c r="F2241" t="s">
        <v>22436</v>
      </c>
      <c r="G2241" t="s">
        <v>22444</v>
      </c>
      <c r="H2241" t="s">
        <v>22452</v>
      </c>
      <c r="I2241" t="s">
        <v>2981</v>
      </c>
      <c r="J2241" t="s">
        <v>23093</v>
      </c>
      <c r="K2241" t="s">
        <v>29357</v>
      </c>
      <c r="M2241" t="s">
        <v>30498</v>
      </c>
      <c r="N2241" t="s">
        <v>32524</v>
      </c>
      <c r="O2241" t="s">
        <v>32525</v>
      </c>
      <c r="P2241">
        <v>0</v>
      </c>
      <c r="Q2241">
        <v>1</v>
      </c>
      <c r="R2241" t="s">
        <v>32526</v>
      </c>
      <c r="S2241" t="s">
        <v>32547</v>
      </c>
      <c r="T2241" t="s">
        <v>33168</v>
      </c>
      <c r="U2241" t="s">
        <v>35535</v>
      </c>
      <c r="W2241" t="s">
        <v>30498</v>
      </c>
      <c r="X2241" t="s">
        <v>32527</v>
      </c>
    </row>
    <row r="2242" spans="1:24">
      <c r="A2242">
        <f>HYPERLINK("https://www.philgeps.gov.ph/GEPSNONPILOT/Tender/SplashBidNoticeAbstractUI.aspx?menuIndex=3&amp;refID=7046939&amp;Result=3","7046939")</f>
        <v>0</v>
      </c>
      <c r="B2242" t="s">
        <v>826</v>
      </c>
      <c r="C2242" t="s">
        <v>4835</v>
      </c>
      <c r="D2242" t="s">
        <v>12998</v>
      </c>
      <c r="E2242" t="s">
        <v>14137</v>
      </c>
      <c r="F2242" t="s">
        <v>22436</v>
      </c>
      <c r="G2242" t="s">
        <v>22446</v>
      </c>
      <c r="H2242" t="s">
        <v>22452</v>
      </c>
      <c r="I2242" t="s">
        <v>2993</v>
      </c>
      <c r="J2242" t="s">
        <v>22695</v>
      </c>
      <c r="K2242" t="s">
        <v>29358</v>
      </c>
      <c r="M2242" t="s">
        <v>30494</v>
      </c>
      <c r="N2242" t="s">
        <v>32524</v>
      </c>
      <c r="O2242" t="s">
        <v>32525</v>
      </c>
      <c r="P2242">
        <v>0</v>
      </c>
      <c r="Q2242">
        <v>3</v>
      </c>
      <c r="R2242" t="s">
        <v>32526</v>
      </c>
      <c r="S2242" t="s">
        <v>32547</v>
      </c>
      <c r="T2242" t="s">
        <v>33313</v>
      </c>
      <c r="U2242" t="s">
        <v>33733</v>
      </c>
      <c r="W2242" t="s">
        <v>30494</v>
      </c>
      <c r="X2242" t="s">
        <v>32527</v>
      </c>
    </row>
    <row r="2243" spans="1:24">
      <c r="A2243">
        <f>HYPERLINK("https://www.philgeps.gov.ph/GEPSNONPILOT/Tender/SplashBidNoticeAbstractUI.aspx?menuIndex=3&amp;refID=7046911&amp;Result=3","7046911")</f>
        <v>0</v>
      </c>
      <c r="B2243" t="s">
        <v>888</v>
      </c>
      <c r="C2243" t="s">
        <v>4836</v>
      </c>
      <c r="D2243" t="s">
        <v>13032</v>
      </c>
      <c r="E2243" t="s">
        <v>15109</v>
      </c>
      <c r="F2243" t="s">
        <v>22436</v>
      </c>
      <c r="G2243" t="s">
        <v>22444</v>
      </c>
      <c r="H2243" t="s">
        <v>22454</v>
      </c>
      <c r="I2243" t="s">
        <v>7738</v>
      </c>
      <c r="J2243" t="s">
        <v>24158</v>
      </c>
      <c r="K2243" t="s">
        <v>29333</v>
      </c>
      <c r="M2243" t="s">
        <v>30499</v>
      </c>
      <c r="N2243" t="s">
        <v>32524</v>
      </c>
      <c r="O2243" t="s">
        <v>32525</v>
      </c>
      <c r="P2243">
        <v>0</v>
      </c>
      <c r="Q2243">
        <v>0</v>
      </c>
      <c r="R2243" t="s">
        <v>32526</v>
      </c>
      <c r="S2243" t="s">
        <v>32547</v>
      </c>
      <c r="T2243" t="s">
        <v>33157</v>
      </c>
      <c r="U2243" t="s">
        <v>35536</v>
      </c>
      <c r="V2243" t="s">
        <v>42640</v>
      </c>
      <c r="W2243" t="s">
        <v>30499</v>
      </c>
      <c r="X2243" t="s">
        <v>32527</v>
      </c>
    </row>
    <row r="2244" spans="1:24">
      <c r="A2244">
        <f>HYPERLINK("https://www.philgeps.gov.ph/GEPSNONPILOT/Tender/SplashBidNoticeAbstractUI.aspx?menuIndex=3&amp;refID=7046930&amp;Result=3","7046930")</f>
        <v>0</v>
      </c>
      <c r="B2244" t="s">
        <v>882</v>
      </c>
      <c r="C2244" t="s">
        <v>4837</v>
      </c>
      <c r="E2244" t="s">
        <v>15110</v>
      </c>
      <c r="F2244" t="s">
        <v>22436</v>
      </c>
      <c r="G2244" t="s">
        <v>22445</v>
      </c>
      <c r="H2244" t="s">
        <v>22452</v>
      </c>
      <c r="I2244" t="s">
        <v>22548</v>
      </c>
      <c r="J2244" t="s">
        <v>24159</v>
      </c>
      <c r="K2244" t="s">
        <v>29338</v>
      </c>
      <c r="M2244" t="s">
        <v>30491</v>
      </c>
      <c r="N2244" t="s">
        <v>32524</v>
      </c>
      <c r="O2244" t="s">
        <v>32525</v>
      </c>
      <c r="P2244">
        <v>0</v>
      </c>
      <c r="Q2244">
        <v>1</v>
      </c>
      <c r="R2244" t="s">
        <v>32526</v>
      </c>
      <c r="S2244" t="s">
        <v>32547</v>
      </c>
      <c r="T2244" t="s">
        <v>33169</v>
      </c>
      <c r="U2244" t="s">
        <v>35537</v>
      </c>
      <c r="W2244" t="s">
        <v>30491</v>
      </c>
      <c r="X2244" t="s">
        <v>32527</v>
      </c>
    </row>
    <row r="2245" spans="1:24">
      <c r="A2245">
        <f>HYPERLINK("https://www.philgeps.gov.ph/GEPSNONPILOT/Tender/SplashBidNoticeAbstractUI.aspx?menuIndex=3&amp;refID=7046908&amp;Result=3","7046908")</f>
        <v>0</v>
      </c>
      <c r="B2245" t="s">
        <v>879</v>
      </c>
      <c r="C2245" t="s">
        <v>3161</v>
      </c>
      <c r="D2245" t="s">
        <v>12988</v>
      </c>
      <c r="E2245" t="s">
        <v>15111</v>
      </c>
      <c r="F2245" t="s">
        <v>22436</v>
      </c>
      <c r="G2245" t="s">
        <v>22443</v>
      </c>
      <c r="H2245" t="s">
        <v>22452</v>
      </c>
      <c r="I2245" t="s">
        <v>22502</v>
      </c>
      <c r="J2245" t="s">
        <v>24160</v>
      </c>
      <c r="K2245" t="s">
        <v>29338</v>
      </c>
      <c r="M2245" t="s">
        <v>30487</v>
      </c>
      <c r="N2245" t="s">
        <v>32524</v>
      </c>
      <c r="O2245" t="s">
        <v>32525</v>
      </c>
      <c r="P2245">
        <v>0</v>
      </c>
      <c r="Q2245">
        <v>11</v>
      </c>
      <c r="R2245" t="s">
        <v>32526</v>
      </c>
      <c r="S2245" t="s">
        <v>32547</v>
      </c>
      <c r="T2245" t="s">
        <v>33230</v>
      </c>
      <c r="U2245" t="s">
        <v>35503</v>
      </c>
      <c r="W2245" t="s">
        <v>30487</v>
      </c>
      <c r="X2245" t="s">
        <v>32527</v>
      </c>
    </row>
    <row r="2246" spans="1:24">
      <c r="A2246">
        <f>HYPERLINK("https://www.philgeps.gov.ph/GEPSNONPILOT/Tender/SplashBidNoticeAbstractUI.aspx?menuIndex=3&amp;refID=7046938&amp;Result=3","7046938")</f>
        <v>0</v>
      </c>
      <c r="B2246" t="s">
        <v>879</v>
      </c>
      <c r="C2246" t="s">
        <v>4838</v>
      </c>
      <c r="D2246" t="s">
        <v>12988</v>
      </c>
      <c r="E2246" t="s">
        <v>15112</v>
      </c>
      <c r="F2246" t="s">
        <v>22436</v>
      </c>
      <c r="G2246" t="s">
        <v>22443</v>
      </c>
      <c r="H2246" t="s">
        <v>22452</v>
      </c>
      <c r="I2246" t="s">
        <v>22502</v>
      </c>
      <c r="J2246" t="s">
        <v>22800</v>
      </c>
      <c r="K2246" t="s">
        <v>29338</v>
      </c>
      <c r="M2246" t="s">
        <v>30487</v>
      </c>
      <c r="N2246" t="s">
        <v>32524</v>
      </c>
      <c r="O2246" t="s">
        <v>32525</v>
      </c>
      <c r="P2246">
        <v>0</v>
      </c>
      <c r="Q2246">
        <v>7</v>
      </c>
      <c r="R2246" t="s">
        <v>32526</v>
      </c>
      <c r="S2246" t="s">
        <v>32547</v>
      </c>
      <c r="T2246" t="s">
        <v>33230</v>
      </c>
      <c r="U2246" t="s">
        <v>35503</v>
      </c>
      <c r="W2246" t="s">
        <v>30487</v>
      </c>
      <c r="X2246" t="s">
        <v>32527</v>
      </c>
    </row>
    <row r="2247" spans="1:24">
      <c r="A2247">
        <f>HYPERLINK("https://www.philgeps.gov.ph/GEPSNONPILOT/Tender/SplashBidNoticeAbstractUI.aspx?menuIndex=3&amp;refID=7046936&amp;Result=3","7046936")</f>
        <v>0</v>
      </c>
      <c r="B2247" t="s">
        <v>889</v>
      </c>
      <c r="C2247" t="s">
        <v>4839</v>
      </c>
      <c r="D2247" t="s">
        <v>13042</v>
      </c>
      <c r="E2247" t="s">
        <v>15113</v>
      </c>
      <c r="F2247" t="s">
        <v>22436</v>
      </c>
      <c r="G2247" t="s">
        <v>22443</v>
      </c>
      <c r="H2247" t="s">
        <v>22452</v>
      </c>
      <c r="I2247" t="s">
        <v>22494</v>
      </c>
      <c r="J2247" t="s">
        <v>24161</v>
      </c>
      <c r="K2247" t="s">
        <v>29356</v>
      </c>
      <c r="M2247" t="s">
        <v>30500</v>
      </c>
      <c r="N2247" t="s">
        <v>32524</v>
      </c>
      <c r="O2247" t="s">
        <v>32525</v>
      </c>
      <c r="P2247">
        <v>0</v>
      </c>
      <c r="Q2247">
        <v>0</v>
      </c>
      <c r="R2247" t="s">
        <v>32526</v>
      </c>
      <c r="S2247" t="s">
        <v>32547</v>
      </c>
      <c r="T2247" t="s">
        <v>33155</v>
      </c>
      <c r="U2247" t="s">
        <v>35538</v>
      </c>
      <c r="W2247" t="s">
        <v>30500</v>
      </c>
      <c r="X2247" t="s">
        <v>32527</v>
      </c>
    </row>
    <row r="2248" spans="1:24">
      <c r="A2248">
        <f>HYPERLINK("https://www.philgeps.gov.ph/GEPSNONPILOT/Tender/SplashBidNoticeAbstractUI.aspx?menuIndex=3&amp;refID=7046932&amp;Result=3","7046932")</f>
        <v>0</v>
      </c>
      <c r="B2248" t="s">
        <v>826</v>
      </c>
      <c r="C2248" t="s">
        <v>4840</v>
      </c>
      <c r="D2248" t="s">
        <v>12998</v>
      </c>
      <c r="E2248" t="s">
        <v>14153</v>
      </c>
      <c r="F2248" t="s">
        <v>22436</v>
      </c>
      <c r="G2248" t="s">
        <v>22446</v>
      </c>
      <c r="H2248" t="s">
        <v>22452</v>
      </c>
      <c r="I2248" t="s">
        <v>22486</v>
      </c>
      <c r="J2248" t="s">
        <v>22700</v>
      </c>
      <c r="K2248" t="s">
        <v>29356</v>
      </c>
      <c r="M2248" t="s">
        <v>30494</v>
      </c>
      <c r="N2248" t="s">
        <v>32524</v>
      </c>
      <c r="O2248" t="s">
        <v>32525</v>
      </c>
      <c r="P2248">
        <v>0</v>
      </c>
      <c r="Q2248">
        <v>1</v>
      </c>
      <c r="R2248" t="s">
        <v>32526</v>
      </c>
      <c r="S2248" t="s">
        <v>32547</v>
      </c>
      <c r="T2248" t="s">
        <v>33313</v>
      </c>
      <c r="U2248" t="s">
        <v>35539</v>
      </c>
      <c r="W2248" t="s">
        <v>30494</v>
      </c>
      <c r="X2248" t="s">
        <v>32527</v>
      </c>
    </row>
    <row r="2249" spans="1:24">
      <c r="A2249">
        <f>HYPERLINK("https://www.philgeps.gov.ph/GEPSNONPILOT/Tender/SplashBidNoticeAbstractUI.aspx?menuIndex=3&amp;refID=7046933&amp;Result=3","7046933")</f>
        <v>0</v>
      </c>
      <c r="B2249" t="s">
        <v>879</v>
      </c>
      <c r="C2249" t="s">
        <v>4841</v>
      </c>
      <c r="D2249" t="s">
        <v>12988</v>
      </c>
      <c r="E2249" t="s">
        <v>15114</v>
      </c>
      <c r="F2249" t="s">
        <v>22436</v>
      </c>
      <c r="G2249" t="s">
        <v>22443</v>
      </c>
      <c r="H2249" t="s">
        <v>22452</v>
      </c>
      <c r="I2249" t="s">
        <v>22502</v>
      </c>
      <c r="J2249" t="s">
        <v>23076</v>
      </c>
      <c r="K2249" t="s">
        <v>29338</v>
      </c>
      <c r="M2249" t="s">
        <v>30487</v>
      </c>
      <c r="N2249" t="s">
        <v>32524</v>
      </c>
      <c r="O2249" t="s">
        <v>32525</v>
      </c>
      <c r="P2249">
        <v>0</v>
      </c>
      <c r="Q2249">
        <v>5</v>
      </c>
      <c r="R2249" t="s">
        <v>32526</v>
      </c>
      <c r="S2249" t="s">
        <v>32547</v>
      </c>
      <c r="T2249" t="s">
        <v>33230</v>
      </c>
      <c r="U2249" t="s">
        <v>35503</v>
      </c>
      <c r="W2249" t="s">
        <v>30487</v>
      </c>
      <c r="X2249" t="s">
        <v>32527</v>
      </c>
    </row>
    <row r="2250" spans="1:24">
      <c r="A2250">
        <f>HYPERLINK("https://www.philgeps.gov.ph/GEPSNONPILOT/Tender/SplashBidNoticeAbstractUI.aspx?menuIndex=3&amp;refID=7046949&amp;Result=3","7046949")</f>
        <v>0</v>
      </c>
      <c r="B2250" t="s">
        <v>884</v>
      </c>
      <c r="C2250" t="s">
        <v>4842</v>
      </c>
      <c r="D2250" t="s">
        <v>12988</v>
      </c>
      <c r="E2250" t="s">
        <v>15115</v>
      </c>
      <c r="F2250" t="s">
        <v>22436</v>
      </c>
      <c r="G2250" t="s">
        <v>22445</v>
      </c>
      <c r="H2250" t="s">
        <v>22452</v>
      </c>
      <c r="I2250" t="s">
        <v>22460</v>
      </c>
      <c r="J2250" t="s">
        <v>24162</v>
      </c>
      <c r="K2250" t="s">
        <v>29340</v>
      </c>
      <c r="M2250" t="s">
        <v>30495</v>
      </c>
      <c r="N2250" t="s">
        <v>32524</v>
      </c>
      <c r="O2250" t="s">
        <v>32525</v>
      </c>
      <c r="P2250">
        <v>0</v>
      </c>
      <c r="Q2250">
        <v>3</v>
      </c>
      <c r="R2250" t="s">
        <v>32526</v>
      </c>
      <c r="S2250" t="s">
        <v>32547</v>
      </c>
      <c r="T2250" t="s">
        <v>33169</v>
      </c>
      <c r="U2250" t="s">
        <v>35529</v>
      </c>
      <c r="V2250" t="s">
        <v>42638</v>
      </c>
      <c r="W2250" t="s">
        <v>30495</v>
      </c>
      <c r="X2250" t="s">
        <v>32527</v>
      </c>
    </row>
    <row r="2251" spans="1:24">
      <c r="A2251">
        <f>HYPERLINK("https://www.philgeps.gov.ph/GEPSNONPILOT/Tender/SplashBidNoticeAbstractUI.aspx?menuIndex=3&amp;refID=7046945&amp;Result=3","7046945")</f>
        <v>0</v>
      </c>
      <c r="B2251" t="s">
        <v>879</v>
      </c>
      <c r="C2251" t="s">
        <v>3161</v>
      </c>
      <c r="D2251" t="s">
        <v>12988</v>
      </c>
      <c r="E2251" t="s">
        <v>15116</v>
      </c>
      <c r="F2251" t="s">
        <v>22436</v>
      </c>
      <c r="G2251" t="s">
        <v>22443</v>
      </c>
      <c r="H2251" t="s">
        <v>22452</v>
      </c>
      <c r="I2251" t="s">
        <v>22502</v>
      </c>
      <c r="J2251" t="s">
        <v>24163</v>
      </c>
      <c r="K2251" t="s">
        <v>29338</v>
      </c>
      <c r="M2251" t="s">
        <v>30487</v>
      </c>
      <c r="N2251" t="s">
        <v>32524</v>
      </c>
      <c r="O2251" t="s">
        <v>32525</v>
      </c>
      <c r="P2251">
        <v>0</v>
      </c>
      <c r="Q2251">
        <v>11</v>
      </c>
      <c r="R2251" t="s">
        <v>32526</v>
      </c>
      <c r="S2251" t="s">
        <v>32547</v>
      </c>
      <c r="T2251" t="s">
        <v>33230</v>
      </c>
      <c r="U2251" t="s">
        <v>35503</v>
      </c>
      <c r="W2251" t="s">
        <v>30487</v>
      </c>
      <c r="X2251" t="s">
        <v>32527</v>
      </c>
    </row>
    <row r="2252" spans="1:24">
      <c r="A2252">
        <f>HYPERLINK("https://www.philgeps.gov.ph/GEPSNONPILOT/Tender/SplashBidNoticeAbstractUI.aspx?menuIndex=3&amp;refID=7046954&amp;Result=3","7046954")</f>
        <v>0</v>
      </c>
      <c r="B2252" t="s">
        <v>885</v>
      </c>
      <c r="C2252" t="s">
        <v>4843</v>
      </c>
      <c r="D2252" t="s">
        <v>12999</v>
      </c>
      <c r="E2252" t="s">
        <v>15117</v>
      </c>
      <c r="F2252" t="s">
        <v>22436</v>
      </c>
      <c r="G2252" t="s">
        <v>22444</v>
      </c>
      <c r="H2252" t="s">
        <v>22454</v>
      </c>
      <c r="I2252" t="s">
        <v>7738</v>
      </c>
      <c r="J2252" t="s">
        <v>24164</v>
      </c>
      <c r="K2252" t="s">
        <v>29333</v>
      </c>
      <c r="M2252" t="s">
        <v>30496</v>
      </c>
      <c r="N2252" t="s">
        <v>32524</v>
      </c>
      <c r="O2252" t="s">
        <v>32525</v>
      </c>
      <c r="P2252">
        <v>0</v>
      </c>
      <c r="Q2252">
        <v>0</v>
      </c>
      <c r="R2252" t="s">
        <v>32526</v>
      </c>
      <c r="S2252" t="s">
        <v>32547</v>
      </c>
      <c r="T2252" t="s">
        <v>33361</v>
      </c>
      <c r="U2252" t="s">
        <v>35540</v>
      </c>
      <c r="W2252" t="s">
        <v>30496</v>
      </c>
      <c r="X2252" t="s">
        <v>32527</v>
      </c>
    </row>
    <row r="2253" spans="1:24">
      <c r="A2253">
        <f>HYPERLINK("https://www.philgeps.gov.ph/GEPSNONPILOT/Tender/SplashBidNoticeAbstractUI.aspx?menuIndex=3&amp;refID=7046946&amp;Result=3","7046946")</f>
        <v>0</v>
      </c>
      <c r="B2253" t="s">
        <v>875</v>
      </c>
      <c r="C2253" t="s">
        <v>4844</v>
      </c>
      <c r="D2253" t="s">
        <v>13007</v>
      </c>
      <c r="E2253" t="s">
        <v>15118</v>
      </c>
      <c r="F2253" t="s">
        <v>22436</v>
      </c>
      <c r="G2253" t="s">
        <v>22443</v>
      </c>
      <c r="H2253" t="s">
        <v>22452</v>
      </c>
      <c r="I2253" t="s">
        <v>3529</v>
      </c>
      <c r="J2253" t="s">
        <v>24165</v>
      </c>
      <c r="K2253" t="s">
        <v>29341</v>
      </c>
      <c r="M2253" t="s">
        <v>30483</v>
      </c>
      <c r="N2253" t="s">
        <v>32524</v>
      </c>
      <c r="O2253" t="s">
        <v>32525</v>
      </c>
      <c r="P2253">
        <v>0</v>
      </c>
      <c r="Q2253">
        <v>0</v>
      </c>
      <c r="R2253" t="s">
        <v>32526</v>
      </c>
      <c r="S2253" t="s">
        <v>32547</v>
      </c>
      <c r="T2253" t="s">
        <v>33196</v>
      </c>
      <c r="U2253" t="s">
        <v>35541</v>
      </c>
      <c r="W2253" t="s">
        <v>30483</v>
      </c>
      <c r="X2253" t="s">
        <v>32527</v>
      </c>
    </row>
    <row r="2254" spans="1:24">
      <c r="A2254">
        <f>HYPERLINK("https://www.philgeps.gov.ph/GEPSNONPILOT/Tender/SplashBidNoticeAbstractUI.aspx?menuIndex=3&amp;refID=7046944&amp;Result=3","7046944")</f>
        <v>0</v>
      </c>
      <c r="B2254" t="s">
        <v>880</v>
      </c>
      <c r="C2254" t="s">
        <v>4845</v>
      </c>
      <c r="D2254" t="s">
        <v>13066</v>
      </c>
      <c r="E2254" t="s">
        <v>15119</v>
      </c>
      <c r="F2254" t="s">
        <v>22436</v>
      </c>
      <c r="G2254" t="s">
        <v>22443</v>
      </c>
      <c r="H2254" t="s">
        <v>22452</v>
      </c>
      <c r="I2254" t="s">
        <v>22469</v>
      </c>
      <c r="J2254" t="s">
        <v>24166</v>
      </c>
      <c r="K2254" t="s">
        <v>29338</v>
      </c>
      <c r="M2254" t="s">
        <v>30488</v>
      </c>
      <c r="N2254" t="s">
        <v>32524</v>
      </c>
      <c r="O2254" t="s">
        <v>32525</v>
      </c>
      <c r="P2254">
        <v>0</v>
      </c>
      <c r="Q2254">
        <v>1</v>
      </c>
      <c r="R2254" t="s">
        <v>32526</v>
      </c>
      <c r="S2254" t="s">
        <v>32547</v>
      </c>
      <c r="T2254" t="s">
        <v>33167</v>
      </c>
      <c r="U2254" t="s">
        <v>35518</v>
      </c>
      <c r="W2254" t="s">
        <v>43700</v>
      </c>
      <c r="X2254" t="s">
        <v>32527</v>
      </c>
    </row>
    <row r="2255" spans="1:24">
      <c r="A2255">
        <f>HYPERLINK("https://www.philgeps.gov.ph/GEPSNONPILOT/Tender/SplashBidNoticeAbstractUI.aspx?menuIndex=3&amp;refID=7046942&amp;Result=3","7046942")</f>
        <v>0</v>
      </c>
      <c r="B2255" t="s">
        <v>890</v>
      </c>
      <c r="C2255" t="s">
        <v>4846</v>
      </c>
      <c r="D2255" t="s">
        <v>13045</v>
      </c>
      <c r="E2255" t="s">
        <v>15120</v>
      </c>
      <c r="F2255" t="s">
        <v>22436</v>
      </c>
      <c r="G2255" t="s">
        <v>22444</v>
      </c>
      <c r="H2255" t="s">
        <v>22454</v>
      </c>
      <c r="I2255" t="s">
        <v>7738</v>
      </c>
      <c r="J2255" t="s">
        <v>24167</v>
      </c>
      <c r="K2255" t="s">
        <v>29333</v>
      </c>
      <c r="M2255" t="s">
        <v>30501</v>
      </c>
      <c r="N2255" t="s">
        <v>32524</v>
      </c>
      <c r="O2255" t="s">
        <v>32525</v>
      </c>
      <c r="P2255">
        <v>0</v>
      </c>
      <c r="Q2255">
        <v>0</v>
      </c>
      <c r="R2255" t="s">
        <v>32526</v>
      </c>
      <c r="S2255" t="s">
        <v>32547</v>
      </c>
      <c r="T2255" t="s">
        <v>33207</v>
      </c>
      <c r="U2255" t="s">
        <v>35542</v>
      </c>
      <c r="W2255" t="s">
        <v>30501</v>
      </c>
      <c r="X2255" t="s">
        <v>32527</v>
      </c>
    </row>
    <row r="2256" spans="1:24">
      <c r="A2256">
        <f>HYPERLINK("https://www.philgeps.gov.ph/GEPSNONPILOT/Tender/SplashBidNoticeAbstractUI.aspx?menuIndex=3&amp;refID=7046947&amp;Result=3","7046947")</f>
        <v>0</v>
      </c>
      <c r="B2256" t="s">
        <v>882</v>
      </c>
      <c r="C2256" t="s">
        <v>3441</v>
      </c>
      <c r="D2256" t="s">
        <v>12988</v>
      </c>
      <c r="E2256" t="s">
        <v>15121</v>
      </c>
      <c r="F2256" t="s">
        <v>22436</v>
      </c>
      <c r="G2256" t="s">
        <v>22445</v>
      </c>
      <c r="H2256" t="s">
        <v>22452</v>
      </c>
      <c r="I2256" t="s">
        <v>3827</v>
      </c>
      <c r="J2256" t="s">
        <v>22929</v>
      </c>
      <c r="K2256" t="s">
        <v>29338</v>
      </c>
      <c r="M2256" t="s">
        <v>30491</v>
      </c>
      <c r="N2256" t="s">
        <v>32524</v>
      </c>
      <c r="O2256" t="s">
        <v>32525</v>
      </c>
      <c r="P2256">
        <v>0</v>
      </c>
      <c r="Q2256">
        <v>5</v>
      </c>
      <c r="R2256" t="s">
        <v>32526</v>
      </c>
      <c r="S2256" t="s">
        <v>32547</v>
      </c>
      <c r="T2256" t="s">
        <v>33169</v>
      </c>
      <c r="U2256" t="s">
        <v>35543</v>
      </c>
      <c r="W2256" t="s">
        <v>30491</v>
      </c>
      <c r="X2256" t="s">
        <v>32527</v>
      </c>
    </row>
    <row r="2257" spans="1:24">
      <c r="A2257">
        <f>HYPERLINK("https://www.philgeps.gov.ph/GEPSNONPILOT/Tender/SplashBidNoticeAbstractUI.aspx?menuIndex=3&amp;refID=7046953&amp;Result=3","7046953")</f>
        <v>0</v>
      </c>
      <c r="B2257" t="s">
        <v>875</v>
      </c>
      <c r="C2257" t="s">
        <v>4847</v>
      </c>
      <c r="D2257" t="s">
        <v>13007</v>
      </c>
      <c r="E2257" t="s">
        <v>15122</v>
      </c>
      <c r="F2257" t="s">
        <v>22436</v>
      </c>
      <c r="G2257" t="s">
        <v>22443</v>
      </c>
      <c r="H2257" t="s">
        <v>22453</v>
      </c>
      <c r="I2257" t="s">
        <v>22463</v>
      </c>
      <c r="J2257" t="s">
        <v>24168</v>
      </c>
      <c r="K2257" t="s">
        <v>29337</v>
      </c>
      <c r="M2257" t="s">
        <v>30483</v>
      </c>
      <c r="N2257" t="s">
        <v>32524</v>
      </c>
      <c r="O2257" t="s">
        <v>32525</v>
      </c>
      <c r="P2257">
        <v>0</v>
      </c>
      <c r="Q2257">
        <v>1</v>
      </c>
      <c r="R2257" t="s">
        <v>32526</v>
      </c>
      <c r="S2257" t="s">
        <v>32547</v>
      </c>
      <c r="T2257" t="s">
        <v>33154</v>
      </c>
      <c r="U2257" t="s">
        <v>35544</v>
      </c>
      <c r="W2257" t="s">
        <v>30483</v>
      </c>
      <c r="X2257" t="s">
        <v>32527</v>
      </c>
    </row>
    <row r="2258" spans="1:24">
      <c r="A2258">
        <f>HYPERLINK("https://www.philgeps.gov.ph/GEPSNONPILOT/Tender/SplashBidNoticeAbstractUI.aspx?menuIndex=3&amp;refID=7046955&amp;Result=3","7046955")</f>
        <v>0</v>
      </c>
      <c r="B2258" t="s">
        <v>891</v>
      </c>
      <c r="C2258" t="s">
        <v>4848</v>
      </c>
      <c r="D2258" t="s">
        <v>13006</v>
      </c>
      <c r="E2258" t="s">
        <v>15123</v>
      </c>
      <c r="F2258" t="s">
        <v>22436</v>
      </c>
      <c r="G2258" t="s">
        <v>22444</v>
      </c>
      <c r="H2258" t="s">
        <v>22452</v>
      </c>
      <c r="I2258" t="s">
        <v>22474</v>
      </c>
      <c r="J2258" t="s">
        <v>24169</v>
      </c>
      <c r="K2258" t="s">
        <v>29335</v>
      </c>
      <c r="M2258" t="s">
        <v>30502</v>
      </c>
      <c r="N2258" t="s">
        <v>32524</v>
      </c>
      <c r="O2258" t="s">
        <v>32525</v>
      </c>
      <c r="P2258">
        <v>0</v>
      </c>
      <c r="Q2258">
        <v>4</v>
      </c>
      <c r="R2258" t="s">
        <v>32526</v>
      </c>
      <c r="S2258" t="s">
        <v>32547</v>
      </c>
      <c r="T2258" t="s">
        <v>33266</v>
      </c>
      <c r="U2258" t="s">
        <v>35545</v>
      </c>
      <c r="W2258" t="s">
        <v>30502</v>
      </c>
      <c r="X2258" t="s">
        <v>32527</v>
      </c>
    </row>
    <row r="2259" spans="1:24">
      <c r="A2259">
        <f>HYPERLINK("https://www.philgeps.gov.ph/GEPSNONPILOT/Tender/SplashBidNoticeAbstractUI.aspx?menuIndex=3&amp;refID=7046943&amp;Result=3","7046943")</f>
        <v>0</v>
      </c>
      <c r="B2259" t="s">
        <v>892</v>
      </c>
      <c r="C2259" t="s">
        <v>4849</v>
      </c>
      <c r="D2259" t="s">
        <v>13032</v>
      </c>
      <c r="E2259" t="s">
        <v>15124</v>
      </c>
      <c r="F2259" t="s">
        <v>22436</v>
      </c>
      <c r="G2259" t="s">
        <v>22446</v>
      </c>
      <c r="H2259" t="s">
        <v>22452</v>
      </c>
      <c r="I2259" t="s">
        <v>22527</v>
      </c>
      <c r="J2259" t="s">
        <v>24170</v>
      </c>
      <c r="K2259" t="s">
        <v>29336</v>
      </c>
      <c r="M2259" t="s">
        <v>30503</v>
      </c>
      <c r="N2259" t="s">
        <v>32524</v>
      </c>
      <c r="O2259" t="s">
        <v>32525</v>
      </c>
      <c r="P2259">
        <v>0</v>
      </c>
      <c r="Q2259">
        <v>0</v>
      </c>
      <c r="R2259" t="s">
        <v>32526</v>
      </c>
      <c r="S2259" t="s">
        <v>32547</v>
      </c>
      <c r="T2259" t="s">
        <v>33155</v>
      </c>
      <c r="U2259" t="s">
        <v>35546</v>
      </c>
      <c r="W2259" t="s">
        <v>30503</v>
      </c>
      <c r="X2259" t="s">
        <v>32527</v>
      </c>
    </row>
    <row r="2260" spans="1:24">
      <c r="A2260">
        <f>HYPERLINK("https://www.philgeps.gov.ph/GEPSNONPILOT/Tender/SplashBidNoticeAbstractUI.aspx?menuIndex=3&amp;refID=7046959&amp;Result=3","7046959")</f>
        <v>0</v>
      </c>
      <c r="B2260" t="s">
        <v>879</v>
      </c>
      <c r="C2260" t="s">
        <v>4850</v>
      </c>
      <c r="D2260" t="s">
        <v>12988</v>
      </c>
      <c r="E2260" t="s">
        <v>15125</v>
      </c>
      <c r="F2260" t="s">
        <v>22436</v>
      </c>
      <c r="G2260" t="s">
        <v>22443</v>
      </c>
      <c r="H2260" t="s">
        <v>22452</v>
      </c>
      <c r="I2260" t="s">
        <v>22502</v>
      </c>
      <c r="J2260" t="s">
        <v>22654</v>
      </c>
      <c r="K2260" t="s">
        <v>29338</v>
      </c>
      <c r="M2260" t="s">
        <v>30487</v>
      </c>
      <c r="N2260" t="s">
        <v>32524</v>
      </c>
      <c r="O2260" t="s">
        <v>32525</v>
      </c>
      <c r="P2260">
        <v>0</v>
      </c>
      <c r="Q2260">
        <v>11</v>
      </c>
      <c r="R2260" t="s">
        <v>32526</v>
      </c>
      <c r="S2260" t="s">
        <v>32547</v>
      </c>
      <c r="T2260" t="s">
        <v>33230</v>
      </c>
      <c r="U2260" t="s">
        <v>35503</v>
      </c>
      <c r="W2260" t="s">
        <v>30487</v>
      </c>
      <c r="X2260" t="s">
        <v>32527</v>
      </c>
    </row>
    <row r="2261" spans="1:24">
      <c r="A2261">
        <f>HYPERLINK("https://www.philgeps.gov.ph/GEPSNONPILOT/Tender/SplashBidNoticeAbstractUI.aspx?menuIndex=3&amp;refID=7046956&amp;Result=3","7046956")</f>
        <v>0</v>
      </c>
      <c r="B2261" t="s">
        <v>858</v>
      </c>
      <c r="C2261" t="s">
        <v>4851</v>
      </c>
      <c r="D2261" t="s">
        <v>12988</v>
      </c>
      <c r="E2261" t="s">
        <v>15126</v>
      </c>
      <c r="F2261" t="s">
        <v>22436</v>
      </c>
      <c r="G2261" t="s">
        <v>22443</v>
      </c>
      <c r="H2261" t="s">
        <v>22452</v>
      </c>
      <c r="I2261" t="s">
        <v>22463</v>
      </c>
      <c r="J2261" t="s">
        <v>24171</v>
      </c>
      <c r="K2261" t="s">
        <v>29338</v>
      </c>
      <c r="M2261" t="s">
        <v>30465</v>
      </c>
      <c r="N2261" t="s">
        <v>32524</v>
      </c>
      <c r="O2261" t="s">
        <v>32525</v>
      </c>
      <c r="P2261">
        <v>0</v>
      </c>
      <c r="Q2261">
        <v>2</v>
      </c>
      <c r="R2261" t="s">
        <v>32526</v>
      </c>
      <c r="S2261" t="s">
        <v>32547</v>
      </c>
      <c r="T2261" t="s">
        <v>33215</v>
      </c>
      <c r="U2261" t="s">
        <v>35473</v>
      </c>
      <c r="W2261" t="s">
        <v>30465</v>
      </c>
      <c r="X2261" t="s">
        <v>32527</v>
      </c>
    </row>
    <row r="2262" spans="1:24">
      <c r="A2262">
        <f>HYPERLINK("https://www.philgeps.gov.ph/GEPSNONPILOT/Tender/SplashBidNoticeAbstractUI.aspx?menuIndex=3&amp;refID=7046941&amp;Result=3","7046941")</f>
        <v>0</v>
      </c>
      <c r="B2262" t="s">
        <v>880</v>
      </c>
      <c r="C2262" t="s">
        <v>4852</v>
      </c>
      <c r="D2262" t="s">
        <v>13066</v>
      </c>
      <c r="E2262" t="s">
        <v>15127</v>
      </c>
      <c r="F2262" t="s">
        <v>22436</v>
      </c>
      <c r="G2262" t="s">
        <v>22443</v>
      </c>
      <c r="H2262" t="s">
        <v>22452</v>
      </c>
      <c r="I2262" t="s">
        <v>22469</v>
      </c>
      <c r="J2262" t="s">
        <v>24172</v>
      </c>
      <c r="K2262" t="s">
        <v>29338</v>
      </c>
      <c r="M2262" t="s">
        <v>30488</v>
      </c>
      <c r="N2262" t="s">
        <v>32524</v>
      </c>
      <c r="O2262" t="s">
        <v>32525</v>
      </c>
      <c r="P2262">
        <v>0</v>
      </c>
      <c r="Q2262">
        <v>0</v>
      </c>
      <c r="R2262" t="s">
        <v>32526</v>
      </c>
      <c r="S2262" t="s">
        <v>32547</v>
      </c>
      <c r="T2262" t="s">
        <v>33167</v>
      </c>
      <c r="U2262" t="s">
        <v>35547</v>
      </c>
      <c r="W2262" t="s">
        <v>43700</v>
      </c>
      <c r="X2262" t="s">
        <v>32527</v>
      </c>
    </row>
    <row r="2263" spans="1:24">
      <c r="A2263">
        <f>HYPERLINK("https://www.philgeps.gov.ph/GEPSNONPILOT/Tender/SplashBidNoticeAbstractUI.aspx?menuIndex=3&amp;refID=7046966&amp;Result=3","7046966")</f>
        <v>0</v>
      </c>
      <c r="B2263" t="s">
        <v>893</v>
      </c>
      <c r="C2263" t="s">
        <v>4853</v>
      </c>
      <c r="D2263" t="s">
        <v>13043</v>
      </c>
      <c r="E2263" t="s">
        <v>15128</v>
      </c>
      <c r="F2263" t="s">
        <v>22436</v>
      </c>
      <c r="G2263" t="s">
        <v>22445</v>
      </c>
      <c r="H2263" t="s">
        <v>22452</v>
      </c>
      <c r="I2263" t="s">
        <v>22469</v>
      </c>
      <c r="J2263" t="s">
        <v>23120</v>
      </c>
      <c r="K2263" t="s">
        <v>29331</v>
      </c>
      <c r="M2263" t="s">
        <v>30504</v>
      </c>
      <c r="N2263" t="s">
        <v>32524</v>
      </c>
      <c r="O2263" t="s">
        <v>32525</v>
      </c>
      <c r="P2263">
        <v>0</v>
      </c>
      <c r="Q2263">
        <v>2</v>
      </c>
      <c r="R2263" t="s">
        <v>32526</v>
      </c>
      <c r="S2263" t="s">
        <v>32547</v>
      </c>
      <c r="T2263" t="s">
        <v>33154</v>
      </c>
      <c r="U2263" t="s">
        <v>35548</v>
      </c>
      <c r="W2263" t="s">
        <v>30504</v>
      </c>
      <c r="X2263" t="s">
        <v>32527</v>
      </c>
    </row>
    <row r="2264" spans="1:24">
      <c r="A2264">
        <f>HYPERLINK("https://www.philgeps.gov.ph/GEPSNONPILOT/Tender/SplashBidNoticeAbstractUI.aspx?menuIndex=3&amp;refID=7046961&amp;Result=3","7046961")</f>
        <v>0</v>
      </c>
      <c r="B2264" t="s">
        <v>875</v>
      </c>
      <c r="C2264" t="s">
        <v>4854</v>
      </c>
      <c r="D2264" t="s">
        <v>13007</v>
      </c>
      <c r="E2264" t="s">
        <v>15129</v>
      </c>
      <c r="F2264" t="s">
        <v>22436</v>
      </c>
      <c r="G2264" t="s">
        <v>22443</v>
      </c>
      <c r="H2264" t="s">
        <v>22453</v>
      </c>
      <c r="I2264" t="s">
        <v>22466</v>
      </c>
      <c r="J2264" t="s">
        <v>24173</v>
      </c>
      <c r="K2264" t="s">
        <v>29337</v>
      </c>
      <c r="M2264" t="s">
        <v>30483</v>
      </c>
      <c r="N2264" t="s">
        <v>32524</v>
      </c>
      <c r="O2264" t="s">
        <v>32525</v>
      </c>
      <c r="P2264">
        <v>0</v>
      </c>
      <c r="Q2264">
        <v>1</v>
      </c>
      <c r="R2264" t="s">
        <v>32526</v>
      </c>
      <c r="S2264" t="s">
        <v>32547</v>
      </c>
      <c r="T2264" t="s">
        <v>33196</v>
      </c>
      <c r="U2264" t="s">
        <v>35549</v>
      </c>
      <c r="W2264" t="s">
        <v>30483</v>
      </c>
      <c r="X2264" t="s">
        <v>32527</v>
      </c>
    </row>
    <row r="2265" spans="1:24">
      <c r="A2265">
        <f>HYPERLINK("https://www.philgeps.gov.ph/GEPSNONPILOT/Tender/SplashBidNoticeAbstractUI.aspx?menuIndex=3&amp;refID=7046964&amp;Result=3","7046964")</f>
        <v>0</v>
      </c>
      <c r="B2265" t="s">
        <v>879</v>
      </c>
      <c r="C2265" t="s">
        <v>3161</v>
      </c>
      <c r="D2265" t="s">
        <v>12988</v>
      </c>
      <c r="E2265" t="s">
        <v>15130</v>
      </c>
      <c r="F2265" t="s">
        <v>22436</v>
      </c>
      <c r="G2265" t="s">
        <v>22443</v>
      </c>
      <c r="H2265" t="s">
        <v>22452</v>
      </c>
      <c r="I2265" t="s">
        <v>22502</v>
      </c>
      <c r="J2265" t="s">
        <v>24174</v>
      </c>
      <c r="K2265" t="s">
        <v>29338</v>
      </c>
      <c r="M2265" t="s">
        <v>30487</v>
      </c>
      <c r="N2265" t="s">
        <v>32524</v>
      </c>
      <c r="O2265" t="s">
        <v>32525</v>
      </c>
      <c r="P2265">
        <v>0</v>
      </c>
      <c r="Q2265">
        <v>12</v>
      </c>
      <c r="R2265" t="s">
        <v>32526</v>
      </c>
      <c r="S2265" t="s">
        <v>32547</v>
      </c>
      <c r="T2265" t="s">
        <v>33230</v>
      </c>
      <c r="U2265" t="s">
        <v>35503</v>
      </c>
      <c r="W2265" t="s">
        <v>30487</v>
      </c>
      <c r="X2265" t="s">
        <v>32527</v>
      </c>
    </row>
    <row r="2266" spans="1:24">
      <c r="A2266">
        <f>HYPERLINK("https://www.philgeps.gov.ph/GEPSNONPILOT/Tender/SplashBidNoticeAbstractUI.aspx?menuIndex=3&amp;refID=7046970&amp;Result=3","7046970")</f>
        <v>0</v>
      </c>
      <c r="B2266" t="s">
        <v>894</v>
      </c>
      <c r="C2266" t="s">
        <v>4855</v>
      </c>
      <c r="D2266" t="s">
        <v>12988</v>
      </c>
      <c r="E2266" t="s">
        <v>15131</v>
      </c>
      <c r="F2266" t="s">
        <v>22437</v>
      </c>
      <c r="G2266" t="s">
        <v>22448</v>
      </c>
      <c r="H2266" t="s">
        <v>22452</v>
      </c>
      <c r="I2266" t="s">
        <v>22512</v>
      </c>
      <c r="J2266" t="s">
        <v>23093</v>
      </c>
      <c r="K2266" t="s">
        <v>29357</v>
      </c>
      <c r="M2266" t="s">
        <v>30505</v>
      </c>
      <c r="N2266" t="s">
        <v>32524</v>
      </c>
      <c r="O2266" t="s">
        <v>32525</v>
      </c>
      <c r="P2266">
        <v>0</v>
      </c>
      <c r="Q2266">
        <v>2</v>
      </c>
      <c r="R2266" t="s">
        <v>32526</v>
      </c>
      <c r="S2266" t="s">
        <v>32547</v>
      </c>
      <c r="T2266" t="s">
        <v>33163</v>
      </c>
      <c r="U2266" t="s">
        <v>35550</v>
      </c>
      <c r="W2266" t="s">
        <v>30505</v>
      </c>
      <c r="X2266" t="s">
        <v>32527</v>
      </c>
    </row>
    <row r="2267" spans="1:24">
      <c r="A2267">
        <f>HYPERLINK("https://www.philgeps.gov.ph/GEPSNONPILOT/Tender/SplashBidNoticeAbstractUI.aspx?menuIndex=3&amp;refID=7046965&amp;Result=3","7046965")</f>
        <v>0</v>
      </c>
      <c r="B2267" t="s">
        <v>882</v>
      </c>
      <c r="C2267" t="s">
        <v>3441</v>
      </c>
      <c r="D2267" t="s">
        <v>12988</v>
      </c>
      <c r="E2267" t="s">
        <v>15132</v>
      </c>
      <c r="F2267" t="s">
        <v>22436</v>
      </c>
      <c r="G2267" t="s">
        <v>22445</v>
      </c>
      <c r="H2267" t="s">
        <v>22452</v>
      </c>
      <c r="I2267" t="s">
        <v>3827</v>
      </c>
      <c r="J2267" t="s">
        <v>22800</v>
      </c>
      <c r="K2267" t="s">
        <v>29338</v>
      </c>
      <c r="M2267" t="s">
        <v>30491</v>
      </c>
      <c r="N2267" t="s">
        <v>32524</v>
      </c>
      <c r="O2267" t="s">
        <v>32525</v>
      </c>
      <c r="P2267">
        <v>0</v>
      </c>
      <c r="Q2267">
        <v>5</v>
      </c>
      <c r="R2267" t="s">
        <v>32526</v>
      </c>
      <c r="S2267" t="s">
        <v>32547</v>
      </c>
      <c r="T2267" t="s">
        <v>33169</v>
      </c>
      <c r="U2267" t="s">
        <v>35551</v>
      </c>
      <c r="W2267" t="s">
        <v>30491</v>
      </c>
      <c r="X2267" t="s">
        <v>32527</v>
      </c>
    </row>
    <row r="2268" spans="1:24">
      <c r="A2268">
        <f>HYPERLINK("https://www.philgeps.gov.ph/GEPSNONPILOT/Tender/SplashBidNoticeAbstractUI.aspx?menuIndex=3&amp;refID=7046958&amp;Result=3","7046958")</f>
        <v>0</v>
      </c>
      <c r="B2268" t="s">
        <v>895</v>
      </c>
      <c r="C2268" t="s">
        <v>4856</v>
      </c>
      <c r="D2268" t="s">
        <v>12999</v>
      </c>
      <c r="E2268" t="s">
        <v>15133</v>
      </c>
      <c r="F2268" t="s">
        <v>22436</v>
      </c>
      <c r="G2268" t="s">
        <v>22446</v>
      </c>
      <c r="H2268" t="s">
        <v>22452</v>
      </c>
      <c r="I2268" t="s">
        <v>22465</v>
      </c>
      <c r="J2268" t="s">
        <v>22724</v>
      </c>
      <c r="K2268" t="s">
        <v>29357</v>
      </c>
      <c r="M2268" t="s">
        <v>30506</v>
      </c>
      <c r="N2268" t="s">
        <v>32524</v>
      </c>
      <c r="O2268" t="s">
        <v>32525</v>
      </c>
      <c r="P2268">
        <v>0</v>
      </c>
      <c r="Q2268">
        <v>0</v>
      </c>
      <c r="R2268" t="s">
        <v>32526</v>
      </c>
      <c r="S2268" t="s">
        <v>32547</v>
      </c>
      <c r="T2268" t="s">
        <v>33296</v>
      </c>
      <c r="U2268" t="s">
        <v>35552</v>
      </c>
      <c r="V2268" t="s">
        <v>42641</v>
      </c>
      <c r="W2268" t="s">
        <v>30506</v>
      </c>
      <c r="X2268" t="s">
        <v>32527</v>
      </c>
    </row>
    <row r="2269" spans="1:24">
      <c r="A2269">
        <f>HYPERLINK("https://www.philgeps.gov.ph/GEPSNONPILOT/Tender/SplashBidNoticeAbstractUI.aspx?menuIndex=3&amp;refID=7046963&amp;Result=3","7046963")</f>
        <v>0</v>
      </c>
      <c r="B2269" t="s">
        <v>896</v>
      </c>
      <c r="C2269" t="s">
        <v>4857</v>
      </c>
      <c r="D2269" t="s">
        <v>12992</v>
      </c>
      <c r="E2269" t="s">
        <v>15134</v>
      </c>
      <c r="F2269" t="s">
        <v>22436</v>
      </c>
      <c r="G2269" t="s">
        <v>22444</v>
      </c>
      <c r="H2269" t="s">
        <v>22452</v>
      </c>
      <c r="I2269" t="s">
        <v>22460</v>
      </c>
      <c r="J2269" t="s">
        <v>24175</v>
      </c>
      <c r="K2269" t="s">
        <v>29331</v>
      </c>
      <c r="M2269" t="s">
        <v>30507</v>
      </c>
      <c r="N2269" t="s">
        <v>32524</v>
      </c>
      <c r="O2269" t="s">
        <v>32525</v>
      </c>
      <c r="P2269">
        <v>0</v>
      </c>
      <c r="Q2269">
        <v>0</v>
      </c>
      <c r="R2269" t="s">
        <v>32526</v>
      </c>
      <c r="S2269" t="s">
        <v>32547</v>
      </c>
      <c r="T2269" t="s">
        <v>33155</v>
      </c>
      <c r="U2269" t="s">
        <v>35553</v>
      </c>
      <c r="W2269" t="s">
        <v>30507</v>
      </c>
      <c r="X2269" t="s">
        <v>32527</v>
      </c>
    </row>
    <row r="2270" spans="1:24">
      <c r="A2270">
        <f>HYPERLINK("https://www.philgeps.gov.ph/GEPSNONPILOT/Tender/SplashBidNoticeAbstractUI.aspx?menuIndex=3&amp;refID=7046962&amp;Result=3","7046962")</f>
        <v>0</v>
      </c>
      <c r="B2270" t="s">
        <v>216</v>
      </c>
      <c r="C2270" t="s">
        <v>4858</v>
      </c>
      <c r="D2270" t="s">
        <v>13000</v>
      </c>
      <c r="E2270" t="s">
        <v>15135</v>
      </c>
      <c r="F2270" t="s">
        <v>22436</v>
      </c>
      <c r="G2270" t="s">
        <v>22444</v>
      </c>
      <c r="H2270" t="s">
        <v>22452</v>
      </c>
      <c r="I2270" t="s">
        <v>22469</v>
      </c>
      <c r="J2270" t="s">
        <v>24176</v>
      </c>
      <c r="K2270" t="s">
        <v>29388</v>
      </c>
      <c r="M2270" t="s">
        <v>29789</v>
      </c>
      <c r="N2270" t="s">
        <v>32524</v>
      </c>
      <c r="O2270" t="s">
        <v>32525</v>
      </c>
      <c r="P2270">
        <v>0</v>
      </c>
      <c r="Q2270">
        <v>13</v>
      </c>
      <c r="R2270" t="s">
        <v>32526</v>
      </c>
      <c r="S2270" t="s">
        <v>32547</v>
      </c>
      <c r="T2270" t="s">
        <v>33345</v>
      </c>
      <c r="U2270" t="s">
        <v>35554</v>
      </c>
      <c r="W2270" t="s">
        <v>29789</v>
      </c>
      <c r="X2270" t="s">
        <v>32527</v>
      </c>
    </row>
    <row r="2271" spans="1:24">
      <c r="A2271">
        <f>HYPERLINK("https://www.philgeps.gov.ph/GEPSNONPILOT/Tender/SplashBidNoticeAbstractUI.aspx?menuIndex=3&amp;refID=7046960&amp;Result=3","7046960")</f>
        <v>0</v>
      </c>
      <c r="B2271" t="s">
        <v>894</v>
      </c>
      <c r="C2271" t="s">
        <v>4859</v>
      </c>
      <c r="D2271" t="s">
        <v>12988</v>
      </c>
      <c r="E2271" t="s">
        <v>15136</v>
      </c>
      <c r="F2271" t="s">
        <v>22437</v>
      </c>
      <c r="G2271" t="s">
        <v>22448</v>
      </c>
      <c r="H2271" t="s">
        <v>22452</v>
      </c>
      <c r="I2271" t="s">
        <v>22504</v>
      </c>
      <c r="J2271" t="s">
        <v>22911</v>
      </c>
      <c r="K2271" t="s">
        <v>29357</v>
      </c>
      <c r="M2271" t="s">
        <v>30505</v>
      </c>
      <c r="N2271" t="s">
        <v>32524</v>
      </c>
      <c r="O2271" t="s">
        <v>32525</v>
      </c>
      <c r="P2271">
        <v>0</v>
      </c>
      <c r="Q2271">
        <v>4</v>
      </c>
      <c r="R2271" t="s">
        <v>32526</v>
      </c>
      <c r="S2271" t="s">
        <v>32547</v>
      </c>
      <c r="T2271" t="s">
        <v>33163</v>
      </c>
      <c r="U2271" t="s">
        <v>35555</v>
      </c>
      <c r="W2271" t="s">
        <v>30505</v>
      </c>
      <c r="X2271" t="s">
        <v>32527</v>
      </c>
    </row>
    <row r="2272" spans="1:24">
      <c r="A2272">
        <f>HYPERLINK("https://www.philgeps.gov.ph/GEPSNONPILOT/Tender/SplashBidNoticeAbstractUI.aspx?menuIndex=3&amp;refID=7046971&amp;Result=3","7046971")</f>
        <v>0</v>
      </c>
      <c r="B2272" t="s">
        <v>882</v>
      </c>
      <c r="C2272" t="s">
        <v>4860</v>
      </c>
      <c r="D2272" t="s">
        <v>12988</v>
      </c>
      <c r="E2272" t="s">
        <v>15137</v>
      </c>
      <c r="F2272" t="s">
        <v>22436</v>
      </c>
      <c r="G2272" t="s">
        <v>22443</v>
      </c>
      <c r="H2272" t="s">
        <v>22452</v>
      </c>
      <c r="I2272" t="s">
        <v>22472</v>
      </c>
      <c r="J2272" t="s">
        <v>24177</v>
      </c>
      <c r="K2272" t="s">
        <v>29338</v>
      </c>
      <c r="M2272" t="s">
        <v>30491</v>
      </c>
      <c r="N2272" t="s">
        <v>32524</v>
      </c>
      <c r="O2272" t="s">
        <v>32525</v>
      </c>
      <c r="P2272">
        <v>0</v>
      </c>
      <c r="Q2272">
        <v>0</v>
      </c>
      <c r="R2272" t="s">
        <v>32526</v>
      </c>
      <c r="S2272" t="s">
        <v>32547</v>
      </c>
      <c r="T2272" t="s">
        <v>33169</v>
      </c>
      <c r="U2272" t="s">
        <v>35556</v>
      </c>
      <c r="W2272" t="s">
        <v>30491</v>
      </c>
      <c r="X2272" t="s">
        <v>32527</v>
      </c>
    </row>
    <row r="2273" spans="1:24">
      <c r="A2273">
        <f>HYPERLINK("https://www.philgeps.gov.ph/GEPSNONPILOT/Tender/SplashBidNoticeAbstractUI.aspx?menuIndex=3&amp;refID=7046969&amp;Result=3","7046969")</f>
        <v>0</v>
      </c>
      <c r="B2273" t="s">
        <v>897</v>
      </c>
      <c r="C2273" t="s">
        <v>4861</v>
      </c>
      <c r="D2273" t="s">
        <v>13010</v>
      </c>
      <c r="E2273" t="s">
        <v>13106</v>
      </c>
      <c r="F2273" t="s">
        <v>22436</v>
      </c>
      <c r="G2273" t="s">
        <v>22444</v>
      </c>
      <c r="H2273" t="s">
        <v>22452</v>
      </c>
      <c r="I2273" t="s">
        <v>22526</v>
      </c>
      <c r="J2273" t="s">
        <v>22669</v>
      </c>
      <c r="K2273" t="s">
        <v>29333</v>
      </c>
      <c r="M2273" t="s">
        <v>30508</v>
      </c>
      <c r="N2273" t="s">
        <v>32524</v>
      </c>
      <c r="O2273" t="s">
        <v>32525</v>
      </c>
      <c r="P2273">
        <v>0</v>
      </c>
      <c r="Q2273">
        <v>0</v>
      </c>
      <c r="R2273" t="s">
        <v>32526</v>
      </c>
      <c r="S2273" t="s">
        <v>32547</v>
      </c>
      <c r="T2273" t="s">
        <v>33362</v>
      </c>
      <c r="U2273" t="s">
        <v>35557</v>
      </c>
      <c r="V2273" t="s">
        <v>42642</v>
      </c>
      <c r="W2273" t="s">
        <v>30508</v>
      </c>
      <c r="X2273" t="s">
        <v>32527</v>
      </c>
    </row>
    <row r="2274" spans="1:24">
      <c r="A2274">
        <f>HYPERLINK("https://www.philgeps.gov.ph/GEPSNONPILOT/Tender/SplashBidNoticeAbstractUI.aspx?menuIndex=3&amp;refID=7046977&amp;Result=3","7046977")</f>
        <v>0</v>
      </c>
      <c r="B2274" t="s">
        <v>898</v>
      </c>
      <c r="C2274" t="s">
        <v>4862</v>
      </c>
      <c r="D2274" t="s">
        <v>13013</v>
      </c>
      <c r="E2274" t="s">
        <v>4862</v>
      </c>
      <c r="F2274" t="s">
        <v>22436</v>
      </c>
      <c r="G2274" t="s">
        <v>22443</v>
      </c>
      <c r="H2274" t="s">
        <v>22452</v>
      </c>
      <c r="I2274" t="s">
        <v>3529</v>
      </c>
      <c r="J2274" t="s">
        <v>24178</v>
      </c>
      <c r="K2274" t="s">
        <v>29331</v>
      </c>
      <c r="M2274" t="s">
        <v>30509</v>
      </c>
      <c r="N2274" t="s">
        <v>32524</v>
      </c>
      <c r="O2274" t="s">
        <v>32525</v>
      </c>
      <c r="P2274">
        <v>0</v>
      </c>
      <c r="Q2274">
        <v>0</v>
      </c>
      <c r="R2274" t="s">
        <v>32526</v>
      </c>
      <c r="S2274" t="s">
        <v>32547</v>
      </c>
      <c r="T2274" t="s">
        <v>33154</v>
      </c>
      <c r="U2274" t="s">
        <v>35558</v>
      </c>
      <c r="W2274" t="s">
        <v>30509</v>
      </c>
      <c r="X2274" t="s">
        <v>32527</v>
      </c>
    </row>
    <row r="2275" spans="1:24">
      <c r="A2275">
        <f>HYPERLINK("https://www.philgeps.gov.ph/GEPSNONPILOT/Tender/SplashBidNoticeAbstractUI.aspx?menuIndex=3&amp;refID=7046967&amp;Result=3","7046967")</f>
        <v>0</v>
      </c>
      <c r="B2275" t="s">
        <v>895</v>
      </c>
      <c r="C2275" t="s">
        <v>4863</v>
      </c>
      <c r="D2275" t="s">
        <v>12999</v>
      </c>
      <c r="E2275" t="s">
        <v>15138</v>
      </c>
      <c r="F2275" t="s">
        <v>22436</v>
      </c>
      <c r="G2275" t="s">
        <v>22446</v>
      </c>
      <c r="H2275" t="s">
        <v>22452</v>
      </c>
      <c r="I2275" t="s">
        <v>22465</v>
      </c>
      <c r="J2275" t="s">
        <v>24179</v>
      </c>
      <c r="K2275" t="s">
        <v>29357</v>
      </c>
      <c r="M2275" t="s">
        <v>30506</v>
      </c>
      <c r="N2275" t="s">
        <v>32524</v>
      </c>
      <c r="O2275" t="s">
        <v>32525</v>
      </c>
      <c r="P2275">
        <v>0</v>
      </c>
      <c r="Q2275">
        <v>0</v>
      </c>
      <c r="R2275" t="s">
        <v>32526</v>
      </c>
      <c r="S2275" t="s">
        <v>32547</v>
      </c>
      <c r="T2275" t="s">
        <v>33296</v>
      </c>
      <c r="U2275" t="s">
        <v>35552</v>
      </c>
      <c r="V2275" t="s">
        <v>42643</v>
      </c>
      <c r="W2275" t="s">
        <v>30506</v>
      </c>
      <c r="X2275" t="s">
        <v>32527</v>
      </c>
    </row>
    <row r="2276" spans="1:24">
      <c r="A2276">
        <f>HYPERLINK("https://www.philgeps.gov.ph/GEPSNONPILOT/Tender/SplashBidNoticeAbstractUI.aspx?menuIndex=3&amp;refID=7046957&amp;Result=3","7046957")</f>
        <v>0</v>
      </c>
      <c r="B2276" t="s">
        <v>882</v>
      </c>
      <c r="C2276" t="s">
        <v>3441</v>
      </c>
      <c r="D2276" t="s">
        <v>12988</v>
      </c>
      <c r="E2276" t="s">
        <v>15139</v>
      </c>
      <c r="F2276" t="s">
        <v>22436</v>
      </c>
      <c r="G2276" t="s">
        <v>22445</v>
      </c>
      <c r="H2276" t="s">
        <v>22452</v>
      </c>
      <c r="I2276" t="s">
        <v>3827</v>
      </c>
      <c r="J2276" t="s">
        <v>22929</v>
      </c>
      <c r="K2276" t="s">
        <v>29338</v>
      </c>
      <c r="M2276" t="s">
        <v>30491</v>
      </c>
      <c r="N2276" t="s">
        <v>32524</v>
      </c>
      <c r="O2276" t="s">
        <v>32525</v>
      </c>
      <c r="P2276">
        <v>0</v>
      </c>
      <c r="Q2276">
        <v>5</v>
      </c>
      <c r="R2276" t="s">
        <v>32526</v>
      </c>
      <c r="S2276" t="s">
        <v>32547</v>
      </c>
      <c r="T2276" t="s">
        <v>33169</v>
      </c>
      <c r="U2276" t="s">
        <v>35559</v>
      </c>
      <c r="W2276" t="s">
        <v>30491</v>
      </c>
      <c r="X2276" t="s">
        <v>32527</v>
      </c>
    </row>
    <row r="2277" spans="1:24">
      <c r="A2277">
        <f>HYPERLINK("https://www.philgeps.gov.ph/GEPSNONPILOT/Tender/SplashBidNoticeAbstractUI.aspx?menuIndex=3&amp;refID=7046975&amp;Result=3","7046975")</f>
        <v>0</v>
      </c>
      <c r="B2277" t="s">
        <v>895</v>
      </c>
      <c r="C2277" t="s">
        <v>4864</v>
      </c>
      <c r="D2277" t="s">
        <v>12999</v>
      </c>
      <c r="E2277" t="s">
        <v>15140</v>
      </c>
      <c r="F2277" t="s">
        <v>22436</v>
      </c>
      <c r="G2277" t="s">
        <v>22444</v>
      </c>
      <c r="H2277" t="s">
        <v>22454</v>
      </c>
      <c r="I2277" t="s">
        <v>7738</v>
      </c>
      <c r="J2277" t="s">
        <v>22877</v>
      </c>
      <c r="K2277" t="s">
        <v>29329</v>
      </c>
      <c r="M2277" t="s">
        <v>30506</v>
      </c>
      <c r="N2277" t="s">
        <v>32524</v>
      </c>
      <c r="O2277" t="s">
        <v>32525</v>
      </c>
      <c r="P2277">
        <v>0</v>
      </c>
      <c r="Q2277">
        <v>0</v>
      </c>
      <c r="R2277" t="s">
        <v>32526</v>
      </c>
      <c r="S2277" t="s">
        <v>32547</v>
      </c>
      <c r="T2277" t="s">
        <v>33182</v>
      </c>
      <c r="U2277" t="s">
        <v>35560</v>
      </c>
      <c r="V2277" t="s">
        <v>42644</v>
      </c>
      <c r="W2277" t="s">
        <v>30506</v>
      </c>
      <c r="X2277" t="s">
        <v>32527</v>
      </c>
    </row>
    <row r="2278" spans="1:24">
      <c r="A2278">
        <f>HYPERLINK("https://www.philgeps.gov.ph/GEPSNONPILOT/Tender/SplashBidNoticeAbstractUI.aspx?menuIndex=3&amp;refID=7046972&amp;Result=3","7046972")</f>
        <v>0</v>
      </c>
      <c r="B2278" t="s">
        <v>879</v>
      </c>
      <c r="C2278" t="s">
        <v>4865</v>
      </c>
      <c r="D2278" t="s">
        <v>12988</v>
      </c>
      <c r="E2278" t="s">
        <v>15141</v>
      </c>
      <c r="F2278" t="s">
        <v>22436</v>
      </c>
      <c r="G2278" t="s">
        <v>22443</v>
      </c>
      <c r="H2278" t="s">
        <v>22453</v>
      </c>
      <c r="I2278" t="s">
        <v>22501</v>
      </c>
      <c r="J2278" t="s">
        <v>24180</v>
      </c>
      <c r="K2278" t="s">
        <v>29336</v>
      </c>
      <c r="M2278" t="s">
        <v>30487</v>
      </c>
      <c r="N2278" t="s">
        <v>32524</v>
      </c>
      <c r="O2278" t="s">
        <v>32525</v>
      </c>
      <c r="P2278">
        <v>0</v>
      </c>
      <c r="Q2278">
        <v>1</v>
      </c>
      <c r="R2278" t="s">
        <v>32526</v>
      </c>
      <c r="S2278" t="s">
        <v>32547</v>
      </c>
      <c r="T2278" t="s">
        <v>33230</v>
      </c>
      <c r="U2278" t="s">
        <v>35503</v>
      </c>
      <c r="W2278" t="s">
        <v>30487</v>
      </c>
      <c r="X2278" t="s">
        <v>32527</v>
      </c>
    </row>
    <row r="2279" spans="1:24">
      <c r="A2279">
        <f>HYPERLINK("https://www.philgeps.gov.ph/GEPSNONPILOT/Tender/SplashBidNoticeAbstractUI.aspx?menuIndex=3&amp;refID=7046976&amp;Result=3","7046976")</f>
        <v>0</v>
      </c>
      <c r="B2279" t="s">
        <v>894</v>
      </c>
      <c r="C2279" t="s">
        <v>4866</v>
      </c>
      <c r="D2279" t="s">
        <v>12988</v>
      </c>
      <c r="E2279" t="s">
        <v>15142</v>
      </c>
      <c r="F2279" t="s">
        <v>22437</v>
      </c>
      <c r="G2279" t="s">
        <v>22448</v>
      </c>
      <c r="H2279" t="s">
        <v>22452</v>
      </c>
      <c r="I2279" t="s">
        <v>6387</v>
      </c>
      <c r="J2279" t="s">
        <v>22640</v>
      </c>
      <c r="K2279" t="s">
        <v>29357</v>
      </c>
      <c r="M2279" t="s">
        <v>30505</v>
      </c>
      <c r="N2279" t="s">
        <v>32524</v>
      </c>
      <c r="O2279" t="s">
        <v>32525</v>
      </c>
      <c r="P2279">
        <v>0</v>
      </c>
      <c r="Q2279">
        <v>2</v>
      </c>
      <c r="R2279" t="s">
        <v>32526</v>
      </c>
      <c r="S2279" t="s">
        <v>32547</v>
      </c>
      <c r="T2279" t="s">
        <v>33163</v>
      </c>
      <c r="U2279" t="s">
        <v>35561</v>
      </c>
      <c r="W2279" t="s">
        <v>30505</v>
      </c>
      <c r="X2279" t="s">
        <v>32527</v>
      </c>
    </row>
    <row r="2280" spans="1:24">
      <c r="A2280">
        <f>HYPERLINK("https://www.philgeps.gov.ph/GEPSNONPILOT/Tender/SplashBidNoticeAbstractUI.aspx?menuIndex=3&amp;refID=7046978&amp;Result=3","7046978")</f>
        <v>0</v>
      </c>
      <c r="B2280" t="s">
        <v>899</v>
      </c>
      <c r="C2280" t="s">
        <v>4867</v>
      </c>
      <c r="D2280" t="s">
        <v>13032</v>
      </c>
      <c r="E2280" t="s">
        <v>15143</v>
      </c>
      <c r="F2280" t="s">
        <v>22436</v>
      </c>
      <c r="G2280" t="s">
        <v>22444</v>
      </c>
      <c r="H2280" t="s">
        <v>22454</v>
      </c>
      <c r="I2280" t="s">
        <v>7738</v>
      </c>
      <c r="J2280" t="s">
        <v>24181</v>
      </c>
      <c r="K2280" t="s">
        <v>29349</v>
      </c>
      <c r="M2280" t="s">
        <v>30510</v>
      </c>
      <c r="N2280" t="s">
        <v>32524</v>
      </c>
      <c r="O2280" t="s">
        <v>32525</v>
      </c>
      <c r="P2280">
        <v>0</v>
      </c>
      <c r="Q2280">
        <v>0</v>
      </c>
      <c r="R2280" t="s">
        <v>32526</v>
      </c>
      <c r="S2280" t="s">
        <v>32547</v>
      </c>
      <c r="T2280" t="s">
        <v>33181</v>
      </c>
      <c r="U2280" t="s">
        <v>35562</v>
      </c>
      <c r="W2280" t="s">
        <v>30514</v>
      </c>
      <c r="X2280" t="s">
        <v>32527</v>
      </c>
    </row>
    <row r="2281" spans="1:24">
      <c r="A2281">
        <f>HYPERLINK("https://www.philgeps.gov.ph/GEPSNONPILOT/Tender/SplashBidNoticeAbstractUI.aspx?menuIndex=3&amp;refID=7046974&amp;Result=3","7046974")</f>
        <v>0</v>
      </c>
      <c r="B2281" t="s">
        <v>882</v>
      </c>
      <c r="C2281" t="s">
        <v>4868</v>
      </c>
      <c r="D2281" t="s">
        <v>12988</v>
      </c>
      <c r="E2281" t="s">
        <v>15144</v>
      </c>
      <c r="F2281" t="s">
        <v>22436</v>
      </c>
      <c r="G2281" t="s">
        <v>22443</v>
      </c>
      <c r="H2281" t="s">
        <v>22452</v>
      </c>
      <c r="I2281" t="s">
        <v>22472</v>
      </c>
      <c r="J2281" t="s">
        <v>22798</v>
      </c>
      <c r="K2281" t="s">
        <v>29338</v>
      </c>
      <c r="M2281" t="s">
        <v>30491</v>
      </c>
      <c r="N2281" t="s">
        <v>32524</v>
      </c>
      <c r="O2281" t="s">
        <v>32525</v>
      </c>
      <c r="P2281">
        <v>0</v>
      </c>
      <c r="Q2281">
        <v>1</v>
      </c>
      <c r="R2281" t="s">
        <v>32526</v>
      </c>
      <c r="S2281" t="s">
        <v>32547</v>
      </c>
      <c r="T2281" t="s">
        <v>33169</v>
      </c>
      <c r="U2281" t="s">
        <v>35563</v>
      </c>
      <c r="W2281" t="s">
        <v>30491</v>
      </c>
      <c r="X2281" t="s">
        <v>32527</v>
      </c>
    </row>
    <row r="2282" spans="1:24">
      <c r="A2282">
        <f>HYPERLINK("https://www.philgeps.gov.ph/GEPSNONPILOT/Tender/SplashBidNoticeAbstractUI.aspx?menuIndex=3&amp;refID=7046980&amp;Result=3","7046980")</f>
        <v>0</v>
      </c>
      <c r="B2282" t="s">
        <v>895</v>
      </c>
      <c r="C2282" t="s">
        <v>4869</v>
      </c>
      <c r="D2282" t="s">
        <v>12999</v>
      </c>
      <c r="E2282" t="s">
        <v>15145</v>
      </c>
      <c r="F2282" t="s">
        <v>22436</v>
      </c>
      <c r="G2282" t="s">
        <v>22444</v>
      </c>
      <c r="H2282" t="s">
        <v>22454</v>
      </c>
      <c r="I2282" t="s">
        <v>7738</v>
      </c>
      <c r="J2282" t="s">
        <v>24182</v>
      </c>
      <c r="K2282" t="s">
        <v>29425</v>
      </c>
      <c r="M2282" t="s">
        <v>30506</v>
      </c>
      <c r="N2282" t="s">
        <v>32524</v>
      </c>
      <c r="O2282" t="s">
        <v>32525</v>
      </c>
      <c r="P2282">
        <v>0</v>
      </c>
      <c r="Q2282">
        <v>0</v>
      </c>
      <c r="R2282" t="s">
        <v>32526</v>
      </c>
      <c r="S2282" t="s">
        <v>32547</v>
      </c>
      <c r="T2282" t="s">
        <v>33182</v>
      </c>
      <c r="U2282" t="s">
        <v>35564</v>
      </c>
      <c r="V2282" t="s">
        <v>42644</v>
      </c>
      <c r="W2282" t="s">
        <v>30506</v>
      </c>
      <c r="X2282" t="s">
        <v>32527</v>
      </c>
    </row>
    <row r="2283" spans="1:24">
      <c r="A2283">
        <f>HYPERLINK("https://www.philgeps.gov.ph/GEPSNONPILOT/Tender/SplashBidNoticeAbstractUI.aspx?menuIndex=3&amp;refID=7046973&amp;Result=3","7046973")</f>
        <v>0</v>
      </c>
      <c r="B2283" t="s">
        <v>858</v>
      </c>
      <c r="C2283" t="s">
        <v>4870</v>
      </c>
      <c r="D2283" t="s">
        <v>12988</v>
      </c>
      <c r="E2283" t="s">
        <v>15146</v>
      </c>
      <c r="F2283" t="s">
        <v>22436</v>
      </c>
      <c r="G2283" t="s">
        <v>22443</v>
      </c>
      <c r="H2283" t="s">
        <v>22452</v>
      </c>
      <c r="I2283" t="s">
        <v>22463</v>
      </c>
      <c r="J2283" t="s">
        <v>22588</v>
      </c>
      <c r="K2283" t="s">
        <v>29338</v>
      </c>
      <c r="M2283" t="s">
        <v>30465</v>
      </c>
      <c r="N2283" t="s">
        <v>32524</v>
      </c>
      <c r="O2283" t="s">
        <v>32525</v>
      </c>
      <c r="P2283">
        <v>0</v>
      </c>
      <c r="Q2283">
        <v>0</v>
      </c>
      <c r="R2283" t="s">
        <v>32526</v>
      </c>
      <c r="S2283" t="s">
        <v>32547</v>
      </c>
      <c r="T2283" t="s">
        <v>33215</v>
      </c>
      <c r="U2283" t="s">
        <v>35473</v>
      </c>
      <c r="W2283" t="s">
        <v>30465</v>
      </c>
      <c r="X2283" t="s">
        <v>32527</v>
      </c>
    </row>
    <row r="2284" spans="1:24">
      <c r="A2284">
        <f>HYPERLINK("https://www.philgeps.gov.ph/GEPSNONPILOT/Tender/SplashBidNoticeAbstractUI.aspx?menuIndex=3&amp;refID=7046979&amp;Result=3","7046979")</f>
        <v>0</v>
      </c>
      <c r="B2284" t="s">
        <v>858</v>
      </c>
      <c r="C2284" t="s">
        <v>4871</v>
      </c>
      <c r="D2284" t="s">
        <v>12988</v>
      </c>
      <c r="E2284" t="s">
        <v>15147</v>
      </c>
      <c r="F2284" t="s">
        <v>22436</v>
      </c>
      <c r="G2284" t="s">
        <v>22443</v>
      </c>
      <c r="H2284" t="s">
        <v>22452</v>
      </c>
      <c r="I2284" t="s">
        <v>22463</v>
      </c>
      <c r="J2284" t="s">
        <v>23188</v>
      </c>
      <c r="K2284" t="s">
        <v>29338</v>
      </c>
      <c r="M2284" t="s">
        <v>30465</v>
      </c>
      <c r="N2284" t="s">
        <v>32524</v>
      </c>
      <c r="O2284" t="s">
        <v>32525</v>
      </c>
      <c r="P2284">
        <v>0</v>
      </c>
      <c r="Q2284">
        <v>0</v>
      </c>
      <c r="R2284" t="s">
        <v>32526</v>
      </c>
      <c r="S2284" t="s">
        <v>32547</v>
      </c>
      <c r="T2284" t="s">
        <v>33215</v>
      </c>
      <c r="U2284" t="s">
        <v>35473</v>
      </c>
      <c r="W2284" t="s">
        <v>30465</v>
      </c>
      <c r="X2284" t="s">
        <v>32527</v>
      </c>
    </row>
    <row r="2285" spans="1:24">
      <c r="A2285">
        <f>HYPERLINK("https://www.philgeps.gov.ph/GEPSNONPILOT/Tender/SplashBidNoticeAbstractUI.aspx?menuIndex=3&amp;refID=7046986&amp;Result=3","7046986")</f>
        <v>0</v>
      </c>
      <c r="B2285" t="s">
        <v>895</v>
      </c>
      <c r="C2285" t="s">
        <v>4872</v>
      </c>
      <c r="D2285" t="s">
        <v>12999</v>
      </c>
      <c r="E2285" t="s">
        <v>15148</v>
      </c>
      <c r="F2285" t="s">
        <v>22436</v>
      </c>
      <c r="G2285" t="s">
        <v>22444</v>
      </c>
      <c r="H2285" t="s">
        <v>22454</v>
      </c>
      <c r="I2285" t="s">
        <v>7738</v>
      </c>
      <c r="J2285" t="s">
        <v>24183</v>
      </c>
      <c r="K2285" t="s">
        <v>29334</v>
      </c>
      <c r="M2285" t="s">
        <v>30506</v>
      </c>
      <c r="N2285" t="s">
        <v>32524</v>
      </c>
      <c r="O2285" t="s">
        <v>32525</v>
      </c>
      <c r="P2285">
        <v>0</v>
      </c>
      <c r="Q2285">
        <v>0</v>
      </c>
      <c r="R2285" t="s">
        <v>32526</v>
      </c>
      <c r="S2285" t="s">
        <v>32547</v>
      </c>
      <c r="T2285" t="s">
        <v>33181</v>
      </c>
      <c r="U2285" t="s">
        <v>35560</v>
      </c>
      <c r="V2285" t="s">
        <v>42644</v>
      </c>
      <c r="W2285" t="s">
        <v>30506</v>
      </c>
      <c r="X2285" t="s">
        <v>32527</v>
      </c>
    </row>
    <row r="2286" spans="1:24">
      <c r="A2286">
        <f>HYPERLINK("https://www.philgeps.gov.ph/GEPSNONPILOT/Tender/SplashBidNoticeAbstractUI.aspx?menuIndex=3&amp;refID=7046981&amp;Result=3","7046981")</f>
        <v>0</v>
      </c>
      <c r="B2286" t="s">
        <v>891</v>
      </c>
      <c r="C2286" t="s">
        <v>4873</v>
      </c>
      <c r="D2286" t="s">
        <v>13006</v>
      </c>
      <c r="E2286" t="s">
        <v>15149</v>
      </c>
      <c r="F2286" t="s">
        <v>22436</v>
      </c>
      <c r="G2286" t="s">
        <v>22444</v>
      </c>
      <c r="H2286" t="s">
        <v>22454</v>
      </c>
      <c r="I2286" t="s">
        <v>7738</v>
      </c>
      <c r="J2286" t="s">
        <v>22788</v>
      </c>
      <c r="K2286" t="s">
        <v>29335</v>
      </c>
      <c r="M2286" t="s">
        <v>30502</v>
      </c>
      <c r="N2286" t="s">
        <v>32524</v>
      </c>
      <c r="O2286" t="s">
        <v>32525</v>
      </c>
      <c r="P2286">
        <v>0</v>
      </c>
      <c r="Q2286">
        <v>0</v>
      </c>
      <c r="R2286" t="s">
        <v>32526</v>
      </c>
      <c r="S2286" t="s">
        <v>32547</v>
      </c>
      <c r="T2286" t="s">
        <v>33266</v>
      </c>
      <c r="U2286" t="s">
        <v>35565</v>
      </c>
      <c r="W2286" t="s">
        <v>30502</v>
      </c>
      <c r="X2286" t="s">
        <v>32527</v>
      </c>
    </row>
    <row r="2287" spans="1:24">
      <c r="A2287">
        <f>HYPERLINK("https://www.philgeps.gov.ph/GEPSNONPILOT/Tender/SplashBidNoticeAbstractUI.aspx?menuIndex=3&amp;refID=7046991&amp;Result=3","7046991")</f>
        <v>0</v>
      </c>
      <c r="B2287" t="s">
        <v>900</v>
      </c>
      <c r="C2287" t="s">
        <v>4874</v>
      </c>
      <c r="D2287" t="s">
        <v>13018</v>
      </c>
      <c r="E2287" t="s">
        <v>15150</v>
      </c>
      <c r="F2287" t="s">
        <v>22436</v>
      </c>
      <c r="G2287" t="s">
        <v>22443</v>
      </c>
      <c r="H2287" t="s">
        <v>22452</v>
      </c>
      <c r="I2287" t="s">
        <v>3122</v>
      </c>
      <c r="J2287" t="s">
        <v>23036</v>
      </c>
      <c r="K2287" t="s">
        <v>29338</v>
      </c>
      <c r="M2287" t="s">
        <v>30511</v>
      </c>
      <c r="N2287" t="s">
        <v>32524</v>
      </c>
      <c r="O2287" t="s">
        <v>32525</v>
      </c>
      <c r="P2287">
        <v>0</v>
      </c>
      <c r="Q2287">
        <v>0</v>
      </c>
      <c r="R2287" t="s">
        <v>32526</v>
      </c>
      <c r="S2287" t="s">
        <v>32547</v>
      </c>
      <c r="T2287" t="s">
        <v>33161</v>
      </c>
      <c r="U2287" t="s">
        <v>35566</v>
      </c>
      <c r="W2287" t="s">
        <v>30511</v>
      </c>
      <c r="X2287" t="s">
        <v>32527</v>
      </c>
    </row>
    <row r="2288" spans="1:24">
      <c r="A2288">
        <f>HYPERLINK("https://www.philgeps.gov.ph/GEPSNONPILOT/Tender/SplashBidNoticeAbstractUI.aspx?menuIndex=3&amp;refID=7046989&amp;Result=3","7046989")</f>
        <v>0</v>
      </c>
      <c r="B2288" t="s">
        <v>216</v>
      </c>
      <c r="C2288" t="s">
        <v>4875</v>
      </c>
      <c r="D2288" t="s">
        <v>13000</v>
      </c>
      <c r="E2288" t="s">
        <v>15151</v>
      </c>
      <c r="F2288" t="s">
        <v>22436</v>
      </c>
      <c r="G2288" t="s">
        <v>22444</v>
      </c>
      <c r="H2288" t="s">
        <v>22452</v>
      </c>
      <c r="I2288" t="s">
        <v>22549</v>
      </c>
      <c r="J2288" t="s">
        <v>23399</v>
      </c>
      <c r="K2288" t="s">
        <v>29388</v>
      </c>
      <c r="M2288" t="s">
        <v>29789</v>
      </c>
      <c r="N2288" t="s">
        <v>32524</v>
      </c>
      <c r="O2288" t="s">
        <v>32525</v>
      </c>
      <c r="P2288">
        <v>0</v>
      </c>
      <c r="Q2288">
        <v>9</v>
      </c>
      <c r="R2288" t="s">
        <v>32526</v>
      </c>
      <c r="S2288" t="s">
        <v>32547</v>
      </c>
      <c r="T2288" t="s">
        <v>33165</v>
      </c>
      <c r="U2288" t="s">
        <v>35567</v>
      </c>
      <c r="W2288" t="s">
        <v>29789</v>
      </c>
      <c r="X2288" t="s">
        <v>32527</v>
      </c>
    </row>
    <row r="2289" spans="1:24">
      <c r="A2289">
        <f>HYPERLINK("https://www.philgeps.gov.ph/GEPSNONPILOT/Tender/SplashBidNoticeAbstractUI.aspx?menuIndex=3&amp;refID=7046998&amp;Result=3","7046998")</f>
        <v>0</v>
      </c>
      <c r="B2289" t="s">
        <v>901</v>
      </c>
      <c r="C2289" t="s">
        <v>4876</v>
      </c>
      <c r="D2289" t="s">
        <v>13007</v>
      </c>
      <c r="E2289" t="s">
        <v>13873</v>
      </c>
      <c r="F2289" t="s">
        <v>22436</v>
      </c>
      <c r="G2289" t="s">
        <v>22443</v>
      </c>
      <c r="H2289" t="s">
        <v>22452</v>
      </c>
      <c r="I2289" t="s">
        <v>22466</v>
      </c>
      <c r="J2289" t="s">
        <v>22721</v>
      </c>
      <c r="K2289" t="s">
        <v>29356</v>
      </c>
      <c r="M2289" t="s">
        <v>30512</v>
      </c>
      <c r="N2289" t="s">
        <v>32524</v>
      </c>
      <c r="O2289" t="s">
        <v>32525</v>
      </c>
      <c r="P2289">
        <v>0</v>
      </c>
      <c r="Q2289">
        <v>0</v>
      </c>
      <c r="R2289" t="s">
        <v>32526</v>
      </c>
      <c r="S2289" t="s">
        <v>32547</v>
      </c>
      <c r="T2289" t="s">
        <v>33154</v>
      </c>
      <c r="U2289" t="s">
        <v>35568</v>
      </c>
      <c r="W2289" t="s">
        <v>30512</v>
      </c>
      <c r="X2289" t="s">
        <v>32527</v>
      </c>
    </row>
    <row r="2290" spans="1:24">
      <c r="A2290">
        <f>HYPERLINK("https://www.philgeps.gov.ph/GEPSNONPILOT/Tender/SplashBidNoticeAbstractUI.aspx?menuIndex=3&amp;refID=7046997&amp;Result=3","7046997")</f>
        <v>0</v>
      </c>
      <c r="B2290" t="s">
        <v>902</v>
      </c>
      <c r="C2290" t="s">
        <v>4877</v>
      </c>
      <c r="D2290" t="s">
        <v>13032</v>
      </c>
      <c r="E2290" t="s">
        <v>15152</v>
      </c>
      <c r="F2290" t="s">
        <v>22436</v>
      </c>
      <c r="G2290" t="s">
        <v>22444</v>
      </c>
      <c r="H2290" t="s">
        <v>22452</v>
      </c>
      <c r="I2290" t="s">
        <v>22469</v>
      </c>
      <c r="J2290" t="s">
        <v>22624</v>
      </c>
      <c r="K2290" t="s">
        <v>29338</v>
      </c>
      <c r="M2290" t="s">
        <v>30513</v>
      </c>
      <c r="N2290" t="s">
        <v>32524</v>
      </c>
      <c r="O2290" t="s">
        <v>32525</v>
      </c>
      <c r="P2290">
        <v>0</v>
      </c>
      <c r="Q2290">
        <v>4</v>
      </c>
      <c r="R2290" t="s">
        <v>32526</v>
      </c>
      <c r="S2290" t="s">
        <v>32547</v>
      </c>
      <c r="T2290" t="s">
        <v>33165</v>
      </c>
      <c r="U2290" t="s">
        <v>35569</v>
      </c>
      <c r="W2290" t="s">
        <v>30513</v>
      </c>
      <c r="X2290" t="s">
        <v>32527</v>
      </c>
    </row>
    <row r="2291" spans="1:24">
      <c r="A2291">
        <f>HYPERLINK("https://www.philgeps.gov.ph/GEPSNONPILOT/Tender/SplashBidNoticeAbstractUI.aspx?menuIndex=3&amp;refID=7046985&amp;Result=3","7046985")</f>
        <v>0</v>
      </c>
      <c r="B2291" t="s">
        <v>899</v>
      </c>
      <c r="C2291" t="s">
        <v>4878</v>
      </c>
      <c r="D2291" t="s">
        <v>13032</v>
      </c>
      <c r="E2291" t="s">
        <v>15153</v>
      </c>
      <c r="F2291" t="s">
        <v>22436</v>
      </c>
      <c r="G2291" t="s">
        <v>22444</v>
      </c>
      <c r="H2291" t="s">
        <v>22454</v>
      </c>
      <c r="I2291" t="s">
        <v>7738</v>
      </c>
      <c r="J2291" t="s">
        <v>24184</v>
      </c>
      <c r="K2291" t="s">
        <v>29342</v>
      </c>
      <c r="M2291" t="s">
        <v>30514</v>
      </c>
      <c r="N2291" t="s">
        <v>32524</v>
      </c>
      <c r="O2291" t="s">
        <v>32525</v>
      </c>
      <c r="P2291">
        <v>0</v>
      </c>
      <c r="Q2291">
        <v>0</v>
      </c>
      <c r="R2291" t="s">
        <v>32526</v>
      </c>
      <c r="S2291" t="s">
        <v>32547</v>
      </c>
      <c r="T2291" t="s">
        <v>33181</v>
      </c>
      <c r="U2291" t="s">
        <v>35570</v>
      </c>
      <c r="W2291" t="s">
        <v>30514</v>
      </c>
      <c r="X2291" t="s">
        <v>32527</v>
      </c>
    </row>
    <row r="2292" spans="1:24">
      <c r="A2292">
        <f>HYPERLINK("https://www.philgeps.gov.ph/GEPSNONPILOT/Tender/SplashBidNoticeAbstractUI.aspx?menuIndex=3&amp;refID=7046994&amp;Result=3","7046994")</f>
        <v>0</v>
      </c>
      <c r="B2292" t="s">
        <v>901</v>
      </c>
      <c r="C2292" t="s">
        <v>4879</v>
      </c>
      <c r="D2292" t="s">
        <v>13007</v>
      </c>
      <c r="E2292" t="s">
        <v>15154</v>
      </c>
      <c r="F2292" t="s">
        <v>22436</v>
      </c>
      <c r="G2292" t="s">
        <v>22443</v>
      </c>
      <c r="H2292" t="s">
        <v>22452</v>
      </c>
      <c r="I2292" t="s">
        <v>22465</v>
      </c>
      <c r="J2292" t="s">
        <v>24185</v>
      </c>
      <c r="K2292" t="s">
        <v>29356</v>
      </c>
      <c r="M2292" t="s">
        <v>30512</v>
      </c>
      <c r="N2292" t="s">
        <v>32524</v>
      </c>
      <c r="O2292" t="s">
        <v>32525</v>
      </c>
      <c r="P2292">
        <v>0</v>
      </c>
      <c r="Q2292">
        <v>0</v>
      </c>
      <c r="R2292" t="s">
        <v>32526</v>
      </c>
      <c r="S2292" t="s">
        <v>32547</v>
      </c>
      <c r="T2292" t="s">
        <v>33154</v>
      </c>
      <c r="U2292" t="s">
        <v>35571</v>
      </c>
      <c r="W2292" t="s">
        <v>30512</v>
      </c>
      <c r="X2292" t="s">
        <v>32527</v>
      </c>
    </row>
    <row r="2293" spans="1:24">
      <c r="A2293">
        <f>HYPERLINK("https://www.philgeps.gov.ph/GEPSNONPILOT/Tender/SplashBidNoticeAbstractUI.aspx?menuIndex=3&amp;refID=7046993&amp;Result=3","7046993")</f>
        <v>0</v>
      </c>
      <c r="B2293" t="s">
        <v>902</v>
      </c>
      <c r="C2293" t="s">
        <v>4880</v>
      </c>
      <c r="D2293" t="s">
        <v>13032</v>
      </c>
      <c r="E2293" t="s">
        <v>15155</v>
      </c>
      <c r="F2293" t="s">
        <v>22436</v>
      </c>
      <c r="G2293" t="s">
        <v>22444</v>
      </c>
      <c r="H2293" t="s">
        <v>22452</v>
      </c>
      <c r="I2293" t="s">
        <v>22474</v>
      </c>
      <c r="J2293" t="s">
        <v>24186</v>
      </c>
      <c r="K2293" t="s">
        <v>29338</v>
      </c>
      <c r="M2293" t="s">
        <v>30513</v>
      </c>
      <c r="N2293" t="s">
        <v>32524</v>
      </c>
      <c r="O2293" t="s">
        <v>32525</v>
      </c>
      <c r="P2293">
        <v>0</v>
      </c>
      <c r="Q2293">
        <v>2</v>
      </c>
      <c r="R2293" t="s">
        <v>32526</v>
      </c>
      <c r="S2293" t="s">
        <v>32547</v>
      </c>
      <c r="T2293" t="s">
        <v>33165</v>
      </c>
      <c r="U2293" t="s">
        <v>35572</v>
      </c>
      <c r="W2293" t="s">
        <v>30513</v>
      </c>
      <c r="X2293" t="s">
        <v>32527</v>
      </c>
    </row>
    <row r="2294" spans="1:24">
      <c r="A2294">
        <f>HYPERLINK("https://www.philgeps.gov.ph/GEPSNONPILOT/Tender/SplashBidNoticeAbstractUI.aspx?menuIndex=3&amp;refID=7046987&amp;Result=3","7046987")</f>
        <v>0</v>
      </c>
      <c r="B2294" t="s">
        <v>891</v>
      </c>
      <c r="C2294" t="s">
        <v>4881</v>
      </c>
      <c r="D2294" t="s">
        <v>13006</v>
      </c>
      <c r="E2294" t="s">
        <v>15156</v>
      </c>
      <c r="F2294" t="s">
        <v>22436</v>
      </c>
      <c r="G2294" t="s">
        <v>22444</v>
      </c>
      <c r="H2294" t="s">
        <v>22454</v>
      </c>
      <c r="I2294" t="s">
        <v>7738</v>
      </c>
      <c r="J2294" t="s">
        <v>22788</v>
      </c>
      <c r="K2294" t="s">
        <v>29335</v>
      </c>
      <c r="M2294" t="s">
        <v>30502</v>
      </c>
      <c r="N2294" t="s">
        <v>32524</v>
      </c>
      <c r="O2294" t="s">
        <v>32525</v>
      </c>
      <c r="P2294">
        <v>0</v>
      </c>
      <c r="Q2294">
        <v>1</v>
      </c>
      <c r="R2294" t="s">
        <v>32526</v>
      </c>
      <c r="S2294" t="s">
        <v>32547</v>
      </c>
      <c r="T2294" t="s">
        <v>33266</v>
      </c>
      <c r="U2294" t="s">
        <v>35573</v>
      </c>
      <c r="W2294" t="s">
        <v>30502</v>
      </c>
      <c r="X2294" t="s">
        <v>32527</v>
      </c>
    </row>
    <row r="2295" spans="1:24">
      <c r="A2295">
        <f>HYPERLINK("https://www.philgeps.gov.ph/GEPSNONPILOT/Tender/SplashBidNoticeAbstractUI.aspx?menuIndex=3&amp;refID=7046996&amp;Result=3","7046996")</f>
        <v>0</v>
      </c>
      <c r="B2295" t="s">
        <v>891</v>
      </c>
      <c r="C2295" t="s">
        <v>4882</v>
      </c>
      <c r="D2295" t="s">
        <v>13006</v>
      </c>
      <c r="E2295" t="s">
        <v>15157</v>
      </c>
      <c r="F2295" t="s">
        <v>22436</v>
      </c>
      <c r="G2295" t="s">
        <v>22444</v>
      </c>
      <c r="H2295" t="s">
        <v>22452</v>
      </c>
      <c r="I2295" t="s">
        <v>22474</v>
      </c>
      <c r="J2295" t="s">
        <v>24187</v>
      </c>
      <c r="K2295" t="s">
        <v>29335</v>
      </c>
      <c r="M2295" t="s">
        <v>30502</v>
      </c>
      <c r="N2295" t="s">
        <v>32524</v>
      </c>
      <c r="O2295" t="s">
        <v>32525</v>
      </c>
      <c r="P2295">
        <v>0</v>
      </c>
      <c r="Q2295">
        <v>5</v>
      </c>
      <c r="R2295" t="s">
        <v>32526</v>
      </c>
      <c r="S2295" t="s">
        <v>32547</v>
      </c>
      <c r="T2295" t="s">
        <v>33266</v>
      </c>
      <c r="U2295" t="s">
        <v>35574</v>
      </c>
      <c r="W2295" t="s">
        <v>30502</v>
      </c>
      <c r="X2295" t="s">
        <v>32527</v>
      </c>
    </row>
    <row r="2296" spans="1:24">
      <c r="A2296">
        <f>HYPERLINK("https://www.philgeps.gov.ph/GEPSNONPILOT/Tender/SplashBidNoticeAbstractUI.aspx?menuIndex=3&amp;refID=7046990&amp;Result=3","7046990")</f>
        <v>0</v>
      </c>
      <c r="B2296" t="s">
        <v>902</v>
      </c>
      <c r="C2296" t="s">
        <v>4883</v>
      </c>
      <c r="D2296" t="s">
        <v>13032</v>
      </c>
      <c r="E2296" t="s">
        <v>15158</v>
      </c>
      <c r="F2296" t="s">
        <v>22436</v>
      </c>
      <c r="G2296" t="s">
        <v>22444</v>
      </c>
      <c r="H2296" t="s">
        <v>22452</v>
      </c>
      <c r="I2296" t="s">
        <v>22469</v>
      </c>
      <c r="J2296" t="s">
        <v>24188</v>
      </c>
      <c r="K2296" t="s">
        <v>29338</v>
      </c>
      <c r="M2296" t="s">
        <v>30513</v>
      </c>
      <c r="N2296" t="s">
        <v>32524</v>
      </c>
      <c r="O2296" t="s">
        <v>32525</v>
      </c>
      <c r="P2296">
        <v>0</v>
      </c>
      <c r="Q2296">
        <v>3</v>
      </c>
      <c r="R2296" t="s">
        <v>32526</v>
      </c>
      <c r="S2296" t="s">
        <v>32547</v>
      </c>
      <c r="T2296" t="s">
        <v>33165</v>
      </c>
      <c r="U2296" t="s">
        <v>35575</v>
      </c>
      <c r="W2296" t="s">
        <v>30513</v>
      </c>
      <c r="X2296" t="s">
        <v>32527</v>
      </c>
    </row>
    <row r="2297" spans="1:24">
      <c r="A2297">
        <f>HYPERLINK("https://www.philgeps.gov.ph/GEPSNONPILOT/Tender/SplashBidNoticeAbstractUI.aspx?menuIndex=3&amp;refID=7046999&amp;Result=3","7046999")</f>
        <v>0</v>
      </c>
      <c r="B2297" t="s">
        <v>902</v>
      </c>
      <c r="C2297" t="s">
        <v>4884</v>
      </c>
      <c r="D2297" t="s">
        <v>13032</v>
      </c>
      <c r="E2297" t="s">
        <v>15159</v>
      </c>
      <c r="F2297" t="s">
        <v>22436</v>
      </c>
      <c r="G2297" t="s">
        <v>22444</v>
      </c>
      <c r="H2297" t="s">
        <v>22452</v>
      </c>
      <c r="I2297" t="s">
        <v>22474</v>
      </c>
      <c r="J2297" t="s">
        <v>24189</v>
      </c>
      <c r="K2297" t="s">
        <v>29338</v>
      </c>
      <c r="M2297" t="s">
        <v>30513</v>
      </c>
      <c r="N2297" t="s">
        <v>32524</v>
      </c>
      <c r="O2297" t="s">
        <v>32525</v>
      </c>
      <c r="P2297">
        <v>0</v>
      </c>
      <c r="Q2297">
        <v>3</v>
      </c>
      <c r="R2297" t="s">
        <v>32526</v>
      </c>
      <c r="S2297" t="s">
        <v>32547</v>
      </c>
      <c r="T2297" t="s">
        <v>33165</v>
      </c>
      <c r="U2297" t="s">
        <v>35576</v>
      </c>
      <c r="W2297" t="s">
        <v>30513</v>
      </c>
      <c r="X2297" t="s">
        <v>32527</v>
      </c>
    </row>
    <row r="2298" spans="1:24">
      <c r="A2298">
        <f>HYPERLINK("https://www.philgeps.gov.ph/GEPSNONPILOT/Tender/SplashBidNoticeAbstractUI.aspx?menuIndex=3&amp;refID=7046983&amp;Result=3","7046983")</f>
        <v>0</v>
      </c>
      <c r="B2298" t="s">
        <v>900</v>
      </c>
      <c r="C2298" t="s">
        <v>4885</v>
      </c>
      <c r="D2298" t="s">
        <v>13018</v>
      </c>
      <c r="E2298" t="s">
        <v>15160</v>
      </c>
      <c r="F2298" t="s">
        <v>22436</v>
      </c>
      <c r="G2298" t="s">
        <v>22444</v>
      </c>
      <c r="H2298" t="s">
        <v>22452</v>
      </c>
      <c r="I2298" t="s">
        <v>22467</v>
      </c>
      <c r="J2298" t="s">
        <v>24190</v>
      </c>
      <c r="K2298" t="s">
        <v>29338</v>
      </c>
      <c r="M2298" t="s">
        <v>30511</v>
      </c>
      <c r="N2298" t="s">
        <v>32524</v>
      </c>
      <c r="O2298" t="s">
        <v>32525</v>
      </c>
      <c r="P2298">
        <v>0</v>
      </c>
      <c r="Q2298">
        <v>0</v>
      </c>
      <c r="R2298" t="s">
        <v>32526</v>
      </c>
      <c r="S2298" t="s">
        <v>32547</v>
      </c>
      <c r="T2298" t="s">
        <v>33163</v>
      </c>
      <c r="U2298" t="s">
        <v>35577</v>
      </c>
      <c r="W2298" t="s">
        <v>30511</v>
      </c>
      <c r="X2298" t="s">
        <v>32527</v>
      </c>
    </row>
    <row r="2299" spans="1:24">
      <c r="A2299">
        <f>HYPERLINK("https://www.philgeps.gov.ph/GEPSNONPILOT/Tender/SplashBidNoticeAbstractUI.aspx?menuIndex=3&amp;refID=7046995&amp;Result=3","7046995")</f>
        <v>0</v>
      </c>
      <c r="B2299" t="s">
        <v>903</v>
      </c>
      <c r="C2299" t="s">
        <v>4886</v>
      </c>
      <c r="D2299" t="s">
        <v>13045</v>
      </c>
      <c r="E2299" t="s">
        <v>15161</v>
      </c>
      <c r="F2299" t="s">
        <v>22436</v>
      </c>
      <c r="G2299" t="s">
        <v>22443</v>
      </c>
      <c r="H2299" t="s">
        <v>22452</v>
      </c>
      <c r="I2299" t="s">
        <v>22550</v>
      </c>
      <c r="J2299" t="s">
        <v>24096</v>
      </c>
      <c r="K2299" t="s">
        <v>29335</v>
      </c>
      <c r="M2299" t="s">
        <v>30515</v>
      </c>
      <c r="N2299" t="s">
        <v>32524</v>
      </c>
      <c r="O2299" t="s">
        <v>32525</v>
      </c>
      <c r="P2299">
        <v>0</v>
      </c>
      <c r="Q2299">
        <v>0</v>
      </c>
      <c r="R2299" t="s">
        <v>32526</v>
      </c>
      <c r="S2299" t="s">
        <v>32547</v>
      </c>
      <c r="T2299" t="s">
        <v>33161</v>
      </c>
      <c r="U2299" t="s">
        <v>35578</v>
      </c>
      <c r="W2299" t="s">
        <v>30515</v>
      </c>
      <c r="X2299" t="s">
        <v>32527</v>
      </c>
    </row>
    <row r="2300" spans="1:24">
      <c r="A2300">
        <f>HYPERLINK("https://www.philgeps.gov.ph/GEPSNONPILOT/Tender/SplashBidNoticeAbstractUI.aspx?menuIndex=3&amp;refID=7046982&amp;Result=3","7046982")</f>
        <v>0</v>
      </c>
      <c r="B2300" t="s">
        <v>904</v>
      </c>
      <c r="C2300" t="s">
        <v>4887</v>
      </c>
      <c r="E2300" t="s">
        <v>15162</v>
      </c>
      <c r="F2300" t="s">
        <v>22436</v>
      </c>
      <c r="G2300" t="s">
        <v>22446</v>
      </c>
      <c r="H2300" t="s">
        <v>22452</v>
      </c>
      <c r="I2300" t="s">
        <v>22469</v>
      </c>
      <c r="J2300" t="s">
        <v>22640</v>
      </c>
      <c r="K2300" t="s">
        <v>29335</v>
      </c>
      <c r="M2300" t="s">
        <v>30516</v>
      </c>
      <c r="N2300" t="s">
        <v>32524</v>
      </c>
      <c r="O2300" t="s">
        <v>32525</v>
      </c>
      <c r="P2300">
        <v>0</v>
      </c>
      <c r="Q2300">
        <v>5</v>
      </c>
      <c r="R2300" t="s">
        <v>32526</v>
      </c>
      <c r="S2300" t="s">
        <v>32547</v>
      </c>
      <c r="T2300" t="s">
        <v>33327</v>
      </c>
      <c r="U2300" t="s">
        <v>35579</v>
      </c>
      <c r="W2300" t="s">
        <v>30516</v>
      </c>
      <c r="X2300" t="s">
        <v>32527</v>
      </c>
    </row>
    <row r="2301" spans="1:24">
      <c r="A2301">
        <f>HYPERLINK("https://www.philgeps.gov.ph/GEPSNONPILOT/Tender/SplashBidNoticeAbstractUI.aspx?menuIndex=3&amp;refID=7047000&amp;Result=3","7047000")</f>
        <v>0</v>
      </c>
      <c r="B2301" t="s">
        <v>905</v>
      </c>
      <c r="C2301" t="s">
        <v>4888</v>
      </c>
      <c r="D2301" t="s">
        <v>13018</v>
      </c>
      <c r="E2301" t="s">
        <v>15163</v>
      </c>
      <c r="F2301" t="s">
        <v>22436</v>
      </c>
      <c r="G2301" t="s">
        <v>22444</v>
      </c>
      <c r="H2301" t="s">
        <v>22454</v>
      </c>
      <c r="I2301" t="s">
        <v>7738</v>
      </c>
      <c r="J2301" t="s">
        <v>23093</v>
      </c>
      <c r="K2301" t="s">
        <v>29337</v>
      </c>
      <c r="M2301" t="s">
        <v>30517</v>
      </c>
      <c r="N2301" t="s">
        <v>32524</v>
      </c>
      <c r="O2301" t="s">
        <v>32525</v>
      </c>
      <c r="P2301">
        <v>0</v>
      </c>
      <c r="Q2301">
        <v>0</v>
      </c>
      <c r="R2301" t="s">
        <v>32526</v>
      </c>
      <c r="S2301" t="s">
        <v>32547</v>
      </c>
      <c r="T2301" t="s">
        <v>33171</v>
      </c>
      <c r="U2301" t="s">
        <v>35580</v>
      </c>
      <c r="W2301" t="s">
        <v>30517</v>
      </c>
      <c r="X2301" t="s">
        <v>32527</v>
      </c>
    </row>
    <row r="2302" spans="1:24">
      <c r="A2302">
        <f>HYPERLINK("https://www.philgeps.gov.ph/GEPSNONPILOT/Tender/SplashBidNoticeAbstractUI.aspx?menuIndex=3&amp;refID=7047005&amp;Result=3","7047005")</f>
        <v>0</v>
      </c>
      <c r="B2302" t="s">
        <v>906</v>
      </c>
      <c r="C2302" t="s">
        <v>4889</v>
      </c>
      <c r="E2302" t="s">
        <v>15164</v>
      </c>
      <c r="F2302" t="s">
        <v>22436</v>
      </c>
      <c r="G2302" t="s">
        <v>22443</v>
      </c>
      <c r="H2302" t="s">
        <v>22453</v>
      </c>
      <c r="I2302" t="s">
        <v>22475</v>
      </c>
      <c r="J2302" t="s">
        <v>23627</v>
      </c>
      <c r="K2302" t="s">
        <v>29355</v>
      </c>
      <c r="M2302" t="s">
        <v>30518</v>
      </c>
      <c r="N2302" t="s">
        <v>32524</v>
      </c>
      <c r="O2302" t="s">
        <v>32525</v>
      </c>
      <c r="P2302">
        <v>0</v>
      </c>
      <c r="Q2302">
        <v>1</v>
      </c>
      <c r="R2302" t="s">
        <v>32526</v>
      </c>
      <c r="S2302" t="s">
        <v>32547</v>
      </c>
      <c r="T2302" t="s">
        <v>33196</v>
      </c>
      <c r="U2302" t="s">
        <v>35581</v>
      </c>
      <c r="W2302" t="s">
        <v>30518</v>
      </c>
      <c r="X2302" t="s">
        <v>32527</v>
      </c>
    </row>
    <row r="2303" spans="1:24">
      <c r="A2303">
        <f>HYPERLINK("https://www.philgeps.gov.ph/GEPSNONPILOT/Tender/SplashBidNoticeAbstractUI.aspx?menuIndex=3&amp;refID=7047006&amp;Result=3","7047006")</f>
        <v>0</v>
      </c>
      <c r="B2303" t="s">
        <v>903</v>
      </c>
      <c r="C2303" t="s">
        <v>4890</v>
      </c>
      <c r="D2303" t="s">
        <v>13045</v>
      </c>
      <c r="E2303" t="s">
        <v>15165</v>
      </c>
      <c r="F2303" t="s">
        <v>22436</v>
      </c>
      <c r="G2303" t="s">
        <v>22443</v>
      </c>
      <c r="H2303" t="s">
        <v>22452</v>
      </c>
      <c r="I2303" t="s">
        <v>22550</v>
      </c>
      <c r="J2303" t="s">
        <v>24191</v>
      </c>
      <c r="K2303" t="s">
        <v>29335</v>
      </c>
      <c r="M2303" t="s">
        <v>30515</v>
      </c>
      <c r="N2303" t="s">
        <v>32524</v>
      </c>
      <c r="O2303" t="s">
        <v>32525</v>
      </c>
      <c r="P2303">
        <v>0</v>
      </c>
      <c r="Q2303">
        <v>2</v>
      </c>
      <c r="R2303" t="s">
        <v>32526</v>
      </c>
      <c r="S2303" t="s">
        <v>32547</v>
      </c>
      <c r="T2303" t="s">
        <v>33161</v>
      </c>
      <c r="U2303" t="s">
        <v>35582</v>
      </c>
      <c r="W2303" t="s">
        <v>30515</v>
      </c>
      <c r="X2303" t="s">
        <v>32527</v>
      </c>
    </row>
    <row r="2304" spans="1:24">
      <c r="A2304">
        <f>HYPERLINK("https://www.philgeps.gov.ph/GEPSNONPILOT/Tender/SplashBidNoticeAbstractUI.aspx?menuIndex=3&amp;refID=7047001&amp;Result=3","7047001")</f>
        <v>0</v>
      </c>
      <c r="B2304" t="s">
        <v>478</v>
      </c>
      <c r="C2304" t="s">
        <v>4891</v>
      </c>
      <c r="D2304" t="s">
        <v>13007</v>
      </c>
      <c r="E2304" t="s">
        <v>15166</v>
      </c>
      <c r="F2304" t="s">
        <v>22436</v>
      </c>
      <c r="G2304" t="s">
        <v>22443</v>
      </c>
      <c r="H2304" t="s">
        <v>22452</v>
      </c>
      <c r="I2304" t="s">
        <v>22460</v>
      </c>
      <c r="J2304" t="s">
        <v>23477</v>
      </c>
      <c r="K2304" t="s">
        <v>29340</v>
      </c>
      <c r="M2304" t="s">
        <v>30062</v>
      </c>
      <c r="N2304" t="s">
        <v>32524</v>
      </c>
      <c r="O2304" t="s">
        <v>32525</v>
      </c>
      <c r="P2304">
        <v>0</v>
      </c>
      <c r="Q2304">
        <v>0</v>
      </c>
      <c r="R2304" t="s">
        <v>32526</v>
      </c>
      <c r="S2304" t="s">
        <v>32547</v>
      </c>
      <c r="T2304" t="s">
        <v>33321</v>
      </c>
      <c r="U2304" t="s">
        <v>35583</v>
      </c>
      <c r="W2304" t="s">
        <v>30062</v>
      </c>
      <c r="X2304" t="s">
        <v>32527</v>
      </c>
    </row>
    <row r="2305" spans="1:24">
      <c r="A2305">
        <f>HYPERLINK("https://www.philgeps.gov.ph/GEPSNONPILOT/Tender/SplashBidNoticeAbstractUI.aspx?menuIndex=3&amp;refID=7047003&amp;Result=3","7047003")</f>
        <v>0</v>
      </c>
      <c r="B2305" t="s">
        <v>902</v>
      </c>
      <c r="C2305" t="s">
        <v>4892</v>
      </c>
      <c r="D2305" t="s">
        <v>13032</v>
      </c>
      <c r="E2305" t="s">
        <v>15167</v>
      </c>
      <c r="F2305" t="s">
        <v>22436</v>
      </c>
      <c r="G2305" t="s">
        <v>22444</v>
      </c>
      <c r="H2305" t="s">
        <v>22452</v>
      </c>
      <c r="I2305" t="s">
        <v>22508</v>
      </c>
      <c r="J2305" t="s">
        <v>24192</v>
      </c>
      <c r="K2305" t="s">
        <v>29338</v>
      </c>
      <c r="M2305" t="s">
        <v>30513</v>
      </c>
      <c r="N2305" t="s">
        <v>32524</v>
      </c>
      <c r="O2305" t="s">
        <v>32525</v>
      </c>
      <c r="P2305">
        <v>0</v>
      </c>
      <c r="Q2305">
        <v>3</v>
      </c>
      <c r="R2305" t="s">
        <v>32526</v>
      </c>
      <c r="S2305" t="s">
        <v>32547</v>
      </c>
      <c r="T2305" t="s">
        <v>33181</v>
      </c>
      <c r="U2305" t="s">
        <v>35584</v>
      </c>
      <c r="W2305" t="s">
        <v>30513</v>
      </c>
      <c r="X2305" t="s">
        <v>32527</v>
      </c>
    </row>
    <row r="2306" spans="1:24">
      <c r="A2306">
        <f>HYPERLINK("https://www.philgeps.gov.ph/GEPSNONPILOT/Tender/SplashBidNoticeAbstractUI.aspx?menuIndex=3&amp;refID=7046984&amp;Result=3","7046984")</f>
        <v>0</v>
      </c>
      <c r="B2306" t="s">
        <v>891</v>
      </c>
      <c r="C2306" t="s">
        <v>4893</v>
      </c>
      <c r="D2306" t="s">
        <v>13006</v>
      </c>
      <c r="E2306" t="s">
        <v>15168</v>
      </c>
      <c r="F2306" t="s">
        <v>22436</v>
      </c>
      <c r="G2306" t="s">
        <v>22444</v>
      </c>
      <c r="H2306" t="s">
        <v>22454</v>
      </c>
      <c r="I2306" t="s">
        <v>7738</v>
      </c>
      <c r="J2306" t="s">
        <v>24193</v>
      </c>
      <c r="K2306" t="s">
        <v>29335</v>
      </c>
      <c r="M2306" t="s">
        <v>30502</v>
      </c>
      <c r="N2306" t="s">
        <v>32524</v>
      </c>
      <c r="O2306" t="s">
        <v>32525</v>
      </c>
      <c r="P2306">
        <v>0</v>
      </c>
      <c r="Q2306">
        <v>1</v>
      </c>
      <c r="R2306" t="s">
        <v>32526</v>
      </c>
      <c r="S2306" t="s">
        <v>32547</v>
      </c>
      <c r="T2306" t="s">
        <v>33266</v>
      </c>
      <c r="U2306" t="s">
        <v>35585</v>
      </c>
      <c r="W2306" t="s">
        <v>30502</v>
      </c>
      <c r="X2306" t="s">
        <v>32527</v>
      </c>
    </row>
    <row r="2307" spans="1:24">
      <c r="A2307">
        <f>HYPERLINK("https://www.philgeps.gov.ph/GEPSNONPILOT/Tender/SplashBidNoticeAbstractUI.aspx?menuIndex=3&amp;refID=7046992&amp;Result=3","7046992")</f>
        <v>0</v>
      </c>
      <c r="B2307" t="s">
        <v>901</v>
      </c>
      <c r="C2307" t="s">
        <v>4894</v>
      </c>
      <c r="D2307" t="s">
        <v>13007</v>
      </c>
      <c r="E2307" t="s">
        <v>14346</v>
      </c>
      <c r="F2307" t="s">
        <v>22436</v>
      </c>
      <c r="G2307" t="s">
        <v>22443</v>
      </c>
      <c r="H2307" t="s">
        <v>22452</v>
      </c>
      <c r="I2307" t="s">
        <v>5194</v>
      </c>
      <c r="J2307" t="s">
        <v>24194</v>
      </c>
      <c r="K2307" t="s">
        <v>29356</v>
      </c>
      <c r="M2307" t="s">
        <v>30512</v>
      </c>
      <c r="N2307" t="s">
        <v>32524</v>
      </c>
      <c r="O2307" t="s">
        <v>32525</v>
      </c>
      <c r="P2307">
        <v>0</v>
      </c>
      <c r="Q2307">
        <v>1</v>
      </c>
      <c r="R2307" t="s">
        <v>32526</v>
      </c>
      <c r="S2307" t="s">
        <v>32547</v>
      </c>
      <c r="T2307" t="s">
        <v>33154</v>
      </c>
      <c r="U2307" t="s">
        <v>35586</v>
      </c>
      <c r="W2307" t="s">
        <v>30512</v>
      </c>
      <c r="X2307" t="s">
        <v>32527</v>
      </c>
    </row>
    <row r="2308" spans="1:24">
      <c r="A2308">
        <f>HYPERLINK("https://www.philgeps.gov.ph/GEPSNONPILOT/Tender/SplashBidNoticeAbstractUI.aspx?menuIndex=3&amp;refID=7047002&amp;Result=3","7047002")</f>
        <v>0</v>
      </c>
      <c r="B2308" t="s">
        <v>891</v>
      </c>
      <c r="C2308" t="s">
        <v>4895</v>
      </c>
      <c r="D2308" t="s">
        <v>13006</v>
      </c>
      <c r="E2308" t="s">
        <v>15169</v>
      </c>
      <c r="F2308" t="s">
        <v>22436</v>
      </c>
      <c r="G2308" t="s">
        <v>22444</v>
      </c>
      <c r="H2308" t="s">
        <v>22452</v>
      </c>
      <c r="I2308" t="s">
        <v>3027</v>
      </c>
      <c r="J2308" t="s">
        <v>24195</v>
      </c>
      <c r="K2308" t="s">
        <v>29426</v>
      </c>
      <c r="M2308" t="s">
        <v>30502</v>
      </c>
      <c r="N2308" t="s">
        <v>32524</v>
      </c>
      <c r="O2308" t="s">
        <v>32525</v>
      </c>
      <c r="P2308">
        <v>0</v>
      </c>
      <c r="Q2308">
        <v>0</v>
      </c>
      <c r="R2308" t="s">
        <v>32526</v>
      </c>
      <c r="S2308" t="s">
        <v>32547</v>
      </c>
      <c r="T2308" t="s">
        <v>33266</v>
      </c>
      <c r="U2308" t="s">
        <v>35587</v>
      </c>
      <c r="W2308" t="s">
        <v>30502</v>
      </c>
      <c r="X2308" t="s">
        <v>32527</v>
      </c>
    </row>
    <row r="2309" spans="1:24">
      <c r="A2309">
        <f>HYPERLINK("https://www.philgeps.gov.ph/GEPSNONPILOT/Tender/SplashBidNoticeAbstractUI.aspx?menuIndex=3&amp;refID=7047004&amp;Result=3","7047004")</f>
        <v>0</v>
      </c>
      <c r="B2309" t="s">
        <v>901</v>
      </c>
      <c r="C2309" t="s">
        <v>4896</v>
      </c>
      <c r="D2309" t="s">
        <v>13007</v>
      </c>
      <c r="E2309" t="s">
        <v>14226</v>
      </c>
      <c r="F2309" t="s">
        <v>22436</v>
      </c>
      <c r="G2309" t="s">
        <v>22443</v>
      </c>
      <c r="H2309" t="s">
        <v>22452</v>
      </c>
      <c r="I2309" t="s">
        <v>22463</v>
      </c>
      <c r="J2309" t="s">
        <v>24196</v>
      </c>
      <c r="K2309" t="s">
        <v>29356</v>
      </c>
      <c r="M2309" t="s">
        <v>30512</v>
      </c>
      <c r="N2309" t="s">
        <v>32524</v>
      </c>
      <c r="O2309" t="s">
        <v>32525</v>
      </c>
      <c r="P2309">
        <v>0</v>
      </c>
      <c r="Q2309">
        <v>3</v>
      </c>
      <c r="R2309" t="s">
        <v>32526</v>
      </c>
      <c r="S2309" t="s">
        <v>32547</v>
      </c>
      <c r="T2309" t="s">
        <v>33154</v>
      </c>
      <c r="U2309" t="s">
        <v>35588</v>
      </c>
      <c r="W2309" t="s">
        <v>30512</v>
      </c>
      <c r="X2309" t="s">
        <v>32527</v>
      </c>
    </row>
    <row r="2310" spans="1:24">
      <c r="A2310">
        <f>HYPERLINK("https://www.philgeps.gov.ph/GEPSNONPILOT/Tender/SplashBidNoticeAbstractUI.aspx?menuIndex=3&amp;refID=7047024&amp;Result=3","7047024")</f>
        <v>0</v>
      </c>
      <c r="B2310" t="s">
        <v>907</v>
      </c>
      <c r="C2310" t="s">
        <v>4897</v>
      </c>
      <c r="D2310" t="s">
        <v>13000</v>
      </c>
      <c r="E2310" t="s">
        <v>15170</v>
      </c>
      <c r="F2310" t="s">
        <v>22436</v>
      </c>
      <c r="G2310" t="s">
        <v>22444</v>
      </c>
      <c r="H2310" t="s">
        <v>22452</v>
      </c>
      <c r="I2310" t="s">
        <v>3529</v>
      </c>
      <c r="J2310" t="s">
        <v>24197</v>
      </c>
      <c r="K2310" t="s">
        <v>29341</v>
      </c>
      <c r="M2310" t="s">
        <v>30519</v>
      </c>
      <c r="N2310" t="s">
        <v>32524</v>
      </c>
      <c r="O2310" t="s">
        <v>32525</v>
      </c>
      <c r="P2310">
        <v>0</v>
      </c>
      <c r="Q2310">
        <v>0</v>
      </c>
      <c r="R2310" t="s">
        <v>32526</v>
      </c>
      <c r="S2310" t="s">
        <v>32547</v>
      </c>
      <c r="T2310" t="s">
        <v>33168</v>
      </c>
      <c r="U2310" t="s">
        <v>35589</v>
      </c>
      <c r="W2310" t="s">
        <v>30519</v>
      </c>
      <c r="X2310" t="s">
        <v>32527</v>
      </c>
    </row>
    <row r="2311" spans="1:24">
      <c r="A2311">
        <f>HYPERLINK("https://www.philgeps.gov.ph/GEPSNONPILOT/Tender/SplashBidNoticeAbstractUI.aspx?menuIndex=3&amp;refID=7047023&amp;Result=3","7047023")</f>
        <v>0</v>
      </c>
      <c r="B2311" t="s">
        <v>908</v>
      </c>
      <c r="C2311" t="s">
        <v>4898</v>
      </c>
      <c r="D2311" t="s">
        <v>13009</v>
      </c>
      <c r="E2311" t="s">
        <v>15171</v>
      </c>
      <c r="F2311" t="s">
        <v>22436</v>
      </c>
      <c r="G2311" t="s">
        <v>22443</v>
      </c>
      <c r="H2311" t="s">
        <v>22453</v>
      </c>
      <c r="I2311" t="s">
        <v>3027</v>
      </c>
      <c r="J2311" t="s">
        <v>24198</v>
      </c>
      <c r="K2311" t="s">
        <v>29358</v>
      </c>
      <c r="M2311" t="s">
        <v>30520</v>
      </c>
      <c r="N2311" t="s">
        <v>32524</v>
      </c>
      <c r="O2311" t="s">
        <v>32525</v>
      </c>
      <c r="P2311">
        <v>0</v>
      </c>
      <c r="Q2311">
        <v>0</v>
      </c>
      <c r="R2311" t="s">
        <v>32526</v>
      </c>
      <c r="S2311" t="s">
        <v>32547</v>
      </c>
      <c r="T2311" t="s">
        <v>33167</v>
      </c>
      <c r="U2311" t="s">
        <v>35590</v>
      </c>
      <c r="W2311" t="s">
        <v>30520</v>
      </c>
      <c r="X2311" t="s">
        <v>32527</v>
      </c>
    </row>
    <row r="2312" spans="1:24">
      <c r="A2312">
        <f>HYPERLINK("https://www.philgeps.gov.ph/GEPSNONPILOT/Tender/SplashBidNoticeAbstractUI.aspx?menuIndex=3&amp;refID=7047019&amp;Result=3","7047019")</f>
        <v>0</v>
      </c>
      <c r="B2312" t="s">
        <v>909</v>
      </c>
      <c r="C2312" t="s">
        <v>4899</v>
      </c>
      <c r="D2312" t="s">
        <v>13001</v>
      </c>
      <c r="E2312" t="s">
        <v>15172</v>
      </c>
      <c r="F2312" t="s">
        <v>22436</v>
      </c>
      <c r="G2312" t="s">
        <v>22444</v>
      </c>
      <c r="H2312" t="s">
        <v>22454</v>
      </c>
      <c r="I2312" t="s">
        <v>3529</v>
      </c>
      <c r="J2312" t="s">
        <v>22836</v>
      </c>
      <c r="K2312" t="s">
        <v>29336</v>
      </c>
      <c r="M2312" t="s">
        <v>30521</v>
      </c>
      <c r="N2312" t="s">
        <v>32524</v>
      </c>
      <c r="O2312" t="s">
        <v>32525</v>
      </c>
      <c r="P2312">
        <v>0</v>
      </c>
      <c r="Q2312">
        <v>0</v>
      </c>
      <c r="R2312" t="s">
        <v>32526</v>
      </c>
      <c r="S2312" t="s">
        <v>32547</v>
      </c>
      <c r="T2312" t="s">
        <v>33182</v>
      </c>
      <c r="U2312" t="s">
        <v>35591</v>
      </c>
      <c r="W2312" t="s">
        <v>30521</v>
      </c>
      <c r="X2312" t="s">
        <v>32527</v>
      </c>
    </row>
    <row r="2313" spans="1:24">
      <c r="A2313">
        <f>HYPERLINK("https://www.philgeps.gov.ph/GEPSNONPILOT/Tender/SplashBidNoticeAbstractUI.aspx?menuIndex=3&amp;refID=7047020&amp;Result=3","7047020")</f>
        <v>0</v>
      </c>
      <c r="B2313" t="s">
        <v>891</v>
      </c>
      <c r="C2313" t="s">
        <v>4900</v>
      </c>
      <c r="D2313" t="s">
        <v>13006</v>
      </c>
      <c r="E2313" t="s">
        <v>15173</v>
      </c>
      <c r="F2313" t="s">
        <v>22436</v>
      </c>
      <c r="G2313" t="s">
        <v>22444</v>
      </c>
      <c r="H2313" t="s">
        <v>22452</v>
      </c>
      <c r="I2313" t="s">
        <v>22482</v>
      </c>
      <c r="J2313" t="s">
        <v>24199</v>
      </c>
      <c r="K2313" t="s">
        <v>29335</v>
      </c>
      <c r="M2313" t="s">
        <v>30502</v>
      </c>
      <c r="N2313" t="s">
        <v>32524</v>
      </c>
      <c r="O2313" t="s">
        <v>32525</v>
      </c>
      <c r="P2313">
        <v>0</v>
      </c>
      <c r="Q2313">
        <v>2</v>
      </c>
      <c r="R2313" t="s">
        <v>32526</v>
      </c>
      <c r="S2313" t="s">
        <v>32547</v>
      </c>
      <c r="T2313" t="s">
        <v>33266</v>
      </c>
      <c r="U2313" t="s">
        <v>35592</v>
      </c>
      <c r="W2313" t="s">
        <v>30502</v>
      </c>
      <c r="X2313" t="s">
        <v>32527</v>
      </c>
    </row>
    <row r="2314" spans="1:24">
      <c r="A2314">
        <f>HYPERLINK("https://www.philgeps.gov.ph/GEPSNONPILOT/Tender/SplashBidNoticeAbstractUI.aspx?menuIndex=3&amp;refID=7047021&amp;Result=3","7047021")</f>
        <v>0</v>
      </c>
      <c r="B2314" t="s">
        <v>344</v>
      </c>
      <c r="C2314" t="s">
        <v>4901</v>
      </c>
      <c r="D2314" t="s">
        <v>13051</v>
      </c>
      <c r="E2314" t="s">
        <v>15174</v>
      </c>
      <c r="F2314" t="s">
        <v>22436</v>
      </c>
      <c r="G2314" t="s">
        <v>22444</v>
      </c>
      <c r="H2314" t="s">
        <v>22453</v>
      </c>
      <c r="I2314" t="s">
        <v>22457</v>
      </c>
      <c r="J2314" t="s">
        <v>23202</v>
      </c>
      <c r="K2314" t="s">
        <v>29353</v>
      </c>
      <c r="M2314" t="s">
        <v>29920</v>
      </c>
      <c r="N2314" t="s">
        <v>32524</v>
      </c>
      <c r="O2314" t="s">
        <v>32525</v>
      </c>
      <c r="P2314">
        <v>0</v>
      </c>
      <c r="Q2314">
        <v>0</v>
      </c>
      <c r="R2314" t="s">
        <v>32526</v>
      </c>
      <c r="S2314" t="s">
        <v>32547</v>
      </c>
      <c r="T2314" t="s">
        <v>33157</v>
      </c>
      <c r="U2314" t="s">
        <v>35593</v>
      </c>
      <c r="W2314" t="s">
        <v>29920</v>
      </c>
      <c r="X2314" t="s">
        <v>32527</v>
      </c>
    </row>
    <row r="2315" spans="1:24">
      <c r="A2315">
        <f>HYPERLINK("https://www.philgeps.gov.ph/GEPSNONPILOT/Tender/SplashBidNoticeAbstractUI.aspx?menuIndex=3&amp;refID=7047022&amp;Result=3","7047022")</f>
        <v>0</v>
      </c>
      <c r="B2315" t="s">
        <v>902</v>
      </c>
      <c r="C2315" t="s">
        <v>4902</v>
      </c>
      <c r="D2315" t="s">
        <v>13032</v>
      </c>
      <c r="E2315" t="s">
        <v>15175</v>
      </c>
      <c r="F2315" t="s">
        <v>22436</v>
      </c>
      <c r="G2315" t="s">
        <v>22444</v>
      </c>
      <c r="H2315" t="s">
        <v>22452</v>
      </c>
      <c r="I2315" t="s">
        <v>3827</v>
      </c>
      <c r="J2315" t="s">
        <v>24200</v>
      </c>
      <c r="K2315" t="s">
        <v>29338</v>
      </c>
      <c r="M2315" t="s">
        <v>30513</v>
      </c>
      <c r="N2315" t="s">
        <v>32524</v>
      </c>
      <c r="O2315" t="s">
        <v>32525</v>
      </c>
      <c r="P2315">
        <v>0</v>
      </c>
      <c r="Q2315">
        <v>0</v>
      </c>
      <c r="R2315" t="s">
        <v>32526</v>
      </c>
      <c r="S2315" t="s">
        <v>32547</v>
      </c>
      <c r="T2315" t="s">
        <v>33181</v>
      </c>
      <c r="U2315" t="s">
        <v>35594</v>
      </c>
      <c r="W2315" t="s">
        <v>30513</v>
      </c>
      <c r="X2315" t="s">
        <v>32527</v>
      </c>
    </row>
    <row r="2316" spans="1:24">
      <c r="A2316">
        <f>HYPERLINK("https://www.philgeps.gov.ph/GEPSNONPILOT/Tender/SplashBidNoticeAbstractUI.aspx?menuIndex=3&amp;refID=7047007&amp;Result=3","7047007")</f>
        <v>0</v>
      </c>
      <c r="B2316" t="s">
        <v>907</v>
      </c>
      <c r="C2316" t="s">
        <v>4903</v>
      </c>
      <c r="D2316" t="s">
        <v>13000</v>
      </c>
      <c r="E2316" t="s">
        <v>15176</v>
      </c>
      <c r="F2316" t="s">
        <v>22436</v>
      </c>
      <c r="G2316" t="s">
        <v>22444</v>
      </c>
      <c r="H2316" t="s">
        <v>22452</v>
      </c>
      <c r="I2316" t="s">
        <v>3529</v>
      </c>
      <c r="J2316" t="s">
        <v>22616</v>
      </c>
      <c r="K2316" t="s">
        <v>29341</v>
      </c>
      <c r="M2316" t="s">
        <v>30519</v>
      </c>
      <c r="N2316" t="s">
        <v>32524</v>
      </c>
      <c r="O2316" t="s">
        <v>32525</v>
      </c>
      <c r="P2316">
        <v>0</v>
      </c>
      <c r="Q2316">
        <v>0</v>
      </c>
      <c r="R2316" t="s">
        <v>32526</v>
      </c>
      <c r="S2316" t="s">
        <v>32547</v>
      </c>
      <c r="T2316" t="s">
        <v>33168</v>
      </c>
      <c r="U2316" t="s">
        <v>35595</v>
      </c>
      <c r="W2316" t="s">
        <v>30519</v>
      </c>
      <c r="X2316" t="s">
        <v>32527</v>
      </c>
    </row>
    <row r="2317" spans="1:24">
      <c r="A2317">
        <f>HYPERLINK("https://www.philgeps.gov.ph/GEPSNONPILOT/Tender/SplashBidNoticeAbstractUI.aspx?menuIndex=3&amp;refID=7047025&amp;Result=3","7047025")</f>
        <v>0</v>
      </c>
      <c r="B2317" t="s">
        <v>316</v>
      </c>
      <c r="C2317" t="s">
        <v>4904</v>
      </c>
      <c r="D2317" t="s">
        <v>13006</v>
      </c>
      <c r="E2317" t="s">
        <v>15177</v>
      </c>
      <c r="F2317" t="s">
        <v>22436</v>
      </c>
      <c r="G2317" t="s">
        <v>22447</v>
      </c>
      <c r="H2317" t="s">
        <v>22452</v>
      </c>
      <c r="I2317" t="s">
        <v>3827</v>
      </c>
      <c r="J2317" t="s">
        <v>24201</v>
      </c>
      <c r="K2317" t="s">
        <v>29341</v>
      </c>
      <c r="M2317" t="s">
        <v>30522</v>
      </c>
      <c r="N2317" t="s">
        <v>32524</v>
      </c>
      <c r="O2317" t="s">
        <v>32525</v>
      </c>
      <c r="P2317">
        <v>0</v>
      </c>
      <c r="Q2317">
        <v>0</v>
      </c>
      <c r="R2317" t="s">
        <v>32526</v>
      </c>
      <c r="S2317" t="s">
        <v>32547</v>
      </c>
      <c r="T2317" t="s">
        <v>33169</v>
      </c>
      <c r="U2317" t="s">
        <v>35596</v>
      </c>
      <c r="W2317" t="s">
        <v>30522</v>
      </c>
      <c r="X2317" t="s">
        <v>32527</v>
      </c>
    </row>
    <row r="2318" spans="1:24">
      <c r="A2318">
        <f>HYPERLINK("https://www.philgeps.gov.ph/GEPSNONPILOT/Tender/SplashBidNoticeAbstractUI.aspx?menuIndex=3&amp;refID=7047016&amp;Result=3","7047016")</f>
        <v>0</v>
      </c>
      <c r="B2318" t="s">
        <v>826</v>
      </c>
      <c r="C2318" t="s">
        <v>4905</v>
      </c>
      <c r="E2318" t="s">
        <v>15178</v>
      </c>
      <c r="F2318" t="s">
        <v>22436</v>
      </c>
      <c r="G2318" t="s">
        <v>22445</v>
      </c>
      <c r="H2318" t="s">
        <v>22452</v>
      </c>
      <c r="I2318" t="s">
        <v>22520</v>
      </c>
      <c r="J2318" t="s">
        <v>22785</v>
      </c>
      <c r="K2318" t="s">
        <v>29357</v>
      </c>
      <c r="M2318" t="s">
        <v>30523</v>
      </c>
      <c r="N2318" t="s">
        <v>32524</v>
      </c>
      <c r="O2318" t="s">
        <v>32525</v>
      </c>
      <c r="P2318">
        <v>0</v>
      </c>
      <c r="Q2318">
        <v>2</v>
      </c>
      <c r="R2318" t="s">
        <v>32526</v>
      </c>
      <c r="S2318" t="s">
        <v>32547</v>
      </c>
      <c r="T2318" t="s">
        <v>33167</v>
      </c>
      <c r="U2318" t="s">
        <v>35597</v>
      </c>
      <c r="W2318" t="s">
        <v>30523</v>
      </c>
      <c r="X2318" t="s">
        <v>32527</v>
      </c>
    </row>
    <row r="2319" spans="1:24">
      <c r="A2319">
        <f>HYPERLINK("https://www.philgeps.gov.ph/GEPSNONPILOT/Tender/SplashBidNoticeAbstractUI.aspx?menuIndex=3&amp;refID=7047032&amp;Result=3","7047032")</f>
        <v>0</v>
      </c>
      <c r="B2319" t="s">
        <v>908</v>
      </c>
      <c r="C2319" t="s">
        <v>4898</v>
      </c>
      <c r="D2319" t="s">
        <v>13009</v>
      </c>
      <c r="E2319" t="s">
        <v>15179</v>
      </c>
      <c r="F2319" t="s">
        <v>22436</v>
      </c>
      <c r="G2319" t="s">
        <v>22443</v>
      </c>
      <c r="H2319" t="s">
        <v>22453</v>
      </c>
      <c r="I2319" t="s">
        <v>3027</v>
      </c>
      <c r="J2319" t="s">
        <v>23431</v>
      </c>
      <c r="K2319" t="s">
        <v>29358</v>
      </c>
      <c r="M2319" t="s">
        <v>30520</v>
      </c>
      <c r="N2319" t="s">
        <v>32524</v>
      </c>
      <c r="O2319" t="s">
        <v>32525</v>
      </c>
      <c r="P2319">
        <v>0</v>
      </c>
      <c r="Q2319">
        <v>0</v>
      </c>
      <c r="R2319" t="s">
        <v>32526</v>
      </c>
      <c r="S2319" t="s">
        <v>32547</v>
      </c>
      <c r="T2319" t="s">
        <v>33167</v>
      </c>
      <c r="U2319" t="s">
        <v>35598</v>
      </c>
      <c r="W2319" t="s">
        <v>30520</v>
      </c>
      <c r="X2319" t="s">
        <v>32527</v>
      </c>
    </row>
    <row r="2320" spans="1:24">
      <c r="A2320">
        <f>HYPERLINK("https://www.philgeps.gov.ph/GEPSNONPILOT/Tender/SplashBidNoticeAbstractUI.aspx?menuIndex=3&amp;refID=7047030&amp;Result=3","7047030")</f>
        <v>0</v>
      </c>
      <c r="B2320" t="s">
        <v>577</v>
      </c>
      <c r="C2320" t="s">
        <v>4906</v>
      </c>
      <c r="D2320" t="s">
        <v>13058</v>
      </c>
      <c r="E2320" t="s">
        <v>15180</v>
      </c>
      <c r="F2320" t="s">
        <v>22436</v>
      </c>
      <c r="G2320" t="s">
        <v>22444</v>
      </c>
      <c r="H2320" t="s">
        <v>22452</v>
      </c>
      <c r="I2320" t="s">
        <v>22467</v>
      </c>
      <c r="J2320" t="s">
        <v>22911</v>
      </c>
      <c r="K2320" t="s">
        <v>29335</v>
      </c>
      <c r="M2320" t="s">
        <v>30165</v>
      </c>
      <c r="N2320" t="s">
        <v>32524</v>
      </c>
      <c r="O2320" t="s">
        <v>32525</v>
      </c>
      <c r="P2320">
        <v>0</v>
      </c>
      <c r="Q2320">
        <v>0</v>
      </c>
      <c r="R2320" t="s">
        <v>32526</v>
      </c>
      <c r="S2320" t="s">
        <v>32547</v>
      </c>
      <c r="T2320" t="s">
        <v>33319</v>
      </c>
      <c r="U2320" t="s">
        <v>35599</v>
      </c>
      <c r="W2320" t="s">
        <v>30165</v>
      </c>
      <c r="X2320" t="s">
        <v>32527</v>
      </c>
    </row>
    <row r="2321" spans="1:24">
      <c r="A2321">
        <f>HYPERLINK("https://www.philgeps.gov.ph/GEPSNONPILOT/Tender/SplashBidNoticeAbstractUI.aspx?menuIndex=3&amp;refID=7047009&amp;Result=3","7047009")</f>
        <v>0</v>
      </c>
      <c r="B2321" t="s">
        <v>903</v>
      </c>
      <c r="C2321" t="s">
        <v>4907</v>
      </c>
      <c r="D2321" t="s">
        <v>13045</v>
      </c>
      <c r="E2321" t="s">
        <v>15181</v>
      </c>
      <c r="F2321" t="s">
        <v>22436</v>
      </c>
      <c r="G2321" t="s">
        <v>22443</v>
      </c>
      <c r="H2321" t="s">
        <v>22452</v>
      </c>
      <c r="I2321" t="s">
        <v>22550</v>
      </c>
      <c r="J2321" t="s">
        <v>22603</v>
      </c>
      <c r="K2321" t="s">
        <v>29335</v>
      </c>
      <c r="M2321" t="s">
        <v>30515</v>
      </c>
      <c r="N2321" t="s">
        <v>32524</v>
      </c>
      <c r="O2321" t="s">
        <v>32525</v>
      </c>
      <c r="P2321">
        <v>0</v>
      </c>
      <c r="Q2321">
        <v>0</v>
      </c>
      <c r="R2321" t="s">
        <v>32526</v>
      </c>
      <c r="S2321" t="s">
        <v>32547</v>
      </c>
      <c r="T2321" t="s">
        <v>33161</v>
      </c>
      <c r="U2321" t="s">
        <v>35600</v>
      </c>
      <c r="W2321" t="s">
        <v>30515</v>
      </c>
      <c r="X2321" t="s">
        <v>32527</v>
      </c>
    </row>
    <row r="2322" spans="1:24">
      <c r="A2322">
        <f>HYPERLINK("https://www.philgeps.gov.ph/GEPSNONPILOT/Tender/SplashBidNoticeAbstractUI.aspx?menuIndex=3&amp;refID=7047033&amp;Result=3","7047033")</f>
        <v>0</v>
      </c>
      <c r="B2322" t="s">
        <v>910</v>
      </c>
      <c r="C2322" t="s">
        <v>4908</v>
      </c>
      <c r="D2322" t="s">
        <v>13032</v>
      </c>
      <c r="E2322" t="s">
        <v>15182</v>
      </c>
      <c r="F2322" t="s">
        <v>22436</v>
      </c>
      <c r="G2322" t="s">
        <v>22443</v>
      </c>
      <c r="H2322" t="s">
        <v>22452</v>
      </c>
      <c r="I2322" t="s">
        <v>2981</v>
      </c>
      <c r="J2322" t="s">
        <v>24202</v>
      </c>
      <c r="K2322" t="s">
        <v>29338</v>
      </c>
      <c r="M2322" t="s">
        <v>30524</v>
      </c>
      <c r="N2322" t="s">
        <v>32524</v>
      </c>
      <c r="O2322" t="s">
        <v>32525</v>
      </c>
      <c r="P2322">
        <v>0</v>
      </c>
      <c r="Q2322">
        <v>1</v>
      </c>
      <c r="R2322" t="s">
        <v>32526</v>
      </c>
      <c r="S2322" t="s">
        <v>32547</v>
      </c>
      <c r="T2322" t="s">
        <v>33161</v>
      </c>
      <c r="U2322" t="s">
        <v>35601</v>
      </c>
      <c r="W2322" t="s">
        <v>30524</v>
      </c>
      <c r="X2322" t="s">
        <v>32527</v>
      </c>
    </row>
    <row r="2323" spans="1:24">
      <c r="A2323">
        <f>HYPERLINK("https://www.philgeps.gov.ph/GEPSNONPILOT/Tender/SplashBidNoticeAbstractUI.aspx?menuIndex=3&amp;refID=7047029&amp;Result=3","7047029")</f>
        <v>0</v>
      </c>
      <c r="B2323" t="s">
        <v>90</v>
      </c>
      <c r="C2323" t="s">
        <v>4909</v>
      </c>
      <c r="D2323" t="s">
        <v>13026</v>
      </c>
      <c r="E2323" t="s">
        <v>15183</v>
      </c>
      <c r="F2323" t="s">
        <v>22436</v>
      </c>
      <c r="G2323" t="s">
        <v>22443</v>
      </c>
      <c r="H2323" t="s">
        <v>22453</v>
      </c>
      <c r="I2323" t="s">
        <v>2962</v>
      </c>
      <c r="J2323" t="s">
        <v>24203</v>
      </c>
      <c r="K2323" t="s">
        <v>29331</v>
      </c>
      <c r="M2323" t="s">
        <v>29662</v>
      </c>
      <c r="N2323" t="s">
        <v>32524</v>
      </c>
      <c r="O2323" t="s">
        <v>32525</v>
      </c>
      <c r="P2323">
        <v>0</v>
      </c>
      <c r="Q2323">
        <v>0</v>
      </c>
      <c r="R2323" t="s">
        <v>32526</v>
      </c>
      <c r="S2323" t="s">
        <v>32547</v>
      </c>
      <c r="T2323" t="s">
        <v>33167</v>
      </c>
      <c r="U2323" t="s">
        <v>35602</v>
      </c>
      <c r="W2323" t="s">
        <v>29662</v>
      </c>
      <c r="X2323" t="s">
        <v>32527</v>
      </c>
    </row>
    <row r="2324" spans="1:24">
      <c r="A2324">
        <f>HYPERLINK("https://www.philgeps.gov.ph/GEPSNONPILOT/Tender/SplashBidNoticeAbstractUI.aspx?menuIndex=3&amp;refID=7047014&amp;Result=3","7047014")</f>
        <v>0</v>
      </c>
      <c r="B2324" t="s">
        <v>911</v>
      </c>
      <c r="C2324" t="s">
        <v>4910</v>
      </c>
      <c r="D2324" t="s">
        <v>12995</v>
      </c>
      <c r="E2324" t="s">
        <v>15184</v>
      </c>
      <c r="F2324" t="s">
        <v>22436</v>
      </c>
      <c r="G2324" t="s">
        <v>22446</v>
      </c>
      <c r="H2324" t="s">
        <v>22452</v>
      </c>
      <c r="I2324" t="s">
        <v>22471</v>
      </c>
      <c r="J2324" t="s">
        <v>24204</v>
      </c>
      <c r="K2324" t="s">
        <v>29341</v>
      </c>
      <c r="M2324" t="s">
        <v>30525</v>
      </c>
      <c r="N2324" t="s">
        <v>32524</v>
      </c>
      <c r="O2324" t="s">
        <v>32525</v>
      </c>
      <c r="P2324">
        <v>0</v>
      </c>
      <c r="Q2324">
        <v>8</v>
      </c>
      <c r="R2324" t="s">
        <v>32526</v>
      </c>
      <c r="S2324" t="s">
        <v>32547</v>
      </c>
      <c r="T2324" t="s">
        <v>33270</v>
      </c>
      <c r="U2324" t="s">
        <v>35603</v>
      </c>
      <c r="W2324" t="s">
        <v>30525</v>
      </c>
      <c r="X2324" t="s">
        <v>32527</v>
      </c>
    </row>
    <row r="2325" spans="1:24">
      <c r="A2325">
        <f>HYPERLINK("https://www.philgeps.gov.ph/GEPSNONPILOT/Tender/SplashBidNoticeAbstractUI.aspx?menuIndex=3&amp;refID=7047027&amp;Result=3","7047027")</f>
        <v>0</v>
      </c>
      <c r="B2325" t="s">
        <v>912</v>
      </c>
      <c r="C2325" t="s">
        <v>4911</v>
      </c>
      <c r="D2325" t="s">
        <v>13073</v>
      </c>
      <c r="E2325" t="s">
        <v>15185</v>
      </c>
      <c r="F2325" t="s">
        <v>22436</v>
      </c>
      <c r="G2325" t="s">
        <v>22443</v>
      </c>
      <c r="H2325" t="s">
        <v>22452</v>
      </c>
      <c r="I2325" t="s">
        <v>22469</v>
      </c>
      <c r="J2325" t="s">
        <v>22989</v>
      </c>
      <c r="K2325" t="s">
        <v>29341</v>
      </c>
      <c r="M2325" t="s">
        <v>30526</v>
      </c>
      <c r="N2325" t="s">
        <v>32524</v>
      </c>
      <c r="O2325" t="s">
        <v>32525</v>
      </c>
      <c r="P2325">
        <v>0</v>
      </c>
      <c r="Q2325">
        <v>3</v>
      </c>
      <c r="R2325" t="s">
        <v>32526</v>
      </c>
      <c r="S2325" t="s">
        <v>32547</v>
      </c>
      <c r="T2325" t="s">
        <v>33161</v>
      </c>
      <c r="U2325" t="s">
        <v>35604</v>
      </c>
      <c r="W2325" t="s">
        <v>30526</v>
      </c>
      <c r="X2325" t="s">
        <v>32527</v>
      </c>
    </row>
    <row r="2326" spans="1:24">
      <c r="A2326">
        <f>HYPERLINK("https://www.philgeps.gov.ph/GEPSNONPILOT/Tender/SplashBidNoticeAbstractUI.aspx?menuIndex=3&amp;refID=7047026&amp;Result=3","7047026")</f>
        <v>0</v>
      </c>
      <c r="B2326" t="s">
        <v>903</v>
      </c>
      <c r="C2326" t="s">
        <v>4912</v>
      </c>
      <c r="D2326" t="s">
        <v>13045</v>
      </c>
      <c r="E2326" t="s">
        <v>15186</v>
      </c>
      <c r="F2326" t="s">
        <v>22436</v>
      </c>
      <c r="G2326" t="s">
        <v>22443</v>
      </c>
      <c r="H2326" t="s">
        <v>22452</v>
      </c>
      <c r="I2326" t="s">
        <v>22550</v>
      </c>
      <c r="J2326" t="s">
        <v>24205</v>
      </c>
      <c r="K2326" t="s">
        <v>29335</v>
      </c>
      <c r="M2326" t="s">
        <v>30515</v>
      </c>
      <c r="N2326" t="s">
        <v>32524</v>
      </c>
      <c r="O2326" t="s">
        <v>32525</v>
      </c>
      <c r="P2326">
        <v>0</v>
      </c>
      <c r="Q2326">
        <v>0</v>
      </c>
      <c r="R2326" t="s">
        <v>32526</v>
      </c>
      <c r="S2326" t="s">
        <v>32547</v>
      </c>
      <c r="T2326" t="s">
        <v>33161</v>
      </c>
      <c r="U2326" t="s">
        <v>35605</v>
      </c>
      <c r="W2326" t="s">
        <v>30515</v>
      </c>
      <c r="X2326" t="s">
        <v>32527</v>
      </c>
    </row>
    <row r="2327" spans="1:24">
      <c r="A2327">
        <f>HYPERLINK("https://www.philgeps.gov.ph/GEPSNONPILOT/Tender/SplashBidNoticeAbstractUI.aspx?menuIndex=3&amp;refID=7047015&amp;Result=3","7047015")</f>
        <v>0</v>
      </c>
      <c r="B2327" t="s">
        <v>913</v>
      </c>
      <c r="C2327" t="s">
        <v>4913</v>
      </c>
      <c r="D2327" t="s">
        <v>13026</v>
      </c>
      <c r="E2327" t="s">
        <v>15187</v>
      </c>
      <c r="F2327" t="s">
        <v>22436</v>
      </c>
      <c r="G2327" t="s">
        <v>22446</v>
      </c>
      <c r="H2327" t="s">
        <v>22452</v>
      </c>
      <c r="I2327" t="s">
        <v>3529</v>
      </c>
      <c r="J2327" t="s">
        <v>22802</v>
      </c>
      <c r="K2327" t="s">
        <v>29331</v>
      </c>
      <c r="M2327" t="s">
        <v>30527</v>
      </c>
      <c r="N2327" t="s">
        <v>32524</v>
      </c>
      <c r="O2327" t="s">
        <v>32525</v>
      </c>
      <c r="P2327">
        <v>0</v>
      </c>
      <c r="Q2327">
        <v>0</v>
      </c>
      <c r="R2327" t="s">
        <v>32526</v>
      </c>
      <c r="S2327" t="s">
        <v>32547</v>
      </c>
      <c r="T2327" t="s">
        <v>33256</v>
      </c>
      <c r="U2327" t="s">
        <v>35606</v>
      </c>
      <c r="W2327" t="s">
        <v>30527</v>
      </c>
      <c r="X2327" t="s">
        <v>32527</v>
      </c>
    </row>
    <row r="2328" spans="1:24">
      <c r="A2328">
        <f>HYPERLINK("https://www.philgeps.gov.ph/GEPSNONPILOT/Tender/SplashBidNoticeAbstractUI.aspx?menuIndex=3&amp;refID=7047031&amp;Result=3","7047031")</f>
        <v>0</v>
      </c>
      <c r="B2328" t="s">
        <v>902</v>
      </c>
      <c r="C2328" t="s">
        <v>4914</v>
      </c>
      <c r="D2328" t="s">
        <v>13032</v>
      </c>
      <c r="E2328" t="s">
        <v>15188</v>
      </c>
      <c r="F2328" t="s">
        <v>22436</v>
      </c>
      <c r="G2328" t="s">
        <v>22444</v>
      </c>
      <c r="H2328" t="s">
        <v>22452</v>
      </c>
      <c r="I2328" t="s">
        <v>22470</v>
      </c>
      <c r="J2328" t="s">
        <v>24206</v>
      </c>
      <c r="K2328" t="s">
        <v>29338</v>
      </c>
      <c r="M2328" t="s">
        <v>30513</v>
      </c>
      <c r="N2328" t="s">
        <v>32524</v>
      </c>
      <c r="O2328" t="s">
        <v>32525</v>
      </c>
      <c r="P2328">
        <v>0</v>
      </c>
      <c r="Q2328">
        <v>0</v>
      </c>
      <c r="R2328" t="s">
        <v>32526</v>
      </c>
      <c r="S2328" t="s">
        <v>32547</v>
      </c>
      <c r="T2328" t="s">
        <v>33181</v>
      </c>
      <c r="U2328" t="s">
        <v>35607</v>
      </c>
      <c r="W2328" t="s">
        <v>30513</v>
      </c>
      <c r="X2328" t="s">
        <v>32527</v>
      </c>
    </row>
    <row r="2329" spans="1:24">
      <c r="A2329">
        <f>HYPERLINK("https://www.philgeps.gov.ph/GEPSNONPILOT/Tender/SplashBidNoticeAbstractUI.aspx?menuIndex=3&amp;refID=7047028&amp;Result=3","7047028")</f>
        <v>0</v>
      </c>
      <c r="B2329" t="s">
        <v>914</v>
      </c>
      <c r="C2329" t="s">
        <v>4915</v>
      </c>
      <c r="D2329" t="s">
        <v>13026</v>
      </c>
      <c r="E2329" t="s">
        <v>15189</v>
      </c>
      <c r="F2329" t="s">
        <v>22436</v>
      </c>
      <c r="G2329" t="s">
        <v>22446</v>
      </c>
      <c r="H2329" t="s">
        <v>22452</v>
      </c>
      <c r="I2329" t="s">
        <v>2981</v>
      </c>
      <c r="J2329" t="s">
        <v>22706</v>
      </c>
      <c r="K2329" t="s">
        <v>29357</v>
      </c>
      <c r="M2329" t="s">
        <v>30528</v>
      </c>
      <c r="N2329" t="s">
        <v>32524</v>
      </c>
      <c r="O2329" t="s">
        <v>32525</v>
      </c>
      <c r="P2329">
        <v>0</v>
      </c>
      <c r="Q2329">
        <v>0</v>
      </c>
      <c r="R2329" t="s">
        <v>32526</v>
      </c>
      <c r="S2329" t="s">
        <v>32547</v>
      </c>
      <c r="T2329" t="s">
        <v>33213</v>
      </c>
      <c r="U2329" t="s">
        <v>35608</v>
      </c>
      <c r="W2329" t="s">
        <v>30528</v>
      </c>
      <c r="X2329" t="s">
        <v>32527</v>
      </c>
    </row>
    <row r="2330" spans="1:24">
      <c r="A2330">
        <f>HYPERLINK("https://www.philgeps.gov.ph/GEPSNONPILOT/Tender/SplashBidNoticeAbstractUI.aspx?menuIndex=3&amp;refID=7047040&amp;Result=3","7047040")</f>
        <v>0</v>
      </c>
      <c r="B2330" t="s">
        <v>826</v>
      </c>
      <c r="C2330" t="s">
        <v>4905</v>
      </c>
      <c r="D2330" t="s">
        <v>12998</v>
      </c>
      <c r="E2330" t="s">
        <v>15190</v>
      </c>
      <c r="F2330" t="s">
        <v>22436</v>
      </c>
      <c r="G2330" t="s">
        <v>22446</v>
      </c>
      <c r="H2330" t="s">
        <v>22452</v>
      </c>
      <c r="I2330" t="s">
        <v>22463</v>
      </c>
      <c r="J2330" t="s">
        <v>22874</v>
      </c>
      <c r="K2330" t="s">
        <v>29357</v>
      </c>
      <c r="M2330" t="s">
        <v>30523</v>
      </c>
      <c r="N2330" t="s">
        <v>32524</v>
      </c>
      <c r="O2330" t="s">
        <v>32525</v>
      </c>
      <c r="P2330">
        <v>0</v>
      </c>
      <c r="Q2330">
        <v>2</v>
      </c>
      <c r="R2330" t="s">
        <v>32526</v>
      </c>
      <c r="S2330" t="s">
        <v>32547</v>
      </c>
      <c r="T2330" t="s">
        <v>33167</v>
      </c>
      <c r="U2330" t="s">
        <v>35609</v>
      </c>
      <c r="W2330" t="s">
        <v>30523</v>
      </c>
      <c r="X2330" t="s">
        <v>32527</v>
      </c>
    </row>
    <row r="2331" spans="1:24">
      <c r="A2331">
        <f>HYPERLINK("https://www.philgeps.gov.ph/GEPSNONPILOT/Tender/SplashBidNoticeAbstractUI.aspx?menuIndex=3&amp;refID=7047013&amp;Result=3","7047013")</f>
        <v>0</v>
      </c>
      <c r="B2331" t="s">
        <v>902</v>
      </c>
      <c r="C2331" t="s">
        <v>4916</v>
      </c>
      <c r="D2331" t="s">
        <v>13032</v>
      </c>
      <c r="E2331" t="s">
        <v>15191</v>
      </c>
      <c r="F2331" t="s">
        <v>22436</v>
      </c>
      <c r="G2331" t="s">
        <v>22444</v>
      </c>
      <c r="H2331" t="s">
        <v>22452</v>
      </c>
      <c r="I2331" t="s">
        <v>5194</v>
      </c>
      <c r="J2331" t="s">
        <v>24207</v>
      </c>
      <c r="K2331" t="s">
        <v>29338</v>
      </c>
      <c r="M2331" t="s">
        <v>30513</v>
      </c>
      <c r="N2331" t="s">
        <v>32524</v>
      </c>
      <c r="O2331" t="s">
        <v>32525</v>
      </c>
      <c r="P2331">
        <v>0</v>
      </c>
      <c r="Q2331">
        <v>0</v>
      </c>
      <c r="R2331" t="s">
        <v>32526</v>
      </c>
      <c r="S2331" t="s">
        <v>32547</v>
      </c>
      <c r="T2331" t="s">
        <v>33181</v>
      </c>
      <c r="U2331" t="s">
        <v>35610</v>
      </c>
      <c r="W2331" t="s">
        <v>30513</v>
      </c>
      <c r="X2331" t="s">
        <v>32527</v>
      </c>
    </row>
    <row r="2332" spans="1:24">
      <c r="A2332">
        <f>HYPERLINK("https://www.philgeps.gov.ph/GEPSNONPILOT/Tender/SplashBidNoticeAbstractUI.aspx?menuIndex=3&amp;refID=7047041&amp;Result=3","7047041")</f>
        <v>0</v>
      </c>
      <c r="B2332" t="s">
        <v>903</v>
      </c>
      <c r="C2332" t="s">
        <v>4917</v>
      </c>
      <c r="D2332" t="s">
        <v>13045</v>
      </c>
      <c r="E2332" t="s">
        <v>15192</v>
      </c>
      <c r="F2332" t="s">
        <v>22436</v>
      </c>
      <c r="G2332" t="s">
        <v>22443</v>
      </c>
      <c r="H2332" t="s">
        <v>22452</v>
      </c>
      <c r="I2332" t="s">
        <v>22550</v>
      </c>
      <c r="J2332" t="s">
        <v>24205</v>
      </c>
      <c r="K2332" t="s">
        <v>29335</v>
      </c>
      <c r="M2332" t="s">
        <v>30515</v>
      </c>
      <c r="N2332" t="s">
        <v>32524</v>
      </c>
      <c r="O2332" t="s">
        <v>32525</v>
      </c>
      <c r="P2332">
        <v>0</v>
      </c>
      <c r="Q2332">
        <v>0</v>
      </c>
      <c r="R2332" t="s">
        <v>32526</v>
      </c>
      <c r="S2332" t="s">
        <v>32547</v>
      </c>
      <c r="T2332" t="s">
        <v>33161</v>
      </c>
      <c r="U2332" t="s">
        <v>35611</v>
      </c>
      <c r="W2332" t="s">
        <v>30515</v>
      </c>
      <c r="X2332" t="s">
        <v>32527</v>
      </c>
    </row>
    <row r="2333" spans="1:24">
      <c r="A2333">
        <f>HYPERLINK("https://www.philgeps.gov.ph/GEPSNONPILOT/Tender/SplashBidNoticeAbstractUI.aspx?menuIndex=3&amp;refID=7047039&amp;Result=3","7047039")</f>
        <v>0</v>
      </c>
      <c r="B2333" t="s">
        <v>915</v>
      </c>
      <c r="C2333" t="s">
        <v>4918</v>
      </c>
      <c r="D2333" t="s">
        <v>13013</v>
      </c>
      <c r="E2333" t="s">
        <v>15193</v>
      </c>
      <c r="F2333" t="s">
        <v>22436</v>
      </c>
      <c r="G2333" t="s">
        <v>22443</v>
      </c>
      <c r="H2333" t="s">
        <v>22452</v>
      </c>
      <c r="I2333" t="s">
        <v>2993</v>
      </c>
      <c r="J2333" t="s">
        <v>24208</v>
      </c>
      <c r="K2333" t="s">
        <v>29357</v>
      </c>
      <c r="M2333" t="s">
        <v>30529</v>
      </c>
      <c r="N2333" t="s">
        <v>32524</v>
      </c>
      <c r="O2333" t="s">
        <v>32525</v>
      </c>
      <c r="P2333">
        <v>0</v>
      </c>
      <c r="Q2333">
        <v>0</v>
      </c>
      <c r="R2333" t="s">
        <v>32526</v>
      </c>
      <c r="S2333" t="s">
        <v>32547</v>
      </c>
      <c r="T2333" t="s">
        <v>33196</v>
      </c>
      <c r="U2333" t="s">
        <v>35612</v>
      </c>
      <c r="V2333" t="s">
        <v>42645</v>
      </c>
      <c r="W2333" t="s">
        <v>30529</v>
      </c>
      <c r="X2333" t="s">
        <v>32527</v>
      </c>
    </row>
    <row r="2334" spans="1:24">
      <c r="A2334">
        <f>HYPERLINK("https://www.philgeps.gov.ph/GEPSNONPILOT/Tender/SplashBidNoticeAbstractUI.aspx?menuIndex=3&amp;refID=7047037&amp;Result=3","7047037")</f>
        <v>0</v>
      </c>
      <c r="B2334" t="s">
        <v>344</v>
      </c>
      <c r="C2334" t="s">
        <v>4919</v>
      </c>
      <c r="D2334" t="s">
        <v>13051</v>
      </c>
      <c r="E2334" t="s">
        <v>15194</v>
      </c>
      <c r="F2334" t="s">
        <v>22436</v>
      </c>
      <c r="G2334" t="s">
        <v>22443</v>
      </c>
      <c r="H2334" t="s">
        <v>22454</v>
      </c>
      <c r="I2334" t="s">
        <v>7738</v>
      </c>
      <c r="J2334" t="s">
        <v>24209</v>
      </c>
      <c r="K2334" t="s">
        <v>29337</v>
      </c>
      <c r="M2334" t="s">
        <v>29920</v>
      </c>
      <c r="N2334" t="s">
        <v>32524</v>
      </c>
      <c r="O2334" t="s">
        <v>32525</v>
      </c>
      <c r="P2334">
        <v>0</v>
      </c>
      <c r="Q2334">
        <v>0</v>
      </c>
      <c r="R2334" t="s">
        <v>32526</v>
      </c>
      <c r="S2334" t="s">
        <v>32547</v>
      </c>
      <c r="T2334" t="s">
        <v>33154</v>
      </c>
      <c r="U2334" t="s">
        <v>35613</v>
      </c>
      <c r="W2334" t="s">
        <v>29920</v>
      </c>
      <c r="X2334" t="s">
        <v>32527</v>
      </c>
    </row>
    <row r="2335" spans="1:24">
      <c r="A2335">
        <f>HYPERLINK("https://www.philgeps.gov.ph/GEPSNONPILOT/Tender/SplashBidNoticeAbstractUI.aspx?menuIndex=3&amp;refID=7047046&amp;Result=3","7047046")</f>
        <v>0</v>
      </c>
      <c r="B2335" t="s">
        <v>910</v>
      </c>
      <c r="C2335" t="s">
        <v>4920</v>
      </c>
      <c r="D2335" t="s">
        <v>12998</v>
      </c>
      <c r="E2335" t="s">
        <v>15195</v>
      </c>
      <c r="F2335" t="s">
        <v>22436</v>
      </c>
      <c r="G2335" t="s">
        <v>22446</v>
      </c>
      <c r="H2335" t="s">
        <v>22452</v>
      </c>
      <c r="I2335" t="s">
        <v>2981</v>
      </c>
      <c r="J2335" t="s">
        <v>24210</v>
      </c>
      <c r="K2335" t="s">
        <v>29338</v>
      </c>
      <c r="M2335" t="s">
        <v>30524</v>
      </c>
      <c r="N2335" t="s">
        <v>32524</v>
      </c>
      <c r="O2335" t="s">
        <v>32525</v>
      </c>
      <c r="P2335">
        <v>0</v>
      </c>
      <c r="Q2335">
        <v>0</v>
      </c>
      <c r="R2335" t="s">
        <v>32526</v>
      </c>
      <c r="S2335" t="s">
        <v>32547</v>
      </c>
      <c r="T2335" t="s">
        <v>33161</v>
      </c>
      <c r="U2335" t="s">
        <v>35614</v>
      </c>
      <c r="W2335" t="s">
        <v>30524</v>
      </c>
      <c r="X2335" t="s">
        <v>32527</v>
      </c>
    </row>
    <row r="2336" spans="1:24">
      <c r="A2336">
        <f>HYPERLINK("https://www.philgeps.gov.ph/GEPSNONPILOT/Tender/SplashBidNoticeAbstractUI.aspx?menuIndex=3&amp;refID=7047043&amp;Result=3","7047043")</f>
        <v>0</v>
      </c>
      <c r="B2336" t="s">
        <v>902</v>
      </c>
      <c r="C2336" t="s">
        <v>4921</v>
      </c>
      <c r="D2336" t="s">
        <v>13032</v>
      </c>
      <c r="E2336" t="s">
        <v>15196</v>
      </c>
      <c r="F2336" t="s">
        <v>22436</v>
      </c>
      <c r="G2336" t="s">
        <v>22444</v>
      </c>
      <c r="H2336" t="s">
        <v>22452</v>
      </c>
      <c r="I2336" t="s">
        <v>3827</v>
      </c>
      <c r="J2336" t="s">
        <v>24211</v>
      </c>
      <c r="K2336" t="s">
        <v>29338</v>
      </c>
      <c r="M2336" t="s">
        <v>30513</v>
      </c>
      <c r="N2336" t="s">
        <v>32524</v>
      </c>
      <c r="O2336" t="s">
        <v>32525</v>
      </c>
      <c r="P2336">
        <v>0</v>
      </c>
      <c r="Q2336">
        <v>1</v>
      </c>
      <c r="R2336" t="s">
        <v>32526</v>
      </c>
      <c r="S2336" t="s">
        <v>32547</v>
      </c>
      <c r="T2336" t="s">
        <v>33181</v>
      </c>
      <c r="U2336" t="s">
        <v>35615</v>
      </c>
      <c r="W2336" t="s">
        <v>30513</v>
      </c>
      <c r="X2336" t="s">
        <v>32527</v>
      </c>
    </row>
    <row r="2337" spans="1:24">
      <c r="A2337">
        <f>HYPERLINK("https://www.philgeps.gov.ph/GEPSNONPILOT/Tender/SplashBidNoticeAbstractUI.aspx?menuIndex=3&amp;refID=7047047&amp;Result=3","7047047")</f>
        <v>0</v>
      </c>
      <c r="B2337" t="s">
        <v>36</v>
      </c>
      <c r="C2337" t="s">
        <v>4922</v>
      </c>
      <c r="D2337" t="s">
        <v>12998</v>
      </c>
      <c r="E2337" t="s">
        <v>4922</v>
      </c>
      <c r="F2337" t="s">
        <v>22436</v>
      </c>
      <c r="G2337" t="s">
        <v>22443</v>
      </c>
      <c r="H2337" t="s">
        <v>22452</v>
      </c>
      <c r="I2337" t="s">
        <v>22487</v>
      </c>
      <c r="J2337" t="s">
        <v>24212</v>
      </c>
      <c r="K2337" t="s">
        <v>29335</v>
      </c>
      <c r="M2337" t="s">
        <v>29606</v>
      </c>
      <c r="N2337" t="s">
        <v>32524</v>
      </c>
      <c r="O2337" t="s">
        <v>32525</v>
      </c>
      <c r="P2337">
        <v>0</v>
      </c>
      <c r="Q2337">
        <v>0</v>
      </c>
      <c r="R2337" t="s">
        <v>32526</v>
      </c>
      <c r="S2337" t="s">
        <v>32547</v>
      </c>
      <c r="T2337" t="s">
        <v>33161</v>
      </c>
      <c r="U2337" t="s">
        <v>35616</v>
      </c>
      <c r="W2337" t="s">
        <v>29606</v>
      </c>
      <c r="X2337" t="s">
        <v>32527</v>
      </c>
    </row>
    <row r="2338" spans="1:24">
      <c r="A2338">
        <f>HYPERLINK("https://www.philgeps.gov.ph/GEPSNONPILOT/Tender/SplashBidNoticeAbstractUI.aspx?menuIndex=3&amp;refID=7047036&amp;Result=3","7047036")</f>
        <v>0</v>
      </c>
      <c r="B2338" t="s">
        <v>916</v>
      </c>
      <c r="C2338" t="s">
        <v>4923</v>
      </c>
      <c r="D2338" t="s">
        <v>13007</v>
      </c>
      <c r="E2338" t="s">
        <v>13287</v>
      </c>
      <c r="F2338" t="s">
        <v>22441</v>
      </c>
      <c r="G2338" t="s">
        <v>22444</v>
      </c>
      <c r="H2338" t="s">
        <v>22452</v>
      </c>
      <c r="I2338" t="s">
        <v>22474</v>
      </c>
      <c r="J2338" t="s">
        <v>22788</v>
      </c>
      <c r="K2338" t="s">
        <v>29336</v>
      </c>
      <c r="M2338" t="s">
        <v>30530</v>
      </c>
      <c r="N2338" t="s">
        <v>32524</v>
      </c>
      <c r="O2338" t="s">
        <v>32525</v>
      </c>
      <c r="P2338">
        <v>0</v>
      </c>
      <c r="Q2338">
        <v>0</v>
      </c>
      <c r="R2338" t="s">
        <v>32526</v>
      </c>
      <c r="S2338" t="s">
        <v>32547</v>
      </c>
      <c r="T2338" t="s">
        <v>33158</v>
      </c>
      <c r="U2338" t="s">
        <v>35617</v>
      </c>
      <c r="W2338" t="s">
        <v>30530</v>
      </c>
      <c r="X2338" t="s">
        <v>32527</v>
      </c>
    </row>
    <row r="2339" spans="1:24">
      <c r="A2339">
        <f>HYPERLINK("https://www.philgeps.gov.ph/GEPSNONPILOT/Tender/SplashBidNoticeAbstractUI.aspx?menuIndex=3&amp;refID=7047034&amp;Result=3","7047034")</f>
        <v>0</v>
      </c>
      <c r="B2339" t="s">
        <v>905</v>
      </c>
      <c r="C2339" t="s">
        <v>4924</v>
      </c>
      <c r="D2339" t="s">
        <v>13018</v>
      </c>
      <c r="E2339" t="s">
        <v>15197</v>
      </c>
      <c r="F2339" t="s">
        <v>22436</v>
      </c>
      <c r="G2339" t="s">
        <v>22444</v>
      </c>
      <c r="H2339" t="s">
        <v>22452</v>
      </c>
      <c r="I2339" t="s">
        <v>22474</v>
      </c>
      <c r="J2339" t="s">
        <v>22669</v>
      </c>
      <c r="K2339" t="s">
        <v>29356</v>
      </c>
      <c r="M2339" t="s">
        <v>30517</v>
      </c>
      <c r="N2339" t="s">
        <v>32524</v>
      </c>
      <c r="O2339" t="s">
        <v>32525</v>
      </c>
      <c r="P2339">
        <v>0</v>
      </c>
      <c r="Q2339">
        <v>2</v>
      </c>
      <c r="R2339" t="s">
        <v>32526</v>
      </c>
      <c r="S2339" t="s">
        <v>32547</v>
      </c>
      <c r="T2339" t="s">
        <v>33165</v>
      </c>
      <c r="U2339" t="s">
        <v>35618</v>
      </c>
      <c r="W2339" t="s">
        <v>30517</v>
      </c>
      <c r="X2339" t="s">
        <v>32527</v>
      </c>
    </row>
    <row r="2340" spans="1:24">
      <c r="A2340">
        <f>HYPERLINK("https://www.philgeps.gov.ph/GEPSNONPILOT/Tender/SplashBidNoticeAbstractUI.aspx?menuIndex=3&amp;refID=7047044&amp;Result=3","7047044")</f>
        <v>0</v>
      </c>
      <c r="B2340" t="s">
        <v>917</v>
      </c>
      <c r="C2340" t="s">
        <v>3829</v>
      </c>
      <c r="D2340" t="s">
        <v>12988</v>
      </c>
      <c r="E2340" t="s">
        <v>15198</v>
      </c>
      <c r="F2340" t="s">
        <v>22436</v>
      </c>
      <c r="G2340" t="s">
        <v>22443</v>
      </c>
      <c r="H2340" t="s">
        <v>22452</v>
      </c>
      <c r="I2340" t="s">
        <v>22460</v>
      </c>
      <c r="J2340" t="s">
        <v>24213</v>
      </c>
      <c r="K2340" t="s">
        <v>29356</v>
      </c>
      <c r="M2340" t="s">
        <v>30531</v>
      </c>
      <c r="N2340" t="s">
        <v>32524</v>
      </c>
      <c r="O2340" t="s">
        <v>32525</v>
      </c>
      <c r="P2340">
        <v>0</v>
      </c>
      <c r="Q2340">
        <v>4</v>
      </c>
      <c r="R2340" t="s">
        <v>32526</v>
      </c>
      <c r="S2340" t="s">
        <v>32547</v>
      </c>
      <c r="T2340" t="s">
        <v>33161</v>
      </c>
      <c r="U2340" t="s">
        <v>34688</v>
      </c>
      <c r="W2340" t="s">
        <v>30531</v>
      </c>
      <c r="X2340" t="s">
        <v>32527</v>
      </c>
    </row>
    <row r="2341" spans="1:24">
      <c r="A2341">
        <f>HYPERLINK("https://www.philgeps.gov.ph/GEPSNONPILOT/Tender/SplashBidNoticeAbstractUI.aspx?menuIndex=3&amp;refID=7047038&amp;Result=3","7047038")</f>
        <v>0</v>
      </c>
      <c r="B2341" t="s">
        <v>914</v>
      </c>
      <c r="C2341" t="s">
        <v>4925</v>
      </c>
      <c r="D2341" t="s">
        <v>13026</v>
      </c>
      <c r="E2341" t="s">
        <v>15199</v>
      </c>
      <c r="F2341" t="s">
        <v>22436</v>
      </c>
      <c r="G2341" t="s">
        <v>22446</v>
      </c>
      <c r="H2341" t="s">
        <v>22452</v>
      </c>
      <c r="I2341" t="s">
        <v>2981</v>
      </c>
      <c r="J2341" t="s">
        <v>22800</v>
      </c>
      <c r="K2341" t="s">
        <v>29357</v>
      </c>
      <c r="M2341" t="s">
        <v>30528</v>
      </c>
      <c r="N2341" t="s">
        <v>32524</v>
      </c>
      <c r="O2341" t="s">
        <v>32525</v>
      </c>
      <c r="P2341">
        <v>0</v>
      </c>
      <c r="Q2341">
        <v>1</v>
      </c>
      <c r="R2341" t="s">
        <v>32526</v>
      </c>
      <c r="S2341" t="s">
        <v>32547</v>
      </c>
      <c r="T2341" t="s">
        <v>33185</v>
      </c>
      <c r="U2341" t="s">
        <v>35619</v>
      </c>
      <c r="W2341" t="s">
        <v>30528</v>
      </c>
      <c r="X2341" t="s">
        <v>32527</v>
      </c>
    </row>
    <row r="2342" spans="1:24">
      <c r="A2342">
        <f>HYPERLINK("https://www.philgeps.gov.ph/GEPSNONPILOT/Tender/SplashBidNoticeAbstractUI.aspx?menuIndex=3&amp;refID=7047061&amp;Result=3","7047061")</f>
        <v>0</v>
      </c>
      <c r="B2342" t="s">
        <v>918</v>
      </c>
      <c r="C2342" t="s">
        <v>4926</v>
      </c>
      <c r="D2342" t="s">
        <v>12996</v>
      </c>
      <c r="E2342" t="s">
        <v>15200</v>
      </c>
      <c r="F2342" t="s">
        <v>22436</v>
      </c>
      <c r="G2342" t="s">
        <v>22443</v>
      </c>
      <c r="H2342" t="s">
        <v>22452</v>
      </c>
      <c r="I2342" t="s">
        <v>22515</v>
      </c>
      <c r="J2342" t="s">
        <v>24214</v>
      </c>
      <c r="K2342" t="s">
        <v>29336</v>
      </c>
      <c r="M2342" t="s">
        <v>30532</v>
      </c>
      <c r="N2342" t="s">
        <v>32524</v>
      </c>
      <c r="O2342" t="s">
        <v>32525</v>
      </c>
      <c r="P2342">
        <v>0</v>
      </c>
      <c r="Q2342">
        <v>0</v>
      </c>
      <c r="R2342" t="s">
        <v>32526</v>
      </c>
      <c r="S2342" t="s">
        <v>32547</v>
      </c>
      <c r="T2342" t="s">
        <v>33206</v>
      </c>
      <c r="U2342" t="s">
        <v>35620</v>
      </c>
      <c r="W2342" t="s">
        <v>30532</v>
      </c>
      <c r="X2342" t="s">
        <v>32527</v>
      </c>
    </row>
    <row r="2343" spans="1:24">
      <c r="A2343">
        <f>HYPERLINK("https://www.philgeps.gov.ph/GEPSNONPILOT/Tender/SplashBidNoticeAbstractUI.aspx?menuIndex=3&amp;refID=7047060&amp;Result=3","7047060")</f>
        <v>0</v>
      </c>
      <c r="B2343" t="s">
        <v>669</v>
      </c>
      <c r="C2343" t="s">
        <v>4927</v>
      </c>
      <c r="D2343" t="s">
        <v>12988</v>
      </c>
      <c r="E2343" t="s">
        <v>15201</v>
      </c>
      <c r="F2343" t="s">
        <v>22436</v>
      </c>
      <c r="G2343" t="s">
        <v>22443</v>
      </c>
      <c r="H2343" t="s">
        <v>22452</v>
      </c>
      <c r="I2343" t="s">
        <v>3827</v>
      </c>
      <c r="J2343" t="s">
        <v>22915</v>
      </c>
      <c r="K2343" t="s">
        <v>29335</v>
      </c>
      <c r="M2343" t="s">
        <v>30261</v>
      </c>
      <c r="N2343" t="s">
        <v>32524</v>
      </c>
      <c r="O2343" t="s">
        <v>32525</v>
      </c>
      <c r="P2343">
        <v>0</v>
      </c>
      <c r="Q2343">
        <v>5</v>
      </c>
      <c r="R2343" t="s">
        <v>32526</v>
      </c>
      <c r="S2343" t="s">
        <v>32547</v>
      </c>
      <c r="T2343" t="s">
        <v>33252</v>
      </c>
      <c r="U2343" t="s">
        <v>35621</v>
      </c>
      <c r="W2343" t="s">
        <v>30261</v>
      </c>
      <c r="X2343" t="s">
        <v>32527</v>
      </c>
    </row>
    <row r="2344" spans="1:24">
      <c r="A2344">
        <f>HYPERLINK("https://www.philgeps.gov.ph/GEPSNONPILOT/Tender/SplashBidNoticeAbstractUI.aspx?menuIndex=3&amp;refID=7047058&amp;Result=3","7047058")</f>
        <v>0</v>
      </c>
      <c r="B2344" t="s">
        <v>917</v>
      </c>
      <c r="C2344" t="s">
        <v>4928</v>
      </c>
      <c r="D2344" t="s">
        <v>12988</v>
      </c>
      <c r="E2344" t="s">
        <v>15202</v>
      </c>
      <c r="F2344" t="s">
        <v>22436</v>
      </c>
      <c r="G2344" t="s">
        <v>22443</v>
      </c>
      <c r="H2344" t="s">
        <v>22452</v>
      </c>
      <c r="I2344" t="s">
        <v>2981</v>
      </c>
      <c r="J2344" t="s">
        <v>23602</v>
      </c>
      <c r="K2344" t="s">
        <v>29356</v>
      </c>
      <c r="M2344" t="s">
        <v>30531</v>
      </c>
      <c r="N2344" t="s">
        <v>32524</v>
      </c>
      <c r="O2344" t="s">
        <v>32525</v>
      </c>
      <c r="P2344">
        <v>0</v>
      </c>
      <c r="Q2344">
        <v>9</v>
      </c>
      <c r="R2344" t="s">
        <v>32526</v>
      </c>
      <c r="S2344" t="s">
        <v>32547</v>
      </c>
      <c r="T2344" t="s">
        <v>33250</v>
      </c>
      <c r="U2344" t="s">
        <v>35622</v>
      </c>
      <c r="W2344" t="s">
        <v>30531</v>
      </c>
      <c r="X2344" t="s">
        <v>32527</v>
      </c>
    </row>
    <row r="2345" spans="1:24">
      <c r="A2345">
        <f>HYPERLINK("https://www.philgeps.gov.ph/GEPSNONPILOT/Tender/SplashBidNoticeAbstractUI.aspx?menuIndex=3&amp;refID=7047062&amp;Result=3","7047062")</f>
        <v>0</v>
      </c>
      <c r="B2345" t="s">
        <v>910</v>
      </c>
      <c r="C2345" t="s">
        <v>4929</v>
      </c>
      <c r="D2345" t="s">
        <v>12998</v>
      </c>
      <c r="E2345" t="s">
        <v>15203</v>
      </c>
      <c r="F2345" t="s">
        <v>22436</v>
      </c>
      <c r="G2345" t="s">
        <v>22443</v>
      </c>
      <c r="H2345" t="s">
        <v>22452</v>
      </c>
      <c r="I2345" t="s">
        <v>22461</v>
      </c>
      <c r="J2345" t="s">
        <v>24215</v>
      </c>
      <c r="K2345" t="s">
        <v>29338</v>
      </c>
      <c r="M2345" t="s">
        <v>30524</v>
      </c>
      <c r="N2345" t="s">
        <v>32524</v>
      </c>
      <c r="O2345" t="s">
        <v>32525</v>
      </c>
      <c r="P2345">
        <v>0</v>
      </c>
      <c r="Q2345">
        <v>1</v>
      </c>
      <c r="R2345" t="s">
        <v>32526</v>
      </c>
      <c r="S2345" t="s">
        <v>32547</v>
      </c>
      <c r="T2345" t="s">
        <v>33161</v>
      </c>
      <c r="U2345" t="s">
        <v>35623</v>
      </c>
      <c r="W2345" t="s">
        <v>30524</v>
      </c>
      <c r="X2345" t="s">
        <v>32527</v>
      </c>
    </row>
    <row r="2346" spans="1:24">
      <c r="A2346">
        <f>HYPERLINK("https://www.philgeps.gov.ph/GEPSNONPILOT/Tender/SplashBidNoticeAbstractUI.aspx?menuIndex=3&amp;refID=7047050&amp;Result=3","7047050")</f>
        <v>0</v>
      </c>
      <c r="B2346" t="s">
        <v>527</v>
      </c>
      <c r="C2346" t="s">
        <v>4930</v>
      </c>
      <c r="D2346" t="s">
        <v>12988</v>
      </c>
      <c r="E2346" t="s">
        <v>15204</v>
      </c>
      <c r="F2346" t="s">
        <v>22436</v>
      </c>
      <c r="G2346" t="s">
        <v>22444</v>
      </c>
      <c r="H2346" t="s">
        <v>22452</v>
      </c>
      <c r="I2346" t="s">
        <v>22516</v>
      </c>
      <c r="J2346" t="s">
        <v>24216</v>
      </c>
      <c r="K2346" t="s">
        <v>29353</v>
      </c>
      <c r="M2346" t="s">
        <v>30492</v>
      </c>
      <c r="N2346" t="s">
        <v>32524</v>
      </c>
      <c r="O2346" t="s">
        <v>32525</v>
      </c>
      <c r="P2346">
        <v>0</v>
      </c>
      <c r="Q2346">
        <v>2</v>
      </c>
      <c r="R2346" t="s">
        <v>32526</v>
      </c>
      <c r="S2346" t="s">
        <v>32547</v>
      </c>
      <c r="T2346" t="s">
        <v>33272</v>
      </c>
      <c r="U2346" t="s">
        <v>35624</v>
      </c>
      <c r="W2346" t="s">
        <v>30492</v>
      </c>
      <c r="X2346" t="s">
        <v>32527</v>
      </c>
    </row>
    <row r="2347" spans="1:24">
      <c r="A2347">
        <f>HYPERLINK("https://www.philgeps.gov.ph/GEPSNONPILOT/Tender/SplashBidNoticeAbstractUI.aspx?menuIndex=3&amp;refID=7047056&amp;Result=3","7047056")</f>
        <v>0</v>
      </c>
      <c r="B2347" t="s">
        <v>902</v>
      </c>
      <c r="C2347" t="s">
        <v>4931</v>
      </c>
      <c r="D2347" t="s">
        <v>13032</v>
      </c>
      <c r="E2347" t="s">
        <v>15205</v>
      </c>
      <c r="F2347" t="s">
        <v>22436</v>
      </c>
      <c r="G2347" t="s">
        <v>22444</v>
      </c>
      <c r="H2347" t="s">
        <v>22452</v>
      </c>
      <c r="I2347" t="s">
        <v>22469</v>
      </c>
      <c r="J2347" t="s">
        <v>24217</v>
      </c>
      <c r="K2347" t="s">
        <v>29338</v>
      </c>
      <c r="M2347" t="s">
        <v>30513</v>
      </c>
      <c r="N2347" t="s">
        <v>32524</v>
      </c>
      <c r="O2347" t="s">
        <v>32525</v>
      </c>
      <c r="P2347">
        <v>0</v>
      </c>
      <c r="Q2347">
        <v>0</v>
      </c>
      <c r="R2347" t="s">
        <v>32526</v>
      </c>
      <c r="S2347" t="s">
        <v>32547</v>
      </c>
      <c r="T2347" t="s">
        <v>33181</v>
      </c>
      <c r="U2347" t="s">
        <v>35625</v>
      </c>
      <c r="W2347" t="s">
        <v>30513</v>
      </c>
      <c r="X2347" t="s">
        <v>32527</v>
      </c>
    </row>
    <row r="2348" spans="1:24">
      <c r="A2348">
        <f>HYPERLINK("https://www.philgeps.gov.ph/GEPSNONPILOT/Tender/SplashBidNoticeAbstractUI.aspx?menuIndex=3&amp;refID=7047055&amp;Result=3","7047055")</f>
        <v>0</v>
      </c>
      <c r="B2348" t="s">
        <v>910</v>
      </c>
      <c r="C2348" t="s">
        <v>4932</v>
      </c>
      <c r="D2348" t="s">
        <v>12998</v>
      </c>
      <c r="E2348" t="s">
        <v>15206</v>
      </c>
      <c r="F2348" t="s">
        <v>22436</v>
      </c>
      <c r="G2348" t="s">
        <v>22443</v>
      </c>
      <c r="H2348" t="s">
        <v>22452</v>
      </c>
      <c r="I2348" t="s">
        <v>2981</v>
      </c>
      <c r="J2348" t="s">
        <v>24218</v>
      </c>
      <c r="K2348" t="s">
        <v>29338</v>
      </c>
      <c r="M2348" t="s">
        <v>30524</v>
      </c>
      <c r="N2348" t="s">
        <v>32524</v>
      </c>
      <c r="O2348" t="s">
        <v>32525</v>
      </c>
      <c r="P2348">
        <v>0</v>
      </c>
      <c r="Q2348">
        <v>0</v>
      </c>
      <c r="R2348" t="s">
        <v>32526</v>
      </c>
      <c r="S2348" t="s">
        <v>32547</v>
      </c>
      <c r="T2348" t="s">
        <v>33161</v>
      </c>
      <c r="U2348" t="s">
        <v>35626</v>
      </c>
      <c r="W2348" t="s">
        <v>30524</v>
      </c>
      <c r="X2348" t="s">
        <v>32527</v>
      </c>
    </row>
    <row r="2349" spans="1:24">
      <c r="A2349">
        <f>HYPERLINK("https://www.philgeps.gov.ph/GEPSNONPILOT/Tender/SplashBidNoticeAbstractUI.aspx?menuIndex=3&amp;refID=7047054&amp;Result=3","7047054")</f>
        <v>0</v>
      </c>
      <c r="B2349" t="s">
        <v>919</v>
      </c>
      <c r="C2349" t="s">
        <v>4933</v>
      </c>
      <c r="E2349" t="s">
        <v>15207</v>
      </c>
      <c r="F2349" t="s">
        <v>22436</v>
      </c>
      <c r="G2349" t="s">
        <v>22445</v>
      </c>
      <c r="H2349" t="s">
        <v>22452</v>
      </c>
      <c r="I2349" t="s">
        <v>22463</v>
      </c>
      <c r="J2349" t="s">
        <v>24219</v>
      </c>
      <c r="K2349" t="s">
        <v>29336</v>
      </c>
      <c r="M2349" t="s">
        <v>30533</v>
      </c>
      <c r="N2349" t="s">
        <v>32524</v>
      </c>
      <c r="O2349" t="s">
        <v>32525</v>
      </c>
      <c r="P2349">
        <v>0</v>
      </c>
      <c r="Q2349">
        <v>0</v>
      </c>
      <c r="R2349" t="s">
        <v>32526</v>
      </c>
      <c r="S2349" t="s">
        <v>32547</v>
      </c>
      <c r="T2349" t="s">
        <v>33320</v>
      </c>
      <c r="U2349" t="s">
        <v>35627</v>
      </c>
      <c r="V2349" t="s">
        <v>42646</v>
      </c>
      <c r="W2349" t="s">
        <v>30533</v>
      </c>
      <c r="X2349" t="s">
        <v>32527</v>
      </c>
    </row>
    <row r="2350" spans="1:24">
      <c r="A2350">
        <f>HYPERLINK("https://www.philgeps.gov.ph/GEPSNONPILOT/Tender/SplashBidNoticeAbstractUI.aspx?menuIndex=3&amp;refID=7047057&amp;Result=3","7047057")</f>
        <v>0</v>
      </c>
      <c r="B2350" t="s">
        <v>36</v>
      </c>
      <c r="C2350" t="s">
        <v>4934</v>
      </c>
      <c r="D2350" t="s">
        <v>12998</v>
      </c>
      <c r="E2350" t="s">
        <v>4934</v>
      </c>
      <c r="F2350" t="s">
        <v>22436</v>
      </c>
      <c r="G2350" t="s">
        <v>22446</v>
      </c>
      <c r="H2350" t="s">
        <v>22452</v>
      </c>
      <c r="I2350" t="s">
        <v>3122</v>
      </c>
      <c r="J2350" t="s">
        <v>23404</v>
      </c>
      <c r="K2350" t="s">
        <v>29335</v>
      </c>
      <c r="M2350" t="s">
        <v>29606</v>
      </c>
      <c r="N2350" t="s">
        <v>32524</v>
      </c>
      <c r="O2350" t="s">
        <v>32525</v>
      </c>
      <c r="P2350">
        <v>0</v>
      </c>
      <c r="Q2350">
        <v>0</v>
      </c>
      <c r="R2350" t="s">
        <v>32526</v>
      </c>
      <c r="S2350" t="s">
        <v>32547</v>
      </c>
      <c r="T2350" t="s">
        <v>33161</v>
      </c>
      <c r="U2350" t="s">
        <v>35628</v>
      </c>
      <c r="W2350" t="s">
        <v>29606</v>
      </c>
      <c r="X2350" t="s">
        <v>32527</v>
      </c>
    </row>
    <row r="2351" spans="1:24">
      <c r="A2351">
        <f>HYPERLINK("https://www.philgeps.gov.ph/GEPSNONPILOT/Tender/SplashBidNoticeAbstractUI.aspx?menuIndex=3&amp;refID=7047066&amp;Result=3","7047066")</f>
        <v>0</v>
      </c>
      <c r="B2351" t="s">
        <v>919</v>
      </c>
      <c r="C2351" t="s">
        <v>4935</v>
      </c>
      <c r="E2351" t="s">
        <v>15208</v>
      </c>
      <c r="F2351" t="s">
        <v>22436</v>
      </c>
      <c r="G2351" t="s">
        <v>22443</v>
      </c>
      <c r="H2351" t="s">
        <v>22452</v>
      </c>
      <c r="I2351" t="s">
        <v>12358</v>
      </c>
      <c r="J2351" t="s">
        <v>24220</v>
      </c>
      <c r="K2351" t="s">
        <v>29336</v>
      </c>
      <c r="M2351" t="s">
        <v>30533</v>
      </c>
      <c r="N2351" t="s">
        <v>32524</v>
      </c>
      <c r="O2351" t="s">
        <v>32525</v>
      </c>
      <c r="P2351">
        <v>0</v>
      </c>
      <c r="Q2351">
        <v>0</v>
      </c>
      <c r="R2351" t="s">
        <v>32526</v>
      </c>
      <c r="S2351" t="s">
        <v>32547</v>
      </c>
      <c r="T2351" t="s">
        <v>33320</v>
      </c>
      <c r="U2351" t="s">
        <v>35629</v>
      </c>
      <c r="V2351" t="s">
        <v>42646</v>
      </c>
      <c r="W2351" t="s">
        <v>30533</v>
      </c>
      <c r="X2351" t="s">
        <v>32527</v>
      </c>
    </row>
    <row r="2352" spans="1:24">
      <c r="A2352">
        <f>HYPERLINK("https://www.philgeps.gov.ph/GEPSNONPILOT/Tender/SplashBidNoticeAbstractUI.aspx?menuIndex=3&amp;refID=7047070&amp;Result=3","7047070")</f>
        <v>0</v>
      </c>
      <c r="B2352" t="s">
        <v>920</v>
      </c>
      <c r="C2352" t="s">
        <v>4936</v>
      </c>
      <c r="D2352" t="s">
        <v>13000</v>
      </c>
      <c r="E2352" t="s">
        <v>15209</v>
      </c>
      <c r="F2352" t="s">
        <v>22436</v>
      </c>
      <c r="G2352" t="s">
        <v>22444</v>
      </c>
      <c r="H2352" t="s">
        <v>22452</v>
      </c>
      <c r="I2352" t="s">
        <v>3529</v>
      </c>
      <c r="J2352" t="s">
        <v>24221</v>
      </c>
      <c r="K2352" t="s">
        <v>29341</v>
      </c>
      <c r="M2352" t="s">
        <v>30534</v>
      </c>
      <c r="N2352" t="s">
        <v>32524</v>
      </c>
      <c r="O2352" t="s">
        <v>32525</v>
      </c>
      <c r="P2352">
        <v>0</v>
      </c>
      <c r="Q2352">
        <v>0</v>
      </c>
      <c r="R2352" t="s">
        <v>32526</v>
      </c>
      <c r="S2352" t="s">
        <v>32547</v>
      </c>
      <c r="T2352" t="s">
        <v>33168</v>
      </c>
      <c r="U2352" t="s">
        <v>35630</v>
      </c>
      <c r="W2352" t="s">
        <v>30534</v>
      </c>
      <c r="X2352" t="s">
        <v>32527</v>
      </c>
    </row>
    <row r="2353" spans="1:24">
      <c r="A2353">
        <f>HYPERLINK("https://www.philgeps.gov.ph/GEPSNONPILOT/Tender/SplashBidNoticeAbstractUI.aspx?menuIndex=3&amp;refID=7047071&amp;Result=3","7047071")</f>
        <v>0</v>
      </c>
      <c r="B2353" t="s">
        <v>918</v>
      </c>
      <c r="C2353" t="s">
        <v>4937</v>
      </c>
      <c r="D2353" t="s">
        <v>12996</v>
      </c>
      <c r="E2353" t="s">
        <v>15210</v>
      </c>
      <c r="F2353" t="s">
        <v>22436</v>
      </c>
      <c r="G2353" t="s">
        <v>22443</v>
      </c>
      <c r="H2353" t="s">
        <v>22452</v>
      </c>
      <c r="I2353" t="s">
        <v>22482</v>
      </c>
      <c r="J2353" t="s">
        <v>24222</v>
      </c>
      <c r="K2353" t="s">
        <v>29336</v>
      </c>
      <c r="M2353" t="s">
        <v>30532</v>
      </c>
      <c r="N2353" t="s">
        <v>32524</v>
      </c>
      <c r="O2353" t="s">
        <v>32525</v>
      </c>
      <c r="P2353">
        <v>0</v>
      </c>
      <c r="Q2353">
        <v>3</v>
      </c>
      <c r="R2353" t="s">
        <v>32526</v>
      </c>
      <c r="S2353" t="s">
        <v>32547</v>
      </c>
      <c r="T2353" t="s">
        <v>33206</v>
      </c>
      <c r="U2353" t="s">
        <v>35631</v>
      </c>
      <c r="W2353" t="s">
        <v>30532</v>
      </c>
      <c r="X2353" t="s">
        <v>32527</v>
      </c>
    </row>
    <row r="2354" spans="1:24">
      <c r="A2354">
        <f>HYPERLINK("https://www.philgeps.gov.ph/GEPSNONPILOT/Tender/SplashBidNoticeAbstractUI.aspx?menuIndex=3&amp;refID=7047065&amp;Result=3","7047065")</f>
        <v>0</v>
      </c>
      <c r="B2354" t="s">
        <v>231</v>
      </c>
      <c r="C2354" t="s">
        <v>4938</v>
      </c>
      <c r="D2354" t="s">
        <v>13054</v>
      </c>
      <c r="E2354" t="s">
        <v>15211</v>
      </c>
      <c r="F2354" t="s">
        <v>22436</v>
      </c>
      <c r="G2354" t="s">
        <v>22444</v>
      </c>
      <c r="H2354" t="s">
        <v>22454</v>
      </c>
      <c r="I2354" t="s">
        <v>7738</v>
      </c>
      <c r="J2354" t="s">
        <v>24223</v>
      </c>
      <c r="K2354" t="s">
        <v>29335</v>
      </c>
      <c r="M2354" t="s">
        <v>29804</v>
      </c>
      <c r="N2354" t="s">
        <v>32524</v>
      </c>
      <c r="O2354" t="s">
        <v>32525</v>
      </c>
      <c r="P2354">
        <v>0</v>
      </c>
      <c r="Q2354">
        <v>0</v>
      </c>
      <c r="R2354" t="s">
        <v>32526</v>
      </c>
      <c r="S2354" t="s">
        <v>32547</v>
      </c>
      <c r="T2354" t="s">
        <v>33166</v>
      </c>
      <c r="U2354" t="s">
        <v>35632</v>
      </c>
      <c r="W2354" t="s">
        <v>29804</v>
      </c>
      <c r="X2354" t="s">
        <v>32527</v>
      </c>
    </row>
    <row r="2355" spans="1:24">
      <c r="A2355">
        <f>HYPERLINK("https://www.philgeps.gov.ph/GEPSNONPILOT/Tender/SplashBidNoticeAbstractUI.aspx?menuIndex=3&amp;refID=7047048&amp;Result=3","7047048")</f>
        <v>0</v>
      </c>
      <c r="B2355" t="s">
        <v>231</v>
      </c>
      <c r="C2355" t="s">
        <v>4939</v>
      </c>
      <c r="D2355" t="s">
        <v>13054</v>
      </c>
      <c r="E2355" t="s">
        <v>15212</v>
      </c>
      <c r="F2355" t="s">
        <v>22436</v>
      </c>
      <c r="G2355" t="s">
        <v>22444</v>
      </c>
      <c r="H2355" t="s">
        <v>22454</v>
      </c>
      <c r="I2355" t="s">
        <v>7738</v>
      </c>
      <c r="J2355" t="s">
        <v>24224</v>
      </c>
      <c r="K2355" t="s">
        <v>29421</v>
      </c>
      <c r="M2355" t="s">
        <v>29804</v>
      </c>
      <c r="N2355" t="s">
        <v>32524</v>
      </c>
      <c r="O2355" t="s">
        <v>32525</v>
      </c>
      <c r="P2355">
        <v>0</v>
      </c>
      <c r="Q2355">
        <v>0</v>
      </c>
      <c r="R2355" t="s">
        <v>32526</v>
      </c>
      <c r="S2355" t="s">
        <v>32547</v>
      </c>
      <c r="T2355" t="s">
        <v>33166</v>
      </c>
      <c r="U2355" t="s">
        <v>35633</v>
      </c>
      <c r="W2355" t="s">
        <v>29804</v>
      </c>
      <c r="X2355" t="s">
        <v>32527</v>
      </c>
    </row>
    <row r="2356" spans="1:24">
      <c r="A2356">
        <f>HYPERLINK("https://www.philgeps.gov.ph/GEPSNONPILOT/Tender/SplashBidNoticeAbstractUI.aspx?menuIndex=3&amp;refID=7047069&amp;Result=3","7047069")</f>
        <v>0</v>
      </c>
      <c r="B2356" t="s">
        <v>921</v>
      </c>
      <c r="C2356" t="s">
        <v>4940</v>
      </c>
      <c r="D2356" t="s">
        <v>12988</v>
      </c>
      <c r="E2356" t="s">
        <v>15213</v>
      </c>
      <c r="F2356" t="s">
        <v>22436</v>
      </c>
      <c r="G2356" t="s">
        <v>22443</v>
      </c>
      <c r="H2356" t="s">
        <v>22452</v>
      </c>
      <c r="I2356" t="s">
        <v>22474</v>
      </c>
      <c r="J2356" t="s">
        <v>22957</v>
      </c>
      <c r="K2356" t="s">
        <v>29331</v>
      </c>
      <c r="M2356" t="s">
        <v>30535</v>
      </c>
      <c r="N2356" t="s">
        <v>32524</v>
      </c>
      <c r="O2356" t="s">
        <v>32525</v>
      </c>
      <c r="P2356">
        <v>0</v>
      </c>
      <c r="Q2356">
        <v>0</v>
      </c>
      <c r="R2356" t="s">
        <v>32526</v>
      </c>
      <c r="S2356" t="s">
        <v>32547</v>
      </c>
      <c r="T2356" t="s">
        <v>33167</v>
      </c>
      <c r="U2356" t="s">
        <v>35634</v>
      </c>
      <c r="W2356" t="s">
        <v>30535</v>
      </c>
      <c r="X2356" t="s">
        <v>32527</v>
      </c>
    </row>
    <row r="2357" spans="1:24">
      <c r="A2357">
        <f>HYPERLINK("https://www.philgeps.gov.ph/GEPSNONPILOT/Tender/SplashBidNoticeAbstractUI.aspx?menuIndex=3&amp;refID=7047051&amp;Result=3","7047051")</f>
        <v>0</v>
      </c>
      <c r="B2357" t="s">
        <v>902</v>
      </c>
      <c r="C2357" t="s">
        <v>4941</v>
      </c>
      <c r="D2357" t="s">
        <v>13032</v>
      </c>
      <c r="E2357" t="s">
        <v>15214</v>
      </c>
      <c r="F2357" t="s">
        <v>22436</v>
      </c>
      <c r="G2357" t="s">
        <v>22444</v>
      </c>
      <c r="H2357" t="s">
        <v>22452</v>
      </c>
      <c r="I2357" t="s">
        <v>3827</v>
      </c>
      <c r="J2357" t="s">
        <v>22802</v>
      </c>
      <c r="K2357" t="s">
        <v>29338</v>
      </c>
      <c r="M2357" t="s">
        <v>30513</v>
      </c>
      <c r="N2357" t="s">
        <v>32524</v>
      </c>
      <c r="O2357" t="s">
        <v>32525</v>
      </c>
      <c r="P2357">
        <v>0</v>
      </c>
      <c r="Q2357">
        <v>0</v>
      </c>
      <c r="R2357" t="s">
        <v>32526</v>
      </c>
      <c r="S2357" t="s">
        <v>32547</v>
      </c>
      <c r="T2357" t="s">
        <v>33181</v>
      </c>
      <c r="U2357" t="s">
        <v>35635</v>
      </c>
      <c r="W2357" t="s">
        <v>30513</v>
      </c>
      <c r="X2357" t="s">
        <v>32527</v>
      </c>
    </row>
    <row r="2358" spans="1:24">
      <c r="A2358">
        <f>HYPERLINK("https://www.philgeps.gov.ph/GEPSNONPILOT/Tender/SplashBidNoticeAbstractUI.aspx?menuIndex=3&amp;refID=7047063&amp;Result=3","7047063")</f>
        <v>0</v>
      </c>
      <c r="B2358" t="s">
        <v>902</v>
      </c>
      <c r="C2358" t="s">
        <v>4942</v>
      </c>
      <c r="D2358" t="s">
        <v>13032</v>
      </c>
      <c r="E2358" t="s">
        <v>15215</v>
      </c>
      <c r="F2358" t="s">
        <v>22436</v>
      </c>
      <c r="G2358" t="s">
        <v>22444</v>
      </c>
      <c r="H2358" t="s">
        <v>22452</v>
      </c>
      <c r="I2358" t="s">
        <v>22482</v>
      </c>
      <c r="J2358" t="s">
        <v>24225</v>
      </c>
      <c r="K2358" t="s">
        <v>29338</v>
      </c>
      <c r="M2358" t="s">
        <v>30513</v>
      </c>
      <c r="N2358" t="s">
        <v>32524</v>
      </c>
      <c r="O2358" t="s">
        <v>32525</v>
      </c>
      <c r="P2358">
        <v>0</v>
      </c>
      <c r="Q2358">
        <v>4</v>
      </c>
      <c r="R2358" t="s">
        <v>32526</v>
      </c>
      <c r="S2358" t="s">
        <v>32547</v>
      </c>
      <c r="T2358" t="s">
        <v>33181</v>
      </c>
      <c r="U2358" t="s">
        <v>35636</v>
      </c>
      <c r="W2358" t="s">
        <v>30513</v>
      </c>
      <c r="X2358" t="s">
        <v>32527</v>
      </c>
    </row>
    <row r="2359" spans="1:24">
      <c r="A2359">
        <f>HYPERLINK("https://www.philgeps.gov.ph/GEPSNONPILOT/Tender/SplashBidNoticeAbstractUI.aspx?menuIndex=3&amp;refID=7047053&amp;Result=3","7047053")</f>
        <v>0</v>
      </c>
      <c r="B2359" t="s">
        <v>911</v>
      </c>
      <c r="C2359" t="s">
        <v>4943</v>
      </c>
      <c r="D2359" t="s">
        <v>12995</v>
      </c>
      <c r="E2359" t="s">
        <v>15216</v>
      </c>
      <c r="F2359" t="s">
        <v>22436</v>
      </c>
      <c r="G2359" t="s">
        <v>22446</v>
      </c>
      <c r="H2359" t="s">
        <v>22452</v>
      </c>
      <c r="I2359" t="s">
        <v>22471</v>
      </c>
      <c r="J2359" t="s">
        <v>24226</v>
      </c>
      <c r="K2359" t="s">
        <v>29341</v>
      </c>
      <c r="M2359" t="s">
        <v>30525</v>
      </c>
      <c r="N2359" t="s">
        <v>32524</v>
      </c>
      <c r="O2359" t="s">
        <v>32525</v>
      </c>
      <c r="P2359">
        <v>0</v>
      </c>
      <c r="Q2359">
        <v>3</v>
      </c>
      <c r="R2359" t="s">
        <v>32526</v>
      </c>
      <c r="S2359" t="s">
        <v>32547</v>
      </c>
      <c r="T2359" t="s">
        <v>33270</v>
      </c>
      <c r="U2359" t="s">
        <v>35603</v>
      </c>
      <c r="W2359" t="s">
        <v>30525</v>
      </c>
      <c r="X2359" t="s">
        <v>32527</v>
      </c>
    </row>
    <row r="2360" spans="1:24">
      <c r="A2360">
        <f>HYPERLINK("https://www.philgeps.gov.ph/GEPSNONPILOT/Tender/SplashBidNoticeAbstractUI.aspx?menuIndex=3&amp;refID=7047085&amp;Result=3","7047085")</f>
        <v>0</v>
      </c>
      <c r="B2360" t="s">
        <v>918</v>
      </c>
      <c r="C2360" t="s">
        <v>4944</v>
      </c>
      <c r="D2360" t="s">
        <v>12996</v>
      </c>
      <c r="E2360" t="s">
        <v>15217</v>
      </c>
      <c r="F2360" t="s">
        <v>22436</v>
      </c>
      <c r="G2360" t="s">
        <v>22443</v>
      </c>
      <c r="H2360" t="s">
        <v>22452</v>
      </c>
      <c r="I2360" t="s">
        <v>2962</v>
      </c>
      <c r="J2360" t="s">
        <v>23120</v>
      </c>
      <c r="K2360" t="s">
        <v>29336</v>
      </c>
      <c r="M2360" t="s">
        <v>30532</v>
      </c>
      <c r="N2360" t="s">
        <v>32524</v>
      </c>
      <c r="O2360" t="s">
        <v>32525</v>
      </c>
      <c r="P2360">
        <v>0</v>
      </c>
      <c r="Q2360">
        <v>1</v>
      </c>
      <c r="R2360" t="s">
        <v>32526</v>
      </c>
      <c r="S2360" t="s">
        <v>32547</v>
      </c>
      <c r="T2360" t="s">
        <v>33206</v>
      </c>
      <c r="U2360" t="s">
        <v>35637</v>
      </c>
      <c r="W2360" t="s">
        <v>30532</v>
      </c>
      <c r="X2360" t="s">
        <v>32527</v>
      </c>
    </row>
    <row r="2361" spans="1:24">
      <c r="A2361">
        <f>HYPERLINK("https://www.philgeps.gov.ph/GEPSNONPILOT/Tender/SplashBidNoticeAbstractUI.aspx?menuIndex=3&amp;refID=7047049&amp;Result=3","7047049")</f>
        <v>0</v>
      </c>
      <c r="B2361" t="s">
        <v>905</v>
      </c>
      <c r="C2361" t="s">
        <v>4945</v>
      </c>
      <c r="D2361" t="s">
        <v>13018</v>
      </c>
      <c r="E2361" t="s">
        <v>15218</v>
      </c>
      <c r="F2361" t="s">
        <v>22436</v>
      </c>
      <c r="G2361" t="s">
        <v>22444</v>
      </c>
      <c r="H2361" t="s">
        <v>22452</v>
      </c>
      <c r="I2361" t="s">
        <v>22474</v>
      </c>
      <c r="J2361" t="s">
        <v>24227</v>
      </c>
      <c r="K2361" t="s">
        <v>29356</v>
      </c>
      <c r="M2361" t="s">
        <v>30517</v>
      </c>
      <c r="N2361" t="s">
        <v>32524</v>
      </c>
      <c r="O2361" t="s">
        <v>32525</v>
      </c>
      <c r="P2361">
        <v>0</v>
      </c>
      <c r="Q2361">
        <v>2</v>
      </c>
      <c r="R2361" t="s">
        <v>32526</v>
      </c>
      <c r="S2361" t="s">
        <v>32547</v>
      </c>
      <c r="T2361" t="s">
        <v>33165</v>
      </c>
      <c r="U2361" t="s">
        <v>35638</v>
      </c>
      <c r="W2361" t="s">
        <v>30517</v>
      </c>
      <c r="X2361" t="s">
        <v>32527</v>
      </c>
    </row>
    <row r="2362" spans="1:24">
      <c r="A2362">
        <f>HYPERLINK("https://www.philgeps.gov.ph/GEPSNONPILOT/Tender/SplashBidNoticeAbstractUI.aspx?menuIndex=3&amp;refID=7047082&amp;Result=3","7047082")</f>
        <v>0</v>
      </c>
      <c r="B2362" t="s">
        <v>919</v>
      </c>
      <c r="C2362" t="s">
        <v>4946</v>
      </c>
      <c r="E2362" t="s">
        <v>15219</v>
      </c>
      <c r="F2362" t="s">
        <v>22436</v>
      </c>
      <c r="G2362" t="s">
        <v>22443</v>
      </c>
      <c r="H2362" t="s">
        <v>22452</v>
      </c>
      <c r="I2362" t="s">
        <v>2981</v>
      </c>
      <c r="J2362" t="s">
        <v>24228</v>
      </c>
      <c r="K2362" t="s">
        <v>29336</v>
      </c>
      <c r="M2362" t="s">
        <v>30533</v>
      </c>
      <c r="N2362" t="s">
        <v>32524</v>
      </c>
      <c r="O2362" t="s">
        <v>32525</v>
      </c>
      <c r="P2362">
        <v>0</v>
      </c>
      <c r="Q2362">
        <v>0</v>
      </c>
      <c r="R2362" t="s">
        <v>32526</v>
      </c>
      <c r="S2362" t="s">
        <v>32547</v>
      </c>
      <c r="T2362" t="s">
        <v>33161</v>
      </c>
      <c r="U2362" t="s">
        <v>35639</v>
      </c>
      <c r="V2362" t="s">
        <v>42646</v>
      </c>
      <c r="W2362" t="s">
        <v>30533</v>
      </c>
      <c r="X2362" t="s">
        <v>32527</v>
      </c>
    </row>
    <row r="2363" spans="1:24">
      <c r="A2363">
        <f>HYPERLINK("https://www.philgeps.gov.ph/GEPSNONPILOT/Tender/SplashBidNoticeAbstractUI.aspx?menuIndex=3&amp;refID=7047072&amp;Result=3","7047072")</f>
        <v>0</v>
      </c>
      <c r="B2363" t="s">
        <v>231</v>
      </c>
      <c r="C2363" t="s">
        <v>4947</v>
      </c>
      <c r="D2363" t="s">
        <v>13054</v>
      </c>
      <c r="E2363" t="s">
        <v>15220</v>
      </c>
      <c r="F2363" t="s">
        <v>22436</v>
      </c>
      <c r="G2363" t="s">
        <v>22444</v>
      </c>
      <c r="H2363" t="s">
        <v>22454</v>
      </c>
      <c r="I2363" t="s">
        <v>7738</v>
      </c>
      <c r="J2363" t="s">
        <v>22911</v>
      </c>
      <c r="K2363" t="s">
        <v>29425</v>
      </c>
      <c r="M2363" t="s">
        <v>29804</v>
      </c>
      <c r="N2363" t="s">
        <v>32524</v>
      </c>
      <c r="O2363" t="s">
        <v>32525</v>
      </c>
      <c r="P2363">
        <v>0</v>
      </c>
      <c r="Q2363">
        <v>0</v>
      </c>
      <c r="R2363" t="s">
        <v>32526</v>
      </c>
      <c r="S2363" t="s">
        <v>32547</v>
      </c>
      <c r="T2363" t="s">
        <v>33166</v>
      </c>
      <c r="U2363" t="s">
        <v>35640</v>
      </c>
      <c r="W2363" t="s">
        <v>29804</v>
      </c>
      <c r="X2363" t="s">
        <v>32527</v>
      </c>
    </row>
    <row r="2364" spans="1:24">
      <c r="A2364">
        <f>HYPERLINK("https://www.philgeps.gov.ph/GEPSNONPILOT/Tender/SplashBidNoticeAbstractUI.aspx?menuIndex=3&amp;refID=7047080&amp;Result=3","7047080")</f>
        <v>0</v>
      </c>
      <c r="B2364" t="s">
        <v>922</v>
      </c>
      <c r="C2364" t="s">
        <v>4948</v>
      </c>
      <c r="D2364" t="s">
        <v>13018</v>
      </c>
      <c r="E2364" t="s">
        <v>15221</v>
      </c>
      <c r="F2364" t="s">
        <v>22436</v>
      </c>
      <c r="G2364" t="s">
        <v>22444</v>
      </c>
      <c r="H2364" t="s">
        <v>22454</v>
      </c>
      <c r="I2364" t="s">
        <v>7738</v>
      </c>
      <c r="J2364" t="s">
        <v>22874</v>
      </c>
      <c r="K2364" t="s">
        <v>29336</v>
      </c>
      <c r="M2364" t="s">
        <v>30536</v>
      </c>
      <c r="N2364" t="s">
        <v>32524</v>
      </c>
      <c r="O2364" t="s">
        <v>32525</v>
      </c>
      <c r="P2364">
        <v>0</v>
      </c>
      <c r="Q2364">
        <v>0</v>
      </c>
      <c r="R2364" t="s">
        <v>32526</v>
      </c>
      <c r="S2364" t="s">
        <v>32547</v>
      </c>
      <c r="T2364" t="s">
        <v>33175</v>
      </c>
      <c r="U2364" t="s">
        <v>35641</v>
      </c>
      <c r="W2364" t="s">
        <v>30536</v>
      </c>
      <c r="X2364" t="s">
        <v>32527</v>
      </c>
    </row>
    <row r="2365" spans="1:24">
      <c r="A2365">
        <f>HYPERLINK("https://www.philgeps.gov.ph/GEPSNONPILOT/Tender/SplashBidNoticeAbstractUI.aspx?menuIndex=3&amp;refID=7047084&amp;Result=3","7047084")</f>
        <v>0</v>
      </c>
      <c r="B2365" t="s">
        <v>891</v>
      </c>
      <c r="C2365" t="s">
        <v>4949</v>
      </c>
      <c r="D2365" t="s">
        <v>13006</v>
      </c>
      <c r="E2365" t="s">
        <v>15222</v>
      </c>
      <c r="F2365" t="s">
        <v>22436</v>
      </c>
      <c r="G2365" t="s">
        <v>22443</v>
      </c>
      <c r="H2365" t="s">
        <v>22452</v>
      </c>
      <c r="I2365" t="s">
        <v>22503</v>
      </c>
      <c r="J2365" t="s">
        <v>24229</v>
      </c>
      <c r="K2365" t="s">
        <v>29335</v>
      </c>
      <c r="M2365" t="s">
        <v>30502</v>
      </c>
      <c r="N2365" t="s">
        <v>32524</v>
      </c>
      <c r="O2365" t="s">
        <v>32525</v>
      </c>
      <c r="P2365">
        <v>0</v>
      </c>
      <c r="Q2365">
        <v>1</v>
      </c>
      <c r="R2365" t="s">
        <v>32526</v>
      </c>
      <c r="S2365" t="s">
        <v>32547</v>
      </c>
      <c r="T2365" t="s">
        <v>33167</v>
      </c>
      <c r="U2365" t="s">
        <v>35642</v>
      </c>
      <c r="W2365" t="s">
        <v>30502</v>
      </c>
      <c r="X2365" t="s">
        <v>32527</v>
      </c>
    </row>
    <row r="2366" spans="1:24">
      <c r="A2366">
        <f>HYPERLINK("https://www.philgeps.gov.ph/GEPSNONPILOT/Tender/SplashBidNoticeAbstractUI.aspx?menuIndex=3&amp;refID=7047067&amp;Result=3","7047067")</f>
        <v>0</v>
      </c>
      <c r="B2366" t="s">
        <v>902</v>
      </c>
      <c r="C2366" t="s">
        <v>4950</v>
      </c>
      <c r="D2366" t="s">
        <v>13032</v>
      </c>
      <c r="E2366" t="s">
        <v>15223</v>
      </c>
      <c r="F2366" t="s">
        <v>22436</v>
      </c>
      <c r="G2366" t="s">
        <v>22444</v>
      </c>
      <c r="H2366" t="s">
        <v>22452</v>
      </c>
      <c r="I2366" t="s">
        <v>22469</v>
      </c>
      <c r="J2366" t="s">
        <v>24230</v>
      </c>
      <c r="K2366" t="s">
        <v>29338</v>
      </c>
      <c r="M2366" t="s">
        <v>30513</v>
      </c>
      <c r="N2366" t="s">
        <v>32524</v>
      </c>
      <c r="O2366" t="s">
        <v>32525</v>
      </c>
      <c r="P2366">
        <v>0</v>
      </c>
      <c r="Q2366">
        <v>0</v>
      </c>
      <c r="R2366" t="s">
        <v>32526</v>
      </c>
      <c r="S2366" t="s">
        <v>32547</v>
      </c>
      <c r="T2366" t="s">
        <v>33181</v>
      </c>
      <c r="U2366" t="s">
        <v>35643</v>
      </c>
      <c r="W2366" t="s">
        <v>30513</v>
      </c>
      <c r="X2366" t="s">
        <v>32527</v>
      </c>
    </row>
    <row r="2367" spans="1:24">
      <c r="A2367">
        <f>HYPERLINK("https://www.philgeps.gov.ph/GEPSNONPILOT/Tender/SplashBidNoticeAbstractUI.aspx?menuIndex=3&amp;refID=7047077&amp;Result=3","7047077")</f>
        <v>0</v>
      </c>
      <c r="B2367" t="s">
        <v>922</v>
      </c>
      <c r="C2367" t="s">
        <v>4951</v>
      </c>
      <c r="D2367" t="s">
        <v>13018</v>
      </c>
      <c r="E2367" t="s">
        <v>15224</v>
      </c>
      <c r="F2367" t="s">
        <v>22436</v>
      </c>
      <c r="G2367" t="s">
        <v>22444</v>
      </c>
      <c r="H2367" t="s">
        <v>22454</v>
      </c>
      <c r="I2367" t="s">
        <v>7738</v>
      </c>
      <c r="J2367" t="s">
        <v>23182</v>
      </c>
      <c r="K2367" t="s">
        <v>29331</v>
      </c>
      <c r="M2367" t="s">
        <v>30536</v>
      </c>
      <c r="N2367" t="s">
        <v>32524</v>
      </c>
      <c r="O2367" t="s">
        <v>32525</v>
      </c>
      <c r="P2367">
        <v>0</v>
      </c>
      <c r="Q2367">
        <v>0</v>
      </c>
      <c r="R2367" t="s">
        <v>32526</v>
      </c>
      <c r="S2367" t="s">
        <v>32547</v>
      </c>
      <c r="T2367" t="s">
        <v>33175</v>
      </c>
      <c r="U2367" t="s">
        <v>35644</v>
      </c>
      <c r="W2367" t="s">
        <v>30536</v>
      </c>
      <c r="X2367" t="s">
        <v>32527</v>
      </c>
    </row>
    <row r="2368" spans="1:24">
      <c r="A2368">
        <f>HYPERLINK("https://www.philgeps.gov.ph/GEPSNONPILOT/Tender/SplashBidNoticeAbstractUI.aspx?menuIndex=3&amp;refID=7047093&amp;Result=3","7047093")</f>
        <v>0</v>
      </c>
      <c r="B2368" t="s">
        <v>918</v>
      </c>
      <c r="C2368" t="s">
        <v>4952</v>
      </c>
      <c r="D2368" t="s">
        <v>12996</v>
      </c>
      <c r="E2368" t="s">
        <v>15225</v>
      </c>
      <c r="F2368" t="s">
        <v>22436</v>
      </c>
      <c r="G2368" t="s">
        <v>22443</v>
      </c>
      <c r="H2368" t="s">
        <v>22452</v>
      </c>
      <c r="I2368" t="s">
        <v>2981</v>
      </c>
      <c r="J2368" t="s">
        <v>22692</v>
      </c>
      <c r="K2368" t="s">
        <v>29330</v>
      </c>
      <c r="M2368" t="s">
        <v>30532</v>
      </c>
      <c r="N2368" t="s">
        <v>32524</v>
      </c>
      <c r="O2368" t="s">
        <v>32525</v>
      </c>
      <c r="P2368">
        <v>0</v>
      </c>
      <c r="Q2368">
        <v>0</v>
      </c>
      <c r="R2368" t="s">
        <v>32526</v>
      </c>
      <c r="S2368" t="s">
        <v>32547</v>
      </c>
      <c r="T2368" t="s">
        <v>33206</v>
      </c>
      <c r="U2368" t="s">
        <v>35645</v>
      </c>
      <c r="W2368" t="s">
        <v>30532</v>
      </c>
      <c r="X2368" t="s">
        <v>32527</v>
      </c>
    </row>
    <row r="2369" spans="1:24">
      <c r="A2369">
        <f>HYPERLINK("https://www.philgeps.gov.ph/GEPSNONPILOT/Tender/SplashBidNoticeAbstractUI.aspx?menuIndex=3&amp;refID=7047087&amp;Result=3","7047087")</f>
        <v>0</v>
      </c>
      <c r="B2369" t="s">
        <v>577</v>
      </c>
      <c r="C2369" t="s">
        <v>4953</v>
      </c>
      <c r="D2369" t="s">
        <v>13058</v>
      </c>
      <c r="E2369" t="s">
        <v>15226</v>
      </c>
      <c r="F2369" t="s">
        <v>22440</v>
      </c>
      <c r="G2369" t="s">
        <v>22444</v>
      </c>
      <c r="H2369" t="s">
        <v>22452</v>
      </c>
      <c r="I2369" t="s">
        <v>22517</v>
      </c>
      <c r="J2369" t="s">
        <v>24231</v>
      </c>
      <c r="K2369" t="s">
        <v>29335</v>
      </c>
      <c r="M2369" t="s">
        <v>30165</v>
      </c>
      <c r="N2369" t="s">
        <v>32524</v>
      </c>
      <c r="O2369" t="s">
        <v>32525</v>
      </c>
      <c r="P2369">
        <v>0</v>
      </c>
      <c r="Q2369">
        <v>2</v>
      </c>
      <c r="R2369" t="s">
        <v>32526</v>
      </c>
      <c r="S2369" t="s">
        <v>32547</v>
      </c>
      <c r="T2369" t="s">
        <v>33319</v>
      </c>
      <c r="U2369" t="s">
        <v>35646</v>
      </c>
      <c r="W2369" t="s">
        <v>30165</v>
      </c>
      <c r="X2369" t="s">
        <v>32527</v>
      </c>
    </row>
    <row r="2370" spans="1:24">
      <c r="A2370">
        <f>HYPERLINK("https://www.philgeps.gov.ph/GEPSNONPILOT/Tender/SplashBidNoticeAbstractUI.aspx?menuIndex=3&amp;refID=7047079&amp;Result=3","7047079")</f>
        <v>0</v>
      </c>
      <c r="B2370" t="s">
        <v>918</v>
      </c>
      <c r="C2370" t="s">
        <v>4954</v>
      </c>
      <c r="D2370" t="s">
        <v>12996</v>
      </c>
      <c r="E2370" t="s">
        <v>15227</v>
      </c>
      <c r="F2370" t="s">
        <v>22436</v>
      </c>
      <c r="G2370" t="s">
        <v>22443</v>
      </c>
      <c r="H2370" t="s">
        <v>22452</v>
      </c>
      <c r="I2370" t="s">
        <v>2962</v>
      </c>
      <c r="J2370" t="s">
        <v>24232</v>
      </c>
      <c r="K2370" t="s">
        <v>29336</v>
      </c>
      <c r="M2370" t="s">
        <v>30532</v>
      </c>
      <c r="N2370" t="s">
        <v>32524</v>
      </c>
      <c r="O2370" t="s">
        <v>32525</v>
      </c>
      <c r="P2370">
        <v>0</v>
      </c>
      <c r="Q2370">
        <v>0</v>
      </c>
      <c r="R2370" t="s">
        <v>32526</v>
      </c>
      <c r="S2370" t="s">
        <v>32547</v>
      </c>
      <c r="T2370" t="s">
        <v>33206</v>
      </c>
      <c r="U2370" t="s">
        <v>35647</v>
      </c>
      <c r="W2370" t="s">
        <v>30532</v>
      </c>
      <c r="X2370" t="s">
        <v>32527</v>
      </c>
    </row>
    <row r="2371" spans="1:24">
      <c r="A2371">
        <f>HYPERLINK("https://www.philgeps.gov.ph/GEPSNONPILOT/Tender/SplashBidNoticeAbstractUI.aspx?menuIndex=3&amp;refID=7047090&amp;Result=3","7047090")</f>
        <v>0</v>
      </c>
      <c r="B2371" t="s">
        <v>923</v>
      </c>
      <c r="C2371" t="s">
        <v>4955</v>
      </c>
      <c r="D2371" t="s">
        <v>13000</v>
      </c>
      <c r="E2371" t="s">
        <v>15228</v>
      </c>
      <c r="F2371" t="s">
        <v>22436</v>
      </c>
      <c r="G2371" t="s">
        <v>22444</v>
      </c>
      <c r="H2371" t="s">
        <v>22452</v>
      </c>
      <c r="I2371" t="s">
        <v>3529</v>
      </c>
      <c r="J2371" t="s">
        <v>24233</v>
      </c>
      <c r="K2371" t="s">
        <v>29341</v>
      </c>
      <c r="M2371" t="s">
        <v>30537</v>
      </c>
      <c r="N2371" t="s">
        <v>32524</v>
      </c>
      <c r="O2371" t="s">
        <v>32525</v>
      </c>
      <c r="P2371">
        <v>0</v>
      </c>
      <c r="Q2371">
        <v>0</v>
      </c>
      <c r="R2371" t="s">
        <v>32526</v>
      </c>
      <c r="S2371" t="s">
        <v>32547</v>
      </c>
      <c r="T2371" t="s">
        <v>33168</v>
      </c>
      <c r="U2371" t="s">
        <v>35648</v>
      </c>
      <c r="W2371" t="s">
        <v>30537</v>
      </c>
      <c r="X2371" t="s">
        <v>32527</v>
      </c>
    </row>
    <row r="2372" spans="1:24">
      <c r="A2372">
        <f>HYPERLINK("https://www.philgeps.gov.ph/GEPSNONPILOT/Tender/SplashBidNoticeAbstractUI.aspx?menuIndex=3&amp;refID=7047091&amp;Result=3","7047091")</f>
        <v>0</v>
      </c>
      <c r="B2372" t="s">
        <v>903</v>
      </c>
      <c r="C2372" t="s">
        <v>4956</v>
      </c>
      <c r="D2372" t="s">
        <v>13045</v>
      </c>
      <c r="E2372" t="s">
        <v>15229</v>
      </c>
      <c r="F2372" t="s">
        <v>22436</v>
      </c>
      <c r="G2372" t="s">
        <v>22443</v>
      </c>
      <c r="H2372" t="s">
        <v>22452</v>
      </c>
      <c r="I2372" t="s">
        <v>22550</v>
      </c>
      <c r="J2372" t="s">
        <v>24234</v>
      </c>
      <c r="K2372" t="s">
        <v>29335</v>
      </c>
      <c r="M2372" t="s">
        <v>30515</v>
      </c>
      <c r="N2372" t="s">
        <v>32524</v>
      </c>
      <c r="O2372" t="s">
        <v>32525</v>
      </c>
      <c r="P2372">
        <v>0</v>
      </c>
      <c r="Q2372">
        <v>0</v>
      </c>
      <c r="R2372" t="s">
        <v>32526</v>
      </c>
      <c r="S2372" t="s">
        <v>32547</v>
      </c>
      <c r="T2372" t="s">
        <v>33161</v>
      </c>
      <c r="U2372" t="s">
        <v>35649</v>
      </c>
      <c r="W2372" t="s">
        <v>30515</v>
      </c>
      <c r="X2372" t="s">
        <v>32527</v>
      </c>
    </row>
    <row r="2373" spans="1:24">
      <c r="A2373">
        <f>HYPERLINK("https://www.philgeps.gov.ph/GEPSNONPILOT/Tender/SplashBidNoticeAbstractUI.aspx?menuIndex=3&amp;refID=7047081&amp;Result=3","7047081")</f>
        <v>0</v>
      </c>
      <c r="B2373" t="s">
        <v>910</v>
      </c>
      <c r="C2373" t="s">
        <v>4957</v>
      </c>
      <c r="D2373" t="s">
        <v>12998</v>
      </c>
      <c r="E2373" t="s">
        <v>15230</v>
      </c>
      <c r="F2373" t="s">
        <v>22436</v>
      </c>
      <c r="G2373" t="s">
        <v>22446</v>
      </c>
      <c r="H2373" t="s">
        <v>22452</v>
      </c>
      <c r="I2373" t="s">
        <v>2981</v>
      </c>
      <c r="J2373" t="s">
        <v>24235</v>
      </c>
      <c r="K2373" t="s">
        <v>29338</v>
      </c>
      <c r="M2373" t="s">
        <v>30524</v>
      </c>
      <c r="N2373" t="s">
        <v>32524</v>
      </c>
      <c r="O2373" t="s">
        <v>32525</v>
      </c>
      <c r="P2373">
        <v>0</v>
      </c>
      <c r="Q2373">
        <v>0</v>
      </c>
      <c r="R2373" t="s">
        <v>32526</v>
      </c>
      <c r="S2373" t="s">
        <v>32547</v>
      </c>
      <c r="T2373" t="s">
        <v>33161</v>
      </c>
      <c r="U2373" t="s">
        <v>35650</v>
      </c>
      <c r="W2373" t="s">
        <v>30524</v>
      </c>
      <c r="X2373" t="s">
        <v>32527</v>
      </c>
    </row>
    <row r="2374" spans="1:24">
      <c r="A2374">
        <f>HYPERLINK("https://www.philgeps.gov.ph/GEPSNONPILOT/Tender/SplashBidNoticeAbstractUI.aspx?menuIndex=3&amp;refID=7047083&amp;Result=3","7047083")</f>
        <v>0</v>
      </c>
      <c r="B2374" t="s">
        <v>903</v>
      </c>
      <c r="C2374" t="s">
        <v>4917</v>
      </c>
      <c r="D2374" t="s">
        <v>13045</v>
      </c>
      <c r="E2374" t="s">
        <v>15231</v>
      </c>
      <c r="F2374" t="s">
        <v>22436</v>
      </c>
      <c r="G2374" t="s">
        <v>22443</v>
      </c>
      <c r="H2374" t="s">
        <v>22452</v>
      </c>
      <c r="I2374" t="s">
        <v>22550</v>
      </c>
      <c r="J2374" t="s">
        <v>24236</v>
      </c>
      <c r="K2374" t="s">
        <v>29335</v>
      </c>
      <c r="M2374" t="s">
        <v>30515</v>
      </c>
      <c r="N2374" t="s">
        <v>32524</v>
      </c>
      <c r="O2374" t="s">
        <v>32525</v>
      </c>
      <c r="P2374">
        <v>0</v>
      </c>
      <c r="Q2374">
        <v>0</v>
      </c>
      <c r="R2374" t="s">
        <v>32526</v>
      </c>
      <c r="S2374" t="s">
        <v>32547</v>
      </c>
      <c r="T2374" t="s">
        <v>33161</v>
      </c>
      <c r="U2374" t="s">
        <v>35611</v>
      </c>
      <c r="W2374" t="s">
        <v>30515</v>
      </c>
      <c r="X2374" t="s">
        <v>32527</v>
      </c>
    </row>
    <row r="2375" spans="1:24">
      <c r="A2375">
        <f>HYPERLINK("https://www.philgeps.gov.ph/GEPSNONPILOT/Tender/SplashBidNoticeAbstractUI.aspx?menuIndex=3&amp;refID=7047088&amp;Result=3","7047088")</f>
        <v>0</v>
      </c>
      <c r="B2375" t="s">
        <v>924</v>
      </c>
      <c r="C2375" t="s">
        <v>4958</v>
      </c>
      <c r="D2375" t="s">
        <v>13022</v>
      </c>
      <c r="E2375" t="s">
        <v>15232</v>
      </c>
      <c r="F2375" t="s">
        <v>22436</v>
      </c>
      <c r="G2375" t="s">
        <v>22447</v>
      </c>
      <c r="H2375" t="s">
        <v>22452</v>
      </c>
      <c r="I2375" t="s">
        <v>3529</v>
      </c>
      <c r="J2375" t="s">
        <v>24237</v>
      </c>
      <c r="K2375" t="s">
        <v>29341</v>
      </c>
      <c r="M2375" t="s">
        <v>30538</v>
      </c>
      <c r="N2375" t="s">
        <v>32524</v>
      </c>
      <c r="O2375" t="s">
        <v>32525</v>
      </c>
      <c r="P2375">
        <v>0</v>
      </c>
      <c r="Q2375">
        <v>0</v>
      </c>
      <c r="R2375" t="s">
        <v>32526</v>
      </c>
      <c r="S2375" t="s">
        <v>32547</v>
      </c>
      <c r="T2375" t="s">
        <v>33181</v>
      </c>
      <c r="U2375" t="s">
        <v>35651</v>
      </c>
      <c r="W2375" t="s">
        <v>30538</v>
      </c>
      <c r="X2375" t="s">
        <v>32527</v>
      </c>
    </row>
    <row r="2376" spans="1:24">
      <c r="A2376">
        <f>HYPERLINK("https://www.philgeps.gov.ph/GEPSNONPILOT/Tender/SplashBidNoticeAbstractUI.aspx?menuIndex=3&amp;refID=7047073&amp;Result=3","7047073")</f>
        <v>0</v>
      </c>
      <c r="B2376" t="s">
        <v>478</v>
      </c>
      <c r="C2376" t="s">
        <v>4959</v>
      </c>
      <c r="D2376" t="s">
        <v>13007</v>
      </c>
      <c r="E2376" t="s">
        <v>15233</v>
      </c>
      <c r="F2376" t="s">
        <v>22436</v>
      </c>
      <c r="G2376" t="s">
        <v>22443</v>
      </c>
      <c r="H2376" t="s">
        <v>22452</v>
      </c>
      <c r="I2376" t="s">
        <v>22482</v>
      </c>
      <c r="J2376" t="s">
        <v>23929</v>
      </c>
      <c r="K2376" t="s">
        <v>29340</v>
      </c>
      <c r="M2376" t="s">
        <v>30062</v>
      </c>
      <c r="N2376" t="s">
        <v>32524</v>
      </c>
      <c r="O2376" t="s">
        <v>32525</v>
      </c>
      <c r="P2376">
        <v>0</v>
      </c>
      <c r="Q2376">
        <v>0</v>
      </c>
      <c r="R2376" t="s">
        <v>32526</v>
      </c>
      <c r="S2376" t="s">
        <v>32547</v>
      </c>
      <c r="T2376" t="s">
        <v>33321</v>
      </c>
      <c r="U2376" t="s">
        <v>35652</v>
      </c>
      <c r="W2376" t="s">
        <v>30062</v>
      </c>
      <c r="X2376" t="s">
        <v>32527</v>
      </c>
    </row>
    <row r="2377" spans="1:24">
      <c r="A2377">
        <f>HYPERLINK("https://www.philgeps.gov.ph/GEPSNONPILOT/Tender/SplashBidNoticeAbstractUI.aspx?menuIndex=3&amp;refID=7047076&amp;Result=3","7047076")</f>
        <v>0</v>
      </c>
      <c r="B2377" t="s">
        <v>891</v>
      </c>
      <c r="C2377" t="s">
        <v>4960</v>
      </c>
      <c r="D2377" t="s">
        <v>13006</v>
      </c>
      <c r="E2377" t="s">
        <v>15234</v>
      </c>
      <c r="F2377" t="s">
        <v>22436</v>
      </c>
      <c r="G2377" t="s">
        <v>22443</v>
      </c>
      <c r="H2377" t="s">
        <v>22452</v>
      </c>
      <c r="I2377" t="s">
        <v>22469</v>
      </c>
      <c r="J2377" t="s">
        <v>22692</v>
      </c>
      <c r="K2377" t="s">
        <v>29335</v>
      </c>
      <c r="M2377" t="s">
        <v>30502</v>
      </c>
      <c r="N2377" t="s">
        <v>32524</v>
      </c>
      <c r="O2377" t="s">
        <v>32525</v>
      </c>
      <c r="P2377">
        <v>0</v>
      </c>
      <c r="Q2377">
        <v>1</v>
      </c>
      <c r="R2377" t="s">
        <v>32526</v>
      </c>
      <c r="S2377" t="s">
        <v>32547</v>
      </c>
      <c r="T2377" t="s">
        <v>33167</v>
      </c>
      <c r="U2377" t="s">
        <v>35653</v>
      </c>
      <c r="W2377" t="s">
        <v>30502</v>
      </c>
      <c r="X2377" t="s">
        <v>32527</v>
      </c>
    </row>
    <row r="2378" spans="1:24">
      <c r="A2378">
        <f>HYPERLINK("https://www.philgeps.gov.ph/GEPSNONPILOT/Tender/SplashBidNoticeAbstractUI.aspx?menuIndex=3&amp;refID=7047094&amp;Result=3","7047094")</f>
        <v>0</v>
      </c>
      <c r="B2378" t="s">
        <v>924</v>
      </c>
      <c r="C2378" t="s">
        <v>4958</v>
      </c>
      <c r="D2378" t="s">
        <v>13022</v>
      </c>
      <c r="E2378" t="s">
        <v>15235</v>
      </c>
      <c r="F2378" t="s">
        <v>22436</v>
      </c>
      <c r="G2378" t="s">
        <v>22447</v>
      </c>
      <c r="H2378" t="s">
        <v>22452</v>
      </c>
      <c r="I2378" t="s">
        <v>3529</v>
      </c>
      <c r="J2378" t="s">
        <v>24238</v>
      </c>
      <c r="K2378" t="s">
        <v>29341</v>
      </c>
      <c r="M2378" t="s">
        <v>30538</v>
      </c>
      <c r="N2378" t="s">
        <v>32524</v>
      </c>
      <c r="O2378" t="s">
        <v>32525</v>
      </c>
      <c r="P2378">
        <v>0</v>
      </c>
      <c r="Q2378">
        <v>0</v>
      </c>
      <c r="R2378" t="s">
        <v>32526</v>
      </c>
      <c r="S2378" t="s">
        <v>32547</v>
      </c>
      <c r="T2378" t="s">
        <v>33181</v>
      </c>
      <c r="U2378" t="s">
        <v>35654</v>
      </c>
      <c r="W2378" t="s">
        <v>30538</v>
      </c>
      <c r="X2378" t="s">
        <v>32527</v>
      </c>
    </row>
    <row r="2379" spans="1:24">
      <c r="A2379">
        <f>HYPERLINK("https://www.philgeps.gov.ph/GEPSNONPILOT/Tender/SplashBidNoticeAbstractUI.aspx?menuIndex=3&amp;refID=7047103&amp;Result=3","7047103")</f>
        <v>0</v>
      </c>
      <c r="B2379" t="s">
        <v>918</v>
      </c>
      <c r="C2379" t="s">
        <v>4961</v>
      </c>
      <c r="D2379" t="s">
        <v>12996</v>
      </c>
      <c r="E2379" t="s">
        <v>15236</v>
      </c>
      <c r="F2379" t="s">
        <v>22436</v>
      </c>
      <c r="G2379" t="s">
        <v>22443</v>
      </c>
      <c r="H2379" t="s">
        <v>22452</v>
      </c>
      <c r="I2379" t="s">
        <v>22465</v>
      </c>
      <c r="J2379" t="s">
        <v>24239</v>
      </c>
      <c r="K2379" t="s">
        <v>29336</v>
      </c>
      <c r="M2379" t="s">
        <v>30532</v>
      </c>
      <c r="N2379" t="s">
        <v>32524</v>
      </c>
      <c r="O2379" t="s">
        <v>32525</v>
      </c>
      <c r="P2379">
        <v>0</v>
      </c>
      <c r="Q2379">
        <v>1</v>
      </c>
      <c r="R2379" t="s">
        <v>32526</v>
      </c>
      <c r="S2379" t="s">
        <v>32547</v>
      </c>
      <c r="T2379" t="s">
        <v>33206</v>
      </c>
      <c r="U2379" t="s">
        <v>35655</v>
      </c>
      <c r="W2379" t="s">
        <v>30532</v>
      </c>
      <c r="X2379" t="s">
        <v>32527</v>
      </c>
    </row>
    <row r="2380" spans="1:24">
      <c r="A2380">
        <f>HYPERLINK("https://www.philgeps.gov.ph/GEPSNONPILOT/Tender/SplashBidNoticeAbstractUI.aspx?menuIndex=3&amp;refID=7047074&amp;Result=3","7047074")</f>
        <v>0</v>
      </c>
      <c r="B2380" t="s">
        <v>919</v>
      </c>
      <c r="C2380" t="s">
        <v>4962</v>
      </c>
      <c r="E2380" t="s">
        <v>15237</v>
      </c>
      <c r="F2380" t="s">
        <v>22436</v>
      </c>
      <c r="G2380" t="s">
        <v>22443</v>
      </c>
      <c r="H2380" t="s">
        <v>22452</v>
      </c>
      <c r="I2380" t="s">
        <v>3529</v>
      </c>
      <c r="J2380" t="s">
        <v>24240</v>
      </c>
      <c r="K2380" t="s">
        <v>29336</v>
      </c>
      <c r="M2380" t="s">
        <v>30533</v>
      </c>
      <c r="N2380" t="s">
        <v>32524</v>
      </c>
      <c r="O2380" t="s">
        <v>32525</v>
      </c>
      <c r="P2380">
        <v>0</v>
      </c>
      <c r="Q2380">
        <v>0</v>
      </c>
      <c r="R2380" t="s">
        <v>32526</v>
      </c>
      <c r="S2380" t="s">
        <v>32547</v>
      </c>
      <c r="T2380" t="s">
        <v>33161</v>
      </c>
      <c r="U2380" t="s">
        <v>35656</v>
      </c>
      <c r="V2380" t="s">
        <v>42646</v>
      </c>
      <c r="W2380" t="s">
        <v>30533</v>
      </c>
      <c r="X2380" t="s">
        <v>32527</v>
      </c>
    </row>
    <row r="2381" spans="1:24">
      <c r="A2381">
        <f>HYPERLINK("https://www.philgeps.gov.ph/GEPSNONPILOT/Tender/SplashBidNoticeAbstractUI.aspx?menuIndex=3&amp;refID=7047089&amp;Result=3","7047089")</f>
        <v>0</v>
      </c>
      <c r="B2381" t="s">
        <v>919</v>
      </c>
      <c r="C2381" t="s">
        <v>4963</v>
      </c>
      <c r="E2381" t="s">
        <v>15238</v>
      </c>
      <c r="F2381" t="s">
        <v>22436</v>
      </c>
      <c r="G2381" t="s">
        <v>22443</v>
      </c>
      <c r="H2381" t="s">
        <v>22452</v>
      </c>
      <c r="I2381" t="s">
        <v>22460</v>
      </c>
      <c r="J2381" t="s">
        <v>24241</v>
      </c>
      <c r="K2381" t="s">
        <v>29336</v>
      </c>
      <c r="M2381" t="s">
        <v>30533</v>
      </c>
      <c r="N2381" t="s">
        <v>32524</v>
      </c>
      <c r="O2381" t="s">
        <v>32525</v>
      </c>
      <c r="P2381">
        <v>0</v>
      </c>
      <c r="Q2381">
        <v>1</v>
      </c>
      <c r="R2381" t="s">
        <v>32526</v>
      </c>
      <c r="S2381" t="s">
        <v>32547</v>
      </c>
      <c r="T2381" t="s">
        <v>33161</v>
      </c>
      <c r="U2381" t="s">
        <v>35657</v>
      </c>
      <c r="V2381" t="s">
        <v>42646</v>
      </c>
      <c r="W2381" t="s">
        <v>30533</v>
      </c>
      <c r="X2381" t="s">
        <v>32527</v>
      </c>
    </row>
    <row r="2382" spans="1:24">
      <c r="A2382">
        <f>HYPERLINK("https://www.philgeps.gov.ph/GEPSNONPILOT/Tender/SplashBidNoticeAbstractUI.aspx?menuIndex=3&amp;refID=7047100&amp;Result=3","7047100")</f>
        <v>0</v>
      </c>
      <c r="B2382" t="s">
        <v>925</v>
      </c>
      <c r="C2382" t="s">
        <v>4964</v>
      </c>
      <c r="D2382" t="s">
        <v>13023</v>
      </c>
      <c r="E2382" t="s">
        <v>15239</v>
      </c>
      <c r="F2382" t="s">
        <v>22436</v>
      </c>
      <c r="G2382" t="s">
        <v>22443</v>
      </c>
      <c r="H2382" t="s">
        <v>22452</v>
      </c>
      <c r="I2382" t="s">
        <v>2981</v>
      </c>
      <c r="J2382" t="s">
        <v>24242</v>
      </c>
      <c r="K2382" t="s">
        <v>29338</v>
      </c>
      <c r="M2382" t="s">
        <v>30539</v>
      </c>
      <c r="N2382" t="s">
        <v>32524</v>
      </c>
      <c r="O2382" t="s">
        <v>32525</v>
      </c>
      <c r="P2382">
        <v>0</v>
      </c>
      <c r="Q2382">
        <v>0</v>
      </c>
      <c r="R2382" t="s">
        <v>32526</v>
      </c>
      <c r="S2382" t="s">
        <v>32547</v>
      </c>
      <c r="T2382" t="s">
        <v>33167</v>
      </c>
      <c r="U2382" t="s">
        <v>35658</v>
      </c>
      <c r="W2382" t="s">
        <v>30539</v>
      </c>
      <c r="X2382" t="s">
        <v>32527</v>
      </c>
    </row>
    <row r="2383" spans="1:24">
      <c r="A2383">
        <f>HYPERLINK("https://www.philgeps.gov.ph/GEPSNONPILOT/Tender/SplashBidNoticeAbstractUI.aspx?menuIndex=3&amp;refID=7047075&amp;Result=3","7047075")</f>
        <v>0</v>
      </c>
      <c r="B2383" t="s">
        <v>910</v>
      </c>
      <c r="C2383" t="s">
        <v>4965</v>
      </c>
      <c r="D2383" t="s">
        <v>12998</v>
      </c>
      <c r="E2383" t="s">
        <v>15240</v>
      </c>
      <c r="F2383" t="s">
        <v>22436</v>
      </c>
      <c r="G2383" t="s">
        <v>22446</v>
      </c>
      <c r="H2383" t="s">
        <v>22452</v>
      </c>
      <c r="I2383" t="s">
        <v>2981</v>
      </c>
      <c r="J2383" t="s">
        <v>24243</v>
      </c>
      <c r="K2383" t="s">
        <v>29338</v>
      </c>
      <c r="M2383" t="s">
        <v>30524</v>
      </c>
      <c r="N2383" t="s">
        <v>32524</v>
      </c>
      <c r="O2383" t="s">
        <v>32525</v>
      </c>
      <c r="P2383">
        <v>0</v>
      </c>
      <c r="Q2383">
        <v>0</v>
      </c>
      <c r="R2383" t="s">
        <v>32526</v>
      </c>
      <c r="S2383" t="s">
        <v>32547</v>
      </c>
      <c r="T2383" t="s">
        <v>33161</v>
      </c>
      <c r="U2383" t="s">
        <v>35650</v>
      </c>
      <c r="W2383" t="s">
        <v>30524</v>
      </c>
      <c r="X2383" t="s">
        <v>32527</v>
      </c>
    </row>
    <row r="2384" spans="1:24">
      <c r="A2384">
        <f>HYPERLINK("https://www.philgeps.gov.ph/GEPSNONPILOT/Tender/SplashBidNoticeAbstractUI.aspx?menuIndex=3&amp;refID=7047092&amp;Result=3","7047092")</f>
        <v>0</v>
      </c>
      <c r="B2384" t="s">
        <v>910</v>
      </c>
      <c r="C2384" t="s">
        <v>4966</v>
      </c>
      <c r="D2384" t="s">
        <v>12998</v>
      </c>
      <c r="E2384" t="s">
        <v>15241</v>
      </c>
      <c r="F2384" t="s">
        <v>22436</v>
      </c>
      <c r="G2384" t="s">
        <v>22446</v>
      </c>
      <c r="H2384" t="s">
        <v>22452</v>
      </c>
      <c r="I2384" t="s">
        <v>2981</v>
      </c>
      <c r="J2384" t="s">
        <v>24244</v>
      </c>
      <c r="K2384" t="s">
        <v>29338</v>
      </c>
      <c r="M2384" t="s">
        <v>30524</v>
      </c>
      <c r="N2384" t="s">
        <v>32524</v>
      </c>
      <c r="O2384" t="s">
        <v>32525</v>
      </c>
      <c r="P2384">
        <v>0</v>
      </c>
      <c r="Q2384">
        <v>1</v>
      </c>
      <c r="R2384" t="s">
        <v>32526</v>
      </c>
      <c r="S2384" t="s">
        <v>32547</v>
      </c>
      <c r="T2384" t="s">
        <v>33154</v>
      </c>
      <c r="U2384" t="s">
        <v>35650</v>
      </c>
      <c r="W2384" t="s">
        <v>30524</v>
      </c>
      <c r="X2384" t="s">
        <v>32527</v>
      </c>
    </row>
    <row r="2385" spans="1:24">
      <c r="A2385">
        <f>HYPERLINK("https://www.philgeps.gov.ph/GEPSNONPILOT/Tender/SplashBidNoticeAbstractUI.aspx?menuIndex=3&amp;refID=7047098&amp;Result=3","7047098")</f>
        <v>0</v>
      </c>
      <c r="B2385" t="s">
        <v>910</v>
      </c>
      <c r="C2385" t="s">
        <v>4967</v>
      </c>
      <c r="D2385" t="s">
        <v>13011</v>
      </c>
      <c r="E2385" t="s">
        <v>15242</v>
      </c>
      <c r="F2385" t="s">
        <v>22436</v>
      </c>
      <c r="G2385" t="s">
        <v>22443</v>
      </c>
      <c r="H2385" t="s">
        <v>22452</v>
      </c>
      <c r="I2385" t="s">
        <v>22488</v>
      </c>
      <c r="J2385" t="s">
        <v>23885</v>
      </c>
      <c r="K2385" t="s">
        <v>29338</v>
      </c>
      <c r="M2385" t="s">
        <v>30524</v>
      </c>
      <c r="N2385" t="s">
        <v>32524</v>
      </c>
      <c r="O2385" t="s">
        <v>32525</v>
      </c>
      <c r="P2385">
        <v>0</v>
      </c>
      <c r="Q2385">
        <v>0</v>
      </c>
      <c r="R2385" t="s">
        <v>32526</v>
      </c>
      <c r="S2385" t="s">
        <v>32547</v>
      </c>
      <c r="T2385" t="s">
        <v>33161</v>
      </c>
      <c r="U2385" t="s">
        <v>35659</v>
      </c>
      <c r="W2385" t="s">
        <v>30524</v>
      </c>
      <c r="X2385" t="s">
        <v>32527</v>
      </c>
    </row>
    <row r="2386" spans="1:24">
      <c r="A2386">
        <f>HYPERLINK("https://www.philgeps.gov.ph/GEPSNONPILOT/Tender/SplashBidNoticeAbstractUI.aspx?menuIndex=3&amp;refID=7047095&amp;Result=3","7047095")</f>
        <v>0</v>
      </c>
      <c r="B2386" t="s">
        <v>903</v>
      </c>
      <c r="C2386" t="s">
        <v>4968</v>
      </c>
      <c r="D2386" t="s">
        <v>13045</v>
      </c>
      <c r="E2386" t="s">
        <v>15243</v>
      </c>
      <c r="F2386" t="s">
        <v>22436</v>
      </c>
      <c r="G2386" t="s">
        <v>22443</v>
      </c>
      <c r="H2386" t="s">
        <v>22452</v>
      </c>
      <c r="I2386" t="s">
        <v>22550</v>
      </c>
      <c r="J2386" t="s">
        <v>24245</v>
      </c>
      <c r="K2386" t="s">
        <v>29335</v>
      </c>
      <c r="M2386" t="s">
        <v>30515</v>
      </c>
      <c r="N2386" t="s">
        <v>32524</v>
      </c>
      <c r="O2386" t="s">
        <v>32525</v>
      </c>
      <c r="P2386">
        <v>0</v>
      </c>
      <c r="Q2386">
        <v>0</v>
      </c>
      <c r="R2386" t="s">
        <v>32526</v>
      </c>
      <c r="S2386" t="s">
        <v>32547</v>
      </c>
      <c r="T2386" t="s">
        <v>33161</v>
      </c>
      <c r="U2386" t="s">
        <v>35660</v>
      </c>
      <c r="W2386" t="s">
        <v>30515</v>
      </c>
      <c r="X2386" t="s">
        <v>32527</v>
      </c>
    </row>
    <row r="2387" spans="1:24">
      <c r="A2387">
        <f>HYPERLINK("https://www.philgeps.gov.ph/GEPSNONPILOT/Tender/SplashBidNoticeAbstractUI.aspx?menuIndex=3&amp;refID=7047099&amp;Result=3","7047099")</f>
        <v>0</v>
      </c>
      <c r="B2387" t="s">
        <v>926</v>
      </c>
      <c r="C2387" t="s">
        <v>4969</v>
      </c>
      <c r="E2387" t="s">
        <v>15244</v>
      </c>
      <c r="F2387" t="s">
        <v>22436</v>
      </c>
      <c r="G2387" t="s">
        <v>22443</v>
      </c>
      <c r="H2387" t="s">
        <v>22452</v>
      </c>
      <c r="I2387" t="s">
        <v>3122</v>
      </c>
      <c r="J2387" t="s">
        <v>24246</v>
      </c>
      <c r="K2387" t="s">
        <v>29338</v>
      </c>
      <c r="M2387" t="s">
        <v>30540</v>
      </c>
      <c r="N2387" t="s">
        <v>32524</v>
      </c>
      <c r="O2387" t="s">
        <v>32525</v>
      </c>
      <c r="P2387">
        <v>0</v>
      </c>
      <c r="Q2387">
        <v>0</v>
      </c>
      <c r="R2387" t="s">
        <v>32526</v>
      </c>
      <c r="S2387" t="s">
        <v>32547</v>
      </c>
      <c r="T2387" t="s">
        <v>33169</v>
      </c>
      <c r="U2387" t="s">
        <v>35661</v>
      </c>
      <c r="V2387" t="s">
        <v>42647</v>
      </c>
      <c r="W2387" t="s">
        <v>30540</v>
      </c>
      <c r="X2387" t="s">
        <v>32527</v>
      </c>
    </row>
    <row r="2388" spans="1:24">
      <c r="A2388">
        <f>HYPERLINK("https://www.philgeps.gov.ph/GEPSNONPILOT/Tender/SplashBidNoticeAbstractUI.aspx?menuIndex=3&amp;refID=7047109&amp;Result=3","7047109")</f>
        <v>0</v>
      </c>
      <c r="B2388" t="s">
        <v>927</v>
      </c>
      <c r="C2388" t="s">
        <v>4970</v>
      </c>
      <c r="D2388" t="s">
        <v>12988</v>
      </c>
      <c r="E2388" t="s">
        <v>15245</v>
      </c>
      <c r="F2388" t="s">
        <v>22436</v>
      </c>
      <c r="G2388" t="s">
        <v>22443</v>
      </c>
      <c r="H2388" t="s">
        <v>22452</v>
      </c>
      <c r="I2388" t="s">
        <v>2981</v>
      </c>
      <c r="J2388" t="s">
        <v>23223</v>
      </c>
      <c r="K2388" t="s">
        <v>29357</v>
      </c>
      <c r="M2388" t="s">
        <v>30541</v>
      </c>
      <c r="N2388" t="s">
        <v>32524</v>
      </c>
      <c r="O2388" t="s">
        <v>32525</v>
      </c>
      <c r="P2388">
        <v>0</v>
      </c>
      <c r="Q2388">
        <v>5</v>
      </c>
      <c r="R2388" t="s">
        <v>32526</v>
      </c>
      <c r="S2388" t="s">
        <v>32547</v>
      </c>
      <c r="T2388" t="s">
        <v>33363</v>
      </c>
      <c r="U2388" t="s">
        <v>35662</v>
      </c>
      <c r="V2388" t="s">
        <v>35662</v>
      </c>
      <c r="W2388" t="s">
        <v>30541</v>
      </c>
      <c r="X2388" t="s">
        <v>32527</v>
      </c>
    </row>
    <row r="2389" spans="1:24">
      <c r="A2389">
        <f>HYPERLINK("https://www.philgeps.gov.ph/GEPSNONPILOT/Tender/SplashBidNoticeAbstractUI.aspx?menuIndex=3&amp;refID=7047108&amp;Result=3","7047108")</f>
        <v>0</v>
      </c>
      <c r="B2389" t="s">
        <v>918</v>
      </c>
      <c r="C2389" t="s">
        <v>4971</v>
      </c>
      <c r="D2389" t="s">
        <v>12996</v>
      </c>
      <c r="E2389" t="s">
        <v>15246</v>
      </c>
      <c r="F2389" t="s">
        <v>22436</v>
      </c>
      <c r="G2389" t="s">
        <v>22445</v>
      </c>
      <c r="H2389" t="s">
        <v>22452</v>
      </c>
      <c r="I2389" t="s">
        <v>3827</v>
      </c>
      <c r="J2389" t="s">
        <v>24247</v>
      </c>
      <c r="K2389" t="s">
        <v>29336</v>
      </c>
      <c r="M2389" t="s">
        <v>30532</v>
      </c>
      <c r="N2389" t="s">
        <v>32524</v>
      </c>
      <c r="O2389" t="s">
        <v>32525</v>
      </c>
      <c r="P2389">
        <v>0</v>
      </c>
      <c r="Q2389">
        <v>1</v>
      </c>
      <c r="R2389" t="s">
        <v>32526</v>
      </c>
      <c r="S2389" t="s">
        <v>32547</v>
      </c>
      <c r="T2389" t="s">
        <v>33206</v>
      </c>
      <c r="U2389" t="s">
        <v>35663</v>
      </c>
      <c r="W2389" t="s">
        <v>30532</v>
      </c>
      <c r="X2389" t="s">
        <v>32527</v>
      </c>
    </row>
    <row r="2390" spans="1:24">
      <c r="A2390">
        <f>HYPERLINK("https://www.philgeps.gov.ph/GEPSNONPILOT/Tender/SplashBidNoticeAbstractUI.aspx?menuIndex=3&amp;refID=7047096&amp;Result=3","7047096")</f>
        <v>0</v>
      </c>
      <c r="B2390" t="s">
        <v>919</v>
      </c>
      <c r="C2390" t="s">
        <v>4972</v>
      </c>
      <c r="E2390" t="s">
        <v>15247</v>
      </c>
      <c r="F2390" t="s">
        <v>22436</v>
      </c>
      <c r="G2390" t="s">
        <v>22443</v>
      </c>
      <c r="H2390" t="s">
        <v>22452</v>
      </c>
      <c r="I2390" t="s">
        <v>22494</v>
      </c>
      <c r="J2390" t="s">
        <v>24248</v>
      </c>
      <c r="K2390" t="s">
        <v>29336</v>
      </c>
      <c r="M2390" t="s">
        <v>30533</v>
      </c>
      <c r="N2390" t="s">
        <v>32524</v>
      </c>
      <c r="O2390" t="s">
        <v>32525</v>
      </c>
      <c r="P2390">
        <v>0</v>
      </c>
      <c r="Q2390">
        <v>0</v>
      </c>
      <c r="R2390" t="s">
        <v>32526</v>
      </c>
      <c r="S2390" t="s">
        <v>32547</v>
      </c>
      <c r="T2390" t="s">
        <v>33161</v>
      </c>
      <c r="U2390" t="s">
        <v>35664</v>
      </c>
      <c r="V2390" t="s">
        <v>42646</v>
      </c>
      <c r="W2390" t="s">
        <v>30533</v>
      </c>
      <c r="X2390" t="s">
        <v>32527</v>
      </c>
    </row>
    <row r="2391" spans="1:24">
      <c r="A2391">
        <f>HYPERLINK("https://www.philgeps.gov.ph/GEPSNONPILOT/Tender/SplashBidNoticeAbstractUI.aspx?menuIndex=3&amp;refID=7047105&amp;Result=3","7047105")</f>
        <v>0</v>
      </c>
      <c r="B2391" t="s">
        <v>903</v>
      </c>
      <c r="C2391" t="s">
        <v>4973</v>
      </c>
      <c r="D2391" t="s">
        <v>13045</v>
      </c>
      <c r="E2391" t="s">
        <v>15248</v>
      </c>
      <c r="F2391" t="s">
        <v>22436</v>
      </c>
      <c r="G2391" t="s">
        <v>22443</v>
      </c>
      <c r="H2391" t="s">
        <v>22452</v>
      </c>
      <c r="I2391" t="s">
        <v>22550</v>
      </c>
      <c r="J2391" t="s">
        <v>24249</v>
      </c>
      <c r="K2391" t="s">
        <v>29335</v>
      </c>
      <c r="M2391" t="s">
        <v>30515</v>
      </c>
      <c r="N2391" t="s">
        <v>32524</v>
      </c>
      <c r="O2391" t="s">
        <v>32525</v>
      </c>
      <c r="P2391">
        <v>0</v>
      </c>
      <c r="Q2391">
        <v>0</v>
      </c>
      <c r="R2391" t="s">
        <v>32526</v>
      </c>
      <c r="S2391" t="s">
        <v>32547</v>
      </c>
      <c r="T2391" t="s">
        <v>33154</v>
      </c>
      <c r="U2391" t="s">
        <v>35665</v>
      </c>
      <c r="W2391" t="s">
        <v>30515</v>
      </c>
      <c r="X2391" t="s">
        <v>32527</v>
      </c>
    </row>
    <row r="2392" spans="1:24">
      <c r="A2392">
        <f>HYPERLINK("https://www.philgeps.gov.ph/GEPSNONPILOT/Tender/SplashBidNoticeAbstractUI.aspx?menuIndex=3&amp;refID=7047115&amp;Result=3","7047115")</f>
        <v>0</v>
      </c>
      <c r="B2392" t="s">
        <v>928</v>
      </c>
      <c r="C2392" t="s">
        <v>4974</v>
      </c>
      <c r="D2392" t="s">
        <v>13004</v>
      </c>
      <c r="E2392" t="s">
        <v>15249</v>
      </c>
      <c r="F2392" t="s">
        <v>22436</v>
      </c>
      <c r="G2392" t="s">
        <v>22443</v>
      </c>
      <c r="H2392" t="s">
        <v>22452</v>
      </c>
      <c r="I2392" t="s">
        <v>2981</v>
      </c>
      <c r="J2392" t="s">
        <v>22605</v>
      </c>
      <c r="K2392" t="s">
        <v>29340</v>
      </c>
      <c r="M2392" t="s">
        <v>30542</v>
      </c>
      <c r="N2392" t="s">
        <v>32524</v>
      </c>
      <c r="O2392" t="s">
        <v>32525</v>
      </c>
      <c r="P2392">
        <v>0</v>
      </c>
      <c r="Q2392">
        <v>0</v>
      </c>
      <c r="R2392" t="s">
        <v>32526</v>
      </c>
      <c r="S2392" t="s">
        <v>32547</v>
      </c>
      <c r="T2392" t="s">
        <v>33250</v>
      </c>
      <c r="U2392" t="s">
        <v>35666</v>
      </c>
      <c r="W2392" t="s">
        <v>30542</v>
      </c>
      <c r="X2392" t="s">
        <v>32527</v>
      </c>
    </row>
    <row r="2393" spans="1:24">
      <c r="A2393">
        <f>HYPERLINK("https://www.philgeps.gov.ph/GEPSNONPILOT/Tender/SplashBidNoticeAbstractUI.aspx?menuIndex=3&amp;refID=7047106&amp;Result=3","7047106")</f>
        <v>0</v>
      </c>
      <c r="B2393" t="s">
        <v>419</v>
      </c>
      <c r="C2393" t="s">
        <v>4975</v>
      </c>
      <c r="D2393" t="s">
        <v>13058</v>
      </c>
      <c r="E2393" t="s">
        <v>15250</v>
      </c>
      <c r="F2393" t="s">
        <v>22436</v>
      </c>
      <c r="G2393" t="s">
        <v>22443</v>
      </c>
      <c r="H2393" t="s">
        <v>22452</v>
      </c>
      <c r="I2393" t="s">
        <v>5194</v>
      </c>
      <c r="J2393" t="s">
        <v>22798</v>
      </c>
      <c r="K2393" t="s">
        <v>29336</v>
      </c>
      <c r="M2393" t="s">
        <v>29999</v>
      </c>
      <c r="N2393" t="s">
        <v>32524</v>
      </c>
      <c r="O2393" t="s">
        <v>32525</v>
      </c>
      <c r="P2393">
        <v>0</v>
      </c>
      <c r="Q2393">
        <v>1</v>
      </c>
      <c r="R2393" t="s">
        <v>32526</v>
      </c>
      <c r="S2393" t="s">
        <v>32547</v>
      </c>
      <c r="T2393" t="s">
        <v>33233</v>
      </c>
      <c r="U2393" t="s">
        <v>35667</v>
      </c>
      <c r="W2393" t="s">
        <v>29999</v>
      </c>
      <c r="X2393" t="s">
        <v>32527</v>
      </c>
    </row>
    <row r="2394" spans="1:24">
      <c r="A2394">
        <f>HYPERLINK("https://www.philgeps.gov.ph/GEPSNONPILOT/Tender/SplashBidNoticeAbstractUI.aspx?menuIndex=3&amp;refID=7047107&amp;Result=3","7047107")</f>
        <v>0</v>
      </c>
      <c r="B2394" t="s">
        <v>901</v>
      </c>
      <c r="C2394" t="s">
        <v>4976</v>
      </c>
      <c r="D2394" t="s">
        <v>13007</v>
      </c>
      <c r="E2394" t="s">
        <v>13335</v>
      </c>
      <c r="F2394" t="s">
        <v>22436</v>
      </c>
      <c r="G2394" t="s">
        <v>22443</v>
      </c>
      <c r="H2394" t="s">
        <v>22455</v>
      </c>
      <c r="I2394" t="s">
        <v>22486</v>
      </c>
      <c r="J2394" t="s">
        <v>24250</v>
      </c>
      <c r="K2394" t="s">
        <v>29357</v>
      </c>
      <c r="M2394" t="s">
        <v>30512</v>
      </c>
      <c r="N2394" t="s">
        <v>32524</v>
      </c>
      <c r="O2394" t="s">
        <v>32525</v>
      </c>
      <c r="P2394">
        <v>0</v>
      </c>
      <c r="Q2394">
        <v>0</v>
      </c>
      <c r="R2394" t="s">
        <v>32526</v>
      </c>
      <c r="S2394" t="s">
        <v>32547</v>
      </c>
      <c r="T2394" t="s">
        <v>33154</v>
      </c>
      <c r="U2394" t="s">
        <v>35668</v>
      </c>
      <c r="W2394" t="s">
        <v>30512</v>
      </c>
      <c r="X2394" t="s">
        <v>32527</v>
      </c>
    </row>
    <row r="2395" spans="1:24">
      <c r="A2395">
        <f>HYPERLINK("https://www.philgeps.gov.ph/GEPSNONPILOT/Tender/SplashBidNoticeAbstractUI.aspx?menuIndex=3&amp;refID=7047102&amp;Result=3","7047102")</f>
        <v>0</v>
      </c>
      <c r="B2395" t="s">
        <v>903</v>
      </c>
      <c r="C2395" t="s">
        <v>4973</v>
      </c>
      <c r="D2395" t="s">
        <v>13045</v>
      </c>
      <c r="E2395" t="s">
        <v>15251</v>
      </c>
      <c r="F2395" t="s">
        <v>22436</v>
      </c>
      <c r="G2395" t="s">
        <v>22443</v>
      </c>
      <c r="H2395" t="s">
        <v>22452</v>
      </c>
      <c r="I2395" t="s">
        <v>22550</v>
      </c>
      <c r="J2395" t="s">
        <v>24251</v>
      </c>
      <c r="K2395" t="s">
        <v>29335</v>
      </c>
      <c r="M2395" t="s">
        <v>30515</v>
      </c>
      <c r="N2395" t="s">
        <v>32524</v>
      </c>
      <c r="O2395" t="s">
        <v>32525</v>
      </c>
      <c r="P2395">
        <v>0</v>
      </c>
      <c r="Q2395">
        <v>0</v>
      </c>
      <c r="R2395" t="s">
        <v>32526</v>
      </c>
      <c r="S2395" t="s">
        <v>32547</v>
      </c>
      <c r="T2395" t="s">
        <v>33161</v>
      </c>
      <c r="U2395" t="s">
        <v>35665</v>
      </c>
      <c r="W2395" t="s">
        <v>30515</v>
      </c>
      <c r="X2395" t="s">
        <v>32527</v>
      </c>
    </row>
    <row r="2396" spans="1:24">
      <c r="A2396">
        <f>HYPERLINK("https://www.philgeps.gov.ph/GEPSNONPILOT/Tender/SplashBidNoticeAbstractUI.aspx?menuIndex=3&amp;refID=7047116&amp;Result=3","7047116")</f>
        <v>0</v>
      </c>
      <c r="B2396" t="s">
        <v>927</v>
      </c>
      <c r="C2396" t="s">
        <v>4977</v>
      </c>
      <c r="D2396" t="s">
        <v>12988</v>
      </c>
      <c r="E2396" t="s">
        <v>15245</v>
      </c>
      <c r="F2396" t="s">
        <v>22436</v>
      </c>
      <c r="G2396" t="s">
        <v>22443</v>
      </c>
      <c r="H2396" t="s">
        <v>22452</v>
      </c>
      <c r="I2396" t="s">
        <v>2981</v>
      </c>
      <c r="J2396" t="s">
        <v>22956</v>
      </c>
      <c r="K2396" t="s">
        <v>29357</v>
      </c>
      <c r="M2396" t="s">
        <v>30541</v>
      </c>
      <c r="N2396" t="s">
        <v>32524</v>
      </c>
      <c r="O2396" t="s">
        <v>32525</v>
      </c>
      <c r="P2396">
        <v>0</v>
      </c>
      <c r="Q2396">
        <v>1</v>
      </c>
      <c r="R2396" t="s">
        <v>32526</v>
      </c>
      <c r="S2396" t="s">
        <v>32547</v>
      </c>
      <c r="T2396" t="s">
        <v>33363</v>
      </c>
      <c r="U2396" t="s">
        <v>35669</v>
      </c>
      <c r="V2396" t="s">
        <v>35669</v>
      </c>
      <c r="W2396" t="s">
        <v>30541</v>
      </c>
      <c r="X2396" t="s">
        <v>32527</v>
      </c>
    </row>
    <row r="2397" spans="1:24">
      <c r="A2397">
        <f>HYPERLINK("https://www.philgeps.gov.ph/GEPSNONPILOT/Tender/SplashBidNoticeAbstractUI.aspx?menuIndex=3&amp;refID=7047113&amp;Result=3","7047113")</f>
        <v>0</v>
      </c>
      <c r="B2397" t="s">
        <v>929</v>
      </c>
      <c r="C2397" t="s">
        <v>4978</v>
      </c>
      <c r="D2397" t="s">
        <v>13050</v>
      </c>
      <c r="E2397" t="s">
        <v>15252</v>
      </c>
      <c r="F2397" t="s">
        <v>22436</v>
      </c>
      <c r="G2397" t="s">
        <v>22443</v>
      </c>
      <c r="H2397" t="s">
        <v>22452</v>
      </c>
      <c r="I2397" t="s">
        <v>22469</v>
      </c>
      <c r="J2397" t="s">
        <v>22654</v>
      </c>
      <c r="K2397" t="s">
        <v>29356</v>
      </c>
      <c r="M2397" t="s">
        <v>30543</v>
      </c>
      <c r="N2397" t="s">
        <v>32524</v>
      </c>
      <c r="O2397" t="s">
        <v>32525</v>
      </c>
      <c r="P2397">
        <v>0</v>
      </c>
      <c r="Q2397">
        <v>2</v>
      </c>
      <c r="R2397" t="s">
        <v>32526</v>
      </c>
      <c r="S2397" t="s">
        <v>32547</v>
      </c>
      <c r="T2397" t="s">
        <v>33154</v>
      </c>
      <c r="U2397" t="s">
        <v>35670</v>
      </c>
      <c r="W2397" t="s">
        <v>30543</v>
      </c>
      <c r="X2397" t="s">
        <v>32527</v>
      </c>
    </row>
    <row r="2398" spans="1:24">
      <c r="A2398">
        <f>HYPERLINK("https://www.philgeps.gov.ph/GEPSNONPILOT/Tender/SplashBidNoticeAbstractUI.aspx?menuIndex=3&amp;refID=7047104&amp;Result=3","7047104")</f>
        <v>0</v>
      </c>
      <c r="B2398" t="s">
        <v>924</v>
      </c>
      <c r="C2398" t="s">
        <v>4958</v>
      </c>
      <c r="D2398" t="s">
        <v>13022</v>
      </c>
      <c r="E2398" t="s">
        <v>15253</v>
      </c>
      <c r="F2398" t="s">
        <v>22436</v>
      </c>
      <c r="G2398" t="s">
        <v>22447</v>
      </c>
      <c r="H2398" t="s">
        <v>22452</v>
      </c>
      <c r="I2398" t="s">
        <v>3529</v>
      </c>
      <c r="J2398" t="s">
        <v>24252</v>
      </c>
      <c r="K2398" t="s">
        <v>29341</v>
      </c>
      <c r="M2398" t="s">
        <v>30538</v>
      </c>
      <c r="N2398" t="s">
        <v>32524</v>
      </c>
      <c r="O2398" t="s">
        <v>32525</v>
      </c>
      <c r="P2398">
        <v>0</v>
      </c>
      <c r="Q2398">
        <v>0</v>
      </c>
      <c r="R2398" t="s">
        <v>32526</v>
      </c>
      <c r="S2398" t="s">
        <v>32547</v>
      </c>
      <c r="T2398" t="s">
        <v>33181</v>
      </c>
      <c r="U2398" t="s">
        <v>35671</v>
      </c>
      <c r="W2398" t="s">
        <v>30538</v>
      </c>
      <c r="X2398" t="s">
        <v>32527</v>
      </c>
    </row>
    <row r="2399" spans="1:24">
      <c r="A2399">
        <f>HYPERLINK("https://www.philgeps.gov.ph/GEPSNONPILOT/Tender/SplashBidNoticeAbstractUI.aspx?menuIndex=3&amp;refID=7047117&amp;Result=3","7047117")</f>
        <v>0</v>
      </c>
      <c r="B2399" t="s">
        <v>925</v>
      </c>
      <c r="C2399" t="s">
        <v>4979</v>
      </c>
      <c r="D2399" t="s">
        <v>13023</v>
      </c>
      <c r="E2399" t="s">
        <v>15254</v>
      </c>
      <c r="F2399" t="s">
        <v>22436</v>
      </c>
      <c r="G2399" t="s">
        <v>22443</v>
      </c>
      <c r="H2399" t="s">
        <v>22452</v>
      </c>
      <c r="I2399" t="s">
        <v>22463</v>
      </c>
      <c r="J2399" t="s">
        <v>24253</v>
      </c>
      <c r="K2399" t="s">
        <v>29338</v>
      </c>
      <c r="M2399" t="s">
        <v>30539</v>
      </c>
      <c r="N2399" t="s">
        <v>32524</v>
      </c>
      <c r="O2399" t="s">
        <v>32525</v>
      </c>
      <c r="P2399">
        <v>0</v>
      </c>
      <c r="Q2399">
        <v>1</v>
      </c>
      <c r="R2399" t="s">
        <v>32526</v>
      </c>
      <c r="S2399" t="s">
        <v>32547</v>
      </c>
      <c r="T2399" t="s">
        <v>33167</v>
      </c>
      <c r="U2399" t="s">
        <v>35672</v>
      </c>
      <c r="W2399" t="s">
        <v>30539</v>
      </c>
      <c r="X2399" t="s">
        <v>32527</v>
      </c>
    </row>
    <row r="2400" spans="1:24">
      <c r="A2400">
        <f>HYPERLINK("https://www.philgeps.gov.ph/GEPSNONPILOT/Tender/SplashBidNoticeAbstractUI.aspx?menuIndex=3&amp;refID=7047114&amp;Result=3","7047114")</f>
        <v>0</v>
      </c>
      <c r="B2400" t="s">
        <v>930</v>
      </c>
      <c r="C2400" t="s">
        <v>4980</v>
      </c>
      <c r="D2400" t="s">
        <v>13041</v>
      </c>
      <c r="E2400" t="s">
        <v>15255</v>
      </c>
      <c r="F2400" t="s">
        <v>22436</v>
      </c>
      <c r="G2400" t="s">
        <v>22446</v>
      </c>
      <c r="H2400" t="s">
        <v>22452</v>
      </c>
      <c r="I2400" t="s">
        <v>5194</v>
      </c>
      <c r="J2400" t="s">
        <v>23489</v>
      </c>
      <c r="K2400" t="s">
        <v>29338</v>
      </c>
      <c r="M2400" t="s">
        <v>30544</v>
      </c>
      <c r="N2400" t="s">
        <v>32524</v>
      </c>
      <c r="O2400" t="s">
        <v>32525</v>
      </c>
      <c r="P2400">
        <v>0</v>
      </c>
      <c r="Q2400">
        <v>0</v>
      </c>
      <c r="R2400" t="s">
        <v>32526</v>
      </c>
      <c r="S2400" t="s">
        <v>32547</v>
      </c>
      <c r="T2400" t="s">
        <v>33351</v>
      </c>
      <c r="U2400" t="s">
        <v>35673</v>
      </c>
      <c r="V2400" t="s">
        <v>42648</v>
      </c>
      <c r="W2400" t="s">
        <v>30544</v>
      </c>
      <c r="X2400" t="s">
        <v>32527</v>
      </c>
    </row>
    <row r="2401" spans="1:24">
      <c r="A2401">
        <f>HYPERLINK("https://www.philgeps.gov.ph/GEPSNONPILOT/Tender/SplashBidNoticeAbstractUI.aspx?menuIndex=3&amp;refID=7047112&amp;Result=3","7047112")</f>
        <v>0</v>
      </c>
      <c r="B2401" t="s">
        <v>903</v>
      </c>
      <c r="C2401" t="s">
        <v>4981</v>
      </c>
      <c r="D2401" t="s">
        <v>13045</v>
      </c>
      <c r="E2401" t="s">
        <v>15256</v>
      </c>
      <c r="F2401" t="s">
        <v>22436</v>
      </c>
      <c r="G2401" t="s">
        <v>22443</v>
      </c>
      <c r="H2401" t="s">
        <v>22452</v>
      </c>
      <c r="I2401" t="s">
        <v>22550</v>
      </c>
      <c r="J2401" t="s">
        <v>24254</v>
      </c>
      <c r="K2401" t="s">
        <v>29335</v>
      </c>
      <c r="M2401" t="s">
        <v>30515</v>
      </c>
      <c r="N2401" t="s">
        <v>32524</v>
      </c>
      <c r="O2401" t="s">
        <v>32525</v>
      </c>
      <c r="P2401">
        <v>0</v>
      </c>
      <c r="Q2401">
        <v>0</v>
      </c>
      <c r="R2401" t="s">
        <v>32526</v>
      </c>
      <c r="S2401" t="s">
        <v>32547</v>
      </c>
      <c r="T2401" t="s">
        <v>33161</v>
      </c>
      <c r="U2401" t="s">
        <v>35674</v>
      </c>
      <c r="W2401" t="s">
        <v>30515</v>
      </c>
      <c r="X2401" t="s">
        <v>32527</v>
      </c>
    </row>
    <row r="2402" spans="1:24">
      <c r="A2402">
        <f>HYPERLINK("https://www.philgeps.gov.ph/GEPSNONPILOT/Tender/SplashBidNoticeAbstractUI.aspx?menuIndex=3&amp;refID=7047129&amp;Result=3","7047129")</f>
        <v>0</v>
      </c>
      <c r="B2402" t="s">
        <v>910</v>
      </c>
      <c r="C2402" t="s">
        <v>4982</v>
      </c>
      <c r="D2402" t="s">
        <v>13061</v>
      </c>
      <c r="E2402" t="s">
        <v>15257</v>
      </c>
      <c r="F2402" t="s">
        <v>22436</v>
      </c>
      <c r="G2402" t="s">
        <v>22443</v>
      </c>
      <c r="H2402" t="s">
        <v>22452</v>
      </c>
      <c r="I2402" t="s">
        <v>3027</v>
      </c>
      <c r="J2402" t="s">
        <v>23288</v>
      </c>
      <c r="K2402" t="s">
        <v>29338</v>
      </c>
      <c r="M2402" t="s">
        <v>30524</v>
      </c>
      <c r="N2402" t="s">
        <v>32524</v>
      </c>
      <c r="O2402" t="s">
        <v>32525</v>
      </c>
      <c r="P2402">
        <v>0</v>
      </c>
      <c r="Q2402">
        <v>0</v>
      </c>
      <c r="R2402" t="s">
        <v>32526</v>
      </c>
      <c r="S2402" t="s">
        <v>32547</v>
      </c>
      <c r="T2402" t="s">
        <v>33161</v>
      </c>
      <c r="U2402" t="s">
        <v>35675</v>
      </c>
      <c r="V2402" t="s">
        <v>42649</v>
      </c>
      <c r="W2402" t="s">
        <v>30524</v>
      </c>
      <c r="X2402" t="s">
        <v>32527</v>
      </c>
    </row>
    <row r="2403" spans="1:24">
      <c r="A2403">
        <f>HYPERLINK("https://www.philgeps.gov.ph/GEPSNONPILOT/Tender/SplashBidNoticeAbstractUI.aspx?menuIndex=3&amp;refID=7047111&amp;Result=3","7047111")</f>
        <v>0</v>
      </c>
      <c r="B2403" t="s">
        <v>925</v>
      </c>
      <c r="C2403" t="s">
        <v>4983</v>
      </c>
      <c r="D2403" t="s">
        <v>13023</v>
      </c>
      <c r="E2403" t="s">
        <v>15258</v>
      </c>
      <c r="F2403" t="s">
        <v>22436</v>
      </c>
      <c r="G2403" t="s">
        <v>22443</v>
      </c>
      <c r="H2403" t="s">
        <v>22452</v>
      </c>
      <c r="I2403" t="s">
        <v>2981</v>
      </c>
      <c r="J2403" t="s">
        <v>24255</v>
      </c>
      <c r="K2403" t="s">
        <v>29338</v>
      </c>
      <c r="M2403" t="s">
        <v>30539</v>
      </c>
      <c r="N2403" t="s">
        <v>32524</v>
      </c>
      <c r="O2403" t="s">
        <v>32525</v>
      </c>
      <c r="P2403">
        <v>0</v>
      </c>
      <c r="Q2403">
        <v>1</v>
      </c>
      <c r="R2403" t="s">
        <v>32526</v>
      </c>
      <c r="S2403" t="s">
        <v>32547</v>
      </c>
      <c r="T2403" t="s">
        <v>33167</v>
      </c>
      <c r="U2403" t="s">
        <v>35676</v>
      </c>
      <c r="W2403" t="s">
        <v>30539</v>
      </c>
      <c r="X2403" t="s">
        <v>32527</v>
      </c>
    </row>
    <row r="2404" spans="1:24">
      <c r="A2404">
        <f>HYPERLINK("https://www.philgeps.gov.ph/GEPSNONPILOT/Tender/SplashBidNoticeAbstractUI.aspx?menuIndex=3&amp;refID=7047125&amp;Result=3","7047125")</f>
        <v>0</v>
      </c>
      <c r="B2404" t="s">
        <v>910</v>
      </c>
      <c r="C2404" t="s">
        <v>4984</v>
      </c>
      <c r="D2404" t="s">
        <v>12998</v>
      </c>
      <c r="E2404" t="s">
        <v>15259</v>
      </c>
      <c r="F2404" t="s">
        <v>22436</v>
      </c>
      <c r="G2404" t="s">
        <v>22443</v>
      </c>
      <c r="H2404" t="s">
        <v>22452</v>
      </c>
      <c r="I2404" t="s">
        <v>22481</v>
      </c>
      <c r="J2404" t="s">
        <v>24256</v>
      </c>
      <c r="K2404" t="s">
        <v>29338</v>
      </c>
      <c r="M2404" t="s">
        <v>30524</v>
      </c>
      <c r="N2404" t="s">
        <v>32524</v>
      </c>
      <c r="O2404" t="s">
        <v>32525</v>
      </c>
      <c r="P2404">
        <v>0</v>
      </c>
      <c r="Q2404">
        <v>0</v>
      </c>
      <c r="R2404" t="s">
        <v>32526</v>
      </c>
      <c r="S2404" t="s">
        <v>32547</v>
      </c>
      <c r="T2404" t="s">
        <v>33161</v>
      </c>
      <c r="U2404" t="s">
        <v>35677</v>
      </c>
      <c r="V2404" t="s">
        <v>42649</v>
      </c>
      <c r="W2404" t="s">
        <v>30524</v>
      </c>
      <c r="X2404" t="s">
        <v>32527</v>
      </c>
    </row>
    <row r="2405" spans="1:24">
      <c r="A2405">
        <f>HYPERLINK("https://www.philgeps.gov.ph/GEPSNONPILOT/Tender/SplashBidNoticeAbstractUI.aspx?menuIndex=3&amp;refID=7047128&amp;Result=3","7047128")</f>
        <v>0</v>
      </c>
      <c r="B2405" t="s">
        <v>930</v>
      </c>
      <c r="C2405" t="s">
        <v>4985</v>
      </c>
      <c r="D2405" t="s">
        <v>13041</v>
      </c>
      <c r="E2405" t="s">
        <v>15260</v>
      </c>
      <c r="F2405" t="s">
        <v>22436</v>
      </c>
      <c r="G2405" t="s">
        <v>22444</v>
      </c>
      <c r="H2405" t="s">
        <v>22454</v>
      </c>
      <c r="I2405" t="s">
        <v>7738</v>
      </c>
      <c r="J2405" t="s">
        <v>23356</v>
      </c>
      <c r="K2405" t="s">
        <v>29384</v>
      </c>
      <c r="M2405" t="s">
        <v>30544</v>
      </c>
      <c r="N2405" t="s">
        <v>32524</v>
      </c>
      <c r="O2405" t="s">
        <v>32525</v>
      </c>
      <c r="P2405">
        <v>0</v>
      </c>
      <c r="Q2405">
        <v>0</v>
      </c>
      <c r="R2405" t="s">
        <v>32526</v>
      </c>
      <c r="S2405" t="s">
        <v>32547</v>
      </c>
      <c r="T2405" t="s">
        <v>33163</v>
      </c>
      <c r="U2405" t="s">
        <v>35678</v>
      </c>
      <c r="V2405" t="s">
        <v>42650</v>
      </c>
      <c r="W2405" t="s">
        <v>30544</v>
      </c>
      <c r="X2405" t="s">
        <v>32527</v>
      </c>
    </row>
    <row r="2406" spans="1:24">
      <c r="A2406">
        <f>HYPERLINK("https://www.philgeps.gov.ph/GEPSNONPILOT/Tender/SplashBidNoticeAbstractUI.aspx?menuIndex=3&amp;refID=7047123&amp;Result=3","7047123")</f>
        <v>0</v>
      </c>
      <c r="B2406" t="s">
        <v>930</v>
      </c>
      <c r="C2406" t="s">
        <v>4986</v>
      </c>
      <c r="D2406" t="s">
        <v>13041</v>
      </c>
      <c r="E2406" t="s">
        <v>15261</v>
      </c>
      <c r="F2406" t="s">
        <v>22436</v>
      </c>
      <c r="G2406" t="s">
        <v>22446</v>
      </c>
      <c r="H2406" t="s">
        <v>22452</v>
      </c>
      <c r="I2406" t="s">
        <v>22469</v>
      </c>
      <c r="J2406" t="s">
        <v>24257</v>
      </c>
      <c r="K2406" t="s">
        <v>29338</v>
      </c>
      <c r="M2406" t="s">
        <v>30544</v>
      </c>
      <c r="N2406" t="s">
        <v>32524</v>
      </c>
      <c r="O2406" t="s">
        <v>32525</v>
      </c>
      <c r="P2406">
        <v>0</v>
      </c>
      <c r="Q2406">
        <v>0</v>
      </c>
      <c r="R2406" t="s">
        <v>32526</v>
      </c>
      <c r="S2406" t="s">
        <v>32547</v>
      </c>
      <c r="T2406" t="s">
        <v>33351</v>
      </c>
      <c r="U2406" t="s">
        <v>35679</v>
      </c>
      <c r="V2406" t="s">
        <v>42648</v>
      </c>
      <c r="W2406" t="s">
        <v>30544</v>
      </c>
      <c r="X2406" t="s">
        <v>32527</v>
      </c>
    </row>
    <row r="2407" spans="1:24">
      <c r="A2407">
        <f>HYPERLINK("https://www.philgeps.gov.ph/GEPSNONPILOT/Tender/SplashBidNoticeAbstractUI.aspx?menuIndex=3&amp;refID=7047124&amp;Result=3","7047124")</f>
        <v>0</v>
      </c>
      <c r="B2407" t="s">
        <v>931</v>
      </c>
      <c r="C2407" t="s">
        <v>4987</v>
      </c>
      <c r="E2407" t="s">
        <v>15262</v>
      </c>
      <c r="F2407" t="s">
        <v>22436</v>
      </c>
      <c r="G2407" t="s">
        <v>22443</v>
      </c>
      <c r="H2407" t="s">
        <v>22452</v>
      </c>
      <c r="I2407" t="s">
        <v>3529</v>
      </c>
      <c r="J2407" t="s">
        <v>24258</v>
      </c>
      <c r="K2407" t="s">
        <v>29335</v>
      </c>
      <c r="M2407" t="s">
        <v>30545</v>
      </c>
      <c r="N2407" t="s">
        <v>32524</v>
      </c>
      <c r="O2407" t="s">
        <v>32525</v>
      </c>
      <c r="P2407">
        <v>0</v>
      </c>
      <c r="Q2407">
        <v>0</v>
      </c>
      <c r="R2407" t="s">
        <v>32526</v>
      </c>
      <c r="S2407" t="s">
        <v>32547</v>
      </c>
      <c r="T2407" t="s">
        <v>33182</v>
      </c>
      <c r="U2407" t="s">
        <v>35680</v>
      </c>
      <c r="W2407" t="s">
        <v>30545</v>
      </c>
      <c r="X2407" t="s">
        <v>32527</v>
      </c>
    </row>
    <row r="2408" spans="1:24">
      <c r="A2408">
        <f>HYPERLINK("https://www.philgeps.gov.ph/GEPSNONPILOT/Tender/SplashBidNoticeAbstractUI.aspx?menuIndex=3&amp;refID=7047130&amp;Result=3","7047130")</f>
        <v>0</v>
      </c>
      <c r="B2408" t="s">
        <v>932</v>
      </c>
      <c r="C2408" t="s">
        <v>4502</v>
      </c>
      <c r="D2408" t="s">
        <v>12996</v>
      </c>
      <c r="E2408" t="s">
        <v>14018</v>
      </c>
      <c r="F2408" t="s">
        <v>22436</v>
      </c>
      <c r="G2408" t="s">
        <v>22445</v>
      </c>
      <c r="H2408" t="s">
        <v>22452</v>
      </c>
      <c r="I2408" t="s">
        <v>22460</v>
      </c>
      <c r="J2408" t="s">
        <v>23191</v>
      </c>
      <c r="K2408" t="s">
        <v>29336</v>
      </c>
      <c r="M2408" t="s">
        <v>30546</v>
      </c>
      <c r="N2408" t="s">
        <v>32524</v>
      </c>
      <c r="O2408" t="s">
        <v>32525</v>
      </c>
      <c r="P2408">
        <v>0</v>
      </c>
      <c r="Q2408">
        <v>1</v>
      </c>
      <c r="R2408" t="s">
        <v>32526</v>
      </c>
      <c r="S2408" t="s">
        <v>32547</v>
      </c>
      <c r="T2408" t="s">
        <v>33154</v>
      </c>
      <c r="U2408" t="s">
        <v>35681</v>
      </c>
      <c r="W2408" t="s">
        <v>30546</v>
      </c>
      <c r="X2408" t="s">
        <v>32527</v>
      </c>
    </row>
    <row r="2409" spans="1:24">
      <c r="A2409">
        <f>HYPERLINK("https://www.philgeps.gov.ph/GEPSNONPILOT/Tender/SplashBidNoticeAbstractUI.aspx?menuIndex=3&amp;refID=7047121&amp;Result=3","7047121")</f>
        <v>0</v>
      </c>
      <c r="B2409" t="s">
        <v>933</v>
      </c>
      <c r="C2409" t="s">
        <v>4502</v>
      </c>
      <c r="D2409" t="s">
        <v>12996</v>
      </c>
      <c r="E2409" t="s">
        <v>15263</v>
      </c>
      <c r="F2409" t="s">
        <v>22436</v>
      </c>
      <c r="G2409" t="s">
        <v>22445</v>
      </c>
      <c r="H2409" t="s">
        <v>22452</v>
      </c>
      <c r="I2409" t="s">
        <v>22460</v>
      </c>
      <c r="J2409" t="s">
        <v>22695</v>
      </c>
      <c r="K2409" t="s">
        <v>29336</v>
      </c>
      <c r="M2409" t="s">
        <v>30547</v>
      </c>
      <c r="N2409" t="s">
        <v>32524</v>
      </c>
      <c r="O2409" t="s">
        <v>32525</v>
      </c>
      <c r="P2409">
        <v>0</v>
      </c>
      <c r="Q2409">
        <v>0</v>
      </c>
      <c r="R2409" t="s">
        <v>32526</v>
      </c>
      <c r="S2409" t="s">
        <v>32547</v>
      </c>
      <c r="T2409" t="s">
        <v>33154</v>
      </c>
      <c r="U2409" t="s">
        <v>35682</v>
      </c>
      <c r="W2409" t="s">
        <v>30547</v>
      </c>
      <c r="X2409" t="s">
        <v>32527</v>
      </c>
    </row>
    <row r="2410" spans="1:24">
      <c r="A2410">
        <f>HYPERLINK("https://www.philgeps.gov.ph/GEPSNONPILOT/Tender/SplashBidNoticeAbstractUI.aspx?menuIndex=3&amp;refID=7047120&amp;Result=3","7047120")</f>
        <v>0</v>
      </c>
      <c r="B2410" t="s">
        <v>899</v>
      </c>
      <c r="C2410" t="s">
        <v>4988</v>
      </c>
      <c r="D2410" t="s">
        <v>13032</v>
      </c>
      <c r="E2410" t="s">
        <v>15264</v>
      </c>
      <c r="F2410" t="s">
        <v>22436</v>
      </c>
      <c r="G2410" t="s">
        <v>22444</v>
      </c>
      <c r="H2410" t="s">
        <v>22454</v>
      </c>
      <c r="I2410" t="s">
        <v>7738</v>
      </c>
      <c r="J2410" t="s">
        <v>24259</v>
      </c>
      <c r="K2410" t="s">
        <v>29427</v>
      </c>
      <c r="M2410" t="s">
        <v>30510</v>
      </c>
      <c r="N2410" t="s">
        <v>32524</v>
      </c>
      <c r="O2410" t="s">
        <v>32525</v>
      </c>
      <c r="P2410">
        <v>0</v>
      </c>
      <c r="Q2410">
        <v>0</v>
      </c>
      <c r="R2410" t="s">
        <v>32526</v>
      </c>
      <c r="S2410" t="s">
        <v>32547</v>
      </c>
      <c r="T2410" t="s">
        <v>33168</v>
      </c>
      <c r="U2410" t="s">
        <v>35683</v>
      </c>
      <c r="W2410" t="s">
        <v>30514</v>
      </c>
      <c r="X2410" t="s">
        <v>32527</v>
      </c>
    </row>
    <row r="2411" spans="1:24">
      <c r="A2411">
        <f>HYPERLINK("https://www.philgeps.gov.ph/GEPSNONPILOT/Tender/SplashBidNoticeAbstractUI.aspx?menuIndex=3&amp;refID=7047126&amp;Result=3","7047126")</f>
        <v>0</v>
      </c>
      <c r="B2411" t="s">
        <v>934</v>
      </c>
      <c r="C2411" t="s">
        <v>4989</v>
      </c>
      <c r="D2411" t="s">
        <v>13001</v>
      </c>
      <c r="E2411" t="s">
        <v>15265</v>
      </c>
      <c r="F2411" t="s">
        <v>22436</v>
      </c>
      <c r="G2411" t="s">
        <v>22444</v>
      </c>
      <c r="H2411" t="s">
        <v>22452</v>
      </c>
      <c r="I2411" t="s">
        <v>22504</v>
      </c>
      <c r="J2411" t="s">
        <v>22788</v>
      </c>
      <c r="K2411" t="s">
        <v>29336</v>
      </c>
      <c r="M2411" t="s">
        <v>30548</v>
      </c>
      <c r="N2411" t="s">
        <v>32524</v>
      </c>
      <c r="O2411" t="s">
        <v>32525</v>
      </c>
      <c r="P2411">
        <v>0</v>
      </c>
      <c r="Q2411">
        <v>2</v>
      </c>
      <c r="R2411" t="s">
        <v>32526</v>
      </c>
      <c r="S2411" t="s">
        <v>32547</v>
      </c>
      <c r="T2411" t="s">
        <v>33233</v>
      </c>
      <c r="U2411" t="s">
        <v>35684</v>
      </c>
      <c r="W2411" t="s">
        <v>30548</v>
      </c>
      <c r="X2411" t="s">
        <v>32527</v>
      </c>
    </row>
    <row r="2412" spans="1:24">
      <c r="A2412">
        <f>HYPERLINK("https://www.philgeps.gov.ph/GEPSNONPILOT/Tender/SplashBidNoticeAbstractUI.aspx?menuIndex=3&amp;refID=7047122&amp;Result=3","7047122")</f>
        <v>0</v>
      </c>
      <c r="B2412" t="s">
        <v>930</v>
      </c>
      <c r="C2412" t="s">
        <v>4990</v>
      </c>
      <c r="D2412" t="s">
        <v>13041</v>
      </c>
      <c r="E2412" t="s">
        <v>15266</v>
      </c>
      <c r="F2412" t="s">
        <v>22436</v>
      </c>
      <c r="G2412" t="s">
        <v>22446</v>
      </c>
      <c r="H2412" t="s">
        <v>22452</v>
      </c>
      <c r="I2412" t="s">
        <v>22469</v>
      </c>
      <c r="J2412" t="s">
        <v>24260</v>
      </c>
      <c r="K2412" t="s">
        <v>29338</v>
      </c>
      <c r="M2412" t="s">
        <v>30544</v>
      </c>
      <c r="N2412" t="s">
        <v>32524</v>
      </c>
      <c r="O2412" t="s">
        <v>32525</v>
      </c>
      <c r="P2412">
        <v>0</v>
      </c>
      <c r="Q2412">
        <v>1</v>
      </c>
      <c r="R2412" t="s">
        <v>32526</v>
      </c>
      <c r="S2412" t="s">
        <v>32547</v>
      </c>
      <c r="T2412" t="s">
        <v>33351</v>
      </c>
      <c r="U2412" t="s">
        <v>35685</v>
      </c>
      <c r="V2412" t="s">
        <v>42648</v>
      </c>
      <c r="W2412" t="s">
        <v>30544</v>
      </c>
      <c r="X2412" t="s">
        <v>32527</v>
      </c>
    </row>
    <row r="2413" spans="1:24">
      <c r="A2413">
        <f>HYPERLINK("https://www.philgeps.gov.ph/GEPSNONPILOT/Tender/SplashBidNoticeAbstractUI.aspx?menuIndex=3&amp;refID=7047127&amp;Result=3","7047127")</f>
        <v>0</v>
      </c>
      <c r="B2413" t="s">
        <v>910</v>
      </c>
      <c r="C2413" t="s">
        <v>4991</v>
      </c>
      <c r="D2413" t="s">
        <v>12998</v>
      </c>
      <c r="E2413" t="s">
        <v>15267</v>
      </c>
      <c r="F2413" t="s">
        <v>22436</v>
      </c>
      <c r="G2413" t="s">
        <v>22443</v>
      </c>
      <c r="H2413" t="s">
        <v>22452</v>
      </c>
      <c r="I2413" t="s">
        <v>3027</v>
      </c>
      <c r="J2413" t="s">
        <v>24261</v>
      </c>
      <c r="K2413" t="s">
        <v>29338</v>
      </c>
      <c r="M2413" t="s">
        <v>30524</v>
      </c>
      <c r="N2413" t="s">
        <v>32524</v>
      </c>
      <c r="O2413" t="s">
        <v>32525</v>
      </c>
      <c r="P2413">
        <v>0</v>
      </c>
      <c r="Q2413">
        <v>0</v>
      </c>
      <c r="R2413" t="s">
        <v>32526</v>
      </c>
      <c r="S2413" t="s">
        <v>32547</v>
      </c>
      <c r="T2413" t="s">
        <v>33161</v>
      </c>
      <c r="U2413" t="s">
        <v>35686</v>
      </c>
      <c r="V2413" t="s">
        <v>42649</v>
      </c>
      <c r="W2413" t="s">
        <v>30524</v>
      </c>
      <c r="X2413" t="s">
        <v>32527</v>
      </c>
    </row>
    <row r="2414" spans="1:24">
      <c r="A2414">
        <f>HYPERLINK("https://www.philgeps.gov.ph/GEPSNONPILOT/Tender/SplashBidNoticeAbstractUI.aspx?menuIndex=3&amp;refID=7047119&amp;Result=3","7047119")</f>
        <v>0</v>
      </c>
      <c r="B2414" t="s">
        <v>930</v>
      </c>
      <c r="C2414" t="s">
        <v>4990</v>
      </c>
      <c r="D2414" t="s">
        <v>13041</v>
      </c>
      <c r="E2414" t="s">
        <v>15268</v>
      </c>
      <c r="F2414" t="s">
        <v>22436</v>
      </c>
      <c r="G2414" t="s">
        <v>22446</v>
      </c>
      <c r="H2414" t="s">
        <v>22452</v>
      </c>
      <c r="I2414" t="s">
        <v>22469</v>
      </c>
      <c r="J2414" t="s">
        <v>24262</v>
      </c>
      <c r="K2414" t="s">
        <v>29338</v>
      </c>
      <c r="M2414" t="s">
        <v>30544</v>
      </c>
      <c r="N2414" t="s">
        <v>32524</v>
      </c>
      <c r="O2414" t="s">
        <v>32525</v>
      </c>
      <c r="P2414">
        <v>0</v>
      </c>
      <c r="Q2414">
        <v>0</v>
      </c>
      <c r="R2414" t="s">
        <v>32526</v>
      </c>
      <c r="S2414" t="s">
        <v>32547</v>
      </c>
      <c r="T2414" t="s">
        <v>33351</v>
      </c>
      <c r="U2414" t="s">
        <v>35685</v>
      </c>
      <c r="V2414" t="s">
        <v>42648</v>
      </c>
      <c r="W2414" t="s">
        <v>30544</v>
      </c>
      <c r="X2414" t="s">
        <v>32527</v>
      </c>
    </row>
    <row r="2415" spans="1:24">
      <c r="A2415">
        <f>HYPERLINK("https://www.philgeps.gov.ph/GEPSNONPILOT/Tender/SplashBidNoticeAbstractUI.aspx?menuIndex=3&amp;refID=7047137&amp;Result=3","7047137")</f>
        <v>0</v>
      </c>
      <c r="B2415" t="s">
        <v>910</v>
      </c>
      <c r="C2415" t="s">
        <v>4992</v>
      </c>
      <c r="D2415" t="s">
        <v>12990</v>
      </c>
      <c r="E2415" t="s">
        <v>15269</v>
      </c>
      <c r="F2415" t="s">
        <v>22436</v>
      </c>
      <c r="G2415" t="s">
        <v>22443</v>
      </c>
      <c r="H2415" t="s">
        <v>22452</v>
      </c>
      <c r="I2415" t="s">
        <v>3027</v>
      </c>
      <c r="J2415" t="s">
        <v>23288</v>
      </c>
      <c r="K2415" t="s">
        <v>29338</v>
      </c>
      <c r="M2415" t="s">
        <v>30524</v>
      </c>
      <c r="N2415" t="s">
        <v>32524</v>
      </c>
      <c r="O2415" t="s">
        <v>32525</v>
      </c>
      <c r="P2415">
        <v>0</v>
      </c>
      <c r="Q2415">
        <v>0</v>
      </c>
      <c r="R2415" t="s">
        <v>32526</v>
      </c>
      <c r="S2415" t="s">
        <v>32547</v>
      </c>
      <c r="T2415" t="s">
        <v>33161</v>
      </c>
      <c r="U2415" t="s">
        <v>35687</v>
      </c>
      <c r="V2415" t="s">
        <v>42649</v>
      </c>
      <c r="W2415" t="s">
        <v>30524</v>
      </c>
      <c r="X2415" t="s">
        <v>32527</v>
      </c>
    </row>
    <row r="2416" spans="1:24">
      <c r="A2416">
        <f>HYPERLINK("https://www.philgeps.gov.ph/GEPSNONPILOT/Tender/SplashBidNoticeAbstractUI.aspx?menuIndex=3&amp;refID=7047132&amp;Result=3","7047132")</f>
        <v>0</v>
      </c>
      <c r="B2416" t="s">
        <v>935</v>
      </c>
      <c r="C2416" t="s">
        <v>4993</v>
      </c>
      <c r="D2416" t="s">
        <v>13010</v>
      </c>
      <c r="E2416" t="s">
        <v>13368</v>
      </c>
      <c r="F2416" t="s">
        <v>22436</v>
      </c>
      <c r="G2416" t="s">
        <v>22443</v>
      </c>
      <c r="H2416" t="s">
        <v>22452</v>
      </c>
      <c r="I2416" t="s">
        <v>5194</v>
      </c>
      <c r="J2416" t="s">
        <v>22588</v>
      </c>
      <c r="K2416" t="s">
        <v>29340</v>
      </c>
      <c r="M2416" t="s">
        <v>30549</v>
      </c>
      <c r="N2416" t="s">
        <v>32524</v>
      </c>
      <c r="O2416" t="s">
        <v>32525</v>
      </c>
      <c r="P2416">
        <v>0</v>
      </c>
      <c r="Q2416">
        <v>0</v>
      </c>
      <c r="R2416" t="s">
        <v>32526</v>
      </c>
      <c r="S2416" t="s">
        <v>32547</v>
      </c>
      <c r="T2416" t="s">
        <v>33169</v>
      </c>
      <c r="U2416" t="s">
        <v>35688</v>
      </c>
      <c r="W2416" t="s">
        <v>30549</v>
      </c>
      <c r="X2416" t="s">
        <v>32527</v>
      </c>
    </row>
    <row r="2417" spans="1:24">
      <c r="A2417">
        <f>HYPERLINK("https://www.philgeps.gov.ph/GEPSNONPILOT/Tender/SplashBidNoticeAbstractUI.aspx?menuIndex=3&amp;refID=7047142&amp;Result=3","7047142")</f>
        <v>0</v>
      </c>
      <c r="B2417" t="s">
        <v>934</v>
      </c>
      <c r="C2417" t="s">
        <v>4994</v>
      </c>
      <c r="D2417" t="s">
        <v>13001</v>
      </c>
      <c r="E2417" t="s">
        <v>15270</v>
      </c>
      <c r="F2417" t="s">
        <v>22436</v>
      </c>
      <c r="G2417" t="s">
        <v>22444</v>
      </c>
      <c r="H2417" t="s">
        <v>22453</v>
      </c>
      <c r="I2417" t="s">
        <v>22486</v>
      </c>
      <c r="J2417" t="s">
        <v>23440</v>
      </c>
      <c r="K2417" t="s">
        <v>29336</v>
      </c>
      <c r="M2417" t="s">
        <v>30548</v>
      </c>
      <c r="N2417" t="s">
        <v>32524</v>
      </c>
      <c r="O2417" t="s">
        <v>32525</v>
      </c>
      <c r="P2417">
        <v>0</v>
      </c>
      <c r="Q2417">
        <v>0</v>
      </c>
      <c r="R2417" t="s">
        <v>32526</v>
      </c>
      <c r="S2417" t="s">
        <v>32547</v>
      </c>
      <c r="T2417" t="s">
        <v>33233</v>
      </c>
      <c r="U2417" t="s">
        <v>35684</v>
      </c>
      <c r="W2417" t="s">
        <v>30548</v>
      </c>
      <c r="X2417" t="s">
        <v>32527</v>
      </c>
    </row>
    <row r="2418" spans="1:24">
      <c r="A2418">
        <f>HYPERLINK("https://www.philgeps.gov.ph/GEPSNONPILOT/Tender/SplashBidNoticeAbstractUI.aspx?menuIndex=3&amp;refID=7047136&amp;Result=3","7047136")</f>
        <v>0</v>
      </c>
      <c r="B2418" t="s">
        <v>934</v>
      </c>
      <c r="C2418" t="s">
        <v>4995</v>
      </c>
      <c r="E2418" t="s">
        <v>15271</v>
      </c>
      <c r="F2418" t="s">
        <v>22436</v>
      </c>
      <c r="G2418" t="s">
        <v>22444</v>
      </c>
      <c r="H2418" t="s">
        <v>22452</v>
      </c>
      <c r="I2418" t="s">
        <v>22465</v>
      </c>
      <c r="J2418" t="s">
        <v>24263</v>
      </c>
      <c r="K2418" t="s">
        <v>29336</v>
      </c>
      <c r="M2418" t="s">
        <v>30548</v>
      </c>
      <c r="N2418" t="s">
        <v>32524</v>
      </c>
      <c r="O2418" t="s">
        <v>32525</v>
      </c>
      <c r="P2418">
        <v>0</v>
      </c>
      <c r="Q2418">
        <v>0</v>
      </c>
      <c r="R2418" t="s">
        <v>32526</v>
      </c>
      <c r="S2418" t="s">
        <v>32547</v>
      </c>
      <c r="T2418" t="s">
        <v>33233</v>
      </c>
      <c r="U2418" t="s">
        <v>35689</v>
      </c>
      <c r="W2418" t="s">
        <v>30548</v>
      </c>
      <c r="X2418" t="s">
        <v>32527</v>
      </c>
    </row>
    <row r="2419" spans="1:24">
      <c r="A2419">
        <f>HYPERLINK("https://www.philgeps.gov.ph/GEPSNONPILOT/Tender/SplashBidNoticeAbstractUI.aspx?menuIndex=3&amp;refID=7047143&amp;Result=3","7047143")</f>
        <v>0</v>
      </c>
      <c r="B2419" t="s">
        <v>936</v>
      </c>
      <c r="C2419" t="s">
        <v>4996</v>
      </c>
      <c r="D2419" t="s">
        <v>12988</v>
      </c>
      <c r="E2419" t="s">
        <v>15108</v>
      </c>
      <c r="F2419" t="s">
        <v>22436</v>
      </c>
      <c r="G2419" t="s">
        <v>22444</v>
      </c>
      <c r="H2419" t="s">
        <v>22452</v>
      </c>
      <c r="I2419" t="s">
        <v>2981</v>
      </c>
      <c r="J2419" t="s">
        <v>24264</v>
      </c>
      <c r="K2419" t="s">
        <v>29357</v>
      </c>
      <c r="M2419" t="s">
        <v>30550</v>
      </c>
      <c r="N2419" t="s">
        <v>32524</v>
      </c>
      <c r="O2419" t="s">
        <v>32525</v>
      </c>
      <c r="P2419">
        <v>0</v>
      </c>
      <c r="Q2419">
        <v>1</v>
      </c>
      <c r="R2419" t="s">
        <v>32526</v>
      </c>
      <c r="S2419" t="s">
        <v>32547</v>
      </c>
      <c r="T2419" t="s">
        <v>33181</v>
      </c>
      <c r="U2419" t="s">
        <v>35690</v>
      </c>
      <c r="W2419" t="s">
        <v>30550</v>
      </c>
      <c r="X2419" t="s">
        <v>32527</v>
      </c>
    </row>
    <row r="2420" spans="1:24">
      <c r="A2420">
        <f>HYPERLINK("https://www.philgeps.gov.ph/GEPSNONPILOT/Tender/SplashBidNoticeAbstractUI.aspx?menuIndex=3&amp;refID=7047134&amp;Result=3","7047134")</f>
        <v>0</v>
      </c>
      <c r="B2420" t="s">
        <v>937</v>
      </c>
      <c r="C2420" t="s">
        <v>4997</v>
      </c>
      <c r="D2420" t="s">
        <v>13054</v>
      </c>
      <c r="E2420" t="s">
        <v>15272</v>
      </c>
      <c r="F2420" t="s">
        <v>22436</v>
      </c>
      <c r="G2420" t="s">
        <v>22443</v>
      </c>
      <c r="H2420" t="s">
        <v>22452</v>
      </c>
      <c r="I2420" t="s">
        <v>7738</v>
      </c>
      <c r="J2420" t="s">
        <v>24265</v>
      </c>
      <c r="K2420" t="s">
        <v>29329</v>
      </c>
      <c r="M2420" t="s">
        <v>30551</v>
      </c>
      <c r="N2420" t="s">
        <v>32524</v>
      </c>
      <c r="O2420" t="s">
        <v>32525</v>
      </c>
      <c r="P2420">
        <v>0</v>
      </c>
      <c r="Q2420">
        <v>0</v>
      </c>
      <c r="R2420" t="s">
        <v>32526</v>
      </c>
      <c r="S2420" t="s">
        <v>32547</v>
      </c>
      <c r="T2420" t="s">
        <v>33203</v>
      </c>
      <c r="U2420" t="s">
        <v>35691</v>
      </c>
      <c r="W2420" t="s">
        <v>30551</v>
      </c>
      <c r="X2420" t="s">
        <v>32527</v>
      </c>
    </row>
    <row r="2421" spans="1:24">
      <c r="A2421">
        <f>HYPERLINK("https://www.philgeps.gov.ph/GEPSNONPILOT/Tender/SplashBidNoticeAbstractUI.aspx?menuIndex=3&amp;refID=7047146&amp;Result=3","7047146")</f>
        <v>0</v>
      </c>
      <c r="B2421" t="s">
        <v>938</v>
      </c>
      <c r="C2421" t="s">
        <v>4998</v>
      </c>
      <c r="D2421" t="s">
        <v>12996</v>
      </c>
      <c r="E2421" t="s">
        <v>15273</v>
      </c>
      <c r="F2421" t="s">
        <v>22436</v>
      </c>
      <c r="G2421" t="s">
        <v>22443</v>
      </c>
      <c r="H2421" t="s">
        <v>22452</v>
      </c>
      <c r="I2421" t="s">
        <v>22465</v>
      </c>
      <c r="J2421" t="s">
        <v>24266</v>
      </c>
      <c r="K2421" t="s">
        <v>29336</v>
      </c>
      <c r="M2421" t="s">
        <v>30552</v>
      </c>
      <c r="N2421" t="s">
        <v>32524</v>
      </c>
      <c r="O2421" t="s">
        <v>32525</v>
      </c>
      <c r="P2421">
        <v>0</v>
      </c>
      <c r="Q2421">
        <v>1</v>
      </c>
      <c r="R2421" t="s">
        <v>32526</v>
      </c>
      <c r="S2421" t="s">
        <v>32547</v>
      </c>
      <c r="T2421" t="s">
        <v>33206</v>
      </c>
      <c r="U2421" t="s">
        <v>35692</v>
      </c>
      <c r="W2421" t="s">
        <v>30552</v>
      </c>
      <c r="X2421" t="s">
        <v>32527</v>
      </c>
    </row>
    <row r="2422" spans="1:24">
      <c r="A2422">
        <f>HYPERLINK("https://www.philgeps.gov.ph/GEPSNONPILOT/Tender/SplashBidNoticeAbstractUI.aspx?menuIndex=3&amp;refID=7047139&amp;Result=3","7047139")</f>
        <v>0</v>
      </c>
      <c r="B2422" t="s">
        <v>935</v>
      </c>
      <c r="C2422" t="s">
        <v>4993</v>
      </c>
      <c r="D2422" t="s">
        <v>13010</v>
      </c>
      <c r="E2422" t="s">
        <v>13368</v>
      </c>
      <c r="F2422" t="s">
        <v>22436</v>
      </c>
      <c r="G2422" t="s">
        <v>22443</v>
      </c>
      <c r="H2422" t="s">
        <v>22452</v>
      </c>
      <c r="I2422" t="s">
        <v>5194</v>
      </c>
      <c r="J2422" t="s">
        <v>22692</v>
      </c>
      <c r="K2422" t="s">
        <v>29340</v>
      </c>
      <c r="M2422" t="s">
        <v>30549</v>
      </c>
      <c r="N2422" t="s">
        <v>32524</v>
      </c>
      <c r="O2422" t="s">
        <v>32525</v>
      </c>
      <c r="P2422">
        <v>0</v>
      </c>
      <c r="Q2422">
        <v>0</v>
      </c>
      <c r="R2422" t="s">
        <v>32526</v>
      </c>
      <c r="S2422" t="s">
        <v>32547</v>
      </c>
      <c r="T2422" t="s">
        <v>33169</v>
      </c>
      <c r="U2422" t="s">
        <v>35693</v>
      </c>
      <c r="W2422" t="s">
        <v>30549</v>
      </c>
      <c r="X2422" t="s">
        <v>32527</v>
      </c>
    </row>
    <row r="2423" spans="1:24">
      <c r="A2423">
        <f>HYPERLINK("https://www.philgeps.gov.ph/GEPSNONPILOT/Tender/SplashBidNoticeAbstractUI.aspx?menuIndex=3&amp;refID=7047148&amp;Result=3","7047148")</f>
        <v>0</v>
      </c>
      <c r="B2423" t="s">
        <v>934</v>
      </c>
      <c r="C2423" t="s">
        <v>4999</v>
      </c>
      <c r="D2423" t="s">
        <v>13001</v>
      </c>
      <c r="E2423" t="s">
        <v>15274</v>
      </c>
      <c r="F2423" t="s">
        <v>22436</v>
      </c>
      <c r="G2423" t="s">
        <v>22445</v>
      </c>
      <c r="H2423" t="s">
        <v>22452</v>
      </c>
      <c r="I2423" t="s">
        <v>22464</v>
      </c>
      <c r="J2423" t="s">
        <v>24267</v>
      </c>
      <c r="K2423" t="s">
        <v>29336</v>
      </c>
      <c r="M2423" t="s">
        <v>30548</v>
      </c>
      <c r="N2423" t="s">
        <v>32524</v>
      </c>
      <c r="O2423" t="s">
        <v>32525</v>
      </c>
      <c r="P2423">
        <v>0</v>
      </c>
      <c r="Q2423">
        <v>0</v>
      </c>
      <c r="R2423" t="s">
        <v>32526</v>
      </c>
      <c r="S2423" t="s">
        <v>32547</v>
      </c>
      <c r="T2423" t="s">
        <v>33233</v>
      </c>
      <c r="U2423" t="s">
        <v>35684</v>
      </c>
      <c r="W2423" t="s">
        <v>30548</v>
      </c>
      <c r="X2423" t="s">
        <v>32527</v>
      </c>
    </row>
    <row r="2424" spans="1:24">
      <c r="A2424">
        <f>HYPERLINK("https://www.philgeps.gov.ph/GEPSNONPILOT/Tender/SplashBidNoticeAbstractUI.aspx?menuIndex=3&amp;refID=7047133&amp;Result=3","7047133")</f>
        <v>0</v>
      </c>
      <c r="B2424" t="s">
        <v>930</v>
      </c>
      <c r="C2424" t="s">
        <v>5000</v>
      </c>
      <c r="D2424" t="s">
        <v>13041</v>
      </c>
      <c r="E2424" t="s">
        <v>15275</v>
      </c>
      <c r="F2424" t="s">
        <v>22436</v>
      </c>
      <c r="G2424" t="s">
        <v>22444</v>
      </c>
      <c r="H2424" t="s">
        <v>22454</v>
      </c>
      <c r="I2424" t="s">
        <v>7738</v>
      </c>
      <c r="J2424" t="s">
        <v>24268</v>
      </c>
      <c r="K2424" t="s">
        <v>29384</v>
      </c>
      <c r="M2424" t="s">
        <v>30544</v>
      </c>
      <c r="N2424" t="s">
        <v>32524</v>
      </c>
      <c r="O2424" t="s">
        <v>32525</v>
      </c>
      <c r="P2424">
        <v>0</v>
      </c>
      <c r="Q2424">
        <v>0</v>
      </c>
      <c r="R2424" t="s">
        <v>32526</v>
      </c>
      <c r="S2424" t="s">
        <v>32547</v>
      </c>
      <c r="T2424" t="s">
        <v>33163</v>
      </c>
      <c r="U2424" t="s">
        <v>35694</v>
      </c>
      <c r="V2424" t="s">
        <v>42650</v>
      </c>
      <c r="W2424" t="s">
        <v>30544</v>
      </c>
      <c r="X2424" t="s">
        <v>32527</v>
      </c>
    </row>
    <row r="2425" spans="1:24">
      <c r="A2425">
        <f>HYPERLINK("https://www.philgeps.gov.ph/GEPSNONPILOT/Tender/SplashBidNoticeAbstractUI.aspx?menuIndex=3&amp;refID=6938942&amp;Result=3","6938942")</f>
        <v>0</v>
      </c>
      <c r="B2425" t="s">
        <v>834</v>
      </c>
      <c r="C2425" t="s">
        <v>5001</v>
      </c>
      <c r="E2425" t="s">
        <v>15276</v>
      </c>
      <c r="F2425" t="s">
        <v>22436</v>
      </c>
      <c r="G2425" t="s">
        <v>22444</v>
      </c>
      <c r="H2425" t="s">
        <v>22452</v>
      </c>
      <c r="I2425" t="s">
        <v>22458</v>
      </c>
      <c r="J2425" t="s">
        <v>23202</v>
      </c>
      <c r="K2425" t="s">
        <v>29338</v>
      </c>
      <c r="M2425" t="s">
        <v>30440</v>
      </c>
      <c r="N2425" t="s">
        <v>32524</v>
      </c>
      <c r="O2425" t="s">
        <v>32525</v>
      </c>
      <c r="P2425">
        <v>0</v>
      </c>
      <c r="Q2425">
        <v>16</v>
      </c>
      <c r="R2425" t="s">
        <v>32527</v>
      </c>
      <c r="S2425" t="s">
        <v>32552</v>
      </c>
      <c r="T2425" t="s">
        <v>33157</v>
      </c>
      <c r="U2425" t="s">
        <v>35695</v>
      </c>
      <c r="W2425" t="s">
        <v>30440</v>
      </c>
      <c r="X2425" t="s">
        <v>43777</v>
      </c>
    </row>
    <row r="2426" spans="1:24">
      <c r="A2426">
        <f>HYPERLINK("https://www.philgeps.gov.ph/GEPSNONPILOT/Tender/SplashBidNoticeAbstractUI.aspx?menuIndex=3&amp;refID=7047144&amp;Result=3","7047144")</f>
        <v>0</v>
      </c>
      <c r="B2426" t="s">
        <v>938</v>
      </c>
      <c r="C2426" t="s">
        <v>4502</v>
      </c>
      <c r="D2426" t="s">
        <v>12996</v>
      </c>
      <c r="E2426" t="s">
        <v>15277</v>
      </c>
      <c r="F2426" t="s">
        <v>22436</v>
      </c>
      <c r="G2426" t="s">
        <v>22445</v>
      </c>
      <c r="H2426" t="s">
        <v>22452</v>
      </c>
      <c r="I2426" t="s">
        <v>22460</v>
      </c>
      <c r="J2426" t="s">
        <v>22695</v>
      </c>
      <c r="K2426" t="s">
        <v>29336</v>
      </c>
      <c r="M2426" t="s">
        <v>30552</v>
      </c>
      <c r="N2426" t="s">
        <v>32524</v>
      </c>
      <c r="O2426" t="s">
        <v>32525</v>
      </c>
      <c r="P2426">
        <v>0</v>
      </c>
      <c r="Q2426">
        <v>1</v>
      </c>
      <c r="R2426" t="s">
        <v>32526</v>
      </c>
      <c r="S2426" t="s">
        <v>32547</v>
      </c>
      <c r="T2426" t="s">
        <v>33206</v>
      </c>
      <c r="U2426" t="s">
        <v>35696</v>
      </c>
      <c r="W2426" t="s">
        <v>30552</v>
      </c>
      <c r="X2426" t="s">
        <v>32527</v>
      </c>
    </row>
    <row r="2427" spans="1:24">
      <c r="A2427">
        <f>HYPERLINK("https://www.philgeps.gov.ph/GEPSNONPILOT/Tender/SplashBidNoticeAbstractUI.aspx?menuIndex=3&amp;refID=7018755&amp;Result=3","7018755")</f>
        <v>0</v>
      </c>
      <c r="B2427" t="s">
        <v>939</v>
      </c>
      <c r="C2427" t="s">
        <v>5002</v>
      </c>
      <c r="D2427" t="s">
        <v>12988</v>
      </c>
      <c r="E2427" t="s">
        <v>15278</v>
      </c>
      <c r="F2427" t="s">
        <v>22437</v>
      </c>
      <c r="G2427" t="s">
        <v>22443</v>
      </c>
      <c r="H2427" t="s">
        <v>22454</v>
      </c>
      <c r="I2427" t="s">
        <v>7738</v>
      </c>
      <c r="J2427" t="s">
        <v>23598</v>
      </c>
      <c r="K2427" t="s">
        <v>29335</v>
      </c>
      <c r="M2427" t="s">
        <v>30553</v>
      </c>
      <c r="N2427" t="s">
        <v>32524</v>
      </c>
      <c r="O2427" t="s">
        <v>32525</v>
      </c>
      <c r="P2427">
        <v>0</v>
      </c>
      <c r="Q2427">
        <v>1</v>
      </c>
      <c r="R2427" t="s">
        <v>32527</v>
      </c>
      <c r="S2427" t="s">
        <v>32552</v>
      </c>
      <c r="T2427" t="s">
        <v>33194</v>
      </c>
      <c r="U2427" t="s">
        <v>35697</v>
      </c>
      <c r="W2427" t="s">
        <v>30553</v>
      </c>
      <c r="X2427" t="s">
        <v>43780</v>
      </c>
    </row>
    <row r="2428" spans="1:24">
      <c r="A2428">
        <f>HYPERLINK("https://www.philgeps.gov.ph/GEPSNONPILOT/Tender/SplashBidNoticeAbstractUI.aspx?menuIndex=3&amp;refID=6906548&amp;Result=3","6906548")</f>
        <v>0</v>
      </c>
      <c r="B2428" t="s">
        <v>180</v>
      </c>
      <c r="C2428" t="s">
        <v>5003</v>
      </c>
      <c r="D2428" t="s">
        <v>13026</v>
      </c>
      <c r="E2428" t="s">
        <v>15279</v>
      </c>
      <c r="F2428" t="s">
        <v>22436</v>
      </c>
      <c r="G2428" t="s">
        <v>22443</v>
      </c>
      <c r="H2428" t="s">
        <v>22452</v>
      </c>
      <c r="I2428" t="s">
        <v>2981</v>
      </c>
      <c r="J2428" t="s">
        <v>24269</v>
      </c>
      <c r="K2428" t="s">
        <v>29331</v>
      </c>
      <c r="M2428" t="s">
        <v>29752</v>
      </c>
      <c r="N2428" t="s">
        <v>32524</v>
      </c>
      <c r="O2428" t="s">
        <v>32525</v>
      </c>
      <c r="P2428">
        <v>0</v>
      </c>
      <c r="Q2428">
        <v>0</v>
      </c>
      <c r="R2428" t="s">
        <v>32527</v>
      </c>
      <c r="S2428" t="s">
        <v>32552</v>
      </c>
      <c r="T2428" t="s">
        <v>33220</v>
      </c>
      <c r="U2428" t="s">
        <v>35698</v>
      </c>
      <c r="W2428" t="s">
        <v>29752</v>
      </c>
      <c r="X2428" t="s">
        <v>43781</v>
      </c>
    </row>
    <row r="2429" spans="1:24">
      <c r="A2429">
        <f>HYPERLINK("https://www.philgeps.gov.ph/GEPSNONPILOT/Tender/SplashBidNoticeAbstractUI.aspx?menuIndex=3&amp;refID=7025858&amp;Result=3","7025858")</f>
        <v>0</v>
      </c>
      <c r="B2429" t="s">
        <v>940</v>
      </c>
      <c r="C2429" t="s">
        <v>5004</v>
      </c>
      <c r="D2429" t="s">
        <v>13024</v>
      </c>
      <c r="E2429" t="s">
        <v>15280</v>
      </c>
      <c r="F2429" t="s">
        <v>22436</v>
      </c>
      <c r="G2429" t="s">
        <v>22445</v>
      </c>
      <c r="H2429" t="s">
        <v>22452</v>
      </c>
      <c r="I2429" t="s">
        <v>5194</v>
      </c>
      <c r="J2429" t="s">
        <v>24270</v>
      </c>
      <c r="K2429" t="s">
        <v>29338</v>
      </c>
      <c r="M2429" t="s">
        <v>30554</v>
      </c>
      <c r="N2429" t="s">
        <v>32524</v>
      </c>
      <c r="O2429" t="s">
        <v>32525</v>
      </c>
      <c r="P2429">
        <v>0</v>
      </c>
      <c r="Q2429">
        <v>0</v>
      </c>
      <c r="R2429" t="s">
        <v>32527</v>
      </c>
      <c r="S2429" t="s">
        <v>32552</v>
      </c>
      <c r="T2429" t="s">
        <v>33351</v>
      </c>
      <c r="U2429" t="s">
        <v>35699</v>
      </c>
      <c r="W2429" t="s">
        <v>30554</v>
      </c>
      <c r="X2429" t="s">
        <v>32539</v>
      </c>
    </row>
    <row r="2430" spans="1:24">
      <c r="A2430">
        <f>HYPERLINK("https://www.philgeps.gov.ph/GEPSNONPILOT/Tender/SplashBidNoticeAbstractUI.aspx?menuIndex=3&amp;refID=6938443&amp;Result=3","6938443")</f>
        <v>0</v>
      </c>
      <c r="B2430" t="s">
        <v>941</v>
      </c>
      <c r="C2430" t="s">
        <v>5005</v>
      </c>
      <c r="D2430" t="s">
        <v>13006</v>
      </c>
      <c r="E2430" t="s">
        <v>15281</v>
      </c>
      <c r="F2430" t="s">
        <v>22436</v>
      </c>
      <c r="G2430" t="s">
        <v>22444</v>
      </c>
      <c r="H2430" t="s">
        <v>22454</v>
      </c>
      <c r="I2430" t="s">
        <v>7738</v>
      </c>
      <c r="J2430" t="s">
        <v>24271</v>
      </c>
      <c r="K2430" t="s">
        <v>29339</v>
      </c>
      <c r="M2430" t="s">
        <v>30555</v>
      </c>
      <c r="N2430" t="s">
        <v>32524</v>
      </c>
      <c r="O2430" t="s">
        <v>32525</v>
      </c>
      <c r="P2430">
        <v>0</v>
      </c>
      <c r="Q2430">
        <v>0</v>
      </c>
      <c r="R2430" t="s">
        <v>32527</v>
      </c>
      <c r="S2430" t="s">
        <v>32552</v>
      </c>
      <c r="T2430" t="s">
        <v>33189</v>
      </c>
      <c r="U2430" t="s">
        <v>35700</v>
      </c>
      <c r="W2430" t="s">
        <v>30555</v>
      </c>
      <c r="X2430" t="s">
        <v>43777</v>
      </c>
    </row>
    <row r="2431" spans="1:24">
      <c r="A2431">
        <f>HYPERLINK("https://www.philgeps.gov.ph/GEPSNONPILOT/Tender/SplashBidNoticeAbstractUI.aspx?menuIndex=3&amp;refID=6938960&amp;Result=3","6938960")</f>
        <v>0</v>
      </c>
      <c r="B2431" t="s">
        <v>834</v>
      </c>
      <c r="C2431" t="s">
        <v>5006</v>
      </c>
      <c r="E2431" t="s">
        <v>15282</v>
      </c>
      <c r="F2431" t="s">
        <v>22436</v>
      </c>
      <c r="G2431" t="s">
        <v>22444</v>
      </c>
      <c r="H2431" t="s">
        <v>22452</v>
      </c>
      <c r="I2431" t="s">
        <v>22484</v>
      </c>
      <c r="J2431" t="s">
        <v>22779</v>
      </c>
      <c r="K2431" t="s">
        <v>29338</v>
      </c>
      <c r="M2431" t="s">
        <v>30440</v>
      </c>
      <c r="N2431" t="s">
        <v>32524</v>
      </c>
      <c r="O2431" t="s">
        <v>32525</v>
      </c>
      <c r="P2431">
        <v>0</v>
      </c>
      <c r="Q2431">
        <v>17</v>
      </c>
      <c r="R2431" t="s">
        <v>32527</v>
      </c>
      <c r="S2431" t="s">
        <v>32552</v>
      </c>
      <c r="T2431" t="s">
        <v>33157</v>
      </c>
      <c r="U2431" t="s">
        <v>35695</v>
      </c>
      <c r="W2431" t="s">
        <v>30440</v>
      </c>
      <c r="X2431" t="s">
        <v>43777</v>
      </c>
    </row>
    <row r="2432" spans="1:24">
      <c r="A2432">
        <f>HYPERLINK("https://www.philgeps.gov.ph/GEPSNONPILOT/Tender/SplashBidNoticeAbstractUI.aspx?menuIndex=3&amp;refID=7025955&amp;Result=3","7025955")</f>
        <v>0</v>
      </c>
      <c r="B2432" t="s">
        <v>940</v>
      </c>
      <c r="C2432" t="s">
        <v>5007</v>
      </c>
      <c r="D2432" t="s">
        <v>13024</v>
      </c>
      <c r="E2432" t="s">
        <v>15283</v>
      </c>
      <c r="F2432" t="s">
        <v>22436</v>
      </c>
      <c r="G2432" t="s">
        <v>22443</v>
      </c>
      <c r="H2432" t="s">
        <v>22452</v>
      </c>
      <c r="I2432" t="s">
        <v>3122</v>
      </c>
      <c r="J2432" t="s">
        <v>24272</v>
      </c>
      <c r="K2432" t="s">
        <v>29338</v>
      </c>
      <c r="M2432" t="s">
        <v>30554</v>
      </c>
      <c r="N2432" t="s">
        <v>32524</v>
      </c>
      <c r="O2432" t="s">
        <v>32525</v>
      </c>
      <c r="P2432">
        <v>0</v>
      </c>
      <c r="Q2432">
        <v>0</v>
      </c>
      <c r="R2432" t="s">
        <v>32527</v>
      </c>
      <c r="S2432" t="s">
        <v>32552</v>
      </c>
      <c r="T2432" t="s">
        <v>33351</v>
      </c>
      <c r="U2432" t="s">
        <v>35701</v>
      </c>
      <c r="W2432" t="s">
        <v>30554</v>
      </c>
      <c r="X2432" t="s">
        <v>32539</v>
      </c>
    </row>
    <row r="2433" spans="1:24">
      <c r="A2433">
        <f>HYPERLINK("https://www.philgeps.gov.ph/GEPSNONPILOT/Tender/SplashBidNoticeAbstractUI.aspx?menuIndex=3&amp;refID=7021346&amp;Result=3","7021346")</f>
        <v>0</v>
      </c>
      <c r="B2433" t="s">
        <v>942</v>
      </c>
      <c r="C2433" t="s">
        <v>5008</v>
      </c>
      <c r="D2433" t="s">
        <v>12988</v>
      </c>
      <c r="E2433" t="s">
        <v>13182</v>
      </c>
      <c r="F2433" t="s">
        <v>22436</v>
      </c>
      <c r="G2433" t="s">
        <v>22446</v>
      </c>
      <c r="H2433" t="s">
        <v>22452</v>
      </c>
      <c r="I2433" t="s">
        <v>3529</v>
      </c>
      <c r="J2433" t="s">
        <v>22605</v>
      </c>
      <c r="K2433" t="s">
        <v>29357</v>
      </c>
      <c r="M2433" t="s">
        <v>30556</v>
      </c>
      <c r="N2433" t="s">
        <v>32524</v>
      </c>
      <c r="O2433" t="s">
        <v>32525</v>
      </c>
      <c r="P2433">
        <v>0</v>
      </c>
      <c r="Q2433">
        <v>0</v>
      </c>
      <c r="R2433" t="s">
        <v>32527</v>
      </c>
      <c r="S2433" t="s">
        <v>32552</v>
      </c>
      <c r="T2433" t="s">
        <v>33154</v>
      </c>
      <c r="U2433" t="s">
        <v>35702</v>
      </c>
      <c r="W2433" t="s">
        <v>30556</v>
      </c>
      <c r="X2433" t="s">
        <v>43779</v>
      </c>
    </row>
    <row r="2434" spans="1:24">
      <c r="A2434">
        <f>HYPERLINK("https://www.philgeps.gov.ph/GEPSNONPILOT/Tender/SplashBidNoticeAbstractUI.aspx?menuIndex=3&amp;refID=7025930&amp;Result=3","7025930")</f>
        <v>0</v>
      </c>
      <c r="B2434" t="s">
        <v>940</v>
      </c>
      <c r="C2434" t="s">
        <v>5009</v>
      </c>
      <c r="D2434" t="s">
        <v>13024</v>
      </c>
      <c r="E2434" t="s">
        <v>15284</v>
      </c>
      <c r="F2434" t="s">
        <v>22436</v>
      </c>
      <c r="G2434" t="s">
        <v>22446</v>
      </c>
      <c r="H2434" t="s">
        <v>22452</v>
      </c>
      <c r="I2434" t="s">
        <v>12358</v>
      </c>
      <c r="J2434" t="s">
        <v>24273</v>
      </c>
      <c r="K2434" t="s">
        <v>29338</v>
      </c>
      <c r="M2434" t="s">
        <v>30554</v>
      </c>
      <c r="N2434" t="s">
        <v>32524</v>
      </c>
      <c r="O2434" t="s">
        <v>32525</v>
      </c>
      <c r="P2434">
        <v>0</v>
      </c>
      <c r="Q2434">
        <v>1</v>
      </c>
      <c r="R2434" t="s">
        <v>32527</v>
      </c>
      <c r="S2434" t="s">
        <v>32552</v>
      </c>
      <c r="T2434" t="s">
        <v>33351</v>
      </c>
      <c r="U2434" t="s">
        <v>35703</v>
      </c>
      <c r="W2434" t="s">
        <v>30554</v>
      </c>
      <c r="X2434" t="s">
        <v>32539</v>
      </c>
    </row>
    <row r="2435" spans="1:24">
      <c r="A2435">
        <f>HYPERLINK("https://www.philgeps.gov.ph/GEPSNONPILOT/Tender/SplashBidNoticeAbstractUI.aspx?menuIndex=3&amp;refID=7017395&amp;Result=3","7017395")</f>
        <v>0</v>
      </c>
      <c r="B2435" t="s">
        <v>943</v>
      </c>
      <c r="C2435" t="s">
        <v>5010</v>
      </c>
      <c r="D2435" t="s">
        <v>13032</v>
      </c>
      <c r="E2435" t="s">
        <v>15285</v>
      </c>
      <c r="F2435" t="s">
        <v>22436</v>
      </c>
      <c r="G2435" t="s">
        <v>22444</v>
      </c>
      <c r="H2435" t="s">
        <v>22454</v>
      </c>
      <c r="I2435" t="s">
        <v>7738</v>
      </c>
      <c r="J2435" t="s">
        <v>24274</v>
      </c>
      <c r="K2435" t="s">
        <v>29380</v>
      </c>
      <c r="M2435" t="s">
        <v>30557</v>
      </c>
      <c r="N2435" t="s">
        <v>32524</v>
      </c>
      <c r="O2435" t="s">
        <v>32525</v>
      </c>
      <c r="P2435">
        <v>0</v>
      </c>
      <c r="Q2435">
        <v>0</v>
      </c>
      <c r="R2435" t="s">
        <v>32527</v>
      </c>
      <c r="S2435" t="s">
        <v>32552</v>
      </c>
      <c r="T2435" t="s">
        <v>33265</v>
      </c>
      <c r="U2435" t="s">
        <v>35704</v>
      </c>
      <c r="V2435" t="s">
        <v>42651</v>
      </c>
      <c r="W2435" t="s">
        <v>30557</v>
      </c>
      <c r="X2435" t="s">
        <v>43782</v>
      </c>
    </row>
    <row r="2436" spans="1:24">
      <c r="A2436">
        <f>HYPERLINK("https://www.philgeps.gov.ph/GEPSNONPILOT/Tender/SplashBidNoticeAbstractUI.aspx?menuIndex=3&amp;refID=7025906&amp;Result=3","7025906")</f>
        <v>0</v>
      </c>
      <c r="B2436" t="s">
        <v>940</v>
      </c>
      <c r="C2436" t="s">
        <v>5011</v>
      </c>
      <c r="D2436" t="s">
        <v>13024</v>
      </c>
      <c r="E2436" t="s">
        <v>15286</v>
      </c>
      <c r="F2436" t="s">
        <v>22436</v>
      </c>
      <c r="G2436" t="s">
        <v>22443</v>
      </c>
      <c r="H2436" t="s">
        <v>22452</v>
      </c>
      <c r="I2436" t="s">
        <v>2981</v>
      </c>
      <c r="J2436" t="s">
        <v>24275</v>
      </c>
      <c r="K2436" t="s">
        <v>29338</v>
      </c>
      <c r="M2436" t="s">
        <v>30554</v>
      </c>
      <c r="N2436" t="s">
        <v>32524</v>
      </c>
      <c r="O2436" t="s">
        <v>32525</v>
      </c>
      <c r="P2436">
        <v>0</v>
      </c>
      <c r="Q2436">
        <v>0</v>
      </c>
      <c r="R2436" t="s">
        <v>32527</v>
      </c>
      <c r="S2436" t="s">
        <v>32552</v>
      </c>
      <c r="T2436" t="s">
        <v>33351</v>
      </c>
      <c r="U2436" t="s">
        <v>35705</v>
      </c>
      <c r="W2436" t="s">
        <v>30554</v>
      </c>
      <c r="X2436" t="s">
        <v>32539</v>
      </c>
    </row>
    <row r="2437" spans="1:24">
      <c r="A2437">
        <f>HYPERLINK("https://www.philgeps.gov.ph/GEPSNONPILOT/Tender/SplashBidNoticeAbstractUI.aspx?menuIndex=3&amp;refID=7025885&amp;Result=3","7025885")</f>
        <v>0</v>
      </c>
      <c r="B2437" t="s">
        <v>940</v>
      </c>
      <c r="C2437" t="s">
        <v>5012</v>
      </c>
      <c r="D2437" t="s">
        <v>13024</v>
      </c>
      <c r="E2437" t="s">
        <v>15287</v>
      </c>
      <c r="F2437" t="s">
        <v>22436</v>
      </c>
      <c r="G2437" t="s">
        <v>22443</v>
      </c>
      <c r="H2437" t="s">
        <v>22452</v>
      </c>
      <c r="I2437" t="s">
        <v>3027</v>
      </c>
      <c r="J2437" t="s">
        <v>23977</v>
      </c>
      <c r="K2437" t="s">
        <v>29338</v>
      </c>
      <c r="M2437" t="s">
        <v>30554</v>
      </c>
      <c r="N2437" t="s">
        <v>32524</v>
      </c>
      <c r="O2437" t="s">
        <v>32525</v>
      </c>
      <c r="P2437">
        <v>0</v>
      </c>
      <c r="Q2437">
        <v>0</v>
      </c>
      <c r="R2437" t="s">
        <v>32527</v>
      </c>
      <c r="S2437" t="s">
        <v>32552</v>
      </c>
      <c r="T2437" t="s">
        <v>33351</v>
      </c>
      <c r="U2437" t="s">
        <v>35699</v>
      </c>
      <c r="W2437" t="s">
        <v>30554</v>
      </c>
      <c r="X2437" t="s">
        <v>32539</v>
      </c>
    </row>
    <row r="2438" spans="1:24">
      <c r="A2438">
        <f>HYPERLINK("https://www.philgeps.gov.ph/GEPSNONPILOT/Tender/SplashBidNoticeAbstractUI.aspx?menuIndex=3&amp;refID=7003765&amp;Result=3","7003765")</f>
        <v>0</v>
      </c>
      <c r="B2438" t="s">
        <v>944</v>
      </c>
      <c r="C2438" t="s">
        <v>5013</v>
      </c>
      <c r="D2438" t="s">
        <v>13035</v>
      </c>
      <c r="E2438" t="s">
        <v>15288</v>
      </c>
      <c r="F2438" t="s">
        <v>22436</v>
      </c>
      <c r="G2438" t="s">
        <v>22444</v>
      </c>
      <c r="H2438" t="s">
        <v>22452</v>
      </c>
      <c r="I2438" t="s">
        <v>22469</v>
      </c>
      <c r="J2438" t="s">
        <v>22802</v>
      </c>
      <c r="K2438" t="s">
        <v>29331</v>
      </c>
      <c r="M2438" t="s">
        <v>30558</v>
      </c>
      <c r="N2438" t="s">
        <v>32524</v>
      </c>
      <c r="O2438" t="s">
        <v>32525</v>
      </c>
      <c r="P2438">
        <v>0</v>
      </c>
      <c r="Q2438">
        <v>0</v>
      </c>
      <c r="R2438" t="s">
        <v>32527</v>
      </c>
      <c r="S2438" t="s">
        <v>32552</v>
      </c>
      <c r="T2438" t="s">
        <v>33228</v>
      </c>
      <c r="U2438" t="s">
        <v>35706</v>
      </c>
      <c r="V2438" t="s">
        <v>42652</v>
      </c>
      <c r="W2438" t="s">
        <v>30558</v>
      </c>
      <c r="X2438" t="s">
        <v>43783</v>
      </c>
    </row>
    <row r="2439" spans="1:24">
      <c r="A2439">
        <f>HYPERLINK("https://www.philgeps.gov.ph/GEPSNONPILOT/Tender/SplashBidNoticeAbstractUI.aspx?menuIndex=3&amp;refID=7026009&amp;Result=3","7026009")</f>
        <v>0</v>
      </c>
      <c r="B2439" t="s">
        <v>940</v>
      </c>
      <c r="C2439" t="s">
        <v>5014</v>
      </c>
      <c r="D2439" t="s">
        <v>13024</v>
      </c>
      <c r="E2439" t="s">
        <v>15289</v>
      </c>
      <c r="F2439" t="s">
        <v>22436</v>
      </c>
      <c r="G2439" t="s">
        <v>22443</v>
      </c>
      <c r="H2439" t="s">
        <v>22452</v>
      </c>
      <c r="I2439" t="s">
        <v>6421</v>
      </c>
      <c r="J2439" t="s">
        <v>22806</v>
      </c>
      <c r="K2439" t="s">
        <v>29338</v>
      </c>
      <c r="M2439" t="s">
        <v>30554</v>
      </c>
      <c r="N2439" t="s">
        <v>32524</v>
      </c>
      <c r="O2439" t="s">
        <v>32525</v>
      </c>
      <c r="P2439">
        <v>0</v>
      </c>
      <c r="Q2439">
        <v>1</v>
      </c>
      <c r="R2439" t="s">
        <v>32527</v>
      </c>
      <c r="S2439" t="s">
        <v>32552</v>
      </c>
      <c r="T2439" t="s">
        <v>33351</v>
      </c>
      <c r="U2439" t="s">
        <v>35707</v>
      </c>
      <c r="W2439" t="s">
        <v>30554</v>
      </c>
      <c r="X2439" t="s">
        <v>32539</v>
      </c>
    </row>
    <row r="2440" spans="1:24">
      <c r="A2440">
        <f>HYPERLINK("https://www.philgeps.gov.ph/GEPSNONPILOT/Tender/SplashBidNoticeAbstractUI.aspx?menuIndex=3&amp;refID=6938950&amp;Result=3","6938950")</f>
        <v>0</v>
      </c>
      <c r="B2440" t="s">
        <v>834</v>
      </c>
      <c r="C2440" t="s">
        <v>5015</v>
      </c>
      <c r="E2440" t="s">
        <v>15290</v>
      </c>
      <c r="F2440" t="s">
        <v>22436</v>
      </c>
      <c r="G2440" t="s">
        <v>22444</v>
      </c>
      <c r="H2440" t="s">
        <v>22452</v>
      </c>
      <c r="I2440" t="s">
        <v>22484</v>
      </c>
      <c r="J2440" t="s">
        <v>22911</v>
      </c>
      <c r="K2440" t="s">
        <v>29338</v>
      </c>
      <c r="M2440" t="s">
        <v>30440</v>
      </c>
      <c r="N2440" t="s">
        <v>32524</v>
      </c>
      <c r="O2440" t="s">
        <v>32525</v>
      </c>
      <c r="P2440">
        <v>0</v>
      </c>
      <c r="Q2440">
        <v>9</v>
      </c>
      <c r="R2440" t="s">
        <v>32527</v>
      </c>
      <c r="S2440" t="s">
        <v>32552</v>
      </c>
      <c r="T2440" t="s">
        <v>33157</v>
      </c>
      <c r="U2440" t="s">
        <v>35695</v>
      </c>
      <c r="W2440" t="s">
        <v>30440</v>
      </c>
      <c r="X2440" t="s">
        <v>43777</v>
      </c>
    </row>
    <row r="2441" spans="1:24">
      <c r="A2441">
        <f>HYPERLINK("https://www.philgeps.gov.ph/GEPSNONPILOT/Tender/SplashBidNoticeAbstractUI.aspx?menuIndex=3&amp;refID=7028722&amp;Result=3","7028722")</f>
        <v>0</v>
      </c>
      <c r="B2441" t="s">
        <v>369</v>
      </c>
      <c r="C2441" t="s">
        <v>3463</v>
      </c>
      <c r="E2441" t="s">
        <v>15291</v>
      </c>
      <c r="F2441" t="s">
        <v>22436</v>
      </c>
      <c r="G2441" t="s">
        <v>22444</v>
      </c>
      <c r="H2441" t="s">
        <v>22454</v>
      </c>
      <c r="I2441" t="s">
        <v>7738</v>
      </c>
      <c r="J2441" t="s">
        <v>22809</v>
      </c>
      <c r="K2441" t="s">
        <v>29341</v>
      </c>
      <c r="M2441" t="s">
        <v>29947</v>
      </c>
      <c r="N2441" t="s">
        <v>32524</v>
      </c>
      <c r="O2441" t="s">
        <v>32525</v>
      </c>
      <c r="P2441">
        <v>0</v>
      </c>
      <c r="Q2441">
        <v>0</v>
      </c>
      <c r="R2441" t="s">
        <v>32527</v>
      </c>
      <c r="S2441" t="s">
        <v>32552</v>
      </c>
      <c r="T2441" t="s">
        <v>33256</v>
      </c>
      <c r="U2441" t="s">
        <v>35708</v>
      </c>
      <c r="W2441" t="s">
        <v>29947</v>
      </c>
      <c r="X2441" t="s">
        <v>32538</v>
      </c>
    </row>
    <row r="2442" spans="1:24">
      <c r="A2442">
        <f>HYPERLINK("https://www.philgeps.gov.ph/GEPSNONPILOT/Tender/SplashBidNoticeAbstractUI.aspx?menuIndex=3&amp;refID=7025973&amp;Result=3","7025973")</f>
        <v>0</v>
      </c>
      <c r="B2442" t="s">
        <v>940</v>
      </c>
      <c r="C2442" t="s">
        <v>5016</v>
      </c>
      <c r="D2442" t="s">
        <v>13024</v>
      </c>
      <c r="E2442" t="s">
        <v>15292</v>
      </c>
      <c r="F2442" t="s">
        <v>22436</v>
      </c>
      <c r="G2442" t="s">
        <v>22443</v>
      </c>
      <c r="H2442" t="s">
        <v>22452</v>
      </c>
      <c r="I2442" t="s">
        <v>2981</v>
      </c>
      <c r="J2442" t="s">
        <v>22640</v>
      </c>
      <c r="K2442" t="s">
        <v>29338</v>
      </c>
      <c r="M2442" t="s">
        <v>30554</v>
      </c>
      <c r="N2442" t="s">
        <v>32524</v>
      </c>
      <c r="O2442" t="s">
        <v>32525</v>
      </c>
      <c r="P2442">
        <v>0</v>
      </c>
      <c r="Q2442">
        <v>0</v>
      </c>
      <c r="R2442" t="s">
        <v>32527</v>
      </c>
      <c r="S2442" t="s">
        <v>32552</v>
      </c>
      <c r="T2442" t="s">
        <v>33351</v>
      </c>
      <c r="U2442" t="s">
        <v>35703</v>
      </c>
      <c r="W2442" t="s">
        <v>30554</v>
      </c>
      <c r="X2442" t="s">
        <v>32539</v>
      </c>
    </row>
    <row r="2443" spans="1:24">
      <c r="A2443">
        <f>HYPERLINK("https://www.philgeps.gov.ph/GEPSNONPILOT/Tender/SplashBidNoticeAbstractUI.aspx?menuIndex=3&amp;refID=7027411&amp;Result=3","7027411")</f>
        <v>0</v>
      </c>
      <c r="B2443" t="s">
        <v>945</v>
      </c>
      <c r="C2443" t="s">
        <v>5017</v>
      </c>
      <c r="D2443" t="s">
        <v>13024</v>
      </c>
      <c r="E2443" t="s">
        <v>15293</v>
      </c>
      <c r="F2443" t="s">
        <v>22436</v>
      </c>
      <c r="G2443" t="s">
        <v>22446</v>
      </c>
      <c r="H2443" t="s">
        <v>22452</v>
      </c>
      <c r="I2443" t="s">
        <v>5194</v>
      </c>
      <c r="J2443" t="s">
        <v>24276</v>
      </c>
      <c r="K2443" t="s">
        <v>29336</v>
      </c>
      <c r="M2443" t="s">
        <v>30559</v>
      </c>
      <c r="N2443" t="s">
        <v>32524</v>
      </c>
      <c r="O2443" t="s">
        <v>32525</v>
      </c>
      <c r="P2443">
        <v>0</v>
      </c>
      <c r="Q2443">
        <v>2</v>
      </c>
      <c r="R2443" t="s">
        <v>32527</v>
      </c>
      <c r="S2443" t="s">
        <v>32552</v>
      </c>
      <c r="T2443" t="s">
        <v>33351</v>
      </c>
      <c r="U2443" t="s">
        <v>35709</v>
      </c>
      <c r="W2443" t="s">
        <v>30559</v>
      </c>
      <c r="X2443" t="s">
        <v>32538</v>
      </c>
    </row>
    <row r="2444" spans="1:24">
      <c r="A2444">
        <f>HYPERLINK("https://www.philgeps.gov.ph/GEPSNONPILOT/Tender/SplashBidNoticeAbstractUI.aspx?menuIndex=3&amp;refID=7034952&amp;Result=3","7034952")</f>
        <v>0</v>
      </c>
      <c r="B2444" t="s">
        <v>946</v>
      </c>
      <c r="C2444" t="s">
        <v>5018</v>
      </c>
      <c r="D2444" t="s">
        <v>13060</v>
      </c>
      <c r="E2444" t="s">
        <v>15294</v>
      </c>
      <c r="F2444" t="s">
        <v>22436</v>
      </c>
      <c r="G2444" t="s">
        <v>22444</v>
      </c>
      <c r="H2444" t="s">
        <v>22452</v>
      </c>
      <c r="I2444" t="s">
        <v>5194</v>
      </c>
      <c r="J2444" t="s">
        <v>24277</v>
      </c>
      <c r="K2444" t="s">
        <v>29337</v>
      </c>
      <c r="M2444" t="s">
        <v>30560</v>
      </c>
      <c r="N2444" t="s">
        <v>32524</v>
      </c>
      <c r="O2444" t="s">
        <v>32525</v>
      </c>
      <c r="P2444">
        <v>0</v>
      </c>
      <c r="Q2444">
        <v>2</v>
      </c>
      <c r="R2444" t="s">
        <v>32527</v>
      </c>
      <c r="S2444" t="s">
        <v>32552</v>
      </c>
      <c r="T2444" t="s">
        <v>33324</v>
      </c>
      <c r="U2444" t="s">
        <v>35710</v>
      </c>
      <c r="W2444" t="s">
        <v>30560</v>
      </c>
      <c r="X2444" t="s">
        <v>32534</v>
      </c>
    </row>
    <row r="2445" spans="1:24">
      <c r="A2445">
        <f>HYPERLINK("https://www.philgeps.gov.ph/GEPSNONPILOT/Tender/SplashBidNoticeAbstractUI.aspx?menuIndex=3&amp;refID=7028693&amp;Result=3","7028693")</f>
        <v>0</v>
      </c>
      <c r="B2445" t="s">
        <v>369</v>
      </c>
      <c r="C2445" t="s">
        <v>3463</v>
      </c>
      <c r="E2445" t="s">
        <v>15295</v>
      </c>
      <c r="F2445" t="s">
        <v>22436</v>
      </c>
      <c r="G2445" t="s">
        <v>22444</v>
      </c>
      <c r="H2445" t="s">
        <v>22454</v>
      </c>
      <c r="I2445" t="s">
        <v>7738</v>
      </c>
      <c r="J2445" t="s">
        <v>22605</v>
      </c>
      <c r="K2445" t="s">
        <v>29424</v>
      </c>
      <c r="M2445" t="s">
        <v>29947</v>
      </c>
      <c r="N2445" t="s">
        <v>32524</v>
      </c>
      <c r="O2445" t="s">
        <v>32525</v>
      </c>
      <c r="P2445">
        <v>0</v>
      </c>
      <c r="Q2445">
        <v>0</v>
      </c>
      <c r="R2445" t="s">
        <v>32527</v>
      </c>
      <c r="S2445" t="s">
        <v>32552</v>
      </c>
      <c r="T2445" t="s">
        <v>33256</v>
      </c>
      <c r="U2445" t="s">
        <v>35711</v>
      </c>
      <c r="W2445" t="s">
        <v>29947</v>
      </c>
      <c r="X2445" t="s">
        <v>32538</v>
      </c>
    </row>
    <row r="2446" spans="1:24">
      <c r="A2446">
        <f>HYPERLINK("https://www.philgeps.gov.ph/GEPSNONPILOT/Tender/SplashBidNoticeAbstractUI.aspx?menuIndex=3&amp;refID=7034806&amp;Result=3","7034806")</f>
        <v>0</v>
      </c>
      <c r="B2446" t="s">
        <v>946</v>
      </c>
      <c r="C2446" t="s">
        <v>5019</v>
      </c>
      <c r="E2446" t="s">
        <v>15296</v>
      </c>
      <c r="F2446" t="s">
        <v>22436</v>
      </c>
      <c r="G2446" t="s">
        <v>22444</v>
      </c>
      <c r="H2446" t="s">
        <v>22452</v>
      </c>
      <c r="I2446" t="s">
        <v>12358</v>
      </c>
      <c r="J2446" t="s">
        <v>24278</v>
      </c>
      <c r="K2446" t="s">
        <v>29337</v>
      </c>
      <c r="M2446" t="s">
        <v>30560</v>
      </c>
      <c r="N2446" t="s">
        <v>32524</v>
      </c>
      <c r="O2446" t="s">
        <v>32525</v>
      </c>
      <c r="P2446">
        <v>0</v>
      </c>
      <c r="Q2446">
        <v>0</v>
      </c>
      <c r="R2446" t="s">
        <v>32527</v>
      </c>
      <c r="S2446" t="s">
        <v>32552</v>
      </c>
      <c r="T2446" t="s">
        <v>33324</v>
      </c>
      <c r="U2446" t="s">
        <v>35710</v>
      </c>
      <c r="W2446" t="s">
        <v>30560</v>
      </c>
      <c r="X2446" t="s">
        <v>32534</v>
      </c>
    </row>
    <row r="2447" spans="1:24">
      <c r="A2447">
        <f>HYPERLINK("https://www.philgeps.gov.ph/GEPSNONPILOT/Tender/SplashBidNoticeAbstractUI.aspx?menuIndex=3&amp;refID=7034934&amp;Result=3","7034934")</f>
        <v>0</v>
      </c>
      <c r="B2447" t="s">
        <v>946</v>
      </c>
      <c r="C2447" t="s">
        <v>5020</v>
      </c>
      <c r="D2447" t="s">
        <v>13060</v>
      </c>
      <c r="E2447" t="s">
        <v>15297</v>
      </c>
      <c r="F2447" t="s">
        <v>22436</v>
      </c>
      <c r="G2447" t="s">
        <v>22444</v>
      </c>
      <c r="H2447" t="s">
        <v>22452</v>
      </c>
      <c r="I2447" t="s">
        <v>3827</v>
      </c>
      <c r="J2447" t="s">
        <v>23093</v>
      </c>
      <c r="K2447" t="s">
        <v>29337</v>
      </c>
      <c r="M2447" t="s">
        <v>30560</v>
      </c>
      <c r="N2447" t="s">
        <v>32524</v>
      </c>
      <c r="O2447" t="s">
        <v>32525</v>
      </c>
      <c r="P2447">
        <v>0</v>
      </c>
      <c r="Q2447">
        <v>4</v>
      </c>
      <c r="R2447" t="s">
        <v>32527</v>
      </c>
      <c r="S2447" t="s">
        <v>32552</v>
      </c>
      <c r="T2447" t="s">
        <v>33324</v>
      </c>
      <c r="U2447" t="s">
        <v>35710</v>
      </c>
      <c r="W2447" t="s">
        <v>30560</v>
      </c>
      <c r="X2447" t="s">
        <v>32534</v>
      </c>
    </row>
    <row r="2448" spans="1:24">
      <c r="A2448">
        <f>HYPERLINK("https://www.philgeps.gov.ph/GEPSNONPILOT/Tender/SplashBidNoticeAbstractUI.aspx?menuIndex=3&amp;refID=7034834&amp;Result=3","7034834")</f>
        <v>0</v>
      </c>
      <c r="B2448" t="s">
        <v>946</v>
      </c>
      <c r="C2448" t="s">
        <v>5021</v>
      </c>
      <c r="D2448" t="s">
        <v>13060</v>
      </c>
      <c r="E2448" t="s">
        <v>15298</v>
      </c>
      <c r="F2448" t="s">
        <v>22436</v>
      </c>
      <c r="G2448" t="s">
        <v>22444</v>
      </c>
      <c r="H2448" t="s">
        <v>22452</v>
      </c>
      <c r="I2448" t="s">
        <v>3827</v>
      </c>
      <c r="J2448" t="s">
        <v>23093</v>
      </c>
      <c r="K2448" t="s">
        <v>29337</v>
      </c>
      <c r="M2448" t="s">
        <v>30560</v>
      </c>
      <c r="N2448" t="s">
        <v>32524</v>
      </c>
      <c r="O2448" t="s">
        <v>32525</v>
      </c>
      <c r="P2448">
        <v>0</v>
      </c>
      <c r="Q2448">
        <v>5</v>
      </c>
      <c r="R2448" t="s">
        <v>32527</v>
      </c>
      <c r="S2448" t="s">
        <v>32552</v>
      </c>
      <c r="T2448" t="s">
        <v>33324</v>
      </c>
      <c r="U2448" t="s">
        <v>35710</v>
      </c>
      <c r="W2448" t="s">
        <v>30560</v>
      </c>
      <c r="X2448" t="s">
        <v>32534</v>
      </c>
    </row>
    <row r="2449" spans="1:24">
      <c r="A2449">
        <f>HYPERLINK("https://www.philgeps.gov.ph/GEPSNONPILOT/Tender/SplashBidNoticeAbstractUI.aspx?menuIndex=3&amp;refID=7032022&amp;Result=3","7032022")</f>
        <v>0</v>
      </c>
      <c r="B2449" t="s">
        <v>947</v>
      </c>
      <c r="C2449" t="s">
        <v>5022</v>
      </c>
      <c r="D2449" t="s">
        <v>13041</v>
      </c>
      <c r="E2449" t="s">
        <v>15299</v>
      </c>
      <c r="F2449" t="s">
        <v>22436</v>
      </c>
      <c r="G2449" t="s">
        <v>22444</v>
      </c>
      <c r="H2449" t="s">
        <v>22454</v>
      </c>
      <c r="I2449" t="s">
        <v>7738</v>
      </c>
      <c r="J2449" t="s">
        <v>24279</v>
      </c>
      <c r="K2449" t="s">
        <v>29393</v>
      </c>
      <c r="M2449" t="s">
        <v>30561</v>
      </c>
      <c r="N2449" t="s">
        <v>32524</v>
      </c>
      <c r="O2449" t="s">
        <v>32525</v>
      </c>
      <c r="P2449">
        <v>0</v>
      </c>
      <c r="Q2449">
        <v>2</v>
      </c>
      <c r="R2449" t="s">
        <v>32527</v>
      </c>
      <c r="S2449" t="s">
        <v>32552</v>
      </c>
      <c r="T2449" t="s">
        <v>33319</v>
      </c>
      <c r="U2449" t="s">
        <v>35712</v>
      </c>
      <c r="W2449" t="s">
        <v>30561</v>
      </c>
      <c r="X2449" t="s">
        <v>32536</v>
      </c>
    </row>
    <row r="2450" spans="1:24">
      <c r="A2450">
        <f>HYPERLINK("https://www.philgeps.gov.ph/GEPSNONPILOT/Tender/SplashBidNoticeAbstractUI.aspx?menuIndex=3&amp;refID=7033928&amp;Result=3","7033928")</f>
        <v>0</v>
      </c>
      <c r="B2450" t="s">
        <v>948</v>
      </c>
      <c r="C2450" t="s">
        <v>5023</v>
      </c>
      <c r="D2450" t="s">
        <v>13018</v>
      </c>
      <c r="E2450" t="s">
        <v>14018</v>
      </c>
      <c r="F2450" t="s">
        <v>22436</v>
      </c>
      <c r="G2450" t="s">
        <v>22445</v>
      </c>
      <c r="H2450" t="s">
        <v>22452</v>
      </c>
      <c r="I2450" t="s">
        <v>22468</v>
      </c>
      <c r="J2450" t="s">
        <v>22640</v>
      </c>
      <c r="K2450" t="s">
        <v>29356</v>
      </c>
      <c r="M2450" t="s">
        <v>30562</v>
      </c>
      <c r="N2450" t="s">
        <v>32524</v>
      </c>
      <c r="O2450" t="s">
        <v>32525</v>
      </c>
      <c r="P2450">
        <v>0</v>
      </c>
      <c r="Q2450">
        <v>1</v>
      </c>
      <c r="R2450" t="s">
        <v>32527</v>
      </c>
      <c r="S2450" t="s">
        <v>32552</v>
      </c>
      <c r="T2450" t="s">
        <v>33185</v>
      </c>
      <c r="U2450" t="s">
        <v>35713</v>
      </c>
      <c r="W2450" t="s">
        <v>30562</v>
      </c>
      <c r="X2450" t="s">
        <v>32534</v>
      </c>
    </row>
    <row r="2451" spans="1:24">
      <c r="A2451">
        <f>HYPERLINK("https://www.philgeps.gov.ph/GEPSNONPILOT/Tender/SplashBidNoticeAbstractUI.aspx?menuIndex=3&amp;refID=7026039&amp;Result=3","7026039")</f>
        <v>0</v>
      </c>
      <c r="B2451" t="s">
        <v>940</v>
      </c>
      <c r="C2451" t="s">
        <v>5024</v>
      </c>
      <c r="D2451" t="s">
        <v>13024</v>
      </c>
      <c r="E2451" t="s">
        <v>15300</v>
      </c>
      <c r="F2451" t="s">
        <v>22436</v>
      </c>
      <c r="G2451" t="s">
        <v>22443</v>
      </c>
      <c r="H2451" t="s">
        <v>22452</v>
      </c>
      <c r="I2451" t="s">
        <v>2981</v>
      </c>
      <c r="J2451" t="s">
        <v>23012</v>
      </c>
      <c r="K2451" t="s">
        <v>29338</v>
      </c>
      <c r="M2451" t="s">
        <v>30554</v>
      </c>
      <c r="N2451" t="s">
        <v>32524</v>
      </c>
      <c r="O2451" t="s">
        <v>32525</v>
      </c>
      <c r="P2451">
        <v>0</v>
      </c>
      <c r="Q2451">
        <v>1</v>
      </c>
      <c r="R2451" t="s">
        <v>32527</v>
      </c>
      <c r="S2451" t="s">
        <v>32552</v>
      </c>
      <c r="T2451" t="s">
        <v>33351</v>
      </c>
      <c r="U2451" t="s">
        <v>35714</v>
      </c>
      <c r="W2451" t="s">
        <v>30554</v>
      </c>
      <c r="X2451" t="s">
        <v>32539</v>
      </c>
    </row>
    <row r="2452" spans="1:24">
      <c r="A2452">
        <f>HYPERLINK("https://www.philgeps.gov.ph/GEPSNONPILOT/Tender/SplashBidNoticeAbstractUI.aspx?menuIndex=3&amp;refID=7034946&amp;Result=3","7034946")</f>
        <v>0</v>
      </c>
      <c r="B2452" t="s">
        <v>946</v>
      </c>
      <c r="C2452" t="s">
        <v>5025</v>
      </c>
      <c r="D2452" t="s">
        <v>13060</v>
      </c>
      <c r="E2452" t="s">
        <v>15301</v>
      </c>
      <c r="F2452" t="s">
        <v>22436</v>
      </c>
      <c r="G2452" t="s">
        <v>22444</v>
      </c>
      <c r="H2452" t="s">
        <v>22452</v>
      </c>
      <c r="I2452" t="s">
        <v>22469</v>
      </c>
      <c r="J2452" t="s">
        <v>24280</v>
      </c>
      <c r="K2452" t="s">
        <v>29337</v>
      </c>
      <c r="M2452" t="s">
        <v>30560</v>
      </c>
      <c r="N2452" t="s">
        <v>32524</v>
      </c>
      <c r="O2452" t="s">
        <v>32525</v>
      </c>
      <c r="P2452">
        <v>0</v>
      </c>
      <c r="Q2452">
        <v>1</v>
      </c>
      <c r="R2452" t="s">
        <v>32527</v>
      </c>
      <c r="S2452" t="s">
        <v>32552</v>
      </c>
      <c r="T2452" t="s">
        <v>33324</v>
      </c>
      <c r="U2452" t="s">
        <v>35710</v>
      </c>
      <c r="W2452" t="s">
        <v>30560</v>
      </c>
      <c r="X2452" t="s">
        <v>32534</v>
      </c>
    </row>
    <row r="2453" spans="1:24">
      <c r="A2453">
        <f>HYPERLINK("https://www.philgeps.gov.ph/GEPSNONPILOT/Tender/SplashBidNoticeAbstractUI.aspx?menuIndex=3&amp;refID=7029815&amp;Result=3","7029815")</f>
        <v>0</v>
      </c>
      <c r="B2453" t="s">
        <v>949</v>
      </c>
      <c r="C2453" t="s">
        <v>5026</v>
      </c>
      <c r="D2453" t="s">
        <v>13057</v>
      </c>
      <c r="E2453" t="s">
        <v>15302</v>
      </c>
      <c r="F2453" t="s">
        <v>22436</v>
      </c>
      <c r="G2453" t="s">
        <v>22444</v>
      </c>
      <c r="H2453" t="s">
        <v>22454</v>
      </c>
      <c r="I2453" t="s">
        <v>7738</v>
      </c>
      <c r="J2453" t="s">
        <v>24281</v>
      </c>
      <c r="K2453" t="s">
        <v>29347</v>
      </c>
      <c r="M2453" t="s">
        <v>30563</v>
      </c>
      <c r="N2453" t="s">
        <v>32524</v>
      </c>
      <c r="O2453" t="s">
        <v>32525</v>
      </c>
      <c r="P2453">
        <v>0</v>
      </c>
      <c r="Q2453">
        <v>0</v>
      </c>
      <c r="R2453" t="s">
        <v>32527</v>
      </c>
      <c r="S2453" t="s">
        <v>32552</v>
      </c>
      <c r="T2453" t="s">
        <v>33307</v>
      </c>
      <c r="U2453" t="s">
        <v>35715</v>
      </c>
      <c r="W2453" t="s">
        <v>30563</v>
      </c>
      <c r="X2453" t="s">
        <v>32537</v>
      </c>
    </row>
    <row r="2454" spans="1:24">
      <c r="A2454">
        <f>HYPERLINK("https://www.philgeps.gov.ph/GEPSNONPILOT/Tender/SplashBidNoticeAbstractUI.aspx?menuIndex=3&amp;refID=7029812&amp;Result=3","7029812")</f>
        <v>0</v>
      </c>
      <c r="B2454" t="s">
        <v>949</v>
      </c>
      <c r="C2454" t="s">
        <v>5027</v>
      </c>
      <c r="D2454" t="s">
        <v>13057</v>
      </c>
      <c r="E2454" t="s">
        <v>15303</v>
      </c>
      <c r="F2454" t="s">
        <v>22436</v>
      </c>
      <c r="G2454" t="s">
        <v>22444</v>
      </c>
      <c r="H2454" t="s">
        <v>22454</v>
      </c>
      <c r="I2454" t="s">
        <v>7738</v>
      </c>
      <c r="J2454" t="s">
        <v>24282</v>
      </c>
      <c r="K2454" t="s">
        <v>29333</v>
      </c>
      <c r="M2454" t="s">
        <v>30563</v>
      </c>
      <c r="N2454" t="s">
        <v>32524</v>
      </c>
      <c r="O2454" t="s">
        <v>32525</v>
      </c>
      <c r="P2454">
        <v>0</v>
      </c>
      <c r="Q2454">
        <v>0</v>
      </c>
      <c r="R2454" t="s">
        <v>32527</v>
      </c>
      <c r="S2454" t="s">
        <v>32552</v>
      </c>
      <c r="T2454" t="s">
        <v>33307</v>
      </c>
      <c r="U2454" t="s">
        <v>35716</v>
      </c>
      <c r="W2454" t="s">
        <v>30563</v>
      </c>
      <c r="X2454" t="s">
        <v>32537</v>
      </c>
    </row>
    <row r="2455" spans="1:24">
      <c r="A2455">
        <f>HYPERLINK("https://www.philgeps.gov.ph/GEPSNONPILOT/Tender/SplashBidNoticeAbstractUI.aspx?menuIndex=3&amp;refID=7029832&amp;Result=3","7029832")</f>
        <v>0</v>
      </c>
      <c r="B2455" t="s">
        <v>950</v>
      </c>
      <c r="C2455" t="s">
        <v>5028</v>
      </c>
      <c r="D2455" t="s">
        <v>13010</v>
      </c>
      <c r="E2455" t="s">
        <v>15304</v>
      </c>
      <c r="F2455" t="s">
        <v>22436</v>
      </c>
      <c r="G2455" t="s">
        <v>22443</v>
      </c>
      <c r="H2455" t="s">
        <v>22452</v>
      </c>
      <c r="I2455" t="s">
        <v>3529</v>
      </c>
      <c r="J2455" t="s">
        <v>24283</v>
      </c>
      <c r="K2455" t="s">
        <v>29335</v>
      </c>
      <c r="M2455" t="s">
        <v>30564</v>
      </c>
      <c r="N2455" t="s">
        <v>32524</v>
      </c>
      <c r="O2455" t="s">
        <v>32525</v>
      </c>
      <c r="P2455">
        <v>0</v>
      </c>
      <c r="Q2455">
        <v>0</v>
      </c>
      <c r="R2455" t="s">
        <v>32527</v>
      </c>
      <c r="S2455" t="s">
        <v>32552</v>
      </c>
      <c r="T2455" t="s">
        <v>33228</v>
      </c>
      <c r="U2455" t="s">
        <v>35717</v>
      </c>
      <c r="W2455" t="s">
        <v>30564</v>
      </c>
      <c r="X2455" t="s">
        <v>32537</v>
      </c>
    </row>
    <row r="2456" spans="1:24">
      <c r="A2456">
        <f>HYPERLINK("https://www.philgeps.gov.ph/GEPSNONPILOT/Tender/SplashBidNoticeAbstractUI.aspx?menuIndex=3&amp;refID=7034923&amp;Result=3","7034923")</f>
        <v>0</v>
      </c>
      <c r="B2456" t="s">
        <v>946</v>
      </c>
      <c r="C2456" t="s">
        <v>5029</v>
      </c>
      <c r="D2456" t="s">
        <v>13060</v>
      </c>
      <c r="E2456" t="s">
        <v>15305</v>
      </c>
      <c r="F2456" t="s">
        <v>22436</v>
      </c>
      <c r="G2456" t="s">
        <v>22444</v>
      </c>
      <c r="H2456" t="s">
        <v>22452</v>
      </c>
      <c r="I2456" t="s">
        <v>5194</v>
      </c>
      <c r="J2456" t="s">
        <v>24284</v>
      </c>
      <c r="K2456" t="s">
        <v>29337</v>
      </c>
      <c r="M2456" t="s">
        <v>30560</v>
      </c>
      <c r="N2456" t="s">
        <v>32524</v>
      </c>
      <c r="O2456" t="s">
        <v>32525</v>
      </c>
      <c r="P2456">
        <v>0</v>
      </c>
      <c r="Q2456">
        <v>2</v>
      </c>
      <c r="R2456" t="s">
        <v>32527</v>
      </c>
      <c r="S2456" t="s">
        <v>32552</v>
      </c>
      <c r="T2456" t="s">
        <v>33324</v>
      </c>
      <c r="U2456" t="s">
        <v>35710</v>
      </c>
      <c r="W2456" t="s">
        <v>30560</v>
      </c>
      <c r="X2456" t="s">
        <v>32534</v>
      </c>
    </row>
    <row r="2457" spans="1:24">
      <c r="A2457">
        <f>HYPERLINK("https://www.philgeps.gov.ph/GEPSNONPILOT/Tender/SplashBidNoticeAbstractUI.aspx?menuIndex=3&amp;refID=7035532&amp;Result=3","7035532")</f>
        <v>0</v>
      </c>
      <c r="B2457" t="s">
        <v>940</v>
      </c>
      <c r="C2457" t="s">
        <v>5030</v>
      </c>
      <c r="D2457" t="s">
        <v>13024</v>
      </c>
      <c r="E2457" t="s">
        <v>15306</v>
      </c>
      <c r="F2457" t="s">
        <v>22436</v>
      </c>
      <c r="G2457" t="s">
        <v>22443</v>
      </c>
      <c r="H2457" t="s">
        <v>22452</v>
      </c>
      <c r="I2457" t="s">
        <v>2981</v>
      </c>
      <c r="J2457" t="s">
        <v>24285</v>
      </c>
      <c r="K2457" t="s">
        <v>29338</v>
      </c>
      <c r="M2457" t="s">
        <v>30554</v>
      </c>
      <c r="N2457" t="s">
        <v>32524</v>
      </c>
      <c r="O2457" t="s">
        <v>32525</v>
      </c>
      <c r="P2457">
        <v>0</v>
      </c>
      <c r="Q2457">
        <v>0</v>
      </c>
      <c r="R2457" t="s">
        <v>32527</v>
      </c>
      <c r="S2457" t="s">
        <v>32552</v>
      </c>
      <c r="T2457" t="s">
        <v>33351</v>
      </c>
      <c r="U2457" t="s">
        <v>35718</v>
      </c>
      <c r="W2457" t="s">
        <v>30554</v>
      </c>
      <c r="X2457" t="s">
        <v>32533</v>
      </c>
    </row>
    <row r="2458" spans="1:24">
      <c r="A2458">
        <f>HYPERLINK("https://www.philgeps.gov.ph/GEPSNONPILOT/Tender/SplashBidNoticeAbstractUI.aspx?menuIndex=3&amp;refID=7035500&amp;Result=3","7035500")</f>
        <v>0</v>
      </c>
      <c r="B2458" t="s">
        <v>951</v>
      </c>
      <c r="C2458" t="s">
        <v>5031</v>
      </c>
      <c r="D2458" t="s">
        <v>13000</v>
      </c>
      <c r="E2458" t="s">
        <v>15307</v>
      </c>
      <c r="F2458" t="s">
        <v>22436</v>
      </c>
      <c r="G2458" t="s">
        <v>22444</v>
      </c>
      <c r="H2458" t="s">
        <v>22452</v>
      </c>
      <c r="I2458" t="s">
        <v>22468</v>
      </c>
      <c r="J2458" t="s">
        <v>22911</v>
      </c>
      <c r="K2458" t="s">
        <v>29338</v>
      </c>
      <c r="M2458" t="s">
        <v>30565</v>
      </c>
      <c r="N2458" t="s">
        <v>32524</v>
      </c>
      <c r="O2458" t="s">
        <v>32525</v>
      </c>
      <c r="P2458">
        <v>0</v>
      </c>
      <c r="Q2458">
        <v>0</v>
      </c>
      <c r="R2458" t="s">
        <v>32527</v>
      </c>
      <c r="S2458" t="s">
        <v>32552</v>
      </c>
      <c r="T2458" t="s">
        <v>33314</v>
      </c>
      <c r="U2458" t="s">
        <v>35719</v>
      </c>
      <c r="V2458" t="s">
        <v>42653</v>
      </c>
      <c r="W2458" t="s">
        <v>30565</v>
      </c>
      <c r="X2458" t="s">
        <v>32533</v>
      </c>
    </row>
    <row r="2459" spans="1:24">
      <c r="A2459">
        <f>HYPERLINK("https://www.philgeps.gov.ph/GEPSNONPILOT/Tender/SplashBidNoticeAbstractUI.aspx?menuIndex=3&amp;refID=7029810&amp;Result=3","7029810")</f>
        <v>0</v>
      </c>
      <c r="B2459" t="s">
        <v>949</v>
      </c>
      <c r="C2459" t="s">
        <v>5032</v>
      </c>
      <c r="D2459" t="s">
        <v>13057</v>
      </c>
      <c r="E2459" t="s">
        <v>15308</v>
      </c>
      <c r="F2459" t="s">
        <v>22436</v>
      </c>
      <c r="G2459" t="s">
        <v>22444</v>
      </c>
      <c r="H2459" t="s">
        <v>22454</v>
      </c>
      <c r="I2459" t="s">
        <v>7738</v>
      </c>
      <c r="J2459" t="s">
        <v>24286</v>
      </c>
      <c r="K2459" t="s">
        <v>29334</v>
      </c>
      <c r="M2459" t="s">
        <v>30563</v>
      </c>
      <c r="N2459" t="s">
        <v>32524</v>
      </c>
      <c r="O2459" t="s">
        <v>32525</v>
      </c>
      <c r="P2459">
        <v>0</v>
      </c>
      <c r="Q2459">
        <v>1</v>
      </c>
      <c r="R2459" t="s">
        <v>32527</v>
      </c>
      <c r="S2459" t="s">
        <v>32552</v>
      </c>
      <c r="T2459" t="s">
        <v>33307</v>
      </c>
      <c r="U2459" t="s">
        <v>35720</v>
      </c>
      <c r="W2459" t="s">
        <v>30563</v>
      </c>
      <c r="X2459" t="s">
        <v>32537</v>
      </c>
    </row>
    <row r="2460" spans="1:24">
      <c r="A2460">
        <f>HYPERLINK("https://www.philgeps.gov.ph/GEPSNONPILOT/Tender/SplashBidNoticeAbstractUI.aspx?menuIndex=3&amp;refID=7035781&amp;Result=3","7035781")</f>
        <v>0</v>
      </c>
      <c r="B2460" t="s">
        <v>46</v>
      </c>
      <c r="C2460" t="s">
        <v>5033</v>
      </c>
      <c r="D2460" t="s">
        <v>13006</v>
      </c>
      <c r="E2460" t="s">
        <v>15309</v>
      </c>
      <c r="F2460" t="s">
        <v>22436</v>
      </c>
      <c r="G2460" t="s">
        <v>22444</v>
      </c>
      <c r="H2460" t="s">
        <v>22452</v>
      </c>
      <c r="I2460" t="s">
        <v>22463</v>
      </c>
      <c r="J2460" t="s">
        <v>24287</v>
      </c>
      <c r="K2460" t="s">
        <v>29330</v>
      </c>
      <c r="M2460" t="s">
        <v>30566</v>
      </c>
      <c r="N2460" t="s">
        <v>32524</v>
      </c>
      <c r="O2460" t="s">
        <v>32525</v>
      </c>
      <c r="P2460">
        <v>0</v>
      </c>
      <c r="Q2460">
        <v>7</v>
      </c>
      <c r="R2460" t="s">
        <v>32527</v>
      </c>
      <c r="S2460" t="s">
        <v>32552</v>
      </c>
      <c r="T2460" t="s">
        <v>33324</v>
      </c>
      <c r="U2460" t="s">
        <v>35721</v>
      </c>
      <c r="V2460" t="s">
        <v>42654</v>
      </c>
      <c r="W2460" t="s">
        <v>30566</v>
      </c>
      <c r="X2460" t="s">
        <v>32533</v>
      </c>
    </row>
    <row r="2461" spans="1:24">
      <c r="A2461">
        <f>HYPERLINK("https://www.philgeps.gov.ph/GEPSNONPILOT/Tender/SplashBidNoticeAbstractUI.aspx?menuIndex=3&amp;refID=7035625&amp;Result=3","7035625")</f>
        <v>0</v>
      </c>
      <c r="B2461" t="s">
        <v>46</v>
      </c>
      <c r="C2461" t="s">
        <v>5034</v>
      </c>
      <c r="D2461" t="s">
        <v>13006</v>
      </c>
      <c r="E2461" t="s">
        <v>15310</v>
      </c>
      <c r="F2461" t="s">
        <v>22436</v>
      </c>
      <c r="G2461" t="s">
        <v>22444</v>
      </c>
      <c r="H2461" t="s">
        <v>22452</v>
      </c>
      <c r="I2461" t="s">
        <v>6421</v>
      </c>
      <c r="J2461" t="s">
        <v>24288</v>
      </c>
      <c r="K2461" t="s">
        <v>29330</v>
      </c>
      <c r="M2461" t="s">
        <v>30566</v>
      </c>
      <c r="N2461" t="s">
        <v>32524</v>
      </c>
      <c r="O2461" t="s">
        <v>32525</v>
      </c>
      <c r="P2461">
        <v>0</v>
      </c>
      <c r="Q2461">
        <v>2</v>
      </c>
      <c r="R2461" t="s">
        <v>32527</v>
      </c>
      <c r="S2461" t="s">
        <v>32552</v>
      </c>
      <c r="T2461" t="s">
        <v>33324</v>
      </c>
      <c r="U2461" t="s">
        <v>35722</v>
      </c>
      <c r="V2461" t="s">
        <v>42654</v>
      </c>
      <c r="W2461" t="s">
        <v>30566</v>
      </c>
      <c r="X2461" t="s">
        <v>32533</v>
      </c>
    </row>
    <row r="2462" spans="1:24">
      <c r="A2462">
        <f>HYPERLINK("https://www.philgeps.gov.ph/GEPSNONPILOT/Tender/SplashBidNoticeAbstractUI.aspx?menuIndex=3&amp;refID=7035823&amp;Result=3","7035823")</f>
        <v>0</v>
      </c>
      <c r="B2462" t="s">
        <v>46</v>
      </c>
      <c r="C2462" t="s">
        <v>5035</v>
      </c>
      <c r="D2462" t="s">
        <v>13006</v>
      </c>
      <c r="E2462" t="s">
        <v>15311</v>
      </c>
      <c r="F2462" t="s">
        <v>22436</v>
      </c>
      <c r="G2462" t="s">
        <v>22444</v>
      </c>
      <c r="H2462" t="s">
        <v>22452</v>
      </c>
      <c r="I2462" t="s">
        <v>22502</v>
      </c>
      <c r="J2462" t="s">
        <v>24289</v>
      </c>
      <c r="K2462" t="s">
        <v>29330</v>
      </c>
      <c r="M2462" t="s">
        <v>30566</v>
      </c>
      <c r="N2462" t="s">
        <v>32524</v>
      </c>
      <c r="O2462" t="s">
        <v>32525</v>
      </c>
      <c r="P2462">
        <v>0</v>
      </c>
      <c r="Q2462">
        <v>3</v>
      </c>
      <c r="R2462" t="s">
        <v>32527</v>
      </c>
      <c r="S2462" t="s">
        <v>32552</v>
      </c>
      <c r="T2462" t="s">
        <v>33324</v>
      </c>
      <c r="U2462" t="s">
        <v>35723</v>
      </c>
      <c r="V2462" t="s">
        <v>42654</v>
      </c>
      <c r="W2462" t="s">
        <v>30566</v>
      </c>
      <c r="X2462" t="s">
        <v>32533</v>
      </c>
    </row>
    <row r="2463" spans="1:24">
      <c r="A2463">
        <f>HYPERLINK("https://www.philgeps.gov.ph/GEPSNONPILOT/Tender/SplashBidNoticeAbstractUI.aspx?menuIndex=3&amp;refID=7035899&amp;Result=3","7035899")</f>
        <v>0</v>
      </c>
      <c r="B2463" t="s">
        <v>46</v>
      </c>
      <c r="C2463" t="s">
        <v>5036</v>
      </c>
      <c r="D2463" t="s">
        <v>13006</v>
      </c>
      <c r="E2463" t="s">
        <v>15312</v>
      </c>
      <c r="F2463" t="s">
        <v>22436</v>
      </c>
      <c r="G2463" t="s">
        <v>22444</v>
      </c>
      <c r="H2463" t="s">
        <v>22452</v>
      </c>
      <c r="I2463" t="s">
        <v>22502</v>
      </c>
      <c r="J2463" t="s">
        <v>24290</v>
      </c>
      <c r="K2463" t="s">
        <v>29330</v>
      </c>
      <c r="M2463" t="s">
        <v>30566</v>
      </c>
      <c r="N2463" t="s">
        <v>32524</v>
      </c>
      <c r="O2463" t="s">
        <v>32525</v>
      </c>
      <c r="P2463">
        <v>0</v>
      </c>
      <c r="Q2463">
        <v>3</v>
      </c>
      <c r="R2463" t="s">
        <v>32527</v>
      </c>
      <c r="S2463" t="s">
        <v>32552</v>
      </c>
      <c r="T2463" t="s">
        <v>33324</v>
      </c>
      <c r="U2463" t="s">
        <v>35724</v>
      </c>
      <c r="V2463" t="s">
        <v>42654</v>
      </c>
      <c r="W2463" t="s">
        <v>30566</v>
      </c>
      <c r="X2463" t="s">
        <v>32533</v>
      </c>
    </row>
    <row r="2464" spans="1:24">
      <c r="A2464">
        <f>HYPERLINK("https://www.philgeps.gov.ph/GEPSNONPILOT/Tender/SplashBidNoticeAbstractUI.aspx?menuIndex=3&amp;refID=7037625&amp;Result=3","7037625")</f>
        <v>0</v>
      </c>
      <c r="B2464" t="s">
        <v>83</v>
      </c>
      <c r="C2464" t="s">
        <v>5037</v>
      </c>
      <c r="D2464" t="s">
        <v>12988</v>
      </c>
      <c r="E2464" t="s">
        <v>15313</v>
      </c>
      <c r="F2464" t="s">
        <v>22436</v>
      </c>
      <c r="G2464" t="s">
        <v>22443</v>
      </c>
      <c r="H2464" t="s">
        <v>22452</v>
      </c>
      <c r="I2464" t="s">
        <v>22497</v>
      </c>
      <c r="J2464" t="s">
        <v>24291</v>
      </c>
      <c r="K2464" t="s">
        <v>29336</v>
      </c>
      <c r="M2464" t="s">
        <v>30134</v>
      </c>
      <c r="N2464" t="s">
        <v>32524</v>
      </c>
      <c r="O2464" t="s">
        <v>32525</v>
      </c>
      <c r="P2464">
        <v>0</v>
      </c>
      <c r="Q2464">
        <v>2</v>
      </c>
      <c r="R2464" t="s">
        <v>32527</v>
      </c>
      <c r="S2464" t="s">
        <v>32552</v>
      </c>
      <c r="T2464" t="s">
        <v>33220</v>
      </c>
      <c r="U2464" t="s">
        <v>35725</v>
      </c>
      <c r="W2464" t="s">
        <v>30134</v>
      </c>
      <c r="X2464" t="s">
        <v>32533</v>
      </c>
    </row>
    <row r="2465" spans="1:24">
      <c r="A2465">
        <f>HYPERLINK("https://www.philgeps.gov.ph/GEPSNONPILOT/Tender/SplashBidNoticeAbstractUI.aspx?menuIndex=3&amp;refID=7036167&amp;Result=3","7036167")</f>
        <v>0</v>
      </c>
      <c r="B2465" t="s">
        <v>364</v>
      </c>
      <c r="C2465" t="s">
        <v>5038</v>
      </c>
      <c r="D2465" t="s">
        <v>13011</v>
      </c>
      <c r="E2465" t="s">
        <v>15314</v>
      </c>
      <c r="F2465" t="s">
        <v>22436</v>
      </c>
      <c r="G2465" t="s">
        <v>22444</v>
      </c>
      <c r="H2465" t="s">
        <v>22454</v>
      </c>
      <c r="I2465" t="s">
        <v>7738</v>
      </c>
      <c r="J2465" t="s">
        <v>22877</v>
      </c>
      <c r="K2465" t="s">
        <v>29338</v>
      </c>
      <c r="M2465" t="s">
        <v>29942</v>
      </c>
      <c r="N2465" t="s">
        <v>32524</v>
      </c>
      <c r="O2465" t="s">
        <v>32525</v>
      </c>
      <c r="P2465">
        <v>0</v>
      </c>
      <c r="Q2465">
        <v>0</v>
      </c>
      <c r="R2465" t="s">
        <v>32527</v>
      </c>
      <c r="S2465" t="s">
        <v>32552</v>
      </c>
      <c r="T2465" t="s">
        <v>33277</v>
      </c>
      <c r="U2465" t="s">
        <v>35726</v>
      </c>
      <c r="W2465" t="s">
        <v>29942</v>
      </c>
      <c r="X2465" t="s">
        <v>32533</v>
      </c>
    </row>
    <row r="2466" spans="1:24">
      <c r="A2466">
        <f>HYPERLINK("https://www.philgeps.gov.ph/GEPSNONPILOT/Tender/SplashBidNoticeAbstractUI.aspx?menuIndex=3&amp;refID=7035922&amp;Result=3","7035922")</f>
        <v>0</v>
      </c>
      <c r="B2466" t="s">
        <v>46</v>
      </c>
      <c r="C2466" t="s">
        <v>5039</v>
      </c>
      <c r="D2466" t="s">
        <v>13006</v>
      </c>
      <c r="E2466" t="s">
        <v>15315</v>
      </c>
      <c r="F2466" t="s">
        <v>22436</v>
      </c>
      <c r="G2466" t="s">
        <v>22444</v>
      </c>
      <c r="H2466" t="s">
        <v>22452</v>
      </c>
      <c r="I2466" t="s">
        <v>22502</v>
      </c>
      <c r="J2466" t="s">
        <v>23664</v>
      </c>
      <c r="K2466" t="s">
        <v>29330</v>
      </c>
      <c r="M2466" t="s">
        <v>30566</v>
      </c>
      <c r="N2466" t="s">
        <v>32524</v>
      </c>
      <c r="O2466" t="s">
        <v>32525</v>
      </c>
      <c r="P2466">
        <v>0</v>
      </c>
      <c r="Q2466">
        <v>2</v>
      </c>
      <c r="R2466" t="s">
        <v>32527</v>
      </c>
      <c r="S2466" t="s">
        <v>32552</v>
      </c>
      <c r="T2466" t="s">
        <v>33324</v>
      </c>
      <c r="U2466" t="s">
        <v>35727</v>
      </c>
      <c r="V2466" t="s">
        <v>42654</v>
      </c>
      <c r="W2466" t="s">
        <v>30566</v>
      </c>
      <c r="X2466" t="s">
        <v>32533</v>
      </c>
    </row>
    <row r="2467" spans="1:24">
      <c r="A2467">
        <f>HYPERLINK("https://www.philgeps.gov.ph/GEPSNONPILOT/Tender/SplashBidNoticeAbstractUI.aspx?menuIndex=3&amp;refID=7035976&amp;Result=3","7035976")</f>
        <v>0</v>
      </c>
      <c r="B2467" t="s">
        <v>46</v>
      </c>
      <c r="C2467" t="s">
        <v>5040</v>
      </c>
      <c r="D2467" t="s">
        <v>13006</v>
      </c>
      <c r="E2467" t="s">
        <v>15316</v>
      </c>
      <c r="F2467" t="s">
        <v>22436</v>
      </c>
      <c r="G2467" t="s">
        <v>22444</v>
      </c>
      <c r="H2467" t="s">
        <v>22452</v>
      </c>
      <c r="I2467" t="s">
        <v>22502</v>
      </c>
      <c r="J2467" t="s">
        <v>24292</v>
      </c>
      <c r="K2467" t="s">
        <v>29330</v>
      </c>
      <c r="M2467" t="s">
        <v>30566</v>
      </c>
      <c r="N2467" t="s">
        <v>32524</v>
      </c>
      <c r="O2467" t="s">
        <v>32525</v>
      </c>
      <c r="P2467">
        <v>0</v>
      </c>
      <c r="Q2467">
        <v>2</v>
      </c>
      <c r="R2467" t="s">
        <v>32527</v>
      </c>
      <c r="S2467" t="s">
        <v>32552</v>
      </c>
      <c r="T2467" t="s">
        <v>33324</v>
      </c>
      <c r="U2467" t="s">
        <v>35728</v>
      </c>
      <c r="V2467" t="s">
        <v>42655</v>
      </c>
      <c r="W2467" t="s">
        <v>30566</v>
      </c>
      <c r="X2467" t="s">
        <v>32533</v>
      </c>
    </row>
    <row r="2468" spans="1:24">
      <c r="A2468">
        <f>HYPERLINK("https://www.philgeps.gov.ph/GEPSNONPILOT/Tender/SplashBidNoticeAbstractUI.aspx?menuIndex=3&amp;refID=7037160&amp;Result=3","7037160")</f>
        <v>0</v>
      </c>
      <c r="B2468" t="s">
        <v>940</v>
      </c>
      <c r="C2468" t="s">
        <v>5041</v>
      </c>
      <c r="D2468" t="s">
        <v>13024</v>
      </c>
      <c r="E2468" t="s">
        <v>15317</v>
      </c>
      <c r="F2468" t="s">
        <v>22436</v>
      </c>
      <c r="G2468" t="s">
        <v>22443</v>
      </c>
      <c r="H2468" t="s">
        <v>22452</v>
      </c>
      <c r="I2468" t="s">
        <v>12358</v>
      </c>
      <c r="J2468" t="s">
        <v>24293</v>
      </c>
      <c r="K2468" t="s">
        <v>29338</v>
      </c>
      <c r="M2468" t="s">
        <v>30554</v>
      </c>
      <c r="N2468" t="s">
        <v>32524</v>
      </c>
      <c r="O2468" t="s">
        <v>32525</v>
      </c>
      <c r="P2468">
        <v>0</v>
      </c>
      <c r="Q2468">
        <v>1</v>
      </c>
      <c r="R2468" t="s">
        <v>32527</v>
      </c>
      <c r="S2468" t="s">
        <v>32552</v>
      </c>
      <c r="T2468" t="s">
        <v>33351</v>
      </c>
      <c r="U2468" t="s">
        <v>35729</v>
      </c>
      <c r="W2468" t="s">
        <v>30554</v>
      </c>
      <c r="X2468" t="s">
        <v>32533</v>
      </c>
    </row>
    <row r="2469" spans="1:24">
      <c r="A2469">
        <f>HYPERLINK("https://www.philgeps.gov.ph/GEPSNONPILOT/Tender/SplashBidNoticeAbstractUI.aspx?menuIndex=3&amp;refID=7035947&amp;Result=3","7035947")</f>
        <v>0</v>
      </c>
      <c r="B2469" t="s">
        <v>46</v>
      </c>
      <c r="C2469" t="s">
        <v>5042</v>
      </c>
      <c r="D2469" t="s">
        <v>13006</v>
      </c>
      <c r="E2469" t="s">
        <v>15318</v>
      </c>
      <c r="F2469" t="s">
        <v>22436</v>
      </c>
      <c r="G2469" t="s">
        <v>22444</v>
      </c>
      <c r="H2469" t="s">
        <v>22452</v>
      </c>
      <c r="I2469" t="s">
        <v>6421</v>
      </c>
      <c r="J2469" t="s">
        <v>24294</v>
      </c>
      <c r="K2469" t="s">
        <v>29330</v>
      </c>
      <c r="M2469" t="s">
        <v>30566</v>
      </c>
      <c r="N2469" t="s">
        <v>32524</v>
      </c>
      <c r="O2469" t="s">
        <v>32525</v>
      </c>
      <c r="P2469">
        <v>0</v>
      </c>
      <c r="Q2469">
        <v>2</v>
      </c>
      <c r="R2469" t="s">
        <v>32527</v>
      </c>
      <c r="S2469" t="s">
        <v>32552</v>
      </c>
      <c r="T2469" t="s">
        <v>33324</v>
      </c>
      <c r="U2469" t="s">
        <v>35730</v>
      </c>
      <c r="V2469" t="s">
        <v>42654</v>
      </c>
      <c r="W2469" t="s">
        <v>30566</v>
      </c>
      <c r="X2469" t="s">
        <v>32533</v>
      </c>
    </row>
    <row r="2470" spans="1:24">
      <c r="A2470">
        <f>HYPERLINK("https://www.philgeps.gov.ph/GEPSNONPILOT/Tender/SplashBidNoticeAbstractUI.aspx?menuIndex=3&amp;refID=7038928&amp;Result=3","7038928")</f>
        <v>0</v>
      </c>
      <c r="B2470" t="s">
        <v>246</v>
      </c>
      <c r="C2470" t="s">
        <v>5043</v>
      </c>
      <c r="D2470" t="s">
        <v>13006</v>
      </c>
      <c r="E2470" t="s">
        <v>15319</v>
      </c>
      <c r="F2470" t="s">
        <v>22436</v>
      </c>
      <c r="G2470" t="s">
        <v>22444</v>
      </c>
      <c r="H2470" t="s">
        <v>22452</v>
      </c>
      <c r="I2470" t="s">
        <v>22479</v>
      </c>
      <c r="J2470" t="s">
        <v>24295</v>
      </c>
      <c r="K2470" t="s">
        <v>29333</v>
      </c>
      <c r="M2470" t="s">
        <v>30567</v>
      </c>
      <c r="N2470" t="s">
        <v>32524</v>
      </c>
      <c r="O2470" t="s">
        <v>32525</v>
      </c>
      <c r="P2470">
        <v>0</v>
      </c>
      <c r="Q2470">
        <v>1</v>
      </c>
      <c r="R2470" t="s">
        <v>32527</v>
      </c>
      <c r="S2470" t="s">
        <v>32552</v>
      </c>
      <c r="T2470" t="s">
        <v>33277</v>
      </c>
      <c r="U2470" t="s">
        <v>35731</v>
      </c>
      <c r="W2470" t="s">
        <v>30567</v>
      </c>
      <c r="X2470" t="s">
        <v>32532</v>
      </c>
    </row>
    <row r="2471" spans="1:24">
      <c r="A2471">
        <f>HYPERLINK("https://www.philgeps.gov.ph/GEPSNONPILOT/Tender/SplashBidNoticeAbstractUI.aspx?menuIndex=3&amp;refID=7037096&amp;Result=3","7037096")</f>
        <v>0</v>
      </c>
      <c r="B2471" t="s">
        <v>952</v>
      </c>
      <c r="C2471" t="s">
        <v>5044</v>
      </c>
      <c r="D2471" t="s">
        <v>13018</v>
      </c>
      <c r="E2471" t="s">
        <v>15320</v>
      </c>
      <c r="F2471" t="s">
        <v>22436</v>
      </c>
      <c r="G2471" t="s">
        <v>22444</v>
      </c>
      <c r="H2471" t="s">
        <v>22452</v>
      </c>
      <c r="I2471" t="s">
        <v>22467</v>
      </c>
      <c r="J2471" t="s">
        <v>24296</v>
      </c>
      <c r="K2471" t="s">
        <v>29361</v>
      </c>
      <c r="M2471" t="s">
        <v>30568</v>
      </c>
      <c r="N2471" t="s">
        <v>32524</v>
      </c>
      <c r="O2471" t="s">
        <v>32525</v>
      </c>
      <c r="P2471">
        <v>0</v>
      </c>
      <c r="Q2471">
        <v>2</v>
      </c>
      <c r="R2471" t="s">
        <v>32527</v>
      </c>
      <c r="S2471" t="s">
        <v>32552</v>
      </c>
      <c r="T2471" t="s">
        <v>33364</v>
      </c>
      <c r="U2471" t="s">
        <v>35732</v>
      </c>
      <c r="W2471" t="s">
        <v>30568</v>
      </c>
      <c r="X2471" t="s">
        <v>32533</v>
      </c>
    </row>
    <row r="2472" spans="1:24">
      <c r="A2472">
        <f>HYPERLINK("https://www.philgeps.gov.ph/GEPSNONPILOT/Tender/SplashBidNoticeAbstractUI.aspx?menuIndex=3&amp;refID=7038709&amp;Result=3","7038709")</f>
        <v>0</v>
      </c>
      <c r="B2472" t="s">
        <v>953</v>
      </c>
      <c r="C2472" t="s">
        <v>5045</v>
      </c>
      <c r="D2472" t="s">
        <v>12994</v>
      </c>
      <c r="E2472" t="s">
        <v>15321</v>
      </c>
      <c r="F2472" t="s">
        <v>22436</v>
      </c>
      <c r="G2472" t="s">
        <v>22447</v>
      </c>
      <c r="H2472" t="s">
        <v>22452</v>
      </c>
      <c r="I2472" t="s">
        <v>22461</v>
      </c>
      <c r="J2472" t="s">
        <v>24297</v>
      </c>
      <c r="K2472" t="s">
        <v>29341</v>
      </c>
      <c r="M2472" t="s">
        <v>30569</v>
      </c>
      <c r="N2472" t="s">
        <v>32524</v>
      </c>
      <c r="O2472" t="s">
        <v>32525</v>
      </c>
      <c r="P2472">
        <v>0</v>
      </c>
      <c r="Q2472">
        <v>0</v>
      </c>
      <c r="R2472" t="s">
        <v>32527</v>
      </c>
      <c r="S2472" t="s">
        <v>32552</v>
      </c>
      <c r="T2472" t="s">
        <v>33161</v>
      </c>
      <c r="U2472" t="s">
        <v>35733</v>
      </c>
      <c r="W2472" t="s">
        <v>30569</v>
      </c>
      <c r="X2472" t="s">
        <v>32532</v>
      </c>
    </row>
    <row r="2473" spans="1:24">
      <c r="A2473">
        <f>HYPERLINK("https://www.philgeps.gov.ph/GEPSNONPILOT/Tender/SplashBidNoticeAbstractUI.aspx?menuIndex=3&amp;refID=7035963&amp;Result=3","7035963")</f>
        <v>0</v>
      </c>
      <c r="B2473" t="s">
        <v>46</v>
      </c>
      <c r="C2473" t="s">
        <v>5046</v>
      </c>
      <c r="D2473" t="s">
        <v>13006</v>
      </c>
      <c r="E2473" t="s">
        <v>15322</v>
      </c>
      <c r="F2473" t="s">
        <v>22436</v>
      </c>
      <c r="G2473" t="s">
        <v>22444</v>
      </c>
      <c r="H2473" t="s">
        <v>22452</v>
      </c>
      <c r="I2473" t="s">
        <v>22502</v>
      </c>
      <c r="J2473" t="s">
        <v>24298</v>
      </c>
      <c r="K2473" t="s">
        <v>29330</v>
      </c>
      <c r="M2473" t="s">
        <v>30566</v>
      </c>
      <c r="N2473" t="s">
        <v>32524</v>
      </c>
      <c r="O2473" t="s">
        <v>32525</v>
      </c>
      <c r="P2473">
        <v>0</v>
      </c>
      <c r="Q2473">
        <v>2</v>
      </c>
      <c r="R2473" t="s">
        <v>32527</v>
      </c>
      <c r="S2473" t="s">
        <v>32552</v>
      </c>
      <c r="T2473" t="s">
        <v>33324</v>
      </c>
      <c r="U2473" t="s">
        <v>35734</v>
      </c>
      <c r="V2473" t="s">
        <v>42654</v>
      </c>
      <c r="W2473" t="s">
        <v>30566</v>
      </c>
      <c r="X2473" t="s">
        <v>32533</v>
      </c>
    </row>
    <row r="2474" spans="1:24">
      <c r="A2474">
        <f>HYPERLINK("https://www.philgeps.gov.ph/GEPSNONPILOT/Tender/SplashBidNoticeAbstractUI.aspx?menuIndex=3&amp;refID=7038667&amp;Result=3","7038667")</f>
        <v>0</v>
      </c>
      <c r="B2474" t="s">
        <v>953</v>
      </c>
      <c r="C2474" t="s">
        <v>5047</v>
      </c>
      <c r="E2474" t="s">
        <v>15323</v>
      </c>
      <c r="F2474" t="s">
        <v>22436</v>
      </c>
      <c r="G2474" t="s">
        <v>22447</v>
      </c>
      <c r="H2474" t="s">
        <v>22452</v>
      </c>
      <c r="I2474" t="s">
        <v>22479</v>
      </c>
      <c r="J2474" t="s">
        <v>24299</v>
      </c>
      <c r="K2474" t="s">
        <v>29335</v>
      </c>
      <c r="M2474" t="s">
        <v>30569</v>
      </c>
      <c r="N2474" t="s">
        <v>32524</v>
      </c>
      <c r="O2474" t="s">
        <v>32525</v>
      </c>
      <c r="P2474">
        <v>0</v>
      </c>
      <c r="Q2474">
        <v>3</v>
      </c>
      <c r="R2474" t="s">
        <v>32527</v>
      </c>
      <c r="S2474" t="s">
        <v>32552</v>
      </c>
      <c r="T2474" t="s">
        <v>33161</v>
      </c>
      <c r="U2474" t="s">
        <v>35735</v>
      </c>
      <c r="W2474" t="s">
        <v>30569</v>
      </c>
      <c r="X2474" t="s">
        <v>32532</v>
      </c>
    </row>
    <row r="2475" spans="1:24">
      <c r="A2475">
        <f>HYPERLINK("https://www.philgeps.gov.ph/GEPSNONPILOT/Tender/SplashBidNoticeAbstractUI.aspx?menuIndex=3&amp;refID=7038368&amp;Result=3","7038368")</f>
        <v>0</v>
      </c>
      <c r="B2475" t="s">
        <v>83</v>
      </c>
      <c r="C2475" t="s">
        <v>5048</v>
      </c>
      <c r="D2475" t="s">
        <v>12988</v>
      </c>
      <c r="E2475" t="s">
        <v>15324</v>
      </c>
      <c r="F2475" t="s">
        <v>22436</v>
      </c>
      <c r="G2475" t="s">
        <v>22443</v>
      </c>
      <c r="H2475" t="s">
        <v>22452</v>
      </c>
      <c r="I2475" t="s">
        <v>2981</v>
      </c>
      <c r="J2475" t="s">
        <v>24300</v>
      </c>
      <c r="K2475" t="s">
        <v>29338</v>
      </c>
      <c r="M2475" t="s">
        <v>29655</v>
      </c>
      <c r="N2475" t="s">
        <v>32524</v>
      </c>
      <c r="O2475" t="s">
        <v>32525</v>
      </c>
      <c r="P2475">
        <v>0</v>
      </c>
      <c r="Q2475">
        <v>0</v>
      </c>
      <c r="R2475" t="s">
        <v>32527</v>
      </c>
      <c r="S2475" t="s">
        <v>32552</v>
      </c>
      <c r="T2475" t="s">
        <v>33220</v>
      </c>
      <c r="U2475" t="s">
        <v>35736</v>
      </c>
      <c r="W2475" t="s">
        <v>29655</v>
      </c>
      <c r="X2475" t="s">
        <v>32532</v>
      </c>
    </row>
    <row r="2476" spans="1:24">
      <c r="A2476">
        <f>HYPERLINK("https://www.philgeps.gov.ph/GEPSNONPILOT/Tender/SplashBidNoticeAbstractUI.aspx?menuIndex=3&amp;refID=7036516&amp;Result=3","7036516")</f>
        <v>0</v>
      </c>
      <c r="B2476" t="s">
        <v>364</v>
      </c>
      <c r="C2476" t="s">
        <v>5049</v>
      </c>
      <c r="D2476" t="s">
        <v>13011</v>
      </c>
      <c r="E2476" t="s">
        <v>15325</v>
      </c>
      <c r="F2476" t="s">
        <v>22436</v>
      </c>
      <c r="G2476" t="s">
        <v>22444</v>
      </c>
      <c r="H2476" t="s">
        <v>22452</v>
      </c>
      <c r="I2476" t="s">
        <v>22469</v>
      </c>
      <c r="J2476" t="s">
        <v>24301</v>
      </c>
      <c r="K2476" t="s">
        <v>29338</v>
      </c>
      <c r="M2476" t="s">
        <v>29942</v>
      </c>
      <c r="N2476" t="s">
        <v>32524</v>
      </c>
      <c r="O2476" t="s">
        <v>32525</v>
      </c>
      <c r="P2476">
        <v>0</v>
      </c>
      <c r="Q2476">
        <v>12</v>
      </c>
      <c r="R2476" t="s">
        <v>32527</v>
      </c>
      <c r="S2476" t="s">
        <v>32552</v>
      </c>
      <c r="T2476" t="s">
        <v>33165</v>
      </c>
      <c r="U2476" t="s">
        <v>35737</v>
      </c>
      <c r="W2476" t="s">
        <v>29942</v>
      </c>
      <c r="X2476" t="s">
        <v>32533</v>
      </c>
    </row>
    <row r="2477" spans="1:24">
      <c r="A2477">
        <f>HYPERLINK("https://www.philgeps.gov.ph/GEPSNONPILOT/Tender/SplashBidNoticeAbstractUI.aspx?menuIndex=3&amp;refID=7035997&amp;Result=3","7035997")</f>
        <v>0</v>
      </c>
      <c r="B2477" t="s">
        <v>46</v>
      </c>
      <c r="C2477" t="s">
        <v>5050</v>
      </c>
      <c r="D2477" t="s">
        <v>13006</v>
      </c>
      <c r="E2477" t="s">
        <v>15326</v>
      </c>
      <c r="F2477" t="s">
        <v>22436</v>
      </c>
      <c r="G2477" t="s">
        <v>22444</v>
      </c>
      <c r="H2477" t="s">
        <v>22452</v>
      </c>
      <c r="I2477" t="s">
        <v>22502</v>
      </c>
      <c r="J2477" t="s">
        <v>24302</v>
      </c>
      <c r="K2477" t="s">
        <v>29330</v>
      </c>
      <c r="M2477" t="s">
        <v>30566</v>
      </c>
      <c r="N2477" t="s">
        <v>32524</v>
      </c>
      <c r="O2477" t="s">
        <v>32525</v>
      </c>
      <c r="P2477">
        <v>0</v>
      </c>
      <c r="Q2477">
        <v>2</v>
      </c>
      <c r="R2477" t="s">
        <v>32527</v>
      </c>
      <c r="S2477" t="s">
        <v>32552</v>
      </c>
      <c r="T2477" t="s">
        <v>33324</v>
      </c>
      <c r="U2477" t="s">
        <v>35738</v>
      </c>
      <c r="V2477" t="s">
        <v>42654</v>
      </c>
      <c r="W2477" t="s">
        <v>30566</v>
      </c>
      <c r="X2477" t="s">
        <v>32533</v>
      </c>
    </row>
    <row r="2478" spans="1:24">
      <c r="A2478">
        <f>HYPERLINK("https://www.philgeps.gov.ph/GEPSNONPILOT/Tender/SplashBidNoticeAbstractUI.aspx?menuIndex=3&amp;refID=7035939&amp;Result=3","7035939")</f>
        <v>0</v>
      </c>
      <c r="B2478" t="s">
        <v>46</v>
      </c>
      <c r="C2478" t="s">
        <v>5051</v>
      </c>
      <c r="D2478" t="s">
        <v>13006</v>
      </c>
      <c r="E2478" t="s">
        <v>15327</v>
      </c>
      <c r="F2478" t="s">
        <v>22436</v>
      </c>
      <c r="G2478" t="s">
        <v>22444</v>
      </c>
      <c r="H2478" t="s">
        <v>22452</v>
      </c>
      <c r="I2478" t="s">
        <v>22502</v>
      </c>
      <c r="J2478" t="s">
        <v>23120</v>
      </c>
      <c r="K2478" t="s">
        <v>29330</v>
      </c>
      <c r="M2478" t="s">
        <v>30566</v>
      </c>
      <c r="N2478" t="s">
        <v>32524</v>
      </c>
      <c r="O2478" t="s">
        <v>32525</v>
      </c>
      <c r="P2478">
        <v>0</v>
      </c>
      <c r="Q2478">
        <v>4</v>
      </c>
      <c r="R2478" t="s">
        <v>32527</v>
      </c>
      <c r="S2478" t="s">
        <v>32552</v>
      </c>
      <c r="T2478" t="s">
        <v>33324</v>
      </c>
      <c r="U2478" t="s">
        <v>35739</v>
      </c>
      <c r="V2478" t="s">
        <v>42654</v>
      </c>
      <c r="W2478" t="s">
        <v>30566</v>
      </c>
      <c r="X2478" t="s">
        <v>32533</v>
      </c>
    </row>
    <row r="2479" spans="1:24">
      <c r="A2479">
        <f>HYPERLINK("https://www.philgeps.gov.ph/GEPSNONPILOT/Tender/SplashBidNoticeAbstractUI.aspx?menuIndex=3&amp;refID=7037734&amp;Result=3","7037734")</f>
        <v>0</v>
      </c>
      <c r="B2479" t="s">
        <v>83</v>
      </c>
      <c r="C2479" t="s">
        <v>5052</v>
      </c>
      <c r="D2479" t="s">
        <v>12988</v>
      </c>
      <c r="E2479" t="s">
        <v>15328</v>
      </c>
      <c r="F2479" t="s">
        <v>22436</v>
      </c>
      <c r="G2479" t="s">
        <v>22443</v>
      </c>
      <c r="H2479" t="s">
        <v>22452</v>
      </c>
      <c r="I2479" t="s">
        <v>22508</v>
      </c>
      <c r="J2479" t="s">
        <v>22724</v>
      </c>
      <c r="K2479" t="s">
        <v>29338</v>
      </c>
      <c r="M2479" t="s">
        <v>30134</v>
      </c>
      <c r="N2479" t="s">
        <v>32524</v>
      </c>
      <c r="O2479" t="s">
        <v>32525</v>
      </c>
      <c r="P2479">
        <v>0</v>
      </c>
      <c r="Q2479">
        <v>2</v>
      </c>
      <c r="R2479" t="s">
        <v>32527</v>
      </c>
      <c r="S2479" t="s">
        <v>32552</v>
      </c>
      <c r="T2479" t="s">
        <v>33220</v>
      </c>
      <c r="U2479" t="s">
        <v>35740</v>
      </c>
      <c r="W2479" t="s">
        <v>30134</v>
      </c>
      <c r="X2479" t="s">
        <v>32533</v>
      </c>
    </row>
    <row r="2480" spans="1:24">
      <c r="A2480">
        <f>HYPERLINK("https://www.philgeps.gov.ph/GEPSNONPILOT/Tender/SplashBidNoticeAbstractUI.aspx?menuIndex=3&amp;refID=7037690&amp;Result=3","7037690")</f>
        <v>0</v>
      </c>
      <c r="B2480" t="s">
        <v>83</v>
      </c>
      <c r="C2480" t="s">
        <v>5053</v>
      </c>
      <c r="D2480" t="s">
        <v>12988</v>
      </c>
      <c r="E2480" t="s">
        <v>15329</v>
      </c>
      <c r="F2480" t="s">
        <v>22436</v>
      </c>
      <c r="G2480" t="s">
        <v>22443</v>
      </c>
      <c r="H2480" t="s">
        <v>22452</v>
      </c>
      <c r="I2480" t="s">
        <v>22460</v>
      </c>
      <c r="J2480" t="s">
        <v>24303</v>
      </c>
      <c r="K2480" t="s">
        <v>29336</v>
      </c>
      <c r="M2480" t="s">
        <v>30134</v>
      </c>
      <c r="N2480" t="s">
        <v>32524</v>
      </c>
      <c r="O2480" t="s">
        <v>32525</v>
      </c>
      <c r="P2480">
        <v>0</v>
      </c>
      <c r="Q2480">
        <v>0</v>
      </c>
      <c r="R2480" t="s">
        <v>32527</v>
      </c>
      <c r="S2480" t="s">
        <v>32552</v>
      </c>
      <c r="T2480" t="s">
        <v>33220</v>
      </c>
      <c r="U2480" t="s">
        <v>34688</v>
      </c>
      <c r="W2480" t="s">
        <v>30134</v>
      </c>
      <c r="X2480" t="s">
        <v>32533</v>
      </c>
    </row>
    <row r="2481" spans="1:24">
      <c r="A2481">
        <f>HYPERLINK("https://www.philgeps.gov.ph/GEPSNONPILOT/Tender/SplashBidNoticeAbstractUI.aspx?menuIndex=3&amp;refID=7038988&amp;Result=3","7038988")</f>
        <v>0</v>
      </c>
      <c r="B2481" t="s">
        <v>954</v>
      </c>
      <c r="C2481" t="s">
        <v>5054</v>
      </c>
      <c r="D2481" t="s">
        <v>13046</v>
      </c>
      <c r="E2481" t="s">
        <v>15330</v>
      </c>
      <c r="F2481" t="s">
        <v>22436</v>
      </c>
      <c r="G2481" t="s">
        <v>22446</v>
      </c>
      <c r="H2481" t="s">
        <v>22452</v>
      </c>
      <c r="I2481" t="s">
        <v>22465</v>
      </c>
      <c r="J2481" t="s">
        <v>23120</v>
      </c>
      <c r="K2481" t="s">
        <v>29338</v>
      </c>
      <c r="M2481" t="s">
        <v>30570</v>
      </c>
      <c r="N2481" t="s">
        <v>32524</v>
      </c>
      <c r="O2481" t="s">
        <v>32525</v>
      </c>
      <c r="P2481">
        <v>0</v>
      </c>
      <c r="Q2481">
        <v>0</v>
      </c>
      <c r="R2481" t="s">
        <v>32527</v>
      </c>
      <c r="S2481" t="s">
        <v>32552</v>
      </c>
      <c r="T2481" t="s">
        <v>33230</v>
      </c>
      <c r="U2481" t="s">
        <v>35741</v>
      </c>
      <c r="W2481" t="s">
        <v>43701</v>
      </c>
      <c r="X2481" t="s">
        <v>32532</v>
      </c>
    </row>
    <row r="2482" spans="1:24">
      <c r="A2482">
        <f>HYPERLINK("https://www.philgeps.gov.ph/GEPSNONPILOT/Tender/SplashBidNoticeAbstractUI.aspx?menuIndex=3&amp;refID=7038266&amp;Result=3","7038266")</f>
        <v>0</v>
      </c>
      <c r="B2482" t="s">
        <v>83</v>
      </c>
      <c r="C2482" t="s">
        <v>5055</v>
      </c>
      <c r="D2482" t="s">
        <v>12988</v>
      </c>
      <c r="E2482" t="s">
        <v>15331</v>
      </c>
      <c r="F2482" t="s">
        <v>22436</v>
      </c>
      <c r="G2482" t="s">
        <v>22443</v>
      </c>
      <c r="H2482" t="s">
        <v>22452</v>
      </c>
      <c r="I2482" t="s">
        <v>22512</v>
      </c>
      <c r="J2482" t="s">
        <v>23418</v>
      </c>
      <c r="K2482" t="s">
        <v>29338</v>
      </c>
      <c r="M2482" t="s">
        <v>29655</v>
      </c>
      <c r="N2482" t="s">
        <v>32524</v>
      </c>
      <c r="O2482" t="s">
        <v>32525</v>
      </c>
      <c r="P2482">
        <v>0</v>
      </c>
      <c r="Q2482">
        <v>0</v>
      </c>
      <c r="R2482" t="s">
        <v>32527</v>
      </c>
      <c r="S2482" t="s">
        <v>32552</v>
      </c>
      <c r="T2482" t="s">
        <v>33220</v>
      </c>
      <c r="U2482" t="s">
        <v>35742</v>
      </c>
      <c r="W2482" t="s">
        <v>29655</v>
      </c>
      <c r="X2482" t="s">
        <v>32532</v>
      </c>
    </row>
    <row r="2483" spans="1:24">
      <c r="A2483">
        <f>HYPERLINK("https://www.philgeps.gov.ph/GEPSNONPILOT/Tender/SplashBidNoticeAbstractUI.aspx?menuIndex=3&amp;refID=7040241&amp;Result=3","7040241")</f>
        <v>0</v>
      </c>
      <c r="B2483" t="s">
        <v>180</v>
      </c>
      <c r="C2483" t="s">
        <v>5056</v>
      </c>
      <c r="D2483" t="s">
        <v>13026</v>
      </c>
      <c r="E2483" t="s">
        <v>15332</v>
      </c>
      <c r="F2483" t="s">
        <v>22436</v>
      </c>
      <c r="G2483" t="s">
        <v>22443</v>
      </c>
      <c r="H2483" t="s">
        <v>22452</v>
      </c>
      <c r="I2483" t="s">
        <v>2962</v>
      </c>
      <c r="J2483" t="s">
        <v>24304</v>
      </c>
      <c r="K2483" t="s">
        <v>29331</v>
      </c>
      <c r="M2483" t="s">
        <v>29752</v>
      </c>
      <c r="N2483" t="s">
        <v>32524</v>
      </c>
      <c r="O2483" t="s">
        <v>32525</v>
      </c>
      <c r="P2483">
        <v>0</v>
      </c>
      <c r="Q2483">
        <v>0</v>
      </c>
      <c r="R2483" t="s">
        <v>32527</v>
      </c>
      <c r="S2483" t="s">
        <v>32552</v>
      </c>
      <c r="T2483" t="s">
        <v>33220</v>
      </c>
      <c r="U2483" t="s">
        <v>35743</v>
      </c>
      <c r="W2483" t="s">
        <v>29752</v>
      </c>
      <c r="X2483" t="s">
        <v>32532</v>
      </c>
    </row>
    <row r="2484" spans="1:24">
      <c r="A2484">
        <f>HYPERLINK("https://www.philgeps.gov.ph/GEPSNONPILOT/Tender/SplashBidNoticeAbstractUI.aspx?menuIndex=3&amp;refID=7040316&amp;Result=3","7040316")</f>
        <v>0</v>
      </c>
      <c r="B2484" t="s">
        <v>947</v>
      </c>
      <c r="C2484" t="s">
        <v>5057</v>
      </c>
      <c r="D2484" t="s">
        <v>13041</v>
      </c>
      <c r="E2484" t="s">
        <v>15333</v>
      </c>
      <c r="F2484" t="s">
        <v>22436</v>
      </c>
      <c r="G2484" t="s">
        <v>22444</v>
      </c>
      <c r="H2484" t="s">
        <v>22454</v>
      </c>
      <c r="I2484" t="s">
        <v>7738</v>
      </c>
      <c r="J2484" t="s">
        <v>23085</v>
      </c>
      <c r="K2484" t="s">
        <v>29428</v>
      </c>
      <c r="M2484" t="s">
        <v>30561</v>
      </c>
      <c r="N2484" t="s">
        <v>32524</v>
      </c>
      <c r="O2484" t="s">
        <v>32525</v>
      </c>
      <c r="P2484">
        <v>0</v>
      </c>
      <c r="Q2484">
        <v>0</v>
      </c>
      <c r="R2484" t="s">
        <v>32527</v>
      </c>
      <c r="S2484" t="s">
        <v>32552</v>
      </c>
      <c r="T2484" t="s">
        <v>33228</v>
      </c>
      <c r="U2484" t="s">
        <v>35712</v>
      </c>
      <c r="W2484" t="s">
        <v>30561</v>
      </c>
      <c r="X2484" t="s">
        <v>32532</v>
      </c>
    </row>
    <row r="2485" spans="1:24">
      <c r="A2485">
        <f>HYPERLINK("https://www.philgeps.gov.ph/GEPSNONPILOT/Tender/SplashBidNoticeAbstractUI.aspx?menuIndex=3&amp;refID=7040181&amp;Result=3","7040181")</f>
        <v>0</v>
      </c>
      <c r="B2485" t="s">
        <v>180</v>
      </c>
      <c r="C2485" t="s">
        <v>5058</v>
      </c>
      <c r="D2485" t="s">
        <v>13026</v>
      </c>
      <c r="E2485" t="s">
        <v>15334</v>
      </c>
      <c r="F2485" t="s">
        <v>22436</v>
      </c>
      <c r="G2485" t="s">
        <v>22443</v>
      </c>
      <c r="H2485" t="s">
        <v>22452</v>
      </c>
      <c r="I2485" t="s">
        <v>2962</v>
      </c>
      <c r="J2485" t="s">
        <v>24305</v>
      </c>
      <c r="K2485" t="s">
        <v>29331</v>
      </c>
      <c r="M2485" t="s">
        <v>29752</v>
      </c>
      <c r="N2485" t="s">
        <v>32524</v>
      </c>
      <c r="O2485" t="s">
        <v>32525</v>
      </c>
      <c r="P2485">
        <v>0</v>
      </c>
      <c r="Q2485">
        <v>1</v>
      </c>
      <c r="R2485" t="s">
        <v>32527</v>
      </c>
      <c r="S2485" t="s">
        <v>32552</v>
      </c>
      <c r="T2485" t="s">
        <v>33220</v>
      </c>
      <c r="U2485" t="s">
        <v>35744</v>
      </c>
      <c r="W2485" t="s">
        <v>29752</v>
      </c>
      <c r="X2485" t="s">
        <v>32532</v>
      </c>
    </row>
    <row r="2486" spans="1:24">
      <c r="A2486">
        <f>HYPERLINK("https://www.philgeps.gov.ph/GEPSNONPILOT/Tender/SplashBidNoticeAbstractUI.aspx?menuIndex=3&amp;refID=7039097&amp;Result=3","7039097")</f>
        <v>0</v>
      </c>
      <c r="B2486" t="s">
        <v>955</v>
      </c>
      <c r="C2486" t="s">
        <v>5059</v>
      </c>
      <c r="D2486" t="s">
        <v>13024</v>
      </c>
      <c r="E2486" t="s">
        <v>15335</v>
      </c>
      <c r="F2486" t="s">
        <v>22436</v>
      </c>
      <c r="G2486" t="s">
        <v>22443</v>
      </c>
      <c r="H2486" t="s">
        <v>22452</v>
      </c>
      <c r="I2486" t="s">
        <v>12358</v>
      </c>
      <c r="J2486" t="s">
        <v>24306</v>
      </c>
      <c r="K2486" t="s">
        <v>29357</v>
      </c>
      <c r="M2486" t="s">
        <v>30571</v>
      </c>
      <c r="N2486" t="s">
        <v>32524</v>
      </c>
      <c r="O2486" t="s">
        <v>32525</v>
      </c>
      <c r="P2486">
        <v>0</v>
      </c>
      <c r="Q2486">
        <v>1</v>
      </c>
      <c r="R2486" t="s">
        <v>32527</v>
      </c>
      <c r="S2486" t="s">
        <v>32552</v>
      </c>
      <c r="T2486" t="s">
        <v>33270</v>
      </c>
      <c r="U2486" t="s">
        <v>35745</v>
      </c>
      <c r="W2486" t="s">
        <v>30571</v>
      </c>
      <c r="X2486" t="s">
        <v>32532</v>
      </c>
    </row>
    <row r="2487" spans="1:24">
      <c r="A2487">
        <f>HYPERLINK("https://www.philgeps.gov.ph/GEPSNONPILOT/Tender/SplashBidNoticeAbstractUI.aspx?menuIndex=3&amp;refID=7039868&amp;Result=3","7039868")</f>
        <v>0</v>
      </c>
      <c r="B2487" t="s">
        <v>83</v>
      </c>
      <c r="C2487" t="s">
        <v>5060</v>
      </c>
      <c r="D2487" t="s">
        <v>12988</v>
      </c>
      <c r="E2487" t="s">
        <v>15336</v>
      </c>
      <c r="F2487" t="s">
        <v>22436</v>
      </c>
      <c r="G2487" t="s">
        <v>22443</v>
      </c>
      <c r="H2487" t="s">
        <v>22452</v>
      </c>
      <c r="I2487" t="s">
        <v>22460</v>
      </c>
      <c r="J2487" t="s">
        <v>24307</v>
      </c>
      <c r="K2487" t="s">
        <v>29338</v>
      </c>
      <c r="M2487" t="s">
        <v>29655</v>
      </c>
      <c r="N2487" t="s">
        <v>32524</v>
      </c>
      <c r="O2487" t="s">
        <v>32525</v>
      </c>
      <c r="P2487">
        <v>0</v>
      </c>
      <c r="Q2487">
        <v>1</v>
      </c>
      <c r="R2487" t="s">
        <v>32527</v>
      </c>
      <c r="S2487" t="s">
        <v>32552</v>
      </c>
      <c r="T2487" t="s">
        <v>33220</v>
      </c>
      <c r="U2487" t="s">
        <v>34688</v>
      </c>
      <c r="W2487" t="s">
        <v>29655</v>
      </c>
      <c r="X2487" t="s">
        <v>32532</v>
      </c>
    </row>
    <row r="2488" spans="1:24">
      <c r="A2488">
        <f>HYPERLINK("https://www.philgeps.gov.ph/GEPSNONPILOT/Tender/SplashBidNoticeAbstractUI.aspx?menuIndex=3&amp;refID=7039079&amp;Result=3","7039079")</f>
        <v>0</v>
      </c>
      <c r="B2488" t="s">
        <v>955</v>
      </c>
      <c r="C2488" t="s">
        <v>5061</v>
      </c>
      <c r="D2488" t="s">
        <v>13024</v>
      </c>
      <c r="E2488" t="s">
        <v>15337</v>
      </c>
      <c r="F2488" t="s">
        <v>22436</v>
      </c>
      <c r="G2488" t="s">
        <v>22443</v>
      </c>
      <c r="H2488" t="s">
        <v>22452</v>
      </c>
      <c r="I2488" t="s">
        <v>22456</v>
      </c>
      <c r="J2488" t="s">
        <v>23884</v>
      </c>
      <c r="K2488" t="s">
        <v>29357</v>
      </c>
      <c r="M2488" t="s">
        <v>30571</v>
      </c>
      <c r="N2488" t="s">
        <v>32524</v>
      </c>
      <c r="O2488" t="s">
        <v>32525</v>
      </c>
      <c r="P2488">
        <v>0</v>
      </c>
      <c r="Q2488">
        <v>0</v>
      </c>
      <c r="R2488" t="s">
        <v>32527</v>
      </c>
      <c r="S2488" t="s">
        <v>32552</v>
      </c>
      <c r="T2488" t="s">
        <v>33270</v>
      </c>
      <c r="U2488" t="s">
        <v>35746</v>
      </c>
      <c r="W2488" t="s">
        <v>30571</v>
      </c>
      <c r="X2488" t="s">
        <v>32532</v>
      </c>
    </row>
    <row r="2489" spans="1:24">
      <c r="A2489">
        <f>HYPERLINK("https://www.philgeps.gov.ph/GEPSNONPILOT/Tender/SplashBidNoticeAbstractUI.aspx?menuIndex=3&amp;refID=7039067&amp;Result=3","7039067")</f>
        <v>0</v>
      </c>
      <c r="B2489" t="s">
        <v>955</v>
      </c>
      <c r="C2489" t="s">
        <v>5062</v>
      </c>
      <c r="D2489" t="s">
        <v>13024</v>
      </c>
      <c r="E2489" t="s">
        <v>15338</v>
      </c>
      <c r="F2489" t="s">
        <v>22436</v>
      </c>
      <c r="G2489" t="s">
        <v>22443</v>
      </c>
      <c r="H2489" t="s">
        <v>22452</v>
      </c>
      <c r="I2489" t="s">
        <v>3027</v>
      </c>
      <c r="J2489" t="s">
        <v>24308</v>
      </c>
      <c r="K2489" t="s">
        <v>29357</v>
      </c>
      <c r="M2489" t="s">
        <v>30571</v>
      </c>
      <c r="N2489" t="s">
        <v>32524</v>
      </c>
      <c r="O2489" t="s">
        <v>32525</v>
      </c>
      <c r="P2489">
        <v>0</v>
      </c>
      <c r="Q2489">
        <v>0</v>
      </c>
      <c r="R2489" t="s">
        <v>32527</v>
      </c>
      <c r="S2489" t="s">
        <v>32552</v>
      </c>
      <c r="T2489" t="s">
        <v>33270</v>
      </c>
      <c r="U2489" t="s">
        <v>34832</v>
      </c>
      <c r="W2489" t="s">
        <v>30571</v>
      </c>
      <c r="X2489" t="s">
        <v>32532</v>
      </c>
    </row>
    <row r="2490" spans="1:24">
      <c r="A2490">
        <f>HYPERLINK("https://www.philgeps.gov.ph/GEPSNONPILOT/Tender/SplashBidNoticeAbstractUI.aspx?menuIndex=3&amp;refID=7039464&amp;Result=3","7039464")</f>
        <v>0</v>
      </c>
      <c r="B2490" t="s">
        <v>956</v>
      </c>
      <c r="C2490" t="s">
        <v>5063</v>
      </c>
      <c r="D2490" t="s">
        <v>13045</v>
      </c>
      <c r="E2490" t="s">
        <v>15339</v>
      </c>
      <c r="F2490" t="s">
        <v>22437</v>
      </c>
      <c r="G2490" t="s">
        <v>22444</v>
      </c>
      <c r="H2490" t="s">
        <v>22453</v>
      </c>
      <c r="I2490" t="s">
        <v>22457</v>
      </c>
      <c r="J2490" t="s">
        <v>24309</v>
      </c>
      <c r="K2490" t="s">
        <v>29332</v>
      </c>
      <c r="M2490" t="s">
        <v>30572</v>
      </c>
      <c r="N2490" t="s">
        <v>32524</v>
      </c>
      <c r="O2490" t="s">
        <v>32525</v>
      </c>
      <c r="P2490">
        <v>0</v>
      </c>
      <c r="Q2490">
        <v>1</v>
      </c>
      <c r="R2490" t="s">
        <v>32527</v>
      </c>
      <c r="S2490" t="s">
        <v>32552</v>
      </c>
      <c r="T2490" t="s">
        <v>33157</v>
      </c>
      <c r="U2490" t="s">
        <v>35747</v>
      </c>
      <c r="W2490" t="s">
        <v>30572</v>
      </c>
      <c r="X2490" t="s">
        <v>32532</v>
      </c>
    </row>
    <row r="2491" spans="1:24">
      <c r="A2491">
        <f>HYPERLINK("https://www.philgeps.gov.ph/GEPSNONPILOT/Tender/SplashBidNoticeAbstractUI.aspx?menuIndex=3&amp;refID=7040222&amp;Result=3","7040222")</f>
        <v>0</v>
      </c>
      <c r="B2491" t="s">
        <v>180</v>
      </c>
      <c r="C2491" t="s">
        <v>5056</v>
      </c>
      <c r="D2491" t="s">
        <v>13026</v>
      </c>
      <c r="E2491" t="s">
        <v>15340</v>
      </c>
      <c r="F2491" t="s">
        <v>22436</v>
      </c>
      <c r="G2491" t="s">
        <v>22443</v>
      </c>
      <c r="H2491" t="s">
        <v>22452</v>
      </c>
      <c r="I2491" t="s">
        <v>2962</v>
      </c>
      <c r="J2491" t="s">
        <v>24310</v>
      </c>
      <c r="K2491" t="s">
        <v>29331</v>
      </c>
      <c r="M2491" t="s">
        <v>29752</v>
      </c>
      <c r="N2491" t="s">
        <v>32524</v>
      </c>
      <c r="O2491" t="s">
        <v>32525</v>
      </c>
      <c r="P2491">
        <v>0</v>
      </c>
      <c r="Q2491">
        <v>0</v>
      </c>
      <c r="R2491" t="s">
        <v>32527</v>
      </c>
      <c r="S2491" t="s">
        <v>32552</v>
      </c>
      <c r="T2491" t="s">
        <v>33220</v>
      </c>
      <c r="U2491" t="s">
        <v>35748</v>
      </c>
      <c r="W2491" t="s">
        <v>29752</v>
      </c>
      <c r="X2491" t="s">
        <v>32532</v>
      </c>
    </row>
    <row r="2492" spans="1:24">
      <c r="A2492">
        <f>HYPERLINK("https://www.philgeps.gov.ph/GEPSNONPILOT/Tender/SplashBidNoticeAbstractUI.aspx?menuIndex=3&amp;refID=7040396&amp;Result=3","7040396")</f>
        <v>0</v>
      </c>
      <c r="B2492" t="s">
        <v>180</v>
      </c>
      <c r="C2492" t="s">
        <v>5064</v>
      </c>
      <c r="D2492" t="s">
        <v>13026</v>
      </c>
      <c r="E2492" t="s">
        <v>15341</v>
      </c>
      <c r="F2492" t="s">
        <v>22436</v>
      </c>
      <c r="G2492" t="s">
        <v>22443</v>
      </c>
      <c r="H2492" t="s">
        <v>22452</v>
      </c>
      <c r="I2492" t="s">
        <v>2962</v>
      </c>
      <c r="J2492" t="s">
        <v>24311</v>
      </c>
      <c r="K2492" t="s">
        <v>29331</v>
      </c>
      <c r="M2492" t="s">
        <v>29752</v>
      </c>
      <c r="N2492" t="s">
        <v>32524</v>
      </c>
      <c r="O2492" t="s">
        <v>32525</v>
      </c>
      <c r="P2492">
        <v>0</v>
      </c>
      <c r="Q2492">
        <v>0</v>
      </c>
      <c r="R2492" t="s">
        <v>32527</v>
      </c>
      <c r="S2492" t="s">
        <v>32552</v>
      </c>
      <c r="T2492" t="s">
        <v>33220</v>
      </c>
      <c r="U2492" t="s">
        <v>35749</v>
      </c>
      <c r="W2492" t="s">
        <v>29752</v>
      </c>
      <c r="X2492" t="s">
        <v>32532</v>
      </c>
    </row>
    <row r="2493" spans="1:24">
      <c r="A2493">
        <f>HYPERLINK("https://www.philgeps.gov.ph/GEPSNONPILOT/Tender/SplashBidNoticeAbstractUI.aspx?menuIndex=3&amp;refID=7039090&amp;Result=3","7039090")</f>
        <v>0</v>
      </c>
      <c r="B2493" t="s">
        <v>955</v>
      </c>
      <c r="C2493" t="s">
        <v>5065</v>
      </c>
      <c r="D2493" t="s">
        <v>13024</v>
      </c>
      <c r="E2493" t="s">
        <v>15342</v>
      </c>
      <c r="F2493" t="s">
        <v>22436</v>
      </c>
      <c r="G2493" t="s">
        <v>22443</v>
      </c>
      <c r="H2493" t="s">
        <v>22452</v>
      </c>
      <c r="I2493" t="s">
        <v>22467</v>
      </c>
      <c r="J2493" t="s">
        <v>24312</v>
      </c>
      <c r="K2493" t="s">
        <v>29357</v>
      </c>
      <c r="M2493" t="s">
        <v>30571</v>
      </c>
      <c r="N2493" t="s">
        <v>32524</v>
      </c>
      <c r="O2493" t="s">
        <v>32525</v>
      </c>
      <c r="P2493">
        <v>0</v>
      </c>
      <c r="Q2493">
        <v>0</v>
      </c>
      <c r="R2493" t="s">
        <v>32527</v>
      </c>
      <c r="S2493" t="s">
        <v>32552</v>
      </c>
      <c r="T2493" t="s">
        <v>33270</v>
      </c>
      <c r="U2493" t="s">
        <v>35750</v>
      </c>
      <c r="W2493" t="s">
        <v>30571</v>
      </c>
      <c r="X2493" t="s">
        <v>32532</v>
      </c>
    </row>
    <row r="2494" spans="1:24">
      <c r="A2494">
        <f>HYPERLINK("https://www.philgeps.gov.ph/GEPSNONPILOT/Tender/SplashBidNoticeAbstractUI.aspx?menuIndex=3&amp;refID=7040960&amp;Result=3","7040960")</f>
        <v>0</v>
      </c>
      <c r="B2494" t="s">
        <v>957</v>
      </c>
      <c r="C2494" t="s">
        <v>5066</v>
      </c>
      <c r="D2494" t="s">
        <v>13028</v>
      </c>
      <c r="E2494" t="s">
        <v>15343</v>
      </c>
      <c r="F2494" t="s">
        <v>22436</v>
      </c>
      <c r="G2494" t="s">
        <v>22444</v>
      </c>
      <c r="H2494" t="s">
        <v>22454</v>
      </c>
      <c r="I2494" t="s">
        <v>22501</v>
      </c>
      <c r="J2494" t="s">
        <v>24313</v>
      </c>
      <c r="K2494" t="s">
        <v>29344</v>
      </c>
      <c r="M2494" t="s">
        <v>30573</v>
      </c>
      <c r="N2494" t="s">
        <v>32524</v>
      </c>
      <c r="O2494" t="s">
        <v>32525</v>
      </c>
      <c r="P2494">
        <v>0</v>
      </c>
      <c r="Q2494">
        <v>3</v>
      </c>
      <c r="R2494" t="s">
        <v>32527</v>
      </c>
      <c r="S2494" t="s">
        <v>32552</v>
      </c>
      <c r="T2494" t="s">
        <v>33170</v>
      </c>
      <c r="U2494" t="s">
        <v>35751</v>
      </c>
      <c r="V2494" t="s">
        <v>42656</v>
      </c>
      <c r="W2494" t="s">
        <v>30573</v>
      </c>
      <c r="X2494" t="s">
        <v>32532</v>
      </c>
    </row>
    <row r="2495" spans="1:24">
      <c r="A2495">
        <f>HYPERLINK("https://www.philgeps.gov.ph/GEPSNONPILOT/Tender/SplashBidNoticeAbstractUI.aspx?menuIndex=3&amp;refID=7040286&amp;Result=3","7040286")</f>
        <v>0</v>
      </c>
      <c r="B2495" t="s">
        <v>180</v>
      </c>
      <c r="C2495" t="s">
        <v>5067</v>
      </c>
      <c r="D2495" t="s">
        <v>13026</v>
      </c>
      <c r="E2495" t="s">
        <v>15344</v>
      </c>
      <c r="F2495" t="s">
        <v>22436</v>
      </c>
      <c r="G2495" t="s">
        <v>22443</v>
      </c>
      <c r="H2495" t="s">
        <v>22452</v>
      </c>
      <c r="I2495" t="s">
        <v>2962</v>
      </c>
      <c r="J2495" t="s">
        <v>24314</v>
      </c>
      <c r="K2495" t="s">
        <v>29331</v>
      </c>
      <c r="M2495" t="s">
        <v>29752</v>
      </c>
      <c r="N2495" t="s">
        <v>32524</v>
      </c>
      <c r="O2495" t="s">
        <v>32525</v>
      </c>
      <c r="P2495">
        <v>0</v>
      </c>
      <c r="Q2495">
        <v>0</v>
      </c>
      <c r="R2495" t="s">
        <v>32527</v>
      </c>
      <c r="S2495" t="s">
        <v>32552</v>
      </c>
      <c r="T2495" t="s">
        <v>33220</v>
      </c>
      <c r="U2495" t="s">
        <v>35752</v>
      </c>
      <c r="W2495" t="s">
        <v>29752</v>
      </c>
      <c r="X2495" t="s">
        <v>32532</v>
      </c>
    </row>
    <row r="2496" spans="1:24">
      <c r="A2496">
        <f>HYPERLINK("https://www.philgeps.gov.ph/GEPSNONPILOT/Tender/SplashBidNoticeAbstractUI.aspx?menuIndex=3&amp;refID=7040403&amp;Result=3","7040403")</f>
        <v>0</v>
      </c>
      <c r="B2496" t="s">
        <v>947</v>
      </c>
      <c r="C2496" t="s">
        <v>5068</v>
      </c>
      <c r="D2496" t="s">
        <v>13041</v>
      </c>
      <c r="E2496" t="s">
        <v>15345</v>
      </c>
      <c r="F2496" t="s">
        <v>22436</v>
      </c>
      <c r="G2496" t="s">
        <v>22444</v>
      </c>
      <c r="H2496" t="s">
        <v>22454</v>
      </c>
      <c r="I2496" t="s">
        <v>7738</v>
      </c>
      <c r="J2496" t="s">
        <v>24315</v>
      </c>
      <c r="K2496" t="s">
        <v>29427</v>
      </c>
      <c r="M2496" t="s">
        <v>30561</v>
      </c>
      <c r="N2496" t="s">
        <v>32524</v>
      </c>
      <c r="O2496" t="s">
        <v>32525</v>
      </c>
      <c r="P2496">
        <v>0</v>
      </c>
      <c r="Q2496">
        <v>0</v>
      </c>
      <c r="R2496" t="s">
        <v>32527</v>
      </c>
      <c r="S2496" t="s">
        <v>32552</v>
      </c>
      <c r="T2496" t="s">
        <v>33228</v>
      </c>
      <c r="U2496" t="s">
        <v>35712</v>
      </c>
      <c r="W2496" t="s">
        <v>30561</v>
      </c>
      <c r="X2496" t="s">
        <v>32532</v>
      </c>
    </row>
    <row r="2497" spans="1:24">
      <c r="A2497">
        <f>HYPERLINK("https://www.philgeps.gov.ph/GEPSNONPILOT/Tender/SplashBidNoticeAbstractUI.aspx?menuIndex=3&amp;refID=7040475&amp;Result=3","7040475")</f>
        <v>0</v>
      </c>
      <c r="B2497" t="s">
        <v>947</v>
      </c>
      <c r="C2497" t="s">
        <v>5069</v>
      </c>
      <c r="D2497" t="s">
        <v>13041</v>
      </c>
      <c r="E2497" t="s">
        <v>15346</v>
      </c>
      <c r="F2497" t="s">
        <v>22436</v>
      </c>
      <c r="G2497" t="s">
        <v>22444</v>
      </c>
      <c r="H2497" t="s">
        <v>22454</v>
      </c>
      <c r="I2497" t="s">
        <v>7738</v>
      </c>
      <c r="J2497" t="s">
        <v>22605</v>
      </c>
      <c r="K2497" t="s">
        <v>29352</v>
      </c>
      <c r="M2497" t="s">
        <v>30561</v>
      </c>
      <c r="N2497" t="s">
        <v>32524</v>
      </c>
      <c r="O2497" t="s">
        <v>32525</v>
      </c>
      <c r="P2497">
        <v>0</v>
      </c>
      <c r="Q2497">
        <v>0</v>
      </c>
      <c r="R2497" t="s">
        <v>32527</v>
      </c>
      <c r="S2497" t="s">
        <v>32552</v>
      </c>
      <c r="T2497" t="s">
        <v>33228</v>
      </c>
      <c r="U2497" t="s">
        <v>35712</v>
      </c>
      <c r="W2497" t="s">
        <v>30561</v>
      </c>
      <c r="X2497" t="s">
        <v>32532</v>
      </c>
    </row>
    <row r="2498" spans="1:24">
      <c r="A2498">
        <f>HYPERLINK("https://www.philgeps.gov.ph/GEPSNONPILOT/Tender/SplashBidNoticeAbstractUI.aspx?menuIndex=3&amp;refID=7040312&amp;Result=3","7040312")</f>
        <v>0</v>
      </c>
      <c r="B2498" t="s">
        <v>180</v>
      </c>
      <c r="C2498" t="s">
        <v>5056</v>
      </c>
      <c r="D2498" t="s">
        <v>13026</v>
      </c>
      <c r="E2498" t="s">
        <v>15347</v>
      </c>
      <c r="F2498" t="s">
        <v>22436</v>
      </c>
      <c r="G2498" t="s">
        <v>22443</v>
      </c>
      <c r="H2498" t="s">
        <v>22452</v>
      </c>
      <c r="I2498" t="s">
        <v>2962</v>
      </c>
      <c r="J2498" t="s">
        <v>24316</v>
      </c>
      <c r="K2498" t="s">
        <v>29331</v>
      </c>
      <c r="M2498" t="s">
        <v>29752</v>
      </c>
      <c r="N2498" t="s">
        <v>32524</v>
      </c>
      <c r="O2498" t="s">
        <v>32525</v>
      </c>
      <c r="P2498">
        <v>0</v>
      </c>
      <c r="Q2498">
        <v>0</v>
      </c>
      <c r="R2498" t="s">
        <v>32527</v>
      </c>
      <c r="S2498" t="s">
        <v>32552</v>
      </c>
      <c r="T2498" t="s">
        <v>33220</v>
      </c>
      <c r="U2498" t="s">
        <v>35753</v>
      </c>
      <c r="W2498" t="s">
        <v>29752</v>
      </c>
      <c r="X2498" t="s">
        <v>32532</v>
      </c>
    </row>
    <row r="2499" spans="1:24">
      <c r="A2499">
        <f>HYPERLINK("https://www.philgeps.gov.ph/GEPSNONPILOT/Tender/SplashBidNoticeAbstractUI.aspx?menuIndex=3&amp;refID=7040373&amp;Result=3","7040373")</f>
        <v>0</v>
      </c>
      <c r="B2499" t="s">
        <v>947</v>
      </c>
      <c r="C2499" t="s">
        <v>5070</v>
      </c>
      <c r="D2499" t="s">
        <v>13041</v>
      </c>
      <c r="E2499" t="s">
        <v>15348</v>
      </c>
      <c r="F2499" t="s">
        <v>22436</v>
      </c>
      <c r="G2499" t="s">
        <v>22444</v>
      </c>
      <c r="H2499" t="s">
        <v>22454</v>
      </c>
      <c r="I2499" t="s">
        <v>7738</v>
      </c>
      <c r="J2499" t="s">
        <v>24317</v>
      </c>
      <c r="K2499" t="s">
        <v>29411</v>
      </c>
      <c r="M2499" t="s">
        <v>30561</v>
      </c>
      <c r="N2499" t="s">
        <v>32524</v>
      </c>
      <c r="O2499" t="s">
        <v>32525</v>
      </c>
      <c r="P2499">
        <v>0</v>
      </c>
      <c r="Q2499">
        <v>0</v>
      </c>
      <c r="R2499" t="s">
        <v>32527</v>
      </c>
      <c r="S2499" t="s">
        <v>32552</v>
      </c>
      <c r="T2499" t="s">
        <v>33228</v>
      </c>
      <c r="U2499" t="s">
        <v>35712</v>
      </c>
      <c r="W2499" t="s">
        <v>30561</v>
      </c>
      <c r="X2499" t="s">
        <v>32532</v>
      </c>
    </row>
    <row r="2500" spans="1:24">
      <c r="A2500">
        <f>HYPERLINK("https://www.philgeps.gov.ph/GEPSNONPILOT/Tender/SplashBidNoticeAbstractUI.aspx?menuIndex=3&amp;refID=7040331&amp;Result=3","7040331")</f>
        <v>0</v>
      </c>
      <c r="B2500" t="s">
        <v>958</v>
      </c>
      <c r="C2500" t="s">
        <v>5071</v>
      </c>
      <c r="E2500" t="s">
        <v>15349</v>
      </c>
      <c r="F2500" t="s">
        <v>22436</v>
      </c>
      <c r="G2500" t="s">
        <v>22444</v>
      </c>
      <c r="H2500" t="s">
        <v>22454</v>
      </c>
      <c r="I2500" t="s">
        <v>7738</v>
      </c>
      <c r="J2500" t="s">
        <v>24318</v>
      </c>
      <c r="K2500" t="s">
        <v>29338</v>
      </c>
      <c r="M2500" t="s">
        <v>30574</v>
      </c>
      <c r="N2500" t="s">
        <v>32524</v>
      </c>
      <c r="O2500" t="s">
        <v>32525</v>
      </c>
      <c r="P2500">
        <v>0</v>
      </c>
      <c r="Q2500">
        <v>3</v>
      </c>
      <c r="R2500" t="s">
        <v>32527</v>
      </c>
      <c r="S2500" t="s">
        <v>32552</v>
      </c>
      <c r="T2500" t="s">
        <v>33164</v>
      </c>
      <c r="U2500" t="s">
        <v>35754</v>
      </c>
      <c r="W2500" t="s">
        <v>30574</v>
      </c>
      <c r="X2500" t="s">
        <v>32532</v>
      </c>
    </row>
    <row r="2501" spans="1:24">
      <c r="A2501">
        <f>HYPERLINK("https://www.philgeps.gov.ph/GEPSNONPILOT/Tender/SplashBidNoticeAbstractUI.aspx?menuIndex=3&amp;refID=7041014&amp;Result=3","7041014")</f>
        <v>0</v>
      </c>
      <c r="B2501" t="s">
        <v>959</v>
      </c>
      <c r="C2501" t="s">
        <v>5072</v>
      </c>
      <c r="D2501" t="s">
        <v>13039</v>
      </c>
      <c r="E2501" t="s">
        <v>15350</v>
      </c>
      <c r="F2501" t="s">
        <v>22436</v>
      </c>
      <c r="G2501" t="s">
        <v>22444</v>
      </c>
      <c r="H2501" t="s">
        <v>22454</v>
      </c>
      <c r="I2501" t="s">
        <v>7738</v>
      </c>
      <c r="J2501" t="s">
        <v>22640</v>
      </c>
      <c r="K2501" t="s">
        <v>29333</v>
      </c>
      <c r="M2501" t="s">
        <v>30575</v>
      </c>
      <c r="N2501" t="s">
        <v>32524</v>
      </c>
      <c r="O2501" t="s">
        <v>32525</v>
      </c>
      <c r="P2501">
        <v>0</v>
      </c>
      <c r="Q2501">
        <v>0</v>
      </c>
      <c r="R2501" t="s">
        <v>32527</v>
      </c>
      <c r="S2501" t="s">
        <v>32552</v>
      </c>
      <c r="T2501" t="s">
        <v>33203</v>
      </c>
      <c r="U2501" t="s">
        <v>35755</v>
      </c>
      <c r="W2501" t="s">
        <v>30575</v>
      </c>
      <c r="X2501" t="s">
        <v>32531</v>
      </c>
    </row>
    <row r="2502" spans="1:24">
      <c r="A2502">
        <f>HYPERLINK("https://www.philgeps.gov.ph/GEPSNONPILOT/Tender/SplashBidNoticeAbstractUI.aspx?menuIndex=3&amp;refID=7040516&amp;Result=3","7040516")</f>
        <v>0</v>
      </c>
      <c r="B2502" t="s">
        <v>947</v>
      </c>
      <c r="C2502" t="s">
        <v>5073</v>
      </c>
      <c r="D2502" t="s">
        <v>13041</v>
      </c>
      <c r="E2502" t="s">
        <v>15351</v>
      </c>
      <c r="F2502" t="s">
        <v>22436</v>
      </c>
      <c r="G2502" t="s">
        <v>22444</v>
      </c>
      <c r="H2502" t="s">
        <v>22454</v>
      </c>
      <c r="I2502" t="s">
        <v>7738</v>
      </c>
      <c r="J2502" t="s">
        <v>24319</v>
      </c>
      <c r="K2502" t="s">
        <v>29337</v>
      </c>
      <c r="M2502" t="s">
        <v>30561</v>
      </c>
      <c r="N2502" t="s">
        <v>32524</v>
      </c>
      <c r="O2502" t="s">
        <v>32525</v>
      </c>
      <c r="P2502">
        <v>0</v>
      </c>
      <c r="Q2502">
        <v>0</v>
      </c>
      <c r="R2502" t="s">
        <v>32527</v>
      </c>
      <c r="S2502" t="s">
        <v>32552</v>
      </c>
      <c r="T2502" t="s">
        <v>33228</v>
      </c>
      <c r="U2502" t="s">
        <v>35712</v>
      </c>
      <c r="W2502" t="s">
        <v>30561</v>
      </c>
      <c r="X2502" t="s">
        <v>32532</v>
      </c>
    </row>
    <row r="2503" spans="1:24">
      <c r="A2503">
        <f>HYPERLINK("https://www.philgeps.gov.ph/GEPSNONPILOT/Tender/SplashBidNoticeAbstractUI.aspx?menuIndex=3&amp;refID=7041105&amp;Result=3","7041105")</f>
        <v>0</v>
      </c>
      <c r="B2503" t="s">
        <v>46</v>
      </c>
      <c r="C2503" t="s">
        <v>5074</v>
      </c>
      <c r="D2503" t="s">
        <v>13006</v>
      </c>
      <c r="E2503" t="s">
        <v>15352</v>
      </c>
      <c r="F2503" t="s">
        <v>22436</v>
      </c>
      <c r="G2503" t="s">
        <v>22444</v>
      </c>
      <c r="H2503" t="s">
        <v>22452</v>
      </c>
      <c r="I2503" t="s">
        <v>3840</v>
      </c>
      <c r="J2503" t="s">
        <v>24320</v>
      </c>
      <c r="K2503" t="s">
        <v>29330</v>
      </c>
      <c r="M2503" t="s">
        <v>30566</v>
      </c>
      <c r="N2503" t="s">
        <v>32524</v>
      </c>
      <c r="O2503" t="s">
        <v>32525</v>
      </c>
      <c r="P2503">
        <v>0</v>
      </c>
      <c r="Q2503">
        <v>0</v>
      </c>
      <c r="R2503" t="s">
        <v>32527</v>
      </c>
      <c r="S2503" t="s">
        <v>32552</v>
      </c>
      <c r="T2503" t="s">
        <v>33324</v>
      </c>
      <c r="U2503" t="s">
        <v>35756</v>
      </c>
      <c r="V2503" t="s">
        <v>42657</v>
      </c>
      <c r="W2503" t="s">
        <v>30566</v>
      </c>
      <c r="X2503" t="s">
        <v>32531</v>
      </c>
    </row>
    <row r="2504" spans="1:24">
      <c r="A2504">
        <f>HYPERLINK("https://www.philgeps.gov.ph/GEPSNONPILOT/Tender/SplashBidNoticeAbstractUI.aspx?menuIndex=3&amp;refID=7041056&amp;Result=3","7041056")</f>
        <v>0</v>
      </c>
      <c r="B2504" t="s">
        <v>960</v>
      </c>
      <c r="C2504" t="s">
        <v>5075</v>
      </c>
      <c r="D2504" t="s">
        <v>12990</v>
      </c>
      <c r="E2504" t="s">
        <v>15353</v>
      </c>
      <c r="F2504" t="s">
        <v>22436</v>
      </c>
      <c r="G2504" t="s">
        <v>22443</v>
      </c>
      <c r="H2504" t="s">
        <v>22452</v>
      </c>
      <c r="I2504" t="s">
        <v>22472</v>
      </c>
      <c r="J2504" t="s">
        <v>24321</v>
      </c>
      <c r="K2504" t="s">
        <v>29335</v>
      </c>
      <c r="M2504" t="s">
        <v>30576</v>
      </c>
      <c r="N2504" t="s">
        <v>32524</v>
      </c>
      <c r="O2504" t="s">
        <v>32525</v>
      </c>
      <c r="P2504">
        <v>0</v>
      </c>
      <c r="Q2504">
        <v>0</v>
      </c>
      <c r="R2504" t="s">
        <v>32527</v>
      </c>
      <c r="S2504" t="s">
        <v>32552</v>
      </c>
      <c r="T2504" t="s">
        <v>33235</v>
      </c>
      <c r="U2504" t="s">
        <v>35757</v>
      </c>
      <c r="W2504" t="s">
        <v>30576</v>
      </c>
      <c r="X2504" t="s">
        <v>32531</v>
      </c>
    </row>
    <row r="2505" spans="1:24">
      <c r="A2505">
        <f>HYPERLINK("https://www.philgeps.gov.ph/GEPSNONPILOT/Tender/SplashBidNoticeAbstractUI.aspx?menuIndex=3&amp;refID=7041099&amp;Result=3","7041099")</f>
        <v>0</v>
      </c>
      <c r="B2505" t="s">
        <v>961</v>
      </c>
      <c r="C2505" t="s">
        <v>5076</v>
      </c>
      <c r="D2505" t="s">
        <v>13045</v>
      </c>
      <c r="E2505" t="s">
        <v>15354</v>
      </c>
      <c r="F2505" t="s">
        <v>22436</v>
      </c>
      <c r="G2505" t="s">
        <v>22446</v>
      </c>
      <c r="H2505" t="s">
        <v>22452</v>
      </c>
      <c r="I2505" t="s">
        <v>22517</v>
      </c>
      <c r="J2505" t="s">
        <v>24322</v>
      </c>
      <c r="K2505" t="s">
        <v>29337</v>
      </c>
      <c r="M2505" t="s">
        <v>30577</v>
      </c>
      <c r="N2505" t="s">
        <v>32524</v>
      </c>
      <c r="O2505" t="s">
        <v>32525</v>
      </c>
      <c r="P2505">
        <v>0</v>
      </c>
      <c r="Q2505">
        <v>2</v>
      </c>
      <c r="R2505" t="s">
        <v>32527</v>
      </c>
      <c r="S2505" t="s">
        <v>32552</v>
      </c>
      <c r="T2505" t="s">
        <v>33220</v>
      </c>
      <c r="U2505" t="s">
        <v>35758</v>
      </c>
      <c r="W2505" t="s">
        <v>30577</v>
      </c>
      <c r="X2505" t="s">
        <v>32531</v>
      </c>
    </row>
    <row r="2506" spans="1:24">
      <c r="A2506">
        <f>HYPERLINK("https://www.philgeps.gov.ph/GEPSNONPILOT/Tender/SplashBidNoticeAbstractUI.aspx?menuIndex=3&amp;refID=7041098&amp;Result=3","7041098")</f>
        <v>0</v>
      </c>
      <c r="B2506" t="s">
        <v>46</v>
      </c>
      <c r="C2506" t="s">
        <v>5077</v>
      </c>
      <c r="D2506" t="s">
        <v>13006</v>
      </c>
      <c r="E2506" t="s">
        <v>15355</v>
      </c>
      <c r="F2506" t="s">
        <v>22436</v>
      </c>
      <c r="G2506" t="s">
        <v>22444</v>
      </c>
      <c r="H2506" t="s">
        <v>22452</v>
      </c>
      <c r="I2506" t="s">
        <v>6421</v>
      </c>
      <c r="J2506" t="s">
        <v>23485</v>
      </c>
      <c r="K2506" t="s">
        <v>29330</v>
      </c>
      <c r="M2506" t="s">
        <v>30566</v>
      </c>
      <c r="N2506" t="s">
        <v>32524</v>
      </c>
      <c r="O2506" t="s">
        <v>32525</v>
      </c>
      <c r="P2506">
        <v>0</v>
      </c>
      <c r="Q2506">
        <v>3</v>
      </c>
      <c r="R2506" t="s">
        <v>32527</v>
      </c>
      <c r="S2506" t="s">
        <v>32552</v>
      </c>
      <c r="T2506" t="s">
        <v>33324</v>
      </c>
      <c r="U2506" t="s">
        <v>35759</v>
      </c>
      <c r="V2506" t="s">
        <v>42657</v>
      </c>
      <c r="W2506" t="s">
        <v>30566</v>
      </c>
      <c r="X2506" t="s">
        <v>32531</v>
      </c>
    </row>
    <row r="2507" spans="1:24">
      <c r="A2507">
        <f>HYPERLINK("https://www.philgeps.gov.ph/GEPSNONPILOT/Tender/SplashBidNoticeAbstractUI.aspx?menuIndex=3&amp;refID=7041032&amp;Result=3","7041032")</f>
        <v>0</v>
      </c>
      <c r="B2507" t="s">
        <v>959</v>
      </c>
      <c r="C2507" t="s">
        <v>5078</v>
      </c>
      <c r="D2507" t="s">
        <v>13039</v>
      </c>
      <c r="E2507" t="s">
        <v>15356</v>
      </c>
      <c r="F2507" t="s">
        <v>22436</v>
      </c>
      <c r="G2507" t="s">
        <v>22444</v>
      </c>
      <c r="H2507" t="s">
        <v>22454</v>
      </c>
      <c r="I2507" t="s">
        <v>7738</v>
      </c>
      <c r="J2507" t="s">
        <v>22640</v>
      </c>
      <c r="K2507" t="s">
        <v>29333</v>
      </c>
      <c r="M2507" t="s">
        <v>30575</v>
      </c>
      <c r="N2507" t="s">
        <v>32524</v>
      </c>
      <c r="O2507" t="s">
        <v>32525</v>
      </c>
      <c r="P2507">
        <v>0</v>
      </c>
      <c r="Q2507">
        <v>0</v>
      </c>
      <c r="R2507" t="s">
        <v>32527</v>
      </c>
      <c r="S2507" t="s">
        <v>32552</v>
      </c>
      <c r="T2507" t="s">
        <v>33203</v>
      </c>
      <c r="U2507" t="s">
        <v>35755</v>
      </c>
      <c r="W2507" t="s">
        <v>30575</v>
      </c>
      <c r="X2507" t="s">
        <v>32531</v>
      </c>
    </row>
    <row r="2508" spans="1:24">
      <c r="A2508">
        <f>HYPERLINK("https://www.philgeps.gov.ph/GEPSNONPILOT/Tender/SplashBidNoticeAbstractUI.aspx?menuIndex=3&amp;refID=7041097&amp;Result=3","7041097")</f>
        <v>0</v>
      </c>
      <c r="B2508" t="s">
        <v>959</v>
      </c>
      <c r="C2508" t="s">
        <v>5079</v>
      </c>
      <c r="D2508" t="s">
        <v>13039</v>
      </c>
      <c r="E2508" t="s">
        <v>15357</v>
      </c>
      <c r="F2508" t="s">
        <v>22436</v>
      </c>
      <c r="G2508" t="s">
        <v>22444</v>
      </c>
      <c r="H2508" t="s">
        <v>22454</v>
      </c>
      <c r="I2508" t="s">
        <v>7738</v>
      </c>
      <c r="J2508" t="s">
        <v>22640</v>
      </c>
      <c r="K2508" t="s">
        <v>29333</v>
      </c>
      <c r="M2508" t="s">
        <v>30575</v>
      </c>
      <c r="N2508" t="s">
        <v>32524</v>
      </c>
      <c r="O2508" t="s">
        <v>32525</v>
      </c>
      <c r="P2508">
        <v>0</v>
      </c>
      <c r="Q2508">
        <v>0</v>
      </c>
      <c r="R2508" t="s">
        <v>32527</v>
      </c>
      <c r="S2508" t="s">
        <v>32552</v>
      </c>
      <c r="T2508" t="s">
        <v>33203</v>
      </c>
      <c r="U2508" t="s">
        <v>35755</v>
      </c>
      <c r="W2508" t="s">
        <v>30575</v>
      </c>
      <c r="X2508" t="s">
        <v>32531</v>
      </c>
    </row>
    <row r="2509" spans="1:24">
      <c r="A2509">
        <f>HYPERLINK("https://www.philgeps.gov.ph/GEPSNONPILOT/Tender/SplashBidNoticeAbstractUI.aspx?menuIndex=3&amp;refID=7041094&amp;Result=3","7041094")</f>
        <v>0</v>
      </c>
      <c r="B2509" t="s">
        <v>962</v>
      </c>
      <c r="C2509" t="s">
        <v>5080</v>
      </c>
      <c r="D2509" t="s">
        <v>13008</v>
      </c>
      <c r="E2509" t="s">
        <v>15358</v>
      </c>
      <c r="F2509" t="s">
        <v>22436</v>
      </c>
      <c r="G2509" t="s">
        <v>22444</v>
      </c>
      <c r="H2509" t="s">
        <v>22454</v>
      </c>
      <c r="I2509" t="s">
        <v>7738</v>
      </c>
      <c r="J2509" t="s">
        <v>22893</v>
      </c>
      <c r="K2509" t="s">
        <v>29333</v>
      </c>
      <c r="M2509" t="s">
        <v>30578</v>
      </c>
      <c r="N2509" t="s">
        <v>32524</v>
      </c>
      <c r="O2509" t="s">
        <v>32525</v>
      </c>
      <c r="P2509">
        <v>0</v>
      </c>
      <c r="Q2509">
        <v>0</v>
      </c>
      <c r="R2509" t="s">
        <v>32527</v>
      </c>
      <c r="S2509" t="s">
        <v>32552</v>
      </c>
      <c r="T2509" t="s">
        <v>33181</v>
      </c>
      <c r="U2509" t="s">
        <v>35760</v>
      </c>
      <c r="W2509" t="s">
        <v>30578</v>
      </c>
      <c r="X2509" t="s">
        <v>32531</v>
      </c>
    </row>
    <row r="2510" spans="1:24">
      <c r="A2510">
        <f>HYPERLINK("https://www.philgeps.gov.ph/GEPSNONPILOT/Tender/SplashBidNoticeAbstractUI.aspx?menuIndex=3&amp;refID=7040988&amp;Result=3","7040988")</f>
        <v>0</v>
      </c>
      <c r="B2510" t="s">
        <v>963</v>
      </c>
      <c r="C2510" t="s">
        <v>5081</v>
      </c>
      <c r="D2510" t="s">
        <v>13000</v>
      </c>
      <c r="E2510" t="s">
        <v>15057</v>
      </c>
      <c r="F2510" t="s">
        <v>22436</v>
      </c>
      <c r="G2510" t="s">
        <v>22444</v>
      </c>
      <c r="H2510" t="s">
        <v>22454</v>
      </c>
      <c r="I2510" t="s">
        <v>3529</v>
      </c>
      <c r="J2510" t="s">
        <v>22851</v>
      </c>
      <c r="K2510" t="s">
        <v>29336</v>
      </c>
      <c r="M2510" t="s">
        <v>30579</v>
      </c>
      <c r="N2510" t="s">
        <v>32524</v>
      </c>
      <c r="O2510" t="s">
        <v>32525</v>
      </c>
      <c r="P2510">
        <v>0</v>
      </c>
      <c r="Q2510">
        <v>0</v>
      </c>
      <c r="R2510" t="s">
        <v>32527</v>
      </c>
      <c r="S2510" t="s">
        <v>32552</v>
      </c>
      <c r="T2510" t="s">
        <v>33206</v>
      </c>
      <c r="U2510" t="s">
        <v>35761</v>
      </c>
      <c r="W2510" t="s">
        <v>30579</v>
      </c>
      <c r="X2510" t="s">
        <v>32531</v>
      </c>
    </row>
    <row r="2511" spans="1:24">
      <c r="A2511">
        <f>HYPERLINK("https://www.philgeps.gov.ph/GEPSNONPILOT/Tender/SplashBidNoticeAbstractUI.aspx?menuIndex=3&amp;refID=7041102&amp;Result=3","7041102")</f>
        <v>0</v>
      </c>
      <c r="B2511" t="s">
        <v>964</v>
      </c>
      <c r="C2511" t="s">
        <v>5082</v>
      </c>
      <c r="D2511" t="s">
        <v>13039</v>
      </c>
      <c r="E2511" t="s">
        <v>15359</v>
      </c>
      <c r="F2511" t="s">
        <v>22436</v>
      </c>
      <c r="G2511" t="s">
        <v>22446</v>
      </c>
      <c r="H2511" t="s">
        <v>22452</v>
      </c>
      <c r="I2511" t="s">
        <v>22471</v>
      </c>
      <c r="J2511" t="s">
        <v>22605</v>
      </c>
      <c r="K2511" t="s">
        <v>29335</v>
      </c>
      <c r="M2511" t="s">
        <v>30580</v>
      </c>
      <c r="N2511" t="s">
        <v>32524</v>
      </c>
      <c r="O2511" t="s">
        <v>32525</v>
      </c>
      <c r="P2511">
        <v>0</v>
      </c>
      <c r="Q2511">
        <v>3</v>
      </c>
      <c r="R2511" t="s">
        <v>32527</v>
      </c>
      <c r="S2511" t="s">
        <v>32552</v>
      </c>
      <c r="T2511" t="s">
        <v>33270</v>
      </c>
      <c r="U2511" t="s">
        <v>35762</v>
      </c>
      <c r="W2511" t="s">
        <v>30580</v>
      </c>
      <c r="X2511" t="s">
        <v>32531</v>
      </c>
    </row>
    <row r="2512" spans="1:24">
      <c r="A2512">
        <f>HYPERLINK("https://www.philgeps.gov.ph/GEPSNONPILOT/Tender/SplashBidNoticeAbstractUI.aspx?menuIndex=3&amp;refID=7041031&amp;Result=3","7041031")</f>
        <v>0</v>
      </c>
      <c r="B2512" t="s">
        <v>652</v>
      </c>
      <c r="C2512" t="s">
        <v>5083</v>
      </c>
      <c r="D2512" t="s">
        <v>13040</v>
      </c>
      <c r="E2512" t="s">
        <v>15360</v>
      </c>
      <c r="F2512" t="s">
        <v>22436</v>
      </c>
      <c r="G2512" t="s">
        <v>22444</v>
      </c>
      <c r="H2512" t="s">
        <v>22454</v>
      </c>
      <c r="I2512" t="s">
        <v>7738</v>
      </c>
      <c r="J2512" t="s">
        <v>24323</v>
      </c>
      <c r="K2512" t="s">
        <v>29429</v>
      </c>
      <c r="M2512" t="s">
        <v>30244</v>
      </c>
      <c r="N2512" t="s">
        <v>32524</v>
      </c>
      <c r="O2512" t="s">
        <v>32525</v>
      </c>
      <c r="P2512">
        <v>0</v>
      </c>
      <c r="Q2512">
        <v>0</v>
      </c>
      <c r="R2512" t="s">
        <v>32527</v>
      </c>
      <c r="S2512" t="s">
        <v>32552</v>
      </c>
      <c r="T2512" t="s">
        <v>33159</v>
      </c>
      <c r="U2512" t="s">
        <v>35763</v>
      </c>
      <c r="W2512" t="s">
        <v>30244</v>
      </c>
      <c r="X2512" t="s">
        <v>32531</v>
      </c>
    </row>
    <row r="2513" spans="1:24">
      <c r="A2513">
        <f>HYPERLINK("https://www.philgeps.gov.ph/GEPSNONPILOT/Tender/SplashBidNoticeAbstractUI.aspx?menuIndex=3&amp;refID=7041086&amp;Result=3","7041086")</f>
        <v>0</v>
      </c>
      <c r="B2513" t="s">
        <v>965</v>
      </c>
      <c r="C2513" t="s">
        <v>5084</v>
      </c>
      <c r="D2513" t="s">
        <v>13068</v>
      </c>
      <c r="E2513" t="s">
        <v>15361</v>
      </c>
      <c r="F2513" t="s">
        <v>22436</v>
      </c>
      <c r="G2513" t="s">
        <v>22446</v>
      </c>
      <c r="H2513" t="s">
        <v>22452</v>
      </c>
      <c r="I2513" t="s">
        <v>22487</v>
      </c>
      <c r="J2513" t="s">
        <v>24324</v>
      </c>
      <c r="K2513" t="s">
        <v>29341</v>
      </c>
      <c r="M2513" t="s">
        <v>30581</v>
      </c>
      <c r="N2513" t="s">
        <v>32524</v>
      </c>
      <c r="O2513" t="s">
        <v>32525</v>
      </c>
      <c r="P2513">
        <v>0</v>
      </c>
      <c r="Q2513">
        <v>1</v>
      </c>
      <c r="R2513" t="s">
        <v>32527</v>
      </c>
      <c r="S2513" t="s">
        <v>32552</v>
      </c>
      <c r="T2513" t="s">
        <v>33365</v>
      </c>
      <c r="U2513" t="s">
        <v>35764</v>
      </c>
      <c r="V2513" t="s">
        <v>42658</v>
      </c>
      <c r="W2513" t="s">
        <v>30581</v>
      </c>
      <c r="X2513" t="s">
        <v>32531</v>
      </c>
    </row>
    <row r="2514" spans="1:24">
      <c r="A2514">
        <f>HYPERLINK("https://www.philgeps.gov.ph/GEPSNONPILOT/Tender/SplashBidNoticeAbstractUI.aspx?menuIndex=3&amp;refID=7041084&amp;Result=3","7041084")</f>
        <v>0</v>
      </c>
      <c r="B2514" t="s">
        <v>46</v>
      </c>
      <c r="C2514" t="s">
        <v>5085</v>
      </c>
      <c r="D2514" t="s">
        <v>13006</v>
      </c>
      <c r="E2514" t="s">
        <v>15362</v>
      </c>
      <c r="F2514" t="s">
        <v>22436</v>
      </c>
      <c r="G2514" t="s">
        <v>22444</v>
      </c>
      <c r="H2514" t="s">
        <v>22452</v>
      </c>
      <c r="I2514" t="s">
        <v>6421</v>
      </c>
      <c r="J2514" t="s">
        <v>24159</v>
      </c>
      <c r="K2514" t="s">
        <v>29330</v>
      </c>
      <c r="M2514" t="s">
        <v>30566</v>
      </c>
      <c r="N2514" t="s">
        <v>32524</v>
      </c>
      <c r="O2514" t="s">
        <v>32525</v>
      </c>
      <c r="P2514">
        <v>0</v>
      </c>
      <c r="Q2514">
        <v>1</v>
      </c>
      <c r="R2514" t="s">
        <v>32527</v>
      </c>
      <c r="S2514" t="s">
        <v>32552</v>
      </c>
      <c r="T2514" t="s">
        <v>33324</v>
      </c>
      <c r="U2514" t="s">
        <v>35765</v>
      </c>
      <c r="V2514" t="s">
        <v>42657</v>
      </c>
      <c r="W2514" t="s">
        <v>30566</v>
      </c>
      <c r="X2514" t="s">
        <v>32531</v>
      </c>
    </row>
    <row r="2515" spans="1:24">
      <c r="A2515">
        <f>HYPERLINK("https://www.philgeps.gov.ph/GEPSNONPILOT/Tender/SplashBidNoticeAbstractUI.aspx?menuIndex=3&amp;refID=7041073&amp;Result=3","7041073")</f>
        <v>0</v>
      </c>
      <c r="B2515" t="s">
        <v>46</v>
      </c>
      <c r="C2515" t="s">
        <v>5086</v>
      </c>
      <c r="D2515" t="s">
        <v>13006</v>
      </c>
      <c r="E2515" t="s">
        <v>15363</v>
      </c>
      <c r="F2515" t="s">
        <v>22436</v>
      </c>
      <c r="G2515" t="s">
        <v>22444</v>
      </c>
      <c r="H2515" t="s">
        <v>22452</v>
      </c>
      <c r="I2515" t="s">
        <v>22460</v>
      </c>
      <c r="J2515" t="s">
        <v>24325</v>
      </c>
      <c r="K2515" t="s">
        <v>29330</v>
      </c>
      <c r="M2515" t="s">
        <v>30566</v>
      </c>
      <c r="N2515" t="s">
        <v>32524</v>
      </c>
      <c r="O2515" t="s">
        <v>32525</v>
      </c>
      <c r="P2515">
        <v>0</v>
      </c>
      <c r="Q2515">
        <v>0</v>
      </c>
      <c r="R2515" t="s">
        <v>32527</v>
      </c>
      <c r="S2515" t="s">
        <v>32552</v>
      </c>
      <c r="T2515" t="s">
        <v>33324</v>
      </c>
      <c r="U2515" t="s">
        <v>35766</v>
      </c>
      <c r="V2515" t="s">
        <v>42659</v>
      </c>
      <c r="W2515" t="s">
        <v>30566</v>
      </c>
      <c r="X2515" t="s">
        <v>32531</v>
      </c>
    </row>
    <row r="2516" spans="1:24">
      <c r="A2516">
        <f>HYPERLINK("https://www.philgeps.gov.ph/GEPSNONPILOT/Tender/SplashBidNoticeAbstractUI.aspx?menuIndex=3&amp;refID=7041115&amp;Result=3","7041115")</f>
        <v>0</v>
      </c>
      <c r="B2516" t="s">
        <v>966</v>
      </c>
      <c r="C2516" t="s">
        <v>5087</v>
      </c>
      <c r="D2516" t="s">
        <v>12996</v>
      </c>
      <c r="E2516" t="s">
        <v>14196</v>
      </c>
      <c r="F2516" t="s">
        <v>22436</v>
      </c>
      <c r="G2516" t="s">
        <v>22444</v>
      </c>
      <c r="H2516" t="s">
        <v>22452</v>
      </c>
      <c r="I2516" t="s">
        <v>22474</v>
      </c>
      <c r="J2516" t="s">
        <v>22654</v>
      </c>
      <c r="K2516" t="s">
        <v>29341</v>
      </c>
      <c r="M2516" t="s">
        <v>30582</v>
      </c>
      <c r="N2516" t="s">
        <v>32524</v>
      </c>
      <c r="O2516" t="s">
        <v>32525</v>
      </c>
      <c r="P2516">
        <v>0</v>
      </c>
      <c r="Q2516">
        <v>1</v>
      </c>
      <c r="R2516" t="s">
        <v>32527</v>
      </c>
      <c r="S2516" t="s">
        <v>32552</v>
      </c>
      <c r="T2516" t="s">
        <v>33230</v>
      </c>
      <c r="U2516" t="s">
        <v>35767</v>
      </c>
      <c r="W2516" t="s">
        <v>30582</v>
      </c>
      <c r="X2516" t="s">
        <v>32531</v>
      </c>
    </row>
    <row r="2517" spans="1:24">
      <c r="A2517">
        <f>HYPERLINK("https://www.philgeps.gov.ph/GEPSNONPILOT/Tender/SplashBidNoticeAbstractUI.aspx?menuIndex=3&amp;refID=7041068&amp;Result=3","7041068")</f>
        <v>0</v>
      </c>
      <c r="B2517" t="s">
        <v>46</v>
      </c>
      <c r="C2517" t="s">
        <v>5088</v>
      </c>
      <c r="D2517" t="s">
        <v>13006</v>
      </c>
      <c r="E2517" t="s">
        <v>15364</v>
      </c>
      <c r="F2517" t="s">
        <v>22436</v>
      </c>
      <c r="G2517" t="s">
        <v>22444</v>
      </c>
      <c r="H2517" t="s">
        <v>22452</v>
      </c>
      <c r="I2517" t="s">
        <v>22464</v>
      </c>
      <c r="J2517" t="s">
        <v>24326</v>
      </c>
      <c r="K2517" t="s">
        <v>29334</v>
      </c>
      <c r="M2517" t="s">
        <v>30583</v>
      </c>
      <c r="N2517" t="s">
        <v>32524</v>
      </c>
      <c r="O2517" t="s">
        <v>32525</v>
      </c>
      <c r="P2517">
        <v>0</v>
      </c>
      <c r="Q2517">
        <v>0</v>
      </c>
      <c r="R2517" t="s">
        <v>32527</v>
      </c>
      <c r="S2517" t="s">
        <v>32552</v>
      </c>
      <c r="T2517" t="s">
        <v>33366</v>
      </c>
      <c r="U2517" t="s">
        <v>35768</v>
      </c>
      <c r="V2517" t="s">
        <v>42657</v>
      </c>
      <c r="W2517" t="s">
        <v>30583</v>
      </c>
      <c r="X2517" t="s">
        <v>32531</v>
      </c>
    </row>
    <row r="2518" spans="1:24">
      <c r="A2518">
        <f>HYPERLINK("https://www.philgeps.gov.ph/GEPSNONPILOT/Tender/SplashBidNoticeAbstractUI.aspx?menuIndex=3&amp;refID=7041114&amp;Result=3","7041114")</f>
        <v>0</v>
      </c>
      <c r="B2518" t="s">
        <v>46</v>
      </c>
      <c r="C2518" t="s">
        <v>5089</v>
      </c>
      <c r="D2518" t="s">
        <v>13006</v>
      </c>
      <c r="E2518" t="s">
        <v>15365</v>
      </c>
      <c r="F2518" t="s">
        <v>22436</v>
      </c>
      <c r="G2518" t="s">
        <v>22444</v>
      </c>
      <c r="H2518" t="s">
        <v>22452</v>
      </c>
      <c r="I2518" t="s">
        <v>22502</v>
      </c>
      <c r="J2518" t="s">
        <v>24061</v>
      </c>
      <c r="K2518" t="s">
        <v>29330</v>
      </c>
      <c r="M2518" t="s">
        <v>30566</v>
      </c>
      <c r="N2518" t="s">
        <v>32524</v>
      </c>
      <c r="O2518" t="s">
        <v>32525</v>
      </c>
      <c r="P2518">
        <v>0</v>
      </c>
      <c r="Q2518">
        <v>4</v>
      </c>
      <c r="R2518" t="s">
        <v>32527</v>
      </c>
      <c r="S2518" t="s">
        <v>32552</v>
      </c>
      <c r="T2518" t="s">
        <v>33324</v>
      </c>
      <c r="U2518" t="s">
        <v>35769</v>
      </c>
      <c r="V2518" t="s">
        <v>42657</v>
      </c>
      <c r="W2518" t="s">
        <v>30566</v>
      </c>
      <c r="X2518" t="s">
        <v>32531</v>
      </c>
    </row>
    <row r="2519" spans="1:24">
      <c r="A2519">
        <f>HYPERLINK("https://www.philgeps.gov.ph/GEPSNONPILOT/Tender/SplashBidNoticeAbstractUI.aspx?menuIndex=3&amp;refID=7041058&amp;Result=3","7041058")</f>
        <v>0</v>
      </c>
      <c r="B2519" t="s">
        <v>959</v>
      </c>
      <c r="C2519" t="s">
        <v>5090</v>
      </c>
      <c r="D2519" t="s">
        <v>13039</v>
      </c>
      <c r="E2519" t="s">
        <v>15366</v>
      </c>
      <c r="F2519" t="s">
        <v>22436</v>
      </c>
      <c r="G2519" t="s">
        <v>22444</v>
      </c>
      <c r="H2519" t="s">
        <v>22454</v>
      </c>
      <c r="I2519" t="s">
        <v>7738</v>
      </c>
      <c r="J2519" t="s">
        <v>24327</v>
      </c>
      <c r="K2519" t="s">
        <v>29430</v>
      </c>
      <c r="M2519" t="s">
        <v>30575</v>
      </c>
      <c r="N2519" t="s">
        <v>32524</v>
      </c>
      <c r="O2519" t="s">
        <v>32525</v>
      </c>
      <c r="P2519">
        <v>0</v>
      </c>
      <c r="Q2519">
        <v>0</v>
      </c>
      <c r="R2519" t="s">
        <v>32527</v>
      </c>
      <c r="S2519" t="s">
        <v>32552</v>
      </c>
      <c r="T2519" t="s">
        <v>33203</v>
      </c>
      <c r="U2519" t="s">
        <v>35755</v>
      </c>
      <c r="W2519" t="s">
        <v>30575</v>
      </c>
      <c r="X2519" t="s">
        <v>32531</v>
      </c>
    </row>
    <row r="2520" spans="1:24">
      <c r="A2520">
        <f>HYPERLINK("https://www.philgeps.gov.ph/GEPSNONPILOT/Tender/SplashBidNoticeAbstractUI.aspx?menuIndex=3&amp;refID=7041120&amp;Result=3","7041120")</f>
        <v>0</v>
      </c>
      <c r="B2520" t="s">
        <v>466</v>
      </c>
      <c r="C2520" t="s">
        <v>5091</v>
      </c>
      <c r="D2520" t="s">
        <v>13045</v>
      </c>
      <c r="E2520" t="s">
        <v>15367</v>
      </c>
      <c r="F2520" t="s">
        <v>22436</v>
      </c>
      <c r="G2520" t="s">
        <v>22443</v>
      </c>
      <c r="H2520" t="s">
        <v>22452</v>
      </c>
      <c r="I2520" t="s">
        <v>22461</v>
      </c>
      <c r="J2520" t="s">
        <v>24328</v>
      </c>
      <c r="K2520" t="s">
        <v>29338</v>
      </c>
      <c r="M2520" t="s">
        <v>30584</v>
      </c>
      <c r="N2520" t="s">
        <v>32524</v>
      </c>
      <c r="O2520" t="s">
        <v>32525</v>
      </c>
      <c r="P2520">
        <v>0</v>
      </c>
      <c r="Q2520">
        <v>2</v>
      </c>
      <c r="R2520" t="s">
        <v>32527</v>
      </c>
      <c r="S2520" t="s">
        <v>32552</v>
      </c>
      <c r="T2520" t="s">
        <v>33209</v>
      </c>
      <c r="U2520" t="s">
        <v>35770</v>
      </c>
      <c r="W2520" t="s">
        <v>30584</v>
      </c>
      <c r="X2520" t="s">
        <v>32531</v>
      </c>
    </row>
    <row r="2521" spans="1:24">
      <c r="A2521">
        <f>HYPERLINK("https://www.philgeps.gov.ph/GEPSNONPILOT/Tender/SplashBidNoticeAbstractUI.aspx?menuIndex=3&amp;refID=7041118&amp;Result=3","7041118")</f>
        <v>0</v>
      </c>
      <c r="B2521" t="s">
        <v>959</v>
      </c>
      <c r="C2521" t="s">
        <v>5092</v>
      </c>
      <c r="D2521" t="s">
        <v>13039</v>
      </c>
      <c r="E2521" t="s">
        <v>15368</v>
      </c>
      <c r="F2521" t="s">
        <v>22436</v>
      </c>
      <c r="G2521" t="s">
        <v>22444</v>
      </c>
      <c r="H2521" t="s">
        <v>22454</v>
      </c>
      <c r="I2521" t="s">
        <v>7738</v>
      </c>
      <c r="J2521" t="s">
        <v>22640</v>
      </c>
      <c r="K2521" t="s">
        <v>29333</v>
      </c>
      <c r="M2521" t="s">
        <v>30575</v>
      </c>
      <c r="N2521" t="s">
        <v>32524</v>
      </c>
      <c r="O2521" t="s">
        <v>32525</v>
      </c>
      <c r="P2521">
        <v>0</v>
      </c>
      <c r="Q2521">
        <v>0</v>
      </c>
      <c r="R2521" t="s">
        <v>32527</v>
      </c>
      <c r="S2521" t="s">
        <v>32552</v>
      </c>
      <c r="T2521" t="s">
        <v>33203</v>
      </c>
      <c r="U2521" t="s">
        <v>35755</v>
      </c>
      <c r="W2521" t="s">
        <v>30575</v>
      </c>
      <c r="X2521" t="s">
        <v>32531</v>
      </c>
    </row>
    <row r="2522" spans="1:24">
      <c r="A2522">
        <f>HYPERLINK("https://www.philgeps.gov.ph/GEPSNONPILOT/Tender/SplashBidNoticeAbstractUI.aspx?menuIndex=3&amp;refID=7041129&amp;Result=3","7041129")</f>
        <v>0</v>
      </c>
      <c r="B2522" t="s">
        <v>960</v>
      </c>
      <c r="C2522" t="s">
        <v>5093</v>
      </c>
      <c r="D2522" t="s">
        <v>12990</v>
      </c>
      <c r="E2522" t="s">
        <v>15369</v>
      </c>
      <c r="F2522" t="s">
        <v>22436</v>
      </c>
      <c r="G2522" t="s">
        <v>22443</v>
      </c>
      <c r="H2522" t="s">
        <v>22452</v>
      </c>
      <c r="I2522" t="s">
        <v>22469</v>
      </c>
      <c r="J2522" t="s">
        <v>24329</v>
      </c>
      <c r="K2522" t="s">
        <v>29335</v>
      </c>
      <c r="M2522" t="s">
        <v>30576</v>
      </c>
      <c r="N2522" t="s">
        <v>32524</v>
      </c>
      <c r="O2522" t="s">
        <v>32525</v>
      </c>
      <c r="P2522">
        <v>0</v>
      </c>
      <c r="Q2522">
        <v>0</v>
      </c>
      <c r="R2522" t="s">
        <v>32527</v>
      </c>
      <c r="S2522" t="s">
        <v>32552</v>
      </c>
      <c r="T2522" t="s">
        <v>33351</v>
      </c>
      <c r="U2522" t="s">
        <v>35771</v>
      </c>
      <c r="W2522" t="s">
        <v>30576</v>
      </c>
      <c r="X2522" t="s">
        <v>32531</v>
      </c>
    </row>
    <row r="2523" spans="1:24">
      <c r="A2523">
        <f>HYPERLINK("https://www.philgeps.gov.ph/GEPSNONPILOT/Tender/SplashBidNoticeAbstractUI.aspx?menuIndex=3&amp;refID=7041156&amp;Result=3","7041156")</f>
        <v>0</v>
      </c>
      <c r="B2523" t="s">
        <v>46</v>
      </c>
      <c r="C2523" t="s">
        <v>5094</v>
      </c>
      <c r="D2523" t="s">
        <v>13006</v>
      </c>
      <c r="E2523" t="s">
        <v>15370</v>
      </c>
      <c r="F2523" t="s">
        <v>22436</v>
      </c>
      <c r="G2523" t="s">
        <v>22444</v>
      </c>
      <c r="H2523" t="s">
        <v>22452</v>
      </c>
      <c r="I2523" t="s">
        <v>22502</v>
      </c>
      <c r="J2523" t="s">
        <v>24330</v>
      </c>
      <c r="K2523" t="s">
        <v>29330</v>
      </c>
      <c r="M2523" t="s">
        <v>30566</v>
      </c>
      <c r="N2523" t="s">
        <v>32524</v>
      </c>
      <c r="O2523" t="s">
        <v>32525</v>
      </c>
      <c r="P2523">
        <v>0</v>
      </c>
      <c r="Q2523">
        <v>3</v>
      </c>
      <c r="R2523" t="s">
        <v>32527</v>
      </c>
      <c r="S2523" t="s">
        <v>32552</v>
      </c>
      <c r="T2523" t="s">
        <v>33324</v>
      </c>
      <c r="U2523" t="s">
        <v>35772</v>
      </c>
      <c r="V2523" t="s">
        <v>42657</v>
      </c>
      <c r="W2523" t="s">
        <v>30566</v>
      </c>
      <c r="X2523" t="s">
        <v>32531</v>
      </c>
    </row>
    <row r="2524" spans="1:24">
      <c r="A2524">
        <f>HYPERLINK("https://www.philgeps.gov.ph/GEPSNONPILOT/Tender/SplashBidNoticeAbstractUI.aspx?menuIndex=3&amp;refID=7041149&amp;Result=3","7041149")</f>
        <v>0</v>
      </c>
      <c r="B2524" t="s">
        <v>121</v>
      </c>
      <c r="C2524" t="s">
        <v>5095</v>
      </c>
      <c r="D2524" t="s">
        <v>13034</v>
      </c>
      <c r="E2524" t="s">
        <v>15371</v>
      </c>
      <c r="F2524" t="s">
        <v>22436</v>
      </c>
      <c r="G2524" t="s">
        <v>22444</v>
      </c>
      <c r="H2524" t="s">
        <v>22454</v>
      </c>
      <c r="I2524" t="s">
        <v>7738</v>
      </c>
      <c r="J2524" t="s">
        <v>24331</v>
      </c>
      <c r="K2524" t="s">
        <v>29363</v>
      </c>
      <c r="M2524" t="s">
        <v>30585</v>
      </c>
      <c r="N2524" t="s">
        <v>32524</v>
      </c>
      <c r="O2524" t="s">
        <v>32525</v>
      </c>
      <c r="P2524">
        <v>0</v>
      </c>
      <c r="Q2524">
        <v>1</v>
      </c>
      <c r="R2524" t="s">
        <v>32527</v>
      </c>
      <c r="S2524" t="s">
        <v>32552</v>
      </c>
      <c r="T2524" t="s">
        <v>33241</v>
      </c>
      <c r="U2524" t="s">
        <v>35773</v>
      </c>
      <c r="V2524" t="s">
        <v>42660</v>
      </c>
      <c r="W2524" t="s">
        <v>30585</v>
      </c>
      <c r="X2524" t="s">
        <v>32531</v>
      </c>
    </row>
    <row r="2525" spans="1:24">
      <c r="A2525">
        <f>HYPERLINK("https://www.philgeps.gov.ph/GEPSNONPILOT/Tender/SplashBidNoticeAbstractUI.aspx?menuIndex=3&amp;refID=7041167&amp;Result=3","7041167")</f>
        <v>0</v>
      </c>
      <c r="B2525" t="s">
        <v>792</v>
      </c>
      <c r="C2525" t="s">
        <v>5096</v>
      </c>
      <c r="D2525" t="s">
        <v>13000</v>
      </c>
      <c r="E2525" t="s">
        <v>14878</v>
      </c>
      <c r="F2525" t="s">
        <v>22436</v>
      </c>
      <c r="G2525" t="s">
        <v>22446</v>
      </c>
      <c r="H2525" t="s">
        <v>22452</v>
      </c>
      <c r="I2525" t="s">
        <v>22476</v>
      </c>
      <c r="J2525" t="s">
        <v>23216</v>
      </c>
      <c r="K2525" t="s">
        <v>29336</v>
      </c>
      <c r="M2525" t="s">
        <v>30393</v>
      </c>
      <c r="N2525" t="s">
        <v>32524</v>
      </c>
      <c r="O2525" t="s">
        <v>32525</v>
      </c>
      <c r="P2525">
        <v>0</v>
      </c>
      <c r="Q2525">
        <v>1</v>
      </c>
      <c r="R2525" t="s">
        <v>32527</v>
      </c>
      <c r="S2525" t="s">
        <v>32552</v>
      </c>
      <c r="T2525" t="s">
        <v>33238</v>
      </c>
      <c r="U2525" t="s">
        <v>35774</v>
      </c>
      <c r="W2525" t="s">
        <v>30393</v>
      </c>
      <c r="X2525" t="s">
        <v>32531</v>
      </c>
    </row>
    <row r="2526" spans="1:24">
      <c r="A2526">
        <f>HYPERLINK("https://www.philgeps.gov.ph/GEPSNONPILOT/Tender/SplashBidNoticeAbstractUI.aspx?menuIndex=3&amp;refID=7041158&amp;Result=3","7041158")</f>
        <v>0</v>
      </c>
      <c r="B2526" t="s">
        <v>967</v>
      </c>
      <c r="C2526" t="s">
        <v>5097</v>
      </c>
      <c r="D2526" t="s">
        <v>12998</v>
      </c>
      <c r="E2526" t="s">
        <v>15372</v>
      </c>
      <c r="F2526" t="s">
        <v>22436</v>
      </c>
      <c r="G2526" t="s">
        <v>22443</v>
      </c>
      <c r="H2526" t="s">
        <v>22452</v>
      </c>
      <c r="I2526" t="s">
        <v>22512</v>
      </c>
      <c r="J2526" t="s">
        <v>22657</v>
      </c>
      <c r="K2526" t="s">
        <v>29336</v>
      </c>
      <c r="M2526" t="s">
        <v>30586</v>
      </c>
      <c r="N2526" t="s">
        <v>32524</v>
      </c>
      <c r="O2526" t="s">
        <v>32525</v>
      </c>
      <c r="P2526">
        <v>0</v>
      </c>
      <c r="Q2526">
        <v>2</v>
      </c>
      <c r="R2526" t="s">
        <v>32527</v>
      </c>
      <c r="S2526" t="s">
        <v>32552</v>
      </c>
      <c r="T2526" t="s">
        <v>33185</v>
      </c>
      <c r="U2526" t="s">
        <v>35775</v>
      </c>
      <c r="W2526" t="s">
        <v>30586</v>
      </c>
      <c r="X2526" t="s">
        <v>32531</v>
      </c>
    </row>
    <row r="2527" spans="1:24">
      <c r="A2527">
        <f>HYPERLINK("https://www.philgeps.gov.ph/GEPSNONPILOT/Tender/SplashBidNoticeAbstractUI.aspx?menuIndex=3&amp;refID=7041146&amp;Result=3","7041146")</f>
        <v>0</v>
      </c>
      <c r="B2527" t="s">
        <v>46</v>
      </c>
      <c r="C2527" t="s">
        <v>5098</v>
      </c>
      <c r="D2527" t="s">
        <v>13006</v>
      </c>
      <c r="E2527" t="s">
        <v>15373</v>
      </c>
      <c r="F2527" t="s">
        <v>22436</v>
      </c>
      <c r="G2527" t="s">
        <v>22444</v>
      </c>
      <c r="H2527" t="s">
        <v>22452</v>
      </c>
      <c r="I2527" t="s">
        <v>22463</v>
      </c>
      <c r="J2527" t="s">
        <v>24332</v>
      </c>
      <c r="K2527" t="s">
        <v>29330</v>
      </c>
      <c r="M2527" t="s">
        <v>30566</v>
      </c>
      <c r="N2527" t="s">
        <v>32524</v>
      </c>
      <c r="O2527" t="s">
        <v>32525</v>
      </c>
      <c r="P2527">
        <v>0</v>
      </c>
      <c r="Q2527">
        <v>4</v>
      </c>
      <c r="R2527" t="s">
        <v>32527</v>
      </c>
      <c r="S2527" t="s">
        <v>32552</v>
      </c>
      <c r="T2527" t="s">
        <v>33324</v>
      </c>
      <c r="U2527" t="s">
        <v>35776</v>
      </c>
      <c r="V2527" t="s">
        <v>42657</v>
      </c>
      <c r="W2527" t="s">
        <v>30566</v>
      </c>
      <c r="X2527" t="s">
        <v>32531</v>
      </c>
    </row>
    <row r="2528" spans="1:24">
      <c r="A2528">
        <f>HYPERLINK("https://www.philgeps.gov.ph/GEPSNONPILOT/Tender/SplashBidNoticeAbstractUI.aspx?menuIndex=3&amp;refID=7041137&amp;Result=3","7041137")</f>
        <v>0</v>
      </c>
      <c r="B2528" t="s">
        <v>959</v>
      </c>
      <c r="C2528" t="s">
        <v>5099</v>
      </c>
      <c r="D2528" t="s">
        <v>13039</v>
      </c>
      <c r="E2528" t="s">
        <v>14828</v>
      </c>
      <c r="F2528" t="s">
        <v>22436</v>
      </c>
      <c r="G2528" t="s">
        <v>22444</v>
      </c>
      <c r="H2528" t="s">
        <v>22454</v>
      </c>
      <c r="I2528" t="s">
        <v>7738</v>
      </c>
      <c r="J2528" t="s">
        <v>22640</v>
      </c>
      <c r="K2528" t="s">
        <v>29333</v>
      </c>
      <c r="M2528" t="s">
        <v>30575</v>
      </c>
      <c r="N2528" t="s">
        <v>32524</v>
      </c>
      <c r="O2528" t="s">
        <v>32525</v>
      </c>
      <c r="P2528">
        <v>0</v>
      </c>
      <c r="Q2528">
        <v>0</v>
      </c>
      <c r="R2528" t="s">
        <v>32527</v>
      </c>
      <c r="S2528" t="s">
        <v>32552</v>
      </c>
      <c r="T2528" t="s">
        <v>33203</v>
      </c>
      <c r="U2528" t="s">
        <v>35755</v>
      </c>
      <c r="W2528" t="s">
        <v>30575</v>
      </c>
      <c r="X2528" t="s">
        <v>32531</v>
      </c>
    </row>
    <row r="2529" spans="1:24">
      <c r="A2529">
        <f>HYPERLINK("https://www.philgeps.gov.ph/GEPSNONPILOT/Tender/SplashBidNoticeAbstractUI.aspx?menuIndex=3&amp;refID=7041130&amp;Result=3","7041130")</f>
        <v>0</v>
      </c>
      <c r="B2529" t="s">
        <v>46</v>
      </c>
      <c r="C2529" t="s">
        <v>5100</v>
      </c>
      <c r="D2529" t="s">
        <v>13006</v>
      </c>
      <c r="E2529" t="s">
        <v>15374</v>
      </c>
      <c r="F2529" t="s">
        <v>22436</v>
      </c>
      <c r="G2529" t="s">
        <v>22444</v>
      </c>
      <c r="H2529" t="s">
        <v>22452</v>
      </c>
      <c r="I2529" t="s">
        <v>22502</v>
      </c>
      <c r="J2529" t="s">
        <v>24333</v>
      </c>
      <c r="K2529" t="s">
        <v>29330</v>
      </c>
      <c r="M2529" t="s">
        <v>30566</v>
      </c>
      <c r="N2529" t="s">
        <v>32524</v>
      </c>
      <c r="O2529" t="s">
        <v>32525</v>
      </c>
      <c r="P2529">
        <v>0</v>
      </c>
      <c r="Q2529">
        <v>2</v>
      </c>
      <c r="R2529" t="s">
        <v>32527</v>
      </c>
      <c r="S2529" t="s">
        <v>32552</v>
      </c>
      <c r="T2529" t="s">
        <v>33324</v>
      </c>
      <c r="U2529" t="s">
        <v>35777</v>
      </c>
      <c r="V2529" t="s">
        <v>42657</v>
      </c>
      <c r="W2529" t="s">
        <v>30566</v>
      </c>
      <c r="X2529" t="s">
        <v>32531</v>
      </c>
    </row>
    <row r="2530" spans="1:24">
      <c r="A2530">
        <f>HYPERLINK("https://www.philgeps.gov.ph/GEPSNONPILOT/Tender/SplashBidNoticeAbstractUI.aspx?menuIndex=3&amp;refID=7041125&amp;Result=3","7041125")</f>
        <v>0</v>
      </c>
      <c r="B2530" t="s">
        <v>46</v>
      </c>
      <c r="C2530" t="s">
        <v>5101</v>
      </c>
      <c r="D2530" t="s">
        <v>13006</v>
      </c>
      <c r="E2530" t="s">
        <v>15375</v>
      </c>
      <c r="F2530" t="s">
        <v>22436</v>
      </c>
      <c r="G2530" t="s">
        <v>22444</v>
      </c>
      <c r="H2530" t="s">
        <v>22452</v>
      </c>
      <c r="I2530" t="s">
        <v>22502</v>
      </c>
      <c r="J2530" t="s">
        <v>23999</v>
      </c>
      <c r="K2530" t="s">
        <v>29330</v>
      </c>
      <c r="M2530" t="s">
        <v>30566</v>
      </c>
      <c r="N2530" t="s">
        <v>32524</v>
      </c>
      <c r="O2530" t="s">
        <v>32525</v>
      </c>
      <c r="P2530">
        <v>0</v>
      </c>
      <c r="Q2530">
        <v>2</v>
      </c>
      <c r="R2530" t="s">
        <v>32527</v>
      </c>
      <c r="S2530" t="s">
        <v>32552</v>
      </c>
      <c r="T2530" t="s">
        <v>33324</v>
      </c>
      <c r="U2530" t="s">
        <v>35778</v>
      </c>
      <c r="V2530" t="s">
        <v>42657</v>
      </c>
      <c r="W2530" t="s">
        <v>30566</v>
      </c>
      <c r="X2530" t="s">
        <v>32531</v>
      </c>
    </row>
    <row r="2531" spans="1:24">
      <c r="A2531">
        <f>HYPERLINK("https://www.philgeps.gov.ph/GEPSNONPILOT/Tender/SplashBidNoticeAbstractUI.aspx?menuIndex=3&amp;refID=7041135&amp;Result=3","7041135")</f>
        <v>0</v>
      </c>
      <c r="B2531" t="s">
        <v>121</v>
      </c>
      <c r="C2531" t="s">
        <v>5102</v>
      </c>
      <c r="D2531" t="s">
        <v>13034</v>
      </c>
      <c r="E2531" t="s">
        <v>15376</v>
      </c>
      <c r="F2531" t="s">
        <v>22436</v>
      </c>
      <c r="G2531" t="s">
        <v>22444</v>
      </c>
      <c r="H2531" t="s">
        <v>22454</v>
      </c>
      <c r="I2531" t="s">
        <v>7738</v>
      </c>
      <c r="J2531" t="s">
        <v>24334</v>
      </c>
      <c r="K2531" t="s">
        <v>29377</v>
      </c>
      <c r="M2531" t="s">
        <v>30585</v>
      </c>
      <c r="N2531" t="s">
        <v>32524</v>
      </c>
      <c r="O2531" t="s">
        <v>32525</v>
      </c>
      <c r="P2531">
        <v>0</v>
      </c>
      <c r="Q2531">
        <v>0</v>
      </c>
      <c r="R2531" t="s">
        <v>32527</v>
      </c>
      <c r="S2531" t="s">
        <v>32552</v>
      </c>
      <c r="T2531" t="s">
        <v>33241</v>
      </c>
      <c r="U2531" t="s">
        <v>35779</v>
      </c>
      <c r="V2531" t="s">
        <v>42661</v>
      </c>
      <c r="W2531" t="s">
        <v>30585</v>
      </c>
      <c r="X2531" t="s">
        <v>32531</v>
      </c>
    </row>
    <row r="2532" spans="1:24">
      <c r="A2532">
        <f>HYPERLINK("https://www.philgeps.gov.ph/GEPSNONPILOT/Tender/SplashBidNoticeAbstractUI.aspx?menuIndex=3&amp;refID=7041161&amp;Result=3","7041161")</f>
        <v>0</v>
      </c>
      <c r="B2532" t="s">
        <v>121</v>
      </c>
      <c r="C2532" t="s">
        <v>5103</v>
      </c>
      <c r="D2532" t="s">
        <v>13034</v>
      </c>
      <c r="E2532" t="s">
        <v>15377</v>
      </c>
      <c r="F2532" t="s">
        <v>22436</v>
      </c>
      <c r="G2532" t="s">
        <v>22444</v>
      </c>
      <c r="H2532" t="s">
        <v>22454</v>
      </c>
      <c r="I2532" t="s">
        <v>7738</v>
      </c>
      <c r="J2532" t="s">
        <v>24335</v>
      </c>
      <c r="K2532" t="s">
        <v>29404</v>
      </c>
      <c r="M2532" t="s">
        <v>30585</v>
      </c>
      <c r="N2532" t="s">
        <v>32524</v>
      </c>
      <c r="O2532" t="s">
        <v>32525</v>
      </c>
      <c r="P2532">
        <v>0</v>
      </c>
      <c r="Q2532">
        <v>0</v>
      </c>
      <c r="R2532" t="s">
        <v>32527</v>
      </c>
      <c r="S2532" t="s">
        <v>32552</v>
      </c>
      <c r="T2532" t="s">
        <v>33241</v>
      </c>
      <c r="U2532" t="s">
        <v>35780</v>
      </c>
      <c r="V2532" t="s">
        <v>42662</v>
      </c>
      <c r="W2532" t="s">
        <v>30585</v>
      </c>
      <c r="X2532" t="s">
        <v>32531</v>
      </c>
    </row>
    <row r="2533" spans="1:24">
      <c r="A2533">
        <f>HYPERLINK("https://www.philgeps.gov.ph/GEPSNONPILOT/Tender/SplashBidNoticeAbstractUI.aspx?menuIndex=3&amp;refID=7041214&amp;Result=3","7041214")</f>
        <v>0</v>
      </c>
      <c r="B2533" t="s">
        <v>121</v>
      </c>
      <c r="C2533" t="s">
        <v>5104</v>
      </c>
      <c r="D2533" t="s">
        <v>13034</v>
      </c>
      <c r="E2533" t="s">
        <v>15378</v>
      </c>
      <c r="F2533" t="s">
        <v>22436</v>
      </c>
      <c r="G2533" t="s">
        <v>22444</v>
      </c>
      <c r="H2533" t="s">
        <v>22454</v>
      </c>
      <c r="I2533" t="s">
        <v>7738</v>
      </c>
      <c r="J2533" t="s">
        <v>24336</v>
      </c>
      <c r="K2533" t="s">
        <v>29431</v>
      </c>
      <c r="M2533" t="s">
        <v>30585</v>
      </c>
      <c r="N2533" t="s">
        <v>32524</v>
      </c>
      <c r="O2533" t="s">
        <v>32525</v>
      </c>
      <c r="P2533">
        <v>0</v>
      </c>
      <c r="Q2533">
        <v>0</v>
      </c>
      <c r="R2533" t="s">
        <v>32527</v>
      </c>
      <c r="S2533" t="s">
        <v>32552</v>
      </c>
      <c r="T2533" t="s">
        <v>33241</v>
      </c>
      <c r="U2533" t="s">
        <v>35781</v>
      </c>
      <c r="V2533" t="s">
        <v>42663</v>
      </c>
      <c r="W2533" t="s">
        <v>30585</v>
      </c>
      <c r="X2533" t="s">
        <v>32531</v>
      </c>
    </row>
    <row r="2534" spans="1:24">
      <c r="A2534">
        <f>HYPERLINK("https://www.philgeps.gov.ph/GEPSNONPILOT/Tender/SplashBidNoticeAbstractUI.aspx?menuIndex=3&amp;refID=7041202&amp;Result=3","7041202")</f>
        <v>0</v>
      </c>
      <c r="B2534" t="s">
        <v>121</v>
      </c>
      <c r="C2534" t="s">
        <v>5105</v>
      </c>
      <c r="D2534" t="s">
        <v>13034</v>
      </c>
      <c r="E2534" t="s">
        <v>15379</v>
      </c>
      <c r="F2534" t="s">
        <v>22436</v>
      </c>
      <c r="G2534" t="s">
        <v>22444</v>
      </c>
      <c r="H2534" t="s">
        <v>22454</v>
      </c>
      <c r="I2534" t="s">
        <v>7738</v>
      </c>
      <c r="J2534" t="s">
        <v>24337</v>
      </c>
      <c r="K2534" t="s">
        <v>29432</v>
      </c>
      <c r="M2534" t="s">
        <v>30585</v>
      </c>
      <c r="N2534" t="s">
        <v>32524</v>
      </c>
      <c r="O2534" t="s">
        <v>32525</v>
      </c>
      <c r="P2534">
        <v>0</v>
      </c>
      <c r="Q2534">
        <v>0</v>
      </c>
      <c r="R2534" t="s">
        <v>32527</v>
      </c>
      <c r="S2534" t="s">
        <v>32552</v>
      </c>
      <c r="T2534" t="s">
        <v>33241</v>
      </c>
      <c r="U2534" t="s">
        <v>35782</v>
      </c>
      <c r="V2534" t="s">
        <v>42664</v>
      </c>
      <c r="W2534" t="s">
        <v>30585</v>
      </c>
      <c r="X2534" t="s">
        <v>32531</v>
      </c>
    </row>
    <row r="2535" spans="1:24">
      <c r="A2535">
        <f>HYPERLINK("https://www.philgeps.gov.ph/GEPSNONPILOT/Tender/SplashBidNoticeAbstractUI.aspx?menuIndex=3&amp;refID=7041163&amp;Result=3","7041163")</f>
        <v>0</v>
      </c>
      <c r="B2535" t="s">
        <v>959</v>
      </c>
      <c r="C2535" t="s">
        <v>5106</v>
      </c>
      <c r="D2535" t="s">
        <v>13039</v>
      </c>
      <c r="E2535" t="s">
        <v>14979</v>
      </c>
      <c r="F2535" t="s">
        <v>22436</v>
      </c>
      <c r="G2535" t="s">
        <v>22444</v>
      </c>
      <c r="H2535" t="s">
        <v>22454</v>
      </c>
      <c r="I2535" t="s">
        <v>7738</v>
      </c>
      <c r="J2535" t="s">
        <v>22743</v>
      </c>
      <c r="K2535" t="s">
        <v>29433</v>
      </c>
      <c r="M2535" t="s">
        <v>30575</v>
      </c>
      <c r="N2535" t="s">
        <v>32524</v>
      </c>
      <c r="O2535" t="s">
        <v>32525</v>
      </c>
      <c r="P2535">
        <v>0</v>
      </c>
      <c r="Q2535">
        <v>0</v>
      </c>
      <c r="R2535" t="s">
        <v>32527</v>
      </c>
      <c r="S2535" t="s">
        <v>32552</v>
      </c>
      <c r="T2535" t="s">
        <v>33203</v>
      </c>
      <c r="U2535" t="s">
        <v>35755</v>
      </c>
      <c r="W2535" t="s">
        <v>30575</v>
      </c>
      <c r="X2535" t="s">
        <v>32531</v>
      </c>
    </row>
    <row r="2536" spans="1:24">
      <c r="A2536">
        <f>HYPERLINK("https://www.philgeps.gov.ph/GEPSNONPILOT/Tender/SplashBidNoticeAbstractUI.aspx?menuIndex=3&amp;refID=7041188&amp;Result=3","7041188")</f>
        <v>0</v>
      </c>
      <c r="B2536" t="s">
        <v>968</v>
      </c>
      <c r="C2536" t="s">
        <v>5107</v>
      </c>
      <c r="D2536" t="s">
        <v>13035</v>
      </c>
      <c r="E2536" t="s">
        <v>15380</v>
      </c>
      <c r="F2536" t="s">
        <v>22436</v>
      </c>
      <c r="G2536" t="s">
        <v>22444</v>
      </c>
      <c r="H2536" t="s">
        <v>22454</v>
      </c>
      <c r="I2536" t="s">
        <v>7738</v>
      </c>
      <c r="J2536" t="s">
        <v>24338</v>
      </c>
      <c r="K2536" t="s">
        <v>29344</v>
      </c>
      <c r="M2536" t="s">
        <v>30587</v>
      </c>
      <c r="N2536" t="s">
        <v>32524</v>
      </c>
      <c r="O2536" t="s">
        <v>32525</v>
      </c>
      <c r="P2536">
        <v>0</v>
      </c>
      <c r="Q2536">
        <v>0</v>
      </c>
      <c r="R2536" t="s">
        <v>32527</v>
      </c>
      <c r="S2536" t="s">
        <v>32552</v>
      </c>
      <c r="T2536" t="s">
        <v>33170</v>
      </c>
      <c r="U2536" t="s">
        <v>35783</v>
      </c>
      <c r="V2536" t="s">
        <v>42665</v>
      </c>
      <c r="W2536" t="s">
        <v>30587</v>
      </c>
      <c r="X2536" t="s">
        <v>32531</v>
      </c>
    </row>
    <row r="2537" spans="1:24">
      <c r="A2537">
        <f>HYPERLINK("https://www.philgeps.gov.ph/GEPSNONPILOT/Tender/SplashBidNoticeAbstractUI.aspx?menuIndex=3&amp;refID=7041196&amp;Result=3","7041196")</f>
        <v>0</v>
      </c>
      <c r="B2537" t="s">
        <v>969</v>
      </c>
      <c r="C2537" t="s">
        <v>5108</v>
      </c>
      <c r="D2537" t="s">
        <v>13022</v>
      </c>
      <c r="E2537" t="s">
        <v>15381</v>
      </c>
      <c r="F2537" t="s">
        <v>22436</v>
      </c>
      <c r="G2537" t="s">
        <v>22443</v>
      </c>
      <c r="H2537" t="s">
        <v>22452</v>
      </c>
      <c r="I2537" t="s">
        <v>22495</v>
      </c>
      <c r="J2537" t="s">
        <v>22957</v>
      </c>
      <c r="K2537" t="s">
        <v>29331</v>
      </c>
      <c r="M2537" t="s">
        <v>30588</v>
      </c>
      <c r="N2537" t="s">
        <v>32524</v>
      </c>
      <c r="O2537" t="s">
        <v>32525</v>
      </c>
      <c r="P2537">
        <v>0</v>
      </c>
      <c r="Q2537">
        <v>1</v>
      </c>
      <c r="R2537" t="s">
        <v>32527</v>
      </c>
      <c r="S2537" t="s">
        <v>32552</v>
      </c>
      <c r="T2537" t="s">
        <v>33220</v>
      </c>
      <c r="U2537" t="s">
        <v>35784</v>
      </c>
      <c r="W2537" t="s">
        <v>30588</v>
      </c>
      <c r="X2537" t="s">
        <v>32531</v>
      </c>
    </row>
    <row r="2538" spans="1:24">
      <c r="A2538">
        <f>HYPERLINK("https://www.philgeps.gov.ph/GEPSNONPILOT/Tender/SplashBidNoticeAbstractUI.aspx?menuIndex=3&amp;refID=7041174&amp;Result=3","7041174")</f>
        <v>0</v>
      </c>
      <c r="B2538" t="s">
        <v>315</v>
      </c>
      <c r="C2538" t="s">
        <v>5109</v>
      </c>
      <c r="D2538" t="s">
        <v>13045</v>
      </c>
      <c r="E2538" t="s">
        <v>14136</v>
      </c>
      <c r="F2538" t="s">
        <v>22436</v>
      </c>
      <c r="G2538" t="s">
        <v>22443</v>
      </c>
      <c r="H2538" t="s">
        <v>22452</v>
      </c>
      <c r="I2538" t="s">
        <v>22460</v>
      </c>
      <c r="J2538" t="s">
        <v>24339</v>
      </c>
      <c r="K2538" t="s">
        <v>29331</v>
      </c>
      <c r="M2538" t="s">
        <v>29891</v>
      </c>
      <c r="N2538" t="s">
        <v>32524</v>
      </c>
      <c r="O2538" t="s">
        <v>32525</v>
      </c>
      <c r="P2538">
        <v>0</v>
      </c>
      <c r="Q2538">
        <v>7</v>
      </c>
      <c r="R2538" t="s">
        <v>32527</v>
      </c>
      <c r="S2538" t="s">
        <v>32552</v>
      </c>
      <c r="T2538" t="s">
        <v>33228</v>
      </c>
      <c r="U2538" t="s">
        <v>35785</v>
      </c>
      <c r="W2538" t="s">
        <v>29891</v>
      </c>
      <c r="X2538" t="s">
        <v>32531</v>
      </c>
    </row>
    <row r="2539" spans="1:24">
      <c r="A2539">
        <f>HYPERLINK("https://www.philgeps.gov.ph/GEPSNONPILOT/Tender/SplashBidNoticeAbstractUI.aspx?menuIndex=3&amp;refID=7041171&amp;Result=3","7041171")</f>
        <v>0</v>
      </c>
      <c r="B2539" t="s">
        <v>121</v>
      </c>
      <c r="C2539" t="s">
        <v>5110</v>
      </c>
      <c r="D2539" t="s">
        <v>13034</v>
      </c>
      <c r="E2539" t="s">
        <v>15382</v>
      </c>
      <c r="F2539" t="s">
        <v>22436</v>
      </c>
      <c r="G2539" t="s">
        <v>22444</v>
      </c>
      <c r="H2539" t="s">
        <v>22454</v>
      </c>
      <c r="I2539" t="s">
        <v>7738</v>
      </c>
      <c r="J2539" t="s">
        <v>24340</v>
      </c>
      <c r="K2539" t="s">
        <v>29355</v>
      </c>
      <c r="M2539" t="s">
        <v>30585</v>
      </c>
      <c r="N2539" t="s">
        <v>32524</v>
      </c>
      <c r="O2539" t="s">
        <v>32525</v>
      </c>
      <c r="P2539">
        <v>0</v>
      </c>
      <c r="Q2539">
        <v>0</v>
      </c>
      <c r="R2539" t="s">
        <v>32527</v>
      </c>
      <c r="S2539" t="s">
        <v>32552</v>
      </c>
      <c r="T2539" t="s">
        <v>33241</v>
      </c>
      <c r="U2539" t="s">
        <v>35786</v>
      </c>
      <c r="V2539" t="s">
        <v>42666</v>
      </c>
      <c r="W2539" t="s">
        <v>30585</v>
      </c>
      <c r="X2539" t="s">
        <v>32531</v>
      </c>
    </row>
    <row r="2540" spans="1:24">
      <c r="A2540">
        <f>HYPERLINK("https://www.philgeps.gov.ph/GEPSNONPILOT/Tender/SplashBidNoticeAbstractUI.aspx?menuIndex=3&amp;refID=7041194&amp;Result=3","7041194")</f>
        <v>0</v>
      </c>
      <c r="B2540" t="s">
        <v>959</v>
      </c>
      <c r="C2540" t="s">
        <v>5111</v>
      </c>
      <c r="D2540" t="s">
        <v>13039</v>
      </c>
      <c r="E2540" t="s">
        <v>15383</v>
      </c>
      <c r="F2540" t="s">
        <v>22436</v>
      </c>
      <c r="G2540" t="s">
        <v>22444</v>
      </c>
      <c r="H2540" t="s">
        <v>22454</v>
      </c>
      <c r="I2540" t="s">
        <v>7738</v>
      </c>
      <c r="J2540" t="s">
        <v>22853</v>
      </c>
      <c r="K2540" t="s">
        <v>29402</v>
      </c>
      <c r="M2540" t="s">
        <v>30575</v>
      </c>
      <c r="N2540" t="s">
        <v>32524</v>
      </c>
      <c r="O2540" t="s">
        <v>32525</v>
      </c>
      <c r="P2540">
        <v>0</v>
      </c>
      <c r="Q2540">
        <v>0</v>
      </c>
      <c r="R2540" t="s">
        <v>32527</v>
      </c>
      <c r="S2540" t="s">
        <v>32552</v>
      </c>
      <c r="T2540" t="s">
        <v>33203</v>
      </c>
      <c r="U2540" t="s">
        <v>35755</v>
      </c>
      <c r="W2540" t="s">
        <v>30575</v>
      </c>
      <c r="X2540" t="s">
        <v>32531</v>
      </c>
    </row>
    <row r="2541" spans="1:24">
      <c r="A2541">
        <f>HYPERLINK("https://www.philgeps.gov.ph/GEPSNONPILOT/Tender/SplashBidNoticeAbstractUI.aspx?menuIndex=3&amp;refID=7041187&amp;Result=3","7041187")</f>
        <v>0</v>
      </c>
      <c r="B2541" t="s">
        <v>121</v>
      </c>
      <c r="C2541" t="s">
        <v>5112</v>
      </c>
      <c r="D2541" t="s">
        <v>13034</v>
      </c>
      <c r="E2541" t="s">
        <v>15384</v>
      </c>
      <c r="F2541" t="s">
        <v>22436</v>
      </c>
      <c r="G2541" t="s">
        <v>22444</v>
      </c>
      <c r="H2541" t="s">
        <v>22454</v>
      </c>
      <c r="I2541" t="s">
        <v>7738</v>
      </c>
      <c r="J2541" t="s">
        <v>24341</v>
      </c>
      <c r="K2541" t="s">
        <v>29383</v>
      </c>
      <c r="M2541" t="s">
        <v>30585</v>
      </c>
      <c r="N2541" t="s">
        <v>32524</v>
      </c>
      <c r="O2541" t="s">
        <v>32525</v>
      </c>
      <c r="P2541">
        <v>0</v>
      </c>
      <c r="Q2541">
        <v>0</v>
      </c>
      <c r="R2541" t="s">
        <v>32527</v>
      </c>
      <c r="S2541" t="s">
        <v>32552</v>
      </c>
      <c r="T2541" t="s">
        <v>33241</v>
      </c>
      <c r="U2541" t="s">
        <v>35787</v>
      </c>
      <c r="V2541" t="s">
        <v>42667</v>
      </c>
      <c r="W2541" t="s">
        <v>30585</v>
      </c>
      <c r="X2541" t="s">
        <v>32531</v>
      </c>
    </row>
    <row r="2542" spans="1:24">
      <c r="A2542">
        <f>HYPERLINK("https://www.philgeps.gov.ph/GEPSNONPILOT/Tender/SplashBidNoticeAbstractUI.aspx?menuIndex=3&amp;refID=7041215&amp;Result=3","7041215")</f>
        <v>0</v>
      </c>
      <c r="B2542" t="s">
        <v>165</v>
      </c>
      <c r="C2542" t="s">
        <v>5113</v>
      </c>
      <c r="D2542" t="s">
        <v>13030</v>
      </c>
      <c r="E2542" t="s">
        <v>15385</v>
      </c>
      <c r="F2542" t="s">
        <v>22436</v>
      </c>
      <c r="G2542" t="s">
        <v>22446</v>
      </c>
      <c r="H2542" t="s">
        <v>22452</v>
      </c>
      <c r="I2542" t="s">
        <v>22471</v>
      </c>
      <c r="J2542" t="s">
        <v>23096</v>
      </c>
      <c r="K2542" t="s">
        <v>29341</v>
      </c>
      <c r="M2542" t="s">
        <v>29737</v>
      </c>
      <c r="N2542" t="s">
        <v>32524</v>
      </c>
      <c r="O2542" t="s">
        <v>32525</v>
      </c>
      <c r="P2542">
        <v>0</v>
      </c>
      <c r="Q2542">
        <v>3</v>
      </c>
      <c r="R2542" t="s">
        <v>32527</v>
      </c>
      <c r="S2542" t="s">
        <v>32552</v>
      </c>
      <c r="T2542" t="s">
        <v>33220</v>
      </c>
      <c r="U2542" t="s">
        <v>35788</v>
      </c>
      <c r="W2542" t="s">
        <v>29737</v>
      </c>
      <c r="X2542" t="s">
        <v>32531</v>
      </c>
    </row>
    <row r="2543" spans="1:24">
      <c r="A2543">
        <f>HYPERLINK("https://www.philgeps.gov.ph/GEPSNONPILOT/Tender/SplashBidNoticeAbstractUI.aspx?menuIndex=3&amp;refID=7041222&amp;Result=3","7041222")</f>
        <v>0</v>
      </c>
      <c r="B2543" t="s">
        <v>192</v>
      </c>
      <c r="C2543" t="s">
        <v>5114</v>
      </c>
      <c r="D2543" t="s">
        <v>13048</v>
      </c>
      <c r="E2543" t="s">
        <v>15386</v>
      </c>
      <c r="F2543" t="s">
        <v>22436</v>
      </c>
      <c r="G2543" t="s">
        <v>22443</v>
      </c>
      <c r="H2543" t="s">
        <v>22452</v>
      </c>
      <c r="I2543" t="s">
        <v>22467</v>
      </c>
      <c r="J2543" t="s">
        <v>24342</v>
      </c>
      <c r="K2543" t="s">
        <v>29338</v>
      </c>
      <c r="M2543" t="s">
        <v>29765</v>
      </c>
      <c r="N2543" t="s">
        <v>32524</v>
      </c>
      <c r="O2543" t="s">
        <v>32525</v>
      </c>
      <c r="P2543">
        <v>0</v>
      </c>
      <c r="Q2543">
        <v>0</v>
      </c>
      <c r="R2543" t="s">
        <v>32527</v>
      </c>
      <c r="S2543" t="s">
        <v>32552</v>
      </c>
      <c r="T2543" t="s">
        <v>33367</v>
      </c>
      <c r="U2543" t="s">
        <v>35789</v>
      </c>
      <c r="W2543" t="s">
        <v>29765</v>
      </c>
      <c r="X2543" t="s">
        <v>32531</v>
      </c>
    </row>
    <row r="2544" spans="1:24">
      <c r="A2544">
        <f>HYPERLINK("https://www.philgeps.gov.ph/GEPSNONPILOT/Tender/SplashBidNoticeAbstractUI.aspx?menuIndex=3&amp;refID=7041256&amp;Result=3","7041256")</f>
        <v>0</v>
      </c>
      <c r="B2544" t="s">
        <v>970</v>
      </c>
      <c r="C2544" t="s">
        <v>5115</v>
      </c>
      <c r="D2544" t="s">
        <v>13042</v>
      </c>
      <c r="E2544" t="s">
        <v>15387</v>
      </c>
      <c r="F2544" t="s">
        <v>22436</v>
      </c>
      <c r="G2544" t="s">
        <v>22446</v>
      </c>
      <c r="H2544" t="s">
        <v>22452</v>
      </c>
      <c r="I2544" t="s">
        <v>3529</v>
      </c>
      <c r="J2544" t="s">
        <v>24343</v>
      </c>
      <c r="K2544" t="s">
        <v>29335</v>
      </c>
      <c r="L2544" t="s">
        <v>970</v>
      </c>
      <c r="M2544" t="s">
        <v>30589</v>
      </c>
      <c r="N2544" t="s">
        <v>32524</v>
      </c>
      <c r="O2544" t="s">
        <v>32525</v>
      </c>
      <c r="P2544">
        <v>0</v>
      </c>
      <c r="Q2544">
        <v>1</v>
      </c>
      <c r="R2544" t="s">
        <v>32527</v>
      </c>
      <c r="S2544" t="s">
        <v>32552</v>
      </c>
      <c r="T2544" t="s">
        <v>33328</v>
      </c>
      <c r="U2544" t="s">
        <v>35790</v>
      </c>
      <c r="V2544" t="s">
        <v>42668</v>
      </c>
      <c r="W2544" t="s">
        <v>30589</v>
      </c>
      <c r="X2544" t="s">
        <v>32531</v>
      </c>
    </row>
    <row r="2545" spans="1:24">
      <c r="A2545">
        <f>HYPERLINK("https://www.philgeps.gov.ph/GEPSNONPILOT/Tender/SplashBidNoticeAbstractUI.aspx?menuIndex=3&amp;refID=7041249&amp;Result=3","7041249")</f>
        <v>0</v>
      </c>
      <c r="B2545" t="s">
        <v>382</v>
      </c>
      <c r="C2545" t="s">
        <v>5116</v>
      </c>
      <c r="D2545" t="s">
        <v>12988</v>
      </c>
      <c r="E2545" t="s">
        <v>15388</v>
      </c>
      <c r="F2545" t="s">
        <v>22436</v>
      </c>
      <c r="G2545" t="s">
        <v>22443</v>
      </c>
      <c r="H2545" t="s">
        <v>22452</v>
      </c>
      <c r="I2545" t="s">
        <v>6387</v>
      </c>
      <c r="J2545" t="s">
        <v>22989</v>
      </c>
      <c r="K2545" t="s">
        <v>29335</v>
      </c>
      <c r="M2545" t="s">
        <v>30590</v>
      </c>
      <c r="N2545" t="s">
        <v>32524</v>
      </c>
      <c r="O2545" t="s">
        <v>32525</v>
      </c>
      <c r="P2545">
        <v>0</v>
      </c>
      <c r="Q2545">
        <v>11</v>
      </c>
      <c r="R2545" t="s">
        <v>32527</v>
      </c>
      <c r="S2545" t="s">
        <v>32552</v>
      </c>
      <c r="T2545" t="s">
        <v>33220</v>
      </c>
      <c r="U2545" t="s">
        <v>35791</v>
      </c>
      <c r="W2545" t="s">
        <v>30590</v>
      </c>
      <c r="X2545" t="s">
        <v>32531</v>
      </c>
    </row>
    <row r="2546" spans="1:24">
      <c r="A2546">
        <f>HYPERLINK("https://www.philgeps.gov.ph/GEPSNONPILOT/Tender/SplashBidNoticeAbstractUI.aspx?menuIndex=3&amp;refID=7041246&amp;Result=3","7041246")</f>
        <v>0</v>
      </c>
      <c r="B2546" t="s">
        <v>964</v>
      </c>
      <c r="C2546" t="s">
        <v>5117</v>
      </c>
      <c r="D2546" t="s">
        <v>13039</v>
      </c>
      <c r="E2546" t="s">
        <v>15389</v>
      </c>
      <c r="F2546" t="s">
        <v>22436</v>
      </c>
      <c r="G2546" t="s">
        <v>22446</v>
      </c>
      <c r="H2546" t="s">
        <v>22452</v>
      </c>
      <c r="I2546" t="s">
        <v>22471</v>
      </c>
      <c r="J2546" t="s">
        <v>23235</v>
      </c>
      <c r="K2546" t="s">
        <v>29335</v>
      </c>
      <c r="M2546" t="s">
        <v>30580</v>
      </c>
      <c r="N2546" t="s">
        <v>32524</v>
      </c>
      <c r="O2546" t="s">
        <v>32525</v>
      </c>
      <c r="P2546">
        <v>0</v>
      </c>
      <c r="Q2546">
        <v>2</v>
      </c>
      <c r="R2546" t="s">
        <v>32527</v>
      </c>
      <c r="S2546" t="s">
        <v>32552</v>
      </c>
      <c r="T2546" t="s">
        <v>33185</v>
      </c>
      <c r="U2546" t="s">
        <v>35792</v>
      </c>
      <c r="W2546" t="s">
        <v>30580</v>
      </c>
      <c r="X2546" t="s">
        <v>32531</v>
      </c>
    </row>
    <row r="2547" spans="1:24">
      <c r="A2547">
        <f>HYPERLINK("https://www.philgeps.gov.ph/GEPSNONPILOT/Tender/SplashBidNoticeAbstractUI.aspx?menuIndex=3&amp;refID=7041265&amp;Result=3","7041265")</f>
        <v>0</v>
      </c>
      <c r="B2547" t="s">
        <v>46</v>
      </c>
      <c r="C2547" t="s">
        <v>5118</v>
      </c>
      <c r="D2547" t="s">
        <v>13006</v>
      </c>
      <c r="E2547" t="s">
        <v>15390</v>
      </c>
      <c r="F2547" t="s">
        <v>22436</v>
      </c>
      <c r="G2547" t="s">
        <v>22444</v>
      </c>
      <c r="H2547" t="s">
        <v>22454</v>
      </c>
      <c r="I2547" t="s">
        <v>7738</v>
      </c>
      <c r="J2547" t="s">
        <v>24344</v>
      </c>
      <c r="K2547" t="s">
        <v>29388</v>
      </c>
      <c r="M2547" t="s">
        <v>30583</v>
      </c>
      <c r="N2547" t="s">
        <v>32524</v>
      </c>
      <c r="O2547" t="s">
        <v>32525</v>
      </c>
      <c r="P2547">
        <v>0</v>
      </c>
      <c r="Q2547">
        <v>0</v>
      </c>
      <c r="R2547" t="s">
        <v>32527</v>
      </c>
      <c r="S2547" t="s">
        <v>32552</v>
      </c>
      <c r="T2547" t="s">
        <v>33219</v>
      </c>
      <c r="U2547" t="s">
        <v>35793</v>
      </c>
      <c r="V2547" t="s">
        <v>42461</v>
      </c>
      <c r="W2547" t="s">
        <v>30583</v>
      </c>
      <c r="X2547" t="s">
        <v>32531</v>
      </c>
    </row>
    <row r="2548" spans="1:24">
      <c r="A2548">
        <f>HYPERLINK("https://www.philgeps.gov.ph/GEPSNONPILOT/Tender/SplashBidNoticeAbstractUI.aspx?menuIndex=3&amp;refID=7041254&amp;Result=3","7041254")</f>
        <v>0</v>
      </c>
      <c r="B2548" t="s">
        <v>971</v>
      </c>
      <c r="C2548" t="s">
        <v>5119</v>
      </c>
      <c r="D2548" t="s">
        <v>12999</v>
      </c>
      <c r="E2548" t="s">
        <v>15391</v>
      </c>
      <c r="F2548" t="s">
        <v>22436</v>
      </c>
      <c r="G2548" t="s">
        <v>22443</v>
      </c>
      <c r="H2548" t="s">
        <v>22452</v>
      </c>
      <c r="I2548" t="s">
        <v>3529</v>
      </c>
      <c r="J2548" t="s">
        <v>24345</v>
      </c>
      <c r="K2548" t="s">
        <v>29341</v>
      </c>
      <c r="M2548" t="s">
        <v>30591</v>
      </c>
      <c r="N2548" t="s">
        <v>32524</v>
      </c>
      <c r="O2548" t="s">
        <v>32525</v>
      </c>
      <c r="P2548">
        <v>0</v>
      </c>
      <c r="Q2548">
        <v>0</v>
      </c>
      <c r="R2548" t="s">
        <v>32527</v>
      </c>
      <c r="S2548" t="s">
        <v>32552</v>
      </c>
      <c r="T2548" t="s">
        <v>33220</v>
      </c>
      <c r="U2548" t="s">
        <v>35794</v>
      </c>
      <c r="W2548" t="s">
        <v>30591</v>
      </c>
      <c r="X2548" t="s">
        <v>32531</v>
      </c>
    </row>
    <row r="2549" spans="1:24">
      <c r="A2549">
        <f>HYPERLINK("https://www.philgeps.gov.ph/GEPSNONPILOT/Tender/SplashBidNoticeAbstractUI.aspx?menuIndex=3&amp;refID=7041349&amp;Result=3","7041349")</f>
        <v>0</v>
      </c>
      <c r="B2549" t="s">
        <v>46</v>
      </c>
      <c r="C2549" t="s">
        <v>5120</v>
      </c>
      <c r="D2549" t="s">
        <v>13006</v>
      </c>
      <c r="E2549" t="s">
        <v>15392</v>
      </c>
      <c r="F2549" t="s">
        <v>22436</v>
      </c>
      <c r="G2549" t="s">
        <v>22444</v>
      </c>
      <c r="H2549" t="s">
        <v>22452</v>
      </c>
      <c r="I2549" t="s">
        <v>22460</v>
      </c>
      <c r="J2549" t="s">
        <v>24346</v>
      </c>
      <c r="K2549" t="s">
        <v>29330</v>
      </c>
      <c r="M2549" t="s">
        <v>30566</v>
      </c>
      <c r="N2549" t="s">
        <v>32524</v>
      </c>
      <c r="O2549" t="s">
        <v>32525</v>
      </c>
      <c r="P2549">
        <v>0</v>
      </c>
      <c r="Q2549">
        <v>0</v>
      </c>
      <c r="R2549" t="s">
        <v>32527</v>
      </c>
      <c r="S2549" t="s">
        <v>32552</v>
      </c>
      <c r="T2549" t="s">
        <v>33324</v>
      </c>
      <c r="U2549" t="s">
        <v>35795</v>
      </c>
      <c r="V2549" t="s">
        <v>42657</v>
      </c>
      <c r="W2549" t="s">
        <v>30566</v>
      </c>
      <c r="X2549" t="s">
        <v>32531</v>
      </c>
    </row>
    <row r="2550" spans="1:24">
      <c r="A2550">
        <f>HYPERLINK("https://www.philgeps.gov.ph/GEPSNONPILOT/Tender/SplashBidNoticeAbstractUI.aspx?menuIndex=3&amp;refID=7041263&amp;Result=3","7041263")</f>
        <v>0</v>
      </c>
      <c r="B2550" t="s">
        <v>972</v>
      </c>
      <c r="C2550" t="s">
        <v>5121</v>
      </c>
      <c r="D2550" t="s">
        <v>13031</v>
      </c>
      <c r="E2550" t="s">
        <v>15393</v>
      </c>
      <c r="F2550" t="s">
        <v>22436</v>
      </c>
      <c r="G2550" t="s">
        <v>22443</v>
      </c>
      <c r="H2550" t="s">
        <v>22452</v>
      </c>
      <c r="I2550" t="s">
        <v>22508</v>
      </c>
      <c r="J2550" t="s">
        <v>24347</v>
      </c>
      <c r="K2550" t="s">
        <v>29338</v>
      </c>
      <c r="M2550" t="s">
        <v>30592</v>
      </c>
      <c r="N2550" t="s">
        <v>32524</v>
      </c>
      <c r="O2550" t="s">
        <v>32525</v>
      </c>
      <c r="P2550">
        <v>0</v>
      </c>
      <c r="Q2550">
        <v>4</v>
      </c>
      <c r="R2550" t="s">
        <v>32527</v>
      </c>
      <c r="S2550" t="s">
        <v>32552</v>
      </c>
      <c r="T2550" t="s">
        <v>33185</v>
      </c>
      <c r="U2550" t="s">
        <v>35796</v>
      </c>
      <c r="W2550" t="s">
        <v>30592</v>
      </c>
      <c r="X2550" t="s">
        <v>32531</v>
      </c>
    </row>
    <row r="2551" spans="1:24">
      <c r="A2551">
        <f>HYPERLINK("https://www.philgeps.gov.ph/GEPSNONPILOT/Tender/SplashBidNoticeAbstractUI.aspx?menuIndex=3&amp;refID=7041342&amp;Result=3","7041342")</f>
        <v>0</v>
      </c>
      <c r="B2551" t="s">
        <v>46</v>
      </c>
      <c r="C2551" t="s">
        <v>5122</v>
      </c>
      <c r="D2551" t="s">
        <v>13006</v>
      </c>
      <c r="E2551" t="s">
        <v>15394</v>
      </c>
      <c r="F2551" t="s">
        <v>22436</v>
      </c>
      <c r="G2551" t="s">
        <v>22444</v>
      </c>
      <c r="H2551" t="s">
        <v>22452</v>
      </c>
      <c r="I2551" t="s">
        <v>22502</v>
      </c>
      <c r="J2551" t="s">
        <v>22747</v>
      </c>
      <c r="K2551" t="s">
        <v>29330</v>
      </c>
      <c r="M2551" t="s">
        <v>30566</v>
      </c>
      <c r="N2551" t="s">
        <v>32524</v>
      </c>
      <c r="O2551" t="s">
        <v>32525</v>
      </c>
      <c r="P2551">
        <v>0</v>
      </c>
      <c r="Q2551">
        <v>5</v>
      </c>
      <c r="R2551" t="s">
        <v>32527</v>
      </c>
      <c r="S2551" t="s">
        <v>32552</v>
      </c>
      <c r="T2551" t="s">
        <v>33324</v>
      </c>
      <c r="U2551" t="s">
        <v>35797</v>
      </c>
      <c r="V2551" t="s">
        <v>42657</v>
      </c>
      <c r="W2551" t="s">
        <v>30566</v>
      </c>
      <c r="X2551" t="s">
        <v>32531</v>
      </c>
    </row>
    <row r="2552" spans="1:24">
      <c r="A2552">
        <f>HYPERLINK("https://www.philgeps.gov.ph/GEPSNONPILOT/Tender/SplashBidNoticeAbstractUI.aspx?menuIndex=3&amp;refID=7041340&amp;Result=3","7041340")</f>
        <v>0</v>
      </c>
      <c r="B2552" t="s">
        <v>972</v>
      </c>
      <c r="C2552" t="s">
        <v>5123</v>
      </c>
      <c r="D2552" t="s">
        <v>13031</v>
      </c>
      <c r="E2552" t="s">
        <v>15395</v>
      </c>
      <c r="F2552" t="s">
        <v>22436</v>
      </c>
      <c r="G2552" t="s">
        <v>22443</v>
      </c>
      <c r="H2552" t="s">
        <v>22452</v>
      </c>
      <c r="I2552" t="s">
        <v>22463</v>
      </c>
      <c r="J2552" t="s">
        <v>24348</v>
      </c>
      <c r="K2552" t="s">
        <v>29338</v>
      </c>
      <c r="M2552" t="s">
        <v>30592</v>
      </c>
      <c r="N2552" t="s">
        <v>32524</v>
      </c>
      <c r="O2552" t="s">
        <v>32525</v>
      </c>
      <c r="P2552">
        <v>0</v>
      </c>
      <c r="Q2552">
        <v>13</v>
      </c>
      <c r="R2552" t="s">
        <v>32527</v>
      </c>
      <c r="S2552" t="s">
        <v>32552</v>
      </c>
      <c r="T2552" t="s">
        <v>33185</v>
      </c>
      <c r="U2552" t="s">
        <v>35796</v>
      </c>
      <c r="W2552" t="s">
        <v>30592</v>
      </c>
      <c r="X2552" t="s">
        <v>32531</v>
      </c>
    </row>
    <row r="2553" spans="1:24">
      <c r="A2553">
        <f>HYPERLINK("https://www.philgeps.gov.ph/GEPSNONPILOT/Tender/SplashBidNoticeAbstractUI.aspx?menuIndex=3&amp;refID=7041250&amp;Result=3","7041250")</f>
        <v>0</v>
      </c>
      <c r="B2553" t="s">
        <v>972</v>
      </c>
      <c r="C2553" t="s">
        <v>5124</v>
      </c>
      <c r="D2553" t="s">
        <v>13031</v>
      </c>
      <c r="E2553" t="s">
        <v>15396</v>
      </c>
      <c r="F2553" t="s">
        <v>22436</v>
      </c>
      <c r="G2553" t="s">
        <v>22443</v>
      </c>
      <c r="H2553" t="s">
        <v>22452</v>
      </c>
      <c r="I2553" t="s">
        <v>22469</v>
      </c>
      <c r="J2553" t="s">
        <v>24349</v>
      </c>
      <c r="K2553" t="s">
        <v>29338</v>
      </c>
      <c r="M2553" t="s">
        <v>30592</v>
      </c>
      <c r="N2553" t="s">
        <v>32524</v>
      </c>
      <c r="O2553" t="s">
        <v>32525</v>
      </c>
      <c r="P2553">
        <v>0</v>
      </c>
      <c r="Q2553">
        <v>9</v>
      </c>
      <c r="R2553" t="s">
        <v>32527</v>
      </c>
      <c r="S2553" t="s">
        <v>32552</v>
      </c>
      <c r="T2553" t="s">
        <v>33202</v>
      </c>
      <c r="U2553" t="s">
        <v>35798</v>
      </c>
      <c r="W2553" t="s">
        <v>30592</v>
      </c>
      <c r="X2553" t="s">
        <v>32531</v>
      </c>
    </row>
    <row r="2554" spans="1:24">
      <c r="A2554">
        <f>HYPERLINK("https://www.philgeps.gov.ph/GEPSNONPILOT/Tender/SplashBidNoticeAbstractUI.aspx?menuIndex=3&amp;refID=7041337&amp;Result=3","7041337")</f>
        <v>0</v>
      </c>
      <c r="B2554" t="s">
        <v>973</v>
      </c>
      <c r="C2554" t="s">
        <v>5125</v>
      </c>
      <c r="D2554" t="s">
        <v>13018</v>
      </c>
      <c r="E2554" t="s">
        <v>15397</v>
      </c>
      <c r="F2554" t="s">
        <v>22436</v>
      </c>
      <c r="G2554" t="s">
        <v>22443</v>
      </c>
      <c r="H2554" t="s">
        <v>22452</v>
      </c>
      <c r="I2554" t="s">
        <v>22520</v>
      </c>
      <c r="J2554" t="s">
        <v>22654</v>
      </c>
      <c r="K2554" t="s">
        <v>29335</v>
      </c>
      <c r="M2554" t="s">
        <v>30593</v>
      </c>
      <c r="N2554" t="s">
        <v>32524</v>
      </c>
      <c r="O2554" t="s">
        <v>32525</v>
      </c>
      <c r="P2554">
        <v>0</v>
      </c>
      <c r="Q2554">
        <v>2</v>
      </c>
      <c r="R2554" t="s">
        <v>32527</v>
      </c>
      <c r="S2554" t="s">
        <v>32552</v>
      </c>
      <c r="T2554" t="s">
        <v>33310</v>
      </c>
      <c r="U2554" t="s">
        <v>35799</v>
      </c>
      <c r="V2554" t="s">
        <v>42669</v>
      </c>
      <c r="W2554" t="s">
        <v>30593</v>
      </c>
      <c r="X2554" t="s">
        <v>32531</v>
      </c>
    </row>
    <row r="2555" spans="1:24">
      <c r="A2555">
        <f>HYPERLINK("https://www.philgeps.gov.ph/GEPSNONPILOT/Tender/SplashBidNoticeAbstractUI.aspx?menuIndex=3&amp;refID=7041309&amp;Result=3","7041309")</f>
        <v>0</v>
      </c>
      <c r="B2555" t="s">
        <v>974</v>
      </c>
      <c r="C2555" t="s">
        <v>5126</v>
      </c>
      <c r="D2555" t="s">
        <v>13073</v>
      </c>
      <c r="E2555" t="s">
        <v>15398</v>
      </c>
      <c r="F2555" t="s">
        <v>22436</v>
      </c>
      <c r="G2555" t="s">
        <v>22447</v>
      </c>
      <c r="H2555" t="s">
        <v>22452</v>
      </c>
      <c r="I2555" t="s">
        <v>22525</v>
      </c>
      <c r="J2555" t="s">
        <v>24183</v>
      </c>
      <c r="K2555" t="s">
        <v>29341</v>
      </c>
      <c r="L2555" t="s">
        <v>974</v>
      </c>
      <c r="M2555" t="s">
        <v>30594</v>
      </c>
      <c r="N2555" t="s">
        <v>32524</v>
      </c>
      <c r="O2555" t="s">
        <v>32525</v>
      </c>
      <c r="P2555">
        <v>0</v>
      </c>
      <c r="Q2555">
        <v>10</v>
      </c>
      <c r="R2555" t="s">
        <v>32527</v>
      </c>
      <c r="S2555" t="s">
        <v>32552</v>
      </c>
      <c r="T2555" t="s">
        <v>33209</v>
      </c>
      <c r="U2555" t="s">
        <v>35800</v>
      </c>
      <c r="V2555" t="s">
        <v>42670</v>
      </c>
      <c r="W2555" t="s">
        <v>30594</v>
      </c>
      <c r="X2555" t="s">
        <v>32531</v>
      </c>
    </row>
    <row r="2556" spans="1:24">
      <c r="A2556">
        <f>HYPERLINK("https://www.philgeps.gov.ph/GEPSNONPILOT/Tender/SplashBidNoticeAbstractUI.aspx?menuIndex=3&amp;refID=7041252&amp;Result=3","7041252")</f>
        <v>0</v>
      </c>
      <c r="B2556" t="s">
        <v>140</v>
      </c>
      <c r="C2556" t="s">
        <v>5127</v>
      </c>
      <c r="D2556" t="s">
        <v>12988</v>
      </c>
      <c r="E2556" t="s">
        <v>15399</v>
      </c>
      <c r="F2556" t="s">
        <v>22436</v>
      </c>
      <c r="G2556" t="s">
        <v>22443</v>
      </c>
      <c r="H2556" t="s">
        <v>22452</v>
      </c>
      <c r="I2556" t="s">
        <v>22480</v>
      </c>
      <c r="J2556" t="s">
        <v>24350</v>
      </c>
      <c r="K2556" t="s">
        <v>29338</v>
      </c>
      <c r="M2556" t="s">
        <v>29712</v>
      </c>
      <c r="N2556" t="s">
        <v>32524</v>
      </c>
      <c r="O2556" t="s">
        <v>32525</v>
      </c>
      <c r="P2556">
        <v>0</v>
      </c>
      <c r="Q2556">
        <v>1</v>
      </c>
      <c r="R2556" t="s">
        <v>32527</v>
      </c>
      <c r="S2556" t="s">
        <v>32552</v>
      </c>
      <c r="T2556" t="s">
        <v>33203</v>
      </c>
      <c r="U2556" t="s">
        <v>35801</v>
      </c>
      <c r="W2556" t="s">
        <v>29712</v>
      </c>
      <c r="X2556" t="s">
        <v>32531</v>
      </c>
    </row>
    <row r="2557" spans="1:24">
      <c r="A2557">
        <f>HYPERLINK("https://www.philgeps.gov.ph/GEPSNONPILOT/Tender/SplashBidNoticeAbstractUI.aspx?menuIndex=3&amp;refID=7041296&amp;Result=3","7041296")</f>
        <v>0</v>
      </c>
      <c r="B2557" t="s">
        <v>972</v>
      </c>
      <c r="C2557" t="s">
        <v>5128</v>
      </c>
      <c r="D2557" t="s">
        <v>13031</v>
      </c>
      <c r="E2557" t="s">
        <v>15400</v>
      </c>
      <c r="F2557" t="s">
        <v>22436</v>
      </c>
      <c r="G2557" t="s">
        <v>22443</v>
      </c>
      <c r="H2557" t="s">
        <v>22452</v>
      </c>
      <c r="I2557" t="s">
        <v>12358</v>
      </c>
      <c r="J2557" t="s">
        <v>24351</v>
      </c>
      <c r="K2557" t="s">
        <v>29338</v>
      </c>
      <c r="M2557" t="s">
        <v>30592</v>
      </c>
      <c r="N2557" t="s">
        <v>32524</v>
      </c>
      <c r="O2557" t="s">
        <v>32525</v>
      </c>
      <c r="P2557">
        <v>0</v>
      </c>
      <c r="Q2557">
        <v>0</v>
      </c>
      <c r="R2557" t="s">
        <v>32527</v>
      </c>
      <c r="S2557" t="s">
        <v>32552</v>
      </c>
      <c r="T2557" t="s">
        <v>33185</v>
      </c>
      <c r="U2557" t="s">
        <v>35796</v>
      </c>
      <c r="W2557" t="s">
        <v>30592</v>
      </c>
      <c r="X2557" t="s">
        <v>32531</v>
      </c>
    </row>
    <row r="2558" spans="1:24">
      <c r="A2558">
        <f>HYPERLINK("https://www.philgeps.gov.ph/GEPSNONPILOT/Tender/SplashBidNoticeAbstractUI.aspx?menuIndex=3&amp;refID=7041227&amp;Result=3","7041227")</f>
        <v>0</v>
      </c>
      <c r="B2558" t="s">
        <v>121</v>
      </c>
      <c r="C2558" t="s">
        <v>5129</v>
      </c>
      <c r="D2558" t="s">
        <v>13034</v>
      </c>
      <c r="E2558" t="s">
        <v>15401</v>
      </c>
      <c r="F2558" t="s">
        <v>22436</v>
      </c>
      <c r="G2558" t="s">
        <v>22444</v>
      </c>
      <c r="H2558" t="s">
        <v>22454</v>
      </c>
      <c r="I2558" t="s">
        <v>7738</v>
      </c>
      <c r="J2558" t="s">
        <v>24352</v>
      </c>
      <c r="K2558" t="s">
        <v>29352</v>
      </c>
      <c r="M2558" t="s">
        <v>30585</v>
      </c>
      <c r="N2558" t="s">
        <v>32524</v>
      </c>
      <c r="O2558" t="s">
        <v>32525</v>
      </c>
      <c r="P2558">
        <v>0</v>
      </c>
      <c r="Q2558">
        <v>0</v>
      </c>
      <c r="R2558" t="s">
        <v>32527</v>
      </c>
      <c r="S2558" t="s">
        <v>32552</v>
      </c>
      <c r="T2558" t="s">
        <v>33241</v>
      </c>
      <c r="U2558" t="s">
        <v>35802</v>
      </c>
      <c r="V2558" t="s">
        <v>42671</v>
      </c>
      <c r="W2558" t="s">
        <v>30585</v>
      </c>
      <c r="X2558" t="s">
        <v>32531</v>
      </c>
    </row>
    <row r="2559" spans="1:24">
      <c r="A2559">
        <f>HYPERLINK("https://www.philgeps.gov.ph/GEPSNONPILOT/Tender/SplashBidNoticeAbstractUI.aspx?menuIndex=3&amp;refID=7041359&amp;Result=3","7041359")</f>
        <v>0</v>
      </c>
      <c r="B2559" t="s">
        <v>466</v>
      </c>
      <c r="C2559" t="s">
        <v>5130</v>
      </c>
      <c r="D2559" t="s">
        <v>13045</v>
      </c>
      <c r="E2559" t="s">
        <v>15402</v>
      </c>
      <c r="F2559" t="s">
        <v>22436</v>
      </c>
      <c r="G2559" t="s">
        <v>22443</v>
      </c>
      <c r="H2559" t="s">
        <v>22452</v>
      </c>
      <c r="I2559" t="s">
        <v>22509</v>
      </c>
      <c r="J2559" t="s">
        <v>24353</v>
      </c>
      <c r="K2559" t="s">
        <v>29338</v>
      </c>
      <c r="M2559" t="s">
        <v>30595</v>
      </c>
      <c r="N2559" t="s">
        <v>32524</v>
      </c>
      <c r="O2559" t="s">
        <v>32525</v>
      </c>
      <c r="P2559">
        <v>0</v>
      </c>
      <c r="Q2559">
        <v>6</v>
      </c>
      <c r="R2559" t="s">
        <v>32527</v>
      </c>
      <c r="S2559" t="s">
        <v>32552</v>
      </c>
      <c r="T2559" t="s">
        <v>33209</v>
      </c>
      <c r="U2559" t="s">
        <v>35803</v>
      </c>
      <c r="W2559" t="s">
        <v>30595</v>
      </c>
      <c r="X2559" t="s">
        <v>32531</v>
      </c>
    </row>
    <row r="2560" spans="1:24">
      <c r="A2560">
        <f>HYPERLINK("https://www.philgeps.gov.ph/GEPSNONPILOT/Tender/SplashBidNoticeAbstractUI.aspx?menuIndex=3&amp;refID=7041216&amp;Result=3","7041216")</f>
        <v>0</v>
      </c>
      <c r="B2560" t="s">
        <v>974</v>
      </c>
      <c r="C2560" t="s">
        <v>5131</v>
      </c>
      <c r="D2560" t="s">
        <v>13073</v>
      </c>
      <c r="E2560" t="s">
        <v>15403</v>
      </c>
      <c r="F2560" t="s">
        <v>22436</v>
      </c>
      <c r="G2560" t="s">
        <v>22447</v>
      </c>
      <c r="H2560" t="s">
        <v>22452</v>
      </c>
      <c r="I2560" t="s">
        <v>22525</v>
      </c>
      <c r="J2560" t="s">
        <v>24354</v>
      </c>
      <c r="K2560" t="s">
        <v>29341</v>
      </c>
      <c r="L2560" t="s">
        <v>974</v>
      </c>
      <c r="M2560" t="s">
        <v>30594</v>
      </c>
      <c r="N2560" t="s">
        <v>32524</v>
      </c>
      <c r="O2560" t="s">
        <v>32525</v>
      </c>
      <c r="P2560">
        <v>0</v>
      </c>
      <c r="Q2560">
        <v>9</v>
      </c>
      <c r="R2560" t="s">
        <v>32527</v>
      </c>
      <c r="S2560" t="s">
        <v>32552</v>
      </c>
      <c r="T2560" t="s">
        <v>33209</v>
      </c>
      <c r="U2560" t="s">
        <v>35800</v>
      </c>
      <c r="V2560" t="s">
        <v>42670</v>
      </c>
      <c r="W2560" t="s">
        <v>30594</v>
      </c>
      <c r="X2560" t="s">
        <v>32531</v>
      </c>
    </row>
    <row r="2561" spans="1:24">
      <c r="A2561">
        <f>HYPERLINK("https://www.philgeps.gov.ph/GEPSNONPILOT/Tender/SplashBidNoticeAbstractUI.aspx?menuIndex=3&amp;refID=7041273&amp;Result=3","7041273")</f>
        <v>0</v>
      </c>
      <c r="B2561" t="s">
        <v>972</v>
      </c>
      <c r="C2561" t="s">
        <v>5132</v>
      </c>
      <c r="D2561" t="s">
        <v>13031</v>
      </c>
      <c r="E2561" t="s">
        <v>15404</v>
      </c>
      <c r="F2561" t="s">
        <v>22436</v>
      </c>
      <c r="G2561" t="s">
        <v>22443</v>
      </c>
      <c r="H2561" t="s">
        <v>22452</v>
      </c>
      <c r="I2561" t="s">
        <v>22456</v>
      </c>
      <c r="J2561" t="s">
        <v>24355</v>
      </c>
      <c r="K2561" t="s">
        <v>29338</v>
      </c>
      <c r="M2561" t="s">
        <v>30592</v>
      </c>
      <c r="N2561" t="s">
        <v>32524</v>
      </c>
      <c r="O2561" t="s">
        <v>32525</v>
      </c>
      <c r="P2561">
        <v>0</v>
      </c>
      <c r="Q2561">
        <v>7</v>
      </c>
      <c r="R2561" t="s">
        <v>32527</v>
      </c>
      <c r="S2561" t="s">
        <v>32552</v>
      </c>
      <c r="T2561" t="s">
        <v>33185</v>
      </c>
      <c r="U2561" t="s">
        <v>35804</v>
      </c>
      <c r="W2561" t="s">
        <v>30592</v>
      </c>
      <c r="X2561" t="s">
        <v>32531</v>
      </c>
    </row>
    <row r="2562" spans="1:24">
      <c r="A2562">
        <f>HYPERLINK("https://www.philgeps.gov.ph/GEPSNONPILOT/Tender/SplashBidNoticeAbstractUI.aspx?menuIndex=3&amp;refID=7041353&amp;Result=3","7041353")</f>
        <v>0</v>
      </c>
      <c r="B2562" t="s">
        <v>960</v>
      </c>
      <c r="C2562" t="s">
        <v>5133</v>
      </c>
      <c r="D2562" t="s">
        <v>12990</v>
      </c>
      <c r="E2562" t="s">
        <v>15405</v>
      </c>
      <c r="F2562" t="s">
        <v>22436</v>
      </c>
      <c r="G2562" t="s">
        <v>22444</v>
      </c>
      <c r="H2562" t="s">
        <v>22452</v>
      </c>
      <c r="I2562" t="s">
        <v>22511</v>
      </c>
      <c r="J2562" t="s">
        <v>23198</v>
      </c>
      <c r="K2562" t="s">
        <v>29335</v>
      </c>
      <c r="M2562" t="s">
        <v>30576</v>
      </c>
      <c r="N2562" t="s">
        <v>32524</v>
      </c>
      <c r="O2562" t="s">
        <v>32525</v>
      </c>
      <c r="P2562">
        <v>0</v>
      </c>
      <c r="Q2562">
        <v>2</v>
      </c>
      <c r="R2562" t="s">
        <v>32527</v>
      </c>
      <c r="S2562" t="s">
        <v>32552</v>
      </c>
      <c r="T2562" t="s">
        <v>33216</v>
      </c>
      <c r="U2562" t="s">
        <v>35805</v>
      </c>
      <c r="W2562" t="s">
        <v>30576</v>
      </c>
      <c r="X2562" t="s">
        <v>32531</v>
      </c>
    </row>
    <row r="2563" spans="1:24">
      <c r="A2563">
        <f>HYPERLINK("https://www.philgeps.gov.ph/GEPSNONPILOT/Tender/SplashBidNoticeAbstractUI.aspx?menuIndex=3&amp;refID=7041483&amp;Result=3","7041483")</f>
        <v>0</v>
      </c>
      <c r="B2563" t="s">
        <v>975</v>
      </c>
      <c r="C2563" t="s">
        <v>5134</v>
      </c>
      <c r="D2563" t="s">
        <v>12990</v>
      </c>
      <c r="E2563" t="s">
        <v>14829</v>
      </c>
      <c r="F2563" t="s">
        <v>22436</v>
      </c>
      <c r="G2563" t="s">
        <v>22444</v>
      </c>
      <c r="H2563" t="s">
        <v>22454</v>
      </c>
      <c r="I2563" t="s">
        <v>7738</v>
      </c>
      <c r="J2563" t="s">
        <v>24356</v>
      </c>
      <c r="K2563" t="s">
        <v>29335</v>
      </c>
      <c r="M2563" t="s">
        <v>30596</v>
      </c>
      <c r="N2563" t="s">
        <v>32524</v>
      </c>
      <c r="O2563" t="s">
        <v>32525</v>
      </c>
      <c r="P2563">
        <v>0</v>
      </c>
      <c r="Q2563">
        <v>0</v>
      </c>
      <c r="R2563" t="s">
        <v>32527</v>
      </c>
      <c r="S2563" t="s">
        <v>32552</v>
      </c>
      <c r="T2563" t="s">
        <v>33368</v>
      </c>
      <c r="U2563" t="s">
        <v>35806</v>
      </c>
      <c r="W2563" t="s">
        <v>30596</v>
      </c>
      <c r="X2563" t="s">
        <v>32531</v>
      </c>
    </row>
    <row r="2564" spans="1:24">
      <c r="A2564">
        <f>HYPERLINK("https://www.philgeps.gov.ph/GEPSNONPILOT/Tender/SplashBidNoticeAbstractUI.aspx?menuIndex=3&amp;refID=7041360&amp;Result=3","7041360")</f>
        <v>0</v>
      </c>
      <c r="B2564" t="s">
        <v>46</v>
      </c>
      <c r="C2564" t="s">
        <v>5135</v>
      </c>
      <c r="D2564" t="s">
        <v>13006</v>
      </c>
      <c r="E2564" t="s">
        <v>15406</v>
      </c>
      <c r="F2564" t="s">
        <v>22436</v>
      </c>
      <c r="G2564" t="s">
        <v>22444</v>
      </c>
      <c r="H2564" t="s">
        <v>22452</v>
      </c>
      <c r="I2564" t="s">
        <v>22502</v>
      </c>
      <c r="J2564" t="s">
        <v>24357</v>
      </c>
      <c r="K2564" t="s">
        <v>29330</v>
      </c>
      <c r="M2564" t="s">
        <v>30566</v>
      </c>
      <c r="N2564" t="s">
        <v>32524</v>
      </c>
      <c r="O2564" t="s">
        <v>32525</v>
      </c>
      <c r="P2564">
        <v>0</v>
      </c>
      <c r="Q2564">
        <v>5</v>
      </c>
      <c r="R2564" t="s">
        <v>32527</v>
      </c>
      <c r="S2564" t="s">
        <v>32552</v>
      </c>
      <c r="T2564" t="s">
        <v>33324</v>
      </c>
      <c r="U2564" t="s">
        <v>35807</v>
      </c>
      <c r="V2564" t="s">
        <v>42657</v>
      </c>
      <c r="W2564" t="s">
        <v>30566</v>
      </c>
      <c r="X2564" t="s">
        <v>32531</v>
      </c>
    </row>
    <row r="2565" spans="1:24">
      <c r="A2565">
        <f>HYPERLINK("https://www.philgeps.gov.ph/GEPSNONPILOT/Tender/SplashBidNoticeAbstractUI.aspx?menuIndex=3&amp;refID=7041325&amp;Result=3","7041325")</f>
        <v>0</v>
      </c>
      <c r="B2565" t="s">
        <v>46</v>
      </c>
      <c r="C2565" t="s">
        <v>5136</v>
      </c>
      <c r="D2565" t="s">
        <v>13006</v>
      </c>
      <c r="E2565" t="s">
        <v>15407</v>
      </c>
      <c r="F2565" t="s">
        <v>22436</v>
      </c>
      <c r="G2565" t="s">
        <v>22444</v>
      </c>
      <c r="H2565" t="s">
        <v>22452</v>
      </c>
      <c r="I2565" t="s">
        <v>22463</v>
      </c>
      <c r="J2565" t="s">
        <v>24358</v>
      </c>
      <c r="K2565" t="s">
        <v>29330</v>
      </c>
      <c r="M2565" t="s">
        <v>30566</v>
      </c>
      <c r="N2565" t="s">
        <v>32524</v>
      </c>
      <c r="O2565" t="s">
        <v>32525</v>
      </c>
      <c r="P2565">
        <v>0</v>
      </c>
      <c r="Q2565">
        <v>4</v>
      </c>
      <c r="R2565" t="s">
        <v>32527</v>
      </c>
      <c r="S2565" t="s">
        <v>32552</v>
      </c>
      <c r="T2565" t="s">
        <v>33324</v>
      </c>
      <c r="U2565" t="s">
        <v>35808</v>
      </c>
      <c r="V2565" t="s">
        <v>42657</v>
      </c>
      <c r="W2565" t="s">
        <v>30566</v>
      </c>
      <c r="X2565" t="s">
        <v>32531</v>
      </c>
    </row>
    <row r="2566" spans="1:24">
      <c r="A2566">
        <f>HYPERLINK("https://www.philgeps.gov.ph/GEPSNONPILOT/Tender/SplashBidNoticeAbstractUI.aspx?menuIndex=3&amp;refID=7041350&amp;Result=3","7041350")</f>
        <v>0</v>
      </c>
      <c r="B2566" t="s">
        <v>36</v>
      </c>
      <c r="C2566" t="s">
        <v>5137</v>
      </c>
      <c r="D2566" t="s">
        <v>12998</v>
      </c>
      <c r="E2566" t="s">
        <v>5137</v>
      </c>
      <c r="F2566" t="s">
        <v>22436</v>
      </c>
      <c r="G2566" t="s">
        <v>22443</v>
      </c>
      <c r="H2566" t="s">
        <v>22452</v>
      </c>
      <c r="I2566" t="s">
        <v>2981</v>
      </c>
      <c r="J2566" t="s">
        <v>24359</v>
      </c>
      <c r="K2566" t="s">
        <v>29335</v>
      </c>
      <c r="M2566" t="s">
        <v>29606</v>
      </c>
      <c r="N2566" t="s">
        <v>32524</v>
      </c>
      <c r="O2566" t="s">
        <v>32525</v>
      </c>
      <c r="P2566">
        <v>0</v>
      </c>
      <c r="Q2566">
        <v>0</v>
      </c>
      <c r="R2566" t="s">
        <v>32527</v>
      </c>
      <c r="S2566" t="s">
        <v>32552</v>
      </c>
      <c r="T2566" t="s">
        <v>33351</v>
      </c>
      <c r="U2566" t="s">
        <v>35809</v>
      </c>
      <c r="W2566" t="s">
        <v>29606</v>
      </c>
      <c r="X2566" t="s">
        <v>32531</v>
      </c>
    </row>
    <row r="2567" spans="1:24">
      <c r="A2567">
        <f>HYPERLINK("https://www.philgeps.gov.ph/GEPSNONPILOT/Tender/SplashBidNoticeAbstractUI.aspx?menuIndex=3&amp;refID=7041473&amp;Result=3","7041473")</f>
        <v>0</v>
      </c>
      <c r="B2567" t="s">
        <v>976</v>
      </c>
      <c r="C2567" t="s">
        <v>5138</v>
      </c>
      <c r="D2567" t="s">
        <v>13073</v>
      </c>
      <c r="E2567" t="s">
        <v>15408</v>
      </c>
      <c r="F2567" t="s">
        <v>22436</v>
      </c>
      <c r="G2567" t="s">
        <v>22444</v>
      </c>
      <c r="H2567" t="s">
        <v>22452</v>
      </c>
      <c r="I2567" t="s">
        <v>22465</v>
      </c>
      <c r="J2567" t="s">
        <v>24360</v>
      </c>
      <c r="K2567" t="s">
        <v>29331</v>
      </c>
      <c r="M2567" t="s">
        <v>30597</v>
      </c>
      <c r="N2567" t="s">
        <v>32524</v>
      </c>
      <c r="O2567" t="s">
        <v>32525</v>
      </c>
      <c r="P2567">
        <v>0</v>
      </c>
      <c r="Q2567">
        <v>0</v>
      </c>
      <c r="R2567" t="s">
        <v>32527</v>
      </c>
      <c r="S2567" t="s">
        <v>32552</v>
      </c>
      <c r="T2567" t="s">
        <v>33181</v>
      </c>
      <c r="U2567" t="s">
        <v>35810</v>
      </c>
      <c r="W2567" t="s">
        <v>30597</v>
      </c>
      <c r="X2567" t="s">
        <v>32531</v>
      </c>
    </row>
    <row r="2568" spans="1:24">
      <c r="A2568">
        <f>HYPERLINK("https://www.philgeps.gov.ph/GEPSNONPILOT/Tender/SplashBidNoticeAbstractUI.aspx?menuIndex=3&amp;refID=7041458&amp;Result=3","7041458")</f>
        <v>0</v>
      </c>
      <c r="B2568" t="s">
        <v>972</v>
      </c>
      <c r="C2568" t="s">
        <v>5139</v>
      </c>
      <c r="D2568" t="s">
        <v>13031</v>
      </c>
      <c r="E2568" t="s">
        <v>15409</v>
      </c>
      <c r="F2568" t="s">
        <v>22436</v>
      </c>
      <c r="G2568" t="s">
        <v>22443</v>
      </c>
      <c r="H2568" t="s">
        <v>22452</v>
      </c>
      <c r="I2568" t="s">
        <v>11896</v>
      </c>
      <c r="J2568" t="s">
        <v>24361</v>
      </c>
      <c r="K2568" t="s">
        <v>29338</v>
      </c>
      <c r="M2568" t="s">
        <v>30592</v>
      </c>
      <c r="N2568" t="s">
        <v>32524</v>
      </c>
      <c r="O2568" t="s">
        <v>32525</v>
      </c>
      <c r="P2568">
        <v>0</v>
      </c>
      <c r="Q2568">
        <v>1</v>
      </c>
      <c r="R2568" t="s">
        <v>32527</v>
      </c>
      <c r="S2568" t="s">
        <v>32552</v>
      </c>
      <c r="T2568" t="s">
        <v>33185</v>
      </c>
      <c r="U2568" t="s">
        <v>35796</v>
      </c>
      <c r="W2568" t="s">
        <v>30592</v>
      </c>
      <c r="X2568" t="s">
        <v>32531</v>
      </c>
    </row>
    <row r="2569" spans="1:24">
      <c r="A2569">
        <f>HYPERLINK("https://www.philgeps.gov.ph/GEPSNONPILOT/Tender/SplashBidNoticeAbstractUI.aspx?menuIndex=3&amp;refID=7041429&amp;Result=3","7041429")</f>
        <v>0</v>
      </c>
      <c r="B2569" t="s">
        <v>972</v>
      </c>
      <c r="C2569" t="s">
        <v>5140</v>
      </c>
      <c r="D2569" t="s">
        <v>13031</v>
      </c>
      <c r="E2569" t="s">
        <v>15410</v>
      </c>
      <c r="F2569" t="s">
        <v>22436</v>
      </c>
      <c r="G2569" t="s">
        <v>22443</v>
      </c>
      <c r="H2569" t="s">
        <v>22452</v>
      </c>
      <c r="I2569" t="s">
        <v>2981</v>
      </c>
      <c r="J2569" t="s">
        <v>24362</v>
      </c>
      <c r="K2569" t="s">
        <v>29338</v>
      </c>
      <c r="M2569" t="s">
        <v>30592</v>
      </c>
      <c r="N2569" t="s">
        <v>32524</v>
      </c>
      <c r="O2569" t="s">
        <v>32525</v>
      </c>
      <c r="P2569">
        <v>0</v>
      </c>
      <c r="Q2569">
        <v>0</v>
      </c>
      <c r="R2569" t="s">
        <v>32527</v>
      </c>
      <c r="S2569" t="s">
        <v>32552</v>
      </c>
      <c r="T2569" t="s">
        <v>33185</v>
      </c>
      <c r="U2569" t="s">
        <v>35796</v>
      </c>
      <c r="W2569" t="s">
        <v>30592</v>
      </c>
      <c r="X2569" t="s">
        <v>32531</v>
      </c>
    </row>
    <row r="2570" spans="1:24">
      <c r="A2570">
        <f>HYPERLINK("https://www.philgeps.gov.ph/GEPSNONPILOT/Tender/SplashBidNoticeAbstractUI.aspx?menuIndex=3&amp;refID=7041459&amp;Result=3","7041459")</f>
        <v>0</v>
      </c>
      <c r="B2570" t="s">
        <v>975</v>
      </c>
      <c r="C2570" t="s">
        <v>5141</v>
      </c>
      <c r="D2570" t="s">
        <v>12990</v>
      </c>
      <c r="E2570" t="s">
        <v>14829</v>
      </c>
      <c r="F2570" t="s">
        <v>22436</v>
      </c>
      <c r="G2570" t="s">
        <v>22444</v>
      </c>
      <c r="H2570" t="s">
        <v>22452</v>
      </c>
      <c r="I2570" t="s">
        <v>2962</v>
      </c>
      <c r="J2570" t="s">
        <v>22605</v>
      </c>
      <c r="K2570" t="s">
        <v>29341</v>
      </c>
      <c r="M2570" t="s">
        <v>30596</v>
      </c>
      <c r="N2570" t="s">
        <v>32524</v>
      </c>
      <c r="O2570" t="s">
        <v>32525</v>
      </c>
      <c r="P2570">
        <v>0</v>
      </c>
      <c r="Q2570">
        <v>0</v>
      </c>
      <c r="R2570" t="s">
        <v>32527</v>
      </c>
      <c r="S2570" t="s">
        <v>32552</v>
      </c>
      <c r="T2570" t="s">
        <v>33155</v>
      </c>
      <c r="U2570" t="s">
        <v>35811</v>
      </c>
      <c r="W2570" t="s">
        <v>30596</v>
      </c>
      <c r="X2570" t="s">
        <v>32531</v>
      </c>
    </row>
    <row r="2571" spans="1:24">
      <c r="A2571">
        <f>HYPERLINK("https://www.philgeps.gov.ph/GEPSNONPILOT/Tender/SplashBidNoticeAbstractUI.aspx?menuIndex=3&amp;refID=7041497&amp;Result=3","7041497")</f>
        <v>0</v>
      </c>
      <c r="B2571" t="s">
        <v>972</v>
      </c>
      <c r="C2571" t="s">
        <v>5142</v>
      </c>
      <c r="D2571" t="s">
        <v>13031</v>
      </c>
      <c r="E2571" t="s">
        <v>15411</v>
      </c>
      <c r="F2571" t="s">
        <v>22436</v>
      </c>
      <c r="G2571" t="s">
        <v>22443</v>
      </c>
      <c r="H2571" t="s">
        <v>22452</v>
      </c>
      <c r="I2571" t="s">
        <v>22482</v>
      </c>
      <c r="J2571" t="s">
        <v>24363</v>
      </c>
      <c r="K2571" t="s">
        <v>29338</v>
      </c>
      <c r="M2571" t="s">
        <v>30592</v>
      </c>
      <c r="N2571" t="s">
        <v>32524</v>
      </c>
      <c r="O2571" t="s">
        <v>32525</v>
      </c>
      <c r="P2571">
        <v>0</v>
      </c>
      <c r="Q2571">
        <v>4</v>
      </c>
      <c r="R2571" t="s">
        <v>32527</v>
      </c>
      <c r="S2571" t="s">
        <v>32552</v>
      </c>
      <c r="T2571" t="s">
        <v>33185</v>
      </c>
      <c r="U2571" t="s">
        <v>35796</v>
      </c>
      <c r="W2571" t="s">
        <v>30592</v>
      </c>
      <c r="X2571" t="s">
        <v>32531</v>
      </c>
    </row>
    <row r="2572" spans="1:24">
      <c r="A2572">
        <f>HYPERLINK("https://www.philgeps.gov.ph/GEPSNONPILOT/Tender/SplashBidNoticeAbstractUI.aspx?menuIndex=3&amp;refID=7041408&amp;Result=3","7041408")</f>
        <v>0</v>
      </c>
      <c r="B2572" t="s">
        <v>972</v>
      </c>
      <c r="C2572" t="s">
        <v>5143</v>
      </c>
      <c r="D2572" t="s">
        <v>13031</v>
      </c>
      <c r="E2572" t="s">
        <v>15412</v>
      </c>
      <c r="F2572" t="s">
        <v>22436</v>
      </c>
      <c r="G2572" t="s">
        <v>22443</v>
      </c>
      <c r="H2572" t="s">
        <v>22452</v>
      </c>
      <c r="I2572" t="s">
        <v>22478</v>
      </c>
      <c r="J2572" t="s">
        <v>22862</v>
      </c>
      <c r="K2572" t="s">
        <v>29338</v>
      </c>
      <c r="M2572" t="s">
        <v>30592</v>
      </c>
      <c r="N2572" t="s">
        <v>32524</v>
      </c>
      <c r="O2572" t="s">
        <v>32525</v>
      </c>
      <c r="P2572">
        <v>0</v>
      </c>
      <c r="Q2572">
        <v>1</v>
      </c>
      <c r="R2572" t="s">
        <v>32527</v>
      </c>
      <c r="S2572" t="s">
        <v>32552</v>
      </c>
      <c r="T2572" t="s">
        <v>33185</v>
      </c>
      <c r="U2572" t="s">
        <v>35812</v>
      </c>
      <c r="W2572" t="s">
        <v>30592</v>
      </c>
      <c r="X2572" t="s">
        <v>32531</v>
      </c>
    </row>
    <row r="2573" spans="1:24">
      <c r="A2573">
        <f>HYPERLINK("https://www.philgeps.gov.ph/GEPSNONPILOT/Tender/SplashBidNoticeAbstractUI.aspx?menuIndex=3&amp;refID=7041401&amp;Result=3","7041401")</f>
        <v>0</v>
      </c>
      <c r="B2573" t="s">
        <v>977</v>
      </c>
      <c r="C2573" t="s">
        <v>5144</v>
      </c>
      <c r="D2573" t="s">
        <v>13039</v>
      </c>
      <c r="E2573" t="s">
        <v>14837</v>
      </c>
      <c r="F2573" t="s">
        <v>22436</v>
      </c>
      <c r="G2573" t="s">
        <v>22444</v>
      </c>
      <c r="H2573" t="s">
        <v>22452</v>
      </c>
      <c r="I2573" t="s">
        <v>3827</v>
      </c>
      <c r="J2573" t="s">
        <v>24364</v>
      </c>
      <c r="K2573" t="s">
        <v>29341</v>
      </c>
      <c r="M2573" t="s">
        <v>30598</v>
      </c>
      <c r="N2573" t="s">
        <v>32524</v>
      </c>
      <c r="O2573" t="s">
        <v>32525</v>
      </c>
      <c r="P2573">
        <v>0</v>
      </c>
      <c r="Q2573">
        <v>3</v>
      </c>
      <c r="R2573" t="s">
        <v>32527</v>
      </c>
      <c r="S2573" t="s">
        <v>32552</v>
      </c>
      <c r="T2573" t="s">
        <v>33177</v>
      </c>
      <c r="U2573" t="s">
        <v>35813</v>
      </c>
      <c r="V2573" t="s">
        <v>42672</v>
      </c>
      <c r="W2573" t="s">
        <v>30598</v>
      </c>
      <c r="X2573" t="s">
        <v>32531</v>
      </c>
    </row>
    <row r="2574" spans="1:24">
      <c r="A2574">
        <f>HYPERLINK("https://www.philgeps.gov.ph/GEPSNONPILOT/Tender/SplashBidNoticeAbstractUI.aspx?menuIndex=3&amp;refID=7041405&amp;Result=3","7041405")</f>
        <v>0</v>
      </c>
      <c r="B2574" t="s">
        <v>919</v>
      </c>
      <c r="C2574" t="s">
        <v>5145</v>
      </c>
      <c r="D2574" t="s">
        <v>12988</v>
      </c>
      <c r="E2574" t="s">
        <v>15413</v>
      </c>
      <c r="F2574" t="s">
        <v>22436</v>
      </c>
      <c r="G2574" t="s">
        <v>22443</v>
      </c>
      <c r="H2574" t="s">
        <v>22452</v>
      </c>
      <c r="I2574" t="s">
        <v>22494</v>
      </c>
      <c r="J2574" t="s">
        <v>24365</v>
      </c>
      <c r="K2574" t="s">
        <v>29336</v>
      </c>
      <c r="M2574" t="s">
        <v>29606</v>
      </c>
      <c r="N2574" t="s">
        <v>32524</v>
      </c>
      <c r="O2574" t="s">
        <v>32525</v>
      </c>
      <c r="P2574">
        <v>0</v>
      </c>
      <c r="Q2574">
        <v>0</v>
      </c>
      <c r="R2574" t="s">
        <v>32527</v>
      </c>
      <c r="S2574" t="s">
        <v>32552</v>
      </c>
      <c r="T2574" t="s">
        <v>33220</v>
      </c>
      <c r="U2574" t="s">
        <v>35814</v>
      </c>
      <c r="V2574" t="s">
        <v>42673</v>
      </c>
      <c r="W2574" t="s">
        <v>29606</v>
      </c>
      <c r="X2574" t="s">
        <v>32531</v>
      </c>
    </row>
    <row r="2575" spans="1:24">
      <c r="A2575">
        <f>HYPERLINK("https://www.philgeps.gov.ph/GEPSNONPILOT/Tender/SplashBidNoticeAbstractUI.aspx?menuIndex=3&amp;refID=7041397&amp;Result=3","7041397")</f>
        <v>0</v>
      </c>
      <c r="B2575" t="s">
        <v>246</v>
      </c>
      <c r="C2575" t="s">
        <v>5146</v>
      </c>
      <c r="D2575" t="s">
        <v>13006</v>
      </c>
      <c r="E2575" t="s">
        <v>15414</v>
      </c>
      <c r="F2575" t="s">
        <v>22436</v>
      </c>
      <c r="G2575" t="s">
        <v>22444</v>
      </c>
      <c r="H2575" t="s">
        <v>22452</v>
      </c>
      <c r="I2575" t="s">
        <v>22479</v>
      </c>
      <c r="J2575" t="s">
        <v>24366</v>
      </c>
      <c r="K2575" t="s">
        <v>29333</v>
      </c>
      <c r="M2575" t="s">
        <v>30567</v>
      </c>
      <c r="N2575" t="s">
        <v>32524</v>
      </c>
      <c r="O2575" t="s">
        <v>32525</v>
      </c>
      <c r="P2575">
        <v>0</v>
      </c>
      <c r="Q2575">
        <v>2</v>
      </c>
      <c r="R2575" t="s">
        <v>32527</v>
      </c>
      <c r="S2575" t="s">
        <v>32552</v>
      </c>
      <c r="T2575" t="s">
        <v>33277</v>
      </c>
      <c r="U2575" t="s">
        <v>35815</v>
      </c>
      <c r="W2575" t="s">
        <v>30567</v>
      </c>
      <c r="X2575" t="s">
        <v>32531</v>
      </c>
    </row>
    <row r="2576" spans="1:24">
      <c r="A2576">
        <f>HYPERLINK("https://www.philgeps.gov.ph/GEPSNONPILOT/Tender/SplashBidNoticeAbstractUI.aspx?menuIndex=3&amp;refID=7041380&amp;Result=3","7041380")</f>
        <v>0</v>
      </c>
      <c r="B2576" t="s">
        <v>972</v>
      </c>
      <c r="C2576" t="s">
        <v>5147</v>
      </c>
      <c r="D2576" t="s">
        <v>13031</v>
      </c>
      <c r="E2576" t="s">
        <v>15415</v>
      </c>
      <c r="F2576" t="s">
        <v>22436</v>
      </c>
      <c r="G2576" t="s">
        <v>22443</v>
      </c>
      <c r="H2576" t="s">
        <v>22452</v>
      </c>
      <c r="I2576" t="s">
        <v>22478</v>
      </c>
      <c r="J2576" t="s">
        <v>24367</v>
      </c>
      <c r="K2576" t="s">
        <v>29338</v>
      </c>
      <c r="M2576" t="s">
        <v>30592</v>
      </c>
      <c r="N2576" t="s">
        <v>32524</v>
      </c>
      <c r="O2576" t="s">
        <v>32525</v>
      </c>
      <c r="P2576">
        <v>0</v>
      </c>
      <c r="Q2576">
        <v>2</v>
      </c>
      <c r="R2576" t="s">
        <v>32527</v>
      </c>
      <c r="S2576" t="s">
        <v>32552</v>
      </c>
      <c r="T2576" t="s">
        <v>33185</v>
      </c>
      <c r="U2576" t="s">
        <v>35816</v>
      </c>
      <c r="W2576" t="s">
        <v>30592</v>
      </c>
      <c r="X2576" t="s">
        <v>32531</v>
      </c>
    </row>
    <row r="2577" spans="1:24">
      <c r="A2577">
        <f>HYPERLINK("https://www.philgeps.gov.ph/GEPSNONPILOT/Tender/SplashBidNoticeAbstractUI.aspx?menuIndex=3&amp;refID=7041484&amp;Result=3","7041484")</f>
        <v>0</v>
      </c>
      <c r="B2577" t="s">
        <v>720</v>
      </c>
      <c r="C2577" t="s">
        <v>5148</v>
      </c>
      <c r="D2577" t="s">
        <v>13058</v>
      </c>
      <c r="E2577" t="s">
        <v>15416</v>
      </c>
      <c r="F2577" t="s">
        <v>22436</v>
      </c>
      <c r="G2577" t="s">
        <v>22443</v>
      </c>
      <c r="H2577" t="s">
        <v>22452</v>
      </c>
      <c r="I2577" t="s">
        <v>22497</v>
      </c>
      <c r="J2577" t="s">
        <v>23226</v>
      </c>
      <c r="K2577" t="s">
        <v>29336</v>
      </c>
      <c r="M2577" t="s">
        <v>30317</v>
      </c>
      <c r="N2577" t="s">
        <v>32524</v>
      </c>
      <c r="O2577" t="s">
        <v>32525</v>
      </c>
      <c r="P2577">
        <v>0</v>
      </c>
      <c r="Q2577">
        <v>3</v>
      </c>
      <c r="R2577" t="s">
        <v>32527</v>
      </c>
      <c r="S2577" t="s">
        <v>32552</v>
      </c>
      <c r="T2577" t="s">
        <v>33213</v>
      </c>
      <c r="U2577" t="s">
        <v>35817</v>
      </c>
      <c r="W2577" t="s">
        <v>30317</v>
      </c>
      <c r="X2577" t="s">
        <v>32531</v>
      </c>
    </row>
    <row r="2578" spans="1:24">
      <c r="A2578">
        <f>HYPERLINK("https://www.philgeps.gov.ph/GEPSNONPILOT/Tender/SplashBidNoticeAbstractUI.aspx?menuIndex=3&amp;refID=7041534&amp;Result=3","7041534")</f>
        <v>0</v>
      </c>
      <c r="B2578" t="s">
        <v>978</v>
      </c>
      <c r="C2578" t="s">
        <v>5149</v>
      </c>
      <c r="D2578" t="s">
        <v>13032</v>
      </c>
      <c r="E2578" t="s">
        <v>15417</v>
      </c>
      <c r="F2578" t="s">
        <v>22436</v>
      </c>
      <c r="G2578" t="s">
        <v>22444</v>
      </c>
      <c r="H2578" t="s">
        <v>22454</v>
      </c>
      <c r="I2578" t="s">
        <v>7738</v>
      </c>
      <c r="J2578" t="s">
        <v>24368</v>
      </c>
      <c r="K2578" t="s">
        <v>29341</v>
      </c>
      <c r="M2578" t="s">
        <v>30599</v>
      </c>
      <c r="N2578" t="s">
        <v>32524</v>
      </c>
      <c r="O2578" t="s">
        <v>32525</v>
      </c>
      <c r="P2578">
        <v>0</v>
      </c>
      <c r="Q2578">
        <v>0</v>
      </c>
      <c r="R2578" t="s">
        <v>32527</v>
      </c>
      <c r="S2578" t="s">
        <v>32552</v>
      </c>
      <c r="T2578" t="s">
        <v>33181</v>
      </c>
      <c r="U2578" t="s">
        <v>35818</v>
      </c>
      <c r="V2578" t="s">
        <v>42462</v>
      </c>
      <c r="W2578" t="s">
        <v>30599</v>
      </c>
      <c r="X2578" t="s">
        <v>32531</v>
      </c>
    </row>
    <row r="2579" spans="1:24">
      <c r="A2579">
        <f>HYPERLINK("https://www.philgeps.gov.ph/GEPSNONPILOT/Tender/SplashBidNoticeAbstractUI.aspx?menuIndex=3&amp;refID=7041412&amp;Result=3","7041412")</f>
        <v>0</v>
      </c>
      <c r="B2579" t="s">
        <v>515</v>
      </c>
      <c r="C2579" t="s">
        <v>4502</v>
      </c>
      <c r="D2579" t="s">
        <v>13020</v>
      </c>
      <c r="E2579" t="s">
        <v>15418</v>
      </c>
      <c r="F2579" t="s">
        <v>22436</v>
      </c>
      <c r="G2579" t="s">
        <v>22443</v>
      </c>
      <c r="H2579" t="s">
        <v>22452</v>
      </c>
      <c r="I2579" t="s">
        <v>22460</v>
      </c>
      <c r="J2579" t="s">
        <v>24369</v>
      </c>
      <c r="K2579" t="s">
        <v>29336</v>
      </c>
      <c r="M2579" t="s">
        <v>30099</v>
      </c>
      <c r="N2579" t="s">
        <v>32524</v>
      </c>
      <c r="O2579" t="s">
        <v>32525</v>
      </c>
      <c r="P2579">
        <v>0</v>
      </c>
      <c r="Q2579">
        <v>2</v>
      </c>
      <c r="R2579" t="s">
        <v>32527</v>
      </c>
      <c r="S2579" t="s">
        <v>32552</v>
      </c>
      <c r="T2579" t="s">
        <v>33220</v>
      </c>
      <c r="U2579" t="s">
        <v>35819</v>
      </c>
      <c r="V2579" t="s">
        <v>42674</v>
      </c>
      <c r="W2579" t="s">
        <v>30099</v>
      </c>
      <c r="X2579" t="s">
        <v>32531</v>
      </c>
    </row>
    <row r="2580" spans="1:24">
      <c r="A2580">
        <f>HYPERLINK("https://www.philgeps.gov.ph/GEPSNONPILOT/Tender/SplashBidNoticeAbstractUI.aspx?menuIndex=3&amp;refID=7041608&amp;Result=3","7041608")</f>
        <v>0</v>
      </c>
      <c r="B2580" t="s">
        <v>979</v>
      </c>
      <c r="C2580" t="s">
        <v>3463</v>
      </c>
      <c r="D2580" t="s">
        <v>13033</v>
      </c>
      <c r="E2580" t="s">
        <v>15419</v>
      </c>
      <c r="F2580" t="s">
        <v>22436</v>
      </c>
      <c r="G2580" t="s">
        <v>22444</v>
      </c>
      <c r="H2580" t="s">
        <v>22454</v>
      </c>
      <c r="I2580" t="s">
        <v>7738</v>
      </c>
      <c r="J2580" t="s">
        <v>22605</v>
      </c>
      <c r="K2580" t="s">
        <v>29424</v>
      </c>
      <c r="M2580" t="s">
        <v>30600</v>
      </c>
      <c r="N2580" t="s">
        <v>32524</v>
      </c>
      <c r="O2580" t="s">
        <v>32525</v>
      </c>
      <c r="P2580">
        <v>0</v>
      </c>
      <c r="Q2580">
        <v>0</v>
      </c>
      <c r="R2580" t="s">
        <v>32527</v>
      </c>
      <c r="S2580" t="s">
        <v>32552</v>
      </c>
      <c r="T2580" t="s">
        <v>33230</v>
      </c>
      <c r="U2580" t="s">
        <v>35820</v>
      </c>
      <c r="W2580" t="s">
        <v>30600</v>
      </c>
      <c r="X2580" t="s">
        <v>32531</v>
      </c>
    </row>
    <row r="2581" spans="1:24">
      <c r="A2581">
        <f>HYPERLINK("https://www.philgeps.gov.ph/GEPSNONPILOT/Tender/SplashBidNoticeAbstractUI.aspx?menuIndex=3&amp;refID=7041577&amp;Result=3","7041577")</f>
        <v>0</v>
      </c>
      <c r="B2581" t="s">
        <v>83</v>
      </c>
      <c r="C2581" t="s">
        <v>5150</v>
      </c>
      <c r="D2581" t="s">
        <v>12988</v>
      </c>
      <c r="E2581" t="s">
        <v>15420</v>
      </c>
      <c r="F2581" t="s">
        <v>22436</v>
      </c>
      <c r="G2581" t="s">
        <v>22443</v>
      </c>
      <c r="H2581" t="s">
        <v>22452</v>
      </c>
      <c r="I2581" t="s">
        <v>12358</v>
      </c>
      <c r="J2581" t="s">
        <v>24370</v>
      </c>
      <c r="K2581" t="s">
        <v>29338</v>
      </c>
      <c r="M2581" t="s">
        <v>29888</v>
      </c>
      <c r="N2581" t="s">
        <v>32524</v>
      </c>
      <c r="O2581" t="s">
        <v>32525</v>
      </c>
      <c r="P2581">
        <v>0</v>
      </c>
      <c r="Q2581">
        <v>0</v>
      </c>
      <c r="R2581" t="s">
        <v>32527</v>
      </c>
      <c r="S2581" t="s">
        <v>32552</v>
      </c>
      <c r="T2581" t="s">
        <v>33220</v>
      </c>
      <c r="U2581" t="s">
        <v>35821</v>
      </c>
      <c r="W2581" t="s">
        <v>29888</v>
      </c>
      <c r="X2581" t="s">
        <v>32531</v>
      </c>
    </row>
    <row r="2582" spans="1:24">
      <c r="A2582">
        <f>HYPERLINK("https://www.philgeps.gov.ph/GEPSNONPILOT/Tender/SplashBidNoticeAbstractUI.aspx?menuIndex=3&amp;refID=7041607&amp;Result=3","7041607")</f>
        <v>0</v>
      </c>
      <c r="B2582" t="s">
        <v>83</v>
      </c>
      <c r="C2582" t="s">
        <v>5151</v>
      </c>
      <c r="D2582" t="s">
        <v>12988</v>
      </c>
      <c r="E2582" t="s">
        <v>15421</v>
      </c>
      <c r="F2582" t="s">
        <v>22436</v>
      </c>
      <c r="G2582" t="s">
        <v>22443</v>
      </c>
      <c r="H2582" t="s">
        <v>22452</v>
      </c>
      <c r="I2582" t="s">
        <v>2981</v>
      </c>
      <c r="J2582" t="s">
        <v>24371</v>
      </c>
      <c r="K2582" t="s">
        <v>29338</v>
      </c>
      <c r="M2582" t="s">
        <v>29888</v>
      </c>
      <c r="N2582" t="s">
        <v>32524</v>
      </c>
      <c r="O2582" t="s">
        <v>32525</v>
      </c>
      <c r="P2582">
        <v>0</v>
      </c>
      <c r="Q2582">
        <v>0</v>
      </c>
      <c r="R2582" t="s">
        <v>32527</v>
      </c>
      <c r="S2582" t="s">
        <v>32552</v>
      </c>
      <c r="T2582" t="s">
        <v>33185</v>
      </c>
      <c r="U2582" t="s">
        <v>35736</v>
      </c>
      <c r="W2582" t="s">
        <v>29888</v>
      </c>
      <c r="X2582" t="s">
        <v>32531</v>
      </c>
    </row>
    <row r="2583" spans="1:24">
      <c r="A2583">
        <f>HYPERLINK("https://www.philgeps.gov.ph/GEPSNONPILOT/Tender/SplashBidNoticeAbstractUI.aspx?menuIndex=3&amp;refID=7041560&amp;Result=3","7041560")</f>
        <v>0</v>
      </c>
      <c r="B2583" t="s">
        <v>978</v>
      </c>
      <c r="C2583" t="s">
        <v>5152</v>
      </c>
      <c r="D2583" t="s">
        <v>13032</v>
      </c>
      <c r="E2583" t="s">
        <v>15422</v>
      </c>
      <c r="F2583" t="s">
        <v>22436</v>
      </c>
      <c r="G2583" t="s">
        <v>22444</v>
      </c>
      <c r="H2583" t="s">
        <v>22454</v>
      </c>
      <c r="I2583" t="s">
        <v>7738</v>
      </c>
      <c r="J2583" t="s">
        <v>24372</v>
      </c>
      <c r="K2583" t="s">
        <v>29341</v>
      </c>
      <c r="M2583" t="s">
        <v>30599</v>
      </c>
      <c r="N2583" t="s">
        <v>32524</v>
      </c>
      <c r="O2583" t="s">
        <v>32525</v>
      </c>
      <c r="P2583">
        <v>0</v>
      </c>
      <c r="Q2583">
        <v>0</v>
      </c>
      <c r="R2583" t="s">
        <v>32527</v>
      </c>
      <c r="S2583" t="s">
        <v>32552</v>
      </c>
      <c r="T2583" t="s">
        <v>33181</v>
      </c>
      <c r="U2583" t="s">
        <v>35822</v>
      </c>
      <c r="V2583" t="s">
        <v>42675</v>
      </c>
      <c r="W2583" t="s">
        <v>30599</v>
      </c>
      <c r="X2583" t="s">
        <v>32531</v>
      </c>
    </row>
    <row r="2584" spans="1:24">
      <c r="A2584">
        <f>HYPERLINK("https://www.philgeps.gov.ph/GEPSNONPILOT/Tender/SplashBidNoticeAbstractUI.aspx?menuIndex=3&amp;refID=7041452&amp;Result=3","7041452")</f>
        <v>0</v>
      </c>
      <c r="B2584" t="s">
        <v>131</v>
      </c>
      <c r="C2584" t="s">
        <v>5153</v>
      </c>
      <c r="D2584" t="s">
        <v>13032</v>
      </c>
      <c r="E2584" t="s">
        <v>15423</v>
      </c>
      <c r="F2584" t="s">
        <v>22436</v>
      </c>
      <c r="G2584" t="s">
        <v>22444</v>
      </c>
      <c r="H2584" t="s">
        <v>22452</v>
      </c>
      <c r="I2584" t="s">
        <v>22492</v>
      </c>
      <c r="J2584" t="s">
        <v>23093</v>
      </c>
      <c r="K2584" t="s">
        <v>29338</v>
      </c>
      <c r="M2584" t="s">
        <v>29703</v>
      </c>
      <c r="N2584" t="s">
        <v>32524</v>
      </c>
      <c r="O2584" t="s">
        <v>32525</v>
      </c>
      <c r="P2584">
        <v>0</v>
      </c>
      <c r="Q2584">
        <v>0</v>
      </c>
      <c r="R2584" t="s">
        <v>32527</v>
      </c>
      <c r="S2584" t="s">
        <v>32552</v>
      </c>
      <c r="T2584" t="s">
        <v>33168</v>
      </c>
      <c r="U2584" t="s">
        <v>35823</v>
      </c>
      <c r="V2584" t="s">
        <v>42461</v>
      </c>
      <c r="W2584" t="s">
        <v>29703</v>
      </c>
      <c r="X2584" t="s">
        <v>32531</v>
      </c>
    </row>
    <row r="2585" spans="1:24">
      <c r="A2585">
        <f>HYPERLINK("https://www.philgeps.gov.ph/GEPSNONPILOT/Tender/SplashBidNoticeAbstractUI.aspx?menuIndex=3&amp;refID=7041592&amp;Result=3","7041592")</f>
        <v>0</v>
      </c>
      <c r="B2585" t="s">
        <v>976</v>
      </c>
      <c r="C2585" t="s">
        <v>5154</v>
      </c>
      <c r="D2585" t="s">
        <v>13073</v>
      </c>
      <c r="E2585" t="s">
        <v>15424</v>
      </c>
      <c r="F2585" t="s">
        <v>22436</v>
      </c>
      <c r="G2585" t="s">
        <v>22444</v>
      </c>
      <c r="H2585" t="s">
        <v>22452</v>
      </c>
      <c r="I2585" t="s">
        <v>22465</v>
      </c>
      <c r="J2585" t="s">
        <v>24373</v>
      </c>
      <c r="K2585" t="s">
        <v>29331</v>
      </c>
      <c r="M2585" t="s">
        <v>30597</v>
      </c>
      <c r="N2585" t="s">
        <v>32524</v>
      </c>
      <c r="O2585" t="s">
        <v>32525</v>
      </c>
      <c r="P2585">
        <v>0</v>
      </c>
      <c r="Q2585">
        <v>0</v>
      </c>
      <c r="R2585" t="s">
        <v>32527</v>
      </c>
      <c r="S2585" t="s">
        <v>32552</v>
      </c>
      <c r="T2585" t="s">
        <v>33181</v>
      </c>
      <c r="U2585" t="s">
        <v>35810</v>
      </c>
      <c r="W2585" t="s">
        <v>30597</v>
      </c>
      <c r="X2585" t="s">
        <v>32531</v>
      </c>
    </row>
    <row r="2586" spans="1:24">
      <c r="A2586">
        <f>HYPERLINK("https://www.philgeps.gov.ph/GEPSNONPILOT/Tender/SplashBidNoticeAbstractUI.aspx?menuIndex=3&amp;refID=7041410&amp;Result=3","7041410")</f>
        <v>0</v>
      </c>
      <c r="B2586" t="s">
        <v>980</v>
      </c>
      <c r="C2586" t="s">
        <v>5155</v>
      </c>
      <c r="D2586" t="s">
        <v>13044</v>
      </c>
      <c r="E2586" t="s">
        <v>13137</v>
      </c>
      <c r="F2586" t="s">
        <v>22441</v>
      </c>
      <c r="G2586" t="s">
        <v>22444</v>
      </c>
      <c r="H2586" t="s">
        <v>22454</v>
      </c>
      <c r="I2586" t="s">
        <v>7738</v>
      </c>
      <c r="J2586" t="s">
        <v>22640</v>
      </c>
      <c r="K2586" t="s">
        <v>29335</v>
      </c>
      <c r="M2586" t="s">
        <v>30601</v>
      </c>
      <c r="N2586" t="s">
        <v>32524</v>
      </c>
      <c r="O2586" t="s">
        <v>32525</v>
      </c>
      <c r="P2586">
        <v>0</v>
      </c>
      <c r="Q2586">
        <v>0</v>
      </c>
      <c r="R2586" t="s">
        <v>32527</v>
      </c>
      <c r="S2586" t="s">
        <v>32552</v>
      </c>
      <c r="T2586" t="s">
        <v>33369</v>
      </c>
      <c r="U2586" t="s">
        <v>35824</v>
      </c>
      <c r="W2586" t="s">
        <v>30601</v>
      </c>
      <c r="X2586" t="s">
        <v>32531</v>
      </c>
    </row>
    <row r="2587" spans="1:24">
      <c r="A2587">
        <f>HYPERLINK("https://www.philgeps.gov.ph/GEPSNONPILOT/Tender/SplashBidNoticeAbstractUI.aspx?menuIndex=3&amp;refID=7041549&amp;Result=3","7041549")</f>
        <v>0</v>
      </c>
      <c r="B2587" t="s">
        <v>978</v>
      </c>
      <c r="C2587" t="s">
        <v>5156</v>
      </c>
      <c r="D2587" t="s">
        <v>13032</v>
      </c>
      <c r="E2587" t="s">
        <v>15425</v>
      </c>
      <c r="F2587" t="s">
        <v>22436</v>
      </c>
      <c r="G2587" t="s">
        <v>22444</v>
      </c>
      <c r="H2587" t="s">
        <v>22454</v>
      </c>
      <c r="I2587" t="s">
        <v>7738</v>
      </c>
      <c r="J2587" t="s">
        <v>24374</v>
      </c>
      <c r="K2587" t="s">
        <v>29341</v>
      </c>
      <c r="M2587" t="s">
        <v>30599</v>
      </c>
      <c r="N2587" t="s">
        <v>32524</v>
      </c>
      <c r="O2587" t="s">
        <v>32525</v>
      </c>
      <c r="P2587">
        <v>0</v>
      </c>
      <c r="Q2587">
        <v>0</v>
      </c>
      <c r="R2587" t="s">
        <v>32527</v>
      </c>
      <c r="S2587" t="s">
        <v>32552</v>
      </c>
      <c r="T2587" t="s">
        <v>33181</v>
      </c>
      <c r="U2587" t="s">
        <v>35822</v>
      </c>
      <c r="V2587" t="s">
        <v>42675</v>
      </c>
      <c r="W2587" t="s">
        <v>30599</v>
      </c>
      <c r="X2587" t="s">
        <v>32531</v>
      </c>
    </row>
    <row r="2588" spans="1:24">
      <c r="A2588">
        <f>HYPERLINK("https://www.philgeps.gov.ph/GEPSNONPILOT/Tender/SplashBidNoticeAbstractUI.aspx?menuIndex=3&amp;refID=7041570&amp;Result=3","7041570")</f>
        <v>0</v>
      </c>
      <c r="B2588" t="s">
        <v>978</v>
      </c>
      <c r="C2588" t="s">
        <v>5157</v>
      </c>
      <c r="D2588" t="s">
        <v>13032</v>
      </c>
      <c r="E2588" t="s">
        <v>15426</v>
      </c>
      <c r="F2588" t="s">
        <v>22436</v>
      </c>
      <c r="G2588" t="s">
        <v>22444</v>
      </c>
      <c r="H2588" t="s">
        <v>22454</v>
      </c>
      <c r="I2588" t="s">
        <v>7738</v>
      </c>
      <c r="J2588" t="s">
        <v>24374</v>
      </c>
      <c r="K2588" t="s">
        <v>29341</v>
      </c>
      <c r="M2588" t="s">
        <v>30599</v>
      </c>
      <c r="N2588" t="s">
        <v>32524</v>
      </c>
      <c r="O2588" t="s">
        <v>32525</v>
      </c>
      <c r="P2588">
        <v>0</v>
      </c>
      <c r="Q2588">
        <v>0</v>
      </c>
      <c r="R2588" t="s">
        <v>32527</v>
      </c>
      <c r="S2588" t="s">
        <v>32552</v>
      </c>
      <c r="T2588" t="s">
        <v>33181</v>
      </c>
      <c r="U2588" t="s">
        <v>35822</v>
      </c>
      <c r="V2588" t="s">
        <v>42675</v>
      </c>
      <c r="W2588" t="s">
        <v>30599</v>
      </c>
      <c r="X2588" t="s">
        <v>32531</v>
      </c>
    </row>
    <row r="2589" spans="1:24">
      <c r="A2589">
        <f>HYPERLINK("https://www.philgeps.gov.ph/GEPSNONPILOT/Tender/SplashBidNoticeAbstractUI.aspx?menuIndex=3&amp;refID=7041520&amp;Result=3","7041520")</f>
        <v>0</v>
      </c>
      <c r="B2589" t="s">
        <v>981</v>
      </c>
      <c r="C2589" t="s">
        <v>5158</v>
      </c>
      <c r="E2589" t="s">
        <v>15427</v>
      </c>
      <c r="F2589" t="s">
        <v>22436</v>
      </c>
      <c r="G2589" t="s">
        <v>22443</v>
      </c>
      <c r="H2589" t="s">
        <v>22452</v>
      </c>
      <c r="I2589" t="s">
        <v>22467</v>
      </c>
      <c r="J2589" t="s">
        <v>22810</v>
      </c>
      <c r="K2589" t="s">
        <v>29336</v>
      </c>
      <c r="M2589" t="s">
        <v>30602</v>
      </c>
      <c r="N2589" t="s">
        <v>32524</v>
      </c>
      <c r="O2589" t="s">
        <v>32525</v>
      </c>
      <c r="P2589">
        <v>0</v>
      </c>
      <c r="Q2589">
        <v>0</v>
      </c>
      <c r="R2589" t="s">
        <v>32527</v>
      </c>
      <c r="S2589" t="s">
        <v>32552</v>
      </c>
      <c r="T2589" t="s">
        <v>33209</v>
      </c>
      <c r="U2589" t="s">
        <v>35825</v>
      </c>
      <c r="W2589" t="s">
        <v>30602</v>
      </c>
      <c r="X2589" t="s">
        <v>32531</v>
      </c>
    </row>
    <row r="2590" spans="1:24">
      <c r="A2590">
        <f>HYPERLINK("https://www.philgeps.gov.ph/GEPSNONPILOT/Tender/SplashBidNoticeAbstractUI.aspx?menuIndex=3&amp;refID=7041545&amp;Result=3","7041545")</f>
        <v>0</v>
      </c>
      <c r="B2590" t="s">
        <v>976</v>
      </c>
      <c r="C2590" t="s">
        <v>5159</v>
      </c>
      <c r="D2590" t="s">
        <v>13073</v>
      </c>
      <c r="E2590" t="s">
        <v>15428</v>
      </c>
      <c r="F2590" t="s">
        <v>22436</v>
      </c>
      <c r="G2590" t="s">
        <v>22444</v>
      </c>
      <c r="H2590" t="s">
        <v>22452</v>
      </c>
      <c r="I2590" t="s">
        <v>22465</v>
      </c>
      <c r="J2590" t="s">
        <v>24360</v>
      </c>
      <c r="K2590" t="s">
        <v>29331</v>
      </c>
      <c r="M2590" t="s">
        <v>30597</v>
      </c>
      <c r="N2590" t="s">
        <v>32524</v>
      </c>
      <c r="O2590" t="s">
        <v>32525</v>
      </c>
      <c r="P2590">
        <v>0</v>
      </c>
      <c r="Q2590">
        <v>0</v>
      </c>
      <c r="R2590" t="s">
        <v>32527</v>
      </c>
      <c r="S2590" t="s">
        <v>32552</v>
      </c>
      <c r="T2590" t="s">
        <v>33181</v>
      </c>
      <c r="U2590" t="s">
        <v>35810</v>
      </c>
      <c r="W2590" t="s">
        <v>30597</v>
      </c>
      <c r="X2590" t="s">
        <v>32531</v>
      </c>
    </row>
    <row r="2591" spans="1:24">
      <c r="A2591">
        <f>HYPERLINK("https://www.philgeps.gov.ph/GEPSNONPILOT/Tender/SplashBidNoticeAbstractUI.aspx?menuIndex=3&amp;refID=7041527&amp;Result=3","7041527")</f>
        <v>0</v>
      </c>
      <c r="B2591" t="s">
        <v>976</v>
      </c>
      <c r="C2591" t="s">
        <v>5160</v>
      </c>
      <c r="D2591" t="s">
        <v>13073</v>
      </c>
      <c r="E2591" t="s">
        <v>15429</v>
      </c>
      <c r="F2591" t="s">
        <v>22436</v>
      </c>
      <c r="G2591" t="s">
        <v>22444</v>
      </c>
      <c r="H2591" t="s">
        <v>22452</v>
      </c>
      <c r="I2591" t="s">
        <v>22465</v>
      </c>
      <c r="J2591" t="s">
        <v>24375</v>
      </c>
      <c r="K2591" t="s">
        <v>29331</v>
      </c>
      <c r="M2591" t="s">
        <v>30597</v>
      </c>
      <c r="N2591" t="s">
        <v>32524</v>
      </c>
      <c r="O2591" t="s">
        <v>32525</v>
      </c>
      <c r="P2591">
        <v>0</v>
      </c>
      <c r="Q2591">
        <v>0</v>
      </c>
      <c r="R2591" t="s">
        <v>32527</v>
      </c>
      <c r="S2591" t="s">
        <v>32552</v>
      </c>
      <c r="T2591" t="s">
        <v>33181</v>
      </c>
      <c r="U2591" t="s">
        <v>35810</v>
      </c>
      <c r="W2591" t="s">
        <v>30597</v>
      </c>
      <c r="X2591" t="s">
        <v>32531</v>
      </c>
    </row>
    <row r="2592" spans="1:24">
      <c r="A2592">
        <f>HYPERLINK("https://www.philgeps.gov.ph/GEPSNONPILOT/Tender/SplashBidNoticeAbstractUI.aspx?menuIndex=3&amp;refID=7041551&amp;Result=3","7041551")</f>
        <v>0</v>
      </c>
      <c r="B2592" t="s">
        <v>982</v>
      </c>
      <c r="C2592" t="s">
        <v>5161</v>
      </c>
      <c r="D2592" t="s">
        <v>12999</v>
      </c>
      <c r="E2592" t="s">
        <v>15430</v>
      </c>
      <c r="F2592" t="s">
        <v>22436</v>
      </c>
      <c r="G2592" t="s">
        <v>22443</v>
      </c>
      <c r="H2592" t="s">
        <v>22452</v>
      </c>
      <c r="I2592" t="s">
        <v>22465</v>
      </c>
      <c r="J2592" t="s">
        <v>24376</v>
      </c>
      <c r="K2592" t="s">
        <v>29356</v>
      </c>
      <c r="M2592" t="s">
        <v>30603</v>
      </c>
      <c r="N2592" t="s">
        <v>32524</v>
      </c>
      <c r="O2592" t="s">
        <v>32525</v>
      </c>
      <c r="P2592">
        <v>0</v>
      </c>
      <c r="Q2592">
        <v>1</v>
      </c>
      <c r="R2592" t="s">
        <v>32527</v>
      </c>
      <c r="S2592" t="s">
        <v>32552</v>
      </c>
      <c r="T2592" t="s">
        <v>33213</v>
      </c>
      <c r="U2592" t="s">
        <v>34727</v>
      </c>
      <c r="W2592" t="s">
        <v>30603</v>
      </c>
      <c r="X2592" t="s">
        <v>32531</v>
      </c>
    </row>
    <row r="2593" spans="1:24">
      <c r="A2593">
        <f>HYPERLINK("https://www.philgeps.gov.ph/GEPSNONPILOT/Tender/SplashBidNoticeAbstractUI.aspx?menuIndex=3&amp;refID=7041625&amp;Result=3","7041625")</f>
        <v>0</v>
      </c>
      <c r="B2593" t="s">
        <v>982</v>
      </c>
      <c r="C2593" t="s">
        <v>5162</v>
      </c>
      <c r="D2593" t="s">
        <v>12999</v>
      </c>
      <c r="E2593" t="s">
        <v>15431</v>
      </c>
      <c r="F2593" t="s">
        <v>22436</v>
      </c>
      <c r="G2593" t="s">
        <v>22443</v>
      </c>
      <c r="H2593" t="s">
        <v>22452</v>
      </c>
      <c r="I2593" t="s">
        <v>22465</v>
      </c>
      <c r="J2593" t="s">
        <v>24377</v>
      </c>
      <c r="K2593" t="s">
        <v>29356</v>
      </c>
      <c r="M2593" t="s">
        <v>30603</v>
      </c>
      <c r="N2593" t="s">
        <v>32524</v>
      </c>
      <c r="O2593" t="s">
        <v>32525</v>
      </c>
      <c r="P2593">
        <v>0</v>
      </c>
      <c r="Q2593">
        <v>1</v>
      </c>
      <c r="R2593" t="s">
        <v>32527</v>
      </c>
      <c r="S2593" t="s">
        <v>32552</v>
      </c>
      <c r="T2593" t="s">
        <v>33213</v>
      </c>
      <c r="U2593" t="s">
        <v>34727</v>
      </c>
      <c r="W2593" t="s">
        <v>30603</v>
      </c>
      <c r="X2593" t="s">
        <v>32531</v>
      </c>
    </row>
    <row r="2594" spans="1:24">
      <c r="A2594">
        <f>HYPERLINK("https://www.philgeps.gov.ph/GEPSNONPILOT/Tender/SplashBidNoticeAbstractUI.aspx?menuIndex=3&amp;refID=7041614&amp;Result=3","7041614")</f>
        <v>0</v>
      </c>
      <c r="B2594" t="s">
        <v>983</v>
      </c>
      <c r="C2594" t="s">
        <v>5163</v>
      </c>
      <c r="D2594" t="s">
        <v>13073</v>
      </c>
      <c r="E2594" t="s">
        <v>15432</v>
      </c>
      <c r="F2594" t="s">
        <v>22436</v>
      </c>
      <c r="G2594" t="s">
        <v>22443</v>
      </c>
      <c r="H2594" t="s">
        <v>22452</v>
      </c>
      <c r="I2594" t="s">
        <v>22494</v>
      </c>
      <c r="J2594" t="s">
        <v>24378</v>
      </c>
      <c r="K2594" t="s">
        <v>29341</v>
      </c>
      <c r="M2594" t="s">
        <v>30604</v>
      </c>
      <c r="N2594" t="s">
        <v>32524</v>
      </c>
      <c r="O2594" t="s">
        <v>32525</v>
      </c>
      <c r="P2594">
        <v>0</v>
      </c>
      <c r="Q2594">
        <v>0</v>
      </c>
      <c r="R2594" t="s">
        <v>32527</v>
      </c>
      <c r="S2594" t="s">
        <v>32552</v>
      </c>
      <c r="T2594" t="s">
        <v>33180</v>
      </c>
      <c r="U2594" t="s">
        <v>35826</v>
      </c>
      <c r="W2594" t="s">
        <v>30604</v>
      </c>
      <c r="X2594" t="s">
        <v>32531</v>
      </c>
    </row>
    <row r="2595" spans="1:24">
      <c r="A2595">
        <f>HYPERLINK("https://www.philgeps.gov.ph/GEPSNONPILOT/Tender/SplashBidNoticeAbstractUI.aspx?menuIndex=3&amp;refID=7041610&amp;Result=3","7041610")</f>
        <v>0</v>
      </c>
      <c r="B2595" t="s">
        <v>39</v>
      </c>
      <c r="C2595" t="s">
        <v>5164</v>
      </c>
      <c r="D2595" t="s">
        <v>13013</v>
      </c>
      <c r="E2595" t="s">
        <v>15433</v>
      </c>
      <c r="F2595" t="s">
        <v>22436</v>
      </c>
      <c r="G2595" t="s">
        <v>22446</v>
      </c>
      <c r="H2595" t="s">
        <v>22452</v>
      </c>
      <c r="I2595" t="s">
        <v>22460</v>
      </c>
      <c r="J2595" t="s">
        <v>24379</v>
      </c>
      <c r="K2595" t="s">
        <v>29335</v>
      </c>
      <c r="M2595" t="s">
        <v>30605</v>
      </c>
      <c r="N2595" t="s">
        <v>32524</v>
      </c>
      <c r="O2595" t="s">
        <v>32525</v>
      </c>
      <c r="P2595">
        <v>0</v>
      </c>
      <c r="Q2595">
        <v>6</v>
      </c>
      <c r="R2595" t="s">
        <v>32527</v>
      </c>
      <c r="S2595" t="s">
        <v>32552</v>
      </c>
      <c r="T2595" t="s">
        <v>33328</v>
      </c>
      <c r="U2595" t="s">
        <v>35827</v>
      </c>
      <c r="W2595" t="s">
        <v>30605</v>
      </c>
      <c r="X2595" t="s">
        <v>32531</v>
      </c>
    </row>
    <row r="2596" spans="1:24">
      <c r="A2596">
        <f>HYPERLINK("https://www.philgeps.gov.ph/GEPSNONPILOT/Tender/SplashBidNoticeAbstractUI.aspx?menuIndex=3&amp;refID=7041611&amp;Result=3","7041611")</f>
        <v>0</v>
      </c>
      <c r="B2596" t="s">
        <v>984</v>
      </c>
      <c r="C2596" t="s">
        <v>5165</v>
      </c>
      <c r="D2596" t="s">
        <v>13011</v>
      </c>
      <c r="E2596" t="s">
        <v>15434</v>
      </c>
      <c r="F2596" t="s">
        <v>22436</v>
      </c>
      <c r="G2596" t="s">
        <v>22446</v>
      </c>
      <c r="H2596" t="s">
        <v>22452</v>
      </c>
      <c r="I2596" t="s">
        <v>22546</v>
      </c>
      <c r="J2596" t="s">
        <v>23226</v>
      </c>
      <c r="K2596" t="s">
        <v>29336</v>
      </c>
      <c r="M2596" t="s">
        <v>30606</v>
      </c>
      <c r="N2596" t="s">
        <v>32524</v>
      </c>
      <c r="O2596" t="s">
        <v>32525</v>
      </c>
      <c r="P2596">
        <v>0</v>
      </c>
      <c r="Q2596">
        <v>1</v>
      </c>
      <c r="R2596" t="s">
        <v>32527</v>
      </c>
      <c r="S2596" t="s">
        <v>32552</v>
      </c>
      <c r="T2596" t="s">
        <v>33243</v>
      </c>
      <c r="U2596" t="s">
        <v>35828</v>
      </c>
      <c r="W2596" t="s">
        <v>30606</v>
      </c>
      <c r="X2596" t="s">
        <v>32531</v>
      </c>
    </row>
    <row r="2597" spans="1:24">
      <c r="A2597">
        <f>HYPERLINK("https://www.philgeps.gov.ph/GEPSNONPILOT/Tender/SplashBidNoticeAbstractUI.aspx?menuIndex=3&amp;refID=7041539&amp;Result=3","7041539")</f>
        <v>0</v>
      </c>
      <c r="B2597" t="s">
        <v>131</v>
      </c>
      <c r="C2597" t="s">
        <v>5166</v>
      </c>
      <c r="D2597" t="s">
        <v>13032</v>
      </c>
      <c r="E2597" t="s">
        <v>15435</v>
      </c>
      <c r="F2597" t="s">
        <v>22436</v>
      </c>
      <c r="G2597" t="s">
        <v>22444</v>
      </c>
      <c r="H2597" t="s">
        <v>22452</v>
      </c>
      <c r="I2597" t="s">
        <v>22461</v>
      </c>
      <c r="J2597" t="s">
        <v>22911</v>
      </c>
      <c r="K2597" t="s">
        <v>29338</v>
      </c>
      <c r="M2597" t="s">
        <v>29703</v>
      </c>
      <c r="N2597" t="s">
        <v>32524</v>
      </c>
      <c r="O2597" t="s">
        <v>32525</v>
      </c>
      <c r="P2597">
        <v>0</v>
      </c>
      <c r="Q2597">
        <v>2</v>
      </c>
      <c r="R2597" t="s">
        <v>32527</v>
      </c>
      <c r="S2597" t="s">
        <v>32552</v>
      </c>
      <c r="T2597" t="s">
        <v>33370</v>
      </c>
      <c r="U2597" t="s">
        <v>35829</v>
      </c>
      <c r="V2597" t="s">
        <v>42461</v>
      </c>
      <c r="W2597" t="s">
        <v>29703</v>
      </c>
      <c r="X2597" t="s">
        <v>32531</v>
      </c>
    </row>
    <row r="2598" spans="1:24">
      <c r="A2598">
        <f>HYPERLINK("https://www.philgeps.gov.ph/GEPSNONPILOT/Tender/SplashBidNoticeAbstractUI.aspx?menuIndex=3&amp;refID=7041661&amp;Result=3","7041661")</f>
        <v>0</v>
      </c>
      <c r="B2598" t="s">
        <v>983</v>
      </c>
      <c r="C2598" t="s">
        <v>5167</v>
      </c>
      <c r="D2598" t="s">
        <v>13073</v>
      </c>
      <c r="E2598" t="s">
        <v>15436</v>
      </c>
      <c r="F2598" t="s">
        <v>22436</v>
      </c>
      <c r="G2598" t="s">
        <v>22443</v>
      </c>
      <c r="H2598" t="s">
        <v>22452</v>
      </c>
      <c r="I2598" t="s">
        <v>22483</v>
      </c>
      <c r="J2598" t="s">
        <v>22704</v>
      </c>
      <c r="K2598" t="s">
        <v>29341</v>
      </c>
      <c r="M2598" t="s">
        <v>30604</v>
      </c>
      <c r="N2598" t="s">
        <v>32524</v>
      </c>
      <c r="O2598" t="s">
        <v>32525</v>
      </c>
      <c r="P2598">
        <v>0</v>
      </c>
      <c r="Q2598">
        <v>7</v>
      </c>
      <c r="R2598" t="s">
        <v>32527</v>
      </c>
      <c r="S2598" t="s">
        <v>32552</v>
      </c>
      <c r="T2598" t="s">
        <v>33180</v>
      </c>
      <c r="U2598" t="s">
        <v>35830</v>
      </c>
      <c r="W2598" t="s">
        <v>30604</v>
      </c>
      <c r="X2598" t="s">
        <v>32531</v>
      </c>
    </row>
    <row r="2599" spans="1:24">
      <c r="A2599">
        <f>HYPERLINK("https://www.philgeps.gov.ph/GEPSNONPILOT/Tender/SplashBidNoticeAbstractUI.aspx?menuIndex=3&amp;refID=7041656&amp;Result=3","7041656")</f>
        <v>0</v>
      </c>
      <c r="B2599" t="s">
        <v>985</v>
      </c>
      <c r="C2599" t="s">
        <v>5168</v>
      </c>
      <c r="D2599" t="s">
        <v>12988</v>
      </c>
      <c r="E2599" t="s">
        <v>15437</v>
      </c>
      <c r="F2599" t="s">
        <v>22436</v>
      </c>
      <c r="G2599" t="s">
        <v>22446</v>
      </c>
      <c r="H2599" t="s">
        <v>22452</v>
      </c>
      <c r="I2599" t="s">
        <v>3840</v>
      </c>
      <c r="J2599" t="s">
        <v>23235</v>
      </c>
      <c r="K2599" t="s">
        <v>29357</v>
      </c>
      <c r="M2599" t="s">
        <v>30607</v>
      </c>
      <c r="N2599" t="s">
        <v>32524</v>
      </c>
      <c r="O2599" t="s">
        <v>32525</v>
      </c>
      <c r="P2599">
        <v>0</v>
      </c>
      <c r="Q2599">
        <v>11</v>
      </c>
      <c r="R2599" t="s">
        <v>32527</v>
      </c>
      <c r="S2599" t="s">
        <v>32552</v>
      </c>
      <c r="T2599" t="s">
        <v>33371</v>
      </c>
      <c r="U2599" t="s">
        <v>35831</v>
      </c>
      <c r="W2599" t="s">
        <v>30607</v>
      </c>
      <c r="X2599" t="s">
        <v>32531</v>
      </c>
    </row>
    <row r="2600" spans="1:24">
      <c r="A2600">
        <f>HYPERLINK("https://www.philgeps.gov.ph/GEPSNONPILOT/Tender/SplashBidNoticeAbstractUI.aspx?menuIndex=3&amp;refID=7041640&amp;Result=3","7041640")</f>
        <v>0</v>
      </c>
      <c r="B2600" t="s">
        <v>986</v>
      </c>
      <c r="C2600" t="s">
        <v>5169</v>
      </c>
      <c r="D2600" t="s">
        <v>13016</v>
      </c>
      <c r="E2600" t="s">
        <v>15438</v>
      </c>
      <c r="F2600" t="s">
        <v>22436</v>
      </c>
      <c r="G2600" t="s">
        <v>22443</v>
      </c>
      <c r="H2600" t="s">
        <v>22452</v>
      </c>
      <c r="I2600" t="s">
        <v>22484</v>
      </c>
      <c r="J2600" t="s">
        <v>22861</v>
      </c>
      <c r="K2600" t="s">
        <v>29336</v>
      </c>
      <c r="L2600" t="s">
        <v>986</v>
      </c>
      <c r="M2600" t="s">
        <v>30608</v>
      </c>
      <c r="N2600" t="s">
        <v>32524</v>
      </c>
      <c r="O2600" t="s">
        <v>32525</v>
      </c>
      <c r="P2600">
        <v>0</v>
      </c>
      <c r="Q2600">
        <v>2</v>
      </c>
      <c r="R2600" t="s">
        <v>32527</v>
      </c>
      <c r="S2600" t="s">
        <v>32552</v>
      </c>
      <c r="T2600" t="s">
        <v>33187</v>
      </c>
      <c r="U2600" t="s">
        <v>35832</v>
      </c>
      <c r="V2600" t="s">
        <v>42676</v>
      </c>
      <c r="W2600" t="s">
        <v>30608</v>
      </c>
      <c r="X2600" t="s">
        <v>32531</v>
      </c>
    </row>
    <row r="2601" spans="1:24">
      <c r="A2601">
        <f>HYPERLINK("https://www.philgeps.gov.ph/GEPSNONPILOT/Tender/SplashBidNoticeAbstractUI.aspx?menuIndex=3&amp;refID=7041654&amp;Result=3","7041654")</f>
        <v>0</v>
      </c>
      <c r="B2601" t="s">
        <v>83</v>
      </c>
      <c r="C2601" t="s">
        <v>5170</v>
      </c>
      <c r="D2601" t="s">
        <v>12988</v>
      </c>
      <c r="E2601" t="s">
        <v>15439</v>
      </c>
      <c r="F2601" t="s">
        <v>22436</v>
      </c>
      <c r="G2601" t="s">
        <v>22443</v>
      </c>
      <c r="H2601" t="s">
        <v>22452</v>
      </c>
      <c r="I2601" t="s">
        <v>7738</v>
      </c>
      <c r="J2601" t="s">
        <v>24380</v>
      </c>
      <c r="K2601" t="s">
        <v>29338</v>
      </c>
      <c r="M2601" t="s">
        <v>29888</v>
      </c>
      <c r="N2601" t="s">
        <v>32524</v>
      </c>
      <c r="O2601" t="s">
        <v>32525</v>
      </c>
      <c r="P2601">
        <v>0</v>
      </c>
      <c r="Q2601">
        <v>0</v>
      </c>
      <c r="R2601" t="s">
        <v>32527</v>
      </c>
      <c r="S2601" t="s">
        <v>32552</v>
      </c>
      <c r="T2601" t="s">
        <v>33220</v>
      </c>
      <c r="U2601" t="s">
        <v>35833</v>
      </c>
      <c r="W2601" t="s">
        <v>29888</v>
      </c>
      <c r="X2601" t="s">
        <v>32531</v>
      </c>
    </row>
    <row r="2602" spans="1:24">
      <c r="A2602">
        <f>HYPERLINK("https://www.philgeps.gov.ph/GEPSNONPILOT/Tender/SplashBidNoticeAbstractUI.aspx?menuIndex=3&amp;refID=7041718&amp;Result=3","7041718")</f>
        <v>0</v>
      </c>
      <c r="B2602" t="s">
        <v>58</v>
      </c>
      <c r="C2602" t="s">
        <v>5171</v>
      </c>
      <c r="D2602" t="s">
        <v>13014</v>
      </c>
      <c r="E2602" t="s">
        <v>15440</v>
      </c>
      <c r="F2602" t="s">
        <v>22436</v>
      </c>
      <c r="G2602" t="s">
        <v>22444</v>
      </c>
      <c r="H2602" t="s">
        <v>22452</v>
      </c>
      <c r="I2602" t="s">
        <v>5194</v>
      </c>
      <c r="J2602" t="s">
        <v>24381</v>
      </c>
      <c r="K2602" t="s">
        <v>29335</v>
      </c>
      <c r="M2602" t="s">
        <v>30609</v>
      </c>
      <c r="N2602" t="s">
        <v>32524</v>
      </c>
      <c r="O2602" t="s">
        <v>32525</v>
      </c>
      <c r="P2602">
        <v>0</v>
      </c>
      <c r="Q2602">
        <v>2</v>
      </c>
      <c r="R2602" t="s">
        <v>32527</v>
      </c>
      <c r="S2602" t="s">
        <v>32552</v>
      </c>
      <c r="T2602" t="s">
        <v>33256</v>
      </c>
      <c r="U2602" t="s">
        <v>35834</v>
      </c>
      <c r="W2602" t="s">
        <v>30609</v>
      </c>
      <c r="X2602" t="s">
        <v>32531</v>
      </c>
    </row>
    <row r="2603" spans="1:24">
      <c r="A2603">
        <f>HYPERLINK("https://www.philgeps.gov.ph/GEPSNONPILOT/Tender/SplashBidNoticeAbstractUI.aspx?menuIndex=3&amp;refID=7041630&amp;Result=3","7041630")</f>
        <v>0</v>
      </c>
      <c r="B2603" t="s">
        <v>983</v>
      </c>
      <c r="C2603" t="s">
        <v>5172</v>
      </c>
      <c r="D2603" t="s">
        <v>13073</v>
      </c>
      <c r="E2603" t="s">
        <v>15441</v>
      </c>
      <c r="F2603" t="s">
        <v>22436</v>
      </c>
      <c r="G2603" t="s">
        <v>22443</v>
      </c>
      <c r="H2603" t="s">
        <v>22452</v>
      </c>
      <c r="I2603" t="s">
        <v>22494</v>
      </c>
      <c r="J2603" t="s">
        <v>22588</v>
      </c>
      <c r="K2603" t="s">
        <v>29341</v>
      </c>
      <c r="M2603" t="s">
        <v>30604</v>
      </c>
      <c r="N2603" t="s">
        <v>32524</v>
      </c>
      <c r="O2603" t="s">
        <v>32525</v>
      </c>
      <c r="P2603">
        <v>0</v>
      </c>
      <c r="Q2603">
        <v>0</v>
      </c>
      <c r="R2603" t="s">
        <v>32527</v>
      </c>
      <c r="S2603" t="s">
        <v>32552</v>
      </c>
      <c r="T2603" t="s">
        <v>33180</v>
      </c>
      <c r="U2603" t="s">
        <v>35835</v>
      </c>
      <c r="W2603" t="s">
        <v>30604</v>
      </c>
      <c r="X2603" t="s">
        <v>32531</v>
      </c>
    </row>
    <row r="2604" spans="1:24">
      <c r="A2604">
        <f>HYPERLINK("https://www.philgeps.gov.ph/GEPSNONPILOT/Tender/SplashBidNoticeAbstractUI.aspx?menuIndex=3&amp;refID=7041615&amp;Result=3","7041615")</f>
        <v>0</v>
      </c>
      <c r="B2604" t="s">
        <v>193</v>
      </c>
      <c r="C2604" t="s">
        <v>5173</v>
      </c>
      <c r="D2604" t="s">
        <v>13015</v>
      </c>
      <c r="E2604" t="s">
        <v>15442</v>
      </c>
      <c r="F2604" t="s">
        <v>22436</v>
      </c>
      <c r="G2604" t="s">
        <v>22444</v>
      </c>
      <c r="H2604" t="s">
        <v>22452</v>
      </c>
      <c r="I2604" t="s">
        <v>22469</v>
      </c>
      <c r="J2604" t="s">
        <v>24382</v>
      </c>
      <c r="K2604" t="s">
        <v>29341</v>
      </c>
      <c r="M2604" t="s">
        <v>30610</v>
      </c>
      <c r="N2604" t="s">
        <v>32524</v>
      </c>
      <c r="O2604" t="s">
        <v>32525</v>
      </c>
      <c r="P2604">
        <v>0</v>
      </c>
      <c r="Q2604">
        <v>4</v>
      </c>
      <c r="R2604" t="s">
        <v>32527</v>
      </c>
      <c r="S2604" t="s">
        <v>32552</v>
      </c>
      <c r="T2604" t="s">
        <v>33207</v>
      </c>
      <c r="U2604" t="s">
        <v>35836</v>
      </c>
      <c r="W2604" t="s">
        <v>30610</v>
      </c>
      <c r="X2604" t="s">
        <v>32531</v>
      </c>
    </row>
    <row r="2605" spans="1:24">
      <c r="A2605">
        <f>HYPERLINK("https://www.philgeps.gov.ph/GEPSNONPILOT/Tender/SplashBidNoticeAbstractUI.aspx?menuIndex=3&amp;refID=7041690&amp;Result=3","7041690")</f>
        <v>0</v>
      </c>
      <c r="B2605" t="s">
        <v>983</v>
      </c>
      <c r="C2605" t="s">
        <v>5174</v>
      </c>
      <c r="D2605" t="s">
        <v>13073</v>
      </c>
      <c r="E2605" t="s">
        <v>15443</v>
      </c>
      <c r="F2605" t="s">
        <v>22436</v>
      </c>
      <c r="G2605" t="s">
        <v>22443</v>
      </c>
      <c r="H2605" t="s">
        <v>22452</v>
      </c>
      <c r="I2605" t="s">
        <v>22494</v>
      </c>
      <c r="J2605" t="s">
        <v>24383</v>
      </c>
      <c r="K2605" t="s">
        <v>29341</v>
      </c>
      <c r="M2605" t="s">
        <v>30604</v>
      </c>
      <c r="N2605" t="s">
        <v>32524</v>
      </c>
      <c r="O2605" t="s">
        <v>32525</v>
      </c>
      <c r="P2605">
        <v>0</v>
      </c>
      <c r="Q2605">
        <v>0</v>
      </c>
      <c r="R2605" t="s">
        <v>32527</v>
      </c>
      <c r="S2605" t="s">
        <v>32552</v>
      </c>
      <c r="T2605" t="s">
        <v>33206</v>
      </c>
      <c r="U2605" t="s">
        <v>35837</v>
      </c>
      <c r="W2605" t="s">
        <v>30604</v>
      </c>
      <c r="X2605" t="s">
        <v>32531</v>
      </c>
    </row>
    <row r="2606" spans="1:24">
      <c r="A2606">
        <f>HYPERLINK("https://www.philgeps.gov.ph/GEPSNONPILOT/Tender/SplashBidNoticeAbstractUI.aspx?menuIndex=3&amp;refID=7041675&amp;Result=3","7041675")</f>
        <v>0</v>
      </c>
      <c r="B2606" t="s">
        <v>987</v>
      </c>
      <c r="C2606" t="s">
        <v>5175</v>
      </c>
      <c r="D2606" t="s">
        <v>12998</v>
      </c>
      <c r="E2606" t="s">
        <v>15444</v>
      </c>
      <c r="F2606" t="s">
        <v>22436</v>
      </c>
      <c r="G2606" t="s">
        <v>22443</v>
      </c>
      <c r="H2606" t="s">
        <v>22452</v>
      </c>
      <c r="I2606" t="s">
        <v>22476</v>
      </c>
      <c r="J2606" t="s">
        <v>23702</v>
      </c>
      <c r="K2606" t="s">
        <v>29338</v>
      </c>
      <c r="M2606" t="s">
        <v>30611</v>
      </c>
      <c r="N2606" t="s">
        <v>32524</v>
      </c>
      <c r="O2606" t="s">
        <v>32525</v>
      </c>
      <c r="P2606">
        <v>0</v>
      </c>
      <c r="Q2606">
        <v>4</v>
      </c>
      <c r="R2606" t="s">
        <v>32527</v>
      </c>
      <c r="S2606" t="s">
        <v>32552</v>
      </c>
      <c r="T2606" t="s">
        <v>33351</v>
      </c>
      <c r="U2606" t="s">
        <v>35838</v>
      </c>
      <c r="W2606" t="s">
        <v>30611</v>
      </c>
      <c r="X2606" t="s">
        <v>32531</v>
      </c>
    </row>
    <row r="2607" spans="1:24">
      <c r="A2607">
        <f>HYPERLINK("https://www.philgeps.gov.ph/GEPSNONPILOT/Tender/SplashBidNoticeAbstractUI.aspx?menuIndex=3&amp;refID=7041704&amp;Result=3","7041704")</f>
        <v>0</v>
      </c>
      <c r="B2607" t="s">
        <v>83</v>
      </c>
      <c r="C2607" t="s">
        <v>5176</v>
      </c>
      <c r="D2607" t="s">
        <v>12988</v>
      </c>
      <c r="E2607" t="s">
        <v>15445</v>
      </c>
      <c r="F2607" t="s">
        <v>22436</v>
      </c>
      <c r="G2607" t="s">
        <v>22443</v>
      </c>
      <c r="H2607" t="s">
        <v>22452</v>
      </c>
      <c r="I2607" t="s">
        <v>7738</v>
      </c>
      <c r="J2607" t="s">
        <v>22616</v>
      </c>
      <c r="K2607" t="s">
        <v>29338</v>
      </c>
      <c r="M2607" t="s">
        <v>29888</v>
      </c>
      <c r="N2607" t="s">
        <v>32524</v>
      </c>
      <c r="O2607" t="s">
        <v>32525</v>
      </c>
      <c r="P2607">
        <v>0</v>
      </c>
      <c r="Q2607">
        <v>0</v>
      </c>
      <c r="R2607" t="s">
        <v>32527</v>
      </c>
      <c r="S2607" t="s">
        <v>32552</v>
      </c>
      <c r="T2607" t="s">
        <v>33220</v>
      </c>
      <c r="U2607" t="s">
        <v>35255</v>
      </c>
      <c r="W2607" t="s">
        <v>29888</v>
      </c>
      <c r="X2607" t="s">
        <v>32531</v>
      </c>
    </row>
    <row r="2608" spans="1:24">
      <c r="A2608">
        <f>HYPERLINK("https://www.philgeps.gov.ph/GEPSNONPILOT/Tender/SplashBidNoticeAbstractUI.aspx?menuIndex=3&amp;refID=7041800&amp;Result=3","7041800")</f>
        <v>0</v>
      </c>
      <c r="B2608" t="s">
        <v>227</v>
      </c>
      <c r="C2608" t="s">
        <v>5177</v>
      </c>
      <c r="D2608" t="s">
        <v>12996</v>
      </c>
      <c r="E2608" t="s">
        <v>15446</v>
      </c>
      <c r="F2608" t="s">
        <v>22436</v>
      </c>
      <c r="G2608" t="s">
        <v>22443</v>
      </c>
      <c r="H2608" t="s">
        <v>22452</v>
      </c>
      <c r="I2608" t="s">
        <v>3122</v>
      </c>
      <c r="J2608" t="s">
        <v>24384</v>
      </c>
      <c r="K2608" t="s">
        <v>29335</v>
      </c>
      <c r="M2608" t="s">
        <v>29800</v>
      </c>
      <c r="N2608" t="s">
        <v>32524</v>
      </c>
      <c r="O2608" t="s">
        <v>32525</v>
      </c>
      <c r="P2608">
        <v>0</v>
      </c>
      <c r="Q2608">
        <v>0</v>
      </c>
      <c r="R2608" t="s">
        <v>32527</v>
      </c>
      <c r="S2608" t="s">
        <v>32552</v>
      </c>
      <c r="T2608" t="s">
        <v>33310</v>
      </c>
      <c r="U2608" t="s">
        <v>35839</v>
      </c>
      <c r="W2608" t="s">
        <v>29800</v>
      </c>
      <c r="X2608" t="s">
        <v>32531</v>
      </c>
    </row>
    <row r="2609" spans="1:24">
      <c r="A2609">
        <f>HYPERLINK("https://www.philgeps.gov.ph/GEPSNONPILOT/Tender/SplashBidNoticeAbstractUI.aspx?menuIndex=3&amp;refID=7041701&amp;Result=3","7041701")</f>
        <v>0</v>
      </c>
      <c r="B2609" t="s">
        <v>193</v>
      </c>
      <c r="C2609" t="s">
        <v>5178</v>
      </c>
      <c r="D2609" t="s">
        <v>13015</v>
      </c>
      <c r="E2609" t="s">
        <v>15447</v>
      </c>
      <c r="F2609" t="s">
        <v>22436</v>
      </c>
      <c r="G2609" t="s">
        <v>22443</v>
      </c>
      <c r="H2609" t="s">
        <v>22452</v>
      </c>
      <c r="I2609" t="s">
        <v>2962</v>
      </c>
      <c r="J2609" t="s">
        <v>24385</v>
      </c>
      <c r="K2609" t="s">
        <v>29336</v>
      </c>
      <c r="M2609" t="s">
        <v>30610</v>
      </c>
      <c r="N2609" t="s">
        <v>32524</v>
      </c>
      <c r="O2609" t="s">
        <v>32525</v>
      </c>
      <c r="P2609">
        <v>0</v>
      </c>
      <c r="Q2609">
        <v>0</v>
      </c>
      <c r="R2609" t="s">
        <v>32527</v>
      </c>
      <c r="S2609" t="s">
        <v>32552</v>
      </c>
      <c r="T2609" t="s">
        <v>33155</v>
      </c>
      <c r="U2609" t="s">
        <v>35840</v>
      </c>
      <c r="W2609" t="s">
        <v>30610</v>
      </c>
      <c r="X2609" t="s">
        <v>32531</v>
      </c>
    </row>
    <row r="2610" spans="1:24">
      <c r="A2610">
        <f>HYPERLINK("https://www.philgeps.gov.ph/GEPSNONPILOT/Tender/SplashBidNoticeAbstractUI.aspx?menuIndex=3&amp;refID=7041820&amp;Result=3","7041820")</f>
        <v>0</v>
      </c>
      <c r="B2610" t="s">
        <v>988</v>
      </c>
      <c r="C2610" t="s">
        <v>3442</v>
      </c>
      <c r="D2610" t="s">
        <v>13002</v>
      </c>
      <c r="E2610" t="s">
        <v>15448</v>
      </c>
      <c r="F2610" t="s">
        <v>22436</v>
      </c>
      <c r="G2610" t="s">
        <v>22443</v>
      </c>
      <c r="H2610" t="s">
        <v>22452</v>
      </c>
      <c r="I2610" t="s">
        <v>22467</v>
      </c>
      <c r="J2610" t="s">
        <v>24386</v>
      </c>
      <c r="K2610" t="s">
        <v>29336</v>
      </c>
      <c r="M2610" t="s">
        <v>30612</v>
      </c>
      <c r="N2610" t="s">
        <v>32524</v>
      </c>
      <c r="O2610" t="s">
        <v>32525</v>
      </c>
      <c r="P2610">
        <v>0</v>
      </c>
      <c r="Q2610">
        <v>0</v>
      </c>
      <c r="R2610" t="s">
        <v>32527</v>
      </c>
      <c r="S2610" t="s">
        <v>32552</v>
      </c>
      <c r="T2610" t="s">
        <v>33213</v>
      </c>
      <c r="U2610" t="s">
        <v>35841</v>
      </c>
      <c r="W2610" t="s">
        <v>43702</v>
      </c>
      <c r="X2610" t="s">
        <v>32531</v>
      </c>
    </row>
    <row r="2611" spans="1:24">
      <c r="A2611">
        <f>HYPERLINK("https://www.philgeps.gov.ph/GEPSNONPILOT/Tender/SplashBidNoticeAbstractUI.aspx?menuIndex=3&amp;refID=7041694&amp;Result=3","7041694")</f>
        <v>0</v>
      </c>
      <c r="B2611" t="s">
        <v>682</v>
      </c>
      <c r="C2611" t="s">
        <v>5179</v>
      </c>
      <c r="D2611" t="s">
        <v>12988</v>
      </c>
      <c r="E2611" t="s">
        <v>13190</v>
      </c>
      <c r="F2611" t="s">
        <v>22436</v>
      </c>
      <c r="G2611" t="s">
        <v>22446</v>
      </c>
      <c r="H2611" t="s">
        <v>22452</v>
      </c>
      <c r="I2611" t="s">
        <v>6387</v>
      </c>
      <c r="J2611" t="s">
        <v>22704</v>
      </c>
      <c r="K2611" t="s">
        <v>29338</v>
      </c>
      <c r="M2611" t="s">
        <v>30276</v>
      </c>
      <c r="N2611" t="s">
        <v>32524</v>
      </c>
      <c r="O2611" t="s">
        <v>32525</v>
      </c>
      <c r="P2611">
        <v>0</v>
      </c>
      <c r="Q2611">
        <v>8</v>
      </c>
      <c r="R2611" t="s">
        <v>32527</v>
      </c>
      <c r="S2611" t="s">
        <v>32552</v>
      </c>
      <c r="T2611" t="s">
        <v>33372</v>
      </c>
      <c r="U2611" t="s">
        <v>35842</v>
      </c>
      <c r="W2611" t="s">
        <v>30276</v>
      </c>
      <c r="X2611" t="s">
        <v>32531</v>
      </c>
    </row>
    <row r="2612" spans="1:24">
      <c r="A2612">
        <f>HYPERLINK("https://www.philgeps.gov.ph/GEPSNONPILOT/Tender/SplashBidNoticeAbstractUI.aspx?menuIndex=3&amp;refID=7041877&amp;Result=3","7041877")</f>
        <v>0</v>
      </c>
      <c r="B2612" t="s">
        <v>87</v>
      </c>
      <c r="C2612" t="s">
        <v>5180</v>
      </c>
      <c r="D2612" t="s">
        <v>12996</v>
      </c>
      <c r="E2612" t="s">
        <v>15449</v>
      </c>
      <c r="F2612" t="s">
        <v>22436</v>
      </c>
      <c r="G2612" t="s">
        <v>22446</v>
      </c>
      <c r="H2612" t="s">
        <v>22452</v>
      </c>
      <c r="I2612" t="s">
        <v>22492</v>
      </c>
      <c r="J2612" t="s">
        <v>23598</v>
      </c>
      <c r="K2612" t="s">
        <v>29338</v>
      </c>
      <c r="M2612" t="s">
        <v>29659</v>
      </c>
      <c r="N2612" t="s">
        <v>32524</v>
      </c>
      <c r="O2612" t="s">
        <v>32525</v>
      </c>
      <c r="P2612">
        <v>0</v>
      </c>
      <c r="Q2612">
        <v>0</v>
      </c>
      <c r="R2612" t="s">
        <v>32527</v>
      </c>
      <c r="S2612" t="s">
        <v>32552</v>
      </c>
      <c r="T2612" t="s">
        <v>33213</v>
      </c>
      <c r="U2612" t="s">
        <v>35843</v>
      </c>
      <c r="V2612" t="s">
        <v>42456</v>
      </c>
      <c r="W2612" t="s">
        <v>29659</v>
      </c>
      <c r="X2612" t="s">
        <v>32531</v>
      </c>
    </row>
    <row r="2613" spans="1:24">
      <c r="A2613">
        <f>HYPERLINK("https://www.philgeps.gov.ph/GEPSNONPILOT/Tender/SplashBidNoticeAbstractUI.aspx?menuIndex=3&amp;refID=7041759&amp;Result=3","7041759")</f>
        <v>0</v>
      </c>
      <c r="B2613" t="s">
        <v>989</v>
      </c>
      <c r="C2613" t="s">
        <v>5181</v>
      </c>
      <c r="D2613" t="s">
        <v>13007</v>
      </c>
      <c r="E2613" t="s">
        <v>15450</v>
      </c>
      <c r="F2613" t="s">
        <v>22436</v>
      </c>
      <c r="G2613" t="s">
        <v>22443</v>
      </c>
      <c r="H2613" t="s">
        <v>22452</v>
      </c>
      <c r="I2613" t="s">
        <v>22551</v>
      </c>
      <c r="J2613" t="s">
        <v>24387</v>
      </c>
      <c r="K2613" t="s">
        <v>29353</v>
      </c>
      <c r="M2613" t="s">
        <v>30613</v>
      </c>
      <c r="N2613" t="s">
        <v>32524</v>
      </c>
      <c r="O2613" t="s">
        <v>32525</v>
      </c>
      <c r="P2613">
        <v>0</v>
      </c>
      <c r="Q2613">
        <v>0</v>
      </c>
      <c r="R2613" t="s">
        <v>32527</v>
      </c>
      <c r="S2613" t="s">
        <v>32552</v>
      </c>
      <c r="T2613" t="s">
        <v>33181</v>
      </c>
      <c r="U2613" t="s">
        <v>35844</v>
      </c>
      <c r="W2613" t="s">
        <v>30613</v>
      </c>
      <c r="X2613" t="s">
        <v>32531</v>
      </c>
    </row>
    <row r="2614" spans="1:24">
      <c r="A2614">
        <f>HYPERLINK("https://www.philgeps.gov.ph/GEPSNONPILOT/Tender/SplashBidNoticeAbstractUI.aspx?menuIndex=3&amp;refID=7041770&amp;Result=3","7041770")</f>
        <v>0</v>
      </c>
      <c r="B2614" t="s">
        <v>988</v>
      </c>
      <c r="C2614" t="s">
        <v>5182</v>
      </c>
      <c r="D2614" t="s">
        <v>13002</v>
      </c>
      <c r="E2614" t="s">
        <v>15451</v>
      </c>
      <c r="F2614" t="s">
        <v>22436</v>
      </c>
      <c r="G2614" t="s">
        <v>22443</v>
      </c>
      <c r="H2614" t="s">
        <v>22452</v>
      </c>
      <c r="I2614" t="s">
        <v>3027</v>
      </c>
      <c r="J2614" t="s">
        <v>23433</v>
      </c>
      <c r="K2614" t="s">
        <v>29336</v>
      </c>
      <c r="M2614" t="s">
        <v>30612</v>
      </c>
      <c r="N2614" t="s">
        <v>32524</v>
      </c>
      <c r="O2614" t="s">
        <v>32525</v>
      </c>
      <c r="P2614">
        <v>0</v>
      </c>
      <c r="Q2614">
        <v>0</v>
      </c>
      <c r="R2614" t="s">
        <v>32527</v>
      </c>
      <c r="S2614" t="s">
        <v>32552</v>
      </c>
      <c r="T2614" t="s">
        <v>33213</v>
      </c>
      <c r="U2614" t="s">
        <v>35841</v>
      </c>
      <c r="W2614" t="s">
        <v>43702</v>
      </c>
      <c r="X2614" t="s">
        <v>32531</v>
      </c>
    </row>
    <row r="2615" spans="1:24">
      <c r="A2615">
        <f>HYPERLINK("https://www.philgeps.gov.ph/GEPSNONPILOT/Tender/SplashBidNoticeAbstractUI.aspx?menuIndex=3&amp;refID=7041839&amp;Result=3","7041839")</f>
        <v>0</v>
      </c>
      <c r="B2615" t="s">
        <v>990</v>
      </c>
      <c r="C2615" t="s">
        <v>5183</v>
      </c>
      <c r="D2615" t="s">
        <v>13032</v>
      </c>
      <c r="E2615" t="s">
        <v>15452</v>
      </c>
      <c r="F2615" t="s">
        <v>22436</v>
      </c>
      <c r="G2615" t="s">
        <v>22443</v>
      </c>
      <c r="H2615" t="s">
        <v>22452</v>
      </c>
      <c r="I2615" t="s">
        <v>12358</v>
      </c>
      <c r="J2615" t="s">
        <v>23226</v>
      </c>
      <c r="K2615" t="s">
        <v>29341</v>
      </c>
      <c r="M2615" t="s">
        <v>30614</v>
      </c>
      <c r="N2615" t="s">
        <v>32524</v>
      </c>
      <c r="O2615" t="s">
        <v>32525</v>
      </c>
      <c r="P2615">
        <v>0</v>
      </c>
      <c r="Q2615">
        <v>0</v>
      </c>
      <c r="R2615" t="s">
        <v>32527</v>
      </c>
      <c r="S2615" t="s">
        <v>32552</v>
      </c>
      <c r="T2615" t="s">
        <v>33209</v>
      </c>
      <c r="U2615" t="s">
        <v>35845</v>
      </c>
      <c r="W2615" t="s">
        <v>30614</v>
      </c>
      <c r="X2615" t="s">
        <v>32531</v>
      </c>
    </row>
    <row r="2616" spans="1:24">
      <c r="A2616">
        <f>HYPERLINK("https://www.philgeps.gov.ph/GEPSNONPILOT/Tender/SplashBidNoticeAbstractUI.aspx?menuIndex=3&amp;refID=7041865&amp;Result=3","7041865")</f>
        <v>0</v>
      </c>
      <c r="B2616" t="s">
        <v>87</v>
      </c>
      <c r="C2616" t="s">
        <v>5184</v>
      </c>
      <c r="D2616" t="s">
        <v>12996</v>
      </c>
      <c r="E2616" t="s">
        <v>15453</v>
      </c>
      <c r="F2616" t="s">
        <v>22436</v>
      </c>
      <c r="G2616" t="s">
        <v>22446</v>
      </c>
      <c r="H2616" t="s">
        <v>22452</v>
      </c>
      <c r="I2616" t="s">
        <v>22492</v>
      </c>
      <c r="J2616" t="s">
        <v>24388</v>
      </c>
      <c r="K2616" t="s">
        <v>29338</v>
      </c>
      <c r="M2616" t="s">
        <v>29659</v>
      </c>
      <c r="N2616" t="s">
        <v>32524</v>
      </c>
      <c r="O2616" t="s">
        <v>32525</v>
      </c>
      <c r="P2616">
        <v>0</v>
      </c>
      <c r="Q2616">
        <v>0</v>
      </c>
      <c r="R2616" t="s">
        <v>32527</v>
      </c>
      <c r="S2616" t="s">
        <v>32552</v>
      </c>
      <c r="T2616" t="s">
        <v>33213</v>
      </c>
      <c r="U2616" t="s">
        <v>35846</v>
      </c>
      <c r="V2616" t="s">
        <v>42456</v>
      </c>
      <c r="W2616" t="s">
        <v>29659</v>
      </c>
      <c r="X2616" t="s">
        <v>32531</v>
      </c>
    </row>
    <row r="2617" spans="1:24">
      <c r="A2617">
        <f>HYPERLINK("https://www.philgeps.gov.ph/GEPSNONPILOT/Tender/SplashBidNoticeAbstractUI.aspx?menuIndex=3&amp;refID=7041778&amp;Result=3","7041778")</f>
        <v>0</v>
      </c>
      <c r="B2617" t="s">
        <v>193</v>
      </c>
      <c r="C2617" t="s">
        <v>5185</v>
      </c>
      <c r="D2617" t="s">
        <v>13015</v>
      </c>
      <c r="E2617" t="s">
        <v>15454</v>
      </c>
      <c r="F2617" t="s">
        <v>22436</v>
      </c>
      <c r="G2617" t="s">
        <v>22443</v>
      </c>
      <c r="H2617" t="s">
        <v>22452</v>
      </c>
      <c r="I2617" t="s">
        <v>22469</v>
      </c>
      <c r="J2617" t="s">
        <v>22617</v>
      </c>
      <c r="K2617" t="s">
        <v>29336</v>
      </c>
      <c r="M2617" t="s">
        <v>30610</v>
      </c>
      <c r="N2617" t="s">
        <v>32524</v>
      </c>
      <c r="O2617" t="s">
        <v>32525</v>
      </c>
      <c r="P2617">
        <v>0</v>
      </c>
      <c r="Q2617">
        <v>3</v>
      </c>
      <c r="R2617" t="s">
        <v>32527</v>
      </c>
      <c r="S2617" t="s">
        <v>32552</v>
      </c>
      <c r="T2617" t="s">
        <v>33155</v>
      </c>
      <c r="U2617" t="s">
        <v>35847</v>
      </c>
      <c r="W2617" t="s">
        <v>30610</v>
      </c>
      <c r="X2617" t="s">
        <v>32531</v>
      </c>
    </row>
    <row r="2618" spans="1:24">
      <c r="A2618">
        <f>HYPERLINK("https://www.philgeps.gov.ph/GEPSNONPILOT/Tender/SplashBidNoticeAbstractUI.aspx?menuIndex=3&amp;refID=7041869&amp;Result=3","7041869")</f>
        <v>0</v>
      </c>
      <c r="B2618" t="s">
        <v>220</v>
      </c>
      <c r="C2618" t="s">
        <v>5186</v>
      </c>
      <c r="D2618" t="s">
        <v>13037</v>
      </c>
      <c r="E2618" t="s">
        <v>15455</v>
      </c>
      <c r="F2618" t="s">
        <v>22436</v>
      </c>
      <c r="G2618" t="s">
        <v>22446</v>
      </c>
      <c r="H2618" t="s">
        <v>22452</v>
      </c>
      <c r="I2618" t="s">
        <v>3529</v>
      </c>
      <c r="J2618" t="s">
        <v>24389</v>
      </c>
      <c r="K2618" t="s">
        <v>29336</v>
      </c>
      <c r="M2618" t="s">
        <v>29793</v>
      </c>
      <c r="N2618" t="s">
        <v>32524</v>
      </c>
      <c r="O2618" t="s">
        <v>32525</v>
      </c>
      <c r="P2618">
        <v>0</v>
      </c>
      <c r="Q2618">
        <v>0</v>
      </c>
      <c r="R2618" t="s">
        <v>32527</v>
      </c>
      <c r="S2618" t="s">
        <v>32552</v>
      </c>
      <c r="T2618" t="s">
        <v>33372</v>
      </c>
      <c r="U2618" t="s">
        <v>34035</v>
      </c>
      <c r="W2618" t="s">
        <v>29793</v>
      </c>
      <c r="X2618" t="s">
        <v>32531</v>
      </c>
    </row>
    <row r="2619" spans="1:24">
      <c r="A2619">
        <f>HYPERLINK("https://www.philgeps.gov.ph/GEPSNONPILOT/Tender/SplashBidNoticeAbstractUI.aspx?menuIndex=3&amp;refID=7041903&amp;Result=3","7041903")</f>
        <v>0</v>
      </c>
      <c r="B2619" t="s">
        <v>220</v>
      </c>
      <c r="C2619" t="s">
        <v>5187</v>
      </c>
      <c r="D2619" t="s">
        <v>13037</v>
      </c>
      <c r="E2619" t="s">
        <v>15456</v>
      </c>
      <c r="F2619" t="s">
        <v>22436</v>
      </c>
      <c r="G2619" t="s">
        <v>22446</v>
      </c>
      <c r="H2619" t="s">
        <v>22452</v>
      </c>
      <c r="I2619" t="s">
        <v>22463</v>
      </c>
      <c r="J2619" t="s">
        <v>24390</v>
      </c>
      <c r="K2619" t="s">
        <v>29336</v>
      </c>
      <c r="M2619" t="s">
        <v>29793</v>
      </c>
      <c r="N2619" t="s">
        <v>32524</v>
      </c>
      <c r="O2619" t="s">
        <v>32525</v>
      </c>
      <c r="P2619">
        <v>0</v>
      </c>
      <c r="Q2619">
        <v>1</v>
      </c>
      <c r="R2619" t="s">
        <v>32527</v>
      </c>
      <c r="S2619" t="s">
        <v>32552</v>
      </c>
      <c r="T2619" t="s">
        <v>33372</v>
      </c>
      <c r="U2619" t="s">
        <v>34035</v>
      </c>
      <c r="W2619" t="s">
        <v>29793</v>
      </c>
      <c r="X2619" t="s">
        <v>32531</v>
      </c>
    </row>
    <row r="2620" spans="1:24">
      <c r="A2620">
        <f>HYPERLINK("https://www.philgeps.gov.ph/GEPSNONPILOT/Tender/SplashBidNoticeAbstractUI.aspx?menuIndex=3&amp;refID=7041844&amp;Result=3","7041844")</f>
        <v>0</v>
      </c>
      <c r="B2620" t="s">
        <v>87</v>
      </c>
      <c r="C2620" t="s">
        <v>5188</v>
      </c>
      <c r="D2620" t="s">
        <v>13000</v>
      </c>
      <c r="E2620" t="s">
        <v>15457</v>
      </c>
      <c r="F2620" t="s">
        <v>22436</v>
      </c>
      <c r="G2620" t="s">
        <v>22446</v>
      </c>
      <c r="H2620" t="s">
        <v>22452</v>
      </c>
      <c r="I2620" t="s">
        <v>22492</v>
      </c>
      <c r="J2620" t="s">
        <v>24391</v>
      </c>
      <c r="K2620" t="s">
        <v>29338</v>
      </c>
      <c r="M2620" t="s">
        <v>29659</v>
      </c>
      <c r="N2620" t="s">
        <v>32524</v>
      </c>
      <c r="O2620" t="s">
        <v>32525</v>
      </c>
      <c r="P2620">
        <v>0</v>
      </c>
      <c r="Q2620">
        <v>0</v>
      </c>
      <c r="R2620" t="s">
        <v>32527</v>
      </c>
      <c r="S2620" t="s">
        <v>32552</v>
      </c>
      <c r="T2620" t="s">
        <v>33213</v>
      </c>
      <c r="U2620" t="s">
        <v>35848</v>
      </c>
      <c r="V2620" t="s">
        <v>42456</v>
      </c>
      <c r="W2620" t="s">
        <v>29659</v>
      </c>
      <c r="X2620" t="s">
        <v>32531</v>
      </c>
    </row>
    <row r="2621" spans="1:24">
      <c r="A2621">
        <f>HYPERLINK("https://www.philgeps.gov.ph/GEPSNONPILOT/Tender/SplashBidNoticeAbstractUI.aspx?menuIndex=3&amp;refID=7041845&amp;Result=3","7041845")</f>
        <v>0</v>
      </c>
      <c r="B2621" t="s">
        <v>220</v>
      </c>
      <c r="C2621" t="s">
        <v>5189</v>
      </c>
      <c r="D2621" t="s">
        <v>13037</v>
      </c>
      <c r="E2621" t="s">
        <v>15458</v>
      </c>
      <c r="F2621" t="s">
        <v>22436</v>
      </c>
      <c r="G2621" t="s">
        <v>22446</v>
      </c>
      <c r="H2621" t="s">
        <v>22452</v>
      </c>
      <c r="I2621" t="s">
        <v>2962</v>
      </c>
      <c r="J2621" t="s">
        <v>24392</v>
      </c>
      <c r="K2621" t="s">
        <v>29336</v>
      </c>
      <c r="M2621" t="s">
        <v>29793</v>
      </c>
      <c r="N2621" t="s">
        <v>32524</v>
      </c>
      <c r="O2621" t="s">
        <v>32525</v>
      </c>
      <c r="P2621">
        <v>0</v>
      </c>
      <c r="Q2621">
        <v>0</v>
      </c>
      <c r="R2621" t="s">
        <v>32527</v>
      </c>
      <c r="S2621" t="s">
        <v>32552</v>
      </c>
      <c r="T2621" t="s">
        <v>33372</v>
      </c>
      <c r="U2621" t="s">
        <v>34035</v>
      </c>
      <c r="W2621" t="s">
        <v>29793</v>
      </c>
      <c r="X2621" t="s">
        <v>32531</v>
      </c>
    </row>
    <row r="2622" spans="1:24">
      <c r="A2622">
        <f>HYPERLINK("https://www.philgeps.gov.ph/GEPSNONPILOT/Tender/SplashBidNoticeAbstractUI.aspx?menuIndex=3&amp;refID=7041886&amp;Result=3","7041886")</f>
        <v>0</v>
      </c>
      <c r="B2622" t="s">
        <v>87</v>
      </c>
      <c r="C2622" t="s">
        <v>5190</v>
      </c>
      <c r="D2622" t="s">
        <v>13000</v>
      </c>
      <c r="E2622" t="s">
        <v>15459</v>
      </c>
      <c r="F2622" t="s">
        <v>22436</v>
      </c>
      <c r="G2622" t="s">
        <v>22446</v>
      </c>
      <c r="H2622" t="s">
        <v>22452</v>
      </c>
      <c r="I2622" t="s">
        <v>2981</v>
      </c>
      <c r="J2622" t="s">
        <v>23627</v>
      </c>
      <c r="K2622" t="s">
        <v>29338</v>
      </c>
      <c r="M2622" t="s">
        <v>29659</v>
      </c>
      <c r="N2622" t="s">
        <v>32524</v>
      </c>
      <c r="O2622" t="s">
        <v>32525</v>
      </c>
      <c r="P2622">
        <v>0</v>
      </c>
      <c r="Q2622">
        <v>4</v>
      </c>
      <c r="R2622" t="s">
        <v>32527</v>
      </c>
      <c r="S2622" t="s">
        <v>32552</v>
      </c>
      <c r="T2622" t="s">
        <v>33213</v>
      </c>
      <c r="U2622" t="s">
        <v>35849</v>
      </c>
      <c r="V2622" t="s">
        <v>42456</v>
      </c>
      <c r="W2622" t="s">
        <v>29659</v>
      </c>
      <c r="X2622" t="s">
        <v>32531</v>
      </c>
    </row>
    <row r="2623" spans="1:24">
      <c r="A2623">
        <f>HYPERLINK("https://www.philgeps.gov.ph/GEPSNONPILOT/Tender/SplashBidNoticeAbstractUI.aspx?menuIndex=3&amp;refID=7041670&amp;Result=3","7041670")</f>
        <v>0</v>
      </c>
      <c r="B2623" t="s">
        <v>193</v>
      </c>
      <c r="C2623" t="s">
        <v>5191</v>
      </c>
      <c r="D2623" t="s">
        <v>13015</v>
      </c>
      <c r="E2623" t="s">
        <v>15460</v>
      </c>
      <c r="F2623" t="s">
        <v>22436</v>
      </c>
      <c r="G2623" t="s">
        <v>22443</v>
      </c>
      <c r="H2623" t="s">
        <v>22452</v>
      </c>
      <c r="I2623" t="s">
        <v>2962</v>
      </c>
      <c r="J2623" t="s">
        <v>24393</v>
      </c>
      <c r="K2623" t="s">
        <v>29336</v>
      </c>
      <c r="M2623" t="s">
        <v>30610</v>
      </c>
      <c r="N2623" t="s">
        <v>32524</v>
      </c>
      <c r="O2623" t="s">
        <v>32525</v>
      </c>
      <c r="P2623">
        <v>0</v>
      </c>
      <c r="Q2623">
        <v>0</v>
      </c>
      <c r="R2623" t="s">
        <v>32527</v>
      </c>
      <c r="S2623" t="s">
        <v>32552</v>
      </c>
      <c r="T2623" t="s">
        <v>33155</v>
      </c>
      <c r="U2623" t="s">
        <v>35850</v>
      </c>
      <c r="W2623" t="s">
        <v>30610</v>
      </c>
      <c r="X2623" t="s">
        <v>32531</v>
      </c>
    </row>
    <row r="2624" spans="1:24">
      <c r="A2624">
        <f>HYPERLINK("https://www.philgeps.gov.ph/GEPSNONPILOT/Tender/SplashBidNoticeAbstractUI.aspx?menuIndex=3&amp;refID=7041918&amp;Result=3","7041918")</f>
        <v>0</v>
      </c>
      <c r="B2624" t="s">
        <v>988</v>
      </c>
      <c r="C2624" t="s">
        <v>3442</v>
      </c>
      <c r="D2624" t="s">
        <v>13002</v>
      </c>
      <c r="E2624" t="s">
        <v>15461</v>
      </c>
      <c r="F2624" t="s">
        <v>22436</v>
      </c>
      <c r="G2624" t="s">
        <v>22443</v>
      </c>
      <c r="H2624" t="s">
        <v>22452</v>
      </c>
      <c r="I2624" t="s">
        <v>22467</v>
      </c>
      <c r="J2624" t="s">
        <v>23424</v>
      </c>
      <c r="K2624" t="s">
        <v>29336</v>
      </c>
      <c r="M2624" t="s">
        <v>30612</v>
      </c>
      <c r="N2624" t="s">
        <v>32524</v>
      </c>
      <c r="O2624" t="s">
        <v>32525</v>
      </c>
      <c r="P2624">
        <v>0</v>
      </c>
      <c r="Q2624">
        <v>0</v>
      </c>
      <c r="R2624" t="s">
        <v>32527</v>
      </c>
      <c r="S2624" t="s">
        <v>32552</v>
      </c>
      <c r="T2624" t="s">
        <v>33213</v>
      </c>
      <c r="U2624" t="s">
        <v>35841</v>
      </c>
      <c r="W2624" t="s">
        <v>43702</v>
      </c>
      <c r="X2624" t="s">
        <v>32531</v>
      </c>
    </row>
    <row r="2625" spans="1:24">
      <c r="A2625">
        <f>HYPERLINK("https://www.philgeps.gov.ph/GEPSNONPILOT/Tender/SplashBidNoticeAbstractUI.aspx?menuIndex=3&amp;refID=7042030&amp;Result=3","7042030")</f>
        <v>0</v>
      </c>
      <c r="B2625" t="s">
        <v>220</v>
      </c>
      <c r="C2625" t="s">
        <v>5192</v>
      </c>
      <c r="D2625" t="s">
        <v>13037</v>
      </c>
      <c r="E2625" t="s">
        <v>15462</v>
      </c>
      <c r="F2625" t="s">
        <v>22436</v>
      </c>
      <c r="G2625" t="s">
        <v>22446</v>
      </c>
      <c r="H2625" t="s">
        <v>22452</v>
      </c>
      <c r="I2625" t="s">
        <v>22464</v>
      </c>
      <c r="J2625" t="s">
        <v>24199</v>
      </c>
      <c r="K2625" t="s">
        <v>29336</v>
      </c>
      <c r="M2625" t="s">
        <v>29793</v>
      </c>
      <c r="N2625" t="s">
        <v>32524</v>
      </c>
      <c r="O2625" t="s">
        <v>32525</v>
      </c>
      <c r="P2625">
        <v>0</v>
      </c>
      <c r="Q2625">
        <v>0</v>
      </c>
      <c r="R2625" t="s">
        <v>32527</v>
      </c>
      <c r="S2625" t="s">
        <v>32552</v>
      </c>
      <c r="T2625" t="s">
        <v>33372</v>
      </c>
      <c r="U2625" t="s">
        <v>35851</v>
      </c>
      <c r="W2625" t="s">
        <v>29793</v>
      </c>
      <c r="X2625" t="s">
        <v>32531</v>
      </c>
    </row>
    <row r="2626" spans="1:24">
      <c r="A2626">
        <f>HYPERLINK("https://www.philgeps.gov.ph/GEPSNONPILOT/Tender/SplashBidNoticeAbstractUI.aspx?menuIndex=3&amp;refID=7041915&amp;Result=3","7041915")</f>
        <v>0</v>
      </c>
      <c r="B2626" t="s">
        <v>991</v>
      </c>
      <c r="C2626" t="s">
        <v>5193</v>
      </c>
      <c r="D2626" t="s">
        <v>13006</v>
      </c>
      <c r="E2626" t="s">
        <v>15463</v>
      </c>
      <c r="F2626" t="s">
        <v>22436</v>
      </c>
      <c r="G2626" t="s">
        <v>22444</v>
      </c>
      <c r="H2626" t="s">
        <v>22452</v>
      </c>
      <c r="I2626" t="s">
        <v>3529</v>
      </c>
      <c r="J2626" t="s">
        <v>24394</v>
      </c>
      <c r="K2626" t="s">
        <v>29335</v>
      </c>
      <c r="M2626" t="s">
        <v>30615</v>
      </c>
      <c r="N2626" t="s">
        <v>32524</v>
      </c>
      <c r="O2626" t="s">
        <v>32525</v>
      </c>
      <c r="P2626">
        <v>0</v>
      </c>
      <c r="Q2626">
        <v>0</v>
      </c>
      <c r="R2626" t="s">
        <v>32527</v>
      </c>
      <c r="S2626" t="s">
        <v>32552</v>
      </c>
      <c r="T2626" t="s">
        <v>33373</v>
      </c>
      <c r="U2626" t="s">
        <v>35852</v>
      </c>
      <c r="W2626" t="s">
        <v>30615</v>
      </c>
      <c r="X2626" t="s">
        <v>32531</v>
      </c>
    </row>
    <row r="2627" spans="1:24">
      <c r="A2627">
        <f>HYPERLINK("https://www.philgeps.gov.ph/GEPSNONPILOT/Tender/SplashBidNoticeAbstractUI.aspx?menuIndex=3&amp;refID=7041914&amp;Result=3","7041914")</f>
        <v>0</v>
      </c>
      <c r="B2627" t="s">
        <v>328</v>
      </c>
      <c r="C2627" t="s">
        <v>5194</v>
      </c>
      <c r="D2627" t="s">
        <v>13022</v>
      </c>
      <c r="E2627" t="s">
        <v>15464</v>
      </c>
      <c r="F2627" t="s">
        <v>22436</v>
      </c>
      <c r="G2627" t="s">
        <v>22445</v>
      </c>
      <c r="H2627" t="s">
        <v>22452</v>
      </c>
      <c r="I2627" t="s">
        <v>5194</v>
      </c>
      <c r="J2627" t="s">
        <v>24395</v>
      </c>
      <c r="K2627" t="s">
        <v>29335</v>
      </c>
      <c r="M2627" t="s">
        <v>29904</v>
      </c>
      <c r="N2627" t="s">
        <v>32524</v>
      </c>
      <c r="O2627" t="s">
        <v>32525</v>
      </c>
      <c r="P2627">
        <v>0</v>
      </c>
      <c r="Q2627">
        <v>4</v>
      </c>
      <c r="R2627" t="s">
        <v>32527</v>
      </c>
      <c r="S2627" t="s">
        <v>32552</v>
      </c>
      <c r="T2627" t="s">
        <v>33213</v>
      </c>
      <c r="U2627" t="s">
        <v>35853</v>
      </c>
      <c r="W2627" t="s">
        <v>29904</v>
      </c>
      <c r="X2627" t="s">
        <v>32531</v>
      </c>
    </row>
    <row r="2628" spans="1:24">
      <c r="A2628">
        <f>HYPERLINK("https://www.philgeps.gov.ph/GEPSNONPILOT/Tender/SplashBidNoticeAbstractUI.aspx?menuIndex=3&amp;refID=7042027&amp;Result=3","7042027")</f>
        <v>0</v>
      </c>
      <c r="B2628" t="s">
        <v>992</v>
      </c>
      <c r="C2628" t="s">
        <v>5195</v>
      </c>
      <c r="D2628" t="s">
        <v>13024</v>
      </c>
      <c r="E2628" t="s">
        <v>15465</v>
      </c>
      <c r="F2628" t="s">
        <v>22436</v>
      </c>
      <c r="G2628" t="s">
        <v>22444</v>
      </c>
      <c r="H2628" t="s">
        <v>22452</v>
      </c>
      <c r="I2628" t="s">
        <v>22467</v>
      </c>
      <c r="J2628" t="s">
        <v>24396</v>
      </c>
      <c r="K2628" t="s">
        <v>29434</v>
      </c>
      <c r="M2628" t="s">
        <v>30616</v>
      </c>
      <c r="N2628" t="s">
        <v>32524</v>
      </c>
      <c r="O2628" t="s">
        <v>32525</v>
      </c>
      <c r="P2628">
        <v>0</v>
      </c>
      <c r="Q2628">
        <v>0</v>
      </c>
      <c r="R2628" t="s">
        <v>32527</v>
      </c>
      <c r="S2628" t="s">
        <v>32552</v>
      </c>
      <c r="T2628" t="s">
        <v>33203</v>
      </c>
      <c r="U2628" t="s">
        <v>35854</v>
      </c>
      <c r="V2628" t="s">
        <v>42677</v>
      </c>
      <c r="W2628" t="s">
        <v>30616</v>
      </c>
      <c r="X2628" t="s">
        <v>32531</v>
      </c>
    </row>
    <row r="2629" spans="1:24">
      <c r="A2629">
        <f>HYPERLINK("https://www.philgeps.gov.ph/GEPSNONPILOT/Tender/SplashBidNoticeAbstractUI.aspx?menuIndex=3&amp;refID=7041981&amp;Result=3","7041981")</f>
        <v>0</v>
      </c>
      <c r="B2629" t="s">
        <v>87</v>
      </c>
      <c r="C2629" t="s">
        <v>5196</v>
      </c>
      <c r="D2629" t="s">
        <v>13040</v>
      </c>
      <c r="E2629" t="s">
        <v>15466</v>
      </c>
      <c r="F2629" t="s">
        <v>22436</v>
      </c>
      <c r="G2629" t="s">
        <v>22445</v>
      </c>
      <c r="H2629" t="s">
        <v>22452</v>
      </c>
      <c r="I2629" t="s">
        <v>22460</v>
      </c>
      <c r="J2629" t="s">
        <v>24397</v>
      </c>
      <c r="K2629" t="s">
        <v>29338</v>
      </c>
      <c r="M2629" t="s">
        <v>29659</v>
      </c>
      <c r="N2629" t="s">
        <v>32524</v>
      </c>
      <c r="O2629" t="s">
        <v>32525</v>
      </c>
      <c r="P2629">
        <v>0</v>
      </c>
      <c r="Q2629">
        <v>1</v>
      </c>
      <c r="R2629" t="s">
        <v>32527</v>
      </c>
      <c r="S2629" t="s">
        <v>32552</v>
      </c>
      <c r="T2629" t="s">
        <v>33213</v>
      </c>
      <c r="U2629" t="s">
        <v>35855</v>
      </c>
      <c r="V2629" t="s">
        <v>42456</v>
      </c>
      <c r="W2629" t="s">
        <v>29659</v>
      </c>
      <c r="X2629" t="s">
        <v>32531</v>
      </c>
    </row>
    <row r="2630" spans="1:24">
      <c r="A2630">
        <f>HYPERLINK("https://www.philgeps.gov.ph/GEPSNONPILOT/Tender/SplashBidNoticeAbstractUI.aspx?menuIndex=3&amp;refID=7042011&amp;Result=3","7042011")</f>
        <v>0</v>
      </c>
      <c r="B2630" t="s">
        <v>987</v>
      </c>
      <c r="C2630" t="s">
        <v>5197</v>
      </c>
      <c r="D2630" t="s">
        <v>12998</v>
      </c>
      <c r="E2630" t="s">
        <v>15467</v>
      </c>
      <c r="F2630" t="s">
        <v>22436</v>
      </c>
      <c r="G2630" t="s">
        <v>22444</v>
      </c>
      <c r="H2630" t="s">
        <v>22452</v>
      </c>
      <c r="I2630" t="s">
        <v>22469</v>
      </c>
      <c r="J2630" t="s">
        <v>22951</v>
      </c>
      <c r="K2630" t="s">
        <v>29341</v>
      </c>
      <c r="M2630" t="s">
        <v>30611</v>
      </c>
      <c r="N2630" t="s">
        <v>32524</v>
      </c>
      <c r="O2630" t="s">
        <v>32525</v>
      </c>
      <c r="P2630">
        <v>0</v>
      </c>
      <c r="Q2630">
        <v>2</v>
      </c>
      <c r="R2630" t="s">
        <v>32527</v>
      </c>
      <c r="S2630" t="s">
        <v>32552</v>
      </c>
      <c r="T2630" t="s">
        <v>33203</v>
      </c>
      <c r="U2630" t="s">
        <v>35856</v>
      </c>
      <c r="W2630" t="s">
        <v>30611</v>
      </c>
      <c r="X2630" t="s">
        <v>32531</v>
      </c>
    </row>
    <row r="2631" spans="1:24">
      <c r="A2631">
        <f>HYPERLINK("https://www.philgeps.gov.ph/GEPSNONPILOT/Tender/SplashBidNoticeAbstractUI.aspx?menuIndex=3&amp;refID=7042014&amp;Result=3","7042014")</f>
        <v>0</v>
      </c>
      <c r="B2631" t="s">
        <v>199</v>
      </c>
      <c r="C2631" t="s">
        <v>5198</v>
      </c>
      <c r="D2631" t="s">
        <v>13009</v>
      </c>
      <c r="E2631" t="s">
        <v>15468</v>
      </c>
      <c r="F2631" t="s">
        <v>22436</v>
      </c>
      <c r="G2631" t="s">
        <v>22447</v>
      </c>
      <c r="H2631" t="s">
        <v>22452</v>
      </c>
      <c r="I2631" t="s">
        <v>22502</v>
      </c>
      <c r="J2631" t="s">
        <v>24398</v>
      </c>
      <c r="K2631" t="s">
        <v>29338</v>
      </c>
      <c r="M2631" t="s">
        <v>30051</v>
      </c>
      <c r="N2631" t="s">
        <v>32524</v>
      </c>
      <c r="O2631" t="s">
        <v>32525</v>
      </c>
      <c r="P2631">
        <v>0</v>
      </c>
      <c r="Q2631">
        <v>12</v>
      </c>
      <c r="R2631" t="s">
        <v>32527</v>
      </c>
      <c r="S2631" t="s">
        <v>32552</v>
      </c>
      <c r="T2631" t="s">
        <v>33181</v>
      </c>
      <c r="U2631" t="s">
        <v>35857</v>
      </c>
      <c r="W2631" t="s">
        <v>30051</v>
      </c>
      <c r="X2631" t="s">
        <v>32531</v>
      </c>
    </row>
    <row r="2632" spans="1:24">
      <c r="A2632">
        <f>HYPERLINK("https://www.philgeps.gov.ph/GEPSNONPILOT/Tender/SplashBidNoticeAbstractUI.aspx?menuIndex=3&amp;refID=7041972&amp;Result=3","7041972")</f>
        <v>0</v>
      </c>
      <c r="B2632" t="s">
        <v>993</v>
      </c>
      <c r="C2632" t="s">
        <v>5199</v>
      </c>
      <c r="D2632" t="s">
        <v>12988</v>
      </c>
      <c r="E2632" t="s">
        <v>15469</v>
      </c>
      <c r="F2632" t="s">
        <v>22436</v>
      </c>
      <c r="G2632" t="s">
        <v>22443</v>
      </c>
      <c r="H2632" t="s">
        <v>22452</v>
      </c>
      <c r="I2632" t="s">
        <v>22476</v>
      </c>
      <c r="J2632" t="s">
        <v>24399</v>
      </c>
      <c r="K2632" t="s">
        <v>29341</v>
      </c>
      <c r="M2632" t="s">
        <v>30617</v>
      </c>
      <c r="N2632" t="s">
        <v>32524</v>
      </c>
      <c r="O2632" t="s">
        <v>32525</v>
      </c>
      <c r="P2632">
        <v>0</v>
      </c>
      <c r="Q2632">
        <v>4</v>
      </c>
      <c r="R2632" t="s">
        <v>32527</v>
      </c>
      <c r="S2632" t="s">
        <v>32552</v>
      </c>
      <c r="T2632" t="s">
        <v>33209</v>
      </c>
      <c r="U2632" t="s">
        <v>35858</v>
      </c>
      <c r="V2632" t="s">
        <v>42678</v>
      </c>
      <c r="W2632" t="s">
        <v>30617</v>
      </c>
      <c r="X2632" t="s">
        <v>32531</v>
      </c>
    </row>
    <row r="2633" spans="1:24">
      <c r="A2633">
        <f>HYPERLINK("https://www.philgeps.gov.ph/GEPSNONPILOT/Tender/SplashBidNoticeAbstractUI.aspx?menuIndex=3&amp;refID=7042028&amp;Result=3","7042028")</f>
        <v>0</v>
      </c>
      <c r="B2633" t="s">
        <v>87</v>
      </c>
      <c r="C2633" t="s">
        <v>5200</v>
      </c>
      <c r="E2633" t="s">
        <v>15470</v>
      </c>
      <c r="F2633" t="s">
        <v>22436</v>
      </c>
      <c r="G2633" t="s">
        <v>22443</v>
      </c>
      <c r="H2633" t="s">
        <v>22452</v>
      </c>
      <c r="I2633" t="s">
        <v>22486</v>
      </c>
      <c r="J2633" t="s">
        <v>24400</v>
      </c>
      <c r="K2633" t="s">
        <v>29338</v>
      </c>
      <c r="M2633" t="s">
        <v>29659</v>
      </c>
      <c r="N2633" t="s">
        <v>32524</v>
      </c>
      <c r="O2633" t="s">
        <v>32525</v>
      </c>
      <c r="P2633">
        <v>0</v>
      </c>
      <c r="Q2633">
        <v>0</v>
      </c>
      <c r="R2633" t="s">
        <v>32527</v>
      </c>
      <c r="S2633" t="s">
        <v>32552</v>
      </c>
      <c r="T2633" t="s">
        <v>33213</v>
      </c>
      <c r="U2633" t="s">
        <v>35859</v>
      </c>
      <c r="V2633" t="s">
        <v>42456</v>
      </c>
      <c r="W2633" t="s">
        <v>29659</v>
      </c>
      <c r="X2633" t="s">
        <v>32531</v>
      </c>
    </row>
    <row r="2634" spans="1:24">
      <c r="A2634">
        <f>HYPERLINK("https://www.philgeps.gov.ph/GEPSNONPILOT/Tender/SplashBidNoticeAbstractUI.aspx?menuIndex=3&amp;refID=7041939&amp;Result=3","7041939")</f>
        <v>0</v>
      </c>
      <c r="B2634" t="s">
        <v>135</v>
      </c>
      <c r="C2634" t="s">
        <v>5201</v>
      </c>
      <c r="D2634" t="s">
        <v>12988</v>
      </c>
      <c r="E2634" t="s">
        <v>15471</v>
      </c>
      <c r="F2634" t="s">
        <v>22436</v>
      </c>
      <c r="G2634" t="s">
        <v>22444</v>
      </c>
      <c r="H2634" t="s">
        <v>22452</v>
      </c>
      <c r="I2634" t="s">
        <v>22476</v>
      </c>
      <c r="J2634" t="s">
        <v>24401</v>
      </c>
      <c r="K2634" t="s">
        <v>29335</v>
      </c>
      <c r="M2634" t="s">
        <v>30618</v>
      </c>
      <c r="N2634" t="s">
        <v>32524</v>
      </c>
      <c r="O2634" t="s">
        <v>32525</v>
      </c>
      <c r="P2634">
        <v>0</v>
      </c>
      <c r="Q2634">
        <v>3</v>
      </c>
      <c r="R2634" t="s">
        <v>32527</v>
      </c>
      <c r="S2634" t="s">
        <v>32552</v>
      </c>
      <c r="T2634" t="s">
        <v>33374</v>
      </c>
      <c r="U2634" t="s">
        <v>35860</v>
      </c>
      <c r="W2634" t="s">
        <v>30618</v>
      </c>
      <c r="X2634" t="s">
        <v>32531</v>
      </c>
    </row>
    <row r="2635" spans="1:24">
      <c r="A2635">
        <f>HYPERLINK("https://www.philgeps.gov.ph/GEPSNONPILOT/Tender/SplashBidNoticeAbstractUI.aspx?menuIndex=3&amp;refID=7041979&amp;Result=3","7041979")</f>
        <v>0</v>
      </c>
      <c r="B2635" t="s">
        <v>717</v>
      </c>
      <c r="C2635" t="s">
        <v>5202</v>
      </c>
      <c r="D2635" t="s">
        <v>13024</v>
      </c>
      <c r="E2635" t="s">
        <v>15472</v>
      </c>
      <c r="F2635" t="s">
        <v>22436</v>
      </c>
      <c r="G2635" t="s">
        <v>22443</v>
      </c>
      <c r="H2635" t="s">
        <v>22452</v>
      </c>
      <c r="I2635" t="s">
        <v>22502</v>
      </c>
      <c r="J2635" t="s">
        <v>24402</v>
      </c>
      <c r="K2635" t="s">
        <v>29338</v>
      </c>
      <c r="M2635" t="s">
        <v>30314</v>
      </c>
      <c r="N2635" t="s">
        <v>32524</v>
      </c>
      <c r="O2635" t="s">
        <v>32525</v>
      </c>
      <c r="P2635">
        <v>0</v>
      </c>
      <c r="Q2635">
        <v>7</v>
      </c>
      <c r="R2635" t="s">
        <v>32527</v>
      </c>
      <c r="S2635" t="s">
        <v>32552</v>
      </c>
      <c r="T2635" t="s">
        <v>33169</v>
      </c>
      <c r="U2635" t="s">
        <v>35861</v>
      </c>
      <c r="W2635" t="s">
        <v>30314</v>
      </c>
      <c r="X2635" t="s">
        <v>32531</v>
      </c>
    </row>
    <row r="2636" spans="1:24">
      <c r="A2636">
        <f>HYPERLINK("https://www.philgeps.gov.ph/GEPSNONPILOT/Tender/SplashBidNoticeAbstractUI.aspx?menuIndex=3&amp;refID=7041922&amp;Result=3","7041922")</f>
        <v>0</v>
      </c>
      <c r="B2636" t="s">
        <v>87</v>
      </c>
      <c r="C2636" t="s">
        <v>5203</v>
      </c>
      <c r="D2636" t="s">
        <v>13040</v>
      </c>
      <c r="E2636" t="s">
        <v>15473</v>
      </c>
      <c r="F2636" t="s">
        <v>22436</v>
      </c>
      <c r="G2636" t="s">
        <v>22446</v>
      </c>
      <c r="H2636" t="s">
        <v>22452</v>
      </c>
      <c r="I2636" t="s">
        <v>12358</v>
      </c>
      <c r="J2636" t="s">
        <v>24403</v>
      </c>
      <c r="K2636" t="s">
        <v>29338</v>
      </c>
      <c r="M2636" t="s">
        <v>29659</v>
      </c>
      <c r="N2636" t="s">
        <v>32524</v>
      </c>
      <c r="O2636" t="s">
        <v>32525</v>
      </c>
      <c r="P2636">
        <v>0</v>
      </c>
      <c r="Q2636">
        <v>1</v>
      </c>
      <c r="R2636" t="s">
        <v>32527</v>
      </c>
      <c r="S2636" t="s">
        <v>32552</v>
      </c>
      <c r="T2636" t="s">
        <v>33213</v>
      </c>
      <c r="U2636" t="s">
        <v>35862</v>
      </c>
      <c r="V2636" t="s">
        <v>42456</v>
      </c>
      <c r="W2636" t="s">
        <v>29659</v>
      </c>
      <c r="X2636" t="s">
        <v>32531</v>
      </c>
    </row>
    <row r="2637" spans="1:24">
      <c r="A2637">
        <f>HYPERLINK("https://www.philgeps.gov.ph/GEPSNONPILOT/Tender/SplashBidNoticeAbstractUI.aspx?menuIndex=3&amp;refID=7041948&amp;Result=3","7041948")</f>
        <v>0</v>
      </c>
      <c r="B2637" t="s">
        <v>992</v>
      </c>
      <c r="C2637" t="s">
        <v>5204</v>
      </c>
      <c r="D2637" t="s">
        <v>13024</v>
      </c>
      <c r="E2637" t="s">
        <v>15474</v>
      </c>
      <c r="F2637" t="s">
        <v>22436</v>
      </c>
      <c r="G2637" t="s">
        <v>22444</v>
      </c>
      <c r="H2637" t="s">
        <v>22452</v>
      </c>
      <c r="I2637" t="s">
        <v>22469</v>
      </c>
      <c r="J2637" t="s">
        <v>24404</v>
      </c>
      <c r="K2637" t="s">
        <v>29434</v>
      </c>
      <c r="M2637" t="s">
        <v>30616</v>
      </c>
      <c r="N2637" t="s">
        <v>32524</v>
      </c>
      <c r="O2637" t="s">
        <v>32525</v>
      </c>
      <c r="P2637">
        <v>0</v>
      </c>
      <c r="Q2637">
        <v>0</v>
      </c>
      <c r="R2637" t="s">
        <v>32527</v>
      </c>
      <c r="S2637" t="s">
        <v>32552</v>
      </c>
      <c r="T2637" t="s">
        <v>33203</v>
      </c>
      <c r="U2637" t="s">
        <v>35863</v>
      </c>
      <c r="V2637" t="s">
        <v>42679</v>
      </c>
      <c r="W2637" t="s">
        <v>30616</v>
      </c>
      <c r="X2637" t="s">
        <v>32531</v>
      </c>
    </row>
    <row r="2638" spans="1:24">
      <c r="A2638">
        <f>HYPERLINK("https://www.philgeps.gov.ph/GEPSNONPILOT/Tender/SplashBidNoticeAbstractUI.aspx?menuIndex=3&amp;refID=7042006&amp;Result=3","7042006")</f>
        <v>0</v>
      </c>
      <c r="B2638" t="s">
        <v>328</v>
      </c>
      <c r="C2638" t="s">
        <v>5205</v>
      </c>
      <c r="D2638" t="s">
        <v>13022</v>
      </c>
      <c r="E2638" t="s">
        <v>15475</v>
      </c>
      <c r="F2638" t="s">
        <v>22436</v>
      </c>
      <c r="G2638" t="s">
        <v>22443</v>
      </c>
      <c r="H2638" t="s">
        <v>22452</v>
      </c>
      <c r="I2638" t="s">
        <v>22476</v>
      </c>
      <c r="J2638" t="s">
        <v>24405</v>
      </c>
      <c r="K2638" t="s">
        <v>29335</v>
      </c>
      <c r="M2638" t="s">
        <v>29904</v>
      </c>
      <c r="N2638" t="s">
        <v>32524</v>
      </c>
      <c r="O2638" t="s">
        <v>32525</v>
      </c>
      <c r="P2638">
        <v>0</v>
      </c>
      <c r="Q2638">
        <v>1</v>
      </c>
      <c r="R2638" t="s">
        <v>32527</v>
      </c>
      <c r="S2638" t="s">
        <v>32552</v>
      </c>
      <c r="T2638" t="s">
        <v>33213</v>
      </c>
      <c r="U2638" t="s">
        <v>35864</v>
      </c>
      <c r="W2638" t="s">
        <v>29904</v>
      </c>
      <c r="X2638" t="s">
        <v>32531</v>
      </c>
    </row>
    <row r="2639" spans="1:24">
      <c r="A2639">
        <f>HYPERLINK("https://www.philgeps.gov.ph/GEPSNONPILOT/Tender/SplashBidNoticeAbstractUI.aspx?menuIndex=3&amp;refID=7041908&amp;Result=3","7041908")</f>
        <v>0</v>
      </c>
      <c r="B2639" t="s">
        <v>994</v>
      </c>
      <c r="C2639" t="s">
        <v>5206</v>
      </c>
      <c r="D2639" t="s">
        <v>13040</v>
      </c>
      <c r="E2639" t="s">
        <v>15476</v>
      </c>
      <c r="F2639" t="s">
        <v>22436</v>
      </c>
      <c r="G2639" t="s">
        <v>22444</v>
      </c>
      <c r="H2639" t="s">
        <v>22452</v>
      </c>
      <c r="I2639" t="s">
        <v>22484</v>
      </c>
      <c r="J2639" t="s">
        <v>24406</v>
      </c>
      <c r="K2639" t="s">
        <v>29338</v>
      </c>
      <c r="M2639" t="s">
        <v>30619</v>
      </c>
      <c r="N2639" t="s">
        <v>32524</v>
      </c>
      <c r="O2639" t="s">
        <v>32525</v>
      </c>
      <c r="P2639">
        <v>0</v>
      </c>
      <c r="Q2639">
        <v>11</v>
      </c>
      <c r="R2639" t="s">
        <v>32527</v>
      </c>
      <c r="S2639" t="s">
        <v>32552</v>
      </c>
      <c r="T2639" t="s">
        <v>33170</v>
      </c>
      <c r="U2639" t="s">
        <v>35865</v>
      </c>
      <c r="W2639" t="s">
        <v>30619</v>
      </c>
      <c r="X2639" t="s">
        <v>32531</v>
      </c>
    </row>
    <row r="2640" spans="1:24">
      <c r="A2640">
        <f>HYPERLINK("https://www.philgeps.gov.ph/GEPSNONPILOT/Tender/SplashBidNoticeAbstractUI.aspx?menuIndex=3&amp;refID=7041932&amp;Result=3","7041932")</f>
        <v>0</v>
      </c>
      <c r="B2640" t="s">
        <v>995</v>
      </c>
      <c r="C2640" t="s">
        <v>5207</v>
      </c>
      <c r="D2640" t="s">
        <v>13069</v>
      </c>
      <c r="E2640" t="s">
        <v>15477</v>
      </c>
      <c r="F2640" t="s">
        <v>22436</v>
      </c>
      <c r="G2640" t="s">
        <v>22446</v>
      </c>
      <c r="H2640" t="s">
        <v>22452</v>
      </c>
      <c r="I2640" t="s">
        <v>22456</v>
      </c>
      <c r="J2640" t="s">
        <v>24407</v>
      </c>
      <c r="K2640" t="s">
        <v>29331</v>
      </c>
      <c r="L2640" t="s">
        <v>995</v>
      </c>
      <c r="M2640" t="s">
        <v>30620</v>
      </c>
      <c r="N2640" t="s">
        <v>32524</v>
      </c>
      <c r="O2640" t="s">
        <v>32525</v>
      </c>
      <c r="P2640">
        <v>0</v>
      </c>
      <c r="Q2640">
        <v>5</v>
      </c>
      <c r="R2640" t="s">
        <v>32527</v>
      </c>
      <c r="S2640" t="s">
        <v>32552</v>
      </c>
      <c r="T2640" t="s">
        <v>33213</v>
      </c>
      <c r="U2640" t="s">
        <v>35866</v>
      </c>
      <c r="V2640" t="s">
        <v>42680</v>
      </c>
      <c r="W2640" t="s">
        <v>30620</v>
      </c>
      <c r="X2640" t="s">
        <v>32531</v>
      </c>
    </row>
    <row r="2641" spans="1:24">
      <c r="A2641">
        <f>HYPERLINK("https://www.philgeps.gov.ph/GEPSNONPILOT/Tender/SplashBidNoticeAbstractUI.aspx?menuIndex=3&amp;refID=7042077&amp;Result=3","7042077")</f>
        <v>0</v>
      </c>
      <c r="B2641" t="s">
        <v>987</v>
      </c>
      <c r="C2641" t="s">
        <v>5208</v>
      </c>
      <c r="D2641" t="s">
        <v>12998</v>
      </c>
      <c r="E2641" t="s">
        <v>15478</v>
      </c>
      <c r="F2641" t="s">
        <v>22436</v>
      </c>
      <c r="G2641" t="s">
        <v>22444</v>
      </c>
      <c r="H2641" t="s">
        <v>22454</v>
      </c>
      <c r="I2641" t="s">
        <v>7738</v>
      </c>
      <c r="J2641" t="s">
        <v>24408</v>
      </c>
      <c r="K2641" t="s">
        <v>29342</v>
      </c>
      <c r="M2641" t="s">
        <v>30611</v>
      </c>
      <c r="N2641" t="s">
        <v>32524</v>
      </c>
      <c r="O2641" t="s">
        <v>32525</v>
      </c>
      <c r="P2641">
        <v>0</v>
      </c>
      <c r="Q2641">
        <v>0</v>
      </c>
      <c r="R2641" t="s">
        <v>32527</v>
      </c>
      <c r="S2641" t="s">
        <v>32552</v>
      </c>
      <c r="T2641" t="s">
        <v>33203</v>
      </c>
      <c r="U2641" t="s">
        <v>35867</v>
      </c>
      <c r="W2641" t="s">
        <v>30611</v>
      </c>
      <c r="X2641" t="s">
        <v>32531</v>
      </c>
    </row>
    <row r="2642" spans="1:24">
      <c r="A2642">
        <f>HYPERLINK("https://www.philgeps.gov.ph/GEPSNONPILOT/Tender/SplashBidNoticeAbstractUI.aspx?menuIndex=3&amp;refID=7042056&amp;Result=3","7042056")</f>
        <v>0</v>
      </c>
      <c r="B2642" t="s">
        <v>996</v>
      </c>
      <c r="C2642" t="s">
        <v>5209</v>
      </c>
      <c r="D2642" t="s">
        <v>13023</v>
      </c>
      <c r="E2642" t="s">
        <v>15479</v>
      </c>
      <c r="F2642" t="s">
        <v>22436</v>
      </c>
      <c r="G2642" t="s">
        <v>22443</v>
      </c>
      <c r="H2642" t="s">
        <v>22452</v>
      </c>
      <c r="I2642" t="s">
        <v>22456</v>
      </c>
      <c r="J2642" t="s">
        <v>22665</v>
      </c>
      <c r="K2642" t="s">
        <v>29331</v>
      </c>
      <c r="M2642" t="s">
        <v>30621</v>
      </c>
      <c r="N2642" t="s">
        <v>32524</v>
      </c>
      <c r="O2642" t="s">
        <v>32525</v>
      </c>
      <c r="P2642">
        <v>0</v>
      </c>
      <c r="Q2642">
        <v>2</v>
      </c>
      <c r="R2642" t="s">
        <v>32527</v>
      </c>
      <c r="S2642" t="s">
        <v>32552</v>
      </c>
      <c r="T2642" t="s">
        <v>33209</v>
      </c>
      <c r="U2642" t="s">
        <v>35868</v>
      </c>
      <c r="W2642" t="s">
        <v>30621</v>
      </c>
      <c r="X2642" t="s">
        <v>32531</v>
      </c>
    </row>
    <row r="2643" spans="1:24">
      <c r="A2643">
        <f>HYPERLINK("https://www.philgeps.gov.ph/GEPSNONPILOT/Tender/SplashBidNoticeAbstractUI.aspx?menuIndex=3&amp;refID=7042220&amp;Result=3","7042220")</f>
        <v>0</v>
      </c>
      <c r="B2643" t="s">
        <v>667</v>
      </c>
      <c r="C2643" t="s">
        <v>5210</v>
      </c>
      <c r="D2643" t="s">
        <v>12988</v>
      </c>
      <c r="E2643" t="s">
        <v>15480</v>
      </c>
      <c r="F2643" t="s">
        <v>22436</v>
      </c>
      <c r="G2643" t="s">
        <v>22444</v>
      </c>
      <c r="H2643" t="s">
        <v>22452</v>
      </c>
      <c r="I2643" t="s">
        <v>6421</v>
      </c>
      <c r="J2643" t="s">
        <v>24409</v>
      </c>
      <c r="K2643" t="s">
        <v>29334</v>
      </c>
      <c r="M2643" t="s">
        <v>30622</v>
      </c>
      <c r="N2643" t="s">
        <v>32524</v>
      </c>
      <c r="O2643" t="s">
        <v>32525</v>
      </c>
      <c r="P2643">
        <v>0</v>
      </c>
      <c r="Q2643">
        <v>10</v>
      </c>
      <c r="R2643" t="s">
        <v>32527</v>
      </c>
      <c r="S2643" t="s">
        <v>32552</v>
      </c>
      <c r="T2643" t="s">
        <v>33164</v>
      </c>
      <c r="U2643" t="s">
        <v>35869</v>
      </c>
      <c r="W2643" t="s">
        <v>30622</v>
      </c>
      <c r="X2643" t="s">
        <v>32531</v>
      </c>
    </row>
    <row r="2644" spans="1:24">
      <c r="A2644">
        <f>HYPERLINK("https://www.philgeps.gov.ph/GEPSNONPILOT/Tender/SplashBidNoticeAbstractUI.aspx?menuIndex=3&amp;refID=7042070&amp;Result=3","7042070")</f>
        <v>0</v>
      </c>
      <c r="B2644" t="s">
        <v>992</v>
      </c>
      <c r="C2644" t="s">
        <v>5211</v>
      </c>
      <c r="D2644" t="s">
        <v>13024</v>
      </c>
      <c r="E2644" t="s">
        <v>15481</v>
      </c>
      <c r="F2644" t="s">
        <v>22436</v>
      </c>
      <c r="G2644" t="s">
        <v>22444</v>
      </c>
      <c r="H2644" t="s">
        <v>22452</v>
      </c>
      <c r="I2644" t="s">
        <v>2962</v>
      </c>
      <c r="J2644" t="s">
        <v>24410</v>
      </c>
      <c r="K2644" t="s">
        <v>29434</v>
      </c>
      <c r="M2644" t="s">
        <v>30616</v>
      </c>
      <c r="N2644" t="s">
        <v>32524</v>
      </c>
      <c r="O2644" t="s">
        <v>32525</v>
      </c>
      <c r="Q2644">
        <v>0</v>
      </c>
      <c r="R2644" t="s">
        <v>32527</v>
      </c>
      <c r="S2644" t="s">
        <v>32553</v>
      </c>
      <c r="T2644" t="s">
        <v>33203</v>
      </c>
      <c r="U2644" t="s">
        <v>35870</v>
      </c>
      <c r="V2644" t="s">
        <v>42679</v>
      </c>
      <c r="W2644" t="s">
        <v>30616</v>
      </c>
      <c r="X2644" t="s">
        <v>32531</v>
      </c>
    </row>
    <row r="2645" spans="1:24">
      <c r="A2645">
        <f>HYPERLINK("https://www.philgeps.gov.ph/GEPSNONPILOT/Tender/SplashBidNoticeAbstractUI.aspx?menuIndex=3&amp;refID=7042312&amp;Result=3","7042312")</f>
        <v>0</v>
      </c>
      <c r="B2645" t="s">
        <v>997</v>
      </c>
      <c r="C2645" t="s">
        <v>5212</v>
      </c>
      <c r="D2645" t="s">
        <v>13025</v>
      </c>
      <c r="E2645" t="s">
        <v>15482</v>
      </c>
      <c r="F2645" t="s">
        <v>22436</v>
      </c>
      <c r="G2645" t="s">
        <v>22444</v>
      </c>
      <c r="H2645" t="s">
        <v>22452</v>
      </c>
      <c r="I2645" t="s">
        <v>22456</v>
      </c>
      <c r="J2645" t="s">
        <v>24411</v>
      </c>
      <c r="K2645" t="s">
        <v>29335</v>
      </c>
      <c r="M2645" t="s">
        <v>30623</v>
      </c>
      <c r="N2645" t="s">
        <v>32524</v>
      </c>
      <c r="O2645" t="s">
        <v>32525</v>
      </c>
      <c r="P2645">
        <v>0</v>
      </c>
      <c r="Q2645">
        <v>3</v>
      </c>
      <c r="R2645" t="s">
        <v>32527</v>
      </c>
      <c r="S2645" t="s">
        <v>32552</v>
      </c>
      <c r="T2645" t="s">
        <v>33166</v>
      </c>
      <c r="U2645" t="s">
        <v>35871</v>
      </c>
      <c r="W2645" t="s">
        <v>30623</v>
      </c>
      <c r="X2645" t="s">
        <v>32531</v>
      </c>
    </row>
    <row r="2646" spans="1:24">
      <c r="A2646">
        <f>HYPERLINK("https://www.philgeps.gov.ph/GEPSNONPILOT/Tender/SplashBidNoticeAbstractUI.aspx?menuIndex=3&amp;refID=7042310&amp;Result=3","7042310")</f>
        <v>0</v>
      </c>
      <c r="B2646" t="s">
        <v>998</v>
      </c>
      <c r="C2646" t="s">
        <v>5213</v>
      </c>
      <c r="D2646" t="s">
        <v>12992</v>
      </c>
      <c r="E2646" t="s">
        <v>15483</v>
      </c>
      <c r="F2646" t="s">
        <v>22436</v>
      </c>
      <c r="G2646" t="s">
        <v>22445</v>
      </c>
      <c r="H2646" t="s">
        <v>22452</v>
      </c>
      <c r="I2646" t="s">
        <v>2981</v>
      </c>
      <c r="J2646" t="s">
        <v>24412</v>
      </c>
      <c r="K2646" t="s">
        <v>29335</v>
      </c>
      <c r="M2646" t="s">
        <v>30624</v>
      </c>
      <c r="N2646" t="s">
        <v>32524</v>
      </c>
      <c r="O2646" t="s">
        <v>32525</v>
      </c>
      <c r="P2646">
        <v>0</v>
      </c>
      <c r="Q2646">
        <v>4</v>
      </c>
      <c r="R2646" t="s">
        <v>32527</v>
      </c>
      <c r="S2646" t="s">
        <v>32552</v>
      </c>
      <c r="T2646" t="s">
        <v>33153</v>
      </c>
      <c r="U2646" t="s">
        <v>35872</v>
      </c>
      <c r="V2646" t="s">
        <v>42681</v>
      </c>
      <c r="W2646" t="s">
        <v>30624</v>
      </c>
      <c r="X2646" t="s">
        <v>32531</v>
      </c>
    </row>
    <row r="2647" spans="1:24">
      <c r="A2647">
        <f>HYPERLINK("https://www.philgeps.gov.ph/GEPSNONPILOT/Tender/SplashBidNoticeAbstractUI.aspx?menuIndex=3&amp;refID=7042137&amp;Result=3","7042137")</f>
        <v>0</v>
      </c>
      <c r="B2647" t="s">
        <v>266</v>
      </c>
      <c r="C2647" t="s">
        <v>5214</v>
      </c>
      <c r="E2647" t="s">
        <v>15484</v>
      </c>
      <c r="F2647" t="s">
        <v>22436</v>
      </c>
      <c r="G2647" t="s">
        <v>22444</v>
      </c>
      <c r="H2647" t="s">
        <v>22452</v>
      </c>
      <c r="I2647" t="s">
        <v>22502</v>
      </c>
      <c r="J2647" t="s">
        <v>24413</v>
      </c>
      <c r="K2647" t="s">
        <v>29338</v>
      </c>
      <c r="M2647" t="s">
        <v>30625</v>
      </c>
      <c r="N2647" t="s">
        <v>32524</v>
      </c>
      <c r="O2647" t="s">
        <v>32525</v>
      </c>
      <c r="P2647">
        <v>0</v>
      </c>
      <c r="Q2647">
        <v>31</v>
      </c>
      <c r="R2647" t="s">
        <v>32527</v>
      </c>
      <c r="S2647" t="s">
        <v>32552</v>
      </c>
      <c r="T2647" t="s">
        <v>33319</v>
      </c>
      <c r="U2647" t="s">
        <v>35873</v>
      </c>
      <c r="W2647" t="s">
        <v>30625</v>
      </c>
      <c r="X2647" t="s">
        <v>32531</v>
      </c>
    </row>
    <row r="2648" spans="1:24">
      <c r="A2648">
        <f>HYPERLINK("https://www.philgeps.gov.ph/GEPSNONPILOT/Tender/SplashBidNoticeAbstractUI.aspx?menuIndex=3&amp;refID=7042248&amp;Result=3","7042248")</f>
        <v>0</v>
      </c>
      <c r="B2648" t="s">
        <v>999</v>
      </c>
      <c r="C2648" t="s">
        <v>5215</v>
      </c>
      <c r="D2648" t="s">
        <v>13022</v>
      </c>
      <c r="E2648" t="s">
        <v>15485</v>
      </c>
      <c r="F2648" t="s">
        <v>22436</v>
      </c>
      <c r="G2648" t="s">
        <v>22444</v>
      </c>
      <c r="H2648" t="s">
        <v>22454</v>
      </c>
      <c r="I2648" t="s">
        <v>7738</v>
      </c>
      <c r="J2648" t="s">
        <v>23327</v>
      </c>
      <c r="K2648" t="s">
        <v>29435</v>
      </c>
      <c r="M2648" t="s">
        <v>30626</v>
      </c>
      <c r="N2648" t="s">
        <v>32524</v>
      </c>
      <c r="O2648" t="s">
        <v>32525</v>
      </c>
      <c r="P2648">
        <v>0</v>
      </c>
      <c r="Q2648">
        <v>0</v>
      </c>
      <c r="R2648" t="s">
        <v>32527</v>
      </c>
      <c r="S2648" t="s">
        <v>32552</v>
      </c>
      <c r="T2648" t="s">
        <v>33230</v>
      </c>
      <c r="U2648" t="s">
        <v>35874</v>
      </c>
      <c r="W2648" t="s">
        <v>30626</v>
      </c>
      <c r="X2648" t="s">
        <v>32531</v>
      </c>
    </row>
    <row r="2649" spans="1:24">
      <c r="A2649">
        <f>HYPERLINK("https://www.philgeps.gov.ph/GEPSNONPILOT/Tender/SplashBidNoticeAbstractUI.aspx?menuIndex=3&amp;refID=7042233&amp;Result=3","7042233")</f>
        <v>0</v>
      </c>
      <c r="B2649" t="s">
        <v>1000</v>
      </c>
      <c r="C2649" t="s">
        <v>5216</v>
      </c>
      <c r="D2649" t="s">
        <v>13002</v>
      </c>
      <c r="E2649" t="s">
        <v>5216</v>
      </c>
      <c r="F2649" t="s">
        <v>22436</v>
      </c>
      <c r="G2649" t="s">
        <v>22443</v>
      </c>
      <c r="H2649" t="s">
        <v>22452</v>
      </c>
      <c r="I2649" t="s">
        <v>5194</v>
      </c>
      <c r="J2649" t="s">
        <v>24414</v>
      </c>
      <c r="K2649" t="s">
        <v>29336</v>
      </c>
      <c r="M2649" t="s">
        <v>30627</v>
      </c>
      <c r="N2649" t="s">
        <v>32524</v>
      </c>
      <c r="O2649" t="s">
        <v>32525</v>
      </c>
      <c r="P2649">
        <v>0</v>
      </c>
      <c r="Q2649">
        <v>2</v>
      </c>
      <c r="R2649" t="s">
        <v>32527</v>
      </c>
      <c r="S2649" t="s">
        <v>32552</v>
      </c>
      <c r="T2649" t="s">
        <v>33182</v>
      </c>
      <c r="U2649" t="s">
        <v>35875</v>
      </c>
      <c r="W2649" t="s">
        <v>30627</v>
      </c>
      <c r="X2649" t="s">
        <v>32531</v>
      </c>
    </row>
    <row r="2650" spans="1:24">
      <c r="A2650">
        <f>HYPERLINK("https://www.philgeps.gov.ph/GEPSNONPILOT/Tender/SplashBidNoticeAbstractUI.aspx?menuIndex=3&amp;refID=7041905&amp;Result=3","7041905")</f>
        <v>0</v>
      </c>
      <c r="B2650" t="s">
        <v>328</v>
      </c>
      <c r="C2650" t="s">
        <v>3827</v>
      </c>
      <c r="D2650" t="s">
        <v>13022</v>
      </c>
      <c r="E2650" t="s">
        <v>15486</v>
      </c>
      <c r="F2650" t="s">
        <v>22436</v>
      </c>
      <c r="G2650" t="s">
        <v>22445</v>
      </c>
      <c r="H2650" t="s">
        <v>22452</v>
      </c>
      <c r="I2650" t="s">
        <v>3827</v>
      </c>
      <c r="J2650" t="s">
        <v>24415</v>
      </c>
      <c r="K2650" t="s">
        <v>29335</v>
      </c>
      <c r="M2650" t="s">
        <v>29904</v>
      </c>
      <c r="N2650" t="s">
        <v>32524</v>
      </c>
      <c r="O2650" t="s">
        <v>32525</v>
      </c>
      <c r="P2650">
        <v>0</v>
      </c>
      <c r="Q2650">
        <v>4</v>
      </c>
      <c r="R2650" t="s">
        <v>32527</v>
      </c>
      <c r="S2650" t="s">
        <v>32552</v>
      </c>
      <c r="T2650" t="s">
        <v>33213</v>
      </c>
      <c r="U2650" t="s">
        <v>35876</v>
      </c>
      <c r="W2650" t="s">
        <v>29904</v>
      </c>
      <c r="X2650" t="s">
        <v>32531</v>
      </c>
    </row>
    <row r="2651" spans="1:24">
      <c r="A2651">
        <f>HYPERLINK("https://www.philgeps.gov.ph/GEPSNONPILOT/Tender/SplashBidNoticeAbstractUI.aspx?menuIndex=3&amp;refID=7042295&amp;Result=3","7042295")</f>
        <v>0</v>
      </c>
      <c r="B2651" t="s">
        <v>1001</v>
      </c>
      <c r="C2651" t="s">
        <v>5217</v>
      </c>
      <c r="E2651" t="s">
        <v>15487</v>
      </c>
      <c r="F2651" t="s">
        <v>22436</v>
      </c>
      <c r="G2651" t="s">
        <v>22444</v>
      </c>
      <c r="H2651" t="s">
        <v>22454</v>
      </c>
      <c r="I2651" t="s">
        <v>7738</v>
      </c>
      <c r="J2651" t="s">
        <v>22704</v>
      </c>
      <c r="K2651" t="s">
        <v>29334</v>
      </c>
      <c r="M2651" t="s">
        <v>30628</v>
      </c>
      <c r="N2651" t="s">
        <v>32524</v>
      </c>
      <c r="O2651" t="s">
        <v>32525</v>
      </c>
      <c r="P2651">
        <v>0</v>
      </c>
      <c r="Q2651">
        <v>0</v>
      </c>
      <c r="R2651" t="s">
        <v>32527</v>
      </c>
      <c r="S2651" t="s">
        <v>32552</v>
      </c>
      <c r="T2651" t="s">
        <v>33230</v>
      </c>
      <c r="U2651" t="s">
        <v>35877</v>
      </c>
      <c r="W2651" t="s">
        <v>30628</v>
      </c>
      <c r="X2651" t="s">
        <v>32531</v>
      </c>
    </row>
    <row r="2652" spans="1:24">
      <c r="A2652">
        <f>HYPERLINK("https://www.philgeps.gov.ph/GEPSNONPILOT/Tender/SplashBidNoticeAbstractUI.aspx?menuIndex=3&amp;refID=7042177&amp;Result=3","7042177")</f>
        <v>0</v>
      </c>
      <c r="B2652" t="s">
        <v>72</v>
      </c>
      <c r="C2652" t="s">
        <v>5218</v>
      </c>
      <c r="D2652" t="s">
        <v>13019</v>
      </c>
      <c r="E2652" t="s">
        <v>15488</v>
      </c>
      <c r="F2652" t="s">
        <v>22436</v>
      </c>
      <c r="G2652" t="s">
        <v>22444</v>
      </c>
      <c r="H2652" t="s">
        <v>22454</v>
      </c>
      <c r="I2652" t="s">
        <v>7738</v>
      </c>
      <c r="J2652" t="s">
        <v>24416</v>
      </c>
      <c r="K2652" t="s">
        <v>29344</v>
      </c>
      <c r="M2652" t="s">
        <v>29644</v>
      </c>
      <c r="N2652" t="s">
        <v>32524</v>
      </c>
      <c r="O2652" t="s">
        <v>32525</v>
      </c>
      <c r="P2652">
        <v>0</v>
      </c>
      <c r="Q2652">
        <v>0</v>
      </c>
      <c r="R2652" t="s">
        <v>32527</v>
      </c>
      <c r="S2652" t="s">
        <v>32552</v>
      </c>
      <c r="T2652" t="s">
        <v>33157</v>
      </c>
      <c r="U2652" t="s">
        <v>35878</v>
      </c>
      <c r="W2652" t="s">
        <v>29644</v>
      </c>
      <c r="X2652" t="s">
        <v>32531</v>
      </c>
    </row>
    <row r="2653" spans="1:24">
      <c r="A2653">
        <f>HYPERLINK("https://www.philgeps.gov.ph/GEPSNONPILOT/Tender/SplashBidNoticeAbstractUI.aspx?menuIndex=3&amp;refID=7042157&amp;Result=3","7042157")</f>
        <v>0</v>
      </c>
      <c r="B2653" t="s">
        <v>973</v>
      </c>
      <c r="C2653" t="s">
        <v>5219</v>
      </c>
      <c r="D2653" t="s">
        <v>13018</v>
      </c>
      <c r="E2653" t="s">
        <v>15489</v>
      </c>
      <c r="F2653" t="s">
        <v>22436</v>
      </c>
      <c r="G2653" t="s">
        <v>22443</v>
      </c>
      <c r="H2653" t="s">
        <v>22452</v>
      </c>
      <c r="I2653" t="s">
        <v>22465</v>
      </c>
      <c r="J2653" t="s">
        <v>23243</v>
      </c>
      <c r="K2653" t="s">
        <v>29352</v>
      </c>
      <c r="M2653" t="s">
        <v>30593</v>
      </c>
      <c r="N2653" t="s">
        <v>32524</v>
      </c>
      <c r="O2653" t="s">
        <v>32525</v>
      </c>
      <c r="P2653">
        <v>0</v>
      </c>
      <c r="Q2653">
        <v>1</v>
      </c>
      <c r="R2653" t="s">
        <v>32527</v>
      </c>
      <c r="S2653" t="s">
        <v>32552</v>
      </c>
      <c r="T2653" t="s">
        <v>33310</v>
      </c>
      <c r="U2653" t="s">
        <v>35879</v>
      </c>
      <c r="V2653" t="s">
        <v>42682</v>
      </c>
      <c r="W2653" t="s">
        <v>30593</v>
      </c>
      <c r="X2653" t="s">
        <v>32531</v>
      </c>
    </row>
    <row r="2654" spans="1:24">
      <c r="A2654">
        <f>HYPERLINK("https://www.philgeps.gov.ph/GEPSNONPILOT/Tender/SplashBidNoticeAbstractUI.aspx?menuIndex=3&amp;refID=7042241&amp;Result=3","7042241")</f>
        <v>0</v>
      </c>
      <c r="B2654" t="s">
        <v>1002</v>
      </c>
      <c r="C2654" t="s">
        <v>5220</v>
      </c>
      <c r="D2654" t="s">
        <v>13058</v>
      </c>
      <c r="E2654" t="s">
        <v>15490</v>
      </c>
      <c r="F2654" t="s">
        <v>22436</v>
      </c>
      <c r="G2654" t="s">
        <v>22444</v>
      </c>
      <c r="H2654" t="s">
        <v>22452</v>
      </c>
      <c r="I2654" t="s">
        <v>5194</v>
      </c>
      <c r="J2654" t="s">
        <v>24417</v>
      </c>
      <c r="K2654" t="s">
        <v>29335</v>
      </c>
      <c r="M2654" t="s">
        <v>30629</v>
      </c>
      <c r="N2654" t="s">
        <v>32524</v>
      </c>
      <c r="O2654" t="s">
        <v>32525</v>
      </c>
      <c r="P2654">
        <v>0</v>
      </c>
      <c r="Q2654">
        <v>2</v>
      </c>
      <c r="R2654" t="s">
        <v>32527</v>
      </c>
      <c r="S2654" t="s">
        <v>32552</v>
      </c>
      <c r="T2654" t="s">
        <v>33249</v>
      </c>
      <c r="U2654" t="s">
        <v>35880</v>
      </c>
      <c r="W2654" t="s">
        <v>30629</v>
      </c>
      <c r="X2654" t="s">
        <v>32531</v>
      </c>
    </row>
    <row r="2655" spans="1:24">
      <c r="A2655">
        <f>HYPERLINK("https://www.philgeps.gov.ph/GEPSNONPILOT/Tender/SplashBidNoticeAbstractUI.aspx?menuIndex=3&amp;refID=7042226&amp;Result=3","7042226")</f>
        <v>0</v>
      </c>
      <c r="B2655" t="s">
        <v>992</v>
      </c>
      <c r="C2655" t="s">
        <v>5221</v>
      </c>
      <c r="D2655" t="s">
        <v>13024</v>
      </c>
      <c r="E2655" t="s">
        <v>15491</v>
      </c>
      <c r="F2655" t="s">
        <v>22436</v>
      </c>
      <c r="G2655" t="s">
        <v>22444</v>
      </c>
      <c r="H2655" t="s">
        <v>22454</v>
      </c>
      <c r="I2655" t="s">
        <v>7738</v>
      </c>
      <c r="J2655" t="s">
        <v>24418</v>
      </c>
      <c r="K2655" t="s">
        <v>29436</v>
      </c>
      <c r="M2655" t="s">
        <v>30616</v>
      </c>
      <c r="N2655" t="s">
        <v>32524</v>
      </c>
      <c r="O2655" t="s">
        <v>32525</v>
      </c>
      <c r="P2655">
        <v>0</v>
      </c>
      <c r="Q2655">
        <v>0</v>
      </c>
      <c r="R2655" t="s">
        <v>32527</v>
      </c>
      <c r="S2655" t="s">
        <v>32552</v>
      </c>
      <c r="T2655" t="s">
        <v>33170</v>
      </c>
      <c r="U2655" t="s">
        <v>35881</v>
      </c>
      <c r="V2655" t="s">
        <v>42679</v>
      </c>
      <c r="W2655" t="s">
        <v>30616</v>
      </c>
      <c r="X2655" t="s">
        <v>32531</v>
      </c>
    </row>
    <row r="2656" spans="1:24">
      <c r="A2656">
        <f>HYPERLINK("https://www.philgeps.gov.ph/GEPSNONPILOT/Tender/SplashBidNoticeAbstractUI.aspx?menuIndex=3&amp;refID=7042109&amp;Result=3","7042109")</f>
        <v>0</v>
      </c>
      <c r="B2656" t="s">
        <v>87</v>
      </c>
      <c r="C2656" t="s">
        <v>5222</v>
      </c>
      <c r="D2656" t="s">
        <v>13040</v>
      </c>
      <c r="E2656" t="s">
        <v>15492</v>
      </c>
      <c r="F2656" t="s">
        <v>22436</v>
      </c>
      <c r="G2656" t="s">
        <v>22443</v>
      </c>
      <c r="H2656" t="s">
        <v>22452</v>
      </c>
      <c r="I2656" t="s">
        <v>22519</v>
      </c>
      <c r="J2656" t="s">
        <v>24419</v>
      </c>
      <c r="K2656" t="s">
        <v>29338</v>
      </c>
      <c r="M2656" t="s">
        <v>29659</v>
      </c>
      <c r="N2656" t="s">
        <v>32524</v>
      </c>
      <c r="O2656" t="s">
        <v>32525</v>
      </c>
      <c r="P2656">
        <v>0</v>
      </c>
      <c r="Q2656">
        <v>0</v>
      </c>
      <c r="R2656" t="s">
        <v>32527</v>
      </c>
      <c r="S2656" t="s">
        <v>32552</v>
      </c>
      <c r="T2656" t="s">
        <v>33213</v>
      </c>
      <c r="U2656" t="s">
        <v>35882</v>
      </c>
      <c r="V2656" t="s">
        <v>42456</v>
      </c>
      <c r="W2656" t="s">
        <v>29659</v>
      </c>
      <c r="X2656" t="s">
        <v>32531</v>
      </c>
    </row>
    <row r="2657" spans="1:24">
      <c r="A2657">
        <f>HYPERLINK("https://www.philgeps.gov.ph/GEPSNONPILOT/Tender/SplashBidNoticeAbstractUI.aspx?menuIndex=3&amp;refID=7042207&amp;Result=3","7042207")</f>
        <v>0</v>
      </c>
      <c r="B2657" t="s">
        <v>988</v>
      </c>
      <c r="C2657" t="s">
        <v>3442</v>
      </c>
      <c r="D2657" t="s">
        <v>13002</v>
      </c>
      <c r="E2657" t="s">
        <v>15493</v>
      </c>
      <c r="F2657" t="s">
        <v>22436</v>
      </c>
      <c r="G2657" t="s">
        <v>22443</v>
      </c>
      <c r="H2657" t="s">
        <v>22452</v>
      </c>
      <c r="I2657" t="s">
        <v>22467</v>
      </c>
      <c r="J2657" t="s">
        <v>22818</v>
      </c>
      <c r="K2657" t="s">
        <v>29336</v>
      </c>
      <c r="M2657" t="s">
        <v>30612</v>
      </c>
      <c r="N2657" t="s">
        <v>32524</v>
      </c>
      <c r="O2657" t="s">
        <v>32525</v>
      </c>
      <c r="P2657">
        <v>0</v>
      </c>
      <c r="Q2657">
        <v>0</v>
      </c>
      <c r="R2657" t="s">
        <v>32527</v>
      </c>
      <c r="S2657" t="s">
        <v>32552</v>
      </c>
      <c r="T2657" t="s">
        <v>33213</v>
      </c>
      <c r="U2657" t="s">
        <v>35841</v>
      </c>
      <c r="W2657" t="s">
        <v>43702</v>
      </c>
      <c r="X2657" t="s">
        <v>32531</v>
      </c>
    </row>
    <row r="2658" spans="1:24">
      <c r="A2658">
        <f>HYPERLINK("https://www.philgeps.gov.ph/GEPSNONPILOT/Tender/SplashBidNoticeAbstractUI.aspx?menuIndex=3&amp;refID=7042081&amp;Result=3","7042081")</f>
        <v>0</v>
      </c>
      <c r="B2658" t="s">
        <v>685</v>
      </c>
      <c r="C2658" t="s">
        <v>5223</v>
      </c>
      <c r="D2658" t="s">
        <v>13045</v>
      </c>
      <c r="E2658" t="s">
        <v>15494</v>
      </c>
      <c r="F2658" t="s">
        <v>22436</v>
      </c>
      <c r="G2658" t="s">
        <v>22444</v>
      </c>
      <c r="H2658" t="s">
        <v>22452</v>
      </c>
      <c r="I2658" t="s">
        <v>22463</v>
      </c>
      <c r="J2658" t="s">
        <v>22605</v>
      </c>
      <c r="K2658" t="s">
        <v>29335</v>
      </c>
      <c r="M2658" t="s">
        <v>30279</v>
      </c>
      <c r="N2658" t="s">
        <v>32524</v>
      </c>
      <c r="O2658" t="s">
        <v>32525</v>
      </c>
      <c r="P2658">
        <v>0</v>
      </c>
      <c r="Q2658">
        <v>1</v>
      </c>
      <c r="R2658" t="s">
        <v>32527</v>
      </c>
      <c r="S2658" t="s">
        <v>32552</v>
      </c>
      <c r="T2658" t="s">
        <v>33166</v>
      </c>
      <c r="U2658" t="s">
        <v>35883</v>
      </c>
      <c r="V2658" t="s">
        <v>42581</v>
      </c>
      <c r="W2658" t="s">
        <v>30279</v>
      </c>
      <c r="X2658" t="s">
        <v>32531</v>
      </c>
    </row>
    <row r="2659" spans="1:24">
      <c r="A2659">
        <f>HYPERLINK("https://www.philgeps.gov.ph/GEPSNONPILOT/Tender/SplashBidNoticeAbstractUI.aspx?menuIndex=3&amp;refID=7042180&amp;Result=3","7042180")</f>
        <v>0</v>
      </c>
      <c r="B2659" t="s">
        <v>39</v>
      </c>
      <c r="C2659" t="s">
        <v>5194</v>
      </c>
      <c r="D2659" t="s">
        <v>13013</v>
      </c>
      <c r="E2659" t="s">
        <v>15495</v>
      </c>
      <c r="F2659" t="s">
        <v>22436</v>
      </c>
      <c r="G2659" t="s">
        <v>22446</v>
      </c>
      <c r="H2659" t="s">
        <v>22452</v>
      </c>
      <c r="I2659" t="s">
        <v>5194</v>
      </c>
      <c r="J2659" t="s">
        <v>24420</v>
      </c>
      <c r="K2659" t="s">
        <v>29335</v>
      </c>
      <c r="M2659" t="s">
        <v>30605</v>
      </c>
      <c r="N2659" t="s">
        <v>32524</v>
      </c>
      <c r="O2659" t="s">
        <v>32525</v>
      </c>
      <c r="P2659">
        <v>0</v>
      </c>
      <c r="Q2659">
        <v>10</v>
      </c>
      <c r="R2659" t="s">
        <v>32527</v>
      </c>
      <c r="S2659" t="s">
        <v>32552</v>
      </c>
      <c r="T2659" t="s">
        <v>33328</v>
      </c>
      <c r="U2659" t="s">
        <v>35884</v>
      </c>
      <c r="W2659" t="s">
        <v>30605</v>
      </c>
      <c r="X2659" t="s">
        <v>32531</v>
      </c>
    </row>
    <row r="2660" spans="1:24">
      <c r="A2660">
        <f>HYPERLINK("https://www.philgeps.gov.ph/GEPSNONPILOT/Tender/SplashBidNoticeAbstractUI.aspx?menuIndex=3&amp;refID=7042325&amp;Result=3","7042325")</f>
        <v>0</v>
      </c>
      <c r="B2660" t="s">
        <v>1003</v>
      </c>
      <c r="C2660" t="s">
        <v>5224</v>
      </c>
      <c r="D2660" t="s">
        <v>12990</v>
      </c>
      <c r="E2660" t="s">
        <v>14777</v>
      </c>
      <c r="F2660" t="s">
        <v>22436</v>
      </c>
      <c r="G2660" t="s">
        <v>22444</v>
      </c>
      <c r="H2660" t="s">
        <v>22452</v>
      </c>
      <c r="I2660" t="s">
        <v>2981</v>
      </c>
      <c r="J2660" t="s">
        <v>24421</v>
      </c>
      <c r="K2660" t="s">
        <v>29338</v>
      </c>
      <c r="M2660" t="s">
        <v>30630</v>
      </c>
      <c r="N2660" t="s">
        <v>32524</v>
      </c>
      <c r="O2660" t="s">
        <v>32525</v>
      </c>
      <c r="P2660">
        <v>0</v>
      </c>
      <c r="Q2660">
        <v>0</v>
      </c>
      <c r="R2660" t="s">
        <v>32527</v>
      </c>
      <c r="S2660" t="s">
        <v>32552</v>
      </c>
      <c r="T2660" t="s">
        <v>33155</v>
      </c>
      <c r="U2660" t="s">
        <v>35885</v>
      </c>
      <c r="W2660" t="s">
        <v>30630</v>
      </c>
      <c r="X2660" t="s">
        <v>32531</v>
      </c>
    </row>
    <row r="2661" spans="1:24">
      <c r="A2661">
        <f>HYPERLINK("https://www.philgeps.gov.ph/GEPSNONPILOT/Tender/SplashBidNoticeAbstractUI.aspx?menuIndex=3&amp;refID=7042339&amp;Result=3","7042339")</f>
        <v>0</v>
      </c>
      <c r="B2661" t="s">
        <v>1004</v>
      </c>
      <c r="C2661" t="s">
        <v>4471</v>
      </c>
      <c r="D2661" t="s">
        <v>12990</v>
      </c>
      <c r="E2661" t="s">
        <v>14777</v>
      </c>
      <c r="F2661" t="s">
        <v>22436</v>
      </c>
      <c r="G2661" t="s">
        <v>22444</v>
      </c>
      <c r="H2661" t="s">
        <v>22452</v>
      </c>
      <c r="I2661" t="s">
        <v>2981</v>
      </c>
      <c r="J2661" t="s">
        <v>22836</v>
      </c>
      <c r="K2661" t="s">
        <v>29338</v>
      </c>
      <c r="M2661" t="s">
        <v>30631</v>
      </c>
      <c r="N2661" t="s">
        <v>32524</v>
      </c>
      <c r="O2661" t="s">
        <v>32525</v>
      </c>
      <c r="P2661">
        <v>0</v>
      </c>
      <c r="Q2661">
        <v>0</v>
      </c>
      <c r="R2661" t="s">
        <v>32527</v>
      </c>
      <c r="S2661" t="s">
        <v>32552</v>
      </c>
      <c r="T2661" t="s">
        <v>33224</v>
      </c>
      <c r="U2661" t="s">
        <v>35886</v>
      </c>
      <c r="W2661" t="s">
        <v>30631</v>
      </c>
      <c r="X2661" t="s">
        <v>32531</v>
      </c>
    </row>
    <row r="2662" spans="1:24">
      <c r="A2662">
        <f>HYPERLINK("https://www.philgeps.gov.ph/GEPSNONPILOT/Tender/SplashBidNoticeAbstractUI.aspx?menuIndex=3&amp;refID=7042329&amp;Result=3","7042329")</f>
        <v>0</v>
      </c>
      <c r="B2662" t="s">
        <v>333</v>
      </c>
      <c r="C2662" t="s">
        <v>5225</v>
      </c>
      <c r="D2662" t="s">
        <v>13000</v>
      </c>
      <c r="E2662" t="s">
        <v>13559</v>
      </c>
      <c r="F2662" t="s">
        <v>22436</v>
      </c>
      <c r="G2662" t="s">
        <v>22446</v>
      </c>
      <c r="H2662" t="s">
        <v>22452</v>
      </c>
      <c r="I2662" t="s">
        <v>22493</v>
      </c>
      <c r="J2662" t="s">
        <v>24422</v>
      </c>
      <c r="K2662" t="s">
        <v>29338</v>
      </c>
      <c r="M2662" t="s">
        <v>29909</v>
      </c>
      <c r="N2662" t="s">
        <v>32524</v>
      </c>
      <c r="O2662" t="s">
        <v>32525</v>
      </c>
      <c r="P2662">
        <v>0</v>
      </c>
      <c r="Q2662">
        <v>0</v>
      </c>
      <c r="R2662" t="s">
        <v>32527</v>
      </c>
      <c r="S2662" t="s">
        <v>32552</v>
      </c>
      <c r="T2662" t="s">
        <v>33220</v>
      </c>
      <c r="U2662" t="s">
        <v>35887</v>
      </c>
      <c r="W2662" t="s">
        <v>29909</v>
      </c>
      <c r="X2662" t="s">
        <v>32531</v>
      </c>
    </row>
    <row r="2663" spans="1:24">
      <c r="A2663">
        <f>HYPERLINK("https://www.philgeps.gov.ph/GEPSNONPILOT/Tender/SplashBidNoticeAbstractUI.aspx?menuIndex=3&amp;refID=7042357&amp;Result=3","7042357")</f>
        <v>0</v>
      </c>
      <c r="B2663" t="s">
        <v>1005</v>
      </c>
      <c r="C2663" t="s">
        <v>5226</v>
      </c>
      <c r="D2663" t="s">
        <v>12988</v>
      </c>
      <c r="E2663" t="s">
        <v>13668</v>
      </c>
      <c r="F2663" t="s">
        <v>22436</v>
      </c>
      <c r="G2663" t="s">
        <v>22446</v>
      </c>
      <c r="H2663" t="s">
        <v>22452</v>
      </c>
      <c r="I2663" t="s">
        <v>2981</v>
      </c>
      <c r="J2663" t="s">
        <v>22605</v>
      </c>
      <c r="K2663" t="s">
        <v>29357</v>
      </c>
      <c r="M2663" t="s">
        <v>30632</v>
      </c>
      <c r="N2663" t="s">
        <v>32524</v>
      </c>
      <c r="O2663" t="s">
        <v>32525</v>
      </c>
      <c r="P2663">
        <v>0</v>
      </c>
      <c r="Q2663">
        <v>3</v>
      </c>
      <c r="R2663" t="s">
        <v>32527</v>
      </c>
      <c r="S2663" t="s">
        <v>32552</v>
      </c>
      <c r="T2663" t="s">
        <v>33371</v>
      </c>
      <c r="U2663" t="s">
        <v>35888</v>
      </c>
      <c r="W2663" t="s">
        <v>30632</v>
      </c>
      <c r="X2663" t="s">
        <v>32531</v>
      </c>
    </row>
    <row r="2664" spans="1:24">
      <c r="A2664">
        <f>HYPERLINK("https://www.philgeps.gov.ph/GEPSNONPILOT/Tender/SplashBidNoticeAbstractUI.aspx?menuIndex=3&amp;refID=7042454&amp;Result=3","7042454")</f>
        <v>0</v>
      </c>
      <c r="B2664" t="s">
        <v>1006</v>
      </c>
      <c r="C2664" t="s">
        <v>5227</v>
      </c>
      <c r="D2664" t="s">
        <v>12988</v>
      </c>
      <c r="E2664" t="s">
        <v>15496</v>
      </c>
      <c r="F2664" t="s">
        <v>22436</v>
      </c>
      <c r="G2664" t="s">
        <v>22446</v>
      </c>
      <c r="H2664" t="s">
        <v>22452</v>
      </c>
      <c r="I2664" t="s">
        <v>2981</v>
      </c>
      <c r="J2664" t="s">
        <v>24423</v>
      </c>
      <c r="K2664" t="s">
        <v>29336</v>
      </c>
      <c r="M2664" t="s">
        <v>30633</v>
      </c>
      <c r="N2664" t="s">
        <v>32524</v>
      </c>
      <c r="O2664" t="s">
        <v>32525</v>
      </c>
      <c r="P2664">
        <v>0</v>
      </c>
      <c r="Q2664">
        <v>1</v>
      </c>
      <c r="R2664" t="s">
        <v>32527</v>
      </c>
      <c r="S2664" t="s">
        <v>32552</v>
      </c>
      <c r="T2664" t="s">
        <v>33182</v>
      </c>
      <c r="U2664" t="s">
        <v>35889</v>
      </c>
      <c r="W2664" t="s">
        <v>30633</v>
      </c>
      <c r="X2664" t="s">
        <v>32531</v>
      </c>
    </row>
    <row r="2665" spans="1:24">
      <c r="A2665">
        <f>HYPERLINK("https://www.philgeps.gov.ph/GEPSNONPILOT/Tender/SplashBidNoticeAbstractUI.aspx?menuIndex=3&amp;refID=7042035&amp;Result=3","7042035")</f>
        <v>0</v>
      </c>
      <c r="B2665" t="s">
        <v>987</v>
      </c>
      <c r="C2665" t="s">
        <v>5228</v>
      </c>
      <c r="D2665" t="s">
        <v>12998</v>
      </c>
      <c r="E2665" t="s">
        <v>15497</v>
      </c>
      <c r="F2665" t="s">
        <v>22436</v>
      </c>
      <c r="G2665" t="s">
        <v>22444</v>
      </c>
      <c r="H2665" t="s">
        <v>22452</v>
      </c>
      <c r="I2665" t="s">
        <v>6421</v>
      </c>
      <c r="J2665" t="s">
        <v>24424</v>
      </c>
      <c r="K2665" t="s">
        <v>29341</v>
      </c>
      <c r="M2665" t="s">
        <v>30611</v>
      </c>
      <c r="N2665" t="s">
        <v>32524</v>
      </c>
      <c r="O2665" t="s">
        <v>32525</v>
      </c>
      <c r="P2665">
        <v>0</v>
      </c>
      <c r="Q2665">
        <v>4</v>
      </c>
      <c r="R2665" t="s">
        <v>32527</v>
      </c>
      <c r="S2665" t="s">
        <v>32552</v>
      </c>
      <c r="T2665" t="s">
        <v>33203</v>
      </c>
      <c r="U2665" t="s">
        <v>35890</v>
      </c>
      <c r="W2665" t="s">
        <v>30611</v>
      </c>
      <c r="X2665" t="s">
        <v>32531</v>
      </c>
    </row>
    <row r="2666" spans="1:24">
      <c r="A2666">
        <f>HYPERLINK("https://www.philgeps.gov.ph/GEPSNONPILOT/Tender/SplashBidNoticeAbstractUI.aspx?menuIndex=3&amp;refID=7042385&amp;Result=3","7042385")</f>
        <v>0</v>
      </c>
      <c r="B2666" t="s">
        <v>998</v>
      </c>
      <c r="C2666" t="s">
        <v>5229</v>
      </c>
      <c r="D2666" t="s">
        <v>13068</v>
      </c>
      <c r="E2666" t="s">
        <v>15498</v>
      </c>
      <c r="F2666" t="s">
        <v>22436</v>
      </c>
      <c r="G2666" t="s">
        <v>22445</v>
      </c>
      <c r="H2666" t="s">
        <v>22452</v>
      </c>
      <c r="I2666" t="s">
        <v>2981</v>
      </c>
      <c r="J2666" t="s">
        <v>24425</v>
      </c>
      <c r="K2666" t="s">
        <v>29335</v>
      </c>
      <c r="M2666" t="s">
        <v>30624</v>
      </c>
      <c r="N2666" t="s">
        <v>32524</v>
      </c>
      <c r="O2666" t="s">
        <v>32525</v>
      </c>
      <c r="P2666">
        <v>0</v>
      </c>
      <c r="Q2666">
        <v>2</v>
      </c>
      <c r="R2666" t="s">
        <v>32527</v>
      </c>
      <c r="S2666" t="s">
        <v>32552</v>
      </c>
      <c r="T2666" t="s">
        <v>33153</v>
      </c>
      <c r="U2666" t="s">
        <v>35891</v>
      </c>
      <c r="V2666" t="s">
        <v>42683</v>
      </c>
      <c r="W2666" t="s">
        <v>30624</v>
      </c>
      <c r="X2666" t="s">
        <v>32531</v>
      </c>
    </row>
    <row r="2667" spans="1:24">
      <c r="A2667">
        <f>HYPERLINK("https://www.philgeps.gov.ph/GEPSNONPILOT/Tender/SplashBidNoticeAbstractUI.aspx?menuIndex=3&amp;refID=7042352&amp;Result=3","7042352")</f>
        <v>0</v>
      </c>
      <c r="B2667" t="s">
        <v>1004</v>
      </c>
      <c r="C2667" t="s">
        <v>5230</v>
      </c>
      <c r="D2667" t="s">
        <v>12990</v>
      </c>
      <c r="E2667" t="s">
        <v>15499</v>
      </c>
      <c r="F2667" t="s">
        <v>22436</v>
      </c>
      <c r="G2667" t="s">
        <v>22444</v>
      </c>
      <c r="H2667" t="s">
        <v>22452</v>
      </c>
      <c r="I2667" t="s">
        <v>2981</v>
      </c>
      <c r="J2667" t="s">
        <v>22817</v>
      </c>
      <c r="K2667" t="s">
        <v>29338</v>
      </c>
      <c r="M2667" t="s">
        <v>30631</v>
      </c>
      <c r="N2667" t="s">
        <v>32524</v>
      </c>
      <c r="O2667" t="s">
        <v>32525</v>
      </c>
      <c r="P2667">
        <v>0</v>
      </c>
      <c r="Q2667">
        <v>0</v>
      </c>
      <c r="R2667" t="s">
        <v>32527</v>
      </c>
      <c r="S2667" t="s">
        <v>32552</v>
      </c>
      <c r="T2667" t="s">
        <v>33224</v>
      </c>
      <c r="U2667" t="s">
        <v>35892</v>
      </c>
      <c r="W2667" t="s">
        <v>30631</v>
      </c>
      <c r="X2667" t="s">
        <v>32531</v>
      </c>
    </row>
    <row r="2668" spans="1:24">
      <c r="A2668">
        <f>HYPERLINK("https://www.philgeps.gov.ph/GEPSNONPILOT/Tender/SplashBidNoticeAbstractUI.aspx?menuIndex=3&amp;refID=7042371&amp;Result=3","7042371")</f>
        <v>0</v>
      </c>
      <c r="B2668" t="s">
        <v>998</v>
      </c>
      <c r="C2668" t="s">
        <v>5231</v>
      </c>
      <c r="D2668" t="s">
        <v>13068</v>
      </c>
      <c r="E2668" t="s">
        <v>15500</v>
      </c>
      <c r="F2668" t="s">
        <v>22436</v>
      </c>
      <c r="G2668" t="s">
        <v>22443</v>
      </c>
      <c r="H2668" t="s">
        <v>22452</v>
      </c>
      <c r="I2668" t="s">
        <v>22486</v>
      </c>
      <c r="J2668" t="s">
        <v>22806</v>
      </c>
      <c r="K2668" t="s">
        <v>29335</v>
      </c>
      <c r="M2668" t="s">
        <v>30624</v>
      </c>
      <c r="N2668" t="s">
        <v>32524</v>
      </c>
      <c r="O2668" t="s">
        <v>32525</v>
      </c>
      <c r="P2668">
        <v>0</v>
      </c>
      <c r="Q2668">
        <v>1</v>
      </c>
      <c r="R2668" t="s">
        <v>32527</v>
      </c>
      <c r="S2668" t="s">
        <v>32552</v>
      </c>
      <c r="T2668" t="s">
        <v>33224</v>
      </c>
      <c r="U2668" t="s">
        <v>35893</v>
      </c>
      <c r="V2668" t="s">
        <v>42684</v>
      </c>
      <c r="W2668" t="s">
        <v>30624</v>
      </c>
      <c r="X2668" t="s">
        <v>32531</v>
      </c>
    </row>
    <row r="2669" spans="1:24">
      <c r="A2669">
        <f>HYPERLINK("https://www.philgeps.gov.ph/GEPSNONPILOT/Tender/SplashBidNoticeAbstractUI.aspx?menuIndex=3&amp;refID=7042036&amp;Result=3","7042036")</f>
        <v>0</v>
      </c>
      <c r="B2669" t="s">
        <v>328</v>
      </c>
      <c r="C2669" t="s">
        <v>2992</v>
      </c>
      <c r="D2669" t="s">
        <v>13022</v>
      </c>
      <c r="E2669" t="s">
        <v>15501</v>
      </c>
      <c r="F2669" t="s">
        <v>22436</v>
      </c>
      <c r="G2669" t="s">
        <v>22443</v>
      </c>
      <c r="H2669" t="s">
        <v>22452</v>
      </c>
      <c r="I2669" t="s">
        <v>22463</v>
      </c>
      <c r="J2669" t="s">
        <v>23215</v>
      </c>
      <c r="K2669" t="s">
        <v>29335</v>
      </c>
      <c r="M2669" t="s">
        <v>29904</v>
      </c>
      <c r="N2669" t="s">
        <v>32524</v>
      </c>
      <c r="O2669" t="s">
        <v>32525</v>
      </c>
      <c r="P2669">
        <v>0</v>
      </c>
      <c r="Q2669">
        <v>7</v>
      </c>
      <c r="R2669" t="s">
        <v>32527</v>
      </c>
      <c r="S2669" t="s">
        <v>32552</v>
      </c>
      <c r="T2669" t="s">
        <v>33213</v>
      </c>
      <c r="U2669" t="s">
        <v>35894</v>
      </c>
      <c r="W2669" t="s">
        <v>29904</v>
      </c>
      <c r="X2669" t="s">
        <v>32531</v>
      </c>
    </row>
    <row r="2670" spans="1:24">
      <c r="A2670">
        <f>HYPERLINK("https://www.philgeps.gov.ph/GEPSNONPILOT/Tender/SplashBidNoticeAbstractUI.aspx?menuIndex=3&amp;refID=7042425&amp;Result=3","7042425")</f>
        <v>0</v>
      </c>
      <c r="B2670" t="s">
        <v>135</v>
      </c>
      <c r="C2670" t="s">
        <v>5232</v>
      </c>
      <c r="D2670" t="s">
        <v>12988</v>
      </c>
      <c r="E2670" t="s">
        <v>15502</v>
      </c>
      <c r="F2670" t="s">
        <v>22436</v>
      </c>
      <c r="G2670" t="s">
        <v>22443</v>
      </c>
      <c r="H2670" t="s">
        <v>22452</v>
      </c>
      <c r="I2670" t="s">
        <v>22463</v>
      </c>
      <c r="J2670" t="s">
        <v>24426</v>
      </c>
      <c r="K2670" t="s">
        <v>29335</v>
      </c>
      <c r="M2670" t="s">
        <v>30634</v>
      </c>
      <c r="N2670" t="s">
        <v>32524</v>
      </c>
      <c r="O2670" t="s">
        <v>32525</v>
      </c>
      <c r="P2670">
        <v>0</v>
      </c>
      <c r="Q2670">
        <v>8</v>
      </c>
      <c r="R2670" t="s">
        <v>32527</v>
      </c>
      <c r="S2670" t="s">
        <v>32552</v>
      </c>
      <c r="T2670" t="s">
        <v>33185</v>
      </c>
      <c r="U2670" t="s">
        <v>35895</v>
      </c>
      <c r="W2670" t="s">
        <v>30634</v>
      </c>
      <c r="X2670" t="s">
        <v>32531</v>
      </c>
    </row>
    <row r="2671" spans="1:24">
      <c r="A2671">
        <f>HYPERLINK("https://www.philgeps.gov.ph/GEPSNONPILOT/Tender/SplashBidNoticeAbstractUI.aspx?menuIndex=3&amp;refID=7042426&amp;Result=3","7042426")</f>
        <v>0</v>
      </c>
      <c r="B2671" t="s">
        <v>1007</v>
      </c>
      <c r="C2671" t="s">
        <v>5233</v>
      </c>
      <c r="D2671" t="s">
        <v>12991</v>
      </c>
      <c r="E2671" t="s">
        <v>15503</v>
      </c>
      <c r="F2671" t="s">
        <v>22436</v>
      </c>
      <c r="G2671" t="s">
        <v>22444</v>
      </c>
      <c r="H2671" t="s">
        <v>22452</v>
      </c>
      <c r="I2671" t="s">
        <v>6421</v>
      </c>
      <c r="J2671" t="s">
        <v>24427</v>
      </c>
      <c r="K2671" t="s">
        <v>29337</v>
      </c>
      <c r="M2671" t="s">
        <v>30635</v>
      </c>
      <c r="N2671" t="s">
        <v>32524</v>
      </c>
      <c r="O2671" t="s">
        <v>32525</v>
      </c>
      <c r="P2671">
        <v>0</v>
      </c>
      <c r="Q2671">
        <v>3</v>
      </c>
      <c r="R2671" t="s">
        <v>32527</v>
      </c>
      <c r="S2671" t="s">
        <v>32552</v>
      </c>
      <c r="T2671" t="s">
        <v>33203</v>
      </c>
      <c r="U2671" t="s">
        <v>35896</v>
      </c>
      <c r="W2671" t="s">
        <v>30635</v>
      </c>
      <c r="X2671" t="s">
        <v>32531</v>
      </c>
    </row>
    <row r="2672" spans="1:24">
      <c r="A2672">
        <f>HYPERLINK("https://www.philgeps.gov.ph/GEPSNONPILOT/Tender/SplashBidNoticeAbstractUI.aspx?menuIndex=3&amp;refID=7042478&amp;Result=3","7042478")</f>
        <v>0</v>
      </c>
      <c r="B2672" t="s">
        <v>1007</v>
      </c>
      <c r="C2672" t="s">
        <v>5234</v>
      </c>
      <c r="D2672" t="s">
        <v>12991</v>
      </c>
      <c r="E2672" t="s">
        <v>15504</v>
      </c>
      <c r="F2672" t="s">
        <v>22436</v>
      </c>
      <c r="G2672" t="s">
        <v>22444</v>
      </c>
      <c r="H2672" t="s">
        <v>22452</v>
      </c>
      <c r="I2672" t="s">
        <v>2981</v>
      </c>
      <c r="J2672" t="s">
        <v>24428</v>
      </c>
      <c r="K2672" t="s">
        <v>29341</v>
      </c>
      <c r="M2672" t="s">
        <v>30635</v>
      </c>
      <c r="N2672" t="s">
        <v>32524</v>
      </c>
      <c r="O2672" t="s">
        <v>32525</v>
      </c>
      <c r="P2672">
        <v>0</v>
      </c>
      <c r="Q2672">
        <v>0</v>
      </c>
      <c r="R2672" t="s">
        <v>32527</v>
      </c>
      <c r="S2672" t="s">
        <v>32552</v>
      </c>
      <c r="T2672" t="s">
        <v>33203</v>
      </c>
      <c r="U2672" t="s">
        <v>35897</v>
      </c>
      <c r="W2672" t="s">
        <v>30635</v>
      </c>
      <c r="X2672" t="s">
        <v>32531</v>
      </c>
    </row>
    <row r="2673" spans="1:24">
      <c r="A2673">
        <f>HYPERLINK("https://www.philgeps.gov.ph/GEPSNONPILOT/Tender/SplashBidNoticeAbstractUI.aspx?menuIndex=3&amp;refID=7042422&amp;Result=3","7042422")</f>
        <v>0</v>
      </c>
      <c r="B2673" t="s">
        <v>548</v>
      </c>
      <c r="C2673" t="s">
        <v>5235</v>
      </c>
      <c r="D2673" t="s">
        <v>13022</v>
      </c>
      <c r="E2673" t="s">
        <v>15505</v>
      </c>
      <c r="F2673" t="s">
        <v>22436</v>
      </c>
      <c r="G2673" t="s">
        <v>22444</v>
      </c>
      <c r="H2673" t="s">
        <v>22454</v>
      </c>
      <c r="I2673" t="s">
        <v>7738</v>
      </c>
      <c r="J2673" t="s">
        <v>23356</v>
      </c>
      <c r="K2673" t="s">
        <v>29335</v>
      </c>
      <c r="M2673" t="s">
        <v>30133</v>
      </c>
      <c r="N2673" t="s">
        <v>32524</v>
      </c>
      <c r="O2673" t="s">
        <v>32525</v>
      </c>
      <c r="P2673">
        <v>0</v>
      </c>
      <c r="Q2673">
        <v>0</v>
      </c>
      <c r="R2673" t="s">
        <v>32527</v>
      </c>
      <c r="S2673" t="s">
        <v>32552</v>
      </c>
      <c r="T2673" t="s">
        <v>33230</v>
      </c>
      <c r="U2673" t="s">
        <v>35898</v>
      </c>
      <c r="W2673" t="s">
        <v>30133</v>
      </c>
      <c r="X2673" t="s">
        <v>32531</v>
      </c>
    </row>
    <row r="2674" spans="1:24">
      <c r="A2674">
        <f>HYPERLINK("https://www.philgeps.gov.ph/GEPSNONPILOT/Tender/SplashBidNoticeAbstractUI.aspx?menuIndex=3&amp;refID=7042446&amp;Result=3","7042446")</f>
        <v>0</v>
      </c>
      <c r="B2674" t="s">
        <v>1007</v>
      </c>
      <c r="C2674" t="s">
        <v>5236</v>
      </c>
      <c r="D2674" t="s">
        <v>12991</v>
      </c>
      <c r="E2674" t="s">
        <v>15506</v>
      </c>
      <c r="F2674" t="s">
        <v>22436</v>
      </c>
      <c r="G2674" t="s">
        <v>22444</v>
      </c>
      <c r="H2674" t="s">
        <v>22452</v>
      </c>
      <c r="I2674" t="s">
        <v>22456</v>
      </c>
      <c r="J2674" t="s">
        <v>22704</v>
      </c>
      <c r="K2674" t="s">
        <v>29335</v>
      </c>
      <c r="M2674" t="s">
        <v>30635</v>
      </c>
      <c r="N2674" t="s">
        <v>32524</v>
      </c>
      <c r="O2674" t="s">
        <v>32525</v>
      </c>
      <c r="P2674">
        <v>0</v>
      </c>
      <c r="Q2674">
        <v>3</v>
      </c>
      <c r="R2674" t="s">
        <v>32527</v>
      </c>
      <c r="S2674" t="s">
        <v>32552</v>
      </c>
      <c r="T2674" t="s">
        <v>33203</v>
      </c>
      <c r="U2674" t="s">
        <v>35899</v>
      </c>
      <c r="W2674" t="s">
        <v>30635</v>
      </c>
      <c r="X2674" t="s">
        <v>32531</v>
      </c>
    </row>
    <row r="2675" spans="1:24">
      <c r="A2675">
        <f>HYPERLINK("https://www.philgeps.gov.ph/GEPSNONPILOT/Tender/SplashBidNoticeAbstractUI.aspx?menuIndex=3&amp;refID=7042471&amp;Result=3","7042471")</f>
        <v>0</v>
      </c>
      <c r="B2675" t="s">
        <v>1007</v>
      </c>
      <c r="C2675" t="s">
        <v>5237</v>
      </c>
      <c r="D2675" t="s">
        <v>12991</v>
      </c>
      <c r="E2675" t="s">
        <v>15507</v>
      </c>
      <c r="F2675" t="s">
        <v>22436</v>
      </c>
      <c r="G2675" t="s">
        <v>22444</v>
      </c>
      <c r="H2675" t="s">
        <v>22452</v>
      </c>
      <c r="I2675" t="s">
        <v>3122</v>
      </c>
      <c r="J2675" t="s">
        <v>24429</v>
      </c>
      <c r="K2675" t="s">
        <v>29341</v>
      </c>
      <c r="M2675" t="s">
        <v>30635</v>
      </c>
      <c r="N2675" t="s">
        <v>32524</v>
      </c>
      <c r="O2675" t="s">
        <v>32525</v>
      </c>
      <c r="P2675">
        <v>0</v>
      </c>
      <c r="Q2675">
        <v>1</v>
      </c>
      <c r="R2675" t="s">
        <v>32527</v>
      </c>
      <c r="S2675" t="s">
        <v>32552</v>
      </c>
      <c r="T2675" t="s">
        <v>33203</v>
      </c>
      <c r="U2675" t="s">
        <v>35900</v>
      </c>
      <c r="W2675" t="s">
        <v>30635</v>
      </c>
      <c r="X2675" t="s">
        <v>32531</v>
      </c>
    </row>
    <row r="2676" spans="1:24">
      <c r="A2676">
        <f>HYPERLINK("https://www.philgeps.gov.ph/GEPSNONPILOT/Tender/SplashBidNoticeAbstractUI.aspx?menuIndex=3&amp;refID=7042467&amp;Result=3","7042467")</f>
        <v>0</v>
      </c>
      <c r="B2676" t="s">
        <v>998</v>
      </c>
      <c r="C2676" t="s">
        <v>5238</v>
      </c>
      <c r="D2676" t="s">
        <v>13068</v>
      </c>
      <c r="E2676" t="s">
        <v>15508</v>
      </c>
      <c r="F2676" t="s">
        <v>22436</v>
      </c>
      <c r="G2676" t="s">
        <v>22443</v>
      </c>
      <c r="H2676" t="s">
        <v>22452</v>
      </c>
      <c r="I2676" t="s">
        <v>22486</v>
      </c>
      <c r="J2676" t="s">
        <v>22817</v>
      </c>
      <c r="K2676" t="s">
        <v>29335</v>
      </c>
      <c r="M2676" t="s">
        <v>30624</v>
      </c>
      <c r="N2676" t="s">
        <v>32524</v>
      </c>
      <c r="O2676" t="s">
        <v>32525</v>
      </c>
      <c r="P2676">
        <v>0</v>
      </c>
      <c r="Q2676">
        <v>1</v>
      </c>
      <c r="R2676" t="s">
        <v>32527</v>
      </c>
      <c r="S2676" t="s">
        <v>32552</v>
      </c>
      <c r="T2676" t="s">
        <v>33153</v>
      </c>
      <c r="U2676" t="s">
        <v>35901</v>
      </c>
      <c r="V2676" t="s">
        <v>42685</v>
      </c>
      <c r="W2676" t="s">
        <v>30624</v>
      </c>
      <c r="X2676" t="s">
        <v>32531</v>
      </c>
    </row>
    <row r="2677" spans="1:24">
      <c r="A2677">
        <f>HYPERLINK("https://www.philgeps.gov.ph/GEPSNONPILOT/Tender/SplashBidNoticeAbstractUI.aspx?menuIndex=3&amp;refID=7042397&amp;Result=3","7042397")</f>
        <v>0</v>
      </c>
      <c r="B2677" t="s">
        <v>1007</v>
      </c>
      <c r="C2677" t="s">
        <v>5239</v>
      </c>
      <c r="D2677" t="s">
        <v>12991</v>
      </c>
      <c r="E2677" t="s">
        <v>15509</v>
      </c>
      <c r="F2677" t="s">
        <v>22436</v>
      </c>
      <c r="G2677" t="s">
        <v>22444</v>
      </c>
      <c r="H2677" t="s">
        <v>22452</v>
      </c>
      <c r="I2677" t="s">
        <v>22519</v>
      </c>
      <c r="J2677" t="s">
        <v>24430</v>
      </c>
      <c r="K2677" t="s">
        <v>29341</v>
      </c>
      <c r="M2677" t="s">
        <v>30635</v>
      </c>
      <c r="N2677" t="s">
        <v>32524</v>
      </c>
      <c r="O2677" t="s">
        <v>32525</v>
      </c>
      <c r="P2677">
        <v>0</v>
      </c>
      <c r="Q2677">
        <v>0</v>
      </c>
      <c r="R2677" t="s">
        <v>32527</v>
      </c>
      <c r="S2677" t="s">
        <v>32552</v>
      </c>
      <c r="T2677" t="s">
        <v>33203</v>
      </c>
      <c r="U2677" t="s">
        <v>35902</v>
      </c>
      <c r="W2677" t="s">
        <v>30635</v>
      </c>
      <c r="X2677" t="s">
        <v>32531</v>
      </c>
    </row>
    <row r="2678" spans="1:24">
      <c r="A2678">
        <f>HYPERLINK("https://www.philgeps.gov.ph/GEPSNONPILOT/Tender/SplashBidNoticeAbstractUI.aspx?menuIndex=3&amp;refID=7042394&amp;Result=3","7042394")</f>
        <v>0</v>
      </c>
      <c r="B2678" t="s">
        <v>1008</v>
      </c>
      <c r="C2678" t="s">
        <v>5240</v>
      </c>
      <c r="D2678" t="s">
        <v>13037</v>
      </c>
      <c r="E2678" t="s">
        <v>15510</v>
      </c>
      <c r="F2678" t="s">
        <v>22436</v>
      </c>
      <c r="G2678" t="s">
        <v>22444</v>
      </c>
      <c r="H2678" t="s">
        <v>22454</v>
      </c>
      <c r="I2678" t="s">
        <v>7738</v>
      </c>
      <c r="J2678" t="s">
        <v>24431</v>
      </c>
      <c r="K2678" t="s">
        <v>29344</v>
      </c>
      <c r="M2678" t="s">
        <v>30636</v>
      </c>
      <c r="N2678" t="s">
        <v>32524</v>
      </c>
      <c r="O2678" t="s">
        <v>32525</v>
      </c>
      <c r="P2678">
        <v>0</v>
      </c>
      <c r="Q2678">
        <v>0</v>
      </c>
      <c r="R2678" t="s">
        <v>32527</v>
      </c>
      <c r="S2678" t="s">
        <v>32552</v>
      </c>
      <c r="T2678" t="s">
        <v>33237</v>
      </c>
      <c r="U2678" t="s">
        <v>35903</v>
      </c>
      <c r="W2678" t="s">
        <v>30636</v>
      </c>
      <c r="X2678" t="s">
        <v>32531</v>
      </c>
    </row>
    <row r="2679" spans="1:24">
      <c r="A2679">
        <f>HYPERLINK("https://www.philgeps.gov.ph/GEPSNONPILOT/Tender/SplashBidNoticeAbstractUI.aspx?menuIndex=3&amp;refID=7042419&amp;Result=3","7042419")</f>
        <v>0</v>
      </c>
      <c r="B2679" t="s">
        <v>998</v>
      </c>
      <c r="C2679" t="s">
        <v>5241</v>
      </c>
      <c r="D2679" t="s">
        <v>13068</v>
      </c>
      <c r="E2679" t="s">
        <v>15511</v>
      </c>
      <c r="F2679" t="s">
        <v>22436</v>
      </c>
      <c r="G2679" t="s">
        <v>22445</v>
      </c>
      <c r="H2679" t="s">
        <v>22452</v>
      </c>
      <c r="I2679" t="s">
        <v>2981</v>
      </c>
      <c r="J2679" t="s">
        <v>24432</v>
      </c>
      <c r="K2679" t="s">
        <v>29335</v>
      </c>
      <c r="M2679" t="s">
        <v>30624</v>
      </c>
      <c r="N2679" t="s">
        <v>32524</v>
      </c>
      <c r="O2679" t="s">
        <v>32525</v>
      </c>
      <c r="P2679">
        <v>0</v>
      </c>
      <c r="Q2679">
        <v>4</v>
      </c>
      <c r="R2679" t="s">
        <v>32527</v>
      </c>
      <c r="S2679" t="s">
        <v>32552</v>
      </c>
      <c r="T2679" t="s">
        <v>33153</v>
      </c>
      <c r="U2679" t="s">
        <v>35904</v>
      </c>
      <c r="V2679" t="s">
        <v>42686</v>
      </c>
      <c r="W2679" t="s">
        <v>30624</v>
      </c>
      <c r="X2679" t="s">
        <v>32531</v>
      </c>
    </row>
    <row r="2680" spans="1:24">
      <c r="A2680">
        <f>HYPERLINK("https://www.philgeps.gov.ph/GEPSNONPILOT/Tender/SplashBidNoticeAbstractUI.aspx?menuIndex=3&amp;refID=7042481&amp;Result=3","7042481")</f>
        <v>0</v>
      </c>
      <c r="B2680" t="s">
        <v>548</v>
      </c>
      <c r="C2680" t="s">
        <v>5242</v>
      </c>
      <c r="D2680" t="s">
        <v>13022</v>
      </c>
      <c r="E2680" t="s">
        <v>15512</v>
      </c>
      <c r="F2680" t="s">
        <v>22436</v>
      </c>
      <c r="G2680" t="s">
        <v>22444</v>
      </c>
      <c r="H2680" t="s">
        <v>22454</v>
      </c>
      <c r="I2680" t="s">
        <v>7738</v>
      </c>
      <c r="J2680" t="s">
        <v>23356</v>
      </c>
      <c r="K2680" t="s">
        <v>29335</v>
      </c>
      <c r="M2680" t="s">
        <v>30133</v>
      </c>
      <c r="N2680" t="s">
        <v>32524</v>
      </c>
      <c r="O2680" t="s">
        <v>32525</v>
      </c>
      <c r="P2680">
        <v>0</v>
      </c>
      <c r="Q2680">
        <v>0</v>
      </c>
      <c r="R2680" t="s">
        <v>32527</v>
      </c>
      <c r="S2680" t="s">
        <v>32552</v>
      </c>
      <c r="T2680" t="s">
        <v>33230</v>
      </c>
      <c r="U2680" t="s">
        <v>35905</v>
      </c>
      <c r="W2680" t="s">
        <v>30133</v>
      </c>
      <c r="X2680" t="s">
        <v>32531</v>
      </c>
    </row>
    <row r="2681" spans="1:24">
      <c r="A2681">
        <f>HYPERLINK("https://www.philgeps.gov.ph/GEPSNONPILOT/Tender/SplashBidNoticeAbstractUI.aspx?menuIndex=3&amp;refID=7042513&amp;Result=3","7042513")</f>
        <v>0</v>
      </c>
      <c r="B2681" t="s">
        <v>1009</v>
      </c>
      <c r="C2681" t="s">
        <v>5243</v>
      </c>
      <c r="D2681" t="s">
        <v>12988</v>
      </c>
      <c r="E2681" t="s">
        <v>15513</v>
      </c>
      <c r="F2681" t="s">
        <v>22436</v>
      </c>
      <c r="G2681" t="s">
        <v>22444</v>
      </c>
      <c r="H2681" t="s">
        <v>22452</v>
      </c>
      <c r="I2681" t="s">
        <v>22460</v>
      </c>
      <c r="J2681" t="s">
        <v>24433</v>
      </c>
      <c r="K2681" t="s">
        <v>29358</v>
      </c>
      <c r="M2681" t="s">
        <v>30637</v>
      </c>
      <c r="N2681" t="s">
        <v>32524</v>
      </c>
      <c r="O2681" t="s">
        <v>32525</v>
      </c>
      <c r="P2681">
        <v>0</v>
      </c>
      <c r="Q2681">
        <v>6</v>
      </c>
      <c r="R2681" t="s">
        <v>32527</v>
      </c>
      <c r="S2681" t="s">
        <v>32552</v>
      </c>
      <c r="T2681" t="s">
        <v>33306</v>
      </c>
      <c r="U2681" t="s">
        <v>35906</v>
      </c>
      <c r="W2681" t="s">
        <v>30637</v>
      </c>
      <c r="X2681" t="s">
        <v>32531</v>
      </c>
    </row>
    <row r="2682" spans="1:24">
      <c r="A2682">
        <f>HYPERLINK("https://www.philgeps.gov.ph/GEPSNONPILOT/Tender/SplashBidNoticeAbstractUI.aspx?menuIndex=3&amp;refID=7042396&amp;Result=3","7042396")</f>
        <v>0</v>
      </c>
      <c r="B2682" t="s">
        <v>1010</v>
      </c>
      <c r="C2682" t="s">
        <v>5244</v>
      </c>
      <c r="D2682" t="s">
        <v>12988</v>
      </c>
      <c r="E2682" t="s">
        <v>15514</v>
      </c>
      <c r="F2682" t="s">
        <v>22436</v>
      </c>
      <c r="G2682" t="s">
        <v>22444</v>
      </c>
      <c r="H2682" t="s">
        <v>22452</v>
      </c>
      <c r="I2682" t="s">
        <v>3529</v>
      </c>
      <c r="J2682" t="s">
        <v>24434</v>
      </c>
      <c r="K2682" t="s">
        <v>29335</v>
      </c>
      <c r="M2682" t="s">
        <v>30638</v>
      </c>
      <c r="N2682" t="s">
        <v>32524</v>
      </c>
      <c r="O2682" t="s">
        <v>32525</v>
      </c>
      <c r="P2682">
        <v>0</v>
      </c>
      <c r="Q2682">
        <v>0</v>
      </c>
      <c r="R2682" t="s">
        <v>32527</v>
      </c>
      <c r="S2682" t="s">
        <v>32552</v>
      </c>
      <c r="T2682" t="s">
        <v>33165</v>
      </c>
      <c r="U2682" t="s">
        <v>35907</v>
      </c>
      <c r="W2682" t="s">
        <v>30638</v>
      </c>
      <c r="X2682" t="s">
        <v>32531</v>
      </c>
    </row>
    <row r="2683" spans="1:24">
      <c r="A2683">
        <f>HYPERLINK("https://www.philgeps.gov.ph/GEPSNONPILOT/Tender/SplashBidNoticeAbstractUI.aspx?menuIndex=3&amp;refID=7042470&amp;Result=3","7042470")</f>
        <v>0</v>
      </c>
      <c r="B2683" t="s">
        <v>1011</v>
      </c>
      <c r="C2683" t="s">
        <v>5245</v>
      </c>
      <c r="D2683" t="s">
        <v>13045</v>
      </c>
      <c r="E2683" t="s">
        <v>13182</v>
      </c>
      <c r="F2683" t="s">
        <v>22436</v>
      </c>
      <c r="G2683" t="s">
        <v>22444</v>
      </c>
      <c r="H2683" t="s">
        <v>22454</v>
      </c>
      <c r="I2683" t="s">
        <v>22496</v>
      </c>
      <c r="J2683" t="s">
        <v>22779</v>
      </c>
      <c r="K2683" t="s">
        <v>29335</v>
      </c>
      <c r="M2683" t="s">
        <v>30639</v>
      </c>
      <c r="N2683" t="s">
        <v>32524</v>
      </c>
      <c r="O2683" t="s">
        <v>32525</v>
      </c>
      <c r="P2683">
        <v>0</v>
      </c>
      <c r="Q2683">
        <v>1</v>
      </c>
      <c r="R2683" t="s">
        <v>32527</v>
      </c>
      <c r="S2683" t="s">
        <v>32552</v>
      </c>
      <c r="T2683" t="s">
        <v>33180</v>
      </c>
      <c r="U2683" t="s">
        <v>35908</v>
      </c>
      <c r="W2683" t="s">
        <v>30639</v>
      </c>
      <c r="X2683" t="s">
        <v>32531</v>
      </c>
    </row>
    <row r="2684" spans="1:24">
      <c r="A2684">
        <f>HYPERLINK("https://www.philgeps.gov.ph/GEPSNONPILOT/Tender/SplashBidNoticeAbstractUI.aspx?menuIndex=3&amp;refID=7042485&amp;Result=3","7042485")</f>
        <v>0</v>
      </c>
      <c r="B2684" t="s">
        <v>1011</v>
      </c>
      <c r="C2684" t="s">
        <v>5246</v>
      </c>
      <c r="D2684" t="s">
        <v>13045</v>
      </c>
      <c r="E2684" t="s">
        <v>13318</v>
      </c>
      <c r="F2684" t="s">
        <v>22436</v>
      </c>
      <c r="G2684" t="s">
        <v>22444</v>
      </c>
      <c r="H2684" t="s">
        <v>22454</v>
      </c>
      <c r="I2684" t="s">
        <v>22496</v>
      </c>
      <c r="J2684" t="s">
        <v>23399</v>
      </c>
      <c r="K2684" t="s">
        <v>29335</v>
      </c>
      <c r="M2684" t="s">
        <v>30639</v>
      </c>
      <c r="N2684" t="s">
        <v>32524</v>
      </c>
      <c r="O2684" t="s">
        <v>32525</v>
      </c>
      <c r="P2684">
        <v>0</v>
      </c>
      <c r="Q2684">
        <v>0</v>
      </c>
      <c r="R2684" t="s">
        <v>32527</v>
      </c>
      <c r="S2684" t="s">
        <v>32552</v>
      </c>
      <c r="T2684" t="s">
        <v>33157</v>
      </c>
      <c r="U2684" t="s">
        <v>35908</v>
      </c>
      <c r="W2684" t="s">
        <v>30639</v>
      </c>
      <c r="X2684" t="s">
        <v>32531</v>
      </c>
    </row>
    <row r="2685" spans="1:24">
      <c r="A2685">
        <f>HYPERLINK("https://www.philgeps.gov.ph/GEPSNONPILOT/Tender/SplashBidNoticeAbstractUI.aspx?menuIndex=3&amp;refID=7042540&amp;Result=3","7042540")</f>
        <v>0</v>
      </c>
      <c r="B2685" t="s">
        <v>1012</v>
      </c>
      <c r="C2685" t="s">
        <v>5230</v>
      </c>
      <c r="D2685" t="s">
        <v>12990</v>
      </c>
      <c r="E2685" t="s">
        <v>15515</v>
      </c>
      <c r="F2685" t="s">
        <v>22436</v>
      </c>
      <c r="G2685" t="s">
        <v>22444</v>
      </c>
      <c r="H2685" t="s">
        <v>22452</v>
      </c>
      <c r="I2685" t="s">
        <v>2981</v>
      </c>
      <c r="J2685" t="s">
        <v>22605</v>
      </c>
      <c r="K2685" t="s">
        <v>29338</v>
      </c>
      <c r="M2685" t="s">
        <v>30640</v>
      </c>
      <c r="N2685" t="s">
        <v>32524</v>
      </c>
      <c r="O2685" t="s">
        <v>32525</v>
      </c>
      <c r="P2685">
        <v>0</v>
      </c>
      <c r="Q2685">
        <v>0</v>
      </c>
      <c r="R2685" t="s">
        <v>32527</v>
      </c>
      <c r="S2685" t="s">
        <v>32552</v>
      </c>
      <c r="T2685" t="s">
        <v>33187</v>
      </c>
      <c r="U2685" t="s">
        <v>35909</v>
      </c>
      <c r="W2685" t="s">
        <v>30640</v>
      </c>
      <c r="X2685" t="s">
        <v>32531</v>
      </c>
    </row>
    <row r="2686" spans="1:24">
      <c r="A2686">
        <f>HYPERLINK("https://www.philgeps.gov.ph/GEPSNONPILOT/Tender/SplashBidNoticeAbstractUI.aspx?menuIndex=3&amp;refID=7042535&amp;Result=3","7042535")</f>
        <v>0</v>
      </c>
      <c r="B2686" t="s">
        <v>83</v>
      </c>
      <c r="C2686" t="s">
        <v>5247</v>
      </c>
      <c r="D2686" t="s">
        <v>12988</v>
      </c>
      <c r="E2686" t="s">
        <v>15516</v>
      </c>
      <c r="F2686" t="s">
        <v>22436</v>
      </c>
      <c r="G2686" t="s">
        <v>22443</v>
      </c>
      <c r="H2686" t="s">
        <v>22452</v>
      </c>
      <c r="I2686" t="s">
        <v>2981</v>
      </c>
      <c r="J2686" t="s">
        <v>24435</v>
      </c>
      <c r="K2686" t="s">
        <v>29338</v>
      </c>
      <c r="M2686" t="s">
        <v>29655</v>
      </c>
      <c r="N2686" t="s">
        <v>32524</v>
      </c>
      <c r="O2686" t="s">
        <v>32525</v>
      </c>
      <c r="P2686">
        <v>0</v>
      </c>
      <c r="Q2686">
        <v>0</v>
      </c>
      <c r="R2686" t="s">
        <v>32527</v>
      </c>
      <c r="S2686" t="s">
        <v>32552</v>
      </c>
      <c r="T2686" t="s">
        <v>33220</v>
      </c>
      <c r="U2686" t="s">
        <v>35736</v>
      </c>
      <c r="W2686" t="s">
        <v>29655</v>
      </c>
      <c r="X2686" t="s">
        <v>32531</v>
      </c>
    </row>
    <row r="2687" spans="1:24">
      <c r="A2687">
        <f>HYPERLINK("https://www.philgeps.gov.ph/GEPSNONPILOT/Tender/SplashBidNoticeAbstractUI.aspx?menuIndex=3&amp;refID=7042541&amp;Result=3","7042541")</f>
        <v>0</v>
      </c>
      <c r="B2687" t="s">
        <v>246</v>
      </c>
      <c r="C2687" t="s">
        <v>5248</v>
      </c>
      <c r="D2687" t="s">
        <v>13021</v>
      </c>
      <c r="E2687" t="s">
        <v>15517</v>
      </c>
      <c r="F2687" t="s">
        <v>22436</v>
      </c>
      <c r="G2687" t="s">
        <v>22443</v>
      </c>
      <c r="H2687" t="s">
        <v>22452</v>
      </c>
      <c r="I2687" t="s">
        <v>2981</v>
      </c>
      <c r="J2687" t="s">
        <v>22654</v>
      </c>
      <c r="K2687" t="s">
        <v>29341</v>
      </c>
      <c r="M2687" t="s">
        <v>29820</v>
      </c>
      <c r="N2687" t="s">
        <v>32524</v>
      </c>
      <c r="O2687" t="s">
        <v>32525</v>
      </c>
      <c r="P2687">
        <v>0</v>
      </c>
      <c r="Q2687">
        <v>1</v>
      </c>
      <c r="R2687" t="s">
        <v>32527</v>
      </c>
      <c r="S2687" t="s">
        <v>32552</v>
      </c>
      <c r="T2687" t="s">
        <v>33194</v>
      </c>
      <c r="U2687" t="s">
        <v>35910</v>
      </c>
      <c r="W2687" t="s">
        <v>29820</v>
      </c>
      <c r="X2687" t="s">
        <v>32531</v>
      </c>
    </row>
    <row r="2688" spans="1:24">
      <c r="A2688">
        <f>HYPERLINK("https://www.philgeps.gov.ph/GEPSNONPILOT/Tender/SplashBidNoticeAbstractUI.aspx?menuIndex=3&amp;refID=7042539&amp;Result=3","7042539")</f>
        <v>0</v>
      </c>
      <c r="B2688" t="s">
        <v>1007</v>
      </c>
      <c r="C2688" t="s">
        <v>5249</v>
      </c>
      <c r="D2688" t="s">
        <v>12991</v>
      </c>
      <c r="E2688" t="s">
        <v>15518</v>
      </c>
      <c r="F2688" t="s">
        <v>22436</v>
      </c>
      <c r="G2688" t="s">
        <v>22444</v>
      </c>
      <c r="H2688" t="s">
        <v>22452</v>
      </c>
      <c r="I2688" t="s">
        <v>3827</v>
      </c>
      <c r="J2688" t="s">
        <v>22836</v>
      </c>
      <c r="K2688" t="s">
        <v>29335</v>
      </c>
      <c r="M2688" t="s">
        <v>30635</v>
      </c>
      <c r="N2688" t="s">
        <v>32524</v>
      </c>
      <c r="O2688" t="s">
        <v>32525</v>
      </c>
      <c r="P2688">
        <v>0</v>
      </c>
      <c r="Q2688">
        <v>1</v>
      </c>
      <c r="R2688" t="s">
        <v>32527</v>
      </c>
      <c r="S2688" t="s">
        <v>32552</v>
      </c>
      <c r="T2688" t="s">
        <v>33203</v>
      </c>
      <c r="U2688" t="s">
        <v>35911</v>
      </c>
      <c r="W2688" t="s">
        <v>30635</v>
      </c>
      <c r="X2688" t="s">
        <v>32531</v>
      </c>
    </row>
    <row r="2689" spans="1:24">
      <c r="A2689">
        <f>HYPERLINK("https://www.philgeps.gov.ph/GEPSNONPILOT/Tender/SplashBidNoticeAbstractUI.aspx?menuIndex=3&amp;refID=7042521&amp;Result=3","7042521")</f>
        <v>0</v>
      </c>
      <c r="B2689" t="s">
        <v>1013</v>
      </c>
      <c r="C2689" t="s">
        <v>5250</v>
      </c>
      <c r="D2689" t="s">
        <v>12993</v>
      </c>
      <c r="E2689" t="s">
        <v>15519</v>
      </c>
      <c r="F2689" t="s">
        <v>22437</v>
      </c>
      <c r="G2689" t="s">
        <v>22444</v>
      </c>
      <c r="H2689" t="s">
        <v>22454</v>
      </c>
      <c r="I2689" t="s">
        <v>7738</v>
      </c>
      <c r="J2689" t="s">
        <v>22605</v>
      </c>
      <c r="K2689" t="s">
        <v>29331</v>
      </c>
      <c r="M2689" t="s">
        <v>30641</v>
      </c>
      <c r="N2689" t="s">
        <v>32524</v>
      </c>
      <c r="O2689" t="s">
        <v>32525</v>
      </c>
      <c r="P2689">
        <v>0</v>
      </c>
      <c r="Q2689">
        <v>1</v>
      </c>
      <c r="R2689" t="s">
        <v>32527</v>
      </c>
      <c r="S2689" t="s">
        <v>32552</v>
      </c>
      <c r="T2689" t="s">
        <v>33375</v>
      </c>
      <c r="U2689" t="s">
        <v>35912</v>
      </c>
      <c r="V2689" t="s">
        <v>42687</v>
      </c>
      <c r="W2689" t="s">
        <v>30641</v>
      </c>
      <c r="X2689" t="s">
        <v>32531</v>
      </c>
    </row>
    <row r="2690" spans="1:24">
      <c r="A2690">
        <f>HYPERLINK("https://www.philgeps.gov.ph/GEPSNONPILOT/Tender/SplashBidNoticeAbstractUI.aspx?menuIndex=3&amp;refID=7042549&amp;Result=3","7042549")</f>
        <v>0</v>
      </c>
      <c r="B2690" t="s">
        <v>1012</v>
      </c>
      <c r="C2690" t="s">
        <v>5251</v>
      </c>
      <c r="D2690" t="s">
        <v>12990</v>
      </c>
      <c r="E2690" t="s">
        <v>15520</v>
      </c>
      <c r="F2690" t="s">
        <v>22436</v>
      </c>
      <c r="G2690" t="s">
        <v>22444</v>
      </c>
      <c r="H2690" t="s">
        <v>22452</v>
      </c>
      <c r="I2690" t="s">
        <v>2981</v>
      </c>
      <c r="J2690" t="s">
        <v>22674</v>
      </c>
      <c r="K2690" t="s">
        <v>29338</v>
      </c>
      <c r="M2690" t="s">
        <v>30640</v>
      </c>
      <c r="N2690" t="s">
        <v>32524</v>
      </c>
      <c r="O2690" t="s">
        <v>32525</v>
      </c>
      <c r="P2690">
        <v>0</v>
      </c>
      <c r="Q2690">
        <v>0</v>
      </c>
      <c r="R2690" t="s">
        <v>32527</v>
      </c>
      <c r="S2690" t="s">
        <v>32552</v>
      </c>
      <c r="T2690" t="s">
        <v>33187</v>
      </c>
      <c r="U2690" t="s">
        <v>35913</v>
      </c>
      <c r="W2690" t="s">
        <v>30640</v>
      </c>
      <c r="X2690" t="s">
        <v>32531</v>
      </c>
    </row>
    <row r="2691" spans="1:24">
      <c r="A2691">
        <f>HYPERLINK("https://www.philgeps.gov.ph/GEPSNONPILOT/Tender/SplashBidNoticeAbstractUI.aspx?menuIndex=3&amp;refID=7042579&amp;Result=3","7042579")</f>
        <v>0</v>
      </c>
      <c r="B2691" t="s">
        <v>90</v>
      </c>
      <c r="C2691" t="s">
        <v>5252</v>
      </c>
      <c r="D2691" t="s">
        <v>13026</v>
      </c>
      <c r="E2691" t="s">
        <v>15521</v>
      </c>
      <c r="F2691" t="s">
        <v>22436</v>
      </c>
      <c r="G2691" t="s">
        <v>22443</v>
      </c>
      <c r="H2691" t="s">
        <v>22452</v>
      </c>
      <c r="I2691" t="s">
        <v>2981</v>
      </c>
      <c r="J2691" t="s">
        <v>22779</v>
      </c>
      <c r="K2691" t="s">
        <v>29331</v>
      </c>
      <c r="M2691" t="s">
        <v>29662</v>
      </c>
      <c r="N2691" t="s">
        <v>32524</v>
      </c>
      <c r="O2691" t="s">
        <v>32525</v>
      </c>
      <c r="P2691">
        <v>0</v>
      </c>
      <c r="Q2691">
        <v>4</v>
      </c>
      <c r="R2691" t="s">
        <v>32527</v>
      </c>
      <c r="S2691" t="s">
        <v>32552</v>
      </c>
      <c r="T2691" t="s">
        <v>33220</v>
      </c>
      <c r="U2691" t="s">
        <v>35914</v>
      </c>
      <c r="W2691" t="s">
        <v>29662</v>
      </c>
      <c r="X2691" t="s">
        <v>32531</v>
      </c>
    </row>
    <row r="2692" spans="1:24">
      <c r="A2692">
        <f>HYPERLINK("https://www.philgeps.gov.ph/GEPSNONPILOT/Tender/SplashBidNoticeAbstractUI.aspx?menuIndex=3&amp;refID=7042576&amp;Result=3","7042576")</f>
        <v>0</v>
      </c>
      <c r="B2692" t="s">
        <v>333</v>
      </c>
      <c r="C2692" t="s">
        <v>5253</v>
      </c>
      <c r="D2692" t="s">
        <v>13000</v>
      </c>
      <c r="E2692" t="s">
        <v>13559</v>
      </c>
      <c r="F2692" t="s">
        <v>22436</v>
      </c>
      <c r="G2692" t="s">
        <v>22446</v>
      </c>
      <c r="H2692" t="s">
        <v>22452</v>
      </c>
      <c r="I2692" t="s">
        <v>22460</v>
      </c>
      <c r="J2692" t="s">
        <v>24436</v>
      </c>
      <c r="K2692" t="s">
        <v>29338</v>
      </c>
      <c r="M2692" t="s">
        <v>29909</v>
      </c>
      <c r="N2692" t="s">
        <v>32524</v>
      </c>
      <c r="O2692" t="s">
        <v>32525</v>
      </c>
      <c r="P2692">
        <v>0</v>
      </c>
      <c r="Q2692">
        <v>0</v>
      </c>
      <c r="R2692" t="s">
        <v>32527</v>
      </c>
      <c r="S2692" t="s">
        <v>32552</v>
      </c>
      <c r="T2692" t="s">
        <v>33220</v>
      </c>
      <c r="U2692" t="s">
        <v>35915</v>
      </c>
      <c r="W2692" t="s">
        <v>29909</v>
      </c>
      <c r="X2692" t="s">
        <v>32531</v>
      </c>
    </row>
    <row r="2693" spans="1:24">
      <c r="A2693">
        <f>HYPERLINK("https://www.philgeps.gov.ph/GEPSNONPILOT/Tender/SplashBidNoticeAbstractUI.aspx?menuIndex=3&amp;refID=7042509&amp;Result=3","7042509")</f>
        <v>0</v>
      </c>
      <c r="B2693" t="s">
        <v>1007</v>
      </c>
      <c r="C2693" t="s">
        <v>5254</v>
      </c>
      <c r="D2693" t="s">
        <v>12991</v>
      </c>
      <c r="E2693" t="s">
        <v>15522</v>
      </c>
      <c r="F2693" t="s">
        <v>22436</v>
      </c>
      <c r="G2693" t="s">
        <v>22444</v>
      </c>
      <c r="H2693" t="s">
        <v>22452</v>
      </c>
      <c r="I2693" t="s">
        <v>22456</v>
      </c>
      <c r="J2693" t="s">
        <v>22661</v>
      </c>
      <c r="K2693" t="s">
        <v>29335</v>
      </c>
      <c r="M2693" t="s">
        <v>30635</v>
      </c>
      <c r="N2693" t="s">
        <v>32524</v>
      </c>
      <c r="O2693" t="s">
        <v>32525</v>
      </c>
      <c r="P2693">
        <v>0</v>
      </c>
      <c r="Q2693">
        <v>4</v>
      </c>
      <c r="R2693" t="s">
        <v>32527</v>
      </c>
      <c r="S2693" t="s">
        <v>32552</v>
      </c>
      <c r="T2693" t="s">
        <v>33203</v>
      </c>
      <c r="U2693" t="s">
        <v>35916</v>
      </c>
      <c r="W2693" t="s">
        <v>30635</v>
      </c>
      <c r="X2693" t="s">
        <v>32531</v>
      </c>
    </row>
    <row r="2694" spans="1:24">
      <c r="A2694">
        <f>HYPERLINK("https://www.philgeps.gov.ph/GEPSNONPILOT/Tender/SplashBidNoticeAbstractUI.aspx?menuIndex=3&amp;refID=7042534&amp;Result=3","7042534")</f>
        <v>0</v>
      </c>
      <c r="B2694" t="s">
        <v>1007</v>
      </c>
      <c r="C2694" t="s">
        <v>5255</v>
      </c>
      <c r="D2694" t="s">
        <v>12991</v>
      </c>
      <c r="E2694" t="s">
        <v>15523</v>
      </c>
      <c r="F2694" t="s">
        <v>22436</v>
      </c>
      <c r="G2694" t="s">
        <v>22444</v>
      </c>
      <c r="H2694" t="s">
        <v>22452</v>
      </c>
      <c r="I2694" t="s">
        <v>3827</v>
      </c>
      <c r="J2694" t="s">
        <v>22616</v>
      </c>
      <c r="K2694" t="s">
        <v>29335</v>
      </c>
      <c r="M2694" t="s">
        <v>30635</v>
      </c>
      <c r="N2694" t="s">
        <v>32524</v>
      </c>
      <c r="O2694" t="s">
        <v>32525</v>
      </c>
      <c r="P2694">
        <v>0</v>
      </c>
      <c r="Q2694">
        <v>7</v>
      </c>
      <c r="R2694" t="s">
        <v>32527</v>
      </c>
      <c r="S2694" t="s">
        <v>32552</v>
      </c>
      <c r="T2694" t="s">
        <v>33203</v>
      </c>
      <c r="U2694" t="s">
        <v>35917</v>
      </c>
      <c r="W2694" t="s">
        <v>30635</v>
      </c>
      <c r="X2694" t="s">
        <v>32531</v>
      </c>
    </row>
    <row r="2695" spans="1:24">
      <c r="A2695">
        <f>HYPERLINK("https://www.philgeps.gov.ph/GEPSNONPILOT/Tender/SplashBidNoticeAbstractUI.aspx?menuIndex=3&amp;refID=7042571&amp;Result=3","7042571")</f>
        <v>0</v>
      </c>
      <c r="B2695" t="s">
        <v>1014</v>
      </c>
      <c r="C2695" t="s">
        <v>5256</v>
      </c>
      <c r="D2695" t="s">
        <v>12994</v>
      </c>
      <c r="E2695" t="s">
        <v>15524</v>
      </c>
      <c r="F2695" t="s">
        <v>22436</v>
      </c>
      <c r="G2695" t="s">
        <v>22443</v>
      </c>
      <c r="H2695" t="s">
        <v>22452</v>
      </c>
      <c r="I2695" t="s">
        <v>22465</v>
      </c>
      <c r="J2695" t="s">
        <v>24437</v>
      </c>
      <c r="K2695" t="s">
        <v>29338</v>
      </c>
      <c r="M2695" t="s">
        <v>30642</v>
      </c>
      <c r="N2695" t="s">
        <v>32524</v>
      </c>
      <c r="O2695" t="s">
        <v>32525</v>
      </c>
      <c r="P2695">
        <v>0</v>
      </c>
      <c r="Q2695">
        <v>3</v>
      </c>
      <c r="R2695" t="s">
        <v>32527</v>
      </c>
      <c r="S2695" t="s">
        <v>32552</v>
      </c>
      <c r="T2695" t="s">
        <v>33209</v>
      </c>
      <c r="U2695" t="s">
        <v>35918</v>
      </c>
      <c r="W2695" t="s">
        <v>30642</v>
      </c>
      <c r="X2695" t="s">
        <v>32531</v>
      </c>
    </row>
    <row r="2696" spans="1:24">
      <c r="A2696">
        <f>HYPERLINK("https://www.philgeps.gov.ph/GEPSNONPILOT/Tender/SplashBidNoticeAbstractUI.aspx?menuIndex=3&amp;refID=7042495&amp;Result=3","7042495")</f>
        <v>0</v>
      </c>
      <c r="B2696" t="s">
        <v>1007</v>
      </c>
      <c r="C2696" t="s">
        <v>5257</v>
      </c>
      <c r="D2696" t="s">
        <v>12991</v>
      </c>
      <c r="E2696" t="s">
        <v>15525</v>
      </c>
      <c r="F2696" t="s">
        <v>22436</v>
      </c>
      <c r="G2696" t="s">
        <v>22444</v>
      </c>
      <c r="H2696" t="s">
        <v>22452</v>
      </c>
      <c r="I2696" t="s">
        <v>22474</v>
      </c>
      <c r="J2696" t="s">
        <v>23145</v>
      </c>
      <c r="K2696" t="s">
        <v>29335</v>
      </c>
      <c r="M2696" t="s">
        <v>30635</v>
      </c>
      <c r="N2696" t="s">
        <v>32524</v>
      </c>
      <c r="O2696" t="s">
        <v>32525</v>
      </c>
      <c r="P2696">
        <v>0</v>
      </c>
      <c r="Q2696">
        <v>1</v>
      </c>
      <c r="R2696" t="s">
        <v>32527</v>
      </c>
      <c r="S2696" t="s">
        <v>32552</v>
      </c>
      <c r="T2696" t="s">
        <v>33203</v>
      </c>
      <c r="U2696" t="s">
        <v>35919</v>
      </c>
      <c r="W2696" t="s">
        <v>30635</v>
      </c>
      <c r="X2696" t="s">
        <v>32531</v>
      </c>
    </row>
    <row r="2697" spans="1:24">
      <c r="A2697">
        <f>HYPERLINK("https://www.philgeps.gov.ph/GEPSNONPILOT/Tender/SplashBidNoticeAbstractUI.aspx?menuIndex=3&amp;refID=7042577&amp;Result=3","7042577")</f>
        <v>0</v>
      </c>
      <c r="B2697" t="s">
        <v>1007</v>
      </c>
      <c r="C2697" t="s">
        <v>5258</v>
      </c>
      <c r="E2697" t="s">
        <v>15526</v>
      </c>
      <c r="F2697" t="s">
        <v>22436</v>
      </c>
      <c r="G2697" t="s">
        <v>22444</v>
      </c>
      <c r="H2697" t="s">
        <v>22452</v>
      </c>
      <c r="I2697" t="s">
        <v>22534</v>
      </c>
      <c r="J2697" t="s">
        <v>22605</v>
      </c>
      <c r="K2697" t="s">
        <v>29341</v>
      </c>
      <c r="M2697" t="s">
        <v>30635</v>
      </c>
      <c r="N2697" t="s">
        <v>32524</v>
      </c>
      <c r="O2697" t="s">
        <v>32525</v>
      </c>
      <c r="P2697">
        <v>0</v>
      </c>
      <c r="Q2697">
        <v>0</v>
      </c>
      <c r="R2697" t="s">
        <v>32527</v>
      </c>
      <c r="S2697" t="s">
        <v>32552</v>
      </c>
      <c r="T2697" t="s">
        <v>33203</v>
      </c>
      <c r="U2697" t="s">
        <v>35920</v>
      </c>
      <c r="W2697" t="s">
        <v>30635</v>
      </c>
      <c r="X2697" t="s">
        <v>32531</v>
      </c>
    </row>
    <row r="2698" spans="1:24">
      <c r="A2698">
        <f>HYPERLINK("https://www.philgeps.gov.ph/GEPSNONPILOT/Tender/SplashBidNoticeAbstractUI.aspx?menuIndex=3&amp;refID=7042568&amp;Result=3","7042568")</f>
        <v>0</v>
      </c>
      <c r="B2698" t="s">
        <v>83</v>
      </c>
      <c r="C2698" t="s">
        <v>5259</v>
      </c>
      <c r="D2698" t="s">
        <v>12988</v>
      </c>
      <c r="E2698" t="s">
        <v>15527</v>
      </c>
      <c r="F2698" t="s">
        <v>22436</v>
      </c>
      <c r="G2698" t="s">
        <v>22443</v>
      </c>
      <c r="H2698" t="s">
        <v>22452</v>
      </c>
      <c r="I2698" t="s">
        <v>22482</v>
      </c>
      <c r="J2698" t="s">
        <v>24256</v>
      </c>
      <c r="K2698" t="s">
        <v>29338</v>
      </c>
      <c r="M2698" t="s">
        <v>29655</v>
      </c>
      <c r="N2698" t="s">
        <v>32524</v>
      </c>
      <c r="O2698" t="s">
        <v>32525</v>
      </c>
      <c r="P2698">
        <v>0</v>
      </c>
      <c r="Q2698">
        <v>9</v>
      </c>
      <c r="R2698" t="s">
        <v>32527</v>
      </c>
      <c r="S2698" t="s">
        <v>32552</v>
      </c>
      <c r="T2698" t="s">
        <v>33220</v>
      </c>
      <c r="U2698" t="s">
        <v>35921</v>
      </c>
      <c r="W2698" t="s">
        <v>29655</v>
      </c>
      <c r="X2698" t="s">
        <v>32531</v>
      </c>
    </row>
    <row r="2699" spans="1:24">
      <c r="A2699">
        <f>HYPERLINK("https://www.philgeps.gov.ph/GEPSNONPILOT/Tender/SplashBidNoticeAbstractUI.aspx?menuIndex=3&amp;refID=7042531&amp;Result=3","7042531")</f>
        <v>0</v>
      </c>
      <c r="B2699" t="s">
        <v>1010</v>
      </c>
      <c r="C2699" t="s">
        <v>5260</v>
      </c>
      <c r="D2699" t="s">
        <v>12988</v>
      </c>
      <c r="E2699" t="s">
        <v>15528</v>
      </c>
      <c r="F2699" t="s">
        <v>22436</v>
      </c>
      <c r="G2699" t="s">
        <v>22444</v>
      </c>
      <c r="H2699" t="s">
        <v>22452</v>
      </c>
      <c r="I2699" t="s">
        <v>3529</v>
      </c>
      <c r="J2699" t="s">
        <v>22587</v>
      </c>
      <c r="K2699" t="s">
        <v>29335</v>
      </c>
      <c r="M2699" t="s">
        <v>30638</v>
      </c>
      <c r="N2699" t="s">
        <v>32524</v>
      </c>
      <c r="O2699" t="s">
        <v>32525</v>
      </c>
      <c r="P2699">
        <v>0</v>
      </c>
      <c r="Q2699">
        <v>3</v>
      </c>
      <c r="R2699" t="s">
        <v>32527</v>
      </c>
      <c r="S2699" t="s">
        <v>32552</v>
      </c>
      <c r="T2699" t="s">
        <v>33165</v>
      </c>
      <c r="U2699" t="s">
        <v>35922</v>
      </c>
      <c r="W2699" t="s">
        <v>30638</v>
      </c>
      <c r="X2699" t="s">
        <v>32531</v>
      </c>
    </row>
    <row r="2700" spans="1:24">
      <c r="A2700">
        <f>HYPERLINK("https://www.philgeps.gov.ph/GEPSNONPILOT/Tender/SplashBidNoticeAbstractUI.aspx?menuIndex=3&amp;refID=7042562&amp;Result=3","7042562")</f>
        <v>0</v>
      </c>
      <c r="B2700" t="s">
        <v>1007</v>
      </c>
      <c r="C2700" t="s">
        <v>5261</v>
      </c>
      <c r="D2700" t="s">
        <v>12991</v>
      </c>
      <c r="E2700" t="s">
        <v>15529</v>
      </c>
      <c r="F2700" t="s">
        <v>22436</v>
      </c>
      <c r="G2700" t="s">
        <v>22444</v>
      </c>
      <c r="H2700" t="s">
        <v>22452</v>
      </c>
      <c r="I2700" t="s">
        <v>12358</v>
      </c>
      <c r="J2700" t="s">
        <v>24438</v>
      </c>
      <c r="K2700" t="s">
        <v>29337</v>
      </c>
      <c r="M2700" t="s">
        <v>30635</v>
      </c>
      <c r="N2700" t="s">
        <v>32524</v>
      </c>
      <c r="O2700" t="s">
        <v>32525</v>
      </c>
      <c r="P2700">
        <v>0</v>
      </c>
      <c r="Q2700">
        <v>1</v>
      </c>
      <c r="R2700" t="s">
        <v>32527</v>
      </c>
      <c r="S2700" t="s">
        <v>32552</v>
      </c>
      <c r="T2700" t="s">
        <v>33203</v>
      </c>
      <c r="U2700" t="s">
        <v>35923</v>
      </c>
      <c r="W2700" t="s">
        <v>30635</v>
      </c>
      <c r="X2700" t="s">
        <v>32531</v>
      </c>
    </row>
    <row r="2701" spans="1:24">
      <c r="A2701">
        <f>HYPERLINK("https://www.philgeps.gov.ph/GEPSNONPILOT/Tender/SplashBidNoticeAbstractUI.aspx?menuIndex=3&amp;refID=7042604&amp;Result=3","7042604")</f>
        <v>0</v>
      </c>
      <c r="B2701" t="s">
        <v>1002</v>
      </c>
      <c r="C2701" t="s">
        <v>5262</v>
      </c>
      <c r="D2701" t="s">
        <v>13058</v>
      </c>
      <c r="E2701" t="s">
        <v>15530</v>
      </c>
      <c r="F2701" t="s">
        <v>22436</v>
      </c>
      <c r="G2701" t="s">
        <v>22444</v>
      </c>
      <c r="H2701" t="s">
        <v>22452</v>
      </c>
      <c r="I2701" t="s">
        <v>5194</v>
      </c>
      <c r="J2701" t="s">
        <v>24439</v>
      </c>
      <c r="K2701" t="s">
        <v>29335</v>
      </c>
      <c r="M2701" t="s">
        <v>30629</v>
      </c>
      <c r="N2701" t="s">
        <v>32524</v>
      </c>
      <c r="O2701" t="s">
        <v>32525</v>
      </c>
      <c r="P2701">
        <v>0</v>
      </c>
      <c r="Q2701">
        <v>3</v>
      </c>
      <c r="R2701" t="s">
        <v>32527</v>
      </c>
      <c r="S2701" t="s">
        <v>32552</v>
      </c>
      <c r="T2701" t="s">
        <v>33249</v>
      </c>
      <c r="U2701" t="s">
        <v>35880</v>
      </c>
      <c r="W2701" t="s">
        <v>30629</v>
      </c>
      <c r="X2701" t="s">
        <v>32531</v>
      </c>
    </row>
    <row r="2702" spans="1:24">
      <c r="A2702">
        <f>HYPERLINK("https://www.philgeps.gov.ph/GEPSNONPILOT/Tender/SplashBidNoticeAbstractUI.aspx?menuIndex=3&amp;refID=7042590&amp;Result=3","7042590")</f>
        <v>0</v>
      </c>
      <c r="B2702" t="s">
        <v>1007</v>
      </c>
      <c r="C2702" t="s">
        <v>5263</v>
      </c>
      <c r="D2702" t="s">
        <v>12991</v>
      </c>
      <c r="E2702" t="s">
        <v>15531</v>
      </c>
      <c r="F2702" t="s">
        <v>22436</v>
      </c>
      <c r="G2702" t="s">
        <v>22444</v>
      </c>
      <c r="H2702" t="s">
        <v>22452</v>
      </c>
      <c r="I2702" t="s">
        <v>3827</v>
      </c>
      <c r="J2702" t="s">
        <v>24440</v>
      </c>
      <c r="K2702" t="s">
        <v>29335</v>
      </c>
      <c r="M2702" t="s">
        <v>30635</v>
      </c>
      <c r="N2702" t="s">
        <v>32524</v>
      </c>
      <c r="O2702" t="s">
        <v>32525</v>
      </c>
      <c r="P2702">
        <v>0</v>
      </c>
      <c r="Q2702">
        <v>2</v>
      </c>
      <c r="R2702" t="s">
        <v>32527</v>
      </c>
      <c r="S2702" t="s">
        <v>32552</v>
      </c>
      <c r="T2702" t="s">
        <v>33203</v>
      </c>
      <c r="U2702" t="s">
        <v>35924</v>
      </c>
      <c r="W2702" t="s">
        <v>30635</v>
      </c>
      <c r="X2702" t="s">
        <v>32531</v>
      </c>
    </row>
    <row r="2703" spans="1:24">
      <c r="A2703">
        <f>HYPERLINK("https://www.philgeps.gov.ph/GEPSNONPILOT/Tender/SplashBidNoticeAbstractUI.aspx?menuIndex=3&amp;refID=7042632&amp;Result=3","7042632")</f>
        <v>0</v>
      </c>
      <c r="B2703" t="s">
        <v>1015</v>
      </c>
      <c r="C2703" t="s">
        <v>5264</v>
      </c>
      <c r="E2703" t="s">
        <v>15532</v>
      </c>
      <c r="F2703" t="s">
        <v>22436</v>
      </c>
      <c r="G2703" t="s">
        <v>22444</v>
      </c>
      <c r="H2703" t="s">
        <v>22452</v>
      </c>
      <c r="I2703" t="s">
        <v>22522</v>
      </c>
      <c r="J2703" t="s">
        <v>24441</v>
      </c>
      <c r="K2703" t="s">
        <v>29338</v>
      </c>
      <c r="M2703" t="s">
        <v>30643</v>
      </c>
      <c r="N2703" t="s">
        <v>32524</v>
      </c>
      <c r="O2703" t="s">
        <v>32525</v>
      </c>
      <c r="Q2703">
        <v>6</v>
      </c>
      <c r="R2703" t="s">
        <v>32527</v>
      </c>
      <c r="S2703" t="s">
        <v>32554</v>
      </c>
      <c r="T2703" t="s">
        <v>33376</v>
      </c>
      <c r="U2703" t="s">
        <v>35925</v>
      </c>
      <c r="W2703" t="s">
        <v>30643</v>
      </c>
      <c r="X2703" t="s">
        <v>32531</v>
      </c>
    </row>
    <row r="2704" spans="1:24">
      <c r="A2704">
        <f>HYPERLINK("https://www.philgeps.gov.ph/GEPSNONPILOT/Tender/SplashBidNoticeAbstractUI.aspx?menuIndex=3&amp;refID=7042556&amp;Result=3","7042556")</f>
        <v>0</v>
      </c>
      <c r="B2704" t="s">
        <v>1012</v>
      </c>
      <c r="C2704" t="s">
        <v>5265</v>
      </c>
      <c r="D2704" t="s">
        <v>12990</v>
      </c>
      <c r="E2704" t="s">
        <v>15533</v>
      </c>
      <c r="F2704" t="s">
        <v>22436</v>
      </c>
      <c r="G2704" t="s">
        <v>22444</v>
      </c>
      <c r="H2704" t="s">
        <v>22452</v>
      </c>
      <c r="I2704" t="s">
        <v>2981</v>
      </c>
      <c r="J2704" t="s">
        <v>24442</v>
      </c>
      <c r="K2704" t="s">
        <v>29338</v>
      </c>
      <c r="M2704" t="s">
        <v>30640</v>
      </c>
      <c r="N2704" t="s">
        <v>32524</v>
      </c>
      <c r="O2704" t="s">
        <v>32525</v>
      </c>
      <c r="P2704">
        <v>0</v>
      </c>
      <c r="Q2704">
        <v>0</v>
      </c>
      <c r="R2704" t="s">
        <v>32527</v>
      </c>
      <c r="S2704" t="s">
        <v>32552</v>
      </c>
      <c r="T2704" t="s">
        <v>33187</v>
      </c>
      <c r="U2704" t="s">
        <v>35926</v>
      </c>
      <c r="W2704" t="s">
        <v>30640</v>
      </c>
      <c r="X2704" t="s">
        <v>32531</v>
      </c>
    </row>
    <row r="2705" spans="1:24">
      <c r="A2705">
        <f>HYPERLINK("https://www.philgeps.gov.ph/GEPSNONPILOT/Tender/SplashBidNoticeAbstractUI.aspx?menuIndex=3&amp;refID=7042601&amp;Result=3","7042601")</f>
        <v>0</v>
      </c>
      <c r="B2705" t="s">
        <v>1016</v>
      </c>
      <c r="C2705" t="s">
        <v>5266</v>
      </c>
      <c r="E2705" t="s">
        <v>15534</v>
      </c>
      <c r="F2705" t="s">
        <v>22436</v>
      </c>
      <c r="G2705" t="s">
        <v>22444</v>
      </c>
      <c r="H2705" t="s">
        <v>22452</v>
      </c>
      <c r="I2705" t="s">
        <v>22469</v>
      </c>
      <c r="J2705" t="s">
        <v>24443</v>
      </c>
      <c r="K2705" t="s">
        <v>29338</v>
      </c>
      <c r="M2705" t="s">
        <v>30644</v>
      </c>
      <c r="N2705" t="s">
        <v>32524</v>
      </c>
      <c r="O2705" t="s">
        <v>32525</v>
      </c>
      <c r="P2705">
        <v>0</v>
      </c>
      <c r="Q2705">
        <v>18</v>
      </c>
      <c r="R2705" t="s">
        <v>32527</v>
      </c>
      <c r="S2705" t="s">
        <v>32552</v>
      </c>
      <c r="T2705" t="s">
        <v>33319</v>
      </c>
      <c r="U2705" t="s">
        <v>35927</v>
      </c>
      <c r="W2705" t="s">
        <v>30644</v>
      </c>
      <c r="X2705" t="s">
        <v>32531</v>
      </c>
    </row>
    <row r="2706" spans="1:24">
      <c r="A2706">
        <f>HYPERLINK("https://www.philgeps.gov.ph/GEPSNONPILOT/Tender/SplashBidNoticeAbstractUI.aspx?menuIndex=3&amp;refID=7042612&amp;Result=3","7042612")</f>
        <v>0</v>
      </c>
      <c r="B2706" t="s">
        <v>1017</v>
      </c>
      <c r="C2706" t="s">
        <v>5267</v>
      </c>
      <c r="D2706" t="s">
        <v>12994</v>
      </c>
      <c r="E2706" t="s">
        <v>15535</v>
      </c>
      <c r="F2706" t="s">
        <v>22436</v>
      </c>
      <c r="G2706" t="s">
        <v>22444</v>
      </c>
      <c r="H2706" t="s">
        <v>22452</v>
      </c>
      <c r="I2706" t="s">
        <v>22504</v>
      </c>
      <c r="J2706" t="s">
        <v>23120</v>
      </c>
      <c r="K2706" t="s">
        <v>29335</v>
      </c>
      <c r="M2706" t="s">
        <v>30645</v>
      </c>
      <c r="N2706" t="s">
        <v>32524</v>
      </c>
      <c r="O2706" t="s">
        <v>32525</v>
      </c>
      <c r="P2706">
        <v>0</v>
      </c>
      <c r="Q2706">
        <v>0</v>
      </c>
      <c r="R2706" t="s">
        <v>32527</v>
      </c>
      <c r="S2706" t="s">
        <v>32552</v>
      </c>
      <c r="T2706" t="s">
        <v>33228</v>
      </c>
      <c r="U2706" t="s">
        <v>35928</v>
      </c>
      <c r="W2706" t="s">
        <v>30645</v>
      </c>
      <c r="X2706" t="s">
        <v>32531</v>
      </c>
    </row>
    <row r="2707" spans="1:24">
      <c r="A2707">
        <f>HYPERLINK("https://www.philgeps.gov.ph/GEPSNONPILOT/Tender/SplashBidNoticeAbstractUI.aspx?menuIndex=3&amp;refID=7042603&amp;Result=3","7042603")</f>
        <v>0</v>
      </c>
      <c r="B2707" t="s">
        <v>333</v>
      </c>
      <c r="C2707" t="s">
        <v>5268</v>
      </c>
      <c r="D2707" t="s">
        <v>13000</v>
      </c>
      <c r="E2707" t="s">
        <v>13333</v>
      </c>
      <c r="F2707" t="s">
        <v>22436</v>
      </c>
      <c r="G2707" t="s">
        <v>22443</v>
      </c>
      <c r="H2707" t="s">
        <v>22455</v>
      </c>
      <c r="I2707" t="s">
        <v>22486</v>
      </c>
      <c r="J2707" t="s">
        <v>23191</v>
      </c>
      <c r="K2707" t="s">
        <v>29338</v>
      </c>
      <c r="M2707" t="s">
        <v>29909</v>
      </c>
      <c r="N2707" t="s">
        <v>32524</v>
      </c>
      <c r="O2707" t="s">
        <v>32525</v>
      </c>
      <c r="P2707">
        <v>0</v>
      </c>
      <c r="Q2707">
        <v>0</v>
      </c>
      <c r="R2707" t="s">
        <v>32527</v>
      </c>
      <c r="S2707" t="s">
        <v>32552</v>
      </c>
      <c r="T2707" t="s">
        <v>33220</v>
      </c>
      <c r="U2707" t="s">
        <v>35929</v>
      </c>
      <c r="W2707" t="s">
        <v>29909</v>
      </c>
      <c r="X2707" t="s">
        <v>32531</v>
      </c>
    </row>
    <row r="2708" spans="1:24">
      <c r="A2708">
        <f>HYPERLINK("https://www.philgeps.gov.ph/GEPSNONPILOT/Tender/SplashBidNoticeAbstractUI.aspx?menuIndex=3&amp;refID=7042600&amp;Result=3","7042600")</f>
        <v>0</v>
      </c>
      <c r="B2708" t="s">
        <v>90</v>
      </c>
      <c r="C2708" t="s">
        <v>5269</v>
      </c>
      <c r="D2708" t="s">
        <v>13026</v>
      </c>
      <c r="E2708" t="s">
        <v>15536</v>
      </c>
      <c r="F2708" t="s">
        <v>22436</v>
      </c>
      <c r="G2708" t="s">
        <v>22443</v>
      </c>
      <c r="H2708" t="s">
        <v>22452</v>
      </c>
      <c r="I2708" t="s">
        <v>2981</v>
      </c>
      <c r="J2708" t="s">
        <v>24444</v>
      </c>
      <c r="K2708" t="s">
        <v>29331</v>
      </c>
      <c r="M2708" t="s">
        <v>29662</v>
      </c>
      <c r="N2708" t="s">
        <v>32524</v>
      </c>
      <c r="O2708" t="s">
        <v>32525</v>
      </c>
      <c r="P2708">
        <v>0</v>
      </c>
      <c r="Q2708">
        <v>0</v>
      </c>
      <c r="R2708" t="s">
        <v>32527</v>
      </c>
      <c r="S2708" t="s">
        <v>32552</v>
      </c>
      <c r="T2708" t="s">
        <v>33220</v>
      </c>
      <c r="U2708" t="s">
        <v>35930</v>
      </c>
      <c r="W2708" t="s">
        <v>29662</v>
      </c>
      <c r="X2708" t="s">
        <v>32531</v>
      </c>
    </row>
    <row r="2709" spans="1:24">
      <c r="A2709">
        <f>HYPERLINK("https://www.philgeps.gov.ph/GEPSNONPILOT/Tender/SplashBidNoticeAbstractUI.aspx?menuIndex=3&amp;refID=7042598&amp;Result=3","7042598")</f>
        <v>0</v>
      </c>
      <c r="B2709" t="s">
        <v>83</v>
      </c>
      <c r="C2709" t="s">
        <v>5270</v>
      </c>
      <c r="D2709" t="s">
        <v>12988</v>
      </c>
      <c r="E2709" t="s">
        <v>15537</v>
      </c>
      <c r="F2709" t="s">
        <v>22436</v>
      </c>
      <c r="G2709" t="s">
        <v>22443</v>
      </c>
      <c r="H2709" t="s">
        <v>22452</v>
      </c>
      <c r="I2709" t="s">
        <v>2981</v>
      </c>
      <c r="J2709" t="s">
        <v>24445</v>
      </c>
      <c r="K2709" t="s">
        <v>29338</v>
      </c>
      <c r="M2709" t="s">
        <v>29655</v>
      </c>
      <c r="N2709" t="s">
        <v>32524</v>
      </c>
      <c r="O2709" t="s">
        <v>32525</v>
      </c>
      <c r="P2709">
        <v>0</v>
      </c>
      <c r="Q2709">
        <v>0</v>
      </c>
      <c r="R2709" t="s">
        <v>32527</v>
      </c>
      <c r="S2709" t="s">
        <v>32552</v>
      </c>
      <c r="T2709" t="s">
        <v>33220</v>
      </c>
      <c r="U2709" t="s">
        <v>35736</v>
      </c>
      <c r="W2709" t="s">
        <v>29655</v>
      </c>
      <c r="X2709" t="s">
        <v>32531</v>
      </c>
    </row>
    <row r="2710" spans="1:24">
      <c r="A2710">
        <f>HYPERLINK("https://www.philgeps.gov.ph/GEPSNONPILOT/Tender/SplashBidNoticeAbstractUI.aspx?menuIndex=3&amp;refID=7042663&amp;Result=3","7042663")</f>
        <v>0</v>
      </c>
      <c r="B2710" t="s">
        <v>1018</v>
      </c>
      <c r="C2710" t="s">
        <v>5271</v>
      </c>
      <c r="D2710" t="s">
        <v>13045</v>
      </c>
      <c r="E2710" t="s">
        <v>15538</v>
      </c>
      <c r="F2710" t="s">
        <v>22436</v>
      </c>
      <c r="G2710" t="s">
        <v>22444</v>
      </c>
      <c r="H2710" t="s">
        <v>22452</v>
      </c>
      <c r="I2710" t="s">
        <v>22456</v>
      </c>
      <c r="J2710" t="s">
        <v>24446</v>
      </c>
      <c r="K2710" t="s">
        <v>29335</v>
      </c>
      <c r="M2710" t="s">
        <v>30646</v>
      </c>
      <c r="N2710" t="s">
        <v>32524</v>
      </c>
      <c r="O2710" t="s">
        <v>32525</v>
      </c>
      <c r="P2710">
        <v>0</v>
      </c>
      <c r="Q2710">
        <v>6</v>
      </c>
      <c r="R2710" t="s">
        <v>32527</v>
      </c>
      <c r="S2710" t="s">
        <v>32552</v>
      </c>
      <c r="T2710" t="s">
        <v>33206</v>
      </c>
      <c r="U2710" t="s">
        <v>35931</v>
      </c>
      <c r="V2710" t="s">
        <v>42688</v>
      </c>
      <c r="W2710" t="s">
        <v>30646</v>
      </c>
      <c r="X2710" t="s">
        <v>32531</v>
      </c>
    </row>
    <row r="2711" spans="1:24">
      <c r="A2711">
        <f>HYPERLINK("https://www.philgeps.gov.ph/GEPSNONPILOT/Tender/SplashBidNoticeAbstractUI.aspx?menuIndex=3&amp;refID=7042684&amp;Result=3","7042684")</f>
        <v>0</v>
      </c>
      <c r="B2711" t="s">
        <v>1015</v>
      </c>
      <c r="C2711" t="s">
        <v>5272</v>
      </c>
      <c r="E2711" t="s">
        <v>15539</v>
      </c>
      <c r="F2711" t="s">
        <v>22436</v>
      </c>
      <c r="G2711" t="s">
        <v>22444</v>
      </c>
      <c r="H2711" t="s">
        <v>22452</v>
      </c>
      <c r="I2711" t="s">
        <v>22458</v>
      </c>
      <c r="J2711" t="s">
        <v>24447</v>
      </c>
      <c r="K2711" t="s">
        <v>29338</v>
      </c>
      <c r="M2711" t="s">
        <v>30643</v>
      </c>
      <c r="N2711" t="s">
        <v>32524</v>
      </c>
      <c r="O2711" t="s">
        <v>32525</v>
      </c>
      <c r="Q2711">
        <v>39</v>
      </c>
      <c r="R2711" t="s">
        <v>32527</v>
      </c>
      <c r="S2711" t="s">
        <v>32555</v>
      </c>
      <c r="T2711" t="s">
        <v>33334</v>
      </c>
      <c r="U2711" t="s">
        <v>35932</v>
      </c>
      <c r="W2711" t="s">
        <v>30643</v>
      </c>
      <c r="X2711" t="s">
        <v>32531</v>
      </c>
    </row>
    <row r="2712" spans="1:24">
      <c r="A2712">
        <f>HYPERLINK("https://www.philgeps.gov.ph/GEPSNONPILOT/Tender/SplashBidNoticeAbstractUI.aspx?menuIndex=3&amp;refID=7042610&amp;Result=3","7042610")</f>
        <v>0</v>
      </c>
      <c r="B2712" t="s">
        <v>1019</v>
      </c>
      <c r="C2712" t="s">
        <v>5273</v>
      </c>
      <c r="E2712" t="s">
        <v>15540</v>
      </c>
      <c r="F2712" t="s">
        <v>22436</v>
      </c>
      <c r="G2712" t="s">
        <v>22449</v>
      </c>
      <c r="H2712" t="s">
        <v>22455</v>
      </c>
      <c r="I2712" t="s">
        <v>22455</v>
      </c>
      <c r="J2712" t="s">
        <v>24169</v>
      </c>
      <c r="K2712" t="s">
        <v>29338</v>
      </c>
      <c r="M2712" t="s">
        <v>30647</v>
      </c>
      <c r="N2712" t="s">
        <v>32524</v>
      </c>
      <c r="O2712" t="s">
        <v>32525</v>
      </c>
      <c r="P2712">
        <v>0</v>
      </c>
      <c r="Q2712">
        <v>1</v>
      </c>
      <c r="R2712" t="s">
        <v>32527</v>
      </c>
      <c r="S2712" t="s">
        <v>32552</v>
      </c>
      <c r="T2712" t="s">
        <v>33377</v>
      </c>
      <c r="U2712" t="s">
        <v>35933</v>
      </c>
      <c r="W2712" t="s">
        <v>30647</v>
      </c>
      <c r="X2712" t="s">
        <v>32531</v>
      </c>
    </row>
    <row r="2713" spans="1:24">
      <c r="A2713">
        <f>HYPERLINK("https://www.philgeps.gov.ph/GEPSNONPILOT/Tender/SplashBidNoticeAbstractUI.aspx?menuIndex=3&amp;refID=7042622&amp;Result=3","7042622")</f>
        <v>0</v>
      </c>
      <c r="B2713" t="s">
        <v>90</v>
      </c>
      <c r="C2713" t="s">
        <v>5274</v>
      </c>
      <c r="D2713" t="s">
        <v>13026</v>
      </c>
      <c r="E2713" t="s">
        <v>15541</v>
      </c>
      <c r="F2713" t="s">
        <v>22436</v>
      </c>
      <c r="G2713" t="s">
        <v>22443</v>
      </c>
      <c r="H2713" t="s">
        <v>22452</v>
      </c>
      <c r="I2713" t="s">
        <v>2981</v>
      </c>
      <c r="J2713" t="s">
        <v>22605</v>
      </c>
      <c r="K2713" t="s">
        <v>29331</v>
      </c>
      <c r="M2713" t="s">
        <v>29662</v>
      </c>
      <c r="N2713" t="s">
        <v>32524</v>
      </c>
      <c r="O2713" t="s">
        <v>32525</v>
      </c>
      <c r="P2713">
        <v>0</v>
      </c>
      <c r="Q2713">
        <v>1</v>
      </c>
      <c r="R2713" t="s">
        <v>32527</v>
      </c>
      <c r="S2713" t="s">
        <v>32552</v>
      </c>
      <c r="T2713" t="s">
        <v>33220</v>
      </c>
      <c r="U2713" t="s">
        <v>35934</v>
      </c>
      <c r="W2713" t="s">
        <v>29662</v>
      </c>
      <c r="X2713" t="s">
        <v>32531</v>
      </c>
    </row>
    <row r="2714" spans="1:24">
      <c r="A2714">
        <f>HYPERLINK("https://www.philgeps.gov.ph/GEPSNONPILOT/Tender/SplashBidNoticeAbstractUI.aspx?menuIndex=3&amp;refID=7042673&amp;Result=3","7042673")</f>
        <v>0</v>
      </c>
      <c r="B2714" t="s">
        <v>90</v>
      </c>
      <c r="C2714" t="s">
        <v>5275</v>
      </c>
      <c r="D2714" t="s">
        <v>13026</v>
      </c>
      <c r="E2714" t="s">
        <v>15542</v>
      </c>
      <c r="F2714" t="s">
        <v>22436</v>
      </c>
      <c r="G2714" t="s">
        <v>22443</v>
      </c>
      <c r="H2714" t="s">
        <v>22452</v>
      </c>
      <c r="I2714" t="s">
        <v>22460</v>
      </c>
      <c r="J2714" t="s">
        <v>22893</v>
      </c>
      <c r="K2714" t="s">
        <v>29331</v>
      </c>
      <c r="M2714" t="s">
        <v>29662</v>
      </c>
      <c r="N2714" t="s">
        <v>32524</v>
      </c>
      <c r="O2714" t="s">
        <v>32525</v>
      </c>
      <c r="P2714">
        <v>0</v>
      </c>
      <c r="Q2714">
        <v>7</v>
      </c>
      <c r="R2714" t="s">
        <v>32527</v>
      </c>
      <c r="S2714" t="s">
        <v>32552</v>
      </c>
      <c r="T2714" t="s">
        <v>33220</v>
      </c>
      <c r="U2714" t="s">
        <v>35935</v>
      </c>
      <c r="W2714" t="s">
        <v>29662</v>
      </c>
      <c r="X2714" t="s">
        <v>32531</v>
      </c>
    </row>
    <row r="2715" spans="1:24">
      <c r="A2715">
        <f>HYPERLINK("https://www.philgeps.gov.ph/GEPSNONPILOT/Tender/SplashBidNoticeAbstractUI.aspx?menuIndex=3&amp;refID=7042705&amp;Result=3","7042705")</f>
        <v>0</v>
      </c>
      <c r="B2715" t="s">
        <v>1002</v>
      </c>
      <c r="C2715" t="s">
        <v>5276</v>
      </c>
      <c r="D2715" t="s">
        <v>13058</v>
      </c>
      <c r="E2715" t="s">
        <v>15543</v>
      </c>
      <c r="F2715" t="s">
        <v>22436</v>
      </c>
      <c r="G2715" t="s">
        <v>22444</v>
      </c>
      <c r="H2715" t="s">
        <v>22452</v>
      </c>
      <c r="I2715" t="s">
        <v>12358</v>
      </c>
      <c r="J2715" t="s">
        <v>24448</v>
      </c>
      <c r="K2715" t="s">
        <v>29335</v>
      </c>
      <c r="M2715" t="s">
        <v>30629</v>
      </c>
      <c r="N2715" t="s">
        <v>32524</v>
      </c>
      <c r="O2715" t="s">
        <v>32525</v>
      </c>
      <c r="P2715">
        <v>0</v>
      </c>
      <c r="Q2715">
        <v>0</v>
      </c>
      <c r="R2715" t="s">
        <v>32527</v>
      </c>
      <c r="S2715" t="s">
        <v>32552</v>
      </c>
      <c r="T2715" t="s">
        <v>33249</v>
      </c>
      <c r="U2715" t="s">
        <v>35880</v>
      </c>
      <c r="W2715" t="s">
        <v>30629</v>
      </c>
      <c r="X2715" t="s">
        <v>32531</v>
      </c>
    </row>
    <row r="2716" spans="1:24">
      <c r="A2716">
        <f>HYPERLINK("https://www.philgeps.gov.ph/GEPSNONPILOT/Tender/SplashBidNoticeAbstractUI.aspx?menuIndex=3&amp;refID=7042712&amp;Result=3","7042712")</f>
        <v>0</v>
      </c>
      <c r="B2716" t="s">
        <v>1018</v>
      </c>
      <c r="C2716" t="s">
        <v>5277</v>
      </c>
      <c r="D2716" t="s">
        <v>13045</v>
      </c>
      <c r="E2716" t="s">
        <v>15544</v>
      </c>
      <c r="F2716" t="s">
        <v>22436</v>
      </c>
      <c r="G2716" t="s">
        <v>22444</v>
      </c>
      <c r="H2716" t="s">
        <v>22452</v>
      </c>
      <c r="I2716" t="s">
        <v>3529</v>
      </c>
      <c r="J2716" t="s">
        <v>24449</v>
      </c>
      <c r="K2716" t="s">
        <v>29335</v>
      </c>
      <c r="M2716" t="s">
        <v>30646</v>
      </c>
      <c r="N2716" t="s">
        <v>32524</v>
      </c>
      <c r="O2716" t="s">
        <v>32525</v>
      </c>
      <c r="P2716">
        <v>0</v>
      </c>
      <c r="Q2716">
        <v>0</v>
      </c>
      <c r="R2716" t="s">
        <v>32527</v>
      </c>
      <c r="S2716" t="s">
        <v>32552</v>
      </c>
      <c r="T2716" t="s">
        <v>33206</v>
      </c>
      <c r="U2716" t="s">
        <v>35936</v>
      </c>
      <c r="V2716" t="s">
        <v>42688</v>
      </c>
      <c r="W2716" t="s">
        <v>30646</v>
      </c>
      <c r="X2716" t="s">
        <v>32531</v>
      </c>
    </row>
    <row r="2717" spans="1:24">
      <c r="A2717">
        <f>HYPERLINK("https://www.philgeps.gov.ph/GEPSNONPILOT/Tender/SplashBidNoticeAbstractUI.aspx?menuIndex=3&amp;refID=7042655&amp;Result=3","7042655")</f>
        <v>0</v>
      </c>
      <c r="B2717" t="s">
        <v>1020</v>
      </c>
      <c r="C2717" t="s">
        <v>5278</v>
      </c>
      <c r="D2717" t="s">
        <v>12990</v>
      </c>
      <c r="E2717" t="s">
        <v>13091</v>
      </c>
      <c r="F2717" t="s">
        <v>22436</v>
      </c>
      <c r="G2717" t="s">
        <v>22444</v>
      </c>
      <c r="H2717" t="s">
        <v>22452</v>
      </c>
      <c r="I2717" t="s">
        <v>2981</v>
      </c>
      <c r="J2717" t="s">
        <v>22616</v>
      </c>
      <c r="K2717" t="s">
        <v>29338</v>
      </c>
      <c r="M2717" t="s">
        <v>30648</v>
      </c>
      <c r="N2717" t="s">
        <v>32524</v>
      </c>
      <c r="O2717" t="s">
        <v>32525</v>
      </c>
      <c r="P2717">
        <v>0</v>
      </c>
      <c r="Q2717">
        <v>1</v>
      </c>
      <c r="R2717" t="s">
        <v>32527</v>
      </c>
      <c r="S2717" t="s">
        <v>32552</v>
      </c>
      <c r="T2717" t="s">
        <v>33278</v>
      </c>
      <c r="U2717" t="s">
        <v>35937</v>
      </c>
      <c r="W2717" t="s">
        <v>30648</v>
      </c>
      <c r="X2717" t="s">
        <v>32531</v>
      </c>
    </row>
    <row r="2718" spans="1:24">
      <c r="A2718">
        <f>HYPERLINK("https://www.philgeps.gov.ph/GEPSNONPILOT/Tender/SplashBidNoticeAbstractUI.aspx?menuIndex=3&amp;refID=7042701&amp;Result=3","7042701")</f>
        <v>0</v>
      </c>
      <c r="B2718" t="s">
        <v>90</v>
      </c>
      <c r="C2718" t="s">
        <v>5279</v>
      </c>
      <c r="D2718" t="s">
        <v>13026</v>
      </c>
      <c r="E2718" t="s">
        <v>15545</v>
      </c>
      <c r="F2718" t="s">
        <v>22436</v>
      </c>
      <c r="G2718" t="s">
        <v>22443</v>
      </c>
      <c r="H2718" t="s">
        <v>22452</v>
      </c>
      <c r="I2718" t="s">
        <v>2981</v>
      </c>
      <c r="J2718" t="s">
        <v>22588</v>
      </c>
      <c r="K2718" t="s">
        <v>29331</v>
      </c>
      <c r="M2718" t="s">
        <v>29662</v>
      </c>
      <c r="N2718" t="s">
        <v>32524</v>
      </c>
      <c r="O2718" t="s">
        <v>32525</v>
      </c>
      <c r="P2718">
        <v>0</v>
      </c>
      <c r="Q2718">
        <v>0</v>
      </c>
      <c r="R2718" t="s">
        <v>32527</v>
      </c>
      <c r="S2718" t="s">
        <v>32552</v>
      </c>
      <c r="T2718" t="s">
        <v>33220</v>
      </c>
      <c r="U2718" t="s">
        <v>35938</v>
      </c>
      <c r="W2718" t="s">
        <v>29662</v>
      </c>
      <c r="X2718" t="s">
        <v>32531</v>
      </c>
    </row>
    <row r="2719" spans="1:24">
      <c r="A2719">
        <f>HYPERLINK("https://www.philgeps.gov.ph/GEPSNONPILOT/Tender/SplashBidNoticeAbstractUI.aspx?menuIndex=3&amp;refID=7042636&amp;Result=3","7042636")</f>
        <v>0</v>
      </c>
      <c r="B2719" t="s">
        <v>1016</v>
      </c>
      <c r="C2719" t="s">
        <v>5280</v>
      </c>
      <c r="E2719" t="s">
        <v>15546</v>
      </c>
      <c r="F2719" t="s">
        <v>22436</v>
      </c>
      <c r="G2719" t="s">
        <v>22444</v>
      </c>
      <c r="H2719" t="s">
        <v>22452</v>
      </c>
      <c r="I2719" t="s">
        <v>22469</v>
      </c>
      <c r="J2719" t="s">
        <v>24450</v>
      </c>
      <c r="K2719" t="s">
        <v>29338</v>
      </c>
      <c r="M2719" t="s">
        <v>30644</v>
      </c>
      <c r="N2719" t="s">
        <v>32524</v>
      </c>
      <c r="O2719" t="s">
        <v>32525</v>
      </c>
      <c r="P2719">
        <v>0</v>
      </c>
      <c r="Q2719">
        <v>17</v>
      </c>
      <c r="R2719" t="s">
        <v>32527</v>
      </c>
      <c r="S2719" t="s">
        <v>32552</v>
      </c>
      <c r="T2719" t="s">
        <v>33165</v>
      </c>
      <c r="U2719" t="s">
        <v>35939</v>
      </c>
      <c r="W2719" t="s">
        <v>30644</v>
      </c>
      <c r="X2719" t="s">
        <v>32531</v>
      </c>
    </row>
    <row r="2720" spans="1:24">
      <c r="A2720">
        <f>HYPERLINK("https://www.philgeps.gov.ph/GEPSNONPILOT/Tender/SplashBidNoticeAbstractUI.aspx?menuIndex=3&amp;refID=7042719&amp;Result=3","7042719")</f>
        <v>0</v>
      </c>
      <c r="B2720" t="s">
        <v>1021</v>
      </c>
      <c r="C2720" t="s">
        <v>5281</v>
      </c>
      <c r="D2720" t="s">
        <v>13020</v>
      </c>
      <c r="E2720" t="s">
        <v>15547</v>
      </c>
      <c r="F2720" t="s">
        <v>22436</v>
      </c>
      <c r="G2720" t="s">
        <v>22443</v>
      </c>
      <c r="H2720" t="s">
        <v>22452</v>
      </c>
      <c r="I2720" t="s">
        <v>22463</v>
      </c>
      <c r="J2720" t="s">
        <v>24451</v>
      </c>
      <c r="K2720" t="s">
        <v>29341</v>
      </c>
      <c r="M2720" t="s">
        <v>30649</v>
      </c>
      <c r="N2720" t="s">
        <v>32524</v>
      </c>
      <c r="O2720" t="s">
        <v>32525</v>
      </c>
      <c r="P2720">
        <v>0</v>
      </c>
      <c r="Q2720">
        <v>1</v>
      </c>
      <c r="R2720" t="s">
        <v>32527</v>
      </c>
      <c r="S2720" t="s">
        <v>32552</v>
      </c>
      <c r="T2720" t="s">
        <v>33220</v>
      </c>
      <c r="U2720" t="s">
        <v>35940</v>
      </c>
      <c r="W2720" t="s">
        <v>43703</v>
      </c>
      <c r="X2720" t="s">
        <v>32531</v>
      </c>
    </row>
    <row r="2721" spans="1:24">
      <c r="A2721">
        <f>HYPERLINK("https://www.philgeps.gov.ph/GEPSNONPILOT/Tender/SplashBidNoticeAbstractUI.aspx?menuIndex=3&amp;refID=7042724&amp;Result=3","7042724")</f>
        <v>0</v>
      </c>
      <c r="B2721" t="s">
        <v>753</v>
      </c>
      <c r="C2721" t="s">
        <v>5282</v>
      </c>
      <c r="D2721" t="s">
        <v>13040</v>
      </c>
      <c r="E2721" t="s">
        <v>15548</v>
      </c>
      <c r="F2721" t="s">
        <v>22436</v>
      </c>
      <c r="G2721" t="s">
        <v>22443</v>
      </c>
      <c r="H2721" t="s">
        <v>22452</v>
      </c>
      <c r="I2721" t="s">
        <v>6421</v>
      </c>
      <c r="J2721" t="s">
        <v>22862</v>
      </c>
      <c r="K2721" t="s">
        <v>29356</v>
      </c>
      <c r="M2721" t="s">
        <v>30354</v>
      </c>
      <c r="N2721" t="s">
        <v>32524</v>
      </c>
      <c r="O2721" t="s">
        <v>32525</v>
      </c>
      <c r="P2721">
        <v>0</v>
      </c>
      <c r="Q2721">
        <v>2</v>
      </c>
      <c r="R2721" t="s">
        <v>32527</v>
      </c>
      <c r="S2721" t="s">
        <v>32552</v>
      </c>
      <c r="T2721" t="s">
        <v>33209</v>
      </c>
      <c r="U2721" t="s">
        <v>35941</v>
      </c>
      <c r="W2721" t="s">
        <v>30354</v>
      </c>
      <c r="X2721" t="s">
        <v>32531</v>
      </c>
    </row>
    <row r="2722" spans="1:24">
      <c r="A2722">
        <f>HYPERLINK("https://www.philgeps.gov.ph/GEPSNONPILOT/Tender/SplashBidNoticeAbstractUI.aspx?menuIndex=3&amp;refID=7042611&amp;Result=3","7042611")</f>
        <v>0</v>
      </c>
      <c r="B2722" t="s">
        <v>1007</v>
      </c>
      <c r="C2722" t="s">
        <v>5283</v>
      </c>
      <c r="D2722" t="s">
        <v>12991</v>
      </c>
      <c r="E2722" t="s">
        <v>15549</v>
      </c>
      <c r="F2722" t="s">
        <v>22436</v>
      </c>
      <c r="G2722" t="s">
        <v>22444</v>
      </c>
      <c r="H2722" t="s">
        <v>22452</v>
      </c>
      <c r="I2722" t="s">
        <v>3122</v>
      </c>
      <c r="J2722" t="s">
        <v>24452</v>
      </c>
      <c r="K2722" t="s">
        <v>29398</v>
      </c>
      <c r="M2722" t="s">
        <v>30635</v>
      </c>
      <c r="N2722" t="s">
        <v>32524</v>
      </c>
      <c r="O2722" t="s">
        <v>32525</v>
      </c>
      <c r="P2722">
        <v>0</v>
      </c>
      <c r="Q2722">
        <v>0</v>
      </c>
      <c r="R2722" t="s">
        <v>32527</v>
      </c>
      <c r="S2722" t="s">
        <v>32552</v>
      </c>
      <c r="T2722" t="s">
        <v>33203</v>
      </c>
      <c r="U2722" t="s">
        <v>35942</v>
      </c>
      <c r="W2722" t="s">
        <v>30635</v>
      </c>
      <c r="X2722" t="s">
        <v>32531</v>
      </c>
    </row>
    <row r="2723" spans="1:24">
      <c r="A2723">
        <f>HYPERLINK("https://www.philgeps.gov.ph/GEPSNONPILOT/Tender/SplashBidNoticeAbstractUI.aspx?menuIndex=3&amp;refID=7042741&amp;Result=3","7042741")</f>
        <v>0</v>
      </c>
      <c r="B2723" t="s">
        <v>912</v>
      </c>
      <c r="C2723" t="s">
        <v>5284</v>
      </c>
      <c r="D2723" t="s">
        <v>13073</v>
      </c>
      <c r="E2723" t="s">
        <v>15550</v>
      </c>
      <c r="F2723" t="s">
        <v>22436</v>
      </c>
      <c r="G2723" t="s">
        <v>22443</v>
      </c>
      <c r="H2723" t="s">
        <v>22452</v>
      </c>
      <c r="I2723" t="s">
        <v>22469</v>
      </c>
      <c r="J2723" t="s">
        <v>23097</v>
      </c>
      <c r="K2723" t="s">
        <v>29331</v>
      </c>
      <c r="M2723" t="s">
        <v>30526</v>
      </c>
      <c r="N2723" t="s">
        <v>32524</v>
      </c>
      <c r="O2723" t="s">
        <v>32525</v>
      </c>
      <c r="P2723">
        <v>0</v>
      </c>
      <c r="Q2723">
        <v>1</v>
      </c>
      <c r="R2723" t="s">
        <v>32527</v>
      </c>
      <c r="S2723" t="s">
        <v>32552</v>
      </c>
      <c r="T2723" t="s">
        <v>33209</v>
      </c>
      <c r="U2723" t="s">
        <v>35943</v>
      </c>
      <c r="W2723" t="s">
        <v>30526</v>
      </c>
      <c r="X2723" t="s">
        <v>32531</v>
      </c>
    </row>
    <row r="2724" spans="1:24">
      <c r="A2724">
        <f>HYPERLINK("https://www.philgeps.gov.ph/GEPSNONPILOT/Tender/SplashBidNoticeAbstractUI.aspx?menuIndex=3&amp;refID=7042596&amp;Result=3","7042596")</f>
        <v>0</v>
      </c>
      <c r="B2724" t="s">
        <v>1007</v>
      </c>
      <c r="C2724" t="s">
        <v>5285</v>
      </c>
      <c r="D2724" t="s">
        <v>12991</v>
      </c>
      <c r="E2724" t="s">
        <v>15551</v>
      </c>
      <c r="F2724" t="s">
        <v>22436</v>
      </c>
      <c r="G2724" t="s">
        <v>22444</v>
      </c>
      <c r="H2724" t="s">
        <v>22452</v>
      </c>
      <c r="I2724" t="s">
        <v>22461</v>
      </c>
      <c r="J2724" t="s">
        <v>24453</v>
      </c>
      <c r="K2724" t="s">
        <v>29341</v>
      </c>
      <c r="M2724" t="s">
        <v>30635</v>
      </c>
      <c r="N2724" t="s">
        <v>32524</v>
      </c>
      <c r="O2724" t="s">
        <v>32525</v>
      </c>
      <c r="P2724">
        <v>0</v>
      </c>
      <c r="Q2724">
        <v>0</v>
      </c>
      <c r="R2724" t="s">
        <v>32527</v>
      </c>
      <c r="S2724" t="s">
        <v>32552</v>
      </c>
      <c r="T2724" t="s">
        <v>33203</v>
      </c>
      <c r="U2724" t="s">
        <v>35944</v>
      </c>
      <c r="W2724" t="s">
        <v>30635</v>
      </c>
      <c r="X2724" t="s">
        <v>32531</v>
      </c>
    </row>
    <row r="2725" spans="1:24">
      <c r="A2725">
        <f>HYPERLINK("https://www.philgeps.gov.ph/GEPSNONPILOT/Tender/SplashBidNoticeAbstractUI.aspx?menuIndex=3&amp;refID=7042809&amp;Result=3","7042809")</f>
        <v>0</v>
      </c>
      <c r="B2725" t="s">
        <v>1022</v>
      </c>
      <c r="C2725" t="s">
        <v>5286</v>
      </c>
      <c r="D2725" t="s">
        <v>13006</v>
      </c>
      <c r="E2725" t="s">
        <v>15552</v>
      </c>
      <c r="F2725" t="s">
        <v>22436</v>
      </c>
      <c r="G2725" t="s">
        <v>22444</v>
      </c>
      <c r="H2725" t="s">
        <v>22452</v>
      </c>
      <c r="I2725" t="s">
        <v>22518</v>
      </c>
      <c r="J2725" t="s">
        <v>24454</v>
      </c>
      <c r="K2725" t="s">
        <v>29331</v>
      </c>
      <c r="M2725" t="s">
        <v>30650</v>
      </c>
      <c r="N2725" t="s">
        <v>32524</v>
      </c>
      <c r="O2725" t="s">
        <v>32525</v>
      </c>
      <c r="P2725">
        <v>0</v>
      </c>
      <c r="Q2725">
        <v>6</v>
      </c>
      <c r="R2725" t="s">
        <v>32527</v>
      </c>
      <c r="S2725" t="s">
        <v>32552</v>
      </c>
      <c r="T2725" t="s">
        <v>33230</v>
      </c>
      <c r="U2725" t="s">
        <v>35945</v>
      </c>
      <c r="V2725" t="s">
        <v>42689</v>
      </c>
      <c r="W2725" t="s">
        <v>30650</v>
      </c>
      <c r="X2725" t="s">
        <v>32531</v>
      </c>
    </row>
    <row r="2726" spans="1:24">
      <c r="A2726">
        <f>HYPERLINK("https://www.philgeps.gov.ph/GEPSNONPILOT/Tender/SplashBidNoticeAbstractUI.aspx?menuIndex=3&amp;refID=7042725&amp;Result=3","7042725")</f>
        <v>0</v>
      </c>
      <c r="B2726" t="s">
        <v>90</v>
      </c>
      <c r="C2726" t="s">
        <v>5287</v>
      </c>
      <c r="D2726" t="s">
        <v>13026</v>
      </c>
      <c r="E2726" t="s">
        <v>15553</v>
      </c>
      <c r="F2726" t="s">
        <v>22436</v>
      </c>
      <c r="G2726" t="s">
        <v>22443</v>
      </c>
      <c r="H2726" t="s">
        <v>22452</v>
      </c>
      <c r="I2726" t="s">
        <v>2981</v>
      </c>
      <c r="J2726" t="s">
        <v>22743</v>
      </c>
      <c r="K2726" t="s">
        <v>29331</v>
      </c>
      <c r="M2726" t="s">
        <v>29662</v>
      </c>
      <c r="N2726" t="s">
        <v>32524</v>
      </c>
      <c r="O2726" t="s">
        <v>32525</v>
      </c>
      <c r="P2726">
        <v>0</v>
      </c>
      <c r="Q2726">
        <v>1</v>
      </c>
      <c r="R2726" t="s">
        <v>32527</v>
      </c>
      <c r="S2726" t="s">
        <v>32552</v>
      </c>
      <c r="T2726" t="s">
        <v>33220</v>
      </c>
      <c r="U2726" t="s">
        <v>35946</v>
      </c>
      <c r="W2726" t="s">
        <v>29662</v>
      </c>
      <c r="X2726" t="s">
        <v>32531</v>
      </c>
    </row>
    <row r="2727" spans="1:24">
      <c r="A2727">
        <f>HYPERLINK("https://www.philgeps.gov.ph/GEPSNONPILOT/Tender/SplashBidNoticeAbstractUI.aspx?menuIndex=3&amp;refID=7042746&amp;Result=3","7042746")</f>
        <v>0</v>
      </c>
      <c r="B2727" t="s">
        <v>753</v>
      </c>
      <c r="C2727" t="s">
        <v>5288</v>
      </c>
      <c r="D2727" t="s">
        <v>13040</v>
      </c>
      <c r="E2727" t="s">
        <v>15554</v>
      </c>
      <c r="F2727" t="s">
        <v>22436</v>
      </c>
      <c r="G2727" t="s">
        <v>22443</v>
      </c>
      <c r="H2727" t="s">
        <v>22452</v>
      </c>
      <c r="I2727" t="s">
        <v>22484</v>
      </c>
      <c r="J2727" t="s">
        <v>24455</v>
      </c>
      <c r="K2727" t="s">
        <v>29356</v>
      </c>
      <c r="M2727" t="s">
        <v>30354</v>
      </c>
      <c r="N2727" t="s">
        <v>32524</v>
      </c>
      <c r="O2727" t="s">
        <v>32525</v>
      </c>
      <c r="P2727">
        <v>0</v>
      </c>
      <c r="Q2727">
        <v>3</v>
      </c>
      <c r="R2727" t="s">
        <v>32527</v>
      </c>
      <c r="S2727" t="s">
        <v>32552</v>
      </c>
      <c r="T2727" t="s">
        <v>33209</v>
      </c>
      <c r="U2727" t="s">
        <v>35947</v>
      </c>
      <c r="W2727" t="s">
        <v>30354</v>
      </c>
      <c r="X2727" t="s">
        <v>32531</v>
      </c>
    </row>
    <row r="2728" spans="1:24">
      <c r="A2728">
        <f>HYPERLINK("https://www.philgeps.gov.ph/GEPSNONPILOT/Tender/SplashBidNoticeAbstractUI.aspx?menuIndex=3&amp;refID=7042860&amp;Result=3","7042860")</f>
        <v>0</v>
      </c>
      <c r="B2728" t="s">
        <v>834</v>
      </c>
      <c r="C2728" t="s">
        <v>5289</v>
      </c>
      <c r="E2728" t="s">
        <v>15555</v>
      </c>
      <c r="F2728" t="s">
        <v>22436</v>
      </c>
      <c r="G2728" t="s">
        <v>22444</v>
      </c>
      <c r="H2728" t="s">
        <v>22452</v>
      </c>
      <c r="I2728" t="s">
        <v>22484</v>
      </c>
      <c r="J2728" t="s">
        <v>23365</v>
      </c>
      <c r="K2728" t="s">
        <v>29338</v>
      </c>
      <c r="M2728" t="s">
        <v>30651</v>
      </c>
      <c r="N2728" t="s">
        <v>32524</v>
      </c>
      <c r="O2728" t="s">
        <v>32525</v>
      </c>
      <c r="P2728">
        <v>0</v>
      </c>
      <c r="Q2728">
        <v>8</v>
      </c>
      <c r="R2728" t="s">
        <v>32527</v>
      </c>
      <c r="S2728" t="s">
        <v>32552</v>
      </c>
      <c r="T2728" t="s">
        <v>33291</v>
      </c>
      <c r="U2728" t="s">
        <v>35695</v>
      </c>
      <c r="W2728" t="s">
        <v>30651</v>
      </c>
      <c r="X2728" t="s">
        <v>32531</v>
      </c>
    </row>
    <row r="2729" spans="1:24">
      <c r="A2729">
        <f>HYPERLINK("https://www.philgeps.gov.ph/GEPSNONPILOT/Tender/SplashBidNoticeAbstractUI.aspx?menuIndex=3&amp;refID=7042785&amp;Result=3","7042785")</f>
        <v>0</v>
      </c>
      <c r="B2729" t="s">
        <v>90</v>
      </c>
      <c r="C2729" t="s">
        <v>5290</v>
      </c>
      <c r="E2729" t="s">
        <v>15556</v>
      </c>
      <c r="F2729" t="s">
        <v>22436</v>
      </c>
      <c r="G2729" t="s">
        <v>22443</v>
      </c>
      <c r="H2729" t="s">
        <v>22452</v>
      </c>
      <c r="I2729" t="s">
        <v>2981</v>
      </c>
      <c r="J2729" t="s">
        <v>24456</v>
      </c>
      <c r="K2729" t="s">
        <v>29331</v>
      </c>
      <c r="N2729" t="s">
        <v>32524</v>
      </c>
      <c r="O2729" t="s">
        <v>32525</v>
      </c>
      <c r="P2729">
        <v>0</v>
      </c>
      <c r="Q2729">
        <v>3</v>
      </c>
      <c r="R2729" t="s">
        <v>32527</v>
      </c>
      <c r="S2729" t="s">
        <v>32552</v>
      </c>
      <c r="T2729" t="s">
        <v>33220</v>
      </c>
      <c r="U2729" t="s">
        <v>35948</v>
      </c>
      <c r="W2729" t="s">
        <v>29662</v>
      </c>
      <c r="X2729" t="s">
        <v>32531</v>
      </c>
    </row>
    <row r="2730" spans="1:24">
      <c r="A2730">
        <f>HYPERLINK("https://www.philgeps.gov.ph/GEPSNONPILOT/Tender/SplashBidNoticeAbstractUI.aspx?menuIndex=3&amp;refID=7042866&amp;Result=3","7042866")</f>
        <v>0</v>
      </c>
      <c r="B2730" t="s">
        <v>36</v>
      </c>
      <c r="C2730" t="s">
        <v>2981</v>
      </c>
      <c r="D2730" t="s">
        <v>12998</v>
      </c>
      <c r="E2730" t="s">
        <v>15557</v>
      </c>
      <c r="F2730" t="s">
        <v>22436</v>
      </c>
      <c r="G2730" t="s">
        <v>22443</v>
      </c>
      <c r="H2730" t="s">
        <v>22452</v>
      </c>
      <c r="I2730" t="s">
        <v>2981</v>
      </c>
      <c r="J2730" t="s">
        <v>24457</v>
      </c>
      <c r="K2730" t="s">
        <v>29335</v>
      </c>
      <c r="M2730" t="s">
        <v>29606</v>
      </c>
      <c r="N2730" t="s">
        <v>32524</v>
      </c>
      <c r="O2730" t="s">
        <v>32525</v>
      </c>
      <c r="P2730">
        <v>0</v>
      </c>
      <c r="Q2730">
        <v>0</v>
      </c>
      <c r="R2730" t="s">
        <v>32527</v>
      </c>
      <c r="S2730" t="s">
        <v>32552</v>
      </c>
      <c r="T2730" t="s">
        <v>33351</v>
      </c>
      <c r="U2730" t="s">
        <v>35949</v>
      </c>
      <c r="W2730" t="s">
        <v>29606</v>
      </c>
      <c r="X2730" t="s">
        <v>32531</v>
      </c>
    </row>
    <row r="2731" spans="1:24">
      <c r="A2731">
        <f>HYPERLINK("https://www.philgeps.gov.ph/GEPSNONPILOT/Tender/SplashBidNoticeAbstractUI.aspx?menuIndex=3&amp;refID=7042863&amp;Result=3","7042863")</f>
        <v>0</v>
      </c>
      <c r="B2731" t="s">
        <v>1022</v>
      </c>
      <c r="C2731" t="s">
        <v>5291</v>
      </c>
      <c r="D2731" t="s">
        <v>13006</v>
      </c>
      <c r="E2731" t="s">
        <v>15558</v>
      </c>
      <c r="F2731" t="s">
        <v>22436</v>
      </c>
      <c r="G2731" t="s">
        <v>22444</v>
      </c>
      <c r="H2731" t="s">
        <v>22452</v>
      </c>
      <c r="I2731" t="s">
        <v>22464</v>
      </c>
      <c r="J2731" t="s">
        <v>24458</v>
      </c>
      <c r="K2731" t="s">
        <v>29337</v>
      </c>
      <c r="M2731" t="s">
        <v>30650</v>
      </c>
      <c r="N2731" t="s">
        <v>32524</v>
      </c>
      <c r="O2731" t="s">
        <v>32525</v>
      </c>
      <c r="P2731">
        <v>0</v>
      </c>
      <c r="Q2731">
        <v>3</v>
      </c>
      <c r="R2731" t="s">
        <v>32527</v>
      </c>
      <c r="S2731" t="s">
        <v>32552</v>
      </c>
      <c r="T2731" t="s">
        <v>33230</v>
      </c>
      <c r="U2731" t="s">
        <v>35950</v>
      </c>
      <c r="V2731" t="s">
        <v>42690</v>
      </c>
      <c r="W2731" t="s">
        <v>30650</v>
      </c>
      <c r="X2731" t="s">
        <v>32531</v>
      </c>
    </row>
    <row r="2732" spans="1:24">
      <c r="A2732">
        <f>HYPERLINK("https://www.philgeps.gov.ph/GEPSNONPILOT/Tender/SplashBidNoticeAbstractUI.aspx?menuIndex=3&amp;refID=7042754&amp;Result=3","7042754")</f>
        <v>0</v>
      </c>
      <c r="B2732" t="s">
        <v>90</v>
      </c>
      <c r="C2732" t="s">
        <v>5252</v>
      </c>
      <c r="D2732" t="s">
        <v>13026</v>
      </c>
      <c r="E2732" t="s">
        <v>15559</v>
      </c>
      <c r="F2732" t="s">
        <v>22436</v>
      </c>
      <c r="G2732" t="s">
        <v>22443</v>
      </c>
      <c r="H2732" t="s">
        <v>22452</v>
      </c>
      <c r="I2732" t="s">
        <v>2981</v>
      </c>
      <c r="J2732" t="s">
        <v>22971</v>
      </c>
      <c r="K2732" t="s">
        <v>29331</v>
      </c>
      <c r="M2732" t="s">
        <v>29662</v>
      </c>
      <c r="N2732" t="s">
        <v>32524</v>
      </c>
      <c r="O2732" t="s">
        <v>32525</v>
      </c>
      <c r="P2732">
        <v>0</v>
      </c>
      <c r="Q2732">
        <v>3</v>
      </c>
      <c r="R2732" t="s">
        <v>32527</v>
      </c>
      <c r="S2732" t="s">
        <v>32552</v>
      </c>
      <c r="T2732" t="s">
        <v>33220</v>
      </c>
      <c r="U2732" t="s">
        <v>35951</v>
      </c>
      <c r="W2732" t="s">
        <v>29662</v>
      </c>
      <c r="X2732" t="s">
        <v>32531</v>
      </c>
    </row>
    <row r="2733" spans="1:24">
      <c r="A2733">
        <f>HYPERLINK("https://www.philgeps.gov.ph/GEPSNONPILOT/Tender/SplashBidNoticeAbstractUI.aspx?menuIndex=3&amp;refID=7042857&amp;Result=3","7042857")</f>
        <v>0</v>
      </c>
      <c r="B2733" t="s">
        <v>1023</v>
      </c>
      <c r="C2733" t="s">
        <v>5292</v>
      </c>
      <c r="E2733" t="s">
        <v>15560</v>
      </c>
      <c r="F2733" t="s">
        <v>22436</v>
      </c>
      <c r="G2733" t="s">
        <v>22444</v>
      </c>
      <c r="H2733" t="s">
        <v>22452</v>
      </c>
      <c r="I2733" t="s">
        <v>22515</v>
      </c>
      <c r="J2733" t="s">
        <v>23306</v>
      </c>
      <c r="K2733" t="s">
        <v>29338</v>
      </c>
      <c r="M2733" t="s">
        <v>30652</v>
      </c>
      <c r="N2733" t="s">
        <v>32524</v>
      </c>
      <c r="O2733" t="s">
        <v>32525</v>
      </c>
      <c r="P2733">
        <v>0</v>
      </c>
      <c r="Q2733">
        <v>1</v>
      </c>
      <c r="R2733" t="s">
        <v>32527</v>
      </c>
      <c r="S2733" t="s">
        <v>32552</v>
      </c>
      <c r="T2733" t="s">
        <v>33206</v>
      </c>
      <c r="U2733" t="s">
        <v>35952</v>
      </c>
      <c r="W2733" t="s">
        <v>30652</v>
      </c>
      <c r="X2733" t="s">
        <v>32531</v>
      </c>
    </row>
    <row r="2734" spans="1:24">
      <c r="A2734">
        <f>HYPERLINK("https://www.philgeps.gov.ph/GEPSNONPILOT/Tender/SplashBidNoticeAbstractUI.aspx?menuIndex=3&amp;refID=7042862&amp;Result=3","7042862")</f>
        <v>0</v>
      </c>
      <c r="B2734" t="s">
        <v>1024</v>
      </c>
      <c r="C2734" t="s">
        <v>5293</v>
      </c>
      <c r="E2734" t="s">
        <v>15561</v>
      </c>
      <c r="F2734" t="s">
        <v>22436</v>
      </c>
      <c r="G2734" t="s">
        <v>22444</v>
      </c>
      <c r="H2734" t="s">
        <v>22452</v>
      </c>
      <c r="I2734" t="s">
        <v>22502</v>
      </c>
      <c r="J2734" t="s">
        <v>24459</v>
      </c>
      <c r="K2734" t="s">
        <v>29333</v>
      </c>
      <c r="M2734" t="s">
        <v>30653</v>
      </c>
      <c r="N2734" t="s">
        <v>32524</v>
      </c>
      <c r="O2734" t="s">
        <v>32525</v>
      </c>
      <c r="P2734">
        <v>0</v>
      </c>
      <c r="Q2734">
        <v>39</v>
      </c>
      <c r="R2734" t="s">
        <v>32527</v>
      </c>
      <c r="S2734" t="s">
        <v>32552</v>
      </c>
      <c r="T2734" t="s">
        <v>33378</v>
      </c>
      <c r="U2734" t="s">
        <v>35953</v>
      </c>
      <c r="W2734" t="s">
        <v>30653</v>
      </c>
      <c r="X2734" t="s">
        <v>32531</v>
      </c>
    </row>
    <row r="2735" spans="1:24">
      <c r="A2735">
        <f>HYPERLINK("https://www.philgeps.gov.ph/GEPSNONPILOT/Tender/SplashBidNoticeAbstractUI.aspx?menuIndex=3&amp;refID=7042783&amp;Result=3","7042783")</f>
        <v>0</v>
      </c>
      <c r="B2735" t="s">
        <v>834</v>
      </c>
      <c r="C2735" t="s">
        <v>5294</v>
      </c>
      <c r="E2735" t="s">
        <v>15562</v>
      </c>
      <c r="F2735" t="s">
        <v>22436</v>
      </c>
      <c r="G2735" t="s">
        <v>22444</v>
      </c>
      <c r="H2735" t="s">
        <v>22452</v>
      </c>
      <c r="I2735" t="s">
        <v>22484</v>
      </c>
      <c r="J2735" t="s">
        <v>23066</v>
      </c>
      <c r="K2735" t="s">
        <v>29338</v>
      </c>
      <c r="M2735" t="s">
        <v>30651</v>
      </c>
      <c r="N2735" t="s">
        <v>32524</v>
      </c>
      <c r="O2735" t="s">
        <v>32525</v>
      </c>
      <c r="P2735">
        <v>0</v>
      </c>
      <c r="Q2735">
        <v>11</v>
      </c>
      <c r="R2735" t="s">
        <v>32527</v>
      </c>
      <c r="S2735" t="s">
        <v>32552</v>
      </c>
      <c r="T2735" t="s">
        <v>33291</v>
      </c>
      <c r="U2735" t="s">
        <v>35695</v>
      </c>
      <c r="W2735" t="s">
        <v>30651</v>
      </c>
      <c r="X2735" t="s">
        <v>32531</v>
      </c>
    </row>
    <row r="2736" spans="1:24">
      <c r="A2736">
        <f>HYPERLINK("https://www.philgeps.gov.ph/GEPSNONPILOT/Tender/SplashBidNoticeAbstractUI.aspx?menuIndex=3&amp;refID=7042842&amp;Result=3","7042842")</f>
        <v>0</v>
      </c>
      <c r="B2736" t="s">
        <v>1025</v>
      </c>
      <c r="C2736" t="s">
        <v>5295</v>
      </c>
      <c r="D2736" t="s">
        <v>13022</v>
      </c>
      <c r="E2736" t="s">
        <v>15563</v>
      </c>
      <c r="F2736" t="s">
        <v>22436</v>
      </c>
      <c r="G2736" t="s">
        <v>22444</v>
      </c>
      <c r="H2736" t="s">
        <v>22454</v>
      </c>
      <c r="I2736" t="s">
        <v>7738</v>
      </c>
      <c r="J2736" t="s">
        <v>24460</v>
      </c>
      <c r="K2736" t="s">
        <v>29339</v>
      </c>
      <c r="M2736" t="s">
        <v>30654</v>
      </c>
      <c r="N2736" t="s">
        <v>32524</v>
      </c>
      <c r="O2736" t="s">
        <v>32525</v>
      </c>
      <c r="P2736">
        <v>0</v>
      </c>
      <c r="Q2736">
        <v>0</v>
      </c>
      <c r="R2736" t="s">
        <v>32527</v>
      </c>
      <c r="S2736" t="s">
        <v>32552</v>
      </c>
      <c r="T2736" t="s">
        <v>33335</v>
      </c>
      <c r="U2736" t="s">
        <v>35954</v>
      </c>
      <c r="W2736" t="s">
        <v>30654</v>
      </c>
      <c r="X2736" t="s">
        <v>32531</v>
      </c>
    </row>
    <row r="2737" spans="1:24">
      <c r="A2737">
        <f>HYPERLINK("https://www.philgeps.gov.ph/GEPSNONPILOT/Tender/SplashBidNoticeAbstractUI.aspx?menuIndex=3&amp;refID=7042831&amp;Result=3","7042831")</f>
        <v>0</v>
      </c>
      <c r="B2737" t="s">
        <v>1021</v>
      </c>
      <c r="C2737" t="s">
        <v>5296</v>
      </c>
      <c r="D2737" t="s">
        <v>13020</v>
      </c>
      <c r="E2737" t="s">
        <v>15564</v>
      </c>
      <c r="F2737" t="s">
        <v>22436</v>
      </c>
      <c r="G2737" t="s">
        <v>22443</v>
      </c>
      <c r="H2737" t="s">
        <v>22452</v>
      </c>
      <c r="I2737" t="s">
        <v>6421</v>
      </c>
      <c r="J2737" t="s">
        <v>24461</v>
      </c>
      <c r="K2737" t="s">
        <v>29341</v>
      </c>
      <c r="M2737" t="s">
        <v>30649</v>
      </c>
      <c r="N2737" t="s">
        <v>32524</v>
      </c>
      <c r="O2737" t="s">
        <v>32525</v>
      </c>
      <c r="P2737">
        <v>0</v>
      </c>
      <c r="Q2737">
        <v>3</v>
      </c>
      <c r="R2737" t="s">
        <v>32527</v>
      </c>
      <c r="S2737" t="s">
        <v>32552</v>
      </c>
      <c r="T2737" t="s">
        <v>33220</v>
      </c>
      <c r="U2737" t="s">
        <v>35955</v>
      </c>
      <c r="W2737" t="s">
        <v>43703</v>
      </c>
      <c r="X2737" t="s">
        <v>32531</v>
      </c>
    </row>
    <row r="2738" spans="1:24">
      <c r="A2738">
        <f>HYPERLINK("https://www.philgeps.gov.ph/GEPSNONPILOT/Tender/SplashBidNoticeAbstractUI.aspx?menuIndex=3&amp;refID=7042753&amp;Result=3","7042753")</f>
        <v>0</v>
      </c>
      <c r="B2738" t="s">
        <v>834</v>
      </c>
      <c r="C2738" t="s">
        <v>5297</v>
      </c>
      <c r="E2738" t="s">
        <v>15565</v>
      </c>
      <c r="F2738" t="s">
        <v>22436</v>
      </c>
      <c r="G2738" t="s">
        <v>22444</v>
      </c>
      <c r="H2738" t="s">
        <v>22452</v>
      </c>
      <c r="I2738" t="s">
        <v>22484</v>
      </c>
      <c r="J2738" t="s">
        <v>23202</v>
      </c>
      <c r="K2738" t="s">
        <v>29338</v>
      </c>
      <c r="M2738" t="s">
        <v>30440</v>
      </c>
      <c r="N2738" t="s">
        <v>32524</v>
      </c>
      <c r="O2738" t="s">
        <v>32525</v>
      </c>
      <c r="P2738">
        <v>0</v>
      </c>
      <c r="Q2738">
        <v>13</v>
      </c>
      <c r="R2738" t="s">
        <v>32527</v>
      </c>
      <c r="S2738" t="s">
        <v>32552</v>
      </c>
      <c r="T2738" t="s">
        <v>33157</v>
      </c>
      <c r="U2738" t="s">
        <v>35695</v>
      </c>
      <c r="W2738" t="s">
        <v>30440</v>
      </c>
      <c r="X2738" t="s">
        <v>32531</v>
      </c>
    </row>
    <row r="2739" spans="1:24">
      <c r="A2739">
        <f>HYPERLINK("https://www.philgeps.gov.ph/GEPSNONPILOT/Tender/SplashBidNoticeAbstractUI.aspx?menuIndex=3&amp;refID=7042856&amp;Result=3","7042856")</f>
        <v>0</v>
      </c>
      <c r="B2739" t="s">
        <v>1025</v>
      </c>
      <c r="C2739" t="s">
        <v>5298</v>
      </c>
      <c r="D2739" t="s">
        <v>13022</v>
      </c>
      <c r="E2739" t="s">
        <v>15566</v>
      </c>
      <c r="F2739" t="s">
        <v>22436</v>
      </c>
      <c r="G2739" t="s">
        <v>22444</v>
      </c>
      <c r="H2739" t="s">
        <v>22454</v>
      </c>
      <c r="I2739" t="s">
        <v>7738</v>
      </c>
      <c r="J2739" t="s">
        <v>24462</v>
      </c>
      <c r="K2739" t="s">
        <v>29339</v>
      </c>
      <c r="M2739" t="s">
        <v>30654</v>
      </c>
      <c r="N2739" t="s">
        <v>32524</v>
      </c>
      <c r="O2739" t="s">
        <v>32525</v>
      </c>
      <c r="P2739">
        <v>0</v>
      </c>
      <c r="Q2739">
        <v>0</v>
      </c>
      <c r="R2739" t="s">
        <v>32527</v>
      </c>
      <c r="S2739" t="s">
        <v>32552</v>
      </c>
      <c r="T2739" t="s">
        <v>33335</v>
      </c>
      <c r="U2739" t="s">
        <v>35956</v>
      </c>
      <c r="W2739" t="s">
        <v>30654</v>
      </c>
      <c r="X2739" t="s">
        <v>32531</v>
      </c>
    </row>
    <row r="2740" spans="1:24">
      <c r="A2740">
        <f>HYPERLINK("https://www.philgeps.gov.ph/GEPSNONPILOT/Tender/SplashBidNoticeAbstractUI.aspx?menuIndex=3&amp;refID=7042839&amp;Result=3","7042839")</f>
        <v>0</v>
      </c>
      <c r="B2740" t="s">
        <v>36</v>
      </c>
      <c r="C2740" t="s">
        <v>2981</v>
      </c>
      <c r="D2740" t="s">
        <v>12998</v>
      </c>
      <c r="E2740" t="s">
        <v>15567</v>
      </c>
      <c r="F2740" t="s">
        <v>22436</v>
      </c>
      <c r="G2740" t="s">
        <v>22443</v>
      </c>
      <c r="H2740" t="s">
        <v>22452</v>
      </c>
      <c r="I2740" t="s">
        <v>2981</v>
      </c>
      <c r="J2740" t="s">
        <v>24463</v>
      </c>
      <c r="K2740" t="s">
        <v>29335</v>
      </c>
      <c r="M2740" t="s">
        <v>29606</v>
      </c>
      <c r="N2740" t="s">
        <v>32524</v>
      </c>
      <c r="O2740" t="s">
        <v>32525</v>
      </c>
      <c r="P2740">
        <v>0</v>
      </c>
      <c r="Q2740">
        <v>0</v>
      </c>
      <c r="R2740" t="s">
        <v>32527</v>
      </c>
      <c r="S2740" t="s">
        <v>32552</v>
      </c>
      <c r="T2740" t="s">
        <v>33351</v>
      </c>
      <c r="U2740" t="s">
        <v>35957</v>
      </c>
      <c r="W2740" t="s">
        <v>29606</v>
      </c>
      <c r="X2740" t="s">
        <v>32531</v>
      </c>
    </row>
    <row r="2741" spans="1:24">
      <c r="A2741">
        <f>HYPERLINK("https://www.philgeps.gov.ph/GEPSNONPILOT/Tender/SplashBidNoticeAbstractUI.aspx?menuIndex=3&amp;refID=7042867&amp;Result=3","7042867")</f>
        <v>0</v>
      </c>
      <c r="B2741" t="s">
        <v>1023</v>
      </c>
      <c r="C2741" t="s">
        <v>5299</v>
      </c>
      <c r="E2741" t="s">
        <v>15568</v>
      </c>
      <c r="F2741" t="s">
        <v>22436</v>
      </c>
      <c r="G2741" t="s">
        <v>22444</v>
      </c>
      <c r="H2741" t="s">
        <v>22452</v>
      </c>
      <c r="I2741" t="s">
        <v>22515</v>
      </c>
      <c r="J2741" t="s">
        <v>22960</v>
      </c>
      <c r="K2741" t="s">
        <v>29338</v>
      </c>
      <c r="M2741" t="s">
        <v>30652</v>
      </c>
      <c r="N2741" t="s">
        <v>32524</v>
      </c>
      <c r="O2741" t="s">
        <v>32525</v>
      </c>
      <c r="P2741">
        <v>0</v>
      </c>
      <c r="Q2741">
        <v>4</v>
      </c>
      <c r="R2741" t="s">
        <v>32527</v>
      </c>
      <c r="S2741" t="s">
        <v>32552</v>
      </c>
      <c r="T2741" t="s">
        <v>33206</v>
      </c>
      <c r="U2741" t="s">
        <v>35958</v>
      </c>
      <c r="W2741" t="s">
        <v>30652</v>
      </c>
      <c r="X2741" t="s">
        <v>32531</v>
      </c>
    </row>
    <row r="2742" spans="1:24">
      <c r="A2742">
        <f>HYPERLINK("https://www.philgeps.gov.ph/GEPSNONPILOT/Tender/SplashBidNoticeAbstractUI.aspx?menuIndex=3&amp;refID=7042871&amp;Result=3","7042871")</f>
        <v>0</v>
      </c>
      <c r="B2742" t="s">
        <v>1025</v>
      </c>
      <c r="C2742" t="s">
        <v>5300</v>
      </c>
      <c r="D2742" t="s">
        <v>13022</v>
      </c>
      <c r="E2742" t="s">
        <v>15569</v>
      </c>
      <c r="F2742" t="s">
        <v>22436</v>
      </c>
      <c r="G2742" t="s">
        <v>22444</v>
      </c>
      <c r="H2742" t="s">
        <v>22454</v>
      </c>
      <c r="I2742" t="s">
        <v>7738</v>
      </c>
      <c r="J2742" t="s">
        <v>24464</v>
      </c>
      <c r="K2742" t="s">
        <v>29344</v>
      </c>
      <c r="M2742" t="s">
        <v>30654</v>
      </c>
      <c r="N2742" t="s">
        <v>32524</v>
      </c>
      <c r="O2742" t="s">
        <v>32525</v>
      </c>
      <c r="P2742">
        <v>0</v>
      </c>
      <c r="Q2742">
        <v>0</v>
      </c>
      <c r="R2742" t="s">
        <v>32527</v>
      </c>
      <c r="S2742" t="s">
        <v>32552</v>
      </c>
      <c r="T2742" t="s">
        <v>33335</v>
      </c>
      <c r="U2742" t="s">
        <v>35959</v>
      </c>
      <c r="W2742" t="s">
        <v>30654</v>
      </c>
      <c r="X2742" t="s">
        <v>32531</v>
      </c>
    </row>
    <row r="2743" spans="1:24">
      <c r="A2743">
        <f>HYPERLINK("https://www.philgeps.gov.ph/GEPSNONPILOT/Tender/SplashBidNoticeAbstractUI.aspx?menuIndex=3&amp;refID=7042960&amp;Result=3","7042960")</f>
        <v>0</v>
      </c>
      <c r="B2743" t="s">
        <v>827</v>
      </c>
      <c r="C2743" t="s">
        <v>5301</v>
      </c>
      <c r="D2743" t="s">
        <v>12988</v>
      </c>
      <c r="E2743" t="s">
        <v>15570</v>
      </c>
      <c r="F2743" t="s">
        <v>22436</v>
      </c>
      <c r="G2743" t="s">
        <v>22444</v>
      </c>
      <c r="H2743" t="s">
        <v>22452</v>
      </c>
      <c r="I2743" t="s">
        <v>22484</v>
      </c>
      <c r="J2743" t="s">
        <v>22960</v>
      </c>
      <c r="K2743" t="s">
        <v>29334</v>
      </c>
      <c r="M2743" t="s">
        <v>30433</v>
      </c>
      <c r="N2743" t="s">
        <v>32524</v>
      </c>
      <c r="O2743" t="s">
        <v>32525</v>
      </c>
      <c r="P2743">
        <v>0</v>
      </c>
      <c r="Q2743">
        <v>14</v>
      </c>
      <c r="R2743" t="s">
        <v>32527</v>
      </c>
      <c r="S2743" t="s">
        <v>32552</v>
      </c>
      <c r="T2743" t="s">
        <v>33205</v>
      </c>
      <c r="U2743" t="s">
        <v>35960</v>
      </c>
      <c r="W2743" t="s">
        <v>30433</v>
      </c>
      <c r="X2743" t="s">
        <v>32531</v>
      </c>
    </row>
    <row r="2744" spans="1:24">
      <c r="A2744">
        <f>HYPERLINK("https://www.philgeps.gov.ph/GEPSNONPILOT/Tender/SplashBidNoticeAbstractUI.aspx?menuIndex=3&amp;refID=7042905&amp;Result=3","7042905")</f>
        <v>0</v>
      </c>
      <c r="B2744" t="s">
        <v>192</v>
      </c>
      <c r="C2744" t="s">
        <v>5302</v>
      </c>
      <c r="D2744" t="s">
        <v>13048</v>
      </c>
      <c r="E2744" t="s">
        <v>15571</v>
      </c>
      <c r="F2744" t="s">
        <v>22436</v>
      </c>
      <c r="G2744" t="s">
        <v>22443</v>
      </c>
      <c r="H2744" t="s">
        <v>22452</v>
      </c>
      <c r="I2744" t="s">
        <v>22467</v>
      </c>
      <c r="J2744" t="s">
        <v>23979</v>
      </c>
      <c r="K2744" t="s">
        <v>29338</v>
      </c>
      <c r="M2744" t="s">
        <v>29765</v>
      </c>
      <c r="N2744" t="s">
        <v>32524</v>
      </c>
      <c r="O2744" t="s">
        <v>32525</v>
      </c>
      <c r="P2744">
        <v>0</v>
      </c>
      <c r="Q2744">
        <v>0</v>
      </c>
      <c r="R2744" t="s">
        <v>32527</v>
      </c>
      <c r="S2744" t="s">
        <v>32552</v>
      </c>
      <c r="T2744" t="s">
        <v>33367</v>
      </c>
      <c r="U2744" t="s">
        <v>35961</v>
      </c>
      <c r="W2744" t="s">
        <v>29765</v>
      </c>
      <c r="X2744" t="s">
        <v>32531</v>
      </c>
    </row>
    <row r="2745" spans="1:24">
      <c r="A2745">
        <f>HYPERLINK("https://www.philgeps.gov.ph/GEPSNONPILOT/Tender/SplashBidNoticeAbstractUI.aspx?menuIndex=3&amp;refID=7042907&amp;Result=3","7042907")</f>
        <v>0</v>
      </c>
      <c r="B2745" t="s">
        <v>834</v>
      </c>
      <c r="C2745" t="s">
        <v>5303</v>
      </c>
      <c r="E2745" t="s">
        <v>15572</v>
      </c>
      <c r="F2745" t="s">
        <v>22436</v>
      </c>
      <c r="G2745" t="s">
        <v>22444</v>
      </c>
      <c r="H2745" t="s">
        <v>22452</v>
      </c>
      <c r="I2745" t="s">
        <v>22484</v>
      </c>
      <c r="J2745" t="s">
        <v>23327</v>
      </c>
      <c r="K2745" t="s">
        <v>29338</v>
      </c>
      <c r="M2745" t="s">
        <v>30651</v>
      </c>
      <c r="N2745" t="s">
        <v>32524</v>
      </c>
      <c r="O2745" t="s">
        <v>32525</v>
      </c>
      <c r="P2745">
        <v>0</v>
      </c>
      <c r="Q2745">
        <v>9</v>
      </c>
      <c r="R2745" t="s">
        <v>32527</v>
      </c>
      <c r="S2745" t="s">
        <v>32552</v>
      </c>
      <c r="T2745" t="s">
        <v>33291</v>
      </c>
      <c r="U2745" t="s">
        <v>35695</v>
      </c>
      <c r="W2745" t="s">
        <v>30651</v>
      </c>
      <c r="X2745" t="s">
        <v>32531</v>
      </c>
    </row>
    <row r="2746" spans="1:24">
      <c r="A2746">
        <f>HYPERLINK("https://www.philgeps.gov.ph/GEPSNONPILOT/Tender/SplashBidNoticeAbstractUI.aspx?menuIndex=3&amp;refID=7042938&amp;Result=3","7042938")</f>
        <v>0</v>
      </c>
      <c r="B2746" t="s">
        <v>827</v>
      </c>
      <c r="C2746" t="s">
        <v>5304</v>
      </c>
      <c r="D2746" t="s">
        <v>12988</v>
      </c>
      <c r="E2746" t="s">
        <v>15573</v>
      </c>
      <c r="F2746" t="s">
        <v>22436</v>
      </c>
      <c r="G2746" t="s">
        <v>22444</v>
      </c>
      <c r="H2746" t="s">
        <v>22452</v>
      </c>
      <c r="I2746" t="s">
        <v>22484</v>
      </c>
      <c r="J2746" t="s">
        <v>23835</v>
      </c>
      <c r="K2746" t="s">
        <v>29334</v>
      </c>
      <c r="M2746" t="s">
        <v>30433</v>
      </c>
      <c r="N2746" t="s">
        <v>32524</v>
      </c>
      <c r="O2746" t="s">
        <v>32525</v>
      </c>
      <c r="P2746">
        <v>0</v>
      </c>
      <c r="Q2746">
        <v>10</v>
      </c>
      <c r="R2746" t="s">
        <v>32527</v>
      </c>
      <c r="S2746" t="s">
        <v>32552</v>
      </c>
      <c r="T2746" t="s">
        <v>33165</v>
      </c>
      <c r="U2746" t="s">
        <v>35962</v>
      </c>
      <c r="W2746" t="s">
        <v>30433</v>
      </c>
      <c r="X2746" t="s">
        <v>32531</v>
      </c>
    </row>
    <row r="2747" spans="1:24">
      <c r="A2747">
        <f>HYPERLINK("https://www.philgeps.gov.ph/GEPSNONPILOT/Tender/SplashBidNoticeAbstractUI.aspx?menuIndex=3&amp;refID=7042889&amp;Result=3","7042889")</f>
        <v>0</v>
      </c>
      <c r="B2747" t="s">
        <v>834</v>
      </c>
      <c r="C2747" t="s">
        <v>5305</v>
      </c>
      <c r="E2747" t="s">
        <v>15574</v>
      </c>
      <c r="F2747" t="s">
        <v>22436</v>
      </c>
      <c r="G2747" t="s">
        <v>22444</v>
      </c>
      <c r="H2747" t="s">
        <v>22452</v>
      </c>
      <c r="I2747" t="s">
        <v>22484</v>
      </c>
      <c r="J2747" t="s">
        <v>23093</v>
      </c>
      <c r="K2747" t="s">
        <v>29338</v>
      </c>
      <c r="M2747" t="s">
        <v>30651</v>
      </c>
      <c r="N2747" t="s">
        <v>32524</v>
      </c>
      <c r="O2747" t="s">
        <v>32525</v>
      </c>
      <c r="P2747">
        <v>0</v>
      </c>
      <c r="Q2747">
        <v>8</v>
      </c>
      <c r="R2747" t="s">
        <v>32527</v>
      </c>
      <c r="S2747" t="s">
        <v>32552</v>
      </c>
      <c r="T2747" t="s">
        <v>33291</v>
      </c>
      <c r="U2747" t="s">
        <v>35695</v>
      </c>
      <c r="W2747" t="s">
        <v>30651</v>
      </c>
      <c r="X2747" t="s">
        <v>32531</v>
      </c>
    </row>
    <row r="2748" spans="1:24">
      <c r="A2748">
        <f>HYPERLINK("https://www.philgeps.gov.ph/GEPSNONPILOT/Tender/SplashBidNoticeAbstractUI.aspx?menuIndex=3&amp;refID=7042892&amp;Result=3","7042892")</f>
        <v>0</v>
      </c>
      <c r="B2748" t="s">
        <v>1024</v>
      </c>
      <c r="C2748" t="s">
        <v>5293</v>
      </c>
      <c r="E2748" t="s">
        <v>15575</v>
      </c>
      <c r="F2748" t="s">
        <v>22436</v>
      </c>
      <c r="G2748" t="s">
        <v>22444</v>
      </c>
      <c r="H2748" t="s">
        <v>22452</v>
      </c>
      <c r="I2748" t="s">
        <v>22502</v>
      </c>
      <c r="J2748" t="s">
        <v>24465</v>
      </c>
      <c r="K2748" t="s">
        <v>29333</v>
      </c>
      <c r="M2748" t="s">
        <v>30653</v>
      </c>
      <c r="N2748" t="s">
        <v>32524</v>
      </c>
      <c r="O2748" t="s">
        <v>32525</v>
      </c>
      <c r="P2748">
        <v>0</v>
      </c>
      <c r="Q2748">
        <v>37</v>
      </c>
      <c r="R2748" t="s">
        <v>32527</v>
      </c>
      <c r="S2748" t="s">
        <v>32552</v>
      </c>
      <c r="T2748" t="s">
        <v>33379</v>
      </c>
      <c r="U2748" t="s">
        <v>35953</v>
      </c>
      <c r="W2748" t="s">
        <v>30653</v>
      </c>
      <c r="X2748" t="s">
        <v>32531</v>
      </c>
    </row>
    <row r="2749" spans="1:24">
      <c r="A2749">
        <f>HYPERLINK("https://www.philgeps.gov.ph/GEPSNONPILOT/Tender/SplashBidNoticeAbstractUI.aspx?menuIndex=3&amp;refID=7042973&amp;Result=3","7042973")</f>
        <v>0</v>
      </c>
      <c r="B2749" t="s">
        <v>1026</v>
      </c>
      <c r="C2749" t="s">
        <v>5306</v>
      </c>
      <c r="D2749" t="s">
        <v>13032</v>
      </c>
      <c r="E2749" t="s">
        <v>15576</v>
      </c>
      <c r="F2749" t="s">
        <v>22436</v>
      </c>
      <c r="G2749" t="s">
        <v>22445</v>
      </c>
      <c r="H2749" t="s">
        <v>22452</v>
      </c>
      <c r="I2749" t="s">
        <v>22460</v>
      </c>
      <c r="J2749" t="s">
        <v>24466</v>
      </c>
      <c r="K2749" t="s">
        <v>29341</v>
      </c>
      <c r="M2749" t="s">
        <v>30655</v>
      </c>
      <c r="N2749" t="s">
        <v>32524</v>
      </c>
      <c r="O2749" t="s">
        <v>32525</v>
      </c>
      <c r="P2749">
        <v>0</v>
      </c>
      <c r="Q2749">
        <v>1</v>
      </c>
      <c r="R2749" t="s">
        <v>32527</v>
      </c>
      <c r="S2749" t="s">
        <v>32552</v>
      </c>
      <c r="T2749" t="s">
        <v>33161</v>
      </c>
      <c r="U2749" t="s">
        <v>35963</v>
      </c>
      <c r="W2749" t="s">
        <v>30655</v>
      </c>
      <c r="X2749" t="s">
        <v>32531</v>
      </c>
    </row>
    <row r="2750" spans="1:24">
      <c r="A2750">
        <f>HYPERLINK("https://www.philgeps.gov.ph/GEPSNONPILOT/Tender/SplashBidNoticeAbstractUI.aspx?menuIndex=3&amp;refID=7042878&amp;Result=3","7042878")</f>
        <v>0</v>
      </c>
      <c r="B2750" t="s">
        <v>1023</v>
      </c>
      <c r="C2750" t="s">
        <v>5307</v>
      </c>
      <c r="E2750" t="s">
        <v>15577</v>
      </c>
      <c r="F2750" t="s">
        <v>22436</v>
      </c>
      <c r="G2750" t="s">
        <v>22444</v>
      </c>
      <c r="H2750" t="s">
        <v>22454</v>
      </c>
      <c r="I2750" t="s">
        <v>6387</v>
      </c>
      <c r="J2750" t="s">
        <v>24467</v>
      </c>
      <c r="K2750" t="s">
        <v>29338</v>
      </c>
      <c r="M2750" t="s">
        <v>30652</v>
      </c>
      <c r="N2750" t="s">
        <v>32524</v>
      </c>
      <c r="O2750" t="s">
        <v>32525</v>
      </c>
      <c r="P2750">
        <v>0</v>
      </c>
      <c r="Q2750">
        <v>4</v>
      </c>
      <c r="R2750" t="s">
        <v>32527</v>
      </c>
      <c r="S2750" t="s">
        <v>32552</v>
      </c>
      <c r="T2750" t="s">
        <v>33206</v>
      </c>
      <c r="U2750" t="s">
        <v>35964</v>
      </c>
      <c r="W2750" t="s">
        <v>30652</v>
      </c>
      <c r="X2750" t="s">
        <v>32531</v>
      </c>
    </row>
    <row r="2751" spans="1:24">
      <c r="A2751">
        <f>HYPERLINK("https://www.philgeps.gov.ph/GEPSNONPILOT/Tender/SplashBidNoticeAbstractUI.aspx?menuIndex=3&amp;refID=7042963&amp;Result=3","7042963")</f>
        <v>0</v>
      </c>
      <c r="B2751" t="s">
        <v>1021</v>
      </c>
      <c r="C2751" t="s">
        <v>5308</v>
      </c>
      <c r="D2751" t="s">
        <v>13020</v>
      </c>
      <c r="E2751" t="s">
        <v>15578</v>
      </c>
      <c r="F2751" t="s">
        <v>22436</v>
      </c>
      <c r="G2751" t="s">
        <v>22443</v>
      </c>
      <c r="H2751" t="s">
        <v>22452</v>
      </c>
      <c r="I2751" t="s">
        <v>6421</v>
      </c>
      <c r="J2751" t="s">
        <v>24468</v>
      </c>
      <c r="K2751" t="s">
        <v>29341</v>
      </c>
      <c r="M2751" t="s">
        <v>30649</v>
      </c>
      <c r="N2751" t="s">
        <v>32524</v>
      </c>
      <c r="O2751" t="s">
        <v>32525</v>
      </c>
      <c r="P2751">
        <v>0</v>
      </c>
      <c r="Q2751">
        <v>1</v>
      </c>
      <c r="R2751" t="s">
        <v>32527</v>
      </c>
      <c r="S2751" t="s">
        <v>32552</v>
      </c>
      <c r="T2751" t="s">
        <v>33220</v>
      </c>
      <c r="U2751" t="s">
        <v>35965</v>
      </c>
      <c r="W2751" t="s">
        <v>43703</v>
      </c>
      <c r="X2751" t="s">
        <v>32531</v>
      </c>
    </row>
    <row r="2752" spans="1:24">
      <c r="A2752">
        <f>HYPERLINK("https://www.philgeps.gov.ph/GEPSNONPILOT/Tender/SplashBidNoticeAbstractUI.aspx?menuIndex=3&amp;refID=7043009&amp;Result=3","7043009")</f>
        <v>0</v>
      </c>
      <c r="B2752" t="s">
        <v>957</v>
      </c>
      <c r="C2752" t="s">
        <v>5309</v>
      </c>
      <c r="D2752" t="s">
        <v>13028</v>
      </c>
      <c r="E2752" t="s">
        <v>15579</v>
      </c>
      <c r="F2752" t="s">
        <v>22436</v>
      </c>
      <c r="G2752" t="s">
        <v>22443</v>
      </c>
      <c r="H2752" t="s">
        <v>22452</v>
      </c>
      <c r="I2752" t="s">
        <v>5194</v>
      </c>
      <c r="J2752" t="s">
        <v>24469</v>
      </c>
      <c r="K2752" t="s">
        <v>29335</v>
      </c>
      <c r="M2752" t="s">
        <v>30573</v>
      </c>
      <c r="N2752" t="s">
        <v>32524</v>
      </c>
      <c r="O2752" t="s">
        <v>32525</v>
      </c>
      <c r="P2752">
        <v>0</v>
      </c>
      <c r="Q2752">
        <v>1</v>
      </c>
      <c r="R2752" t="s">
        <v>32527</v>
      </c>
      <c r="S2752" t="s">
        <v>32552</v>
      </c>
      <c r="T2752" t="s">
        <v>33169</v>
      </c>
      <c r="U2752" t="s">
        <v>35966</v>
      </c>
      <c r="V2752" t="s">
        <v>42691</v>
      </c>
      <c r="W2752" t="s">
        <v>30573</v>
      </c>
      <c r="X2752" t="s">
        <v>32531</v>
      </c>
    </row>
    <row r="2753" spans="1:24">
      <c r="A2753">
        <f>HYPERLINK("https://www.philgeps.gov.ph/GEPSNONPILOT/Tender/SplashBidNoticeAbstractUI.aspx?menuIndex=3&amp;refID=7042980&amp;Result=3","7042980")</f>
        <v>0</v>
      </c>
      <c r="B2753" t="s">
        <v>90</v>
      </c>
      <c r="C2753" t="s">
        <v>5310</v>
      </c>
      <c r="D2753" t="s">
        <v>13026</v>
      </c>
      <c r="E2753" t="s">
        <v>15580</v>
      </c>
      <c r="F2753" t="s">
        <v>22436</v>
      </c>
      <c r="G2753" t="s">
        <v>22443</v>
      </c>
      <c r="H2753" t="s">
        <v>22452</v>
      </c>
      <c r="I2753" t="s">
        <v>2981</v>
      </c>
      <c r="J2753" t="s">
        <v>24470</v>
      </c>
      <c r="K2753" t="s">
        <v>29331</v>
      </c>
      <c r="M2753" t="s">
        <v>29662</v>
      </c>
      <c r="N2753" t="s">
        <v>32524</v>
      </c>
      <c r="O2753" t="s">
        <v>32525</v>
      </c>
      <c r="P2753">
        <v>0</v>
      </c>
      <c r="Q2753">
        <v>0</v>
      </c>
      <c r="R2753" t="s">
        <v>32527</v>
      </c>
      <c r="S2753" t="s">
        <v>32552</v>
      </c>
      <c r="T2753" t="s">
        <v>33220</v>
      </c>
      <c r="U2753" t="s">
        <v>35967</v>
      </c>
      <c r="W2753" t="s">
        <v>29662</v>
      </c>
      <c r="X2753" t="s">
        <v>32531</v>
      </c>
    </row>
    <row r="2754" spans="1:24">
      <c r="A2754">
        <f>HYPERLINK("https://www.philgeps.gov.ph/GEPSNONPILOT/Tender/SplashBidNoticeAbstractUI.aspx?menuIndex=3&amp;refID=7042974&amp;Result=3","7042974")</f>
        <v>0</v>
      </c>
      <c r="B2754" t="s">
        <v>90</v>
      </c>
      <c r="C2754" t="s">
        <v>5310</v>
      </c>
      <c r="D2754" t="s">
        <v>13026</v>
      </c>
      <c r="E2754" t="s">
        <v>15581</v>
      </c>
      <c r="F2754" t="s">
        <v>22436</v>
      </c>
      <c r="G2754" t="s">
        <v>22443</v>
      </c>
      <c r="H2754" t="s">
        <v>22452</v>
      </c>
      <c r="I2754" t="s">
        <v>2981</v>
      </c>
      <c r="J2754" t="s">
        <v>22810</v>
      </c>
      <c r="K2754" t="s">
        <v>29331</v>
      </c>
      <c r="M2754" t="s">
        <v>29662</v>
      </c>
      <c r="N2754" t="s">
        <v>32524</v>
      </c>
      <c r="O2754" t="s">
        <v>32525</v>
      </c>
      <c r="P2754">
        <v>0</v>
      </c>
      <c r="Q2754">
        <v>0</v>
      </c>
      <c r="R2754" t="s">
        <v>32527</v>
      </c>
      <c r="S2754" t="s">
        <v>32552</v>
      </c>
      <c r="T2754" t="s">
        <v>33220</v>
      </c>
      <c r="U2754" t="s">
        <v>35968</v>
      </c>
      <c r="W2754" t="s">
        <v>29662</v>
      </c>
      <c r="X2754" t="s">
        <v>32531</v>
      </c>
    </row>
    <row r="2755" spans="1:24">
      <c r="A2755">
        <f>HYPERLINK("https://www.philgeps.gov.ph/GEPSNONPILOT/Tender/SplashBidNoticeAbstractUI.aspx?menuIndex=3&amp;refID=7043004&amp;Result=3","7043004")</f>
        <v>0</v>
      </c>
      <c r="B2755" t="s">
        <v>957</v>
      </c>
      <c r="C2755" t="s">
        <v>5311</v>
      </c>
      <c r="D2755" t="s">
        <v>13028</v>
      </c>
      <c r="E2755" t="s">
        <v>15582</v>
      </c>
      <c r="F2755" t="s">
        <v>22436</v>
      </c>
      <c r="G2755" t="s">
        <v>22443</v>
      </c>
      <c r="H2755" t="s">
        <v>22452</v>
      </c>
      <c r="I2755" t="s">
        <v>22500</v>
      </c>
      <c r="J2755" t="s">
        <v>23076</v>
      </c>
      <c r="K2755" t="s">
        <v>29335</v>
      </c>
      <c r="M2755" t="s">
        <v>30573</v>
      </c>
      <c r="N2755" t="s">
        <v>32524</v>
      </c>
      <c r="O2755" t="s">
        <v>32525</v>
      </c>
      <c r="P2755">
        <v>0</v>
      </c>
      <c r="Q2755">
        <v>3</v>
      </c>
      <c r="R2755" t="s">
        <v>32527</v>
      </c>
      <c r="S2755" t="s">
        <v>32552</v>
      </c>
      <c r="T2755" t="s">
        <v>33169</v>
      </c>
      <c r="U2755" t="s">
        <v>35969</v>
      </c>
      <c r="V2755" t="s">
        <v>42692</v>
      </c>
      <c r="W2755" t="s">
        <v>30573</v>
      </c>
      <c r="X2755" t="s">
        <v>32531</v>
      </c>
    </row>
    <row r="2756" spans="1:24">
      <c r="A2756">
        <f>HYPERLINK("https://www.philgeps.gov.ph/GEPSNONPILOT/Tender/SplashBidNoticeAbstractUI.aspx?menuIndex=3&amp;refID=7043035&amp;Result=3","7043035")</f>
        <v>0</v>
      </c>
      <c r="B2756" t="s">
        <v>1027</v>
      </c>
      <c r="C2756" t="s">
        <v>5312</v>
      </c>
      <c r="D2756" t="s">
        <v>13039</v>
      </c>
      <c r="E2756" t="s">
        <v>15583</v>
      </c>
      <c r="F2756" t="s">
        <v>22436</v>
      </c>
      <c r="G2756" t="s">
        <v>22444</v>
      </c>
      <c r="H2756" t="s">
        <v>22454</v>
      </c>
      <c r="I2756" t="s">
        <v>22501</v>
      </c>
      <c r="J2756" t="s">
        <v>24471</v>
      </c>
      <c r="K2756" t="s">
        <v>29437</v>
      </c>
      <c r="M2756" t="s">
        <v>30656</v>
      </c>
      <c r="N2756" t="s">
        <v>32524</v>
      </c>
      <c r="O2756" t="s">
        <v>32525</v>
      </c>
      <c r="P2756">
        <v>0</v>
      </c>
      <c r="Q2756">
        <v>0</v>
      </c>
      <c r="R2756" t="s">
        <v>32527</v>
      </c>
      <c r="S2756" t="s">
        <v>32552</v>
      </c>
      <c r="T2756" t="s">
        <v>33207</v>
      </c>
      <c r="U2756" t="s">
        <v>35970</v>
      </c>
      <c r="W2756" t="s">
        <v>30656</v>
      </c>
      <c r="X2756" t="s">
        <v>32531</v>
      </c>
    </row>
    <row r="2757" spans="1:24">
      <c r="A2757">
        <f>HYPERLINK("https://www.philgeps.gov.ph/GEPSNONPILOT/Tender/SplashBidNoticeAbstractUI.aspx?menuIndex=3&amp;refID=7042897&amp;Result=3","7042897")</f>
        <v>0</v>
      </c>
      <c r="B2757" t="s">
        <v>356</v>
      </c>
      <c r="C2757" t="s">
        <v>5313</v>
      </c>
      <c r="D2757" t="s">
        <v>12993</v>
      </c>
      <c r="E2757" t="s">
        <v>15584</v>
      </c>
      <c r="F2757" t="s">
        <v>22436</v>
      </c>
      <c r="G2757" t="s">
        <v>22444</v>
      </c>
      <c r="H2757" t="s">
        <v>22452</v>
      </c>
      <c r="I2757" t="s">
        <v>22483</v>
      </c>
      <c r="J2757" t="s">
        <v>22788</v>
      </c>
      <c r="K2757" t="s">
        <v>29338</v>
      </c>
      <c r="M2757" t="s">
        <v>30657</v>
      </c>
      <c r="N2757" t="s">
        <v>32524</v>
      </c>
      <c r="O2757" t="s">
        <v>32525</v>
      </c>
      <c r="P2757">
        <v>0</v>
      </c>
      <c r="Q2757">
        <v>2</v>
      </c>
      <c r="R2757" t="s">
        <v>32527</v>
      </c>
      <c r="S2757" t="s">
        <v>32552</v>
      </c>
      <c r="T2757" t="s">
        <v>33180</v>
      </c>
      <c r="U2757" t="s">
        <v>35971</v>
      </c>
      <c r="W2757" t="s">
        <v>30657</v>
      </c>
      <c r="X2757" t="s">
        <v>32531</v>
      </c>
    </row>
    <row r="2758" spans="1:24">
      <c r="A2758">
        <f>HYPERLINK("https://www.philgeps.gov.ph/GEPSNONPILOT/Tender/SplashBidNoticeAbstractUI.aspx?menuIndex=3&amp;refID=7043023&amp;Result=3","7043023")</f>
        <v>0</v>
      </c>
      <c r="B2758" t="s">
        <v>1028</v>
      </c>
      <c r="C2758" t="s">
        <v>5314</v>
      </c>
      <c r="D2758" t="s">
        <v>13045</v>
      </c>
      <c r="E2758" t="s">
        <v>15585</v>
      </c>
      <c r="F2758" t="s">
        <v>22436</v>
      </c>
      <c r="G2758" t="s">
        <v>22444</v>
      </c>
      <c r="H2758" t="s">
        <v>22454</v>
      </c>
      <c r="I2758" t="s">
        <v>7738</v>
      </c>
      <c r="J2758" t="s">
        <v>24472</v>
      </c>
      <c r="K2758" t="s">
        <v>29335</v>
      </c>
      <c r="M2758" t="s">
        <v>30658</v>
      </c>
      <c r="N2758" t="s">
        <v>32524</v>
      </c>
      <c r="O2758" t="s">
        <v>32525</v>
      </c>
      <c r="P2758">
        <v>0</v>
      </c>
      <c r="Q2758">
        <v>0</v>
      </c>
      <c r="R2758" t="s">
        <v>32527</v>
      </c>
      <c r="S2758" t="s">
        <v>32552</v>
      </c>
      <c r="T2758" t="s">
        <v>33230</v>
      </c>
      <c r="U2758" t="s">
        <v>35972</v>
      </c>
      <c r="W2758" t="s">
        <v>30658</v>
      </c>
      <c r="X2758" t="s">
        <v>32531</v>
      </c>
    </row>
    <row r="2759" spans="1:24">
      <c r="A2759">
        <f>HYPERLINK("https://www.philgeps.gov.ph/GEPSNONPILOT/Tender/SplashBidNoticeAbstractUI.aspx?menuIndex=3&amp;refID=7042912&amp;Result=3","7042912")</f>
        <v>0</v>
      </c>
      <c r="B2759" t="s">
        <v>356</v>
      </c>
      <c r="C2759" t="s">
        <v>5315</v>
      </c>
      <c r="D2759" t="s">
        <v>12993</v>
      </c>
      <c r="E2759" t="s">
        <v>15586</v>
      </c>
      <c r="F2759" t="s">
        <v>22436</v>
      </c>
      <c r="G2759" t="s">
        <v>22444</v>
      </c>
      <c r="H2759" t="s">
        <v>22452</v>
      </c>
      <c r="I2759" t="s">
        <v>22476</v>
      </c>
      <c r="J2759" t="s">
        <v>22640</v>
      </c>
      <c r="K2759" t="s">
        <v>29338</v>
      </c>
      <c r="M2759" t="s">
        <v>30657</v>
      </c>
      <c r="N2759" t="s">
        <v>32524</v>
      </c>
      <c r="O2759" t="s">
        <v>32525</v>
      </c>
      <c r="P2759">
        <v>0</v>
      </c>
      <c r="Q2759">
        <v>0</v>
      </c>
      <c r="R2759" t="s">
        <v>32527</v>
      </c>
      <c r="S2759" t="s">
        <v>32552</v>
      </c>
      <c r="T2759" t="s">
        <v>33180</v>
      </c>
      <c r="U2759" t="s">
        <v>35973</v>
      </c>
      <c r="W2759" t="s">
        <v>30657</v>
      </c>
      <c r="X2759" t="s">
        <v>32531</v>
      </c>
    </row>
    <row r="2760" spans="1:24">
      <c r="A2760">
        <f>HYPERLINK("https://www.philgeps.gov.ph/GEPSNONPILOT/Tender/SplashBidNoticeAbstractUI.aspx?menuIndex=3&amp;refID=7043010&amp;Result=3","7043010")</f>
        <v>0</v>
      </c>
      <c r="B2760" t="s">
        <v>1028</v>
      </c>
      <c r="C2760" t="s">
        <v>5316</v>
      </c>
      <c r="D2760" t="s">
        <v>13045</v>
      </c>
      <c r="E2760" t="s">
        <v>15587</v>
      </c>
      <c r="F2760" t="s">
        <v>22436</v>
      </c>
      <c r="G2760" t="s">
        <v>22444</v>
      </c>
      <c r="H2760" t="s">
        <v>22452</v>
      </c>
      <c r="I2760" t="s">
        <v>3529</v>
      </c>
      <c r="J2760" t="s">
        <v>24473</v>
      </c>
      <c r="K2760" t="s">
        <v>29337</v>
      </c>
      <c r="M2760" t="s">
        <v>30658</v>
      </c>
      <c r="N2760" t="s">
        <v>32524</v>
      </c>
      <c r="O2760" t="s">
        <v>32525</v>
      </c>
      <c r="P2760">
        <v>0</v>
      </c>
      <c r="Q2760">
        <v>0</v>
      </c>
      <c r="R2760" t="s">
        <v>32527</v>
      </c>
      <c r="S2760" t="s">
        <v>32552</v>
      </c>
      <c r="T2760" t="s">
        <v>33230</v>
      </c>
      <c r="U2760" t="s">
        <v>35974</v>
      </c>
      <c r="W2760" t="s">
        <v>30658</v>
      </c>
      <c r="X2760" t="s">
        <v>32531</v>
      </c>
    </row>
    <row r="2761" spans="1:24">
      <c r="A2761">
        <f>HYPERLINK("https://www.philgeps.gov.ph/GEPSNONPILOT/Tender/SplashBidNoticeAbstractUI.aspx?menuIndex=3&amp;refID=7043164&amp;Result=3","7043164")</f>
        <v>0</v>
      </c>
      <c r="B2761" t="s">
        <v>1029</v>
      </c>
      <c r="C2761" t="s">
        <v>5317</v>
      </c>
      <c r="D2761" t="s">
        <v>13009</v>
      </c>
      <c r="E2761" t="s">
        <v>15588</v>
      </c>
      <c r="F2761" t="s">
        <v>22436</v>
      </c>
      <c r="G2761" t="s">
        <v>22443</v>
      </c>
      <c r="H2761" t="s">
        <v>22452</v>
      </c>
      <c r="I2761" t="s">
        <v>3529</v>
      </c>
      <c r="J2761" t="s">
        <v>24474</v>
      </c>
      <c r="K2761" t="s">
        <v>29338</v>
      </c>
      <c r="M2761" t="s">
        <v>30659</v>
      </c>
      <c r="N2761" t="s">
        <v>32524</v>
      </c>
      <c r="O2761" t="s">
        <v>32525</v>
      </c>
      <c r="P2761">
        <v>0</v>
      </c>
      <c r="Q2761">
        <v>0</v>
      </c>
      <c r="R2761" t="s">
        <v>32527</v>
      </c>
      <c r="S2761" t="s">
        <v>32552</v>
      </c>
      <c r="T2761" t="s">
        <v>33213</v>
      </c>
      <c r="U2761" t="s">
        <v>35975</v>
      </c>
      <c r="W2761" t="s">
        <v>30659</v>
      </c>
      <c r="X2761" t="s">
        <v>32531</v>
      </c>
    </row>
    <row r="2762" spans="1:24">
      <c r="A2762">
        <f>HYPERLINK("https://www.philgeps.gov.ph/GEPSNONPILOT/Tender/SplashBidNoticeAbstractUI.aspx?menuIndex=3&amp;refID=7042924&amp;Result=3","7042924")</f>
        <v>0</v>
      </c>
      <c r="B2762" t="s">
        <v>356</v>
      </c>
      <c r="C2762" t="s">
        <v>5318</v>
      </c>
      <c r="D2762" t="s">
        <v>12993</v>
      </c>
      <c r="E2762" t="s">
        <v>15589</v>
      </c>
      <c r="F2762" t="s">
        <v>22436</v>
      </c>
      <c r="G2762" t="s">
        <v>22444</v>
      </c>
      <c r="H2762" t="s">
        <v>22452</v>
      </c>
      <c r="I2762" t="s">
        <v>22460</v>
      </c>
      <c r="J2762" t="s">
        <v>24475</v>
      </c>
      <c r="K2762" t="s">
        <v>29338</v>
      </c>
      <c r="M2762" t="s">
        <v>30657</v>
      </c>
      <c r="N2762" t="s">
        <v>32524</v>
      </c>
      <c r="O2762" t="s">
        <v>32525</v>
      </c>
      <c r="P2762">
        <v>0</v>
      </c>
      <c r="Q2762">
        <v>6</v>
      </c>
      <c r="R2762" t="s">
        <v>32527</v>
      </c>
      <c r="S2762" t="s">
        <v>32552</v>
      </c>
      <c r="T2762" t="s">
        <v>33180</v>
      </c>
      <c r="U2762" t="s">
        <v>35976</v>
      </c>
      <c r="W2762" t="s">
        <v>30657</v>
      </c>
      <c r="X2762" t="s">
        <v>32531</v>
      </c>
    </row>
    <row r="2763" spans="1:24">
      <c r="A2763">
        <f>HYPERLINK("https://www.philgeps.gov.ph/GEPSNONPILOT/Tender/SplashBidNoticeAbstractUI.aspx?menuIndex=3&amp;refID=7043150&amp;Result=3","7043150")</f>
        <v>0</v>
      </c>
      <c r="B2763" t="s">
        <v>1030</v>
      </c>
      <c r="C2763" t="s">
        <v>5319</v>
      </c>
      <c r="D2763" t="s">
        <v>12988</v>
      </c>
      <c r="E2763" t="s">
        <v>15590</v>
      </c>
      <c r="F2763" t="s">
        <v>22437</v>
      </c>
      <c r="G2763" t="s">
        <v>22444</v>
      </c>
      <c r="H2763" t="s">
        <v>22452</v>
      </c>
      <c r="I2763" t="s">
        <v>22494</v>
      </c>
      <c r="J2763" t="s">
        <v>22640</v>
      </c>
      <c r="K2763" t="s">
        <v>29335</v>
      </c>
      <c r="M2763" t="s">
        <v>30660</v>
      </c>
      <c r="N2763" t="s">
        <v>32524</v>
      </c>
      <c r="O2763" t="s">
        <v>32525</v>
      </c>
      <c r="P2763">
        <v>0</v>
      </c>
      <c r="Q2763">
        <v>0</v>
      </c>
      <c r="R2763" t="s">
        <v>32527</v>
      </c>
      <c r="S2763" t="s">
        <v>32552</v>
      </c>
      <c r="T2763" t="s">
        <v>33249</v>
      </c>
      <c r="U2763" t="s">
        <v>35977</v>
      </c>
      <c r="V2763" t="s">
        <v>42693</v>
      </c>
      <c r="W2763" t="s">
        <v>30660</v>
      </c>
      <c r="X2763" t="s">
        <v>32531</v>
      </c>
    </row>
    <row r="2764" spans="1:24">
      <c r="A2764">
        <f>HYPERLINK("https://www.philgeps.gov.ph/GEPSNONPILOT/Tender/SplashBidNoticeAbstractUI.aspx?menuIndex=3&amp;refID=7043159&amp;Result=3","7043159")</f>
        <v>0</v>
      </c>
      <c r="B2764" t="s">
        <v>1030</v>
      </c>
      <c r="C2764" t="s">
        <v>5320</v>
      </c>
      <c r="D2764" t="s">
        <v>12988</v>
      </c>
      <c r="E2764" t="s">
        <v>15591</v>
      </c>
      <c r="F2764" t="s">
        <v>22437</v>
      </c>
      <c r="G2764" t="s">
        <v>22444</v>
      </c>
      <c r="H2764" t="s">
        <v>22452</v>
      </c>
      <c r="I2764" t="s">
        <v>2981</v>
      </c>
      <c r="J2764" t="s">
        <v>22640</v>
      </c>
      <c r="K2764" t="s">
        <v>29335</v>
      </c>
      <c r="M2764" t="s">
        <v>30660</v>
      </c>
      <c r="N2764" t="s">
        <v>32524</v>
      </c>
      <c r="O2764" t="s">
        <v>32525</v>
      </c>
      <c r="P2764">
        <v>0</v>
      </c>
      <c r="Q2764">
        <v>1</v>
      </c>
      <c r="R2764" t="s">
        <v>32527</v>
      </c>
      <c r="S2764" t="s">
        <v>32552</v>
      </c>
      <c r="T2764" t="s">
        <v>33380</v>
      </c>
      <c r="U2764" t="s">
        <v>35978</v>
      </c>
      <c r="V2764" t="s">
        <v>42693</v>
      </c>
      <c r="W2764" t="s">
        <v>30660</v>
      </c>
      <c r="X2764" t="s">
        <v>32531</v>
      </c>
    </row>
    <row r="2765" spans="1:24">
      <c r="A2765">
        <f>HYPERLINK("https://www.philgeps.gov.ph/GEPSNONPILOT/Tender/SplashBidNoticeAbstractUI.aspx?menuIndex=3&amp;refID=7043021&amp;Result=3","7043021")</f>
        <v>0</v>
      </c>
      <c r="B2765" t="s">
        <v>1028</v>
      </c>
      <c r="C2765" t="s">
        <v>5321</v>
      </c>
      <c r="D2765" t="s">
        <v>13045</v>
      </c>
      <c r="E2765" t="s">
        <v>15592</v>
      </c>
      <c r="F2765" t="s">
        <v>22436</v>
      </c>
      <c r="G2765" t="s">
        <v>22444</v>
      </c>
      <c r="H2765" t="s">
        <v>22454</v>
      </c>
      <c r="I2765" t="s">
        <v>7738</v>
      </c>
      <c r="J2765" t="s">
        <v>23093</v>
      </c>
      <c r="K2765" t="s">
        <v>29386</v>
      </c>
      <c r="M2765" t="s">
        <v>30658</v>
      </c>
      <c r="N2765" t="s">
        <v>32524</v>
      </c>
      <c r="O2765" t="s">
        <v>32525</v>
      </c>
      <c r="P2765">
        <v>0</v>
      </c>
      <c r="Q2765">
        <v>0</v>
      </c>
      <c r="R2765" t="s">
        <v>32527</v>
      </c>
      <c r="S2765" t="s">
        <v>32552</v>
      </c>
      <c r="T2765" t="s">
        <v>33230</v>
      </c>
      <c r="U2765" t="s">
        <v>35979</v>
      </c>
      <c r="W2765" t="s">
        <v>30658</v>
      </c>
      <c r="X2765" t="s">
        <v>32531</v>
      </c>
    </row>
    <row r="2766" spans="1:24">
      <c r="A2766">
        <f>HYPERLINK("https://www.philgeps.gov.ph/GEPSNONPILOT/Tender/SplashBidNoticeAbstractUI.aspx?menuIndex=3&amp;refID=7043181&amp;Result=3","7043181")</f>
        <v>0</v>
      </c>
      <c r="B2766" t="s">
        <v>1031</v>
      </c>
      <c r="C2766" t="s">
        <v>5322</v>
      </c>
      <c r="D2766" t="s">
        <v>12995</v>
      </c>
      <c r="E2766" t="s">
        <v>15593</v>
      </c>
      <c r="F2766" t="s">
        <v>22436</v>
      </c>
      <c r="G2766" t="s">
        <v>22446</v>
      </c>
      <c r="H2766" t="s">
        <v>22452</v>
      </c>
      <c r="I2766" t="s">
        <v>22469</v>
      </c>
      <c r="J2766" t="s">
        <v>23090</v>
      </c>
      <c r="K2766" t="s">
        <v>29341</v>
      </c>
      <c r="M2766" t="s">
        <v>30661</v>
      </c>
      <c r="N2766" t="s">
        <v>32524</v>
      </c>
      <c r="O2766" t="s">
        <v>32525</v>
      </c>
      <c r="P2766">
        <v>0</v>
      </c>
      <c r="Q2766">
        <v>1</v>
      </c>
      <c r="R2766" t="s">
        <v>32527</v>
      </c>
      <c r="S2766" t="s">
        <v>32552</v>
      </c>
      <c r="T2766" t="s">
        <v>33381</v>
      </c>
      <c r="U2766" t="s">
        <v>35980</v>
      </c>
      <c r="W2766" t="s">
        <v>30661</v>
      </c>
      <c r="X2766" t="s">
        <v>32531</v>
      </c>
    </row>
    <row r="2767" spans="1:24">
      <c r="A2767">
        <f>HYPERLINK("https://www.philgeps.gov.ph/GEPSNONPILOT/Tender/SplashBidNoticeAbstractUI.aspx?menuIndex=3&amp;refID=7042940&amp;Result=3","7042940")</f>
        <v>0</v>
      </c>
      <c r="B2767" t="s">
        <v>613</v>
      </c>
      <c r="C2767" t="s">
        <v>5323</v>
      </c>
      <c r="D2767" t="s">
        <v>13039</v>
      </c>
      <c r="E2767" t="s">
        <v>15594</v>
      </c>
      <c r="F2767" t="s">
        <v>22436</v>
      </c>
      <c r="G2767" t="s">
        <v>22444</v>
      </c>
      <c r="H2767" t="s">
        <v>22452</v>
      </c>
      <c r="I2767" t="s">
        <v>3529</v>
      </c>
      <c r="J2767" t="s">
        <v>24476</v>
      </c>
      <c r="K2767" t="s">
        <v>29331</v>
      </c>
      <c r="M2767" t="s">
        <v>30662</v>
      </c>
      <c r="N2767" t="s">
        <v>32524</v>
      </c>
      <c r="O2767" t="s">
        <v>32525</v>
      </c>
      <c r="P2767">
        <v>0</v>
      </c>
      <c r="Q2767">
        <v>0</v>
      </c>
      <c r="R2767" t="s">
        <v>32527</v>
      </c>
      <c r="S2767" t="s">
        <v>32552</v>
      </c>
      <c r="T2767" t="s">
        <v>33234</v>
      </c>
      <c r="U2767" t="s">
        <v>35981</v>
      </c>
      <c r="W2767" t="s">
        <v>32454</v>
      </c>
      <c r="X2767" t="s">
        <v>32531</v>
      </c>
    </row>
    <row r="2768" spans="1:24">
      <c r="A2768">
        <f>HYPERLINK("https://www.philgeps.gov.ph/GEPSNONPILOT/Tender/SplashBidNoticeAbstractUI.aspx?menuIndex=3&amp;refID=7042957&amp;Result=3","7042957")</f>
        <v>0</v>
      </c>
      <c r="B2768" t="s">
        <v>1026</v>
      </c>
      <c r="C2768" t="s">
        <v>3437</v>
      </c>
      <c r="D2768" t="s">
        <v>13032</v>
      </c>
      <c r="E2768" t="s">
        <v>15595</v>
      </c>
      <c r="F2768" t="s">
        <v>22436</v>
      </c>
      <c r="G2768" t="s">
        <v>22445</v>
      </c>
      <c r="H2768" t="s">
        <v>22452</v>
      </c>
      <c r="I2768" t="s">
        <v>3840</v>
      </c>
      <c r="J2768" t="s">
        <v>24477</v>
      </c>
      <c r="K2768" t="s">
        <v>29341</v>
      </c>
      <c r="M2768" t="s">
        <v>30655</v>
      </c>
      <c r="N2768" t="s">
        <v>32524</v>
      </c>
      <c r="O2768" t="s">
        <v>32525</v>
      </c>
      <c r="P2768">
        <v>0</v>
      </c>
      <c r="Q2768">
        <v>3</v>
      </c>
      <c r="R2768" t="s">
        <v>32527</v>
      </c>
      <c r="S2768" t="s">
        <v>32552</v>
      </c>
      <c r="T2768" t="s">
        <v>33161</v>
      </c>
      <c r="U2768" t="s">
        <v>35963</v>
      </c>
      <c r="W2768" t="s">
        <v>30655</v>
      </c>
      <c r="X2768" t="s">
        <v>32531</v>
      </c>
    </row>
    <row r="2769" spans="1:24">
      <c r="A2769">
        <f>HYPERLINK("https://www.philgeps.gov.ph/GEPSNONPILOT/Tender/SplashBidNoticeAbstractUI.aspx?menuIndex=3&amp;refID=7043177&amp;Result=3","7043177")</f>
        <v>0</v>
      </c>
      <c r="B2769" t="s">
        <v>1030</v>
      </c>
      <c r="C2769" t="s">
        <v>5324</v>
      </c>
      <c r="D2769" t="s">
        <v>12988</v>
      </c>
      <c r="E2769" t="s">
        <v>15596</v>
      </c>
      <c r="F2769" t="s">
        <v>22437</v>
      </c>
      <c r="G2769" t="s">
        <v>22444</v>
      </c>
      <c r="H2769" t="s">
        <v>22452</v>
      </c>
      <c r="I2769" t="s">
        <v>22494</v>
      </c>
      <c r="J2769" t="s">
        <v>22893</v>
      </c>
      <c r="K2769" t="s">
        <v>29335</v>
      </c>
      <c r="M2769" t="s">
        <v>30660</v>
      </c>
      <c r="N2769" t="s">
        <v>32524</v>
      </c>
      <c r="O2769" t="s">
        <v>32525</v>
      </c>
      <c r="P2769">
        <v>0</v>
      </c>
      <c r="Q2769">
        <v>0</v>
      </c>
      <c r="R2769" t="s">
        <v>32527</v>
      </c>
      <c r="S2769" t="s">
        <v>32552</v>
      </c>
      <c r="T2769" t="s">
        <v>33382</v>
      </c>
      <c r="U2769" t="s">
        <v>35982</v>
      </c>
      <c r="V2769" t="s">
        <v>42693</v>
      </c>
      <c r="W2769" t="s">
        <v>30660</v>
      </c>
      <c r="X2769" t="s">
        <v>32531</v>
      </c>
    </row>
    <row r="2770" spans="1:24">
      <c r="A2770">
        <f>HYPERLINK("https://www.philgeps.gov.ph/GEPSNONPILOT/Tender/SplashBidNoticeAbstractUI.aspx?menuIndex=3&amp;refID=7043170&amp;Result=3","7043170")</f>
        <v>0</v>
      </c>
      <c r="B2770" t="s">
        <v>1030</v>
      </c>
      <c r="C2770" t="s">
        <v>5325</v>
      </c>
      <c r="D2770" t="s">
        <v>12988</v>
      </c>
      <c r="E2770" t="s">
        <v>15597</v>
      </c>
      <c r="F2770" t="s">
        <v>22437</v>
      </c>
      <c r="G2770" t="s">
        <v>22444</v>
      </c>
      <c r="H2770" t="s">
        <v>22452</v>
      </c>
      <c r="I2770" t="s">
        <v>22494</v>
      </c>
      <c r="J2770" t="s">
        <v>22601</v>
      </c>
      <c r="K2770" t="s">
        <v>29335</v>
      </c>
      <c r="M2770" t="s">
        <v>30660</v>
      </c>
      <c r="N2770" t="s">
        <v>32524</v>
      </c>
      <c r="O2770" t="s">
        <v>32525</v>
      </c>
      <c r="P2770">
        <v>0</v>
      </c>
      <c r="Q2770">
        <v>0</v>
      </c>
      <c r="R2770" t="s">
        <v>32527</v>
      </c>
      <c r="S2770" t="s">
        <v>32552</v>
      </c>
      <c r="T2770" t="s">
        <v>33227</v>
      </c>
      <c r="U2770" t="s">
        <v>35983</v>
      </c>
      <c r="V2770" t="s">
        <v>42693</v>
      </c>
      <c r="W2770" t="s">
        <v>30660</v>
      </c>
      <c r="X2770" t="s">
        <v>32531</v>
      </c>
    </row>
    <row r="2771" spans="1:24">
      <c r="A2771">
        <f>HYPERLINK("https://www.philgeps.gov.ph/GEPSNONPILOT/Tender/SplashBidNoticeAbstractUI.aspx?menuIndex=3&amp;refID=7042951&amp;Result=3","7042951")</f>
        <v>0</v>
      </c>
      <c r="B2771" t="s">
        <v>90</v>
      </c>
      <c r="C2771" t="s">
        <v>5326</v>
      </c>
      <c r="D2771" t="s">
        <v>13026</v>
      </c>
      <c r="E2771" t="s">
        <v>15556</v>
      </c>
      <c r="F2771" t="s">
        <v>22436</v>
      </c>
      <c r="G2771" t="s">
        <v>22443</v>
      </c>
      <c r="H2771" t="s">
        <v>22452</v>
      </c>
      <c r="I2771" t="s">
        <v>2981</v>
      </c>
      <c r="J2771" t="s">
        <v>24456</v>
      </c>
      <c r="K2771" t="s">
        <v>29331</v>
      </c>
      <c r="M2771" t="s">
        <v>29662</v>
      </c>
      <c r="N2771" t="s">
        <v>32524</v>
      </c>
      <c r="O2771" t="s">
        <v>32525</v>
      </c>
      <c r="P2771">
        <v>0</v>
      </c>
      <c r="Q2771">
        <v>0</v>
      </c>
      <c r="R2771" t="s">
        <v>32527</v>
      </c>
      <c r="S2771" t="s">
        <v>32552</v>
      </c>
      <c r="T2771" t="s">
        <v>33220</v>
      </c>
      <c r="U2771" t="s">
        <v>35984</v>
      </c>
      <c r="W2771" t="s">
        <v>29662</v>
      </c>
      <c r="X2771" t="s">
        <v>32531</v>
      </c>
    </row>
    <row r="2772" spans="1:24">
      <c r="A2772">
        <f>HYPERLINK("https://www.philgeps.gov.ph/GEPSNONPILOT/Tender/SplashBidNoticeAbstractUI.aspx?menuIndex=3&amp;refID=7043148&amp;Result=3","7043148")</f>
        <v>0</v>
      </c>
      <c r="B2772" t="s">
        <v>1031</v>
      </c>
      <c r="C2772" t="s">
        <v>5327</v>
      </c>
      <c r="D2772" t="s">
        <v>12995</v>
      </c>
      <c r="E2772" t="s">
        <v>15598</v>
      </c>
      <c r="F2772" t="s">
        <v>22436</v>
      </c>
      <c r="G2772" t="s">
        <v>22446</v>
      </c>
      <c r="H2772" t="s">
        <v>22452</v>
      </c>
      <c r="I2772" t="s">
        <v>22460</v>
      </c>
      <c r="J2772" t="s">
        <v>22693</v>
      </c>
      <c r="K2772" t="s">
        <v>29341</v>
      </c>
      <c r="M2772" t="s">
        <v>30661</v>
      </c>
      <c r="N2772" t="s">
        <v>32524</v>
      </c>
      <c r="O2772" t="s">
        <v>32525</v>
      </c>
      <c r="P2772">
        <v>0</v>
      </c>
      <c r="Q2772">
        <v>2</v>
      </c>
      <c r="R2772" t="s">
        <v>32527</v>
      </c>
      <c r="S2772" t="s">
        <v>32552</v>
      </c>
      <c r="T2772" t="s">
        <v>33327</v>
      </c>
      <c r="U2772" t="s">
        <v>35985</v>
      </c>
      <c r="W2772" t="s">
        <v>30661</v>
      </c>
      <c r="X2772" t="s">
        <v>32531</v>
      </c>
    </row>
    <row r="2773" spans="1:24">
      <c r="A2773">
        <f>HYPERLINK("https://www.philgeps.gov.ph/GEPSNONPILOT/Tender/SplashBidNoticeAbstractUI.aspx?menuIndex=3&amp;refID=7043172&amp;Result=3","7043172")</f>
        <v>0</v>
      </c>
      <c r="B2773" t="s">
        <v>1029</v>
      </c>
      <c r="C2773" t="s">
        <v>5328</v>
      </c>
      <c r="D2773" t="s">
        <v>13009</v>
      </c>
      <c r="E2773" t="s">
        <v>15599</v>
      </c>
      <c r="F2773" t="s">
        <v>22436</v>
      </c>
      <c r="G2773" t="s">
        <v>22443</v>
      </c>
      <c r="H2773" t="s">
        <v>22452</v>
      </c>
      <c r="I2773" t="s">
        <v>3529</v>
      </c>
      <c r="J2773" t="s">
        <v>24478</v>
      </c>
      <c r="K2773" t="s">
        <v>29338</v>
      </c>
      <c r="M2773" t="s">
        <v>30659</v>
      </c>
      <c r="N2773" t="s">
        <v>32524</v>
      </c>
      <c r="O2773" t="s">
        <v>32525</v>
      </c>
      <c r="P2773">
        <v>0</v>
      </c>
      <c r="Q2773">
        <v>0</v>
      </c>
      <c r="R2773" t="s">
        <v>32527</v>
      </c>
      <c r="S2773" t="s">
        <v>32552</v>
      </c>
      <c r="T2773" t="s">
        <v>33213</v>
      </c>
      <c r="U2773" t="s">
        <v>35975</v>
      </c>
      <c r="W2773" t="s">
        <v>30659</v>
      </c>
      <c r="X2773" t="s">
        <v>32531</v>
      </c>
    </row>
    <row r="2774" spans="1:24">
      <c r="A2774">
        <f>HYPERLINK("https://www.philgeps.gov.ph/GEPSNONPILOT/Tender/SplashBidNoticeAbstractUI.aspx?menuIndex=3&amp;refID=7043056&amp;Result=3","7043056")</f>
        <v>0</v>
      </c>
      <c r="B2774" t="s">
        <v>1024</v>
      </c>
      <c r="C2774" t="s">
        <v>5329</v>
      </c>
      <c r="E2774" t="s">
        <v>15600</v>
      </c>
      <c r="F2774" t="s">
        <v>22436</v>
      </c>
      <c r="G2774" t="s">
        <v>22444</v>
      </c>
      <c r="H2774" t="s">
        <v>22452</v>
      </c>
      <c r="I2774" t="s">
        <v>22502</v>
      </c>
      <c r="J2774" t="s">
        <v>24479</v>
      </c>
      <c r="K2774" t="s">
        <v>29333</v>
      </c>
      <c r="M2774" t="s">
        <v>30653</v>
      </c>
      <c r="N2774" t="s">
        <v>32524</v>
      </c>
      <c r="O2774" t="s">
        <v>32525</v>
      </c>
      <c r="P2774">
        <v>0</v>
      </c>
      <c r="Q2774">
        <v>20</v>
      </c>
      <c r="R2774" t="s">
        <v>32527</v>
      </c>
      <c r="S2774" t="s">
        <v>32552</v>
      </c>
      <c r="T2774" t="s">
        <v>33383</v>
      </c>
      <c r="U2774" t="s">
        <v>35953</v>
      </c>
      <c r="W2774" t="s">
        <v>30653</v>
      </c>
      <c r="X2774" t="s">
        <v>32531</v>
      </c>
    </row>
    <row r="2775" spans="1:24">
      <c r="A2775">
        <f>HYPERLINK("https://www.philgeps.gov.ph/GEPSNONPILOT/Tender/SplashBidNoticeAbstractUI.aspx?menuIndex=3&amp;refID=7043095&amp;Result=3","7043095")</f>
        <v>0</v>
      </c>
      <c r="B2775" t="s">
        <v>1032</v>
      </c>
      <c r="C2775" t="s">
        <v>5330</v>
      </c>
      <c r="D2775" t="s">
        <v>12998</v>
      </c>
      <c r="E2775" t="s">
        <v>15601</v>
      </c>
      <c r="F2775" t="s">
        <v>22436</v>
      </c>
      <c r="G2775" t="s">
        <v>22443</v>
      </c>
      <c r="H2775" t="s">
        <v>22452</v>
      </c>
      <c r="I2775" t="s">
        <v>22476</v>
      </c>
      <c r="J2775" t="s">
        <v>24480</v>
      </c>
      <c r="K2775" t="s">
        <v>29338</v>
      </c>
      <c r="M2775" t="s">
        <v>30663</v>
      </c>
      <c r="N2775" t="s">
        <v>32524</v>
      </c>
      <c r="O2775" t="s">
        <v>32525</v>
      </c>
      <c r="P2775">
        <v>0</v>
      </c>
      <c r="Q2775">
        <v>3</v>
      </c>
      <c r="R2775" t="s">
        <v>32527</v>
      </c>
      <c r="S2775" t="s">
        <v>32552</v>
      </c>
      <c r="T2775" t="s">
        <v>33229</v>
      </c>
      <c r="U2775" t="s">
        <v>35986</v>
      </c>
      <c r="W2775" t="s">
        <v>30663</v>
      </c>
      <c r="X2775" t="s">
        <v>32531</v>
      </c>
    </row>
    <row r="2776" spans="1:24">
      <c r="A2776">
        <f>HYPERLINK("https://www.philgeps.gov.ph/GEPSNONPILOT/Tender/SplashBidNoticeAbstractUI.aspx?menuIndex=3&amp;refID=7043137&amp;Result=3","7043137")</f>
        <v>0</v>
      </c>
      <c r="B2776" t="s">
        <v>1030</v>
      </c>
      <c r="C2776" t="s">
        <v>5331</v>
      </c>
      <c r="D2776" t="s">
        <v>12988</v>
      </c>
      <c r="E2776" t="s">
        <v>15602</v>
      </c>
      <c r="F2776" t="s">
        <v>22437</v>
      </c>
      <c r="G2776" t="s">
        <v>22444</v>
      </c>
      <c r="H2776" t="s">
        <v>22452</v>
      </c>
      <c r="I2776" t="s">
        <v>22494</v>
      </c>
      <c r="J2776" t="s">
        <v>23598</v>
      </c>
      <c r="K2776" t="s">
        <v>29335</v>
      </c>
      <c r="M2776" t="s">
        <v>30660</v>
      </c>
      <c r="N2776" t="s">
        <v>32524</v>
      </c>
      <c r="O2776" t="s">
        <v>32525</v>
      </c>
      <c r="P2776">
        <v>0</v>
      </c>
      <c r="Q2776">
        <v>0</v>
      </c>
      <c r="R2776" t="s">
        <v>32527</v>
      </c>
      <c r="S2776" t="s">
        <v>32552</v>
      </c>
      <c r="T2776" t="s">
        <v>33259</v>
      </c>
      <c r="U2776" t="s">
        <v>35987</v>
      </c>
      <c r="V2776" t="s">
        <v>42693</v>
      </c>
      <c r="W2776" t="s">
        <v>30660</v>
      </c>
      <c r="X2776" t="s">
        <v>32531</v>
      </c>
    </row>
    <row r="2777" spans="1:24">
      <c r="A2777">
        <f>HYPERLINK("https://www.philgeps.gov.ph/GEPSNONPILOT/Tender/SplashBidNoticeAbstractUI.aspx?menuIndex=3&amp;refID=7043038&amp;Result=3","7043038")</f>
        <v>0</v>
      </c>
      <c r="B2777" t="s">
        <v>1024</v>
      </c>
      <c r="C2777" t="s">
        <v>5332</v>
      </c>
      <c r="D2777" t="s">
        <v>12988</v>
      </c>
      <c r="E2777" t="s">
        <v>15603</v>
      </c>
      <c r="F2777" t="s">
        <v>22436</v>
      </c>
      <c r="G2777" t="s">
        <v>22444</v>
      </c>
      <c r="H2777" t="s">
        <v>22454</v>
      </c>
      <c r="I2777" t="s">
        <v>7738</v>
      </c>
      <c r="J2777" t="s">
        <v>24169</v>
      </c>
      <c r="K2777" t="s">
        <v>29334</v>
      </c>
      <c r="M2777" t="s">
        <v>30653</v>
      </c>
      <c r="N2777" t="s">
        <v>32524</v>
      </c>
      <c r="O2777" t="s">
        <v>32525</v>
      </c>
      <c r="P2777">
        <v>0</v>
      </c>
      <c r="Q2777">
        <v>4</v>
      </c>
      <c r="R2777" t="s">
        <v>32527</v>
      </c>
      <c r="S2777" t="s">
        <v>32552</v>
      </c>
      <c r="T2777" t="s">
        <v>33384</v>
      </c>
      <c r="U2777" t="s">
        <v>35953</v>
      </c>
      <c r="W2777" t="s">
        <v>30653</v>
      </c>
      <c r="X2777" t="s">
        <v>32531</v>
      </c>
    </row>
    <row r="2778" spans="1:24">
      <c r="A2778">
        <f>HYPERLINK("https://www.philgeps.gov.ph/GEPSNONPILOT/Tender/SplashBidNoticeAbstractUI.aspx?menuIndex=3&amp;refID=7043054&amp;Result=3","7043054")</f>
        <v>0</v>
      </c>
      <c r="B2778" t="s">
        <v>1021</v>
      </c>
      <c r="C2778" t="s">
        <v>5333</v>
      </c>
      <c r="D2778" t="s">
        <v>13020</v>
      </c>
      <c r="E2778" t="s">
        <v>15604</v>
      </c>
      <c r="F2778" t="s">
        <v>22436</v>
      </c>
      <c r="G2778" t="s">
        <v>22443</v>
      </c>
      <c r="H2778" t="s">
        <v>22452</v>
      </c>
      <c r="I2778" t="s">
        <v>22463</v>
      </c>
      <c r="J2778" t="s">
        <v>24481</v>
      </c>
      <c r="K2778" t="s">
        <v>29341</v>
      </c>
      <c r="M2778" t="s">
        <v>30649</v>
      </c>
      <c r="N2778" t="s">
        <v>32524</v>
      </c>
      <c r="O2778" t="s">
        <v>32525</v>
      </c>
      <c r="P2778">
        <v>0</v>
      </c>
      <c r="Q2778">
        <v>3</v>
      </c>
      <c r="R2778" t="s">
        <v>32527</v>
      </c>
      <c r="S2778" t="s">
        <v>32552</v>
      </c>
      <c r="T2778" t="s">
        <v>33220</v>
      </c>
      <c r="U2778" t="s">
        <v>35988</v>
      </c>
      <c r="W2778" t="s">
        <v>43703</v>
      </c>
      <c r="X2778" t="s">
        <v>32531</v>
      </c>
    </row>
    <row r="2779" spans="1:24">
      <c r="A2779">
        <f>HYPERLINK("https://www.philgeps.gov.ph/GEPSNONPILOT/Tender/SplashBidNoticeAbstractUI.aspx?menuIndex=3&amp;refID=7043215&amp;Result=3","7043215")</f>
        <v>0</v>
      </c>
      <c r="B2779" t="s">
        <v>1030</v>
      </c>
      <c r="C2779" t="s">
        <v>5334</v>
      </c>
      <c r="D2779" t="s">
        <v>12988</v>
      </c>
      <c r="E2779" t="s">
        <v>15605</v>
      </c>
      <c r="F2779" t="s">
        <v>22437</v>
      </c>
      <c r="G2779" t="s">
        <v>22444</v>
      </c>
      <c r="H2779" t="s">
        <v>22452</v>
      </c>
      <c r="I2779" t="s">
        <v>2981</v>
      </c>
      <c r="J2779" t="s">
        <v>22674</v>
      </c>
      <c r="K2779" t="s">
        <v>29335</v>
      </c>
      <c r="M2779" t="s">
        <v>30660</v>
      </c>
      <c r="N2779" t="s">
        <v>32524</v>
      </c>
      <c r="O2779" t="s">
        <v>32525</v>
      </c>
      <c r="P2779">
        <v>0</v>
      </c>
      <c r="Q2779">
        <v>0</v>
      </c>
      <c r="R2779" t="s">
        <v>32527</v>
      </c>
      <c r="S2779" t="s">
        <v>32552</v>
      </c>
      <c r="T2779" t="s">
        <v>33248</v>
      </c>
      <c r="U2779" t="s">
        <v>35989</v>
      </c>
      <c r="V2779" t="s">
        <v>42693</v>
      </c>
      <c r="W2779" t="s">
        <v>30660</v>
      </c>
      <c r="X2779" t="s">
        <v>32531</v>
      </c>
    </row>
    <row r="2780" spans="1:24">
      <c r="A2780">
        <f>HYPERLINK("https://www.philgeps.gov.ph/GEPSNONPILOT/Tender/SplashBidNoticeAbstractUI.aspx?menuIndex=3&amp;refID=7043037&amp;Result=3","7043037")</f>
        <v>0</v>
      </c>
      <c r="B2780" t="s">
        <v>1033</v>
      </c>
      <c r="C2780" t="s">
        <v>5335</v>
      </c>
      <c r="D2780" t="s">
        <v>13006</v>
      </c>
      <c r="E2780" t="s">
        <v>15606</v>
      </c>
      <c r="F2780" t="s">
        <v>22437</v>
      </c>
      <c r="G2780" t="s">
        <v>22444</v>
      </c>
      <c r="H2780" t="s">
        <v>22452</v>
      </c>
      <c r="I2780" t="s">
        <v>3529</v>
      </c>
      <c r="J2780" t="s">
        <v>24482</v>
      </c>
      <c r="K2780" t="s">
        <v>29357</v>
      </c>
      <c r="M2780" t="s">
        <v>30664</v>
      </c>
      <c r="N2780" t="s">
        <v>32524</v>
      </c>
      <c r="O2780" t="s">
        <v>32525</v>
      </c>
      <c r="P2780">
        <v>0</v>
      </c>
      <c r="Q2780">
        <v>0</v>
      </c>
      <c r="R2780" t="s">
        <v>32527</v>
      </c>
      <c r="S2780" t="s">
        <v>32552</v>
      </c>
      <c r="T2780" t="s">
        <v>33385</v>
      </c>
      <c r="U2780" t="s">
        <v>35990</v>
      </c>
      <c r="W2780" t="s">
        <v>30664</v>
      </c>
      <c r="X2780" t="s">
        <v>32531</v>
      </c>
    </row>
    <row r="2781" spans="1:24">
      <c r="A2781">
        <f>HYPERLINK("https://www.philgeps.gov.ph/GEPSNONPILOT/Tender/SplashBidNoticeAbstractUI.aspx?menuIndex=3&amp;refID=7043078&amp;Result=3","7043078")</f>
        <v>0</v>
      </c>
      <c r="B2781" t="s">
        <v>1034</v>
      </c>
      <c r="C2781" t="s">
        <v>5336</v>
      </c>
      <c r="D2781" t="s">
        <v>12990</v>
      </c>
      <c r="E2781" t="s">
        <v>15607</v>
      </c>
      <c r="F2781" t="s">
        <v>22436</v>
      </c>
      <c r="G2781" t="s">
        <v>22443</v>
      </c>
      <c r="H2781" t="s">
        <v>22452</v>
      </c>
      <c r="I2781" t="s">
        <v>22466</v>
      </c>
      <c r="J2781" t="s">
        <v>24483</v>
      </c>
      <c r="K2781" t="s">
        <v>29357</v>
      </c>
      <c r="M2781" t="s">
        <v>30665</v>
      </c>
      <c r="N2781" t="s">
        <v>32524</v>
      </c>
      <c r="O2781" t="s">
        <v>32525</v>
      </c>
      <c r="P2781">
        <v>0</v>
      </c>
      <c r="Q2781">
        <v>0</v>
      </c>
      <c r="R2781" t="s">
        <v>32527</v>
      </c>
      <c r="S2781" t="s">
        <v>32552</v>
      </c>
      <c r="T2781" t="s">
        <v>33386</v>
      </c>
      <c r="U2781" t="s">
        <v>35991</v>
      </c>
      <c r="V2781" t="s">
        <v>42694</v>
      </c>
      <c r="W2781" t="s">
        <v>30665</v>
      </c>
      <c r="X2781" t="s">
        <v>32531</v>
      </c>
    </row>
    <row r="2782" spans="1:24">
      <c r="A2782">
        <f>HYPERLINK("https://www.philgeps.gov.ph/GEPSNONPILOT/Tender/SplashBidNoticeAbstractUI.aspx?menuIndex=3&amp;refID=7043183&amp;Result=3","7043183")</f>
        <v>0</v>
      </c>
      <c r="B2782" t="s">
        <v>1030</v>
      </c>
      <c r="C2782" t="s">
        <v>5337</v>
      </c>
      <c r="D2782" t="s">
        <v>12988</v>
      </c>
      <c r="E2782" t="s">
        <v>15608</v>
      </c>
      <c r="F2782" t="s">
        <v>22437</v>
      </c>
      <c r="G2782" t="s">
        <v>22444</v>
      </c>
      <c r="H2782" t="s">
        <v>22452</v>
      </c>
      <c r="I2782" t="s">
        <v>22494</v>
      </c>
      <c r="J2782" t="s">
        <v>23093</v>
      </c>
      <c r="K2782" t="s">
        <v>29335</v>
      </c>
      <c r="M2782" t="s">
        <v>30660</v>
      </c>
      <c r="N2782" t="s">
        <v>32524</v>
      </c>
      <c r="O2782" t="s">
        <v>32525</v>
      </c>
      <c r="P2782">
        <v>0</v>
      </c>
      <c r="Q2782">
        <v>0</v>
      </c>
      <c r="R2782" t="s">
        <v>32527</v>
      </c>
      <c r="S2782" t="s">
        <v>32552</v>
      </c>
      <c r="T2782" t="s">
        <v>33387</v>
      </c>
      <c r="U2782" t="s">
        <v>35992</v>
      </c>
      <c r="V2782" t="s">
        <v>42693</v>
      </c>
      <c r="W2782" t="s">
        <v>30660</v>
      </c>
      <c r="X2782" t="s">
        <v>32531</v>
      </c>
    </row>
    <row r="2783" spans="1:24">
      <c r="A2783">
        <f>HYPERLINK("https://www.philgeps.gov.ph/GEPSNONPILOT/Tender/SplashBidNoticeAbstractUI.aspx?menuIndex=3&amp;refID=7043237&amp;Result=3","7043237")</f>
        <v>0</v>
      </c>
      <c r="B2783" t="s">
        <v>1035</v>
      </c>
      <c r="C2783" t="s">
        <v>5338</v>
      </c>
      <c r="D2783" t="s">
        <v>13073</v>
      </c>
      <c r="E2783" t="s">
        <v>15609</v>
      </c>
      <c r="F2783" t="s">
        <v>22436</v>
      </c>
      <c r="G2783" t="s">
        <v>22444</v>
      </c>
      <c r="H2783" t="s">
        <v>22454</v>
      </c>
      <c r="I2783" t="s">
        <v>7738</v>
      </c>
      <c r="J2783" t="s">
        <v>24484</v>
      </c>
      <c r="K2783" t="s">
        <v>29335</v>
      </c>
      <c r="M2783" t="s">
        <v>30666</v>
      </c>
      <c r="N2783" t="s">
        <v>32524</v>
      </c>
      <c r="O2783" t="s">
        <v>32525</v>
      </c>
      <c r="P2783">
        <v>0</v>
      </c>
      <c r="Q2783">
        <v>0</v>
      </c>
      <c r="R2783" t="s">
        <v>32527</v>
      </c>
      <c r="S2783" t="s">
        <v>32552</v>
      </c>
      <c r="T2783" t="s">
        <v>33166</v>
      </c>
      <c r="U2783" t="s">
        <v>35993</v>
      </c>
      <c r="W2783" t="s">
        <v>30666</v>
      </c>
      <c r="X2783" t="s">
        <v>32531</v>
      </c>
    </row>
    <row r="2784" spans="1:24">
      <c r="A2784">
        <f>HYPERLINK("https://www.philgeps.gov.ph/GEPSNONPILOT/Tender/SplashBidNoticeAbstractUI.aspx?menuIndex=3&amp;refID=7043134&amp;Result=3","7043134")</f>
        <v>0</v>
      </c>
      <c r="B2784" t="s">
        <v>716</v>
      </c>
      <c r="C2784" t="s">
        <v>5339</v>
      </c>
      <c r="D2784" t="s">
        <v>12995</v>
      </c>
      <c r="E2784" t="s">
        <v>14434</v>
      </c>
      <c r="F2784" t="s">
        <v>22436</v>
      </c>
      <c r="G2784" t="s">
        <v>22445</v>
      </c>
      <c r="H2784" t="s">
        <v>22452</v>
      </c>
      <c r="I2784" t="s">
        <v>3827</v>
      </c>
      <c r="J2784" t="s">
        <v>24485</v>
      </c>
      <c r="K2784" t="s">
        <v>29336</v>
      </c>
      <c r="M2784" t="s">
        <v>30313</v>
      </c>
      <c r="N2784" t="s">
        <v>32524</v>
      </c>
      <c r="O2784" t="s">
        <v>32525</v>
      </c>
      <c r="P2784">
        <v>0</v>
      </c>
      <c r="Q2784">
        <v>1</v>
      </c>
      <c r="R2784" t="s">
        <v>32527</v>
      </c>
      <c r="S2784" t="s">
        <v>32552</v>
      </c>
      <c r="T2784" t="s">
        <v>33356</v>
      </c>
      <c r="U2784" t="s">
        <v>35994</v>
      </c>
      <c r="W2784" t="s">
        <v>30313</v>
      </c>
      <c r="X2784" t="s">
        <v>32531</v>
      </c>
    </row>
    <row r="2785" spans="1:24">
      <c r="A2785">
        <f>HYPERLINK("https://www.philgeps.gov.ph/GEPSNONPILOT/Tender/SplashBidNoticeAbstractUI.aspx?menuIndex=3&amp;refID=7043227&amp;Result=3","7043227")</f>
        <v>0</v>
      </c>
      <c r="B2785" t="s">
        <v>1035</v>
      </c>
      <c r="C2785" t="s">
        <v>5340</v>
      </c>
      <c r="D2785" t="s">
        <v>13073</v>
      </c>
      <c r="E2785" t="s">
        <v>15610</v>
      </c>
      <c r="F2785" t="s">
        <v>22436</v>
      </c>
      <c r="G2785" t="s">
        <v>22444</v>
      </c>
      <c r="H2785" t="s">
        <v>22454</v>
      </c>
      <c r="I2785" t="s">
        <v>7738</v>
      </c>
      <c r="J2785" t="s">
        <v>24486</v>
      </c>
      <c r="K2785" t="s">
        <v>29390</v>
      </c>
      <c r="M2785" t="s">
        <v>30666</v>
      </c>
      <c r="N2785" t="s">
        <v>32524</v>
      </c>
      <c r="O2785" t="s">
        <v>32525</v>
      </c>
      <c r="P2785">
        <v>0</v>
      </c>
      <c r="Q2785">
        <v>0</v>
      </c>
      <c r="R2785" t="s">
        <v>32527</v>
      </c>
      <c r="S2785" t="s">
        <v>32552</v>
      </c>
      <c r="T2785" t="s">
        <v>33166</v>
      </c>
      <c r="U2785" t="s">
        <v>35995</v>
      </c>
      <c r="W2785" t="s">
        <v>30666</v>
      </c>
      <c r="X2785" t="s">
        <v>32531</v>
      </c>
    </row>
    <row r="2786" spans="1:24">
      <c r="A2786">
        <f>HYPERLINK("https://www.philgeps.gov.ph/GEPSNONPILOT/Tender/SplashBidNoticeAbstractUI.aspx?menuIndex=3&amp;refID=7043222&amp;Result=3","7043222")</f>
        <v>0</v>
      </c>
      <c r="B2786" t="s">
        <v>1035</v>
      </c>
      <c r="C2786" t="s">
        <v>5341</v>
      </c>
      <c r="D2786" t="s">
        <v>13073</v>
      </c>
      <c r="E2786" t="s">
        <v>15611</v>
      </c>
      <c r="F2786" t="s">
        <v>22436</v>
      </c>
      <c r="G2786" t="s">
        <v>22444</v>
      </c>
      <c r="H2786" t="s">
        <v>22454</v>
      </c>
      <c r="I2786" t="s">
        <v>7738</v>
      </c>
      <c r="J2786" t="s">
        <v>24487</v>
      </c>
      <c r="K2786" t="s">
        <v>29373</v>
      </c>
      <c r="M2786" t="s">
        <v>30666</v>
      </c>
      <c r="N2786" t="s">
        <v>32524</v>
      </c>
      <c r="O2786" t="s">
        <v>32525</v>
      </c>
      <c r="P2786">
        <v>0</v>
      </c>
      <c r="Q2786">
        <v>0</v>
      </c>
      <c r="R2786" t="s">
        <v>32527</v>
      </c>
      <c r="S2786" t="s">
        <v>32552</v>
      </c>
      <c r="T2786" t="s">
        <v>33166</v>
      </c>
      <c r="U2786" t="s">
        <v>35996</v>
      </c>
      <c r="W2786" t="s">
        <v>30666</v>
      </c>
      <c r="X2786" t="s">
        <v>32531</v>
      </c>
    </row>
    <row r="2787" spans="1:24">
      <c r="A2787">
        <f>HYPERLINK("https://www.philgeps.gov.ph/GEPSNONPILOT/Tender/SplashBidNoticeAbstractUI.aspx?menuIndex=3&amp;refID=7043199&amp;Result=3","7043199")</f>
        <v>0</v>
      </c>
      <c r="B2787" t="s">
        <v>1030</v>
      </c>
      <c r="C2787" t="s">
        <v>5342</v>
      </c>
      <c r="D2787" t="s">
        <v>12988</v>
      </c>
      <c r="E2787" t="s">
        <v>15612</v>
      </c>
      <c r="F2787" t="s">
        <v>22437</v>
      </c>
      <c r="G2787" t="s">
        <v>22444</v>
      </c>
      <c r="H2787" t="s">
        <v>22452</v>
      </c>
      <c r="I2787" t="s">
        <v>2981</v>
      </c>
      <c r="J2787" t="s">
        <v>22743</v>
      </c>
      <c r="K2787" t="s">
        <v>29335</v>
      </c>
      <c r="M2787" t="s">
        <v>30660</v>
      </c>
      <c r="N2787" t="s">
        <v>32524</v>
      </c>
      <c r="O2787" t="s">
        <v>32525</v>
      </c>
      <c r="P2787">
        <v>0</v>
      </c>
      <c r="Q2787">
        <v>0</v>
      </c>
      <c r="R2787" t="s">
        <v>32527</v>
      </c>
      <c r="S2787" t="s">
        <v>32552</v>
      </c>
      <c r="T2787" t="s">
        <v>33234</v>
      </c>
      <c r="U2787" t="s">
        <v>35997</v>
      </c>
      <c r="V2787" t="s">
        <v>42693</v>
      </c>
      <c r="W2787" t="s">
        <v>30660</v>
      </c>
      <c r="X2787" t="s">
        <v>32531</v>
      </c>
    </row>
    <row r="2788" spans="1:24">
      <c r="A2788">
        <f>HYPERLINK("https://www.philgeps.gov.ph/GEPSNONPILOT/Tender/SplashBidNoticeAbstractUI.aspx?menuIndex=3&amp;refID=7043189&amp;Result=3","7043189")</f>
        <v>0</v>
      </c>
      <c r="B2788" t="s">
        <v>1030</v>
      </c>
      <c r="C2788" t="s">
        <v>5343</v>
      </c>
      <c r="D2788" t="s">
        <v>12988</v>
      </c>
      <c r="E2788" t="s">
        <v>15613</v>
      </c>
      <c r="F2788" t="s">
        <v>22437</v>
      </c>
      <c r="G2788" t="s">
        <v>22444</v>
      </c>
      <c r="H2788" t="s">
        <v>22452</v>
      </c>
      <c r="I2788" t="s">
        <v>22494</v>
      </c>
      <c r="J2788" t="s">
        <v>22893</v>
      </c>
      <c r="K2788" t="s">
        <v>29335</v>
      </c>
      <c r="M2788" t="s">
        <v>30660</v>
      </c>
      <c r="N2788" t="s">
        <v>32524</v>
      </c>
      <c r="O2788" t="s">
        <v>32525</v>
      </c>
      <c r="P2788">
        <v>0</v>
      </c>
      <c r="Q2788">
        <v>0</v>
      </c>
      <c r="R2788" t="s">
        <v>32527</v>
      </c>
      <c r="S2788" t="s">
        <v>32552</v>
      </c>
      <c r="T2788" t="s">
        <v>33242</v>
      </c>
      <c r="U2788" t="s">
        <v>35998</v>
      </c>
      <c r="V2788" t="s">
        <v>42693</v>
      </c>
      <c r="W2788" t="s">
        <v>30660</v>
      </c>
      <c r="X2788" t="s">
        <v>32531</v>
      </c>
    </row>
    <row r="2789" spans="1:24">
      <c r="A2789">
        <f>HYPERLINK("https://www.philgeps.gov.ph/GEPSNONPILOT/Tender/SplashBidNoticeAbstractUI.aspx?menuIndex=3&amp;refID=7043216&amp;Result=3","7043216")</f>
        <v>0</v>
      </c>
      <c r="B2789" t="s">
        <v>1035</v>
      </c>
      <c r="C2789" t="s">
        <v>5344</v>
      </c>
      <c r="D2789" t="s">
        <v>13073</v>
      </c>
      <c r="E2789" t="s">
        <v>15614</v>
      </c>
      <c r="F2789" t="s">
        <v>22436</v>
      </c>
      <c r="G2789" t="s">
        <v>22444</v>
      </c>
      <c r="H2789" t="s">
        <v>22454</v>
      </c>
      <c r="I2789" t="s">
        <v>7738</v>
      </c>
      <c r="J2789" t="s">
        <v>24488</v>
      </c>
      <c r="K2789" t="s">
        <v>29333</v>
      </c>
      <c r="M2789" t="s">
        <v>30666</v>
      </c>
      <c r="N2789" t="s">
        <v>32524</v>
      </c>
      <c r="O2789" t="s">
        <v>32525</v>
      </c>
      <c r="P2789">
        <v>0</v>
      </c>
      <c r="Q2789">
        <v>0</v>
      </c>
      <c r="R2789" t="s">
        <v>32527</v>
      </c>
      <c r="S2789" t="s">
        <v>32552</v>
      </c>
      <c r="T2789" t="s">
        <v>33166</v>
      </c>
      <c r="U2789" t="s">
        <v>35999</v>
      </c>
      <c r="W2789" t="s">
        <v>30666</v>
      </c>
      <c r="X2789" t="s">
        <v>32531</v>
      </c>
    </row>
    <row r="2790" spans="1:24">
      <c r="A2790">
        <f>HYPERLINK("https://www.philgeps.gov.ph/GEPSNONPILOT/Tender/SplashBidNoticeAbstractUI.aspx?menuIndex=3&amp;refID=7043234&amp;Result=3","7043234")</f>
        <v>0</v>
      </c>
      <c r="B2790" t="s">
        <v>1035</v>
      </c>
      <c r="C2790" t="s">
        <v>5345</v>
      </c>
      <c r="D2790" t="s">
        <v>13073</v>
      </c>
      <c r="E2790" t="s">
        <v>15615</v>
      </c>
      <c r="F2790" t="s">
        <v>22436</v>
      </c>
      <c r="G2790" t="s">
        <v>22444</v>
      </c>
      <c r="H2790" t="s">
        <v>22454</v>
      </c>
      <c r="I2790" t="s">
        <v>7738</v>
      </c>
      <c r="J2790" t="s">
        <v>24484</v>
      </c>
      <c r="K2790" t="s">
        <v>29335</v>
      </c>
      <c r="M2790" t="s">
        <v>30666</v>
      </c>
      <c r="N2790" t="s">
        <v>32524</v>
      </c>
      <c r="O2790" t="s">
        <v>32525</v>
      </c>
      <c r="P2790">
        <v>0</v>
      </c>
      <c r="Q2790">
        <v>0</v>
      </c>
      <c r="R2790" t="s">
        <v>32527</v>
      </c>
      <c r="S2790" t="s">
        <v>32552</v>
      </c>
      <c r="T2790" t="s">
        <v>33166</v>
      </c>
      <c r="U2790" t="s">
        <v>36000</v>
      </c>
      <c r="W2790" t="s">
        <v>30666</v>
      </c>
      <c r="X2790" t="s">
        <v>32531</v>
      </c>
    </row>
    <row r="2791" spans="1:24">
      <c r="A2791">
        <f>HYPERLINK("https://www.philgeps.gov.ph/GEPSNONPILOT/Tender/SplashBidNoticeAbstractUI.aspx?menuIndex=3&amp;refID=7043311&amp;Result=3","7043311")</f>
        <v>0</v>
      </c>
      <c r="B2791" t="s">
        <v>36</v>
      </c>
      <c r="C2791" t="s">
        <v>2981</v>
      </c>
      <c r="D2791" t="s">
        <v>12998</v>
      </c>
      <c r="E2791" t="s">
        <v>15616</v>
      </c>
      <c r="F2791" t="s">
        <v>22436</v>
      </c>
      <c r="G2791" t="s">
        <v>22443</v>
      </c>
      <c r="H2791" t="s">
        <v>22452</v>
      </c>
      <c r="I2791" t="s">
        <v>2981</v>
      </c>
      <c r="J2791" t="s">
        <v>24489</v>
      </c>
      <c r="K2791" t="s">
        <v>29335</v>
      </c>
      <c r="M2791" t="s">
        <v>29606</v>
      </c>
      <c r="N2791" t="s">
        <v>32524</v>
      </c>
      <c r="O2791" t="s">
        <v>32525</v>
      </c>
      <c r="P2791">
        <v>0</v>
      </c>
      <c r="Q2791">
        <v>0</v>
      </c>
      <c r="R2791" t="s">
        <v>32527</v>
      </c>
      <c r="S2791" t="s">
        <v>32552</v>
      </c>
      <c r="T2791" t="s">
        <v>33351</v>
      </c>
      <c r="U2791" t="s">
        <v>36001</v>
      </c>
      <c r="W2791" t="s">
        <v>29606</v>
      </c>
      <c r="X2791" t="s">
        <v>32530</v>
      </c>
    </row>
    <row r="2792" spans="1:24">
      <c r="A2792">
        <f>HYPERLINK("https://www.philgeps.gov.ph/GEPSNONPILOT/Tender/SplashBidNoticeAbstractUI.aspx?menuIndex=3&amp;refID=7043334&amp;Result=3","7043334")</f>
        <v>0</v>
      </c>
      <c r="B2792" t="s">
        <v>1036</v>
      </c>
      <c r="C2792" t="s">
        <v>5346</v>
      </c>
      <c r="D2792" t="s">
        <v>13050</v>
      </c>
      <c r="E2792" t="s">
        <v>15617</v>
      </c>
      <c r="F2792" t="s">
        <v>22442</v>
      </c>
      <c r="G2792" t="s">
        <v>22443</v>
      </c>
      <c r="H2792" t="s">
        <v>22452</v>
      </c>
      <c r="I2792" t="s">
        <v>22501</v>
      </c>
      <c r="J2792" t="s">
        <v>22802</v>
      </c>
      <c r="K2792" t="s">
        <v>29335</v>
      </c>
      <c r="M2792" t="s">
        <v>30667</v>
      </c>
      <c r="N2792" t="s">
        <v>32524</v>
      </c>
      <c r="O2792" t="s">
        <v>32525</v>
      </c>
      <c r="P2792">
        <v>0</v>
      </c>
      <c r="Q2792">
        <v>0</v>
      </c>
      <c r="R2792" t="s">
        <v>32527</v>
      </c>
      <c r="S2792" t="s">
        <v>32552</v>
      </c>
      <c r="T2792" t="s">
        <v>33235</v>
      </c>
      <c r="U2792" t="s">
        <v>36002</v>
      </c>
      <c r="W2792" t="s">
        <v>30667</v>
      </c>
      <c r="X2792" t="s">
        <v>32530</v>
      </c>
    </row>
    <row r="2793" spans="1:24">
      <c r="A2793">
        <f>HYPERLINK("https://www.philgeps.gov.ph/GEPSNONPILOT/Tender/SplashBidNoticeAbstractUI.aspx?menuIndex=3&amp;refID=7043275&amp;Result=3","7043275")</f>
        <v>0</v>
      </c>
      <c r="B2793" t="s">
        <v>1037</v>
      </c>
      <c r="C2793" t="s">
        <v>5347</v>
      </c>
      <c r="D2793" t="s">
        <v>12994</v>
      </c>
      <c r="E2793" t="s">
        <v>13182</v>
      </c>
      <c r="F2793" t="s">
        <v>22436</v>
      </c>
      <c r="G2793" t="s">
        <v>22444</v>
      </c>
      <c r="H2793" t="s">
        <v>22452</v>
      </c>
      <c r="I2793" t="s">
        <v>3529</v>
      </c>
      <c r="J2793" t="s">
        <v>24490</v>
      </c>
      <c r="K2793" t="s">
        <v>29357</v>
      </c>
      <c r="M2793" t="s">
        <v>30668</v>
      </c>
      <c r="N2793" t="s">
        <v>32524</v>
      </c>
      <c r="O2793" t="s">
        <v>32525</v>
      </c>
      <c r="P2793">
        <v>0</v>
      </c>
      <c r="Q2793">
        <v>0</v>
      </c>
      <c r="R2793" t="s">
        <v>32527</v>
      </c>
      <c r="S2793" t="s">
        <v>32552</v>
      </c>
      <c r="T2793" t="s">
        <v>33361</v>
      </c>
      <c r="U2793" t="s">
        <v>36003</v>
      </c>
      <c r="W2793" t="s">
        <v>30668</v>
      </c>
      <c r="X2793" t="s">
        <v>32531</v>
      </c>
    </row>
    <row r="2794" spans="1:24">
      <c r="A2794">
        <f>HYPERLINK("https://www.philgeps.gov.ph/GEPSNONPILOT/Tender/SplashBidNoticeAbstractUI.aspx?menuIndex=3&amp;refID=7043255&amp;Result=3","7043255")</f>
        <v>0</v>
      </c>
      <c r="B2794" t="s">
        <v>1035</v>
      </c>
      <c r="C2794" t="s">
        <v>5348</v>
      </c>
      <c r="D2794" t="s">
        <v>13073</v>
      </c>
      <c r="E2794" t="s">
        <v>15618</v>
      </c>
      <c r="F2794" t="s">
        <v>22436</v>
      </c>
      <c r="G2794" t="s">
        <v>22444</v>
      </c>
      <c r="H2794" t="s">
        <v>22454</v>
      </c>
      <c r="I2794" t="s">
        <v>7738</v>
      </c>
      <c r="J2794" t="s">
        <v>24491</v>
      </c>
      <c r="K2794" t="s">
        <v>29329</v>
      </c>
      <c r="M2794" t="s">
        <v>30666</v>
      </c>
      <c r="N2794" t="s">
        <v>32524</v>
      </c>
      <c r="O2794" t="s">
        <v>32525</v>
      </c>
      <c r="P2794">
        <v>0</v>
      </c>
      <c r="Q2794">
        <v>0</v>
      </c>
      <c r="R2794" t="s">
        <v>32527</v>
      </c>
      <c r="S2794" t="s">
        <v>32552</v>
      </c>
      <c r="T2794" t="s">
        <v>33166</v>
      </c>
      <c r="U2794" t="s">
        <v>36004</v>
      </c>
      <c r="W2794" t="s">
        <v>30666</v>
      </c>
      <c r="X2794" t="s">
        <v>32531</v>
      </c>
    </row>
    <row r="2795" spans="1:24">
      <c r="A2795">
        <f>HYPERLINK("https://www.philgeps.gov.ph/GEPSNONPILOT/Tender/SplashBidNoticeAbstractUI.aspx?menuIndex=3&amp;refID=7043315&amp;Result=3","7043315")</f>
        <v>0</v>
      </c>
      <c r="B2795" t="s">
        <v>87</v>
      </c>
      <c r="C2795" t="s">
        <v>5349</v>
      </c>
      <c r="E2795" t="s">
        <v>15619</v>
      </c>
      <c r="F2795" t="s">
        <v>22436</v>
      </c>
      <c r="G2795" t="s">
        <v>22443</v>
      </c>
      <c r="H2795" t="s">
        <v>22452</v>
      </c>
      <c r="I2795" t="s">
        <v>22552</v>
      </c>
      <c r="J2795" t="s">
        <v>24492</v>
      </c>
      <c r="K2795" t="s">
        <v>29338</v>
      </c>
      <c r="M2795" t="s">
        <v>29659</v>
      </c>
      <c r="N2795" t="s">
        <v>32524</v>
      </c>
      <c r="O2795" t="s">
        <v>32525</v>
      </c>
      <c r="P2795">
        <v>0</v>
      </c>
      <c r="Q2795">
        <v>0</v>
      </c>
      <c r="R2795" t="s">
        <v>32527</v>
      </c>
      <c r="S2795" t="s">
        <v>32552</v>
      </c>
      <c r="T2795" t="s">
        <v>33213</v>
      </c>
      <c r="U2795" t="s">
        <v>36005</v>
      </c>
      <c r="V2795" t="s">
        <v>42456</v>
      </c>
      <c r="W2795" t="s">
        <v>29659</v>
      </c>
      <c r="X2795" t="s">
        <v>32530</v>
      </c>
    </row>
    <row r="2796" spans="1:24">
      <c r="A2796">
        <f>HYPERLINK("https://www.philgeps.gov.ph/GEPSNONPILOT/Tender/SplashBidNoticeAbstractUI.aspx?menuIndex=3&amp;refID=7043313&amp;Result=3","7043313")</f>
        <v>0</v>
      </c>
      <c r="B2796" t="s">
        <v>103</v>
      </c>
      <c r="C2796" t="s">
        <v>5350</v>
      </c>
      <c r="D2796" t="s">
        <v>13030</v>
      </c>
      <c r="E2796" t="s">
        <v>15620</v>
      </c>
      <c r="F2796" t="s">
        <v>22436</v>
      </c>
      <c r="G2796" t="s">
        <v>22444</v>
      </c>
      <c r="H2796" t="s">
        <v>22452</v>
      </c>
      <c r="I2796" t="s">
        <v>7738</v>
      </c>
      <c r="J2796" t="s">
        <v>22936</v>
      </c>
      <c r="K2796" t="s">
        <v>29438</v>
      </c>
      <c r="M2796" t="s">
        <v>29675</v>
      </c>
      <c r="N2796" t="s">
        <v>32524</v>
      </c>
      <c r="O2796" t="s">
        <v>32525</v>
      </c>
      <c r="P2796">
        <v>0</v>
      </c>
      <c r="Q2796">
        <v>4</v>
      </c>
      <c r="R2796" t="s">
        <v>32527</v>
      </c>
      <c r="S2796" t="s">
        <v>32552</v>
      </c>
      <c r="T2796" t="s">
        <v>33237</v>
      </c>
      <c r="U2796" t="s">
        <v>36006</v>
      </c>
      <c r="V2796" t="s">
        <v>42695</v>
      </c>
      <c r="W2796" t="s">
        <v>29675</v>
      </c>
      <c r="X2796" t="s">
        <v>32530</v>
      </c>
    </row>
    <row r="2797" spans="1:24">
      <c r="A2797">
        <f>HYPERLINK("https://www.philgeps.gov.ph/GEPSNONPILOT/Tender/SplashBidNoticeAbstractUI.aspx?menuIndex=3&amp;refID=7043245&amp;Result=3","7043245")</f>
        <v>0</v>
      </c>
      <c r="B2797" t="s">
        <v>1035</v>
      </c>
      <c r="C2797" t="s">
        <v>5351</v>
      </c>
      <c r="D2797" t="s">
        <v>13073</v>
      </c>
      <c r="E2797" t="s">
        <v>15621</v>
      </c>
      <c r="F2797" t="s">
        <v>22436</v>
      </c>
      <c r="G2797" t="s">
        <v>22444</v>
      </c>
      <c r="H2797" t="s">
        <v>22454</v>
      </c>
      <c r="I2797" t="s">
        <v>7738</v>
      </c>
      <c r="J2797" t="s">
        <v>24493</v>
      </c>
      <c r="K2797" t="s">
        <v>29329</v>
      </c>
      <c r="M2797" t="s">
        <v>30666</v>
      </c>
      <c r="N2797" t="s">
        <v>32524</v>
      </c>
      <c r="O2797" t="s">
        <v>32525</v>
      </c>
      <c r="P2797">
        <v>0</v>
      </c>
      <c r="Q2797">
        <v>0</v>
      </c>
      <c r="R2797" t="s">
        <v>32527</v>
      </c>
      <c r="S2797" t="s">
        <v>32552</v>
      </c>
      <c r="T2797" t="s">
        <v>33166</v>
      </c>
      <c r="U2797" t="s">
        <v>36007</v>
      </c>
      <c r="W2797" t="s">
        <v>30666</v>
      </c>
      <c r="X2797" t="s">
        <v>32531</v>
      </c>
    </row>
    <row r="2798" spans="1:24">
      <c r="A2798">
        <f>HYPERLINK("https://www.philgeps.gov.ph/GEPSNONPILOT/Tender/SplashBidNoticeAbstractUI.aspx?menuIndex=3&amp;refID=7043345&amp;Result=3","7043345")</f>
        <v>0</v>
      </c>
      <c r="B2798" t="s">
        <v>754</v>
      </c>
      <c r="C2798" t="s">
        <v>5352</v>
      </c>
      <c r="D2798" t="s">
        <v>13019</v>
      </c>
      <c r="E2798" t="s">
        <v>13701</v>
      </c>
      <c r="F2798" t="s">
        <v>22436</v>
      </c>
      <c r="G2798" t="s">
        <v>22444</v>
      </c>
      <c r="H2798" t="s">
        <v>22454</v>
      </c>
      <c r="I2798" t="s">
        <v>7738</v>
      </c>
      <c r="J2798" t="s">
        <v>24494</v>
      </c>
      <c r="K2798" t="s">
        <v>29363</v>
      </c>
      <c r="M2798" t="s">
        <v>30355</v>
      </c>
      <c r="N2798" t="s">
        <v>32524</v>
      </c>
      <c r="O2798" t="s">
        <v>32525</v>
      </c>
      <c r="P2798">
        <v>0</v>
      </c>
      <c r="Q2798">
        <v>2</v>
      </c>
      <c r="R2798" t="s">
        <v>32527</v>
      </c>
      <c r="S2798" t="s">
        <v>32552</v>
      </c>
      <c r="T2798" t="s">
        <v>33157</v>
      </c>
      <c r="U2798" t="s">
        <v>36008</v>
      </c>
      <c r="W2798" t="s">
        <v>30355</v>
      </c>
      <c r="X2798" t="s">
        <v>32530</v>
      </c>
    </row>
    <row r="2799" spans="1:24">
      <c r="A2799">
        <f>HYPERLINK("https://www.philgeps.gov.ph/GEPSNONPILOT/Tender/SplashBidNoticeAbstractUI.aspx?menuIndex=3&amp;refID=7043303&amp;Result=3","7043303")</f>
        <v>0</v>
      </c>
      <c r="B2799" t="s">
        <v>1038</v>
      </c>
      <c r="C2799" t="s">
        <v>5353</v>
      </c>
      <c r="D2799" t="s">
        <v>13025</v>
      </c>
      <c r="E2799" t="s">
        <v>15622</v>
      </c>
      <c r="F2799" t="s">
        <v>22436</v>
      </c>
      <c r="G2799" t="s">
        <v>22444</v>
      </c>
      <c r="H2799" t="s">
        <v>22452</v>
      </c>
      <c r="I2799" t="s">
        <v>22471</v>
      </c>
      <c r="J2799" t="s">
        <v>24495</v>
      </c>
      <c r="K2799" t="s">
        <v>29335</v>
      </c>
      <c r="M2799" t="s">
        <v>30669</v>
      </c>
      <c r="N2799" t="s">
        <v>32524</v>
      </c>
      <c r="O2799" t="s">
        <v>32525</v>
      </c>
      <c r="P2799">
        <v>0</v>
      </c>
      <c r="Q2799">
        <v>2</v>
      </c>
      <c r="R2799" t="s">
        <v>32527</v>
      </c>
      <c r="S2799" t="s">
        <v>32552</v>
      </c>
      <c r="T2799" t="s">
        <v>33157</v>
      </c>
      <c r="U2799" t="s">
        <v>36009</v>
      </c>
      <c r="W2799" t="s">
        <v>43704</v>
      </c>
      <c r="X2799" t="s">
        <v>32530</v>
      </c>
    </row>
    <row r="2800" spans="1:24">
      <c r="A2800">
        <f>HYPERLINK("https://www.philgeps.gov.ph/GEPSNONPILOT/Tender/SplashBidNoticeAbstractUI.aspx?menuIndex=3&amp;refID=7043335&amp;Result=3","7043335")</f>
        <v>0</v>
      </c>
      <c r="B2800" t="s">
        <v>1039</v>
      </c>
      <c r="C2800" t="s">
        <v>5354</v>
      </c>
      <c r="D2800" t="s">
        <v>13000</v>
      </c>
      <c r="E2800" t="s">
        <v>15623</v>
      </c>
      <c r="F2800" t="s">
        <v>22436</v>
      </c>
      <c r="G2800" t="s">
        <v>22444</v>
      </c>
      <c r="H2800" t="s">
        <v>22452</v>
      </c>
      <c r="I2800" t="s">
        <v>3827</v>
      </c>
      <c r="J2800" t="s">
        <v>22785</v>
      </c>
      <c r="K2800" t="s">
        <v>29356</v>
      </c>
      <c r="M2800" t="s">
        <v>30670</v>
      </c>
      <c r="N2800" t="s">
        <v>32524</v>
      </c>
      <c r="O2800" t="s">
        <v>32525</v>
      </c>
      <c r="P2800">
        <v>0</v>
      </c>
      <c r="Q2800">
        <v>2</v>
      </c>
      <c r="R2800" t="s">
        <v>32527</v>
      </c>
      <c r="S2800" t="s">
        <v>32552</v>
      </c>
      <c r="T2800" t="s">
        <v>33172</v>
      </c>
      <c r="U2800" t="s">
        <v>36010</v>
      </c>
      <c r="W2800" t="s">
        <v>30670</v>
      </c>
      <c r="X2800" t="s">
        <v>32530</v>
      </c>
    </row>
    <row r="2801" spans="1:24">
      <c r="A2801">
        <f>HYPERLINK("https://www.philgeps.gov.ph/GEPSNONPILOT/Tender/SplashBidNoticeAbstractUI.aspx?menuIndex=3&amp;refID=7043366&amp;Result=3","7043366")</f>
        <v>0</v>
      </c>
      <c r="B2801" t="s">
        <v>1040</v>
      </c>
      <c r="C2801" t="s">
        <v>5355</v>
      </c>
      <c r="D2801" t="s">
        <v>13069</v>
      </c>
      <c r="E2801" t="s">
        <v>15624</v>
      </c>
      <c r="F2801" t="s">
        <v>22436</v>
      </c>
      <c r="G2801" t="s">
        <v>22446</v>
      </c>
      <c r="H2801" t="s">
        <v>22452</v>
      </c>
      <c r="I2801" t="s">
        <v>3529</v>
      </c>
      <c r="J2801" t="s">
        <v>23234</v>
      </c>
      <c r="K2801" t="s">
        <v>29331</v>
      </c>
      <c r="M2801" t="s">
        <v>30671</v>
      </c>
      <c r="N2801" t="s">
        <v>32524</v>
      </c>
      <c r="O2801" t="s">
        <v>32525</v>
      </c>
      <c r="P2801">
        <v>0</v>
      </c>
      <c r="Q2801">
        <v>0</v>
      </c>
      <c r="R2801" t="s">
        <v>32527</v>
      </c>
      <c r="S2801" t="s">
        <v>32552</v>
      </c>
      <c r="T2801" t="s">
        <v>33313</v>
      </c>
      <c r="U2801" t="s">
        <v>36011</v>
      </c>
      <c r="W2801" t="s">
        <v>30671</v>
      </c>
      <c r="X2801" t="s">
        <v>32530</v>
      </c>
    </row>
    <row r="2802" spans="1:24">
      <c r="A2802">
        <f>HYPERLINK("https://www.philgeps.gov.ph/GEPSNONPILOT/Tender/SplashBidNoticeAbstractUI.aspx?menuIndex=3&amp;refID=7043242&amp;Result=3","7043242")</f>
        <v>0</v>
      </c>
      <c r="B2802" t="s">
        <v>1035</v>
      </c>
      <c r="C2802" t="s">
        <v>5356</v>
      </c>
      <c r="D2802" t="s">
        <v>13073</v>
      </c>
      <c r="E2802" t="s">
        <v>15625</v>
      </c>
      <c r="F2802" t="s">
        <v>22436</v>
      </c>
      <c r="G2802" t="s">
        <v>22444</v>
      </c>
      <c r="H2802" t="s">
        <v>22454</v>
      </c>
      <c r="I2802" t="s">
        <v>7738</v>
      </c>
      <c r="J2802" t="s">
        <v>24496</v>
      </c>
      <c r="K2802" t="s">
        <v>29347</v>
      </c>
      <c r="M2802" t="s">
        <v>30666</v>
      </c>
      <c r="N2802" t="s">
        <v>32524</v>
      </c>
      <c r="O2802" t="s">
        <v>32525</v>
      </c>
      <c r="P2802">
        <v>0</v>
      </c>
      <c r="Q2802">
        <v>0</v>
      </c>
      <c r="R2802" t="s">
        <v>32527</v>
      </c>
      <c r="S2802" t="s">
        <v>32552</v>
      </c>
      <c r="T2802" t="s">
        <v>33166</v>
      </c>
      <c r="U2802" t="s">
        <v>36012</v>
      </c>
      <c r="W2802" t="s">
        <v>30666</v>
      </c>
      <c r="X2802" t="s">
        <v>32531</v>
      </c>
    </row>
    <row r="2803" spans="1:24">
      <c r="A2803">
        <f>HYPERLINK("https://www.philgeps.gov.ph/GEPSNONPILOT/Tender/SplashBidNoticeAbstractUI.aspx?menuIndex=3&amp;refID=7043350&amp;Result=3","7043350")</f>
        <v>0</v>
      </c>
      <c r="B2803" t="s">
        <v>754</v>
      </c>
      <c r="C2803" t="s">
        <v>5352</v>
      </c>
      <c r="D2803" t="s">
        <v>13019</v>
      </c>
      <c r="E2803" t="s">
        <v>14621</v>
      </c>
      <c r="F2803" t="s">
        <v>22436</v>
      </c>
      <c r="G2803" t="s">
        <v>22444</v>
      </c>
      <c r="H2803" t="s">
        <v>22454</v>
      </c>
      <c r="I2803" t="s">
        <v>7738</v>
      </c>
      <c r="J2803" t="s">
        <v>24494</v>
      </c>
      <c r="K2803" t="s">
        <v>29363</v>
      </c>
      <c r="M2803" t="s">
        <v>30355</v>
      </c>
      <c r="N2803" t="s">
        <v>32524</v>
      </c>
      <c r="O2803" t="s">
        <v>32525</v>
      </c>
      <c r="P2803">
        <v>0</v>
      </c>
      <c r="Q2803">
        <v>2</v>
      </c>
      <c r="R2803" t="s">
        <v>32527</v>
      </c>
      <c r="S2803" t="s">
        <v>32552</v>
      </c>
      <c r="T2803" t="s">
        <v>33157</v>
      </c>
      <c r="U2803" t="s">
        <v>36008</v>
      </c>
      <c r="W2803" t="s">
        <v>30355</v>
      </c>
      <c r="X2803" t="s">
        <v>32530</v>
      </c>
    </row>
    <row r="2804" spans="1:24">
      <c r="A2804">
        <f>HYPERLINK("https://www.philgeps.gov.ph/GEPSNONPILOT/Tender/SplashBidNoticeAbstractUI.aspx?menuIndex=3&amp;refID=7043248&amp;Result=3","7043248")</f>
        <v>0</v>
      </c>
      <c r="B2804" t="s">
        <v>1035</v>
      </c>
      <c r="C2804" t="s">
        <v>5357</v>
      </c>
      <c r="D2804" t="s">
        <v>13073</v>
      </c>
      <c r="E2804" t="s">
        <v>15626</v>
      </c>
      <c r="F2804" t="s">
        <v>22436</v>
      </c>
      <c r="G2804" t="s">
        <v>22444</v>
      </c>
      <c r="H2804" t="s">
        <v>22454</v>
      </c>
      <c r="I2804" t="s">
        <v>7738</v>
      </c>
      <c r="J2804" t="s">
        <v>24497</v>
      </c>
      <c r="K2804" t="s">
        <v>29329</v>
      </c>
      <c r="M2804" t="s">
        <v>30666</v>
      </c>
      <c r="N2804" t="s">
        <v>32524</v>
      </c>
      <c r="O2804" t="s">
        <v>32525</v>
      </c>
      <c r="P2804">
        <v>0</v>
      </c>
      <c r="Q2804">
        <v>0</v>
      </c>
      <c r="R2804" t="s">
        <v>32527</v>
      </c>
      <c r="S2804" t="s">
        <v>32552</v>
      </c>
      <c r="T2804" t="s">
        <v>33166</v>
      </c>
      <c r="U2804" t="s">
        <v>36013</v>
      </c>
      <c r="W2804" t="s">
        <v>30666</v>
      </c>
      <c r="X2804" t="s">
        <v>32531</v>
      </c>
    </row>
    <row r="2805" spans="1:24">
      <c r="A2805">
        <f>HYPERLINK("https://www.philgeps.gov.ph/GEPSNONPILOT/Tender/SplashBidNoticeAbstractUI.aspx?menuIndex=3&amp;refID=7043360&amp;Result=3","7043360")</f>
        <v>0</v>
      </c>
      <c r="B2805" t="s">
        <v>754</v>
      </c>
      <c r="C2805" t="s">
        <v>5358</v>
      </c>
      <c r="D2805" t="s">
        <v>13019</v>
      </c>
      <c r="E2805" t="s">
        <v>14765</v>
      </c>
      <c r="F2805" t="s">
        <v>22436</v>
      </c>
      <c r="G2805" t="s">
        <v>22444</v>
      </c>
      <c r="H2805" t="s">
        <v>22454</v>
      </c>
      <c r="I2805" t="s">
        <v>7738</v>
      </c>
      <c r="J2805" t="s">
        <v>24498</v>
      </c>
      <c r="K2805" t="s">
        <v>29439</v>
      </c>
      <c r="M2805" t="s">
        <v>30355</v>
      </c>
      <c r="N2805" t="s">
        <v>32524</v>
      </c>
      <c r="O2805" t="s">
        <v>32525</v>
      </c>
      <c r="P2805">
        <v>0</v>
      </c>
      <c r="Q2805">
        <v>2</v>
      </c>
      <c r="R2805" t="s">
        <v>32527</v>
      </c>
      <c r="S2805" t="s">
        <v>32552</v>
      </c>
      <c r="T2805" t="s">
        <v>33157</v>
      </c>
      <c r="U2805" t="s">
        <v>36014</v>
      </c>
      <c r="W2805" t="s">
        <v>30355</v>
      </c>
      <c r="X2805" t="s">
        <v>32530</v>
      </c>
    </row>
    <row r="2806" spans="1:24">
      <c r="A2806">
        <f>HYPERLINK("https://www.philgeps.gov.ph/GEPSNONPILOT/Tender/SplashBidNoticeAbstractUI.aspx?menuIndex=3&amp;refID=7043356&amp;Result=3","7043356")</f>
        <v>0</v>
      </c>
      <c r="B2806" t="s">
        <v>754</v>
      </c>
      <c r="C2806" t="s">
        <v>5359</v>
      </c>
      <c r="D2806" t="s">
        <v>13019</v>
      </c>
      <c r="E2806" t="s">
        <v>14434</v>
      </c>
      <c r="F2806" t="s">
        <v>22436</v>
      </c>
      <c r="G2806" t="s">
        <v>22444</v>
      </c>
      <c r="H2806" t="s">
        <v>22454</v>
      </c>
      <c r="I2806" t="s">
        <v>7738</v>
      </c>
      <c r="J2806" t="s">
        <v>24494</v>
      </c>
      <c r="K2806" t="s">
        <v>29363</v>
      </c>
      <c r="M2806" t="s">
        <v>30355</v>
      </c>
      <c r="N2806" t="s">
        <v>32524</v>
      </c>
      <c r="O2806" t="s">
        <v>32525</v>
      </c>
      <c r="P2806">
        <v>0</v>
      </c>
      <c r="Q2806">
        <v>2</v>
      </c>
      <c r="R2806" t="s">
        <v>32527</v>
      </c>
      <c r="S2806" t="s">
        <v>32552</v>
      </c>
      <c r="T2806" t="s">
        <v>33157</v>
      </c>
      <c r="U2806" t="s">
        <v>36015</v>
      </c>
      <c r="W2806" t="s">
        <v>30355</v>
      </c>
      <c r="X2806" t="s">
        <v>32530</v>
      </c>
    </row>
    <row r="2807" spans="1:24">
      <c r="A2807">
        <f>HYPERLINK("https://www.philgeps.gov.ph/GEPSNONPILOT/Tender/SplashBidNoticeAbstractUI.aspx?menuIndex=3&amp;refID=7043238&amp;Result=3","7043238")</f>
        <v>0</v>
      </c>
      <c r="B2807" t="s">
        <v>1035</v>
      </c>
      <c r="C2807" t="s">
        <v>5360</v>
      </c>
      <c r="D2807" t="s">
        <v>13073</v>
      </c>
      <c r="E2807" t="s">
        <v>15627</v>
      </c>
      <c r="F2807" t="s">
        <v>22436</v>
      </c>
      <c r="G2807" t="s">
        <v>22444</v>
      </c>
      <c r="H2807" t="s">
        <v>22454</v>
      </c>
      <c r="I2807" t="s">
        <v>7738</v>
      </c>
      <c r="J2807" t="s">
        <v>24499</v>
      </c>
      <c r="K2807" t="s">
        <v>29386</v>
      </c>
      <c r="M2807" t="s">
        <v>30666</v>
      </c>
      <c r="N2807" t="s">
        <v>32524</v>
      </c>
      <c r="O2807" t="s">
        <v>32525</v>
      </c>
      <c r="P2807">
        <v>0</v>
      </c>
      <c r="Q2807">
        <v>0</v>
      </c>
      <c r="R2807" t="s">
        <v>32527</v>
      </c>
      <c r="S2807" t="s">
        <v>32552</v>
      </c>
      <c r="T2807" t="s">
        <v>33166</v>
      </c>
      <c r="U2807" t="s">
        <v>36016</v>
      </c>
      <c r="W2807" t="s">
        <v>30666</v>
      </c>
      <c r="X2807" t="s">
        <v>32531</v>
      </c>
    </row>
    <row r="2808" spans="1:24">
      <c r="A2808">
        <f>HYPERLINK("https://www.philgeps.gov.ph/GEPSNONPILOT/Tender/SplashBidNoticeAbstractUI.aspx?menuIndex=3&amp;refID=7043405&amp;Result=3","7043405")</f>
        <v>0</v>
      </c>
      <c r="B2808" t="s">
        <v>754</v>
      </c>
      <c r="C2808" t="s">
        <v>5361</v>
      </c>
      <c r="D2808" t="s">
        <v>13019</v>
      </c>
      <c r="E2808" t="s">
        <v>13131</v>
      </c>
      <c r="F2808" t="s">
        <v>22436</v>
      </c>
      <c r="G2808" t="s">
        <v>22444</v>
      </c>
      <c r="H2808" t="s">
        <v>22454</v>
      </c>
      <c r="I2808" t="s">
        <v>7738</v>
      </c>
      <c r="J2808" t="s">
        <v>24500</v>
      </c>
      <c r="K2808" t="s">
        <v>29330</v>
      </c>
      <c r="M2808" t="s">
        <v>30355</v>
      </c>
      <c r="N2808" t="s">
        <v>32524</v>
      </c>
      <c r="O2808" t="s">
        <v>32525</v>
      </c>
      <c r="P2808">
        <v>0</v>
      </c>
      <c r="Q2808">
        <v>0</v>
      </c>
      <c r="R2808" t="s">
        <v>32527</v>
      </c>
      <c r="S2808" t="s">
        <v>32552</v>
      </c>
      <c r="T2808" t="s">
        <v>33157</v>
      </c>
      <c r="U2808" t="s">
        <v>36017</v>
      </c>
      <c r="W2808" t="s">
        <v>30355</v>
      </c>
      <c r="X2808" t="s">
        <v>32530</v>
      </c>
    </row>
    <row r="2809" spans="1:24">
      <c r="A2809">
        <f>HYPERLINK("https://www.philgeps.gov.ph/GEPSNONPILOT/Tender/SplashBidNoticeAbstractUI.aspx?menuIndex=3&amp;refID=7043387&amp;Result=3","7043387")</f>
        <v>0</v>
      </c>
      <c r="B2809" t="s">
        <v>754</v>
      </c>
      <c r="C2809" t="s">
        <v>5362</v>
      </c>
      <c r="D2809" t="s">
        <v>13019</v>
      </c>
      <c r="E2809" t="s">
        <v>15628</v>
      </c>
      <c r="F2809" t="s">
        <v>22436</v>
      </c>
      <c r="G2809" t="s">
        <v>22444</v>
      </c>
      <c r="H2809" t="s">
        <v>22454</v>
      </c>
      <c r="I2809" t="s">
        <v>7738</v>
      </c>
      <c r="J2809" t="s">
        <v>24501</v>
      </c>
      <c r="K2809" t="s">
        <v>29412</v>
      </c>
      <c r="M2809" t="s">
        <v>30355</v>
      </c>
      <c r="N2809" t="s">
        <v>32524</v>
      </c>
      <c r="O2809" t="s">
        <v>32525</v>
      </c>
      <c r="P2809">
        <v>0</v>
      </c>
      <c r="Q2809">
        <v>0</v>
      </c>
      <c r="R2809" t="s">
        <v>32527</v>
      </c>
      <c r="S2809" t="s">
        <v>32552</v>
      </c>
      <c r="T2809" t="s">
        <v>33157</v>
      </c>
      <c r="U2809" t="s">
        <v>36018</v>
      </c>
      <c r="W2809" t="s">
        <v>30355</v>
      </c>
      <c r="X2809" t="s">
        <v>32530</v>
      </c>
    </row>
    <row r="2810" spans="1:24">
      <c r="A2810">
        <f>HYPERLINK("https://www.philgeps.gov.ph/GEPSNONPILOT/Tender/SplashBidNoticeAbstractUI.aspx?menuIndex=3&amp;refID=7043352&amp;Result=3","7043352")</f>
        <v>0</v>
      </c>
      <c r="B2810" t="s">
        <v>1040</v>
      </c>
      <c r="C2810" t="s">
        <v>5355</v>
      </c>
      <c r="D2810" t="s">
        <v>13069</v>
      </c>
      <c r="E2810" t="s">
        <v>15629</v>
      </c>
      <c r="F2810" t="s">
        <v>22436</v>
      </c>
      <c r="G2810" t="s">
        <v>22446</v>
      </c>
      <c r="H2810" t="s">
        <v>22452</v>
      </c>
      <c r="I2810" t="s">
        <v>3529</v>
      </c>
      <c r="J2810" t="s">
        <v>22986</v>
      </c>
      <c r="K2810" t="s">
        <v>29331</v>
      </c>
      <c r="M2810" t="s">
        <v>30671</v>
      </c>
      <c r="N2810" t="s">
        <v>32524</v>
      </c>
      <c r="O2810" t="s">
        <v>32525</v>
      </c>
      <c r="P2810">
        <v>0</v>
      </c>
      <c r="Q2810">
        <v>0</v>
      </c>
      <c r="R2810" t="s">
        <v>32527</v>
      </c>
      <c r="S2810" t="s">
        <v>32552</v>
      </c>
      <c r="T2810" t="s">
        <v>33304</v>
      </c>
      <c r="U2810" t="s">
        <v>36011</v>
      </c>
      <c r="W2810" t="s">
        <v>30671</v>
      </c>
      <c r="X2810" t="s">
        <v>32530</v>
      </c>
    </row>
    <row r="2811" spans="1:24">
      <c r="A2811">
        <f>HYPERLINK("https://www.philgeps.gov.ph/GEPSNONPILOT/Tender/SplashBidNoticeAbstractUI.aspx?menuIndex=3&amp;refID=7043411&amp;Result=3","7043411")</f>
        <v>0</v>
      </c>
      <c r="B2811" t="s">
        <v>1041</v>
      </c>
      <c r="C2811" t="s">
        <v>5355</v>
      </c>
      <c r="D2811" t="s">
        <v>13069</v>
      </c>
      <c r="E2811" t="s">
        <v>15630</v>
      </c>
      <c r="F2811" t="s">
        <v>22436</v>
      </c>
      <c r="G2811" t="s">
        <v>22446</v>
      </c>
      <c r="H2811" t="s">
        <v>22452</v>
      </c>
      <c r="I2811" t="s">
        <v>3529</v>
      </c>
      <c r="J2811" t="s">
        <v>24502</v>
      </c>
      <c r="K2811" t="s">
        <v>29331</v>
      </c>
      <c r="M2811" t="s">
        <v>30672</v>
      </c>
      <c r="N2811" t="s">
        <v>32524</v>
      </c>
      <c r="O2811" t="s">
        <v>32525</v>
      </c>
      <c r="P2811">
        <v>0</v>
      </c>
      <c r="Q2811">
        <v>0</v>
      </c>
      <c r="R2811" t="s">
        <v>32527</v>
      </c>
      <c r="S2811" t="s">
        <v>32552</v>
      </c>
      <c r="T2811" t="s">
        <v>33304</v>
      </c>
      <c r="U2811" t="s">
        <v>36011</v>
      </c>
      <c r="W2811" t="s">
        <v>30672</v>
      </c>
      <c r="X2811" t="s">
        <v>32530</v>
      </c>
    </row>
    <row r="2812" spans="1:24">
      <c r="A2812">
        <f>HYPERLINK("https://www.philgeps.gov.ph/GEPSNONPILOT/Tender/SplashBidNoticeAbstractUI.aspx?menuIndex=3&amp;refID=7043384&amp;Result=3","7043384")</f>
        <v>0</v>
      </c>
      <c r="B2812" t="s">
        <v>1042</v>
      </c>
      <c r="C2812" t="s">
        <v>5355</v>
      </c>
      <c r="D2812" t="s">
        <v>13069</v>
      </c>
      <c r="E2812" t="s">
        <v>15631</v>
      </c>
      <c r="F2812" t="s">
        <v>22436</v>
      </c>
      <c r="G2812" t="s">
        <v>22446</v>
      </c>
      <c r="H2812" t="s">
        <v>22452</v>
      </c>
      <c r="I2812" t="s">
        <v>3529</v>
      </c>
      <c r="J2812" t="s">
        <v>24503</v>
      </c>
      <c r="K2812" t="s">
        <v>29331</v>
      </c>
      <c r="M2812" t="s">
        <v>30673</v>
      </c>
      <c r="N2812" t="s">
        <v>32524</v>
      </c>
      <c r="O2812" t="s">
        <v>32525</v>
      </c>
      <c r="P2812">
        <v>0</v>
      </c>
      <c r="Q2812">
        <v>0</v>
      </c>
      <c r="R2812" t="s">
        <v>32527</v>
      </c>
      <c r="S2812" t="s">
        <v>32552</v>
      </c>
      <c r="T2812" t="s">
        <v>33304</v>
      </c>
      <c r="U2812" t="s">
        <v>36011</v>
      </c>
      <c r="W2812" t="s">
        <v>30673</v>
      </c>
      <c r="X2812" t="s">
        <v>32530</v>
      </c>
    </row>
    <row r="2813" spans="1:24">
      <c r="A2813">
        <f>HYPERLINK("https://www.philgeps.gov.ph/GEPSNONPILOT/Tender/SplashBidNoticeAbstractUI.aspx?menuIndex=3&amp;refID=7043404&amp;Result=3","7043404")</f>
        <v>0</v>
      </c>
      <c r="B2813" t="s">
        <v>947</v>
      </c>
      <c r="C2813" t="s">
        <v>5363</v>
      </c>
      <c r="D2813" t="s">
        <v>13041</v>
      </c>
      <c r="E2813" t="s">
        <v>15632</v>
      </c>
      <c r="F2813" t="s">
        <v>22436</v>
      </c>
      <c r="G2813" t="s">
        <v>22444</v>
      </c>
      <c r="H2813" t="s">
        <v>22452</v>
      </c>
      <c r="I2813" t="s">
        <v>6387</v>
      </c>
      <c r="J2813" t="s">
        <v>24504</v>
      </c>
      <c r="K2813" t="s">
        <v>29339</v>
      </c>
      <c r="M2813" t="s">
        <v>30674</v>
      </c>
      <c r="N2813" t="s">
        <v>32524</v>
      </c>
      <c r="O2813" t="s">
        <v>32525</v>
      </c>
      <c r="P2813">
        <v>0</v>
      </c>
      <c r="Q2813">
        <v>5</v>
      </c>
      <c r="R2813" t="s">
        <v>32527</v>
      </c>
      <c r="S2813" t="s">
        <v>32552</v>
      </c>
      <c r="T2813" t="s">
        <v>33335</v>
      </c>
      <c r="U2813" t="s">
        <v>36019</v>
      </c>
      <c r="W2813" t="s">
        <v>30674</v>
      </c>
      <c r="X2813" t="s">
        <v>32530</v>
      </c>
    </row>
    <row r="2814" spans="1:24">
      <c r="A2814">
        <f>HYPERLINK("https://www.philgeps.gov.ph/GEPSNONPILOT/Tender/SplashBidNoticeAbstractUI.aspx?menuIndex=3&amp;refID=7043371&amp;Result=3","7043371")</f>
        <v>0</v>
      </c>
      <c r="B2814" t="s">
        <v>1040</v>
      </c>
      <c r="C2814" t="s">
        <v>5364</v>
      </c>
      <c r="D2814" t="s">
        <v>13069</v>
      </c>
      <c r="E2814" t="s">
        <v>15633</v>
      </c>
      <c r="F2814" t="s">
        <v>22436</v>
      </c>
      <c r="G2814" t="s">
        <v>22446</v>
      </c>
      <c r="H2814" t="s">
        <v>22452</v>
      </c>
      <c r="I2814" t="s">
        <v>5194</v>
      </c>
      <c r="J2814" t="s">
        <v>24505</v>
      </c>
      <c r="K2814" t="s">
        <v>29331</v>
      </c>
      <c r="M2814" t="s">
        <v>30671</v>
      </c>
      <c r="N2814" t="s">
        <v>32524</v>
      </c>
      <c r="O2814" t="s">
        <v>32525</v>
      </c>
      <c r="P2814">
        <v>0</v>
      </c>
      <c r="Q2814">
        <v>1</v>
      </c>
      <c r="R2814" t="s">
        <v>32527</v>
      </c>
      <c r="S2814" t="s">
        <v>32552</v>
      </c>
      <c r="T2814" t="s">
        <v>33304</v>
      </c>
      <c r="U2814" t="s">
        <v>36020</v>
      </c>
      <c r="W2814" t="s">
        <v>30671</v>
      </c>
      <c r="X2814" t="s">
        <v>32530</v>
      </c>
    </row>
    <row r="2815" spans="1:24">
      <c r="A2815">
        <f>HYPERLINK("https://www.philgeps.gov.ph/GEPSNONPILOT/Tender/SplashBidNoticeAbstractUI.aspx?menuIndex=3&amp;refID=7043409&amp;Result=3","7043409")</f>
        <v>0</v>
      </c>
      <c r="B2815" t="s">
        <v>1041</v>
      </c>
      <c r="C2815" t="s">
        <v>5364</v>
      </c>
      <c r="D2815" t="s">
        <v>13069</v>
      </c>
      <c r="E2815" t="s">
        <v>15634</v>
      </c>
      <c r="F2815" t="s">
        <v>22436</v>
      </c>
      <c r="G2815" t="s">
        <v>22446</v>
      </c>
      <c r="H2815" t="s">
        <v>22452</v>
      </c>
      <c r="I2815" t="s">
        <v>5194</v>
      </c>
      <c r="J2815" t="s">
        <v>24506</v>
      </c>
      <c r="K2815" t="s">
        <v>29331</v>
      </c>
      <c r="M2815" t="s">
        <v>30672</v>
      </c>
      <c r="N2815" t="s">
        <v>32524</v>
      </c>
      <c r="O2815" t="s">
        <v>32525</v>
      </c>
      <c r="P2815">
        <v>0</v>
      </c>
      <c r="Q2815">
        <v>1</v>
      </c>
      <c r="R2815" t="s">
        <v>32527</v>
      </c>
      <c r="S2815" t="s">
        <v>32552</v>
      </c>
      <c r="T2815" t="s">
        <v>33304</v>
      </c>
      <c r="U2815" t="s">
        <v>36020</v>
      </c>
      <c r="W2815" t="s">
        <v>30672</v>
      </c>
      <c r="X2815" t="s">
        <v>32530</v>
      </c>
    </row>
    <row r="2816" spans="1:24">
      <c r="A2816">
        <f>HYPERLINK("https://www.philgeps.gov.ph/GEPSNONPILOT/Tender/SplashBidNoticeAbstractUI.aspx?menuIndex=3&amp;refID=7043376&amp;Result=3","7043376")</f>
        <v>0</v>
      </c>
      <c r="B2816" t="s">
        <v>754</v>
      </c>
      <c r="C2816" t="s">
        <v>5365</v>
      </c>
      <c r="D2816" t="s">
        <v>13019</v>
      </c>
      <c r="E2816" t="s">
        <v>14832</v>
      </c>
      <c r="F2816" t="s">
        <v>22436</v>
      </c>
      <c r="G2816" t="s">
        <v>22444</v>
      </c>
      <c r="H2816" t="s">
        <v>22454</v>
      </c>
      <c r="I2816" t="s">
        <v>7738</v>
      </c>
      <c r="J2816" t="s">
        <v>24507</v>
      </c>
      <c r="K2816" t="s">
        <v>29417</v>
      </c>
      <c r="M2816" t="s">
        <v>30355</v>
      </c>
      <c r="N2816" t="s">
        <v>32524</v>
      </c>
      <c r="O2816" t="s">
        <v>32525</v>
      </c>
      <c r="P2816">
        <v>0</v>
      </c>
      <c r="Q2816">
        <v>1</v>
      </c>
      <c r="R2816" t="s">
        <v>32527</v>
      </c>
      <c r="S2816" t="s">
        <v>32552</v>
      </c>
      <c r="T2816" t="s">
        <v>33157</v>
      </c>
      <c r="U2816" t="s">
        <v>36021</v>
      </c>
      <c r="W2816" t="s">
        <v>30355</v>
      </c>
      <c r="X2816" t="s">
        <v>32530</v>
      </c>
    </row>
    <row r="2817" spans="1:24">
      <c r="A2817">
        <f>HYPERLINK("https://www.philgeps.gov.ph/GEPSNONPILOT/Tender/SplashBidNoticeAbstractUI.aspx?menuIndex=3&amp;refID=7043413&amp;Result=3","7043413")</f>
        <v>0</v>
      </c>
      <c r="B2817" t="s">
        <v>1043</v>
      </c>
      <c r="C2817" t="s">
        <v>5366</v>
      </c>
      <c r="D2817" t="s">
        <v>12991</v>
      </c>
      <c r="E2817" t="s">
        <v>15635</v>
      </c>
      <c r="F2817" t="s">
        <v>22436</v>
      </c>
      <c r="G2817" t="s">
        <v>22444</v>
      </c>
      <c r="H2817" t="s">
        <v>22452</v>
      </c>
      <c r="I2817" t="s">
        <v>3529</v>
      </c>
      <c r="J2817" t="s">
        <v>24508</v>
      </c>
      <c r="K2817" t="s">
        <v>29335</v>
      </c>
      <c r="M2817" t="s">
        <v>30675</v>
      </c>
      <c r="N2817" t="s">
        <v>32524</v>
      </c>
      <c r="O2817" t="s">
        <v>32525</v>
      </c>
      <c r="P2817">
        <v>0</v>
      </c>
      <c r="Q2817">
        <v>0</v>
      </c>
      <c r="R2817" t="s">
        <v>32527</v>
      </c>
      <c r="S2817" t="s">
        <v>32552</v>
      </c>
      <c r="T2817" t="s">
        <v>33235</v>
      </c>
      <c r="U2817" t="s">
        <v>36022</v>
      </c>
      <c r="W2817" t="s">
        <v>30675</v>
      </c>
      <c r="X2817" t="s">
        <v>32530</v>
      </c>
    </row>
    <row r="2818" spans="1:24">
      <c r="A2818">
        <f>HYPERLINK("https://www.philgeps.gov.ph/GEPSNONPILOT/Tender/SplashBidNoticeAbstractUI.aspx?menuIndex=3&amp;refID=7043392&amp;Result=3","7043392")</f>
        <v>0</v>
      </c>
      <c r="B2818" t="s">
        <v>1044</v>
      </c>
      <c r="C2818" t="s">
        <v>5367</v>
      </c>
      <c r="D2818" t="s">
        <v>12991</v>
      </c>
      <c r="E2818" t="s">
        <v>15636</v>
      </c>
      <c r="F2818" t="s">
        <v>22436</v>
      </c>
      <c r="G2818" t="s">
        <v>22444</v>
      </c>
      <c r="H2818" t="s">
        <v>22454</v>
      </c>
      <c r="I2818" t="s">
        <v>7738</v>
      </c>
      <c r="J2818" t="s">
        <v>22877</v>
      </c>
      <c r="K2818" t="s">
        <v>29367</v>
      </c>
      <c r="M2818" t="s">
        <v>30676</v>
      </c>
      <c r="N2818" t="s">
        <v>32524</v>
      </c>
      <c r="O2818" t="s">
        <v>32525</v>
      </c>
      <c r="P2818">
        <v>0</v>
      </c>
      <c r="Q2818">
        <v>0</v>
      </c>
      <c r="R2818" t="s">
        <v>32527</v>
      </c>
      <c r="S2818" t="s">
        <v>32552</v>
      </c>
      <c r="T2818" t="s">
        <v>33388</v>
      </c>
      <c r="U2818" t="s">
        <v>36023</v>
      </c>
      <c r="W2818" t="s">
        <v>30676</v>
      </c>
      <c r="X2818" t="s">
        <v>32530</v>
      </c>
    </row>
    <row r="2819" spans="1:24">
      <c r="A2819">
        <f>HYPERLINK("https://www.philgeps.gov.ph/GEPSNONPILOT/Tender/SplashBidNoticeAbstractUI.aspx?menuIndex=3&amp;refID=7043381&amp;Result=3","7043381")</f>
        <v>0</v>
      </c>
      <c r="B2819" t="s">
        <v>1042</v>
      </c>
      <c r="C2819" t="s">
        <v>5368</v>
      </c>
      <c r="D2819" t="s">
        <v>13069</v>
      </c>
      <c r="E2819" t="s">
        <v>15637</v>
      </c>
      <c r="F2819" t="s">
        <v>22436</v>
      </c>
      <c r="G2819" t="s">
        <v>22446</v>
      </c>
      <c r="H2819" t="s">
        <v>22452</v>
      </c>
      <c r="I2819" t="s">
        <v>2981</v>
      </c>
      <c r="J2819" t="s">
        <v>24509</v>
      </c>
      <c r="K2819" t="s">
        <v>29331</v>
      </c>
      <c r="M2819" t="s">
        <v>30673</v>
      </c>
      <c r="N2819" t="s">
        <v>32524</v>
      </c>
      <c r="O2819" t="s">
        <v>32525</v>
      </c>
      <c r="P2819">
        <v>0</v>
      </c>
      <c r="Q2819">
        <v>0</v>
      </c>
      <c r="R2819" t="s">
        <v>32527</v>
      </c>
      <c r="S2819" t="s">
        <v>32552</v>
      </c>
      <c r="T2819" t="s">
        <v>33304</v>
      </c>
      <c r="U2819" t="s">
        <v>36024</v>
      </c>
      <c r="W2819" t="s">
        <v>30673</v>
      </c>
      <c r="X2819" t="s">
        <v>32530</v>
      </c>
    </row>
    <row r="2820" spans="1:24">
      <c r="A2820">
        <f>HYPERLINK("https://www.philgeps.gov.ph/GEPSNONPILOT/Tender/SplashBidNoticeAbstractUI.aspx?menuIndex=3&amp;refID=7043427&amp;Result=3","7043427")</f>
        <v>0</v>
      </c>
      <c r="B2820" t="s">
        <v>1044</v>
      </c>
      <c r="C2820" t="s">
        <v>5369</v>
      </c>
      <c r="D2820" t="s">
        <v>12991</v>
      </c>
      <c r="E2820" t="s">
        <v>15638</v>
      </c>
      <c r="F2820" t="s">
        <v>22436</v>
      </c>
      <c r="G2820" t="s">
        <v>22444</v>
      </c>
      <c r="H2820" t="s">
        <v>22454</v>
      </c>
      <c r="I2820" t="s">
        <v>7738</v>
      </c>
      <c r="J2820" t="s">
        <v>22779</v>
      </c>
      <c r="K2820" t="s">
        <v>29440</v>
      </c>
      <c r="M2820" t="s">
        <v>30676</v>
      </c>
      <c r="N2820" t="s">
        <v>32524</v>
      </c>
      <c r="O2820" t="s">
        <v>32525</v>
      </c>
      <c r="P2820">
        <v>0</v>
      </c>
      <c r="Q2820">
        <v>0</v>
      </c>
      <c r="R2820" t="s">
        <v>32527</v>
      </c>
      <c r="S2820" t="s">
        <v>32552</v>
      </c>
      <c r="T2820" t="s">
        <v>33388</v>
      </c>
      <c r="U2820" t="s">
        <v>36025</v>
      </c>
      <c r="W2820" t="s">
        <v>30676</v>
      </c>
      <c r="X2820" t="s">
        <v>32530</v>
      </c>
    </row>
    <row r="2821" spans="1:24">
      <c r="A2821">
        <f>HYPERLINK("https://www.philgeps.gov.ph/GEPSNONPILOT/Tender/SplashBidNoticeAbstractUI.aspx?menuIndex=3&amp;refID=7043378&amp;Result=3","7043378")</f>
        <v>0</v>
      </c>
      <c r="B2821" t="s">
        <v>1042</v>
      </c>
      <c r="C2821" t="s">
        <v>5355</v>
      </c>
      <c r="D2821" t="s">
        <v>13069</v>
      </c>
      <c r="E2821" t="s">
        <v>15639</v>
      </c>
      <c r="F2821" t="s">
        <v>22436</v>
      </c>
      <c r="G2821" t="s">
        <v>22446</v>
      </c>
      <c r="H2821" t="s">
        <v>22452</v>
      </c>
      <c r="I2821" t="s">
        <v>3529</v>
      </c>
      <c r="J2821" t="s">
        <v>24510</v>
      </c>
      <c r="K2821" t="s">
        <v>29331</v>
      </c>
      <c r="M2821" t="s">
        <v>30673</v>
      </c>
      <c r="N2821" t="s">
        <v>32524</v>
      </c>
      <c r="O2821" t="s">
        <v>32525</v>
      </c>
      <c r="P2821">
        <v>0</v>
      </c>
      <c r="Q2821">
        <v>0</v>
      </c>
      <c r="R2821" t="s">
        <v>32527</v>
      </c>
      <c r="S2821" t="s">
        <v>32552</v>
      </c>
      <c r="T2821" t="s">
        <v>33304</v>
      </c>
      <c r="U2821" t="s">
        <v>36011</v>
      </c>
      <c r="W2821" t="s">
        <v>30673</v>
      </c>
      <c r="X2821" t="s">
        <v>32530</v>
      </c>
    </row>
    <row r="2822" spans="1:24">
      <c r="A2822">
        <f>HYPERLINK("https://www.philgeps.gov.ph/GEPSNONPILOT/Tender/SplashBidNoticeAbstractUI.aspx?menuIndex=3&amp;refID=7043434&amp;Result=3","7043434")</f>
        <v>0</v>
      </c>
      <c r="B2822" t="s">
        <v>1045</v>
      </c>
      <c r="C2822" t="s">
        <v>5370</v>
      </c>
      <c r="D2822" t="s">
        <v>12988</v>
      </c>
      <c r="E2822" t="s">
        <v>13700</v>
      </c>
      <c r="F2822" t="s">
        <v>22436</v>
      </c>
      <c r="G2822" t="s">
        <v>22443</v>
      </c>
      <c r="H2822" t="s">
        <v>22452</v>
      </c>
      <c r="I2822" t="s">
        <v>2993</v>
      </c>
      <c r="J2822" t="s">
        <v>24511</v>
      </c>
      <c r="K2822" t="s">
        <v>29338</v>
      </c>
      <c r="M2822" t="s">
        <v>30677</v>
      </c>
      <c r="N2822" t="s">
        <v>32524</v>
      </c>
      <c r="O2822" t="s">
        <v>32525</v>
      </c>
      <c r="P2822">
        <v>0</v>
      </c>
      <c r="Q2822">
        <v>0</v>
      </c>
      <c r="R2822" t="s">
        <v>32527</v>
      </c>
      <c r="S2822" t="s">
        <v>32552</v>
      </c>
      <c r="T2822" t="s">
        <v>33213</v>
      </c>
      <c r="U2822" t="s">
        <v>36026</v>
      </c>
      <c r="V2822" t="s">
        <v>42696</v>
      </c>
      <c r="W2822" t="s">
        <v>43705</v>
      </c>
      <c r="X2822" t="s">
        <v>32530</v>
      </c>
    </row>
    <row r="2823" spans="1:24">
      <c r="A2823">
        <f>HYPERLINK("https://www.philgeps.gov.ph/GEPSNONPILOT/Tender/SplashBidNoticeAbstractUI.aspx?menuIndex=3&amp;refID=7043414&amp;Result=3","7043414")</f>
        <v>0</v>
      </c>
      <c r="B2823" t="s">
        <v>1041</v>
      </c>
      <c r="C2823" t="s">
        <v>5371</v>
      </c>
      <c r="D2823" t="s">
        <v>13069</v>
      </c>
      <c r="E2823" t="s">
        <v>15640</v>
      </c>
      <c r="F2823" t="s">
        <v>22436</v>
      </c>
      <c r="G2823" t="s">
        <v>22446</v>
      </c>
      <c r="H2823" t="s">
        <v>22452</v>
      </c>
      <c r="I2823" t="s">
        <v>3840</v>
      </c>
      <c r="J2823" t="s">
        <v>24512</v>
      </c>
      <c r="K2823" t="s">
        <v>29331</v>
      </c>
      <c r="M2823" t="s">
        <v>30672</v>
      </c>
      <c r="N2823" t="s">
        <v>32524</v>
      </c>
      <c r="O2823" t="s">
        <v>32525</v>
      </c>
      <c r="P2823">
        <v>0</v>
      </c>
      <c r="Q2823">
        <v>0</v>
      </c>
      <c r="R2823" t="s">
        <v>32527</v>
      </c>
      <c r="S2823" t="s">
        <v>32552</v>
      </c>
      <c r="T2823" t="s">
        <v>33313</v>
      </c>
      <c r="U2823" t="s">
        <v>36027</v>
      </c>
      <c r="W2823" t="s">
        <v>30672</v>
      </c>
      <c r="X2823" t="s">
        <v>32530</v>
      </c>
    </row>
    <row r="2824" spans="1:24">
      <c r="A2824">
        <f>HYPERLINK("https://www.philgeps.gov.ph/GEPSNONPILOT/Tender/SplashBidNoticeAbstractUI.aspx?menuIndex=3&amp;refID=7043456&amp;Result=3","7043456")</f>
        <v>0</v>
      </c>
      <c r="B2824" t="s">
        <v>1046</v>
      </c>
      <c r="C2824" t="s">
        <v>5372</v>
      </c>
      <c r="D2824" t="s">
        <v>12988</v>
      </c>
      <c r="E2824" t="s">
        <v>15641</v>
      </c>
      <c r="F2824" t="s">
        <v>22436</v>
      </c>
      <c r="G2824" t="s">
        <v>22444</v>
      </c>
      <c r="H2824" t="s">
        <v>22452</v>
      </c>
      <c r="I2824" t="s">
        <v>3381</v>
      </c>
      <c r="J2824" t="s">
        <v>22616</v>
      </c>
      <c r="K2824" t="s">
        <v>29336</v>
      </c>
      <c r="M2824" t="s">
        <v>30678</v>
      </c>
      <c r="N2824" t="s">
        <v>32524</v>
      </c>
      <c r="O2824" t="s">
        <v>32525</v>
      </c>
      <c r="P2824">
        <v>0</v>
      </c>
      <c r="Q2824">
        <v>0</v>
      </c>
      <c r="R2824" t="s">
        <v>32527</v>
      </c>
      <c r="S2824" t="s">
        <v>32552</v>
      </c>
      <c r="T2824" t="s">
        <v>33194</v>
      </c>
      <c r="U2824" t="s">
        <v>36028</v>
      </c>
      <c r="W2824" t="s">
        <v>30678</v>
      </c>
      <c r="X2824" t="s">
        <v>32530</v>
      </c>
    </row>
    <row r="2825" spans="1:24">
      <c r="A2825">
        <f>HYPERLINK("https://www.philgeps.gov.ph/GEPSNONPILOT/Tender/SplashBidNoticeAbstractUI.aspx?menuIndex=3&amp;refID=7043395&amp;Result=3","7043395")</f>
        <v>0</v>
      </c>
      <c r="B2825" t="s">
        <v>947</v>
      </c>
      <c r="C2825" t="s">
        <v>5373</v>
      </c>
      <c r="D2825" t="s">
        <v>13041</v>
      </c>
      <c r="E2825" t="s">
        <v>15642</v>
      </c>
      <c r="F2825" t="s">
        <v>22436</v>
      </c>
      <c r="G2825" t="s">
        <v>22444</v>
      </c>
      <c r="H2825" t="s">
        <v>22452</v>
      </c>
      <c r="I2825" t="s">
        <v>6421</v>
      </c>
      <c r="J2825" t="s">
        <v>24513</v>
      </c>
      <c r="K2825" t="s">
        <v>29335</v>
      </c>
      <c r="M2825" t="s">
        <v>30674</v>
      </c>
      <c r="N2825" t="s">
        <v>32524</v>
      </c>
      <c r="O2825" t="s">
        <v>32525</v>
      </c>
      <c r="P2825">
        <v>0</v>
      </c>
      <c r="Q2825">
        <v>3</v>
      </c>
      <c r="R2825" t="s">
        <v>32527</v>
      </c>
      <c r="S2825" t="s">
        <v>32552</v>
      </c>
      <c r="T2825" t="s">
        <v>33335</v>
      </c>
      <c r="U2825" t="s">
        <v>36029</v>
      </c>
      <c r="W2825" t="s">
        <v>30674</v>
      </c>
      <c r="X2825" t="s">
        <v>32530</v>
      </c>
    </row>
    <row r="2826" spans="1:24">
      <c r="A2826">
        <f>HYPERLINK("https://www.philgeps.gov.ph/GEPSNONPILOT/Tender/SplashBidNoticeAbstractUI.aspx?menuIndex=3&amp;refID=7043418&amp;Result=3","7043418")</f>
        <v>0</v>
      </c>
      <c r="B2826" t="s">
        <v>754</v>
      </c>
      <c r="C2826" t="s">
        <v>5374</v>
      </c>
      <c r="D2826" t="s">
        <v>13019</v>
      </c>
      <c r="E2826" t="s">
        <v>14095</v>
      </c>
      <c r="F2826" t="s">
        <v>22436</v>
      </c>
      <c r="G2826" t="s">
        <v>22444</v>
      </c>
      <c r="H2826" t="s">
        <v>22454</v>
      </c>
      <c r="I2826" t="s">
        <v>7738</v>
      </c>
      <c r="J2826" t="s">
        <v>24514</v>
      </c>
      <c r="K2826" t="s">
        <v>29363</v>
      </c>
      <c r="M2826" t="s">
        <v>30355</v>
      </c>
      <c r="N2826" t="s">
        <v>32524</v>
      </c>
      <c r="O2826" t="s">
        <v>32525</v>
      </c>
      <c r="P2826">
        <v>0</v>
      </c>
      <c r="Q2826">
        <v>0</v>
      </c>
      <c r="R2826" t="s">
        <v>32527</v>
      </c>
      <c r="S2826" t="s">
        <v>32552</v>
      </c>
      <c r="T2826" t="s">
        <v>33157</v>
      </c>
      <c r="U2826" t="s">
        <v>36030</v>
      </c>
      <c r="W2826" t="s">
        <v>30355</v>
      </c>
      <c r="X2826" t="s">
        <v>32530</v>
      </c>
    </row>
    <row r="2827" spans="1:24">
      <c r="A2827">
        <f>HYPERLINK("https://www.philgeps.gov.ph/GEPSNONPILOT/Tender/SplashBidNoticeAbstractUI.aspx?menuIndex=3&amp;refID=7043424&amp;Result=3","7043424")</f>
        <v>0</v>
      </c>
      <c r="B2827" t="s">
        <v>754</v>
      </c>
      <c r="C2827" t="s">
        <v>5375</v>
      </c>
      <c r="D2827" t="s">
        <v>13019</v>
      </c>
      <c r="E2827" t="s">
        <v>14346</v>
      </c>
      <c r="F2827" t="s">
        <v>22436</v>
      </c>
      <c r="G2827" t="s">
        <v>22444</v>
      </c>
      <c r="H2827" t="s">
        <v>22454</v>
      </c>
      <c r="I2827" t="s">
        <v>7738</v>
      </c>
      <c r="J2827" t="s">
        <v>24515</v>
      </c>
      <c r="K2827" t="s">
        <v>29370</v>
      </c>
      <c r="M2827" t="s">
        <v>30355</v>
      </c>
      <c r="N2827" t="s">
        <v>32524</v>
      </c>
      <c r="O2827" t="s">
        <v>32525</v>
      </c>
      <c r="P2827">
        <v>0</v>
      </c>
      <c r="Q2827">
        <v>0</v>
      </c>
      <c r="R2827" t="s">
        <v>32527</v>
      </c>
      <c r="S2827" t="s">
        <v>32552</v>
      </c>
      <c r="T2827" t="s">
        <v>33157</v>
      </c>
      <c r="U2827" t="s">
        <v>36031</v>
      </c>
      <c r="W2827" t="s">
        <v>30355</v>
      </c>
      <c r="X2827" t="s">
        <v>32530</v>
      </c>
    </row>
    <row r="2828" spans="1:24">
      <c r="A2828">
        <f>HYPERLINK("https://www.philgeps.gov.ph/GEPSNONPILOT/Tender/SplashBidNoticeAbstractUI.aspx?menuIndex=3&amp;refID=7043454&amp;Result=3","7043454")</f>
        <v>0</v>
      </c>
      <c r="B2828" t="s">
        <v>1046</v>
      </c>
      <c r="C2828" t="s">
        <v>5376</v>
      </c>
      <c r="D2828" t="s">
        <v>12988</v>
      </c>
      <c r="E2828" t="s">
        <v>15643</v>
      </c>
      <c r="F2828" t="s">
        <v>22436</v>
      </c>
      <c r="G2828" t="s">
        <v>22444</v>
      </c>
      <c r="H2828" t="s">
        <v>22452</v>
      </c>
      <c r="I2828" t="s">
        <v>2962</v>
      </c>
      <c r="J2828" t="s">
        <v>24516</v>
      </c>
      <c r="K2828" t="s">
        <v>29336</v>
      </c>
      <c r="M2828" t="s">
        <v>30678</v>
      </c>
      <c r="N2828" t="s">
        <v>32524</v>
      </c>
      <c r="O2828" t="s">
        <v>32525</v>
      </c>
      <c r="P2828">
        <v>0</v>
      </c>
      <c r="Q2828">
        <v>0</v>
      </c>
      <c r="R2828" t="s">
        <v>32527</v>
      </c>
      <c r="S2828" t="s">
        <v>32552</v>
      </c>
      <c r="T2828" t="s">
        <v>33194</v>
      </c>
      <c r="U2828" t="s">
        <v>36032</v>
      </c>
      <c r="W2828" t="s">
        <v>30678</v>
      </c>
      <c r="X2828" t="s">
        <v>32530</v>
      </c>
    </row>
    <row r="2829" spans="1:24">
      <c r="A2829">
        <f>HYPERLINK("https://www.philgeps.gov.ph/GEPSNONPILOT/Tender/SplashBidNoticeAbstractUI.aspx?menuIndex=3&amp;refID=7043399&amp;Result=3","7043399")</f>
        <v>0</v>
      </c>
      <c r="B2829" t="s">
        <v>1043</v>
      </c>
      <c r="C2829" t="s">
        <v>5377</v>
      </c>
      <c r="D2829" t="s">
        <v>12991</v>
      </c>
      <c r="E2829" t="s">
        <v>15644</v>
      </c>
      <c r="F2829" t="s">
        <v>22436</v>
      </c>
      <c r="G2829" t="s">
        <v>22444</v>
      </c>
      <c r="H2829" t="s">
        <v>22452</v>
      </c>
      <c r="I2829" t="s">
        <v>22471</v>
      </c>
      <c r="J2829" t="s">
        <v>24517</v>
      </c>
      <c r="K2829" t="s">
        <v>29335</v>
      </c>
      <c r="M2829" t="s">
        <v>30675</v>
      </c>
      <c r="N2829" t="s">
        <v>32524</v>
      </c>
      <c r="O2829" t="s">
        <v>32525</v>
      </c>
      <c r="P2829">
        <v>0</v>
      </c>
      <c r="Q2829">
        <v>0</v>
      </c>
      <c r="R2829" t="s">
        <v>32527</v>
      </c>
      <c r="S2829" t="s">
        <v>32552</v>
      </c>
      <c r="T2829" t="s">
        <v>33235</v>
      </c>
      <c r="U2829" t="s">
        <v>36022</v>
      </c>
      <c r="W2829" t="s">
        <v>30675</v>
      </c>
      <c r="X2829" t="s">
        <v>32530</v>
      </c>
    </row>
    <row r="2830" spans="1:24">
      <c r="A2830">
        <f>HYPERLINK("https://www.philgeps.gov.ph/GEPSNONPILOT/Tender/SplashBidNoticeAbstractUI.aspx?menuIndex=3&amp;refID=7043417&amp;Result=3","7043417")</f>
        <v>0</v>
      </c>
      <c r="B2830" t="s">
        <v>1047</v>
      </c>
      <c r="C2830" t="s">
        <v>5378</v>
      </c>
      <c r="D2830" t="s">
        <v>12999</v>
      </c>
      <c r="E2830" t="s">
        <v>15645</v>
      </c>
      <c r="F2830" t="s">
        <v>22436</v>
      </c>
      <c r="G2830" t="s">
        <v>22443</v>
      </c>
      <c r="H2830" t="s">
        <v>22452</v>
      </c>
      <c r="I2830" t="s">
        <v>2962</v>
      </c>
      <c r="J2830" t="s">
        <v>22655</v>
      </c>
      <c r="K2830" t="s">
        <v>29331</v>
      </c>
      <c r="M2830" t="s">
        <v>30679</v>
      </c>
      <c r="N2830" t="s">
        <v>32524</v>
      </c>
      <c r="O2830" t="s">
        <v>32525</v>
      </c>
      <c r="P2830">
        <v>0</v>
      </c>
      <c r="Q2830">
        <v>0</v>
      </c>
      <c r="R2830" t="s">
        <v>32527</v>
      </c>
      <c r="S2830" t="s">
        <v>32552</v>
      </c>
      <c r="T2830" t="s">
        <v>33213</v>
      </c>
      <c r="U2830" t="s">
        <v>36033</v>
      </c>
      <c r="V2830" t="s">
        <v>42697</v>
      </c>
      <c r="W2830" t="s">
        <v>30679</v>
      </c>
      <c r="X2830" t="s">
        <v>32530</v>
      </c>
    </row>
    <row r="2831" spans="1:24">
      <c r="A2831">
        <f>HYPERLINK("https://www.philgeps.gov.ph/GEPSNONPILOT/Tender/SplashBidNoticeAbstractUI.aspx?menuIndex=3&amp;refID=7043467&amp;Result=3","7043467")</f>
        <v>0</v>
      </c>
      <c r="B2831" t="s">
        <v>1046</v>
      </c>
      <c r="C2831" t="s">
        <v>5379</v>
      </c>
      <c r="D2831" t="s">
        <v>12988</v>
      </c>
      <c r="E2831" t="s">
        <v>15646</v>
      </c>
      <c r="F2831" t="s">
        <v>22436</v>
      </c>
      <c r="G2831" t="s">
        <v>22444</v>
      </c>
      <c r="H2831" t="s">
        <v>22452</v>
      </c>
      <c r="I2831" t="s">
        <v>22482</v>
      </c>
      <c r="J2831" t="s">
        <v>22640</v>
      </c>
      <c r="K2831" t="s">
        <v>29336</v>
      </c>
      <c r="M2831" t="s">
        <v>30678</v>
      </c>
      <c r="N2831" t="s">
        <v>32524</v>
      </c>
      <c r="O2831" t="s">
        <v>32525</v>
      </c>
      <c r="P2831">
        <v>0</v>
      </c>
      <c r="Q2831">
        <v>10</v>
      </c>
      <c r="R2831" t="s">
        <v>32527</v>
      </c>
      <c r="S2831" t="s">
        <v>32552</v>
      </c>
      <c r="T2831" t="s">
        <v>33194</v>
      </c>
      <c r="U2831" t="s">
        <v>36034</v>
      </c>
      <c r="W2831" t="s">
        <v>30678</v>
      </c>
      <c r="X2831" t="s">
        <v>32530</v>
      </c>
    </row>
    <row r="2832" spans="1:24">
      <c r="A2832">
        <f>HYPERLINK("https://www.philgeps.gov.ph/GEPSNONPILOT/Tender/SplashBidNoticeAbstractUI.aspx?menuIndex=3&amp;refID=7043453&amp;Result=3","7043453")</f>
        <v>0</v>
      </c>
      <c r="B2832" t="s">
        <v>1046</v>
      </c>
      <c r="C2832" t="s">
        <v>5380</v>
      </c>
      <c r="D2832" t="s">
        <v>12988</v>
      </c>
      <c r="E2832" t="s">
        <v>15647</v>
      </c>
      <c r="F2832" t="s">
        <v>22436</v>
      </c>
      <c r="G2832" t="s">
        <v>22444</v>
      </c>
      <c r="H2832" t="s">
        <v>22452</v>
      </c>
      <c r="I2832" t="s">
        <v>6387</v>
      </c>
      <c r="J2832" t="s">
        <v>22779</v>
      </c>
      <c r="K2832" t="s">
        <v>29336</v>
      </c>
      <c r="M2832" t="s">
        <v>30678</v>
      </c>
      <c r="N2832" t="s">
        <v>32524</v>
      </c>
      <c r="O2832" t="s">
        <v>32525</v>
      </c>
      <c r="P2832">
        <v>0</v>
      </c>
      <c r="Q2832">
        <v>3</v>
      </c>
      <c r="R2832" t="s">
        <v>32527</v>
      </c>
      <c r="S2832" t="s">
        <v>32552</v>
      </c>
      <c r="T2832" t="s">
        <v>33194</v>
      </c>
      <c r="U2832" t="s">
        <v>36035</v>
      </c>
      <c r="W2832" t="s">
        <v>30678</v>
      </c>
      <c r="X2832" t="s">
        <v>32530</v>
      </c>
    </row>
    <row r="2833" spans="1:24">
      <c r="A2833">
        <f>HYPERLINK("https://www.philgeps.gov.ph/GEPSNONPILOT/Tender/SplashBidNoticeAbstractUI.aspx?menuIndex=3&amp;refID=7043457&amp;Result=3","7043457")</f>
        <v>0</v>
      </c>
      <c r="B2833" t="s">
        <v>140</v>
      </c>
      <c r="C2833" t="s">
        <v>5381</v>
      </c>
      <c r="D2833" t="s">
        <v>12988</v>
      </c>
      <c r="E2833" t="s">
        <v>15648</v>
      </c>
      <c r="F2833" t="s">
        <v>22436</v>
      </c>
      <c r="G2833" t="s">
        <v>22443</v>
      </c>
      <c r="H2833" t="s">
        <v>22452</v>
      </c>
      <c r="I2833" t="s">
        <v>2981</v>
      </c>
      <c r="J2833" t="s">
        <v>24518</v>
      </c>
      <c r="K2833" t="s">
        <v>29338</v>
      </c>
      <c r="M2833" t="s">
        <v>30340</v>
      </c>
      <c r="N2833" t="s">
        <v>32524</v>
      </c>
      <c r="O2833" t="s">
        <v>32525</v>
      </c>
      <c r="P2833">
        <v>0</v>
      </c>
      <c r="Q2833">
        <v>0</v>
      </c>
      <c r="R2833" t="s">
        <v>32527</v>
      </c>
      <c r="S2833" t="s">
        <v>32552</v>
      </c>
      <c r="T2833" t="s">
        <v>33203</v>
      </c>
      <c r="U2833" t="s">
        <v>36036</v>
      </c>
      <c r="V2833" t="s">
        <v>42600</v>
      </c>
      <c r="W2833" t="s">
        <v>30340</v>
      </c>
      <c r="X2833" t="s">
        <v>32530</v>
      </c>
    </row>
    <row r="2834" spans="1:24">
      <c r="A2834">
        <f>HYPERLINK("https://www.philgeps.gov.ph/GEPSNONPILOT/Tender/SplashBidNoticeAbstractUI.aspx?menuIndex=3&amp;refID=7043464&amp;Result=3","7043464")</f>
        <v>0</v>
      </c>
      <c r="B2834" t="s">
        <v>1046</v>
      </c>
      <c r="C2834" t="s">
        <v>5382</v>
      </c>
      <c r="D2834" t="s">
        <v>12988</v>
      </c>
      <c r="E2834" t="s">
        <v>15649</v>
      </c>
      <c r="F2834" t="s">
        <v>22436</v>
      </c>
      <c r="G2834" t="s">
        <v>22444</v>
      </c>
      <c r="H2834" t="s">
        <v>22452</v>
      </c>
      <c r="I2834" t="s">
        <v>22478</v>
      </c>
      <c r="J2834" t="s">
        <v>22874</v>
      </c>
      <c r="K2834" t="s">
        <v>29336</v>
      </c>
      <c r="M2834" t="s">
        <v>30678</v>
      </c>
      <c r="N2834" t="s">
        <v>32524</v>
      </c>
      <c r="O2834" t="s">
        <v>32525</v>
      </c>
      <c r="P2834">
        <v>0</v>
      </c>
      <c r="Q2834">
        <v>1</v>
      </c>
      <c r="R2834" t="s">
        <v>32527</v>
      </c>
      <c r="S2834" t="s">
        <v>32552</v>
      </c>
      <c r="T2834" t="s">
        <v>33194</v>
      </c>
      <c r="U2834" t="s">
        <v>36037</v>
      </c>
      <c r="W2834" t="s">
        <v>30678</v>
      </c>
      <c r="X2834" t="s">
        <v>32530</v>
      </c>
    </row>
    <row r="2835" spans="1:24">
      <c r="A2835">
        <f>HYPERLINK("https://www.philgeps.gov.ph/GEPSNONPILOT/Tender/SplashBidNoticeAbstractUI.aspx?menuIndex=3&amp;refID=7043450&amp;Result=3","7043450")</f>
        <v>0</v>
      </c>
      <c r="B2835" t="s">
        <v>1048</v>
      </c>
      <c r="C2835" t="s">
        <v>5383</v>
      </c>
      <c r="D2835" t="s">
        <v>13007</v>
      </c>
      <c r="E2835" t="s">
        <v>15650</v>
      </c>
      <c r="F2835" t="s">
        <v>22436</v>
      </c>
      <c r="G2835" t="s">
        <v>22444</v>
      </c>
      <c r="H2835" t="s">
        <v>22452</v>
      </c>
      <c r="I2835" t="s">
        <v>22460</v>
      </c>
      <c r="J2835" t="s">
        <v>22692</v>
      </c>
      <c r="K2835" t="s">
        <v>29338</v>
      </c>
      <c r="M2835" t="s">
        <v>30680</v>
      </c>
      <c r="N2835" t="s">
        <v>32524</v>
      </c>
      <c r="O2835" t="s">
        <v>32525</v>
      </c>
      <c r="P2835">
        <v>0</v>
      </c>
      <c r="Q2835">
        <v>3</v>
      </c>
      <c r="R2835" t="s">
        <v>32527</v>
      </c>
      <c r="S2835" t="s">
        <v>32552</v>
      </c>
      <c r="T2835" t="s">
        <v>33153</v>
      </c>
      <c r="U2835" t="s">
        <v>36038</v>
      </c>
      <c r="W2835" t="s">
        <v>30680</v>
      </c>
      <c r="X2835" t="s">
        <v>32530</v>
      </c>
    </row>
    <row r="2836" spans="1:24">
      <c r="A2836">
        <f>HYPERLINK("https://www.philgeps.gov.ph/GEPSNONPILOT/Tender/SplashBidNoticeAbstractUI.aspx?menuIndex=3&amp;refID=7043459&amp;Result=3","7043459")</f>
        <v>0</v>
      </c>
      <c r="B2836" t="s">
        <v>1046</v>
      </c>
      <c r="C2836" t="s">
        <v>5384</v>
      </c>
      <c r="D2836" t="s">
        <v>12988</v>
      </c>
      <c r="E2836" t="s">
        <v>15651</v>
      </c>
      <c r="F2836" t="s">
        <v>22436</v>
      </c>
      <c r="G2836" t="s">
        <v>22444</v>
      </c>
      <c r="H2836" t="s">
        <v>22452</v>
      </c>
      <c r="I2836" t="s">
        <v>22469</v>
      </c>
      <c r="J2836" t="s">
        <v>23182</v>
      </c>
      <c r="K2836" t="s">
        <v>29336</v>
      </c>
      <c r="M2836" t="s">
        <v>30678</v>
      </c>
      <c r="N2836" t="s">
        <v>32524</v>
      </c>
      <c r="O2836" t="s">
        <v>32525</v>
      </c>
      <c r="P2836">
        <v>0</v>
      </c>
      <c r="Q2836">
        <v>3</v>
      </c>
      <c r="R2836" t="s">
        <v>32527</v>
      </c>
      <c r="S2836" t="s">
        <v>32552</v>
      </c>
      <c r="T2836" t="s">
        <v>33194</v>
      </c>
      <c r="U2836" t="s">
        <v>36039</v>
      </c>
      <c r="W2836" t="s">
        <v>30678</v>
      </c>
      <c r="X2836" t="s">
        <v>32530</v>
      </c>
    </row>
    <row r="2837" spans="1:24">
      <c r="A2837">
        <f>HYPERLINK("https://www.philgeps.gov.ph/GEPSNONPILOT/Tender/SplashBidNoticeAbstractUI.aspx?menuIndex=3&amp;refID=7043452&amp;Result=3","7043452")</f>
        <v>0</v>
      </c>
      <c r="B2837" t="s">
        <v>1046</v>
      </c>
      <c r="C2837" t="s">
        <v>5385</v>
      </c>
      <c r="D2837" t="s">
        <v>12988</v>
      </c>
      <c r="E2837" t="s">
        <v>15652</v>
      </c>
      <c r="F2837" t="s">
        <v>22436</v>
      </c>
      <c r="G2837" t="s">
        <v>22444</v>
      </c>
      <c r="H2837" t="s">
        <v>22452</v>
      </c>
      <c r="I2837" t="s">
        <v>22504</v>
      </c>
      <c r="J2837" t="s">
        <v>24519</v>
      </c>
      <c r="K2837" t="s">
        <v>29336</v>
      </c>
      <c r="M2837" t="s">
        <v>30678</v>
      </c>
      <c r="N2837" t="s">
        <v>32524</v>
      </c>
      <c r="O2837" t="s">
        <v>32525</v>
      </c>
      <c r="P2837">
        <v>0</v>
      </c>
      <c r="Q2837">
        <v>3</v>
      </c>
      <c r="R2837" t="s">
        <v>32527</v>
      </c>
      <c r="S2837" t="s">
        <v>32552</v>
      </c>
      <c r="T2837" t="s">
        <v>33194</v>
      </c>
      <c r="U2837" t="s">
        <v>36040</v>
      </c>
      <c r="W2837" t="s">
        <v>30678</v>
      </c>
      <c r="X2837" t="s">
        <v>32530</v>
      </c>
    </row>
    <row r="2838" spans="1:24">
      <c r="A2838">
        <f>HYPERLINK("https://www.philgeps.gov.ph/GEPSNONPILOT/Tender/SplashBidNoticeAbstractUI.aspx?menuIndex=3&amp;refID=7043449&amp;Result=3","7043449")</f>
        <v>0</v>
      </c>
      <c r="B2838" t="s">
        <v>1046</v>
      </c>
      <c r="C2838" t="s">
        <v>5386</v>
      </c>
      <c r="D2838" t="s">
        <v>12988</v>
      </c>
      <c r="E2838" t="s">
        <v>15653</v>
      </c>
      <c r="F2838" t="s">
        <v>22436</v>
      </c>
      <c r="G2838" t="s">
        <v>22444</v>
      </c>
      <c r="H2838" t="s">
        <v>22452</v>
      </c>
      <c r="I2838" t="s">
        <v>22460</v>
      </c>
      <c r="J2838" t="s">
        <v>22936</v>
      </c>
      <c r="K2838" t="s">
        <v>29336</v>
      </c>
      <c r="M2838" t="s">
        <v>30678</v>
      </c>
      <c r="N2838" t="s">
        <v>32524</v>
      </c>
      <c r="O2838" t="s">
        <v>32525</v>
      </c>
      <c r="P2838">
        <v>0</v>
      </c>
      <c r="Q2838">
        <v>0</v>
      </c>
      <c r="R2838" t="s">
        <v>32527</v>
      </c>
      <c r="S2838" t="s">
        <v>32552</v>
      </c>
      <c r="T2838" t="s">
        <v>33194</v>
      </c>
      <c r="U2838" t="s">
        <v>36041</v>
      </c>
      <c r="W2838" t="s">
        <v>30678</v>
      </c>
      <c r="X2838" t="s">
        <v>32530</v>
      </c>
    </row>
    <row r="2839" spans="1:24">
      <c r="A2839">
        <f>HYPERLINK("https://www.philgeps.gov.ph/GEPSNONPILOT/Tender/SplashBidNoticeAbstractUI.aspx?menuIndex=3&amp;refID=7043451&amp;Result=3","7043451")</f>
        <v>0</v>
      </c>
      <c r="B2839" t="s">
        <v>1046</v>
      </c>
      <c r="C2839" t="s">
        <v>5387</v>
      </c>
      <c r="D2839" t="s">
        <v>12988</v>
      </c>
      <c r="E2839" t="s">
        <v>15654</v>
      </c>
      <c r="F2839" t="s">
        <v>22436</v>
      </c>
      <c r="G2839" t="s">
        <v>22444</v>
      </c>
      <c r="H2839" t="s">
        <v>22452</v>
      </c>
      <c r="I2839" t="s">
        <v>6421</v>
      </c>
      <c r="J2839" t="s">
        <v>24520</v>
      </c>
      <c r="K2839" t="s">
        <v>29336</v>
      </c>
      <c r="M2839" t="s">
        <v>30678</v>
      </c>
      <c r="N2839" t="s">
        <v>32524</v>
      </c>
      <c r="O2839" t="s">
        <v>32525</v>
      </c>
      <c r="P2839">
        <v>0</v>
      </c>
      <c r="Q2839">
        <v>6</v>
      </c>
      <c r="R2839" t="s">
        <v>32527</v>
      </c>
      <c r="S2839" t="s">
        <v>32552</v>
      </c>
      <c r="T2839" t="s">
        <v>33194</v>
      </c>
      <c r="U2839" t="s">
        <v>36042</v>
      </c>
      <c r="W2839" t="s">
        <v>30678</v>
      </c>
      <c r="X2839" t="s">
        <v>32530</v>
      </c>
    </row>
    <row r="2840" spans="1:24">
      <c r="A2840">
        <f>HYPERLINK("https://www.philgeps.gov.ph/GEPSNONPILOT/Tender/SplashBidNoticeAbstractUI.aspx?menuIndex=3&amp;refID=7043460&amp;Result=3","7043460")</f>
        <v>0</v>
      </c>
      <c r="B2840" t="s">
        <v>140</v>
      </c>
      <c r="C2840" t="s">
        <v>5388</v>
      </c>
      <c r="D2840" t="s">
        <v>12988</v>
      </c>
      <c r="E2840" t="s">
        <v>15655</v>
      </c>
      <c r="F2840" t="s">
        <v>22436</v>
      </c>
      <c r="G2840" t="s">
        <v>22443</v>
      </c>
      <c r="H2840" t="s">
        <v>22452</v>
      </c>
      <c r="I2840" t="s">
        <v>3840</v>
      </c>
      <c r="J2840" t="s">
        <v>24521</v>
      </c>
      <c r="K2840" t="s">
        <v>29338</v>
      </c>
      <c r="M2840" t="s">
        <v>30340</v>
      </c>
      <c r="N2840" t="s">
        <v>32524</v>
      </c>
      <c r="O2840" t="s">
        <v>32525</v>
      </c>
      <c r="P2840">
        <v>0</v>
      </c>
      <c r="Q2840">
        <v>2</v>
      </c>
      <c r="R2840" t="s">
        <v>32527</v>
      </c>
      <c r="S2840" t="s">
        <v>32552</v>
      </c>
      <c r="T2840" t="s">
        <v>33203</v>
      </c>
      <c r="U2840" t="s">
        <v>36043</v>
      </c>
      <c r="V2840" t="s">
        <v>42600</v>
      </c>
      <c r="W2840" t="s">
        <v>30340</v>
      </c>
      <c r="X2840" t="s">
        <v>32530</v>
      </c>
    </row>
    <row r="2841" spans="1:24">
      <c r="A2841">
        <f>HYPERLINK("https://www.philgeps.gov.ph/GEPSNONPILOT/Tender/SplashBidNoticeAbstractUI.aspx?menuIndex=3&amp;refID=7043477&amp;Result=3","7043477")</f>
        <v>0</v>
      </c>
      <c r="B2841" t="s">
        <v>1046</v>
      </c>
      <c r="C2841" t="s">
        <v>5389</v>
      </c>
      <c r="D2841" t="s">
        <v>12988</v>
      </c>
      <c r="E2841" t="s">
        <v>15656</v>
      </c>
      <c r="F2841" t="s">
        <v>22436</v>
      </c>
      <c r="G2841" t="s">
        <v>22444</v>
      </c>
      <c r="H2841" t="s">
        <v>22452</v>
      </c>
      <c r="I2841" t="s">
        <v>22553</v>
      </c>
      <c r="J2841" t="s">
        <v>23598</v>
      </c>
      <c r="K2841" t="s">
        <v>29336</v>
      </c>
      <c r="M2841" t="s">
        <v>30678</v>
      </c>
      <c r="N2841" t="s">
        <v>32524</v>
      </c>
      <c r="O2841" t="s">
        <v>32525</v>
      </c>
      <c r="P2841">
        <v>0</v>
      </c>
      <c r="Q2841">
        <v>1</v>
      </c>
      <c r="R2841" t="s">
        <v>32527</v>
      </c>
      <c r="S2841" t="s">
        <v>32552</v>
      </c>
      <c r="T2841" t="s">
        <v>33194</v>
      </c>
      <c r="U2841" t="s">
        <v>36044</v>
      </c>
      <c r="W2841" t="s">
        <v>30678</v>
      </c>
      <c r="X2841" t="s">
        <v>32530</v>
      </c>
    </row>
    <row r="2842" spans="1:24">
      <c r="A2842">
        <f>HYPERLINK("https://www.philgeps.gov.ph/GEPSNONPILOT/Tender/SplashBidNoticeAbstractUI.aspx?menuIndex=3&amp;refID=7043471&amp;Result=3","7043471")</f>
        <v>0</v>
      </c>
      <c r="B2842" t="s">
        <v>1046</v>
      </c>
      <c r="C2842" t="s">
        <v>5390</v>
      </c>
      <c r="D2842" t="s">
        <v>12988</v>
      </c>
      <c r="E2842" t="s">
        <v>15657</v>
      </c>
      <c r="F2842" t="s">
        <v>22436</v>
      </c>
      <c r="G2842" t="s">
        <v>22444</v>
      </c>
      <c r="H2842" t="s">
        <v>22452</v>
      </c>
      <c r="I2842" t="s">
        <v>2981</v>
      </c>
      <c r="J2842" t="s">
        <v>24522</v>
      </c>
      <c r="K2842" t="s">
        <v>29336</v>
      </c>
      <c r="M2842" t="s">
        <v>30678</v>
      </c>
      <c r="N2842" t="s">
        <v>32524</v>
      </c>
      <c r="O2842" t="s">
        <v>32525</v>
      </c>
      <c r="P2842">
        <v>0</v>
      </c>
      <c r="Q2842">
        <v>2</v>
      </c>
      <c r="R2842" t="s">
        <v>32527</v>
      </c>
      <c r="S2842" t="s">
        <v>32552</v>
      </c>
      <c r="T2842" t="s">
        <v>33194</v>
      </c>
      <c r="U2842" t="s">
        <v>36045</v>
      </c>
      <c r="W2842" t="s">
        <v>30678</v>
      </c>
      <c r="X2842" t="s">
        <v>32530</v>
      </c>
    </row>
    <row r="2843" spans="1:24">
      <c r="A2843">
        <f>HYPERLINK("https://www.philgeps.gov.ph/GEPSNONPILOT/Tender/SplashBidNoticeAbstractUI.aspx?menuIndex=3&amp;refID=7043436&amp;Result=3","7043436")</f>
        <v>0</v>
      </c>
      <c r="B2843" t="s">
        <v>140</v>
      </c>
      <c r="C2843" t="s">
        <v>5391</v>
      </c>
      <c r="D2843" t="s">
        <v>12988</v>
      </c>
      <c r="E2843" t="s">
        <v>15658</v>
      </c>
      <c r="F2843" t="s">
        <v>22436</v>
      </c>
      <c r="G2843" t="s">
        <v>22443</v>
      </c>
      <c r="H2843" t="s">
        <v>22452</v>
      </c>
      <c r="I2843" t="s">
        <v>22460</v>
      </c>
      <c r="J2843" t="s">
        <v>23093</v>
      </c>
      <c r="K2843" t="s">
        <v>29338</v>
      </c>
      <c r="M2843" t="s">
        <v>30340</v>
      </c>
      <c r="N2843" t="s">
        <v>32524</v>
      </c>
      <c r="O2843" t="s">
        <v>32525</v>
      </c>
      <c r="P2843">
        <v>0</v>
      </c>
      <c r="Q2843">
        <v>1</v>
      </c>
      <c r="R2843" t="s">
        <v>32527</v>
      </c>
      <c r="S2843" t="s">
        <v>32552</v>
      </c>
      <c r="T2843" t="s">
        <v>33203</v>
      </c>
      <c r="U2843" t="s">
        <v>36046</v>
      </c>
      <c r="V2843" t="s">
        <v>42600</v>
      </c>
      <c r="W2843" t="s">
        <v>30340</v>
      </c>
      <c r="X2843" t="s">
        <v>32530</v>
      </c>
    </row>
    <row r="2844" spans="1:24">
      <c r="A2844">
        <f>HYPERLINK("https://www.philgeps.gov.ph/GEPSNONPILOT/Tender/SplashBidNoticeAbstractUI.aspx?menuIndex=3&amp;refID=7043487&amp;Result=3","7043487")</f>
        <v>0</v>
      </c>
      <c r="B2844" t="s">
        <v>1049</v>
      </c>
      <c r="C2844" t="s">
        <v>5392</v>
      </c>
      <c r="D2844" t="s">
        <v>13065</v>
      </c>
      <c r="E2844" t="s">
        <v>15659</v>
      </c>
      <c r="F2844" t="s">
        <v>22436</v>
      </c>
      <c r="G2844" t="s">
        <v>22444</v>
      </c>
      <c r="H2844" t="s">
        <v>22452</v>
      </c>
      <c r="I2844" t="s">
        <v>3381</v>
      </c>
      <c r="J2844" t="s">
        <v>24523</v>
      </c>
      <c r="K2844" t="s">
        <v>29333</v>
      </c>
      <c r="M2844" t="s">
        <v>30681</v>
      </c>
      <c r="N2844" t="s">
        <v>32524</v>
      </c>
      <c r="O2844" t="s">
        <v>32525</v>
      </c>
      <c r="P2844">
        <v>0</v>
      </c>
      <c r="Q2844">
        <v>2</v>
      </c>
      <c r="R2844" t="s">
        <v>32527</v>
      </c>
      <c r="S2844" t="s">
        <v>32552</v>
      </c>
      <c r="T2844" t="s">
        <v>33179</v>
      </c>
      <c r="U2844" t="s">
        <v>36047</v>
      </c>
      <c r="W2844" t="s">
        <v>30681</v>
      </c>
      <c r="X2844" t="s">
        <v>32530</v>
      </c>
    </row>
    <row r="2845" spans="1:24">
      <c r="A2845">
        <f>HYPERLINK("https://www.philgeps.gov.ph/GEPSNONPILOT/Tender/SplashBidNoticeAbstractUI.aspx?menuIndex=3&amp;refID=7043476&amp;Result=3","7043476")</f>
        <v>0</v>
      </c>
      <c r="B2845" t="s">
        <v>1049</v>
      </c>
      <c r="C2845" t="s">
        <v>5393</v>
      </c>
      <c r="D2845" t="s">
        <v>13065</v>
      </c>
      <c r="E2845" t="s">
        <v>15660</v>
      </c>
      <c r="F2845" t="s">
        <v>22436</v>
      </c>
      <c r="G2845" t="s">
        <v>22444</v>
      </c>
      <c r="H2845" t="s">
        <v>22452</v>
      </c>
      <c r="I2845" t="s">
        <v>3381</v>
      </c>
      <c r="J2845" t="s">
        <v>23120</v>
      </c>
      <c r="K2845" t="s">
        <v>29333</v>
      </c>
      <c r="M2845" t="s">
        <v>30681</v>
      </c>
      <c r="N2845" t="s">
        <v>32524</v>
      </c>
      <c r="O2845" t="s">
        <v>32525</v>
      </c>
      <c r="P2845">
        <v>0</v>
      </c>
      <c r="Q2845">
        <v>0</v>
      </c>
      <c r="R2845" t="s">
        <v>32527</v>
      </c>
      <c r="S2845" t="s">
        <v>32552</v>
      </c>
      <c r="T2845" t="s">
        <v>33179</v>
      </c>
      <c r="U2845" t="s">
        <v>36048</v>
      </c>
      <c r="W2845" t="s">
        <v>30681</v>
      </c>
      <c r="X2845" t="s">
        <v>32530</v>
      </c>
    </row>
    <row r="2846" spans="1:24">
      <c r="A2846">
        <f>HYPERLINK("https://www.philgeps.gov.ph/GEPSNONPILOT/Tender/SplashBidNoticeAbstractUI.aspx?menuIndex=3&amp;refID=7043480&amp;Result=3","7043480")</f>
        <v>0</v>
      </c>
      <c r="B2846" t="s">
        <v>1049</v>
      </c>
      <c r="C2846" t="s">
        <v>5394</v>
      </c>
      <c r="D2846" t="s">
        <v>13065</v>
      </c>
      <c r="E2846" t="s">
        <v>15661</v>
      </c>
      <c r="F2846" t="s">
        <v>22436</v>
      </c>
      <c r="G2846" t="s">
        <v>22444</v>
      </c>
      <c r="H2846" t="s">
        <v>22452</v>
      </c>
      <c r="I2846" t="s">
        <v>3381</v>
      </c>
      <c r="J2846" t="s">
        <v>24524</v>
      </c>
      <c r="K2846" t="s">
        <v>29333</v>
      </c>
      <c r="M2846" t="s">
        <v>30681</v>
      </c>
      <c r="N2846" t="s">
        <v>32524</v>
      </c>
      <c r="O2846" t="s">
        <v>32525</v>
      </c>
      <c r="P2846">
        <v>0</v>
      </c>
      <c r="Q2846">
        <v>0</v>
      </c>
      <c r="R2846" t="s">
        <v>32527</v>
      </c>
      <c r="S2846" t="s">
        <v>32552</v>
      </c>
      <c r="T2846" t="s">
        <v>33179</v>
      </c>
      <c r="U2846" t="s">
        <v>36049</v>
      </c>
      <c r="W2846" t="s">
        <v>30681</v>
      </c>
      <c r="X2846" t="s">
        <v>32530</v>
      </c>
    </row>
    <row r="2847" spans="1:24">
      <c r="A2847">
        <f>HYPERLINK("https://www.philgeps.gov.ph/GEPSNONPILOT/Tender/SplashBidNoticeAbstractUI.aspx?menuIndex=3&amp;refID=7043488&amp;Result=3","7043488")</f>
        <v>0</v>
      </c>
      <c r="B2847" t="s">
        <v>1046</v>
      </c>
      <c r="C2847" t="s">
        <v>5395</v>
      </c>
      <c r="D2847" t="s">
        <v>12988</v>
      </c>
      <c r="E2847" t="s">
        <v>15662</v>
      </c>
      <c r="F2847" t="s">
        <v>22436</v>
      </c>
      <c r="G2847" t="s">
        <v>22444</v>
      </c>
      <c r="H2847" t="s">
        <v>22452</v>
      </c>
      <c r="I2847" t="s">
        <v>22554</v>
      </c>
      <c r="J2847" t="s">
        <v>22788</v>
      </c>
      <c r="K2847" t="s">
        <v>29336</v>
      </c>
      <c r="M2847" t="s">
        <v>30678</v>
      </c>
      <c r="N2847" t="s">
        <v>32524</v>
      </c>
      <c r="O2847" t="s">
        <v>32525</v>
      </c>
      <c r="P2847">
        <v>0</v>
      </c>
      <c r="Q2847">
        <v>3</v>
      </c>
      <c r="R2847" t="s">
        <v>32527</v>
      </c>
      <c r="S2847" t="s">
        <v>32552</v>
      </c>
      <c r="T2847" t="s">
        <v>33194</v>
      </c>
      <c r="U2847" t="s">
        <v>36050</v>
      </c>
      <c r="W2847" t="s">
        <v>30678</v>
      </c>
      <c r="X2847" t="s">
        <v>32530</v>
      </c>
    </row>
    <row r="2848" spans="1:24">
      <c r="A2848">
        <f>HYPERLINK("https://www.philgeps.gov.ph/GEPSNONPILOT/Tender/SplashBidNoticeAbstractUI.aspx?menuIndex=3&amp;refID=7043500&amp;Result=3","7043500")</f>
        <v>0</v>
      </c>
      <c r="B2848" t="s">
        <v>1049</v>
      </c>
      <c r="C2848" t="s">
        <v>5396</v>
      </c>
      <c r="D2848" t="s">
        <v>13065</v>
      </c>
      <c r="E2848" t="s">
        <v>15663</v>
      </c>
      <c r="F2848" t="s">
        <v>22436</v>
      </c>
      <c r="G2848" t="s">
        <v>22444</v>
      </c>
      <c r="H2848" t="s">
        <v>22452</v>
      </c>
      <c r="I2848" t="s">
        <v>3381</v>
      </c>
      <c r="J2848" t="s">
        <v>22704</v>
      </c>
      <c r="K2848" t="s">
        <v>29333</v>
      </c>
      <c r="M2848" t="s">
        <v>30681</v>
      </c>
      <c r="N2848" t="s">
        <v>32524</v>
      </c>
      <c r="O2848" t="s">
        <v>32525</v>
      </c>
      <c r="P2848">
        <v>0</v>
      </c>
      <c r="Q2848">
        <v>1</v>
      </c>
      <c r="R2848" t="s">
        <v>32527</v>
      </c>
      <c r="S2848" t="s">
        <v>32552</v>
      </c>
      <c r="T2848" t="s">
        <v>33179</v>
      </c>
      <c r="U2848" t="s">
        <v>36051</v>
      </c>
      <c r="W2848" t="s">
        <v>30681</v>
      </c>
      <c r="X2848" t="s">
        <v>32530</v>
      </c>
    </row>
    <row r="2849" spans="1:24">
      <c r="A2849">
        <f>HYPERLINK("https://www.philgeps.gov.ph/GEPSNONPILOT/Tender/SplashBidNoticeAbstractUI.aspx?menuIndex=3&amp;refID=7043483&amp;Result=3","7043483")</f>
        <v>0</v>
      </c>
      <c r="B2849" t="s">
        <v>1049</v>
      </c>
      <c r="C2849" t="s">
        <v>5397</v>
      </c>
      <c r="D2849" t="s">
        <v>13065</v>
      </c>
      <c r="E2849" t="s">
        <v>15664</v>
      </c>
      <c r="F2849" t="s">
        <v>22436</v>
      </c>
      <c r="G2849" t="s">
        <v>22444</v>
      </c>
      <c r="H2849" t="s">
        <v>22452</v>
      </c>
      <c r="I2849" t="s">
        <v>3381</v>
      </c>
      <c r="J2849" t="s">
        <v>24525</v>
      </c>
      <c r="K2849" t="s">
        <v>29333</v>
      </c>
      <c r="M2849" t="s">
        <v>30681</v>
      </c>
      <c r="N2849" t="s">
        <v>32524</v>
      </c>
      <c r="O2849" t="s">
        <v>32525</v>
      </c>
      <c r="P2849">
        <v>0</v>
      </c>
      <c r="Q2849">
        <v>2</v>
      </c>
      <c r="R2849" t="s">
        <v>32527</v>
      </c>
      <c r="S2849" t="s">
        <v>32552</v>
      </c>
      <c r="T2849" t="s">
        <v>33179</v>
      </c>
      <c r="U2849" t="s">
        <v>36052</v>
      </c>
      <c r="W2849" t="s">
        <v>30681</v>
      </c>
      <c r="X2849" t="s">
        <v>32530</v>
      </c>
    </row>
    <row r="2850" spans="1:24">
      <c r="A2850">
        <f>HYPERLINK("https://www.philgeps.gov.ph/GEPSNONPILOT/Tender/SplashBidNoticeAbstractUI.aspx?menuIndex=3&amp;refID=7043481&amp;Result=3","7043481")</f>
        <v>0</v>
      </c>
      <c r="B2850" t="s">
        <v>1046</v>
      </c>
      <c r="C2850" t="s">
        <v>5398</v>
      </c>
      <c r="D2850" t="s">
        <v>12988</v>
      </c>
      <c r="E2850" t="s">
        <v>15662</v>
      </c>
      <c r="F2850" t="s">
        <v>22436</v>
      </c>
      <c r="G2850" t="s">
        <v>22444</v>
      </c>
      <c r="H2850" t="s">
        <v>22452</v>
      </c>
      <c r="I2850" t="s">
        <v>2981</v>
      </c>
      <c r="J2850" t="s">
        <v>22911</v>
      </c>
      <c r="K2850" t="s">
        <v>29336</v>
      </c>
      <c r="M2850" t="s">
        <v>30678</v>
      </c>
      <c r="N2850" t="s">
        <v>32524</v>
      </c>
      <c r="O2850" t="s">
        <v>32525</v>
      </c>
      <c r="P2850">
        <v>0</v>
      </c>
      <c r="Q2850">
        <v>1</v>
      </c>
      <c r="R2850" t="s">
        <v>32527</v>
      </c>
      <c r="S2850" t="s">
        <v>32552</v>
      </c>
      <c r="T2850" t="s">
        <v>33194</v>
      </c>
      <c r="U2850" t="s">
        <v>36053</v>
      </c>
      <c r="W2850" t="s">
        <v>30678</v>
      </c>
      <c r="X2850" t="s">
        <v>32530</v>
      </c>
    </row>
    <row r="2851" spans="1:24">
      <c r="A2851">
        <f>HYPERLINK("https://www.philgeps.gov.ph/GEPSNONPILOT/Tender/SplashBidNoticeAbstractUI.aspx?menuIndex=3&amp;refID=7043499&amp;Result=3","7043499")</f>
        <v>0</v>
      </c>
      <c r="B2851" t="s">
        <v>140</v>
      </c>
      <c r="C2851" t="s">
        <v>5399</v>
      </c>
      <c r="D2851" t="s">
        <v>12988</v>
      </c>
      <c r="E2851" t="s">
        <v>15665</v>
      </c>
      <c r="F2851" t="s">
        <v>22436</v>
      </c>
      <c r="G2851" t="s">
        <v>22443</v>
      </c>
      <c r="H2851" t="s">
        <v>22452</v>
      </c>
      <c r="I2851" t="s">
        <v>22548</v>
      </c>
      <c r="J2851" t="s">
        <v>24526</v>
      </c>
      <c r="K2851" t="s">
        <v>29338</v>
      </c>
      <c r="M2851" t="s">
        <v>30340</v>
      </c>
      <c r="N2851" t="s">
        <v>32524</v>
      </c>
      <c r="O2851" t="s">
        <v>32525</v>
      </c>
      <c r="P2851">
        <v>0</v>
      </c>
      <c r="Q2851">
        <v>3</v>
      </c>
      <c r="R2851" t="s">
        <v>32527</v>
      </c>
      <c r="S2851" t="s">
        <v>32552</v>
      </c>
      <c r="T2851" t="s">
        <v>33203</v>
      </c>
      <c r="U2851" t="s">
        <v>36054</v>
      </c>
      <c r="V2851" t="s">
        <v>42600</v>
      </c>
      <c r="W2851" t="s">
        <v>30340</v>
      </c>
      <c r="X2851" t="s">
        <v>32530</v>
      </c>
    </row>
    <row r="2852" spans="1:24">
      <c r="A2852">
        <f>HYPERLINK("https://www.philgeps.gov.ph/GEPSNONPILOT/Tender/SplashBidNoticeAbstractUI.aspx?menuIndex=3&amp;refID=7043489&amp;Result=3","7043489")</f>
        <v>0</v>
      </c>
      <c r="B2852" t="s">
        <v>1049</v>
      </c>
      <c r="C2852" t="s">
        <v>5400</v>
      </c>
      <c r="D2852" t="s">
        <v>13065</v>
      </c>
      <c r="E2852" t="s">
        <v>15666</v>
      </c>
      <c r="F2852" t="s">
        <v>22436</v>
      </c>
      <c r="G2852" t="s">
        <v>22444</v>
      </c>
      <c r="H2852" t="s">
        <v>22452</v>
      </c>
      <c r="I2852" t="s">
        <v>3381</v>
      </c>
      <c r="J2852" t="s">
        <v>24527</v>
      </c>
      <c r="K2852" t="s">
        <v>29333</v>
      </c>
      <c r="M2852" t="s">
        <v>30681</v>
      </c>
      <c r="N2852" t="s">
        <v>32524</v>
      </c>
      <c r="O2852" t="s">
        <v>32525</v>
      </c>
      <c r="P2852">
        <v>0</v>
      </c>
      <c r="Q2852">
        <v>1</v>
      </c>
      <c r="R2852" t="s">
        <v>32527</v>
      </c>
      <c r="S2852" t="s">
        <v>32552</v>
      </c>
      <c r="T2852" t="s">
        <v>33179</v>
      </c>
      <c r="U2852" t="s">
        <v>36055</v>
      </c>
      <c r="W2852" t="s">
        <v>30681</v>
      </c>
      <c r="X2852" t="s">
        <v>32530</v>
      </c>
    </row>
    <row r="2853" spans="1:24">
      <c r="A2853">
        <f>HYPERLINK("https://www.philgeps.gov.ph/GEPSNONPILOT/Tender/SplashBidNoticeAbstractUI.aspx?menuIndex=3&amp;refID=7043497&amp;Result=3","7043497")</f>
        <v>0</v>
      </c>
      <c r="B2853" t="s">
        <v>1049</v>
      </c>
      <c r="C2853" t="s">
        <v>5401</v>
      </c>
      <c r="D2853" t="s">
        <v>13065</v>
      </c>
      <c r="E2853" t="s">
        <v>15667</v>
      </c>
      <c r="F2853" t="s">
        <v>22436</v>
      </c>
      <c r="G2853" t="s">
        <v>22444</v>
      </c>
      <c r="H2853" t="s">
        <v>22452</v>
      </c>
      <c r="I2853" t="s">
        <v>3381</v>
      </c>
      <c r="J2853" t="s">
        <v>24528</v>
      </c>
      <c r="K2853" t="s">
        <v>29333</v>
      </c>
      <c r="M2853" t="s">
        <v>30681</v>
      </c>
      <c r="N2853" t="s">
        <v>32524</v>
      </c>
      <c r="O2853" t="s">
        <v>32525</v>
      </c>
      <c r="P2853">
        <v>0</v>
      </c>
      <c r="Q2853">
        <v>1</v>
      </c>
      <c r="R2853" t="s">
        <v>32527</v>
      </c>
      <c r="S2853" t="s">
        <v>32552</v>
      </c>
      <c r="T2853" t="s">
        <v>33179</v>
      </c>
      <c r="U2853" t="s">
        <v>36056</v>
      </c>
      <c r="W2853" t="s">
        <v>30681</v>
      </c>
      <c r="X2853" t="s">
        <v>32530</v>
      </c>
    </row>
    <row r="2854" spans="1:24">
      <c r="A2854">
        <f>HYPERLINK("https://www.philgeps.gov.ph/GEPSNONPILOT/Tender/SplashBidNoticeAbstractUI.aspx?menuIndex=3&amp;refID=7043502&amp;Result=3","7043502")</f>
        <v>0</v>
      </c>
      <c r="B2854" t="s">
        <v>140</v>
      </c>
      <c r="C2854" t="s">
        <v>5402</v>
      </c>
      <c r="D2854" t="s">
        <v>12988</v>
      </c>
      <c r="E2854" t="s">
        <v>15668</v>
      </c>
      <c r="F2854" t="s">
        <v>22436</v>
      </c>
      <c r="G2854" t="s">
        <v>22443</v>
      </c>
      <c r="H2854" t="s">
        <v>22452</v>
      </c>
      <c r="I2854" t="s">
        <v>2981</v>
      </c>
      <c r="J2854" t="s">
        <v>24529</v>
      </c>
      <c r="K2854" t="s">
        <v>29338</v>
      </c>
      <c r="M2854" t="s">
        <v>30340</v>
      </c>
      <c r="N2854" t="s">
        <v>32524</v>
      </c>
      <c r="O2854" t="s">
        <v>32525</v>
      </c>
      <c r="P2854">
        <v>0</v>
      </c>
      <c r="Q2854">
        <v>2</v>
      </c>
      <c r="R2854" t="s">
        <v>32527</v>
      </c>
      <c r="S2854" t="s">
        <v>32552</v>
      </c>
      <c r="T2854" t="s">
        <v>33203</v>
      </c>
      <c r="U2854" t="s">
        <v>36057</v>
      </c>
      <c r="V2854" t="s">
        <v>42600</v>
      </c>
      <c r="W2854" t="s">
        <v>30340</v>
      </c>
      <c r="X2854" t="s">
        <v>32530</v>
      </c>
    </row>
    <row r="2855" spans="1:24">
      <c r="A2855">
        <f>HYPERLINK("https://www.philgeps.gov.ph/GEPSNONPILOT/Tender/SplashBidNoticeAbstractUI.aspx?menuIndex=3&amp;refID=7043538&amp;Result=3","7043538")</f>
        <v>0</v>
      </c>
      <c r="B2855" t="s">
        <v>1050</v>
      </c>
      <c r="C2855" t="s">
        <v>5403</v>
      </c>
      <c r="D2855" t="s">
        <v>12988</v>
      </c>
      <c r="E2855" t="s">
        <v>14095</v>
      </c>
      <c r="F2855" t="s">
        <v>22436</v>
      </c>
      <c r="G2855" t="s">
        <v>22443</v>
      </c>
      <c r="H2855" t="s">
        <v>22452</v>
      </c>
      <c r="I2855" t="s">
        <v>3840</v>
      </c>
      <c r="J2855" t="s">
        <v>24530</v>
      </c>
      <c r="K2855" t="s">
        <v>29357</v>
      </c>
      <c r="M2855" t="s">
        <v>30682</v>
      </c>
      <c r="N2855" t="s">
        <v>32524</v>
      </c>
      <c r="O2855" t="s">
        <v>32525</v>
      </c>
      <c r="P2855">
        <v>0</v>
      </c>
      <c r="Q2855">
        <v>4</v>
      </c>
      <c r="R2855" t="s">
        <v>32527</v>
      </c>
      <c r="S2855" t="s">
        <v>32552</v>
      </c>
      <c r="T2855" t="s">
        <v>33169</v>
      </c>
      <c r="U2855" t="s">
        <v>36058</v>
      </c>
      <c r="W2855" t="s">
        <v>30682</v>
      </c>
      <c r="X2855" t="s">
        <v>32530</v>
      </c>
    </row>
    <row r="2856" spans="1:24">
      <c r="A2856">
        <f>HYPERLINK("https://www.philgeps.gov.ph/GEPSNONPILOT/Tender/SplashBidNoticeAbstractUI.aspx?menuIndex=3&amp;refID=7043493&amp;Result=3","7043493")</f>
        <v>0</v>
      </c>
      <c r="B2856" t="s">
        <v>1049</v>
      </c>
      <c r="C2856" t="s">
        <v>5404</v>
      </c>
      <c r="D2856" t="s">
        <v>13065</v>
      </c>
      <c r="E2856" t="s">
        <v>15669</v>
      </c>
      <c r="F2856" t="s">
        <v>22436</v>
      </c>
      <c r="G2856" t="s">
        <v>22444</v>
      </c>
      <c r="H2856" t="s">
        <v>22452</v>
      </c>
      <c r="I2856" t="s">
        <v>3381</v>
      </c>
      <c r="J2856" t="s">
        <v>24531</v>
      </c>
      <c r="K2856" t="s">
        <v>29333</v>
      </c>
      <c r="M2856" t="s">
        <v>30681</v>
      </c>
      <c r="N2856" t="s">
        <v>32524</v>
      </c>
      <c r="O2856" t="s">
        <v>32525</v>
      </c>
      <c r="P2856">
        <v>0</v>
      </c>
      <c r="Q2856">
        <v>2</v>
      </c>
      <c r="R2856" t="s">
        <v>32527</v>
      </c>
      <c r="S2856" t="s">
        <v>32552</v>
      </c>
      <c r="T2856" t="s">
        <v>33179</v>
      </c>
      <c r="U2856" t="s">
        <v>36059</v>
      </c>
      <c r="W2856" t="s">
        <v>30681</v>
      </c>
      <c r="X2856" t="s">
        <v>32530</v>
      </c>
    </row>
    <row r="2857" spans="1:24">
      <c r="A2857">
        <f>HYPERLINK("https://www.philgeps.gov.ph/GEPSNONPILOT/Tender/SplashBidNoticeAbstractUI.aspx?menuIndex=3&amp;refID=7043553&amp;Result=3","7043553")</f>
        <v>0</v>
      </c>
      <c r="B2857" t="s">
        <v>1051</v>
      </c>
      <c r="C2857" t="s">
        <v>5405</v>
      </c>
      <c r="D2857" t="s">
        <v>13001</v>
      </c>
      <c r="E2857" t="s">
        <v>15670</v>
      </c>
      <c r="F2857" t="s">
        <v>22436</v>
      </c>
      <c r="G2857" t="s">
        <v>22443</v>
      </c>
      <c r="H2857" t="s">
        <v>22452</v>
      </c>
      <c r="I2857" t="s">
        <v>3827</v>
      </c>
      <c r="J2857" t="s">
        <v>24532</v>
      </c>
      <c r="K2857" t="s">
        <v>29331</v>
      </c>
      <c r="M2857" t="s">
        <v>30683</v>
      </c>
      <c r="N2857" t="s">
        <v>32524</v>
      </c>
      <c r="O2857" t="s">
        <v>32525</v>
      </c>
      <c r="P2857">
        <v>0</v>
      </c>
      <c r="Q2857">
        <v>2</v>
      </c>
      <c r="R2857" t="s">
        <v>32527</v>
      </c>
      <c r="S2857" t="s">
        <v>32552</v>
      </c>
      <c r="T2857" t="s">
        <v>33229</v>
      </c>
      <c r="U2857" t="s">
        <v>36060</v>
      </c>
      <c r="W2857" t="s">
        <v>30683</v>
      </c>
      <c r="X2857" t="s">
        <v>32530</v>
      </c>
    </row>
    <row r="2858" spans="1:24">
      <c r="A2858">
        <f>HYPERLINK("https://www.philgeps.gov.ph/GEPSNONPILOT/Tender/SplashBidNoticeAbstractUI.aspx?menuIndex=3&amp;refID=7043484&amp;Result=3","7043484")</f>
        <v>0</v>
      </c>
      <c r="B2858" t="s">
        <v>1046</v>
      </c>
      <c r="C2858" t="s">
        <v>5406</v>
      </c>
      <c r="D2858" t="s">
        <v>12988</v>
      </c>
      <c r="E2858" t="s">
        <v>15671</v>
      </c>
      <c r="F2858" t="s">
        <v>22436</v>
      </c>
      <c r="G2858" t="s">
        <v>22444</v>
      </c>
      <c r="H2858" t="s">
        <v>22452</v>
      </c>
      <c r="I2858" t="s">
        <v>22527</v>
      </c>
      <c r="J2858" t="s">
        <v>22761</v>
      </c>
      <c r="K2858" t="s">
        <v>29336</v>
      </c>
      <c r="M2858" t="s">
        <v>30678</v>
      </c>
      <c r="N2858" t="s">
        <v>32524</v>
      </c>
      <c r="O2858" t="s">
        <v>32525</v>
      </c>
      <c r="P2858">
        <v>0</v>
      </c>
      <c r="Q2858">
        <v>0</v>
      </c>
      <c r="R2858" t="s">
        <v>32527</v>
      </c>
      <c r="S2858" t="s">
        <v>32552</v>
      </c>
      <c r="T2858" t="s">
        <v>33194</v>
      </c>
      <c r="U2858" t="s">
        <v>36061</v>
      </c>
      <c r="W2858" t="s">
        <v>30678</v>
      </c>
      <c r="X2858" t="s">
        <v>32530</v>
      </c>
    </row>
    <row r="2859" spans="1:24">
      <c r="A2859">
        <f>HYPERLINK("https://www.philgeps.gov.ph/GEPSNONPILOT/Tender/SplashBidNoticeAbstractUI.aspx?menuIndex=3&amp;refID=7043511&amp;Result=3","7043511")</f>
        <v>0</v>
      </c>
      <c r="B2859" t="s">
        <v>1049</v>
      </c>
      <c r="C2859" t="s">
        <v>5407</v>
      </c>
      <c r="D2859" t="s">
        <v>13065</v>
      </c>
      <c r="E2859" t="s">
        <v>15672</v>
      </c>
      <c r="F2859" t="s">
        <v>22436</v>
      </c>
      <c r="G2859" t="s">
        <v>22444</v>
      </c>
      <c r="H2859" t="s">
        <v>22452</v>
      </c>
      <c r="I2859" t="s">
        <v>3381</v>
      </c>
      <c r="J2859" t="s">
        <v>24533</v>
      </c>
      <c r="K2859" t="s">
        <v>29333</v>
      </c>
      <c r="M2859" t="s">
        <v>30681</v>
      </c>
      <c r="N2859" t="s">
        <v>32524</v>
      </c>
      <c r="O2859" t="s">
        <v>32525</v>
      </c>
      <c r="P2859">
        <v>0</v>
      </c>
      <c r="Q2859">
        <v>1</v>
      </c>
      <c r="R2859" t="s">
        <v>32527</v>
      </c>
      <c r="S2859" t="s">
        <v>32552</v>
      </c>
      <c r="T2859" t="s">
        <v>33179</v>
      </c>
      <c r="U2859" t="s">
        <v>36062</v>
      </c>
      <c r="W2859" t="s">
        <v>30681</v>
      </c>
      <c r="X2859" t="s">
        <v>32530</v>
      </c>
    </row>
    <row r="2860" spans="1:24">
      <c r="A2860">
        <f>HYPERLINK("https://www.philgeps.gov.ph/GEPSNONPILOT/Tender/SplashBidNoticeAbstractUI.aspx?menuIndex=3&amp;refID=7043513&amp;Result=3","7043513")</f>
        <v>0</v>
      </c>
      <c r="B2860" t="s">
        <v>1049</v>
      </c>
      <c r="C2860" t="s">
        <v>5408</v>
      </c>
      <c r="D2860" t="s">
        <v>13065</v>
      </c>
      <c r="E2860" t="s">
        <v>15673</v>
      </c>
      <c r="F2860" t="s">
        <v>22436</v>
      </c>
      <c r="G2860" t="s">
        <v>22444</v>
      </c>
      <c r="H2860" t="s">
        <v>22452</v>
      </c>
      <c r="I2860" t="s">
        <v>3381</v>
      </c>
      <c r="J2860" t="s">
        <v>24534</v>
      </c>
      <c r="K2860" t="s">
        <v>29333</v>
      </c>
      <c r="M2860" t="s">
        <v>30681</v>
      </c>
      <c r="N2860" t="s">
        <v>32524</v>
      </c>
      <c r="O2860" t="s">
        <v>32525</v>
      </c>
      <c r="P2860">
        <v>0</v>
      </c>
      <c r="Q2860">
        <v>0</v>
      </c>
      <c r="R2860" t="s">
        <v>32527</v>
      </c>
      <c r="S2860" t="s">
        <v>32552</v>
      </c>
      <c r="T2860" t="s">
        <v>33179</v>
      </c>
      <c r="U2860" t="s">
        <v>36063</v>
      </c>
      <c r="W2860" t="s">
        <v>30681</v>
      </c>
      <c r="X2860" t="s">
        <v>32530</v>
      </c>
    </row>
    <row r="2861" spans="1:24">
      <c r="A2861">
        <f>HYPERLINK("https://www.philgeps.gov.ph/GEPSNONPILOT/Tender/SplashBidNoticeAbstractUI.aspx?menuIndex=3&amp;refID=7043572&amp;Result=3","7043572")</f>
        <v>0</v>
      </c>
      <c r="B2861" t="s">
        <v>1052</v>
      </c>
      <c r="C2861" t="s">
        <v>5409</v>
      </c>
      <c r="D2861" t="s">
        <v>13059</v>
      </c>
      <c r="E2861" t="s">
        <v>15674</v>
      </c>
      <c r="F2861" t="s">
        <v>22436</v>
      </c>
      <c r="G2861" t="s">
        <v>22444</v>
      </c>
      <c r="H2861" t="s">
        <v>22454</v>
      </c>
      <c r="I2861" t="s">
        <v>7738</v>
      </c>
      <c r="J2861" t="s">
        <v>23202</v>
      </c>
      <c r="K2861" t="s">
        <v>29336</v>
      </c>
      <c r="M2861" t="s">
        <v>30684</v>
      </c>
      <c r="N2861" t="s">
        <v>32524</v>
      </c>
      <c r="O2861" t="s">
        <v>32525</v>
      </c>
      <c r="P2861">
        <v>0</v>
      </c>
      <c r="Q2861">
        <v>3</v>
      </c>
      <c r="R2861" t="s">
        <v>32527</v>
      </c>
      <c r="S2861" t="s">
        <v>32552</v>
      </c>
      <c r="T2861" t="s">
        <v>33344</v>
      </c>
      <c r="U2861" t="s">
        <v>36064</v>
      </c>
      <c r="W2861" t="s">
        <v>30684</v>
      </c>
      <c r="X2861" t="s">
        <v>32530</v>
      </c>
    </row>
    <row r="2862" spans="1:24">
      <c r="A2862">
        <f>HYPERLINK("https://www.philgeps.gov.ph/GEPSNONPILOT/Tender/SplashBidNoticeAbstractUI.aspx?menuIndex=3&amp;refID=7043505&amp;Result=3","7043505")</f>
        <v>0</v>
      </c>
      <c r="B2862" t="s">
        <v>140</v>
      </c>
      <c r="C2862" t="s">
        <v>5410</v>
      </c>
      <c r="D2862" t="s">
        <v>12988</v>
      </c>
      <c r="E2862" t="s">
        <v>15675</v>
      </c>
      <c r="F2862" t="s">
        <v>22436</v>
      </c>
      <c r="G2862" t="s">
        <v>22443</v>
      </c>
      <c r="H2862" t="s">
        <v>22452</v>
      </c>
      <c r="I2862" t="s">
        <v>5194</v>
      </c>
      <c r="J2862" t="s">
        <v>24535</v>
      </c>
      <c r="K2862" t="s">
        <v>29338</v>
      </c>
      <c r="M2862" t="s">
        <v>30340</v>
      </c>
      <c r="N2862" t="s">
        <v>32524</v>
      </c>
      <c r="O2862" t="s">
        <v>32525</v>
      </c>
      <c r="P2862">
        <v>0</v>
      </c>
      <c r="Q2862">
        <v>1</v>
      </c>
      <c r="R2862" t="s">
        <v>32527</v>
      </c>
      <c r="S2862" t="s">
        <v>32552</v>
      </c>
      <c r="T2862" t="s">
        <v>33203</v>
      </c>
      <c r="U2862" t="s">
        <v>36065</v>
      </c>
      <c r="V2862" t="s">
        <v>42600</v>
      </c>
      <c r="W2862" t="s">
        <v>30340</v>
      </c>
      <c r="X2862" t="s">
        <v>32530</v>
      </c>
    </row>
    <row r="2863" spans="1:24">
      <c r="A2863">
        <f>HYPERLINK("https://www.philgeps.gov.ph/GEPSNONPILOT/Tender/SplashBidNoticeAbstractUI.aspx?menuIndex=3&amp;refID=7043585&amp;Result=3","7043585")</f>
        <v>0</v>
      </c>
      <c r="B2863" t="s">
        <v>1053</v>
      </c>
      <c r="C2863" t="s">
        <v>5411</v>
      </c>
      <c r="D2863" t="s">
        <v>13056</v>
      </c>
      <c r="E2863" t="s">
        <v>15676</v>
      </c>
      <c r="F2863" t="s">
        <v>22436</v>
      </c>
      <c r="G2863" t="s">
        <v>22444</v>
      </c>
      <c r="H2863" t="s">
        <v>22454</v>
      </c>
      <c r="I2863" t="s">
        <v>7738</v>
      </c>
      <c r="J2863" t="s">
        <v>22911</v>
      </c>
      <c r="K2863" t="s">
        <v>29337</v>
      </c>
      <c r="M2863" t="s">
        <v>30685</v>
      </c>
      <c r="N2863" t="s">
        <v>32524</v>
      </c>
      <c r="O2863" t="s">
        <v>32525</v>
      </c>
      <c r="P2863">
        <v>0</v>
      </c>
      <c r="Q2863">
        <v>0</v>
      </c>
      <c r="R2863" t="s">
        <v>32527</v>
      </c>
      <c r="S2863" t="s">
        <v>32552</v>
      </c>
      <c r="T2863" t="s">
        <v>33206</v>
      </c>
      <c r="U2863" t="s">
        <v>36066</v>
      </c>
      <c r="W2863" t="s">
        <v>30685</v>
      </c>
      <c r="X2863" t="s">
        <v>32530</v>
      </c>
    </row>
    <row r="2864" spans="1:24">
      <c r="A2864">
        <f>HYPERLINK("https://www.philgeps.gov.ph/GEPSNONPILOT/Tender/SplashBidNoticeAbstractUI.aspx?menuIndex=3&amp;refID=7043604&amp;Result=3","7043604")</f>
        <v>0</v>
      </c>
      <c r="B2864" t="s">
        <v>983</v>
      </c>
      <c r="C2864" t="s">
        <v>5412</v>
      </c>
      <c r="D2864" t="s">
        <v>13073</v>
      </c>
      <c r="E2864" t="s">
        <v>15677</v>
      </c>
      <c r="F2864" t="s">
        <v>22436</v>
      </c>
      <c r="G2864" t="s">
        <v>22447</v>
      </c>
      <c r="H2864" t="s">
        <v>22452</v>
      </c>
      <c r="I2864" t="s">
        <v>3529</v>
      </c>
      <c r="J2864" t="s">
        <v>24536</v>
      </c>
      <c r="K2864" t="s">
        <v>29341</v>
      </c>
      <c r="M2864" t="s">
        <v>30604</v>
      </c>
      <c r="N2864" t="s">
        <v>32524</v>
      </c>
      <c r="O2864" t="s">
        <v>32525</v>
      </c>
      <c r="P2864">
        <v>0</v>
      </c>
      <c r="Q2864">
        <v>0</v>
      </c>
      <c r="R2864" t="s">
        <v>32527</v>
      </c>
      <c r="S2864" t="s">
        <v>32552</v>
      </c>
      <c r="T2864" t="s">
        <v>33180</v>
      </c>
      <c r="U2864" t="s">
        <v>36067</v>
      </c>
      <c r="W2864" t="s">
        <v>30604</v>
      </c>
      <c r="X2864" t="s">
        <v>32530</v>
      </c>
    </row>
    <row r="2865" spans="1:24">
      <c r="A2865">
        <f>HYPERLINK("https://www.philgeps.gov.ph/GEPSNONPILOT/Tender/SplashBidNoticeAbstractUI.aspx?menuIndex=3&amp;refID=7043628&amp;Result=3","7043628")</f>
        <v>0</v>
      </c>
      <c r="B2865" t="s">
        <v>1016</v>
      </c>
      <c r="C2865" t="s">
        <v>5413</v>
      </c>
      <c r="E2865" t="s">
        <v>15678</v>
      </c>
      <c r="F2865" t="s">
        <v>22436</v>
      </c>
      <c r="G2865" t="s">
        <v>22443</v>
      </c>
      <c r="H2865" t="s">
        <v>22452</v>
      </c>
      <c r="I2865" t="s">
        <v>3840</v>
      </c>
      <c r="J2865" t="s">
        <v>24537</v>
      </c>
      <c r="K2865" t="s">
        <v>29338</v>
      </c>
      <c r="M2865" t="s">
        <v>30686</v>
      </c>
      <c r="N2865" t="s">
        <v>32524</v>
      </c>
      <c r="O2865" t="s">
        <v>32525</v>
      </c>
      <c r="P2865">
        <v>0</v>
      </c>
      <c r="Q2865">
        <v>6</v>
      </c>
      <c r="R2865" t="s">
        <v>32527</v>
      </c>
      <c r="S2865" t="s">
        <v>32552</v>
      </c>
      <c r="T2865" t="s">
        <v>33314</v>
      </c>
      <c r="U2865" t="s">
        <v>36068</v>
      </c>
      <c r="W2865" t="s">
        <v>43706</v>
      </c>
      <c r="X2865" t="s">
        <v>32530</v>
      </c>
    </row>
    <row r="2866" spans="1:24">
      <c r="A2866">
        <f>HYPERLINK("https://www.philgeps.gov.ph/GEPSNONPILOT/Tender/SplashBidNoticeAbstractUI.aspx?menuIndex=3&amp;refID=7043660&amp;Result=3","7043660")</f>
        <v>0</v>
      </c>
      <c r="B2866" t="s">
        <v>1054</v>
      </c>
      <c r="C2866" t="s">
        <v>5414</v>
      </c>
      <c r="D2866" t="s">
        <v>13060</v>
      </c>
      <c r="E2866" t="s">
        <v>15679</v>
      </c>
      <c r="F2866" t="s">
        <v>22436</v>
      </c>
      <c r="G2866" t="s">
        <v>22446</v>
      </c>
      <c r="H2866" t="s">
        <v>22452</v>
      </c>
      <c r="I2866" t="s">
        <v>22460</v>
      </c>
      <c r="J2866" t="s">
        <v>22740</v>
      </c>
      <c r="K2866" t="s">
        <v>29336</v>
      </c>
      <c r="M2866" t="s">
        <v>30687</v>
      </c>
      <c r="N2866" t="s">
        <v>32524</v>
      </c>
      <c r="O2866" t="s">
        <v>32525</v>
      </c>
      <c r="P2866">
        <v>0</v>
      </c>
      <c r="Q2866">
        <v>0</v>
      </c>
      <c r="R2866" t="s">
        <v>32527</v>
      </c>
      <c r="S2866" t="s">
        <v>32552</v>
      </c>
      <c r="T2866" t="s">
        <v>33203</v>
      </c>
      <c r="U2866" t="s">
        <v>36069</v>
      </c>
      <c r="W2866" t="s">
        <v>30687</v>
      </c>
      <c r="X2866" t="s">
        <v>32530</v>
      </c>
    </row>
    <row r="2867" spans="1:24">
      <c r="A2867">
        <f>HYPERLINK("https://www.philgeps.gov.ph/GEPSNONPILOT/Tender/SplashBidNoticeAbstractUI.aspx?menuIndex=3&amp;refID=7043617&amp;Result=3","7043617")</f>
        <v>0</v>
      </c>
      <c r="B2867" t="s">
        <v>1055</v>
      </c>
      <c r="C2867" t="s">
        <v>5415</v>
      </c>
      <c r="E2867" t="s">
        <v>15680</v>
      </c>
      <c r="F2867" t="s">
        <v>22436</v>
      </c>
      <c r="G2867" t="s">
        <v>22443</v>
      </c>
      <c r="H2867" t="s">
        <v>22452</v>
      </c>
      <c r="I2867" t="s">
        <v>5194</v>
      </c>
      <c r="J2867" t="s">
        <v>24538</v>
      </c>
      <c r="K2867" t="s">
        <v>29338</v>
      </c>
      <c r="M2867" t="s">
        <v>30688</v>
      </c>
      <c r="N2867" t="s">
        <v>32524</v>
      </c>
      <c r="O2867" t="s">
        <v>32525</v>
      </c>
      <c r="P2867">
        <v>0</v>
      </c>
      <c r="Q2867">
        <v>1</v>
      </c>
      <c r="R2867" t="s">
        <v>32527</v>
      </c>
      <c r="S2867" t="s">
        <v>32552</v>
      </c>
      <c r="T2867" t="s">
        <v>33230</v>
      </c>
      <c r="U2867" t="s">
        <v>36070</v>
      </c>
      <c r="W2867" t="s">
        <v>30688</v>
      </c>
      <c r="X2867" t="s">
        <v>32530</v>
      </c>
    </row>
    <row r="2868" spans="1:24">
      <c r="A2868">
        <f>HYPERLINK("https://www.philgeps.gov.ph/GEPSNONPILOT/Tender/SplashBidNoticeAbstractUI.aspx?menuIndex=3&amp;refID=7043616&amp;Result=3","7043616")</f>
        <v>0</v>
      </c>
      <c r="B2868" t="s">
        <v>1035</v>
      </c>
      <c r="C2868" t="s">
        <v>5416</v>
      </c>
      <c r="D2868" t="s">
        <v>13073</v>
      </c>
      <c r="E2868" t="s">
        <v>15681</v>
      </c>
      <c r="F2868" t="s">
        <v>22436</v>
      </c>
      <c r="G2868" t="s">
        <v>22444</v>
      </c>
      <c r="H2868" t="s">
        <v>22454</v>
      </c>
      <c r="I2868" t="s">
        <v>7738</v>
      </c>
      <c r="J2868" t="s">
        <v>24539</v>
      </c>
      <c r="K2868" t="s">
        <v>29333</v>
      </c>
      <c r="M2868" t="s">
        <v>30666</v>
      </c>
      <c r="N2868" t="s">
        <v>32524</v>
      </c>
      <c r="O2868" t="s">
        <v>32525</v>
      </c>
      <c r="P2868">
        <v>0</v>
      </c>
      <c r="Q2868">
        <v>0</v>
      </c>
      <c r="R2868" t="s">
        <v>32527</v>
      </c>
      <c r="S2868" t="s">
        <v>32552</v>
      </c>
      <c r="T2868" t="s">
        <v>33166</v>
      </c>
      <c r="U2868" t="s">
        <v>36071</v>
      </c>
      <c r="W2868" t="s">
        <v>30666</v>
      </c>
      <c r="X2868" t="s">
        <v>32530</v>
      </c>
    </row>
    <row r="2869" spans="1:24">
      <c r="A2869">
        <f>HYPERLINK("https://www.philgeps.gov.ph/GEPSNONPILOT/Tender/SplashBidNoticeAbstractUI.aspx?menuIndex=3&amp;refID=7043615&amp;Result=3","7043615")</f>
        <v>0</v>
      </c>
      <c r="B2869" t="s">
        <v>1056</v>
      </c>
      <c r="C2869" t="s">
        <v>5417</v>
      </c>
      <c r="D2869" t="s">
        <v>13061</v>
      </c>
      <c r="E2869" t="s">
        <v>15682</v>
      </c>
      <c r="F2869" t="s">
        <v>22436</v>
      </c>
      <c r="G2869" t="s">
        <v>22443</v>
      </c>
      <c r="H2869" t="s">
        <v>22453</v>
      </c>
      <c r="I2869" t="s">
        <v>22458</v>
      </c>
      <c r="J2869" t="s">
        <v>24540</v>
      </c>
      <c r="K2869" t="s">
        <v>29340</v>
      </c>
      <c r="M2869" t="s">
        <v>30689</v>
      </c>
      <c r="N2869" t="s">
        <v>32524</v>
      </c>
      <c r="O2869" t="s">
        <v>32525</v>
      </c>
      <c r="P2869">
        <v>0</v>
      </c>
      <c r="Q2869">
        <v>6</v>
      </c>
      <c r="R2869" t="s">
        <v>32527</v>
      </c>
      <c r="S2869" t="s">
        <v>32552</v>
      </c>
      <c r="T2869" t="s">
        <v>33185</v>
      </c>
      <c r="U2869" t="s">
        <v>36072</v>
      </c>
      <c r="W2869" t="s">
        <v>30689</v>
      </c>
      <c r="X2869" t="s">
        <v>32530</v>
      </c>
    </row>
    <row r="2870" spans="1:24">
      <c r="A2870">
        <f>HYPERLINK("https://www.philgeps.gov.ph/GEPSNONPILOT/Tender/SplashBidNoticeAbstractUI.aspx?menuIndex=3&amp;refID=7043612&amp;Result=3","7043612")</f>
        <v>0</v>
      </c>
      <c r="B2870" t="s">
        <v>983</v>
      </c>
      <c r="C2870" t="s">
        <v>5418</v>
      </c>
      <c r="D2870" t="s">
        <v>13073</v>
      </c>
      <c r="E2870" t="s">
        <v>15683</v>
      </c>
      <c r="F2870" t="s">
        <v>22436</v>
      </c>
      <c r="G2870" t="s">
        <v>22447</v>
      </c>
      <c r="H2870" t="s">
        <v>22452</v>
      </c>
      <c r="I2870" t="s">
        <v>3529</v>
      </c>
      <c r="J2870" t="s">
        <v>24541</v>
      </c>
      <c r="K2870" t="s">
        <v>29341</v>
      </c>
      <c r="M2870" t="s">
        <v>30604</v>
      </c>
      <c r="N2870" t="s">
        <v>32524</v>
      </c>
      <c r="O2870" t="s">
        <v>32525</v>
      </c>
      <c r="P2870">
        <v>0</v>
      </c>
      <c r="Q2870">
        <v>0</v>
      </c>
      <c r="R2870" t="s">
        <v>32527</v>
      </c>
      <c r="S2870" t="s">
        <v>32552</v>
      </c>
      <c r="T2870" t="s">
        <v>33180</v>
      </c>
      <c r="U2870" t="s">
        <v>36073</v>
      </c>
      <c r="W2870" t="s">
        <v>30604</v>
      </c>
      <c r="X2870" t="s">
        <v>32530</v>
      </c>
    </row>
    <row r="2871" spans="1:24">
      <c r="A2871">
        <f>HYPERLINK("https://www.philgeps.gov.ph/GEPSNONPILOT/Tender/SplashBidNoticeAbstractUI.aspx?menuIndex=3&amp;refID=7043693&amp;Result=3","7043693")</f>
        <v>0</v>
      </c>
      <c r="B2871" t="s">
        <v>90</v>
      </c>
      <c r="C2871" t="s">
        <v>5419</v>
      </c>
      <c r="D2871" t="s">
        <v>13026</v>
      </c>
      <c r="E2871" t="s">
        <v>15684</v>
      </c>
      <c r="F2871" t="s">
        <v>22436</v>
      </c>
      <c r="G2871" t="s">
        <v>22443</v>
      </c>
      <c r="H2871" t="s">
        <v>22453</v>
      </c>
      <c r="I2871" t="s">
        <v>2962</v>
      </c>
      <c r="J2871" t="s">
        <v>24542</v>
      </c>
      <c r="K2871" t="s">
        <v>29331</v>
      </c>
      <c r="M2871" t="s">
        <v>29662</v>
      </c>
      <c r="N2871" t="s">
        <v>32524</v>
      </c>
      <c r="O2871" t="s">
        <v>32525</v>
      </c>
      <c r="P2871">
        <v>0</v>
      </c>
      <c r="Q2871">
        <v>0</v>
      </c>
      <c r="R2871" t="s">
        <v>32527</v>
      </c>
      <c r="S2871" t="s">
        <v>32552</v>
      </c>
      <c r="T2871" t="s">
        <v>33220</v>
      </c>
      <c r="U2871" t="s">
        <v>36074</v>
      </c>
      <c r="W2871" t="s">
        <v>29662</v>
      </c>
      <c r="X2871" t="s">
        <v>32529</v>
      </c>
    </row>
    <row r="2872" spans="1:24">
      <c r="A2872">
        <f>HYPERLINK("https://www.philgeps.gov.ph/GEPSNONPILOT/Tender/SplashBidNoticeAbstractUI.aspx?menuIndex=3&amp;refID=7043688&amp;Result=3","7043688")</f>
        <v>0</v>
      </c>
      <c r="B2872" t="s">
        <v>90</v>
      </c>
      <c r="C2872" t="s">
        <v>5420</v>
      </c>
      <c r="D2872" t="s">
        <v>13026</v>
      </c>
      <c r="E2872" t="s">
        <v>15685</v>
      </c>
      <c r="F2872" t="s">
        <v>22436</v>
      </c>
      <c r="G2872" t="s">
        <v>22443</v>
      </c>
      <c r="H2872" t="s">
        <v>22453</v>
      </c>
      <c r="I2872" t="s">
        <v>2962</v>
      </c>
      <c r="J2872" t="s">
        <v>24543</v>
      </c>
      <c r="K2872" t="s">
        <v>29331</v>
      </c>
      <c r="M2872" t="s">
        <v>29662</v>
      </c>
      <c r="N2872" t="s">
        <v>32524</v>
      </c>
      <c r="O2872" t="s">
        <v>32525</v>
      </c>
      <c r="P2872">
        <v>0</v>
      </c>
      <c r="Q2872">
        <v>0</v>
      </c>
      <c r="R2872" t="s">
        <v>32527</v>
      </c>
      <c r="S2872" t="s">
        <v>32552</v>
      </c>
      <c r="T2872" t="s">
        <v>33220</v>
      </c>
      <c r="U2872" t="s">
        <v>36075</v>
      </c>
      <c r="W2872" t="s">
        <v>29662</v>
      </c>
      <c r="X2872" t="s">
        <v>32529</v>
      </c>
    </row>
    <row r="2873" spans="1:24">
      <c r="A2873">
        <f>HYPERLINK("https://www.philgeps.gov.ph/GEPSNONPILOT/Tender/SplashBidNoticeAbstractUI.aspx?menuIndex=3&amp;refID=7043695&amp;Result=3","7043695")</f>
        <v>0</v>
      </c>
      <c r="B2873" t="s">
        <v>1057</v>
      </c>
      <c r="C2873" t="s">
        <v>2818</v>
      </c>
      <c r="D2873" t="s">
        <v>13011</v>
      </c>
      <c r="E2873" t="s">
        <v>15686</v>
      </c>
      <c r="F2873" t="s">
        <v>22436</v>
      </c>
      <c r="G2873" t="s">
        <v>22446</v>
      </c>
      <c r="H2873" t="s">
        <v>22452</v>
      </c>
      <c r="I2873" t="s">
        <v>5194</v>
      </c>
      <c r="J2873" t="s">
        <v>23191</v>
      </c>
      <c r="K2873" t="s">
        <v>29340</v>
      </c>
      <c r="M2873" t="s">
        <v>30690</v>
      </c>
      <c r="N2873" t="s">
        <v>32524</v>
      </c>
      <c r="O2873" t="s">
        <v>32525</v>
      </c>
      <c r="P2873">
        <v>0</v>
      </c>
      <c r="Q2873">
        <v>3</v>
      </c>
      <c r="R2873" t="s">
        <v>32527</v>
      </c>
      <c r="S2873" t="s">
        <v>32552</v>
      </c>
      <c r="T2873" t="s">
        <v>33238</v>
      </c>
      <c r="U2873" t="s">
        <v>36076</v>
      </c>
      <c r="W2873" t="s">
        <v>30690</v>
      </c>
      <c r="X2873" t="s">
        <v>32529</v>
      </c>
    </row>
    <row r="2874" spans="1:24">
      <c r="A2874">
        <f>HYPERLINK("https://www.philgeps.gov.ph/GEPSNONPILOT/Tender/SplashBidNoticeAbstractUI.aspx?menuIndex=3&amp;refID=7043647&amp;Result=3","7043647")</f>
        <v>0</v>
      </c>
      <c r="B2874" t="s">
        <v>1058</v>
      </c>
      <c r="C2874" t="s">
        <v>5421</v>
      </c>
      <c r="D2874" t="s">
        <v>13008</v>
      </c>
      <c r="E2874" t="s">
        <v>15687</v>
      </c>
      <c r="F2874" t="s">
        <v>22436</v>
      </c>
      <c r="G2874" t="s">
        <v>22446</v>
      </c>
      <c r="H2874" t="s">
        <v>22452</v>
      </c>
      <c r="I2874" t="s">
        <v>22460</v>
      </c>
      <c r="J2874" t="s">
        <v>24544</v>
      </c>
      <c r="K2874" t="s">
        <v>29356</v>
      </c>
      <c r="L2874" t="s">
        <v>1058</v>
      </c>
      <c r="M2874" t="s">
        <v>30691</v>
      </c>
      <c r="N2874" t="s">
        <v>32524</v>
      </c>
      <c r="O2874" t="s">
        <v>32525</v>
      </c>
      <c r="P2874">
        <v>0</v>
      </c>
      <c r="Q2874">
        <v>0</v>
      </c>
      <c r="R2874" t="s">
        <v>32527</v>
      </c>
      <c r="S2874" t="s">
        <v>32552</v>
      </c>
      <c r="T2874" t="s">
        <v>33220</v>
      </c>
      <c r="U2874" t="s">
        <v>36077</v>
      </c>
      <c r="W2874" t="s">
        <v>30691</v>
      </c>
      <c r="X2874" t="s">
        <v>32530</v>
      </c>
    </row>
    <row r="2875" spans="1:24">
      <c r="A2875">
        <f>HYPERLINK("https://www.philgeps.gov.ph/GEPSNONPILOT/Tender/SplashBidNoticeAbstractUI.aspx?menuIndex=3&amp;refID=7043694&amp;Result=3","7043694")</f>
        <v>0</v>
      </c>
      <c r="B2875" t="s">
        <v>90</v>
      </c>
      <c r="C2875" t="s">
        <v>5422</v>
      </c>
      <c r="D2875" t="s">
        <v>13026</v>
      </c>
      <c r="E2875" t="s">
        <v>15688</v>
      </c>
      <c r="F2875" t="s">
        <v>22436</v>
      </c>
      <c r="G2875" t="s">
        <v>22443</v>
      </c>
      <c r="H2875" t="s">
        <v>22453</v>
      </c>
      <c r="I2875" t="s">
        <v>2962</v>
      </c>
      <c r="J2875" t="s">
        <v>24545</v>
      </c>
      <c r="K2875" t="s">
        <v>29331</v>
      </c>
      <c r="M2875" t="s">
        <v>29662</v>
      </c>
      <c r="N2875" t="s">
        <v>32524</v>
      </c>
      <c r="O2875" t="s">
        <v>32525</v>
      </c>
      <c r="P2875">
        <v>0</v>
      </c>
      <c r="Q2875">
        <v>0</v>
      </c>
      <c r="R2875" t="s">
        <v>32527</v>
      </c>
      <c r="S2875" t="s">
        <v>32552</v>
      </c>
      <c r="T2875" t="s">
        <v>33220</v>
      </c>
      <c r="U2875" t="s">
        <v>36078</v>
      </c>
      <c r="W2875" t="s">
        <v>29662</v>
      </c>
      <c r="X2875" t="s">
        <v>32529</v>
      </c>
    </row>
    <row r="2876" spans="1:24">
      <c r="A2876">
        <f>HYPERLINK("https://www.philgeps.gov.ph/GEPSNONPILOT/Tender/SplashBidNoticeAbstractUI.aspx?menuIndex=3&amp;refID=7043691&amp;Result=3","7043691")</f>
        <v>0</v>
      </c>
      <c r="B2876" t="s">
        <v>90</v>
      </c>
      <c r="C2876" t="s">
        <v>5423</v>
      </c>
      <c r="D2876" t="s">
        <v>13026</v>
      </c>
      <c r="E2876" t="s">
        <v>15689</v>
      </c>
      <c r="F2876" t="s">
        <v>22436</v>
      </c>
      <c r="G2876" t="s">
        <v>22443</v>
      </c>
      <c r="H2876" t="s">
        <v>22453</v>
      </c>
      <c r="I2876" t="s">
        <v>2962</v>
      </c>
      <c r="J2876" t="s">
        <v>24546</v>
      </c>
      <c r="K2876" t="s">
        <v>29331</v>
      </c>
      <c r="M2876" t="s">
        <v>29662</v>
      </c>
      <c r="N2876" t="s">
        <v>32524</v>
      </c>
      <c r="O2876" t="s">
        <v>32525</v>
      </c>
      <c r="P2876">
        <v>0</v>
      </c>
      <c r="Q2876">
        <v>0</v>
      </c>
      <c r="R2876" t="s">
        <v>32527</v>
      </c>
      <c r="S2876" t="s">
        <v>32552</v>
      </c>
      <c r="T2876" t="s">
        <v>33220</v>
      </c>
      <c r="U2876" t="s">
        <v>36079</v>
      </c>
      <c r="W2876" t="s">
        <v>29662</v>
      </c>
      <c r="X2876" t="s">
        <v>32529</v>
      </c>
    </row>
    <row r="2877" spans="1:24">
      <c r="A2877">
        <f>HYPERLINK("https://www.philgeps.gov.ph/GEPSNONPILOT/Tender/SplashBidNoticeAbstractUI.aspx?menuIndex=3&amp;refID=7043689&amp;Result=3","7043689")</f>
        <v>0</v>
      </c>
      <c r="B2877" t="s">
        <v>90</v>
      </c>
      <c r="C2877" t="s">
        <v>5424</v>
      </c>
      <c r="D2877" t="s">
        <v>13026</v>
      </c>
      <c r="E2877" t="s">
        <v>15690</v>
      </c>
      <c r="F2877" t="s">
        <v>22436</v>
      </c>
      <c r="G2877" t="s">
        <v>22443</v>
      </c>
      <c r="H2877" t="s">
        <v>22453</v>
      </c>
      <c r="I2877" t="s">
        <v>2962</v>
      </c>
      <c r="J2877" t="s">
        <v>24547</v>
      </c>
      <c r="K2877" t="s">
        <v>29331</v>
      </c>
      <c r="M2877" t="s">
        <v>29662</v>
      </c>
      <c r="N2877" t="s">
        <v>32524</v>
      </c>
      <c r="O2877" t="s">
        <v>32525</v>
      </c>
      <c r="P2877">
        <v>0</v>
      </c>
      <c r="Q2877">
        <v>0</v>
      </c>
      <c r="R2877" t="s">
        <v>32527</v>
      </c>
      <c r="S2877" t="s">
        <v>32552</v>
      </c>
      <c r="T2877" t="s">
        <v>33220</v>
      </c>
      <c r="U2877" t="s">
        <v>36080</v>
      </c>
      <c r="W2877" t="s">
        <v>29662</v>
      </c>
      <c r="X2877" t="s">
        <v>32529</v>
      </c>
    </row>
    <row r="2878" spans="1:24">
      <c r="A2878">
        <f>HYPERLINK("https://www.philgeps.gov.ph/GEPSNONPILOT/Tender/SplashBidNoticeAbstractUI.aspx?menuIndex=3&amp;refID=7043698&amp;Result=3","7043698")</f>
        <v>0</v>
      </c>
      <c r="B2878" t="s">
        <v>1059</v>
      </c>
      <c r="C2878" t="s">
        <v>5425</v>
      </c>
      <c r="D2878" t="s">
        <v>13057</v>
      </c>
      <c r="E2878" t="s">
        <v>15691</v>
      </c>
      <c r="F2878" t="s">
        <v>22436</v>
      </c>
      <c r="G2878" t="s">
        <v>22444</v>
      </c>
      <c r="H2878" t="s">
        <v>22454</v>
      </c>
      <c r="I2878" t="s">
        <v>7738</v>
      </c>
      <c r="J2878" t="s">
        <v>24548</v>
      </c>
      <c r="K2878" t="s">
        <v>29388</v>
      </c>
      <c r="M2878" t="s">
        <v>30692</v>
      </c>
      <c r="N2878" t="s">
        <v>32524</v>
      </c>
      <c r="O2878" t="s">
        <v>32525</v>
      </c>
      <c r="P2878">
        <v>0</v>
      </c>
      <c r="Q2878">
        <v>0</v>
      </c>
      <c r="R2878" t="s">
        <v>32527</v>
      </c>
      <c r="S2878" t="s">
        <v>32552</v>
      </c>
      <c r="T2878" t="s">
        <v>33170</v>
      </c>
      <c r="U2878" t="s">
        <v>36081</v>
      </c>
      <c r="W2878" t="s">
        <v>30692</v>
      </c>
      <c r="X2878" t="s">
        <v>32529</v>
      </c>
    </row>
    <row r="2879" spans="1:24">
      <c r="A2879">
        <f>HYPERLINK("https://www.philgeps.gov.ph/GEPSNONPILOT/Tender/SplashBidNoticeAbstractUI.aspx?menuIndex=3&amp;refID=7043692&amp;Result=3","7043692")</f>
        <v>0</v>
      </c>
      <c r="B2879" t="s">
        <v>90</v>
      </c>
      <c r="C2879" t="s">
        <v>5426</v>
      </c>
      <c r="D2879" t="s">
        <v>13026</v>
      </c>
      <c r="E2879" t="s">
        <v>15692</v>
      </c>
      <c r="F2879" t="s">
        <v>22436</v>
      </c>
      <c r="G2879" t="s">
        <v>22443</v>
      </c>
      <c r="H2879" t="s">
        <v>22453</v>
      </c>
      <c r="I2879" t="s">
        <v>2962</v>
      </c>
      <c r="J2879" t="s">
        <v>24549</v>
      </c>
      <c r="K2879" t="s">
        <v>29331</v>
      </c>
      <c r="M2879" t="s">
        <v>29662</v>
      </c>
      <c r="N2879" t="s">
        <v>32524</v>
      </c>
      <c r="O2879" t="s">
        <v>32525</v>
      </c>
      <c r="P2879">
        <v>0</v>
      </c>
      <c r="Q2879">
        <v>0</v>
      </c>
      <c r="R2879" t="s">
        <v>32527</v>
      </c>
      <c r="S2879" t="s">
        <v>32552</v>
      </c>
      <c r="T2879" t="s">
        <v>33220</v>
      </c>
      <c r="U2879" t="s">
        <v>36082</v>
      </c>
      <c r="W2879" t="s">
        <v>29662</v>
      </c>
      <c r="X2879" t="s">
        <v>32529</v>
      </c>
    </row>
    <row r="2880" spans="1:24">
      <c r="A2880">
        <f>HYPERLINK("https://www.philgeps.gov.ph/GEPSNONPILOT/Tender/SplashBidNoticeAbstractUI.aspx?menuIndex=3&amp;refID=7043702&amp;Result=3","7043702")</f>
        <v>0</v>
      </c>
      <c r="B2880" t="s">
        <v>1060</v>
      </c>
      <c r="C2880" t="s">
        <v>5427</v>
      </c>
      <c r="D2880" t="s">
        <v>13012</v>
      </c>
      <c r="E2880" t="s">
        <v>15693</v>
      </c>
      <c r="F2880" t="s">
        <v>22436</v>
      </c>
      <c r="G2880" t="s">
        <v>22444</v>
      </c>
      <c r="H2880" t="s">
        <v>22452</v>
      </c>
      <c r="I2880" t="s">
        <v>3529</v>
      </c>
      <c r="J2880" t="s">
        <v>22929</v>
      </c>
      <c r="K2880" t="s">
        <v>29336</v>
      </c>
      <c r="M2880" t="s">
        <v>30693</v>
      </c>
      <c r="N2880" t="s">
        <v>32524</v>
      </c>
      <c r="O2880" t="s">
        <v>32525</v>
      </c>
      <c r="P2880">
        <v>0</v>
      </c>
      <c r="Q2880">
        <v>0</v>
      </c>
      <c r="R2880" t="s">
        <v>32527</v>
      </c>
      <c r="S2880" t="s">
        <v>32552</v>
      </c>
      <c r="T2880" t="s">
        <v>33243</v>
      </c>
      <c r="U2880" t="s">
        <v>36083</v>
      </c>
      <c r="W2880" t="s">
        <v>30693</v>
      </c>
      <c r="X2880" t="s">
        <v>32529</v>
      </c>
    </row>
    <row r="2881" spans="1:24">
      <c r="A2881">
        <f>HYPERLINK("https://www.philgeps.gov.ph/GEPSNONPILOT/Tender/SplashBidNoticeAbstractUI.aspx?menuIndex=3&amp;refID=7043578&amp;Result=3","7043578")</f>
        <v>0</v>
      </c>
      <c r="B2881" t="s">
        <v>1035</v>
      </c>
      <c r="C2881" t="s">
        <v>5428</v>
      </c>
      <c r="D2881" t="s">
        <v>13073</v>
      </c>
      <c r="E2881" t="s">
        <v>15694</v>
      </c>
      <c r="F2881" t="s">
        <v>22436</v>
      </c>
      <c r="G2881" t="s">
        <v>22444</v>
      </c>
      <c r="H2881" t="s">
        <v>22454</v>
      </c>
      <c r="I2881" t="s">
        <v>7738</v>
      </c>
      <c r="J2881" t="s">
        <v>24550</v>
      </c>
      <c r="K2881" t="s">
        <v>29334</v>
      </c>
      <c r="M2881" t="s">
        <v>30666</v>
      </c>
      <c r="N2881" t="s">
        <v>32524</v>
      </c>
      <c r="O2881" t="s">
        <v>32525</v>
      </c>
      <c r="P2881">
        <v>0</v>
      </c>
      <c r="Q2881">
        <v>0</v>
      </c>
      <c r="R2881" t="s">
        <v>32527</v>
      </c>
      <c r="S2881" t="s">
        <v>32552</v>
      </c>
      <c r="T2881" t="s">
        <v>33166</v>
      </c>
      <c r="U2881" t="s">
        <v>36084</v>
      </c>
      <c r="W2881" t="s">
        <v>30666</v>
      </c>
      <c r="X2881" t="s">
        <v>32530</v>
      </c>
    </row>
    <row r="2882" spans="1:24">
      <c r="A2882">
        <f>HYPERLINK("https://www.philgeps.gov.ph/GEPSNONPILOT/Tender/SplashBidNoticeAbstractUI.aspx?menuIndex=3&amp;refID=7043602&amp;Result=3","7043602")</f>
        <v>0</v>
      </c>
      <c r="B2882" t="s">
        <v>983</v>
      </c>
      <c r="C2882" t="s">
        <v>4370</v>
      </c>
      <c r="D2882" t="s">
        <v>13073</v>
      </c>
      <c r="E2882" t="s">
        <v>15695</v>
      </c>
      <c r="F2882" t="s">
        <v>22436</v>
      </c>
      <c r="G2882" t="s">
        <v>22447</v>
      </c>
      <c r="H2882" t="s">
        <v>22452</v>
      </c>
      <c r="I2882" t="s">
        <v>3529</v>
      </c>
      <c r="J2882" t="s">
        <v>24551</v>
      </c>
      <c r="K2882" t="s">
        <v>29341</v>
      </c>
      <c r="M2882" t="s">
        <v>30604</v>
      </c>
      <c r="N2882" t="s">
        <v>32524</v>
      </c>
      <c r="O2882" t="s">
        <v>32525</v>
      </c>
      <c r="P2882">
        <v>0</v>
      </c>
      <c r="Q2882">
        <v>0</v>
      </c>
      <c r="R2882" t="s">
        <v>32527</v>
      </c>
      <c r="S2882" t="s">
        <v>32552</v>
      </c>
      <c r="T2882" t="s">
        <v>33180</v>
      </c>
      <c r="U2882" t="s">
        <v>36085</v>
      </c>
      <c r="W2882" t="s">
        <v>30604</v>
      </c>
      <c r="X2882" t="s">
        <v>32530</v>
      </c>
    </row>
    <row r="2883" spans="1:24">
      <c r="A2883">
        <f>HYPERLINK("https://www.philgeps.gov.ph/GEPSNONPILOT/Tender/SplashBidNoticeAbstractUI.aspx?menuIndex=3&amp;refID=7043729&amp;Result=3","7043729")</f>
        <v>0</v>
      </c>
      <c r="B2883" t="s">
        <v>947</v>
      </c>
      <c r="C2883" t="s">
        <v>5429</v>
      </c>
      <c r="D2883" t="s">
        <v>13041</v>
      </c>
      <c r="E2883" t="s">
        <v>15696</v>
      </c>
      <c r="F2883" t="s">
        <v>22436</v>
      </c>
      <c r="G2883" t="s">
        <v>22444</v>
      </c>
      <c r="H2883" t="s">
        <v>22454</v>
      </c>
      <c r="I2883" t="s">
        <v>7738</v>
      </c>
      <c r="J2883" t="s">
        <v>22788</v>
      </c>
      <c r="K2883" t="s">
        <v>29432</v>
      </c>
      <c r="M2883" t="s">
        <v>30561</v>
      </c>
      <c r="N2883" t="s">
        <v>32524</v>
      </c>
      <c r="O2883" t="s">
        <v>32525</v>
      </c>
      <c r="P2883">
        <v>0</v>
      </c>
      <c r="Q2883">
        <v>0</v>
      </c>
      <c r="R2883" t="s">
        <v>32527</v>
      </c>
      <c r="S2883" t="s">
        <v>32552</v>
      </c>
      <c r="T2883" t="s">
        <v>33228</v>
      </c>
      <c r="U2883" t="s">
        <v>35712</v>
      </c>
      <c r="W2883" t="s">
        <v>30561</v>
      </c>
      <c r="X2883" t="s">
        <v>32529</v>
      </c>
    </row>
    <row r="2884" spans="1:24">
      <c r="A2884">
        <f>HYPERLINK("https://www.philgeps.gov.ph/GEPSNONPILOT/Tender/SplashBidNoticeAbstractUI.aspx?menuIndex=3&amp;refID=7043709&amp;Result=3","7043709")</f>
        <v>0</v>
      </c>
      <c r="B2884" t="s">
        <v>947</v>
      </c>
      <c r="C2884" t="s">
        <v>5430</v>
      </c>
      <c r="D2884" t="s">
        <v>13041</v>
      </c>
      <c r="E2884" t="s">
        <v>15697</v>
      </c>
      <c r="F2884" t="s">
        <v>22436</v>
      </c>
      <c r="G2884" t="s">
        <v>22444</v>
      </c>
      <c r="H2884" t="s">
        <v>22454</v>
      </c>
      <c r="I2884" t="s">
        <v>7738</v>
      </c>
      <c r="J2884" t="s">
        <v>23387</v>
      </c>
      <c r="K2884" t="s">
        <v>29384</v>
      </c>
      <c r="M2884" t="s">
        <v>30561</v>
      </c>
      <c r="N2884" t="s">
        <v>32524</v>
      </c>
      <c r="O2884" t="s">
        <v>32525</v>
      </c>
      <c r="P2884">
        <v>0</v>
      </c>
      <c r="Q2884">
        <v>0</v>
      </c>
      <c r="R2884" t="s">
        <v>32527</v>
      </c>
      <c r="S2884" t="s">
        <v>32552</v>
      </c>
      <c r="T2884" t="s">
        <v>33319</v>
      </c>
      <c r="U2884" t="s">
        <v>35712</v>
      </c>
      <c r="W2884" t="s">
        <v>30561</v>
      </c>
      <c r="X2884" t="s">
        <v>32529</v>
      </c>
    </row>
    <row r="2885" spans="1:24">
      <c r="A2885">
        <f>HYPERLINK("https://www.philgeps.gov.ph/GEPSNONPILOT/Tender/SplashBidNoticeAbstractUI.aspx?menuIndex=3&amp;refID=7043748&amp;Result=3","7043748")</f>
        <v>0</v>
      </c>
      <c r="B2885" t="s">
        <v>1061</v>
      </c>
      <c r="C2885" t="s">
        <v>5431</v>
      </c>
      <c r="D2885" t="s">
        <v>13012</v>
      </c>
      <c r="E2885" t="s">
        <v>15052</v>
      </c>
      <c r="F2885" t="s">
        <v>22441</v>
      </c>
      <c r="G2885" t="s">
        <v>22443</v>
      </c>
      <c r="H2885" t="s">
        <v>22452</v>
      </c>
      <c r="I2885" t="s">
        <v>22468</v>
      </c>
      <c r="J2885" t="s">
        <v>22692</v>
      </c>
      <c r="K2885" t="s">
        <v>29356</v>
      </c>
      <c r="M2885" t="s">
        <v>30694</v>
      </c>
      <c r="N2885" t="s">
        <v>32524</v>
      </c>
      <c r="O2885" t="s">
        <v>32525</v>
      </c>
      <c r="P2885">
        <v>0</v>
      </c>
      <c r="Q2885">
        <v>0</v>
      </c>
      <c r="R2885" t="s">
        <v>32527</v>
      </c>
      <c r="S2885" t="s">
        <v>32552</v>
      </c>
      <c r="T2885" t="s">
        <v>33203</v>
      </c>
      <c r="U2885" t="s">
        <v>36086</v>
      </c>
      <c r="W2885" t="s">
        <v>30694</v>
      </c>
      <c r="X2885" t="s">
        <v>32529</v>
      </c>
    </row>
    <row r="2886" spans="1:24">
      <c r="A2886">
        <f>HYPERLINK("https://www.philgeps.gov.ph/GEPSNONPILOT/Tender/SplashBidNoticeAbstractUI.aspx?menuIndex=3&amp;refID=7043728&amp;Result=3","7043728")</f>
        <v>0</v>
      </c>
      <c r="B2886" t="s">
        <v>1062</v>
      </c>
      <c r="C2886" t="s">
        <v>5432</v>
      </c>
      <c r="D2886" t="s">
        <v>13036</v>
      </c>
      <c r="E2886" t="s">
        <v>15698</v>
      </c>
      <c r="F2886" t="s">
        <v>22436</v>
      </c>
      <c r="G2886" t="s">
        <v>22445</v>
      </c>
      <c r="H2886" t="s">
        <v>22452</v>
      </c>
      <c r="I2886" t="s">
        <v>22460</v>
      </c>
      <c r="J2886" t="s">
        <v>24552</v>
      </c>
      <c r="K2886" t="s">
        <v>29341</v>
      </c>
      <c r="M2886" t="s">
        <v>30695</v>
      </c>
      <c r="N2886" t="s">
        <v>32524</v>
      </c>
      <c r="O2886" t="s">
        <v>32525</v>
      </c>
      <c r="P2886">
        <v>0</v>
      </c>
      <c r="Q2886">
        <v>2</v>
      </c>
      <c r="R2886" t="s">
        <v>32527</v>
      </c>
      <c r="S2886" t="s">
        <v>32552</v>
      </c>
      <c r="T2886" t="s">
        <v>33176</v>
      </c>
      <c r="U2886" t="s">
        <v>36087</v>
      </c>
      <c r="W2886" t="s">
        <v>30695</v>
      </c>
      <c r="X2886" t="s">
        <v>32529</v>
      </c>
    </row>
    <row r="2887" spans="1:24">
      <c r="A2887">
        <f>HYPERLINK("https://www.philgeps.gov.ph/GEPSNONPILOT/Tender/SplashBidNoticeAbstractUI.aspx?menuIndex=3&amp;refID=7043706&amp;Result=3","7043706")</f>
        <v>0</v>
      </c>
      <c r="B2887" t="s">
        <v>1063</v>
      </c>
      <c r="C2887" t="s">
        <v>5433</v>
      </c>
      <c r="D2887" t="s">
        <v>12991</v>
      </c>
      <c r="E2887" t="s">
        <v>15699</v>
      </c>
      <c r="F2887" t="s">
        <v>22436</v>
      </c>
      <c r="G2887" t="s">
        <v>22444</v>
      </c>
      <c r="H2887" t="s">
        <v>22454</v>
      </c>
      <c r="I2887" t="s">
        <v>7738</v>
      </c>
      <c r="J2887" t="s">
        <v>22640</v>
      </c>
      <c r="K2887" t="s">
        <v>29341</v>
      </c>
      <c r="M2887" t="s">
        <v>30696</v>
      </c>
      <c r="N2887" t="s">
        <v>32524</v>
      </c>
      <c r="O2887" t="s">
        <v>32525</v>
      </c>
      <c r="P2887">
        <v>0</v>
      </c>
      <c r="Q2887">
        <v>1</v>
      </c>
      <c r="R2887" t="s">
        <v>32527</v>
      </c>
      <c r="S2887" t="s">
        <v>32552</v>
      </c>
      <c r="T2887" t="s">
        <v>33234</v>
      </c>
      <c r="U2887" t="s">
        <v>36088</v>
      </c>
      <c r="V2887" t="s">
        <v>42698</v>
      </c>
      <c r="W2887" t="s">
        <v>30696</v>
      </c>
      <c r="X2887" t="s">
        <v>32529</v>
      </c>
    </row>
    <row r="2888" spans="1:24">
      <c r="A2888">
        <f>HYPERLINK("https://www.philgeps.gov.ph/GEPSNONPILOT/Tender/SplashBidNoticeAbstractUI.aspx?menuIndex=3&amp;refID=7043744&amp;Result=3","7043744")</f>
        <v>0</v>
      </c>
      <c r="B2888" t="s">
        <v>1064</v>
      </c>
      <c r="C2888" t="s">
        <v>5434</v>
      </c>
      <c r="D2888" t="s">
        <v>13045</v>
      </c>
      <c r="E2888" t="s">
        <v>15700</v>
      </c>
      <c r="F2888" t="s">
        <v>22436</v>
      </c>
      <c r="G2888" t="s">
        <v>22444</v>
      </c>
      <c r="H2888" t="s">
        <v>22454</v>
      </c>
      <c r="I2888" t="s">
        <v>7738</v>
      </c>
      <c r="J2888" t="s">
        <v>24553</v>
      </c>
      <c r="K2888" t="s">
        <v>29360</v>
      </c>
      <c r="M2888" t="s">
        <v>30697</v>
      </c>
      <c r="N2888" t="s">
        <v>32524</v>
      </c>
      <c r="O2888" t="s">
        <v>32525</v>
      </c>
      <c r="P2888">
        <v>0</v>
      </c>
      <c r="Q2888">
        <v>1</v>
      </c>
      <c r="R2888" t="s">
        <v>32527</v>
      </c>
      <c r="S2888" t="s">
        <v>32552</v>
      </c>
      <c r="T2888" t="s">
        <v>33186</v>
      </c>
      <c r="U2888" t="s">
        <v>36089</v>
      </c>
      <c r="W2888" t="s">
        <v>30697</v>
      </c>
      <c r="X2888" t="s">
        <v>32529</v>
      </c>
    </row>
    <row r="2889" spans="1:24">
      <c r="A2889">
        <f>HYPERLINK("https://www.philgeps.gov.ph/GEPSNONPILOT/Tender/SplashBidNoticeAbstractUI.aspx?menuIndex=3&amp;refID=7043711&amp;Result=3","7043711")</f>
        <v>0</v>
      </c>
      <c r="B2889" t="s">
        <v>947</v>
      </c>
      <c r="C2889" t="s">
        <v>5435</v>
      </c>
      <c r="D2889" t="s">
        <v>13041</v>
      </c>
      <c r="E2889" t="s">
        <v>15701</v>
      </c>
      <c r="F2889" t="s">
        <v>22436</v>
      </c>
      <c r="G2889" t="s">
        <v>22444</v>
      </c>
      <c r="H2889" t="s">
        <v>22454</v>
      </c>
      <c r="I2889" t="s">
        <v>7738</v>
      </c>
      <c r="J2889" t="s">
        <v>24554</v>
      </c>
      <c r="K2889" t="s">
        <v>29408</v>
      </c>
      <c r="M2889" t="s">
        <v>30561</v>
      </c>
      <c r="N2889" t="s">
        <v>32524</v>
      </c>
      <c r="O2889" t="s">
        <v>32525</v>
      </c>
      <c r="P2889">
        <v>0</v>
      </c>
      <c r="Q2889">
        <v>0</v>
      </c>
      <c r="R2889" t="s">
        <v>32527</v>
      </c>
      <c r="S2889" t="s">
        <v>32552</v>
      </c>
      <c r="T2889" t="s">
        <v>33319</v>
      </c>
      <c r="U2889" t="s">
        <v>35712</v>
      </c>
      <c r="W2889" t="s">
        <v>30561</v>
      </c>
      <c r="X2889" t="s">
        <v>32529</v>
      </c>
    </row>
    <row r="2890" spans="1:24">
      <c r="A2890">
        <f>HYPERLINK("https://www.philgeps.gov.ph/GEPSNONPILOT/Tender/SplashBidNoticeAbstractUI.aspx?menuIndex=3&amp;refID=7043699&amp;Result=3","7043699")</f>
        <v>0</v>
      </c>
      <c r="B2890" t="s">
        <v>1059</v>
      </c>
      <c r="C2890" t="s">
        <v>5436</v>
      </c>
      <c r="D2890" t="s">
        <v>13057</v>
      </c>
      <c r="E2890" t="s">
        <v>15702</v>
      </c>
      <c r="F2890" t="s">
        <v>22436</v>
      </c>
      <c r="G2890" t="s">
        <v>22444</v>
      </c>
      <c r="H2890" t="s">
        <v>22452</v>
      </c>
      <c r="I2890" t="s">
        <v>22488</v>
      </c>
      <c r="J2890" t="s">
        <v>24555</v>
      </c>
      <c r="K2890" t="s">
        <v>29331</v>
      </c>
      <c r="M2890" t="s">
        <v>30692</v>
      </c>
      <c r="N2890" t="s">
        <v>32524</v>
      </c>
      <c r="O2890" t="s">
        <v>32525</v>
      </c>
      <c r="P2890">
        <v>0</v>
      </c>
      <c r="Q2890">
        <v>1</v>
      </c>
      <c r="R2890" t="s">
        <v>32527</v>
      </c>
      <c r="S2890" t="s">
        <v>32552</v>
      </c>
      <c r="T2890" t="s">
        <v>33170</v>
      </c>
      <c r="U2890" t="s">
        <v>36081</v>
      </c>
      <c r="W2890" t="s">
        <v>30692</v>
      </c>
      <c r="X2890" t="s">
        <v>32529</v>
      </c>
    </row>
    <row r="2891" spans="1:24">
      <c r="A2891">
        <f>HYPERLINK("https://www.philgeps.gov.ph/GEPSNONPILOT/Tender/SplashBidNoticeAbstractUI.aspx?menuIndex=3&amp;refID=7043737&amp;Result=3","7043737")</f>
        <v>0</v>
      </c>
      <c r="B2891" t="s">
        <v>947</v>
      </c>
      <c r="C2891" t="s">
        <v>5437</v>
      </c>
      <c r="D2891" t="s">
        <v>13041</v>
      </c>
      <c r="E2891" t="s">
        <v>15703</v>
      </c>
      <c r="F2891" t="s">
        <v>22436</v>
      </c>
      <c r="G2891" t="s">
        <v>22444</v>
      </c>
      <c r="H2891" t="s">
        <v>22454</v>
      </c>
      <c r="I2891" t="s">
        <v>7738</v>
      </c>
      <c r="J2891" t="s">
        <v>22674</v>
      </c>
      <c r="K2891" t="s">
        <v>29343</v>
      </c>
      <c r="M2891" t="s">
        <v>30561</v>
      </c>
      <c r="N2891" t="s">
        <v>32524</v>
      </c>
      <c r="O2891" t="s">
        <v>32525</v>
      </c>
      <c r="P2891">
        <v>0</v>
      </c>
      <c r="Q2891">
        <v>0</v>
      </c>
      <c r="R2891" t="s">
        <v>32527</v>
      </c>
      <c r="S2891" t="s">
        <v>32552</v>
      </c>
      <c r="T2891" t="s">
        <v>33228</v>
      </c>
      <c r="U2891" t="s">
        <v>35712</v>
      </c>
      <c r="W2891" t="s">
        <v>30561</v>
      </c>
      <c r="X2891" t="s">
        <v>32529</v>
      </c>
    </row>
    <row r="2892" spans="1:24">
      <c r="A2892">
        <f>HYPERLINK("https://www.philgeps.gov.ph/GEPSNONPILOT/Tender/SplashBidNoticeAbstractUI.aspx?menuIndex=3&amp;refID=7043747&amp;Result=3","7043747")</f>
        <v>0</v>
      </c>
      <c r="B2892" t="s">
        <v>947</v>
      </c>
      <c r="C2892" t="s">
        <v>5438</v>
      </c>
      <c r="D2892" t="s">
        <v>13041</v>
      </c>
      <c r="E2892" t="s">
        <v>15704</v>
      </c>
      <c r="F2892" t="s">
        <v>22436</v>
      </c>
      <c r="G2892" t="s">
        <v>22444</v>
      </c>
      <c r="H2892" t="s">
        <v>22454</v>
      </c>
      <c r="I2892" t="s">
        <v>7738</v>
      </c>
      <c r="J2892" t="s">
        <v>22853</v>
      </c>
      <c r="K2892" t="s">
        <v>29421</v>
      </c>
      <c r="M2892" t="s">
        <v>30561</v>
      </c>
      <c r="N2892" t="s">
        <v>32524</v>
      </c>
      <c r="O2892" t="s">
        <v>32525</v>
      </c>
      <c r="P2892">
        <v>0</v>
      </c>
      <c r="Q2892">
        <v>0</v>
      </c>
      <c r="R2892" t="s">
        <v>32527</v>
      </c>
      <c r="S2892" t="s">
        <v>32552</v>
      </c>
      <c r="T2892" t="s">
        <v>33228</v>
      </c>
      <c r="U2892" t="s">
        <v>35712</v>
      </c>
      <c r="W2892" t="s">
        <v>30561</v>
      </c>
      <c r="X2892" t="s">
        <v>32529</v>
      </c>
    </row>
    <row r="2893" spans="1:24">
      <c r="A2893">
        <f>HYPERLINK("https://www.philgeps.gov.ph/GEPSNONPILOT/Tender/SplashBidNoticeAbstractUI.aspx?menuIndex=3&amp;refID=7043710&amp;Result=3","7043710")</f>
        <v>0</v>
      </c>
      <c r="B2893" t="s">
        <v>1063</v>
      </c>
      <c r="C2893" t="s">
        <v>5439</v>
      </c>
      <c r="D2893" t="s">
        <v>12991</v>
      </c>
      <c r="E2893" t="s">
        <v>15705</v>
      </c>
      <c r="F2893" t="s">
        <v>22436</v>
      </c>
      <c r="G2893" t="s">
        <v>22444</v>
      </c>
      <c r="H2893" t="s">
        <v>22454</v>
      </c>
      <c r="I2893" t="s">
        <v>7738</v>
      </c>
      <c r="J2893" t="s">
        <v>22893</v>
      </c>
      <c r="K2893" t="s">
        <v>29331</v>
      </c>
      <c r="M2893" t="s">
        <v>30696</v>
      </c>
      <c r="N2893" t="s">
        <v>32524</v>
      </c>
      <c r="O2893" t="s">
        <v>32525</v>
      </c>
      <c r="P2893">
        <v>0</v>
      </c>
      <c r="Q2893">
        <v>1</v>
      </c>
      <c r="R2893" t="s">
        <v>32527</v>
      </c>
      <c r="S2893" t="s">
        <v>32552</v>
      </c>
      <c r="T2893" t="s">
        <v>33234</v>
      </c>
      <c r="U2893" t="s">
        <v>36090</v>
      </c>
      <c r="W2893" t="s">
        <v>30696</v>
      </c>
      <c r="X2893" t="s">
        <v>32529</v>
      </c>
    </row>
    <row r="2894" spans="1:24">
      <c r="A2894">
        <f>HYPERLINK("https://www.philgeps.gov.ph/GEPSNONPILOT/Tender/SplashBidNoticeAbstractUI.aspx?menuIndex=3&amp;refID=7043741&amp;Result=3","7043741")</f>
        <v>0</v>
      </c>
      <c r="B2894" t="s">
        <v>1064</v>
      </c>
      <c r="C2894" t="s">
        <v>5440</v>
      </c>
      <c r="D2894" t="s">
        <v>13045</v>
      </c>
      <c r="E2894" t="s">
        <v>15706</v>
      </c>
      <c r="F2894" t="s">
        <v>22436</v>
      </c>
      <c r="G2894" t="s">
        <v>22449</v>
      </c>
      <c r="H2894" t="s">
        <v>22455</v>
      </c>
      <c r="I2894" t="s">
        <v>22455</v>
      </c>
      <c r="J2894" t="s">
        <v>22896</v>
      </c>
      <c r="K2894" t="s">
        <v>29371</v>
      </c>
      <c r="M2894" t="s">
        <v>30697</v>
      </c>
      <c r="N2894" t="s">
        <v>32524</v>
      </c>
      <c r="O2894" t="s">
        <v>32525</v>
      </c>
      <c r="P2894">
        <v>0</v>
      </c>
      <c r="Q2894">
        <v>1</v>
      </c>
      <c r="R2894" t="s">
        <v>32527</v>
      </c>
      <c r="S2894" t="s">
        <v>32552</v>
      </c>
      <c r="T2894" t="s">
        <v>33389</v>
      </c>
      <c r="U2894" t="s">
        <v>36091</v>
      </c>
      <c r="W2894" t="s">
        <v>30697</v>
      </c>
      <c r="X2894" t="s">
        <v>32529</v>
      </c>
    </row>
    <row r="2895" spans="1:24">
      <c r="A2895">
        <f>HYPERLINK("https://www.philgeps.gov.ph/GEPSNONPILOT/Tender/SplashBidNoticeAbstractUI.aspx?menuIndex=3&amp;refID=7043761&amp;Result=3","7043761")</f>
        <v>0</v>
      </c>
      <c r="B2895" t="s">
        <v>342</v>
      </c>
      <c r="C2895" t="s">
        <v>5441</v>
      </c>
      <c r="D2895" t="s">
        <v>13011</v>
      </c>
      <c r="E2895" t="s">
        <v>15707</v>
      </c>
      <c r="F2895" t="s">
        <v>22436</v>
      </c>
      <c r="G2895" t="s">
        <v>22443</v>
      </c>
      <c r="H2895" t="s">
        <v>22452</v>
      </c>
      <c r="I2895" t="s">
        <v>22465</v>
      </c>
      <c r="J2895" t="s">
        <v>24556</v>
      </c>
      <c r="K2895" t="s">
        <v>29341</v>
      </c>
      <c r="M2895" t="s">
        <v>29918</v>
      </c>
      <c r="N2895" t="s">
        <v>32524</v>
      </c>
      <c r="O2895" t="s">
        <v>32525</v>
      </c>
      <c r="P2895">
        <v>0</v>
      </c>
      <c r="Q2895">
        <v>0</v>
      </c>
      <c r="R2895" t="s">
        <v>32527</v>
      </c>
      <c r="S2895" t="s">
        <v>32552</v>
      </c>
      <c r="T2895" t="s">
        <v>33220</v>
      </c>
      <c r="U2895" t="s">
        <v>34293</v>
      </c>
      <c r="W2895" t="s">
        <v>32126</v>
      </c>
      <c r="X2895" t="s">
        <v>32529</v>
      </c>
    </row>
    <row r="2896" spans="1:24">
      <c r="A2896">
        <f>HYPERLINK("https://www.philgeps.gov.ph/GEPSNONPILOT/Tender/SplashBidNoticeAbstractUI.aspx?menuIndex=3&amp;refID=7043732&amp;Result=3","7043732")</f>
        <v>0</v>
      </c>
      <c r="B2896" t="s">
        <v>407</v>
      </c>
      <c r="C2896" t="s">
        <v>5442</v>
      </c>
      <c r="D2896" t="s">
        <v>12997</v>
      </c>
      <c r="E2896" t="s">
        <v>15708</v>
      </c>
      <c r="F2896" t="s">
        <v>22436</v>
      </c>
      <c r="G2896" t="s">
        <v>22444</v>
      </c>
      <c r="H2896" t="s">
        <v>22454</v>
      </c>
      <c r="I2896" t="s">
        <v>7738</v>
      </c>
      <c r="J2896" t="s">
        <v>22587</v>
      </c>
      <c r="K2896" t="s">
        <v>29347</v>
      </c>
      <c r="M2896" t="s">
        <v>29986</v>
      </c>
      <c r="N2896" t="s">
        <v>32524</v>
      </c>
      <c r="O2896" t="s">
        <v>32525</v>
      </c>
      <c r="P2896">
        <v>0</v>
      </c>
      <c r="Q2896">
        <v>0</v>
      </c>
      <c r="R2896" t="s">
        <v>32527</v>
      </c>
      <c r="S2896" t="s">
        <v>32552</v>
      </c>
      <c r="T2896" t="s">
        <v>33166</v>
      </c>
      <c r="U2896" t="s">
        <v>36092</v>
      </c>
      <c r="W2896" t="s">
        <v>29986</v>
      </c>
      <c r="X2896" t="s">
        <v>32529</v>
      </c>
    </row>
    <row r="2897" spans="1:24">
      <c r="A2897">
        <f>HYPERLINK("https://www.philgeps.gov.ph/GEPSNONPILOT/Tender/SplashBidNoticeAbstractUI.aspx?menuIndex=3&amp;refID=7043736&amp;Result=3","7043736")</f>
        <v>0</v>
      </c>
      <c r="B2897" t="s">
        <v>947</v>
      </c>
      <c r="C2897" t="s">
        <v>5443</v>
      </c>
      <c r="D2897" t="s">
        <v>13041</v>
      </c>
      <c r="E2897" t="s">
        <v>15709</v>
      </c>
      <c r="F2897" t="s">
        <v>22436</v>
      </c>
      <c r="G2897" t="s">
        <v>22444</v>
      </c>
      <c r="H2897" t="s">
        <v>22454</v>
      </c>
      <c r="I2897" t="s">
        <v>7738</v>
      </c>
      <c r="J2897" t="s">
        <v>22640</v>
      </c>
      <c r="K2897" t="s">
        <v>29352</v>
      </c>
      <c r="M2897" t="s">
        <v>30561</v>
      </c>
      <c r="N2897" t="s">
        <v>32524</v>
      </c>
      <c r="O2897" t="s">
        <v>32525</v>
      </c>
      <c r="P2897">
        <v>0</v>
      </c>
      <c r="Q2897">
        <v>0</v>
      </c>
      <c r="R2897" t="s">
        <v>32527</v>
      </c>
      <c r="S2897" t="s">
        <v>32552</v>
      </c>
      <c r="T2897" t="s">
        <v>33228</v>
      </c>
      <c r="U2897" t="s">
        <v>35712</v>
      </c>
      <c r="W2897" t="s">
        <v>30561</v>
      </c>
      <c r="X2897" t="s">
        <v>32529</v>
      </c>
    </row>
    <row r="2898" spans="1:24">
      <c r="A2898">
        <f>HYPERLINK("https://www.philgeps.gov.ph/GEPSNONPILOT/Tender/SplashBidNoticeAbstractUI.aspx?menuIndex=3&amp;refID=7043733&amp;Result=3","7043733")</f>
        <v>0</v>
      </c>
      <c r="B2898" t="s">
        <v>947</v>
      </c>
      <c r="C2898" t="s">
        <v>5444</v>
      </c>
      <c r="D2898" t="s">
        <v>13041</v>
      </c>
      <c r="E2898" t="s">
        <v>15710</v>
      </c>
      <c r="F2898" t="s">
        <v>22436</v>
      </c>
      <c r="G2898" t="s">
        <v>22444</v>
      </c>
      <c r="H2898" t="s">
        <v>22454</v>
      </c>
      <c r="I2898" t="s">
        <v>7738</v>
      </c>
      <c r="J2898" t="s">
        <v>22640</v>
      </c>
      <c r="K2898" t="s">
        <v>29335</v>
      </c>
      <c r="M2898" t="s">
        <v>30561</v>
      </c>
      <c r="N2898" t="s">
        <v>32524</v>
      </c>
      <c r="O2898" t="s">
        <v>32525</v>
      </c>
      <c r="P2898">
        <v>0</v>
      </c>
      <c r="Q2898">
        <v>0</v>
      </c>
      <c r="R2898" t="s">
        <v>32527</v>
      </c>
      <c r="S2898" t="s">
        <v>32552</v>
      </c>
      <c r="T2898" t="s">
        <v>33228</v>
      </c>
      <c r="U2898" t="s">
        <v>35712</v>
      </c>
      <c r="W2898" t="s">
        <v>30561</v>
      </c>
      <c r="X2898" t="s">
        <v>32529</v>
      </c>
    </row>
    <row r="2899" spans="1:24">
      <c r="A2899">
        <f>HYPERLINK("https://www.philgeps.gov.ph/GEPSNONPILOT/Tender/SplashBidNoticeAbstractUI.aspx?menuIndex=3&amp;refID=7043751&amp;Result=3","7043751")</f>
        <v>0</v>
      </c>
      <c r="B2899" t="s">
        <v>947</v>
      </c>
      <c r="C2899" t="s">
        <v>5445</v>
      </c>
      <c r="D2899" t="s">
        <v>13041</v>
      </c>
      <c r="E2899" t="s">
        <v>15711</v>
      </c>
      <c r="F2899" t="s">
        <v>22436</v>
      </c>
      <c r="G2899" t="s">
        <v>22444</v>
      </c>
      <c r="H2899" t="s">
        <v>22454</v>
      </c>
      <c r="I2899" t="s">
        <v>7738</v>
      </c>
      <c r="J2899" t="s">
        <v>22788</v>
      </c>
      <c r="K2899" t="s">
        <v>29363</v>
      </c>
      <c r="M2899" t="s">
        <v>30561</v>
      </c>
      <c r="N2899" t="s">
        <v>32524</v>
      </c>
      <c r="O2899" t="s">
        <v>32525</v>
      </c>
      <c r="P2899">
        <v>0</v>
      </c>
      <c r="Q2899">
        <v>0</v>
      </c>
      <c r="R2899" t="s">
        <v>32527</v>
      </c>
      <c r="S2899" t="s">
        <v>32552</v>
      </c>
      <c r="T2899" t="s">
        <v>33228</v>
      </c>
      <c r="U2899" t="s">
        <v>35712</v>
      </c>
      <c r="W2899" t="s">
        <v>30561</v>
      </c>
      <c r="X2899" t="s">
        <v>32529</v>
      </c>
    </row>
    <row r="2900" spans="1:24">
      <c r="A2900">
        <f>HYPERLINK("https://www.philgeps.gov.ph/GEPSNONPILOT/Tender/SplashBidNoticeAbstractUI.aspx?menuIndex=3&amp;refID=7043730&amp;Result=3","7043730")</f>
        <v>0</v>
      </c>
      <c r="B2900" t="s">
        <v>1062</v>
      </c>
      <c r="C2900" t="s">
        <v>5446</v>
      </c>
      <c r="D2900" t="s">
        <v>13036</v>
      </c>
      <c r="E2900" t="s">
        <v>15712</v>
      </c>
      <c r="F2900" t="s">
        <v>22436</v>
      </c>
      <c r="G2900" t="s">
        <v>22445</v>
      </c>
      <c r="H2900" t="s">
        <v>22452</v>
      </c>
      <c r="I2900" t="s">
        <v>22456</v>
      </c>
      <c r="J2900" t="s">
        <v>24557</v>
      </c>
      <c r="K2900" t="s">
        <v>29341</v>
      </c>
      <c r="M2900" t="s">
        <v>30695</v>
      </c>
      <c r="N2900" t="s">
        <v>32524</v>
      </c>
      <c r="O2900" t="s">
        <v>32525</v>
      </c>
      <c r="P2900">
        <v>0</v>
      </c>
      <c r="Q2900">
        <v>3</v>
      </c>
      <c r="R2900" t="s">
        <v>32527</v>
      </c>
      <c r="S2900" t="s">
        <v>32552</v>
      </c>
      <c r="T2900" t="s">
        <v>33176</v>
      </c>
      <c r="U2900" t="s">
        <v>36087</v>
      </c>
      <c r="W2900" t="s">
        <v>30695</v>
      </c>
      <c r="X2900" t="s">
        <v>32529</v>
      </c>
    </row>
    <row r="2901" spans="1:24">
      <c r="A2901">
        <f>HYPERLINK("https://www.philgeps.gov.ph/GEPSNONPILOT/Tender/SplashBidNoticeAbstractUI.aspx?menuIndex=3&amp;refID=7043759&amp;Result=3","7043759")</f>
        <v>0</v>
      </c>
      <c r="B2901" t="s">
        <v>1065</v>
      </c>
      <c r="C2901" t="s">
        <v>5447</v>
      </c>
      <c r="D2901" t="s">
        <v>13037</v>
      </c>
      <c r="E2901" t="s">
        <v>15713</v>
      </c>
      <c r="F2901" t="s">
        <v>22436</v>
      </c>
      <c r="G2901" t="s">
        <v>22443</v>
      </c>
      <c r="H2901" t="s">
        <v>22452</v>
      </c>
      <c r="I2901" t="s">
        <v>5194</v>
      </c>
      <c r="J2901" t="s">
        <v>23516</v>
      </c>
      <c r="K2901" t="s">
        <v>29338</v>
      </c>
      <c r="M2901" t="s">
        <v>30698</v>
      </c>
      <c r="N2901" t="s">
        <v>32524</v>
      </c>
      <c r="O2901" t="s">
        <v>32525</v>
      </c>
      <c r="P2901">
        <v>0</v>
      </c>
      <c r="Q2901">
        <v>1</v>
      </c>
      <c r="R2901" t="s">
        <v>32527</v>
      </c>
      <c r="S2901" t="s">
        <v>32552</v>
      </c>
      <c r="T2901" t="s">
        <v>33245</v>
      </c>
      <c r="U2901" t="s">
        <v>36093</v>
      </c>
      <c r="W2901" t="s">
        <v>30698</v>
      </c>
      <c r="X2901" t="s">
        <v>32529</v>
      </c>
    </row>
    <row r="2902" spans="1:24">
      <c r="A2902">
        <f>HYPERLINK("https://www.philgeps.gov.ph/GEPSNONPILOT/Tender/SplashBidNoticeAbstractUI.aspx?menuIndex=3&amp;refID=7043763&amp;Result=3","7043763")</f>
        <v>0</v>
      </c>
      <c r="B2902" t="s">
        <v>1049</v>
      </c>
      <c r="C2902" t="s">
        <v>5448</v>
      </c>
      <c r="D2902" t="s">
        <v>13054</v>
      </c>
      <c r="E2902" t="s">
        <v>15714</v>
      </c>
      <c r="F2902" t="s">
        <v>22436</v>
      </c>
      <c r="G2902" t="s">
        <v>22444</v>
      </c>
      <c r="H2902" t="s">
        <v>22452</v>
      </c>
      <c r="I2902" t="s">
        <v>3381</v>
      </c>
      <c r="J2902" t="s">
        <v>24558</v>
      </c>
      <c r="K2902" t="s">
        <v>29333</v>
      </c>
      <c r="M2902" t="s">
        <v>30681</v>
      </c>
      <c r="N2902" t="s">
        <v>32524</v>
      </c>
      <c r="O2902" t="s">
        <v>32525</v>
      </c>
      <c r="P2902">
        <v>0</v>
      </c>
      <c r="Q2902">
        <v>1</v>
      </c>
      <c r="R2902" t="s">
        <v>32527</v>
      </c>
      <c r="S2902" t="s">
        <v>32552</v>
      </c>
      <c r="T2902" t="s">
        <v>33179</v>
      </c>
      <c r="U2902" t="s">
        <v>36094</v>
      </c>
      <c r="W2902" t="s">
        <v>30681</v>
      </c>
      <c r="X2902" t="s">
        <v>32529</v>
      </c>
    </row>
    <row r="2903" spans="1:24">
      <c r="A2903">
        <f>HYPERLINK("https://www.philgeps.gov.ph/GEPSNONPILOT/Tender/SplashBidNoticeAbstractUI.aspx?menuIndex=3&amp;refID=7043780&amp;Result=3","7043780")</f>
        <v>0</v>
      </c>
      <c r="B2903" t="s">
        <v>1049</v>
      </c>
      <c r="C2903" t="s">
        <v>5449</v>
      </c>
      <c r="D2903" t="s">
        <v>13065</v>
      </c>
      <c r="E2903" t="s">
        <v>15715</v>
      </c>
      <c r="F2903" t="s">
        <v>22436</v>
      </c>
      <c r="G2903" t="s">
        <v>22444</v>
      </c>
      <c r="H2903" t="s">
        <v>22452</v>
      </c>
      <c r="I2903" t="s">
        <v>3381</v>
      </c>
      <c r="J2903" t="s">
        <v>24559</v>
      </c>
      <c r="K2903" t="s">
        <v>29333</v>
      </c>
      <c r="M2903" t="s">
        <v>30681</v>
      </c>
      <c r="N2903" t="s">
        <v>32524</v>
      </c>
      <c r="O2903" t="s">
        <v>32525</v>
      </c>
      <c r="P2903">
        <v>0</v>
      </c>
      <c r="Q2903">
        <v>0</v>
      </c>
      <c r="R2903" t="s">
        <v>32527</v>
      </c>
      <c r="S2903" t="s">
        <v>32552</v>
      </c>
      <c r="T2903" t="s">
        <v>33179</v>
      </c>
      <c r="U2903" t="s">
        <v>36095</v>
      </c>
      <c r="W2903" t="s">
        <v>30681</v>
      </c>
      <c r="X2903" t="s">
        <v>32529</v>
      </c>
    </row>
    <row r="2904" spans="1:24">
      <c r="A2904">
        <f>HYPERLINK("https://www.philgeps.gov.ph/GEPSNONPILOT/Tender/SplashBidNoticeAbstractUI.aspx?menuIndex=3&amp;refID=7043772&amp;Result=3","7043772")</f>
        <v>0</v>
      </c>
      <c r="B2904" t="s">
        <v>1066</v>
      </c>
      <c r="C2904" t="s">
        <v>5450</v>
      </c>
      <c r="D2904" t="s">
        <v>13000</v>
      </c>
      <c r="E2904" t="s">
        <v>15716</v>
      </c>
      <c r="F2904" t="s">
        <v>22436</v>
      </c>
      <c r="G2904" t="s">
        <v>22443</v>
      </c>
      <c r="H2904" t="s">
        <v>22452</v>
      </c>
      <c r="I2904" t="s">
        <v>3122</v>
      </c>
      <c r="J2904" t="s">
        <v>24560</v>
      </c>
      <c r="K2904" t="s">
        <v>29341</v>
      </c>
      <c r="M2904" t="s">
        <v>30699</v>
      </c>
      <c r="N2904" t="s">
        <v>32524</v>
      </c>
      <c r="O2904" t="s">
        <v>32525</v>
      </c>
      <c r="P2904">
        <v>0</v>
      </c>
      <c r="Q2904">
        <v>0</v>
      </c>
      <c r="R2904" t="s">
        <v>32527</v>
      </c>
      <c r="S2904" t="s">
        <v>32552</v>
      </c>
      <c r="T2904" t="s">
        <v>33185</v>
      </c>
      <c r="U2904" t="s">
        <v>36096</v>
      </c>
      <c r="W2904" t="s">
        <v>30699</v>
      </c>
      <c r="X2904" t="s">
        <v>32529</v>
      </c>
    </row>
    <row r="2905" spans="1:24">
      <c r="A2905">
        <f>HYPERLINK("https://www.philgeps.gov.ph/GEPSNONPILOT/Tender/SplashBidNoticeAbstractUI.aspx?menuIndex=3&amp;refID=7043771&amp;Result=3","7043771")</f>
        <v>0</v>
      </c>
      <c r="B2905" t="s">
        <v>1067</v>
      </c>
      <c r="C2905" t="s">
        <v>5451</v>
      </c>
      <c r="D2905" t="s">
        <v>13000</v>
      </c>
      <c r="E2905" t="s">
        <v>14018</v>
      </c>
      <c r="F2905" t="s">
        <v>22436</v>
      </c>
      <c r="G2905" t="s">
        <v>22444</v>
      </c>
      <c r="H2905" t="s">
        <v>22452</v>
      </c>
      <c r="I2905" t="s">
        <v>3529</v>
      </c>
      <c r="J2905" t="s">
        <v>24561</v>
      </c>
      <c r="K2905" t="s">
        <v>29335</v>
      </c>
      <c r="L2905" t="s">
        <v>1067</v>
      </c>
      <c r="M2905" t="s">
        <v>30700</v>
      </c>
      <c r="N2905" t="s">
        <v>32524</v>
      </c>
      <c r="O2905" t="s">
        <v>32525</v>
      </c>
      <c r="P2905">
        <v>0</v>
      </c>
      <c r="Q2905">
        <v>1</v>
      </c>
      <c r="R2905" t="s">
        <v>32527</v>
      </c>
      <c r="S2905" t="s">
        <v>32552</v>
      </c>
      <c r="T2905" t="s">
        <v>33245</v>
      </c>
      <c r="U2905" t="s">
        <v>36097</v>
      </c>
      <c r="V2905" t="s">
        <v>42699</v>
      </c>
      <c r="W2905" t="s">
        <v>30700</v>
      </c>
      <c r="X2905" t="s">
        <v>32529</v>
      </c>
    </row>
    <row r="2906" spans="1:24">
      <c r="A2906">
        <f>HYPERLINK("https://www.philgeps.gov.ph/GEPSNONPILOT/Tender/SplashBidNoticeAbstractUI.aspx?menuIndex=3&amp;refID=7043781&amp;Result=3","7043781")</f>
        <v>0</v>
      </c>
      <c r="B2906" t="s">
        <v>1049</v>
      </c>
      <c r="C2906" t="s">
        <v>5452</v>
      </c>
      <c r="D2906" t="s">
        <v>13054</v>
      </c>
      <c r="E2906" t="s">
        <v>15717</v>
      </c>
      <c r="F2906" t="s">
        <v>22436</v>
      </c>
      <c r="G2906" t="s">
        <v>22444</v>
      </c>
      <c r="H2906" t="s">
        <v>22452</v>
      </c>
      <c r="I2906" t="s">
        <v>3381</v>
      </c>
      <c r="J2906" t="s">
        <v>24562</v>
      </c>
      <c r="K2906" t="s">
        <v>29333</v>
      </c>
      <c r="M2906" t="s">
        <v>30681</v>
      </c>
      <c r="N2906" t="s">
        <v>32524</v>
      </c>
      <c r="O2906" t="s">
        <v>32525</v>
      </c>
      <c r="P2906">
        <v>0</v>
      </c>
      <c r="Q2906">
        <v>3</v>
      </c>
      <c r="R2906" t="s">
        <v>32527</v>
      </c>
      <c r="S2906" t="s">
        <v>32552</v>
      </c>
      <c r="T2906" t="s">
        <v>33179</v>
      </c>
      <c r="U2906" t="s">
        <v>36098</v>
      </c>
      <c r="W2906" t="s">
        <v>30681</v>
      </c>
      <c r="X2906" t="s">
        <v>32529</v>
      </c>
    </row>
    <row r="2907" spans="1:24">
      <c r="A2907">
        <f>HYPERLINK("https://www.philgeps.gov.ph/GEPSNONPILOT/Tender/SplashBidNoticeAbstractUI.aspx?menuIndex=3&amp;refID=7043766&amp;Result=3","7043766")</f>
        <v>0</v>
      </c>
      <c r="B2907" t="s">
        <v>1049</v>
      </c>
      <c r="C2907" t="s">
        <v>5453</v>
      </c>
      <c r="D2907" t="s">
        <v>13054</v>
      </c>
      <c r="E2907" t="s">
        <v>15718</v>
      </c>
      <c r="F2907" t="s">
        <v>22436</v>
      </c>
      <c r="G2907" t="s">
        <v>22444</v>
      </c>
      <c r="H2907" t="s">
        <v>22452</v>
      </c>
      <c r="I2907" t="s">
        <v>3381</v>
      </c>
      <c r="J2907" t="s">
        <v>24563</v>
      </c>
      <c r="K2907" t="s">
        <v>29333</v>
      </c>
      <c r="M2907" t="s">
        <v>30681</v>
      </c>
      <c r="N2907" t="s">
        <v>32524</v>
      </c>
      <c r="O2907" t="s">
        <v>32525</v>
      </c>
      <c r="P2907">
        <v>0</v>
      </c>
      <c r="Q2907">
        <v>1</v>
      </c>
      <c r="R2907" t="s">
        <v>32527</v>
      </c>
      <c r="S2907" t="s">
        <v>32552</v>
      </c>
      <c r="T2907" t="s">
        <v>33179</v>
      </c>
      <c r="U2907" t="s">
        <v>36099</v>
      </c>
      <c r="W2907" t="s">
        <v>30681</v>
      </c>
      <c r="X2907" t="s">
        <v>32529</v>
      </c>
    </row>
    <row r="2908" spans="1:24">
      <c r="A2908">
        <f>HYPERLINK("https://www.philgeps.gov.ph/GEPSNONPILOT/Tender/SplashBidNoticeAbstractUI.aspx?menuIndex=3&amp;refID=7043773&amp;Result=3","7043773")</f>
        <v>0</v>
      </c>
      <c r="B2908" t="s">
        <v>1049</v>
      </c>
      <c r="C2908" t="s">
        <v>5454</v>
      </c>
      <c r="D2908" t="s">
        <v>13065</v>
      </c>
      <c r="E2908" t="s">
        <v>15719</v>
      </c>
      <c r="F2908" t="s">
        <v>22436</v>
      </c>
      <c r="G2908" t="s">
        <v>22444</v>
      </c>
      <c r="H2908" t="s">
        <v>22452</v>
      </c>
      <c r="I2908" t="s">
        <v>3381</v>
      </c>
      <c r="J2908" t="s">
        <v>22605</v>
      </c>
      <c r="K2908" t="s">
        <v>29333</v>
      </c>
      <c r="M2908" t="s">
        <v>30681</v>
      </c>
      <c r="N2908" t="s">
        <v>32524</v>
      </c>
      <c r="O2908" t="s">
        <v>32525</v>
      </c>
      <c r="P2908">
        <v>0</v>
      </c>
      <c r="Q2908">
        <v>0</v>
      </c>
      <c r="R2908" t="s">
        <v>32527</v>
      </c>
      <c r="S2908" t="s">
        <v>32552</v>
      </c>
      <c r="T2908" t="s">
        <v>33179</v>
      </c>
      <c r="U2908" t="s">
        <v>36095</v>
      </c>
      <c r="W2908" t="s">
        <v>30681</v>
      </c>
      <c r="X2908" t="s">
        <v>32529</v>
      </c>
    </row>
    <row r="2909" spans="1:24">
      <c r="A2909">
        <f>HYPERLINK("https://www.philgeps.gov.ph/GEPSNONPILOT/Tender/SplashBidNoticeAbstractUI.aspx?menuIndex=3&amp;refID=7043786&amp;Result=3","7043786")</f>
        <v>0</v>
      </c>
      <c r="B2909" t="s">
        <v>1049</v>
      </c>
      <c r="C2909" t="s">
        <v>5455</v>
      </c>
      <c r="D2909" t="s">
        <v>13054</v>
      </c>
      <c r="E2909" t="s">
        <v>15720</v>
      </c>
      <c r="F2909" t="s">
        <v>22436</v>
      </c>
      <c r="G2909" t="s">
        <v>22444</v>
      </c>
      <c r="H2909" t="s">
        <v>22452</v>
      </c>
      <c r="I2909" t="s">
        <v>3381</v>
      </c>
      <c r="J2909" t="s">
        <v>24564</v>
      </c>
      <c r="K2909" t="s">
        <v>29333</v>
      </c>
      <c r="M2909" t="s">
        <v>30681</v>
      </c>
      <c r="N2909" t="s">
        <v>32524</v>
      </c>
      <c r="O2909" t="s">
        <v>32525</v>
      </c>
      <c r="P2909">
        <v>0</v>
      </c>
      <c r="Q2909">
        <v>2</v>
      </c>
      <c r="R2909" t="s">
        <v>32527</v>
      </c>
      <c r="S2909" t="s">
        <v>32552</v>
      </c>
      <c r="T2909" t="s">
        <v>33179</v>
      </c>
      <c r="U2909" t="s">
        <v>36098</v>
      </c>
      <c r="W2909" t="s">
        <v>30681</v>
      </c>
      <c r="X2909" t="s">
        <v>32529</v>
      </c>
    </row>
    <row r="2910" spans="1:24">
      <c r="A2910">
        <f>HYPERLINK("https://www.philgeps.gov.ph/GEPSNONPILOT/Tender/SplashBidNoticeAbstractUI.aspx?menuIndex=3&amp;refID=7043769&amp;Result=3","7043769")</f>
        <v>0</v>
      </c>
      <c r="B2910" t="s">
        <v>1049</v>
      </c>
      <c r="C2910" t="s">
        <v>5456</v>
      </c>
      <c r="D2910" t="s">
        <v>13054</v>
      </c>
      <c r="E2910" t="s">
        <v>15721</v>
      </c>
      <c r="F2910" t="s">
        <v>22436</v>
      </c>
      <c r="G2910" t="s">
        <v>22444</v>
      </c>
      <c r="H2910" t="s">
        <v>22452</v>
      </c>
      <c r="I2910" t="s">
        <v>3381</v>
      </c>
      <c r="J2910" t="s">
        <v>24565</v>
      </c>
      <c r="K2910" t="s">
        <v>29333</v>
      </c>
      <c r="M2910" t="s">
        <v>30681</v>
      </c>
      <c r="N2910" t="s">
        <v>32524</v>
      </c>
      <c r="O2910" t="s">
        <v>32525</v>
      </c>
      <c r="P2910">
        <v>0</v>
      </c>
      <c r="Q2910">
        <v>1</v>
      </c>
      <c r="R2910" t="s">
        <v>32527</v>
      </c>
      <c r="S2910" t="s">
        <v>32552</v>
      </c>
      <c r="T2910" t="s">
        <v>33179</v>
      </c>
      <c r="U2910" t="s">
        <v>36100</v>
      </c>
      <c r="W2910" t="s">
        <v>30681</v>
      </c>
      <c r="X2910" t="s">
        <v>32529</v>
      </c>
    </row>
    <row r="2911" spans="1:24">
      <c r="A2911">
        <f>HYPERLINK("https://www.philgeps.gov.ph/GEPSNONPILOT/Tender/SplashBidNoticeAbstractUI.aspx?menuIndex=3&amp;refID=7043823&amp;Result=3","7043823")</f>
        <v>0</v>
      </c>
      <c r="B2911" t="s">
        <v>477</v>
      </c>
      <c r="C2911" t="s">
        <v>5457</v>
      </c>
      <c r="D2911" t="s">
        <v>13016</v>
      </c>
      <c r="E2911" t="s">
        <v>15722</v>
      </c>
      <c r="F2911" t="s">
        <v>22436</v>
      </c>
      <c r="G2911" t="s">
        <v>22443</v>
      </c>
      <c r="H2911" t="s">
        <v>22452</v>
      </c>
      <c r="I2911" t="s">
        <v>22463</v>
      </c>
      <c r="J2911" t="s">
        <v>24566</v>
      </c>
      <c r="K2911" t="s">
        <v>29331</v>
      </c>
      <c r="M2911" t="s">
        <v>30701</v>
      </c>
      <c r="N2911" t="s">
        <v>32524</v>
      </c>
      <c r="O2911" t="s">
        <v>32525</v>
      </c>
      <c r="P2911">
        <v>0</v>
      </c>
      <c r="Q2911">
        <v>1</v>
      </c>
      <c r="R2911" t="s">
        <v>32527</v>
      </c>
      <c r="S2911" t="s">
        <v>32552</v>
      </c>
      <c r="T2911" t="s">
        <v>33185</v>
      </c>
      <c r="U2911" t="s">
        <v>36101</v>
      </c>
      <c r="W2911" t="s">
        <v>30701</v>
      </c>
      <c r="X2911" t="s">
        <v>32529</v>
      </c>
    </row>
    <row r="2912" spans="1:24">
      <c r="A2912">
        <f>HYPERLINK("https://www.philgeps.gov.ph/GEPSNONPILOT/Tender/SplashBidNoticeAbstractUI.aspx?menuIndex=3&amp;refID=7043822&amp;Result=3","7043822")</f>
        <v>0</v>
      </c>
      <c r="B2912" t="s">
        <v>1035</v>
      </c>
      <c r="C2912" t="s">
        <v>5458</v>
      </c>
      <c r="D2912" t="s">
        <v>13073</v>
      </c>
      <c r="E2912" t="s">
        <v>15723</v>
      </c>
      <c r="F2912" t="s">
        <v>22436</v>
      </c>
      <c r="G2912" t="s">
        <v>22444</v>
      </c>
      <c r="H2912" t="s">
        <v>22454</v>
      </c>
      <c r="I2912" t="s">
        <v>7738</v>
      </c>
      <c r="J2912" t="s">
        <v>24567</v>
      </c>
      <c r="K2912" t="s">
        <v>29433</v>
      </c>
      <c r="M2912" t="s">
        <v>30666</v>
      </c>
      <c r="N2912" t="s">
        <v>32524</v>
      </c>
      <c r="O2912" t="s">
        <v>32525</v>
      </c>
      <c r="P2912">
        <v>0</v>
      </c>
      <c r="Q2912">
        <v>0</v>
      </c>
      <c r="R2912" t="s">
        <v>32527</v>
      </c>
      <c r="S2912" t="s">
        <v>32552</v>
      </c>
      <c r="T2912" t="s">
        <v>33166</v>
      </c>
      <c r="U2912" t="s">
        <v>36102</v>
      </c>
      <c r="W2912" t="s">
        <v>30666</v>
      </c>
      <c r="X2912" t="s">
        <v>32529</v>
      </c>
    </row>
    <row r="2913" spans="1:24">
      <c r="A2913">
        <f>HYPERLINK("https://www.philgeps.gov.ph/GEPSNONPILOT/Tender/SplashBidNoticeAbstractUI.aspx?menuIndex=3&amp;refID=7043776&amp;Result=3","7043776")</f>
        <v>0</v>
      </c>
      <c r="B2913" t="s">
        <v>1066</v>
      </c>
      <c r="C2913" t="s">
        <v>5459</v>
      </c>
      <c r="D2913" t="s">
        <v>13000</v>
      </c>
      <c r="E2913" t="s">
        <v>15724</v>
      </c>
      <c r="F2913" t="s">
        <v>22436</v>
      </c>
      <c r="G2913" t="s">
        <v>22443</v>
      </c>
      <c r="H2913" t="s">
        <v>22452</v>
      </c>
      <c r="I2913" t="s">
        <v>12358</v>
      </c>
      <c r="J2913" t="s">
        <v>24568</v>
      </c>
      <c r="K2913" t="s">
        <v>29336</v>
      </c>
      <c r="M2913" t="s">
        <v>30699</v>
      </c>
      <c r="N2913" t="s">
        <v>32524</v>
      </c>
      <c r="O2913" t="s">
        <v>32525</v>
      </c>
      <c r="P2913">
        <v>0</v>
      </c>
      <c r="Q2913">
        <v>0</v>
      </c>
      <c r="R2913" t="s">
        <v>32527</v>
      </c>
      <c r="S2913" t="s">
        <v>32552</v>
      </c>
      <c r="T2913" t="s">
        <v>33185</v>
      </c>
      <c r="U2913" t="s">
        <v>36096</v>
      </c>
      <c r="W2913" t="s">
        <v>30699</v>
      </c>
      <c r="X2913" t="s">
        <v>32529</v>
      </c>
    </row>
    <row r="2914" spans="1:24">
      <c r="A2914">
        <f>HYPERLINK("https://www.philgeps.gov.ph/GEPSNONPILOT/Tender/SplashBidNoticeAbstractUI.aspx?menuIndex=3&amp;refID=7043811&amp;Result=3","7043811")</f>
        <v>0</v>
      </c>
      <c r="B2914" t="s">
        <v>915</v>
      </c>
      <c r="C2914" t="s">
        <v>5460</v>
      </c>
      <c r="D2914" t="s">
        <v>13013</v>
      </c>
      <c r="E2914" t="s">
        <v>15725</v>
      </c>
      <c r="F2914" t="s">
        <v>22436</v>
      </c>
      <c r="G2914" t="s">
        <v>22443</v>
      </c>
      <c r="H2914" t="s">
        <v>22452</v>
      </c>
      <c r="I2914" t="s">
        <v>2993</v>
      </c>
      <c r="J2914" t="s">
        <v>24569</v>
      </c>
      <c r="K2914" t="s">
        <v>29357</v>
      </c>
      <c r="M2914" t="s">
        <v>30529</v>
      </c>
      <c r="N2914" t="s">
        <v>32524</v>
      </c>
      <c r="O2914" t="s">
        <v>32525</v>
      </c>
      <c r="P2914">
        <v>0</v>
      </c>
      <c r="Q2914">
        <v>0</v>
      </c>
      <c r="R2914" t="s">
        <v>32527</v>
      </c>
      <c r="S2914" t="s">
        <v>32552</v>
      </c>
      <c r="T2914" t="s">
        <v>33213</v>
      </c>
      <c r="U2914" t="s">
        <v>36103</v>
      </c>
      <c r="V2914" t="s">
        <v>42700</v>
      </c>
      <c r="W2914" t="s">
        <v>30529</v>
      </c>
      <c r="X2914" t="s">
        <v>32529</v>
      </c>
    </row>
    <row r="2915" spans="1:24">
      <c r="A2915">
        <f>HYPERLINK("https://www.philgeps.gov.ph/GEPSNONPILOT/Tender/SplashBidNoticeAbstractUI.aspx?menuIndex=3&amp;refID=7043805&amp;Result=3","7043805")</f>
        <v>0</v>
      </c>
      <c r="B2915" t="s">
        <v>1068</v>
      </c>
      <c r="C2915" t="s">
        <v>5461</v>
      </c>
      <c r="D2915" t="s">
        <v>12990</v>
      </c>
      <c r="E2915" t="s">
        <v>15726</v>
      </c>
      <c r="F2915" t="s">
        <v>22436</v>
      </c>
      <c r="G2915" t="s">
        <v>22444</v>
      </c>
      <c r="H2915" t="s">
        <v>22452</v>
      </c>
      <c r="I2915" t="s">
        <v>22540</v>
      </c>
      <c r="J2915" t="s">
        <v>24570</v>
      </c>
      <c r="K2915" t="s">
        <v>29341</v>
      </c>
      <c r="M2915" t="s">
        <v>30702</v>
      </c>
      <c r="N2915" t="s">
        <v>32524</v>
      </c>
      <c r="O2915" t="s">
        <v>32525</v>
      </c>
      <c r="P2915">
        <v>0</v>
      </c>
      <c r="Q2915">
        <v>2</v>
      </c>
      <c r="R2915" t="s">
        <v>32527</v>
      </c>
      <c r="S2915" t="s">
        <v>32552</v>
      </c>
      <c r="T2915" t="s">
        <v>33390</v>
      </c>
      <c r="U2915" t="s">
        <v>36104</v>
      </c>
      <c r="W2915" t="s">
        <v>30702</v>
      </c>
      <c r="X2915" t="s">
        <v>32529</v>
      </c>
    </row>
    <row r="2916" spans="1:24">
      <c r="A2916">
        <f>HYPERLINK("https://www.philgeps.gov.ph/GEPSNONPILOT/Tender/SplashBidNoticeAbstractUI.aspx?menuIndex=3&amp;refID=7043779&amp;Result=3","7043779")</f>
        <v>0</v>
      </c>
      <c r="B2916" t="s">
        <v>1049</v>
      </c>
      <c r="C2916" t="s">
        <v>5462</v>
      </c>
      <c r="D2916" t="s">
        <v>13065</v>
      </c>
      <c r="E2916" t="s">
        <v>15727</v>
      </c>
      <c r="F2916" t="s">
        <v>22436</v>
      </c>
      <c r="G2916" t="s">
        <v>22444</v>
      </c>
      <c r="H2916" t="s">
        <v>22452</v>
      </c>
      <c r="I2916" t="s">
        <v>3381</v>
      </c>
      <c r="J2916" t="s">
        <v>24571</v>
      </c>
      <c r="K2916" t="s">
        <v>29333</v>
      </c>
      <c r="M2916" t="s">
        <v>30681</v>
      </c>
      <c r="N2916" t="s">
        <v>32524</v>
      </c>
      <c r="O2916" t="s">
        <v>32525</v>
      </c>
      <c r="P2916">
        <v>0</v>
      </c>
      <c r="Q2916">
        <v>0</v>
      </c>
      <c r="R2916" t="s">
        <v>32527</v>
      </c>
      <c r="S2916" t="s">
        <v>32552</v>
      </c>
      <c r="T2916" t="s">
        <v>33179</v>
      </c>
      <c r="U2916" t="s">
        <v>36052</v>
      </c>
      <c r="W2916" t="s">
        <v>30681</v>
      </c>
      <c r="X2916" t="s">
        <v>32529</v>
      </c>
    </row>
    <row r="2917" spans="1:24">
      <c r="A2917">
        <f>HYPERLINK("https://www.philgeps.gov.ph/GEPSNONPILOT/Tender/SplashBidNoticeAbstractUI.aspx?menuIndex=3&amp;refID=7043826&amp;Result=3","7043826")</f>
        <v>0</v>
      </c>
      <c r="B2917" t="s">
        <v>1035</v>
      </c>
      <c r="C2917" t="s">
        <v>5463</v>
      </c>
      <c r="D2917" t="s">
        <v>13073</v>
      </c>
      <c r="E2917" t="s">
        <v>15728</v>
      </c>
      <c r="F2917" t="s">
        <v>22436</v>
      </c>
      <c r="G2917" t="s">
        <v>22444</v>
      </c>
      <c r="H2917" t="s">
        <v>22454</v>
      </c>
      <c r="I2917" t="s">
        <v>7738</v>
      </c>
      <c r="J2917" t="s">
        <v>24572</v>
      </c>
      <c r="K2917" t="s">
        <v>29373</v>
      </c>
      <c r="M2917" t="s">
        <v>30666</v>
      </c>
      <c r="N2917" t="s">
        <v>32524</v>
      </c>
      <c r="O2917" t="s">
        <v>32525</v>
      </c>
      <c r="P2917">
        <v>0</v>
      </c>
      <c r="Q2917">
        <v>0</v>
      </c>
      <c r="R2917" t="s">
        <v>32527</v>
      </c>
      <c r="S2917" t="s">
        <v>32552</v>
      </c>
      <c r="T2917" t="s">
        <v>33166</v>
      </c>
      <c r="U2917" t="s">
        <v>36105</v>
      </c>
      <c r="W2917" t="s">
        <v>30666</v>
      </c>
      <c r="X2917" t="s">
        <v>32529</v>
      </c>
    </row>
    <row r="2918" spans="1:24">
      <c r="A2918">
        <f>HYPERLINK("https://www.philgeps.gov.ph/GEPSNONPILOT/Tender/SplashBidNoticeAbstractUI.aspx?menuIndex=3&amp;refID=7043820&amp;Result=3","7043820")</f>
        <v>0</v>
      </c>
      <c r="B2918" t="s">
        <v>1069</v>
      </c>
      <c r="C2918" t="s">
        <v>5464</v>
      </c>
      <c r="D2918" t="s">
        <v>12988</v>
      </c>
      <c r="E2918" t="s">
        <v>15729</v>
      </c>
      <c r="F2918" t="s">
        <v>22436</v>
      </c>
      <c r="G2918" t="s">
        <v>22443</v>
      </c>
      <c r="H2918" t="s">
        <v>22452</v>
      </c>
      <c r="I2918" t="s">
        <v>22456</v>
      </c>
      <c r="J2918" t="s">
        <v>24573</v>
      </c>
      <c r="K2918" t="s">
        <v>29341</v>
      </c>
      <c r="L2918" t="s">
        <v>1069</v>
      </c>
      <c r="M2918" t="s">
        <v>30703</v>
      </c>
      <c r="N2918" t="s">
        <v>32524</v>
      </c>
      <c r="O2918" t="s">
        <v>32525</v>
      </c>
      <c r="P2918">
        <v>0</v>
      </c>
      <c r="Q2918">
        <v>14</v>
      </c>
      <c r="R2918" t="s">
        <v>32527</v>
      </c>
      <c r="S2918" t="s">
        <v>32552</v>
      </c>
      <c r="T2918" t="s">
        <v>33310</v>
      </c>
      <c r="U2918" t="s">
        <v>35225</v>
      </c>
      <c r="W2918" t="s">
        <v>30703</v>
      </c>
      <c r="X2918" t="s">
        <v>32529</v>
      </c>
    </row>
    <row r="2919" spans="1:24">
      <c r="A2919">
        <f>HYPERLINK("https://www.philgeps.gov.ph/GEPSNONPILOT/Tender/SplashBidNoticeAbstractUI.aspx?menuIndex=3&amp;refID=7043827&amp;Result=3","7043827")</f>
        <v>0</v>
      </c>
      <c r="B2919" t="s">
        <v>477</v>
      </c>
      <c r="C2919" t="s">
        <v>5465</v>
      </c>
      <c r="D2919" t="s">
        <v>13016</v>
      </c>
      <c r="E2919" t="s">
        <v>15730</v>
      </c>
      <c r="F2919" t="s">
        <v>22436</v>
      </c>
      <c r="G2919" t="s">
        <v>22445</v>
      </c>
      <c r="H2919" t="s">
        <v>22452</v>
      </c>
      <c r="I2919" t="s">
        <v>5194</v>
      </c>
      <c r="J2919" t="s">
        <v>24574</v>
      </c>
      <c r="K2919" t="s">
        <v>29331</v>
      </c>
      <c r="M2919" t="s">
        <v>30701</v>
      </c>
      <c r="N2919" t="s">
        <v>32524</v>
      </c>
      <c r="O2919" t="s">
        <v>32525</v>
      </c>
      <c r="P2919">
        <v>0</v>
      </c>
      <c r="Q2919">
        <v>1</v>
      </c>
      <c r="R2919" t="s">
        <v>32527</v>
      </c>
      <c r="S2919" t="s">
        <v>32552</v>
      </c>
      <c r="T2919" t="s">
        <v>33185</v>
      </c>
      <c r="U2919" t="s">
        <v>36106</v>
      </c>
      <c r="W2919" t="s">
        <v>30701</v>
      </c>
      <c r="X2919" t="s">
        <v>32529</v>
      </c>
    </row>
    <row r="2920" spans="1:24">
      <c r="A2920">
        <f>HYPERLINK("https://www.philgeps.gov.ph/GEPSNONPILOT/Tender/SplashBidNoticeAbstractUI.aspx?menuIndex=3&amp;refID=7043846&amp;Result=3","7043846")</f>
        <v>0</v>
      </c>
      <c r="B2920" t="s">
        <v>407</v>
      </c>
      <c r="C2920" t="s">
        <v>5466</v>
      </c>
      <c r="D2920" t="s">
        <v>12997</v>
      </c>
      <c r="E2920" t="s">
        <v>15731</v>
      </c>
      <c r="F2920" t="s">
        <v>22436</v>
      </c>
      <c r="G2920" t="s">
        <v>22444</v>
      </c>
      <c r="H2920" t="s">
        <v>22454</v>
      </c>
      <c r="I2920" t="s">
        <v>7738</v>
      </c>
      <c r="J2920" t="s">
        <v>24049</v>
      </c>
      <c r="K2920" t="s">
        <v>29347</v>
      </c>
      <c r="M2920" t="s">
        <v>29986</v>
      </c>
      <c r="N2920" t="s">
        <v>32524</v>
      </c>
      <c r="O2920" t="s">
        <v>32525</v>
      </c>
      <c r="P2920">
        <v>0</v>
      </c>
      <c r="Q2920">
        <v>0</v>
      </c>
      <c r="R2920" t="s">
        <v>32527</v>
      </c>
      <c r="S2920" t="s">
        <v>32552</v>
      </c>
      <c r="T2920" t="s">
        <v>33166</v>
      </c>
      <c r="U2920" t="s">
        <v>36107</v>
      </c>
      <c r="W2920" t="s">
        <v>29986</v>
      </c>
      <c r="X2920" t="s">
        <v>32529</v>
      </c>
    </row>
    <row r="2921" spans="1:24">
      <c r="A2921">
        <f>HYPERLINK("https://www.philgeps.gov.ph/GEPSNONPILOT/Tender/SplashBidNoticeAbstractUI.aspx?menuIndex=3&amp;refID=7043777&amp;Result=3","7043777")</f>
        <v>0</v>
      </c>
      <c r="B2921" t="s">
        <v>1049</v>
      </c>
      <c r="C2921" t="s">
        <v>5467</v>
      </c>
      <c r="D2921" t="s">
        <v>13065</v>
      </c>
      <c r="E2921" t="s">
        <v>15732</v>
      </c>
      <c r="F2921" t="s">
        <v>22436</v>
      </c>
      <c r="G2921" t="s">
        <v>22444</v>
      </c>
      <c r="H2921" t="s">
        <v>22452</v>
      </c>
      <c r="I2921" t="s">
        <v>3381</v>
      </c>
      <c r="J2921" t="s">
        <v>23120</v>
      </c>
      <c r="K2921" t="s">
        <v>29333</v>
      </c>
      <c r="M2921" t="s">
        <v>30681</v>
      </c>
      <c r="N2921" t="s">
        <v>32524</v>
      </c>
      <c r="O2921" t="s">
        <v>32525</v>
      </c>
      <c r="P2921">
        <v>0</v>
      </c>
      <c r="Q2921">
        <v>0</v>
      </c>
      <c r="R2921" t="s">
        <v>32527</v>
      </c>
      <c r="S2921" t="s">
        <v>32552</v>
      </c>
      <c r="T2921" t="s">
        <v>33179</v>
      </c>
      <c r="U2921" t="s">
        <v>36108</v>
      </c>
      <c r="W2921" t="s">
        <v>30681</v>
      </c>
      <c r="X2921" t="s">
        <v>32529</v>
      </c>
    </row>
    <row r="2922" spans="1:24">
      <c r="A2922">
        <f>HYPERLINK("https://www.philgeps.gov.ph/GEPSNONPILOT/Tender/SplashBidNoticeAbstractUI.aspx?menuIndex=3&amp;refID=7043788&amp;Result=3","7043788")</f>
        <v>0</v>
      </c>
      <c r="B2922" t="s">
        <v>1049</v>
      </c>
      <c r="C2922" t="s">
        <v>5468</v>
      </c>
      <c r="D2922" t="s">
        <v>13054</v>
      </c>
      <c r="E2922" t="s">
        <v>15733</v>
      </c>
      <c r="F2922" t="s">
        <v>22436</v>
      </c>
      <c r="G2922" t="s">
        <v>22444</v>
      </c>
      <c r="H2922" t="s">
        <v>22452</v>
      </c>
      <c r="I2922" t="s">
        <v>3381</v>
      </c>
      <c r="J2922" t="s">
        <v>24575</v>
      </c>
      <c r="K2922" t="s">
        <v>29333</v>
      </c>
      <c r="M2922" t="s">
        <v>30681</v>
      </c>
      <c r="N2922" t="s">
        <v>32524</v>
      </c>
      <c r="O2922" t="s">
        <v>32525</v>
      </c>
      <c r="P2922">
        <v>0</v>
      </c>
      <c r="Q2922">
        <v>1</v>
      </c>
      <c r="R2922" t="s">
        <v>32527</v>
      </c>
      <c r="S2922" t="s">
        <v>32552</v>
      </c>
      <c r="T2922" t="s">
        <v>33179</v>
      </c>
      <c r="U2922" t="s">
        <v>36109</v>
      </c>
      <c r="W2922" t="s">
        <v>30681</v>
      </c>
      <c r="X2922" t="s">
        <v>32529</v>
      </c>
    </row>
    <row r="2923" spans="1:24">
      <c r="A2923">
        <f>HYPERLINK("https://www.philgeps.gov.ph/GEPSNONPILOT/Tender/SplashBidNoticeAbstractUI.aspx?menuIndex=3&amp;refID=7043832&amp;Result=3","7043832")</f>
        <v>0</v>
      </c>
      <c r="B2923" t="s">
        <v>407</v>
      </c>
      <c r="C2923" t="s">
        <v>5469</v>
      </c>
      <c r="D2923" t="s">
        <v>12997</v>
      </c>
      <c r="E2923" t="s">
        <v>15734</v>
      </c>
      <c r="F2923" t="s">
        <v>22436</v>
      </c>
      <c r="G2923" t="s">
        <v>22444</v>
      </c>
      <c r="H2923" t="s">
        <v>22454</v>
      </c>
      <c r="I2923" t="s">
        <v>7738</v>
      </c>
      <c r="J2923" t="s">
        <v>22587</v>
      </c>
      <c r="K2923" t="s">
        <v>29347</v>
      </c>
      <c r="M2923" t="s">
        <v>29986</v>
      </c>
      <c r="N2923" t="s">
        <v>32524</v>
      </c>
      <c r="O2923" t="s">
        <v>32525</v>
      </c>
      <c r="P2923">
        <v>0</v>
      </c>
      <c r="Q2923">
        <v>0</v>
      </c>
      <c r="R2923" t="s">
        <v>32527</v>
      </c>
      <c r="S2923" t="s">
        <v>32552</v>
      </c>
      <c r="T2923" t="s">
        <v>33166</v>
      </c>
      <c r="U2923" t="s">
        <v>36110</v>
      </c>
      <c r="W2923" t="s">
        <v>29986</v>
      </c>
      <c r="X2923" t="s">
        <v>32529</v>
      </c>
    </row>
    <row r="2924" spans="1:24">
      <c r="A2924">
        <f>HYPERLINK("https://www.philgeps.gov.ph/GEPSNONPILOT/Tender/SplashBidNoticeAbstractUI.aspx?menuIndex=3&amp;refID=7043843&amp;Result=3","7043843")</f>
        <v>0</v>
      </c>
      <c r="B2924" t="s">
        <v>1035</v>
      </c>
      <c r="C2924" t="s">
        <v>5470</v>
      </c>
      <c r="D2924" t="s">
        <v>13073</v>
      </c>
      <c r="E2924" t="s">
        <v>15735</v>
      </c>
      <c r="F2924" t="s">
        <v>22436</v>
      </c>
      <c r="G2924" t="s">
        <v>22444</v>
      </c>
      <c r="H2924" t="s">
        <v>22454</v>
      </c>
      <c r="I2924" t="s">
        <v>7738</v>
      </c>
      <c r="J2924" t="s">
        <v>24576</v>
      </c>
      <c r="K2924" t="s">
        <v>29333</v>
      </c>
      <c r="M2924" t="s">
        <v>30666</v>
      </c>
      <c r="N2924" t="s">
        <v>32524</v>
      </c>
      <c r="O2924" t="s">
        <v>32525</v>
      </c>
      <c r="P2924">
        <v>0</v>
      </c>
      <c r="Q2924">
        <v>0</v>
      </c>
      <c r="R2924" t="s">
        <v>32527</v>
      </c>
      <c r="S2924" t="s">
        <v>32552</v>
      </c>
      <c r="T2924" t="s">
        <v>33166</v>
      </c>
      <c r="U2924" t="s">
        <v>36111</v>
      </c>
      <c r="W2924" t="s">
        <v>30666</v>
      </c>
      <c r="X2924" t="s">
        <v>32529</v>
      </c>
    </row>
    <row r="2925" spans="1:24">
      <c r="A2925">
        <f>HYPERLINK("https://www.philgeps.gov.ph/GEPSNONPILOT/Tender/SplashBidNoticeAbstractUI.aspx?menuIndex=3&amp;refID=7043783&amp;Result=3","7043783")</f>
        <v>0</v>
      </c>
      <c r="B2925" t="s">
        <v>1049</v>
      </c>
      <c r="C2925" t="s">
        <v>5453</v>
      </c>
      <c r="D2925" t="s">
        <v>13054</v>
      </c>
      <c r="E2925" t="s">
        <v>15736</v>
      </c>
      <c r="F2925" t="s">
        <v>22436</v>
      </c>
      <c r="G2925" t="s">
        <v>22444</v>
      </c>
      <c r="H2925" t="s">
        <v>22452</v>
      </c>
      <c r="I2925" t="s">
        <v>3381</v>
      </c>
      <c r="J2925" t="s">
        <v>24577</v>
      </c>
      <c r="K2925" t="s">
        <v>29333</v>
      </c>
      <c r="M2925" t="s">
        <v>30681</v>
      </c>
      <c r="N2925" t="s">
        <v>32524</v>
      </c>
      <c r="O2925" t="s">
        <v>32525</v>
      </c>
      <c r="P2925">
        <v>0</v>
      </c>
      <c r="Q2925">
        <v>1</v>
      </c>
      <c r="R2925" t="s">
        <v>32527</v>
      </c>
      <c r="S2925" t="s">
        <v>32552</v>
      </c>
      <c r="T2925" t="s">
        <v>33179</v>
      </c>
      <c r="U2925" t="s">
        <v>36099</v>
      </c>
      <c r="W2925" t="s">
        <v>30681</v>
      </c>
      <c r="X2925" t="s">
        <v>32529</v>
      </c>
    </row>
    <row r="2926" spans="1:24">
      <c r="A2926">
        <f>HYPERLINK("https://www.philgeps.gov.ph/GEPSNONPILOT/Tender/SplashBidNoticeAbstractUI.aspx?menuIndex=3&amp;refID=7043844&amp;Result=3","7043844")</f>
        <v>0</v>
      </c>
      <c r="B2926" t="s">
        <v>407</v>
      </c>
      <c r="C2926" t="s">
        <v>5471</v>
      </c>
      <c r="D2926" t="s">
        <v>12997</v>
      </c>
      <c r="E2926" t="s">
        <v>15737</v>
      </c>
      <c r="F2926" t="s">
        <v>22436</v>
      </c>
      <c r="G2926" t="s">
        <v>22444</v>
      </c>
      <c r="H2926" t="s">
        <v>22454</v>
      </c>
      <c r="I2926" t="s">
        <v>7738</v>
      </c>
      <c r="J2926" t="s">
        <v>22587</v>
      </c>
      <c r="K2926" t="s">
        <v>29333</v>
      </c>
      <c r="M2926" t="s">
        <v>29986</v>
      </c>
      <c r="N2926" t="s">
        <v>32524</v>
      </c>
      <c r="O2926" t="s">
        <v>32525</v>
      </c>
      <c r="P2926">
        <v>0</v>
      </c>
      <c r="Q2926">
        <v>0</v>
      </c>
      <c r="R2926" t="s">
        <v>32527</v>
      </c>
      <c r="S2926" t="s">
        <v>32552</v>
      </c>
      <c r="T2926" t="s">
        <v>33166</v>
      </c>
      <c r="U2926" t="s">
        <v>36112</v>
      </c>
      <c r="W2926" t="s">
        <v>29986</v>
      </c>
      <c r="X2926" t="s">
        <v>32529</v>
      </c>
    </row>
    <row r="2927" spans="1:24">
      <c r="A2927">
        <f>HYPERLINK("https://www.philgeps.gov.ph/GEPSNONPILOT/Tender/SplashBidNoticeAbstractUI.aspx?menuIndex=3&amp;refID=7043833&amp;Result=3","7043833")</f>
        <v>0</v>
      </c>
      <c r="B2927" t="s">
        <v>1035</v>
      </c>
      <c r="C2927" t="s">
        <v>5472</v>
      </c>
      <c r="D2927" t="s">
        <v>13073</v>
      </c>
      <c r="E2927" t="s">
        <v>15738</v>
      </c>
      <c r="F2927" t="s">
        <v>22436</v>
      </c>
      <c r="G2927" t="s">
        <v>22444</v>
      </c>
      <c r="H2927" t="s">
        <v>22454</v>
      </c>
      <c r="I2927" t="s">
        <v>7738</v>
      </c>
      <c r="J2927" t="s">
        <v>24578</v>
      </c>
      <c r="K2927" t="s">
        <v>29335</v>
      </c>
      <c r="M2927" t="s">
        <v>30666</v>
      </c>
      <c r="N2927" t="s">
        <v>32524</v>
      </c>
      <c r="O2927" t="s">
        <v>32525</v>
      </c>
      <c r="P2927">
        <v>0</v>
      </c>
      <c r="Q2927">
        <v>0</v>
      </c>
      <c r="R2927" t="s">
        <v>32527</v>
      </c>
      <c r="S2927" t="s">
        <v>32552</v>
      </c>
      <c r="T2927" t="s">
        <v>33166</v>
      </c>
      <c r="U2927" t="s">
        <v>36113</v>
      </c>
      <c r="W2927" t="s">
        <v>30666</v>
      </c>
      <c r="X2927" t="s">
        <v>32529</v>
      </c>
    </row>
    <row r="2928" spans="1:24">
      <c r="A2928">
        <f>HYPERLINK("https://www.philgeps.gov.ph/GEPSNONPILOT/Tender/SplashBidNoticeAbstractUI.aspx?menuIndex=3&amp;refID=7043869&amp;Result=3","7043869")</f>
        <v>0</v>
      </c>
      <c r="B2928" t="s">
        <v>1070</v>
      </c>
      <c r="C2928" t="s">
        <v>5473</v>
      </c>
      <c r="D2928" t="s">
        <v>13050</v>
      </c>
      <c r="E2928" t="s">
        <v>15739</v>
      </c>
      <c r="F2928" t="s">
        <v>22436</v>
      </c>
      <c r="G2928" t="s">
        <v>22443</v>
      </c>
      <c r="H2928" t="s">
        <v>22452</v>
      </c>
      <c r="I2928" t="s">
        <v>22461</v>
      </c>
      <c r="J2928" t="s">
        <v>24579</v>
      </c>
      <c r="K2928" t="s">
        <v>29356</v>
      </c>
      <c r="M2928" t="s">
        <v>30704</v>
      </c>
      <c r="N2928" t="s">
        <v>32524</v>
      </c>
      <c r="O2928" t="s">
        <v>32525</v>
      </c>
      <c r="P2928">
        <v>0</v>
      </c>
      <c r="Q2928">
        <v>2</v>
      </c>
      <c r="R2928" t="s">
        <v>32527</v>
      </c>
      <c r="S2928" t="s">
        <v>32552</v>
      </c>
      <c r="T2928" t="s">
        <v>33209</v>
      </c>
      <c r="U2928" t="s">
        <v>36114</v>
      </c>
      <c r="V2928" t="s">
        <v>42701</v>
      </c>
      <c r="W2928" t="s">
        <v>30704</v>
      </c>
      <c r="X2928" t="s">
        <v>32529</v>
      </c>
    </row>
    <row r="2929" spans="1:24">
      <c r="A2929">
        <f>HYPERLINK("https://www.philgeps.gov.ph/GEPSNONPILOT/Tender/SplashBidNoticeAbstractUI.aspx?menuIndex=3&amp;refID=7043839&amp;Result=3","7043839")</f>
        <v>0</v>
      </c>
      <c r="B2929" t="s">
        <v>1035</v>
      </c>
      <c r="C2929" t="s">
        <v>5474</v>
      </c>
      <c r="D2929" t="s">
        <v>13073</v>
      </c>
      <c r="E2929" t="s">
        <v>15740</v>
      </c>
      <c r="F2929" t="s">
        <v>22436</v>
      </c>
      <c r="G2929" t="s">
        <v>22444</v>
      </c>
      <c r="H2929" t="s">
        <v>22454</v>
      </c>
      <c r="I2929" t="s">
        <v>7738</v>
      </c>
      <c r="J2929" t="s">
        <v>24580</v>
      </c>
      <c r="K2929" t="s">
        <v>29341</v>
      </c>
      <c r="M2929" t="s">
        <v>30666</v>
      </c>
      <c r="N2929" t="s">
        <v>32524</v>
      </c>
      <c r="O2929" t="s">
        <v>32525</v>
      </c>
      <c r="P2929">
        <v>0</v>
      </c>
      <c r="Q2929">
        <v>0</v>
      </c>
      <c r="R2929" t="s">
        <v>32527</v>
      </c>
      <c r="S2929" t="s">
        <v>32552</v>
      </c>
      <c r="T2929" t="s">
        <v>33166</v>
      </c>
      <c r="U2929" t="s">
        <v>36115</v>
      </c>
      <c r="W2929" t="s">
        <v>30666</v>
      </c>
      <c r="X2929" t="s">
        <v>32529</v>
      </c>
    </row>
    <row r="2930" spans="1:24">
      <c r="A2930">
        <f>HYPERLINK("https://www.philgeps.gov.ph/GEPSNONPILOT/Tender/SplashBidNoticeAbstractUI.aspx?menuIndex=3&amp;refID=7043872&amp;Result=3","7043872")</f>
        <v>0</v>
      </c>
      <c r="B2930" t="s">
        <v>1071</v>
      </c>
      <c r="C2930" t="s">
        <v>5475</v>
      </c>
      <c r="D2930" t="s">
        <v>13024</v>
      </c>
      <c r="E2930" t="s">
        <v>15741</v>
      </c>
      <c r="F2930" t="s">
        <v>22436</v>
      </c>
      <c r="G2930" t="s">
        <v>22447</v>
      </c>
      <c r="H2930" t="s">
        <v>22452</v>
      </c>
      <c r="I2930" t="s">
        <v>5194</v>
      </c>
      <c r="J2930" t="s">
        <v>24581</v>
      </c>
      <c r="K2930" t="s">
        <v>29341</v>
      </c>
      <c r="M2930" t="s">
        <v>30705</v>
      </c>
      <c r="N2930" t="s">
        <v>32524</v>
      </c>
      <c r="O2930" t="s">
        <v>32525</v>
      </c>
      <c r="P2930">
        <v>0</v>
      </c>
      <c r="Q2930">
        <v>4</v>
      </c>
      <c r="R2930" t="s">
        <v>32527</v>
      </c>
      <c r="S2930" t="s">
        <v>32552</v>
      </c>
      <c r="T2930" t="s">
        <v>33265</v>
      </c>
      <c r="U2930" t="s">
        <v>36116</v>
      </c>
      <c r="V2930" t="s">
        <v>42702</v>
      </c>
      <c r="W2930" t="s">
        <v>30705</v>
      </c>
      <c r="X2930" t="s">
        <v>32529</v>
      </c>
    </row>
    <row r="2931" spans="1:24">
      <c r="A2931">
        <f>HYPERLINK("https://www.philgeps.gov.ph/GEPSNONPILOT/Tender/SplashBidNoticeAbstractUI.aspx?menuIndex=3&amp;refID=7043867&amp;Result=3","7043867")</f>
        <v>0</v>
      </c>
      <c r="B2931" t="s">
        <v>1072</v>
      </c>
      <c r="C2931" t="s">
        <v>5476</v>
      </c>
      <c r="D2931" t="s">
        <v>12997</v>
      </c>
      <c r="E2931" t="s">
        <v>15742</v>
      </c>
      <c r="F2931" t="s">
        <v>22436</v>
      </c>
      <c r="G2931" t="s">
        <v>22444</v>
      </c>
      <c r="H2931" t="s">
        <v>22454</v>
      </c>
      <c r="I2931" t="s">
        <v>7738</v>
      </c>
      <c r="J2931" t="s">
        <v>24582</v>
      </c>
      <c r="K2931" t="s">
        <v>29441</v>
      </c>
      <c r="M2931" t="s">
        <v>30706</v>
      </c>
      <c r="N2931" t="s">
        <v>32524</v>
      </c>
      <c r="O2931" t="s">
        <v>32525</v>
      </c>
      <c r="P2931">
        <v>0</v>
      </c>
      <c r="Q2931">
        <v>0</v>
      </c>
      <c r="R2931" t="s">
        <v>32527</v>
      </c>
      <c r="S2931" t="s">
        <v>32552</v>
      </c>
      <c r="T2931" t="s">
        <v>33180</v>
      </c>
      <c r="U2931" t="s">
        <v>36117</v>
      </c>
      <c r="W2931" t="s">
        <v>30706</v>
      </c>
      <c r="X2931" t="s">
        <v>32529</v>
      </c>
    </row>
    <row r="2932" spans="1:24">
      <c r="A2932">
        <f>HYPERLINK("https://www.philgeps.gov.ph/GEPSNONPILOT/Tender/SplashBidNoticeAbstractUI.aspx?menuIndex=3&amp;refID=7043871&amp;Result=3","7043871")</f>
        <v>0</v>
      </c>
      <c r="B2932" t="s">
        <v>1073</v>
      </c>
      <c r="C2932" t="s">
        <v>5477</v>
      </c>
      <c r="D2932" t="s">
        <v>13002</v>
      </c>
      <c r="E2932" t="s">
        <v>15743</v>
      </c>
      <c r="F2932" t="s">
        <v>22436</v>
      </c>
      <c r="G2932" t="s">
        <v>22443</v>
      </c>
      <c r="H2932" t="s">
        <v>22452</v>
      </c>
      <c r="I2932" t="s">
        <v>12358</v>
      </c>
      <c r="J2932" t="s">
        <v>24583</v>
      </c>
      <c r="K2932" t="s">
        <v>29336</v>
      </c>
      <c r="M2932" t="s">
        <v>30707</v>
      </c>
      <c r="N2932" t="s">
        <v>32524</v>
      </c>
      <c r="O2932" t="s">
        <v>32525</v>
      </c>
      <c r="P2932">
        <v>0</v>
      </c>
      <c r="Q2932">
        <v>0</v>
      </c>
      <c r="R2932" t="s">
        <v>32527</v>
      </c>
      <c r="S2932" t="s">
        <v>32552</v>
      </c>
      <c r="T2932" t="s">
        <v>33229</v>
      </c>
      <c r="U2932" t="s">
        <v>36118</v>
      </c>
      <c r="W2932" t="s">
        <v>30707</v>
      </c>
      <c r="X2932" t="s">
        <v>32529</v>
      </c>
    </row>
    <row r="2933" spans="1:24">
      <c r="A2933">
        <f>HYPERLINK("https://www.philgeps.gov.ph/GEPSNONPILOT/Tender/SplashBidNoticeAbstractUI.aspx?menuIndex=3&amp;refID=7043853&amp;Result=3","7043853")</f>
        <v>0</v>
      </c>
      <c r="B2933" t="s">
        <v>527</v>
      </c>
      <c r="C2933" t="s">
        <v>5478</v>
      </c>
      <c r="D2933" t="s">
        <v>12988</v>
      </c>
      <c r="E2933" t="s">
        <v>15744</v>
      </c>
      <c r="F2933" t="s">
        <v>22436</v>
      </c>
      <c r="G2933" t="s">
        <v>22444</v>
      </c>
      <c r="H2933" t="s">
        <v>22452</v>
      </c>
      <c r="I2933" t="s">
        <v>22469</v>
      </c>
      <c r="J2933" t="s">
        <v>24584</v>
      </c>
      <c r="K2933" t="s">
        <v>29353</v>
      </c>
      <c r="M2933" t="s">
        <v>30708</v>
      </c>
      <c r="N2933" t="s">
        <v>32524</v>
      </c>
      <c r="O2933" t="s">
        <v>32525</v>
      </c>
      <c r="Q2933">
        <v>4</v>
      </c>
      <c r="R2933" t="s">
        <v>32527</v>
      </c>
      <c r="S2933" t="s">
        <v>32556</v>
      </c>
      <c r="T2933" t="s">
        <v>33391</v>
      </c>
      <c r="U2933" t="s">
        <v>36119</v>
      </c>
      <c r="V2933" t="s">
        <v>42703</v>
      </c>
      <c r="W2933" t="s">
        <v>30708</v>
      </c>
      <c r="X2933" t="s">
        <v>32529</v>
      </c>
    </row>
    <row r="2934" spans="1:24">
      <c r="A2934">
        <f>HYPERLINK("https://www.philgeps.gov.ph/GEPSNONPILOT/Tender/SplashBidNoticeAbstractUI.aspx?menuIndex=3&amp;refID=7043847&amp;Result=3","7043847")</f>
        <v>0</v>
      </c>
      <c r="B2934" t="s">
        <v>527</v>
      </c>
      <c r="C2934" t="s">
        <v>5479</v>
      </c>
      <c r="D2934" t="s">
        <v>12988</v>
      </c>
      <c r="E2934" t="s">
        <v>15745</v>
      </c>
      <c r="F2934" t="s">
        <v>22436</v>
      </c>
      <c r="G2934" t="s">
        <v>22444</v>
      </c>
      <c r="H2934" t="s">
        <v>22452</v>
      </c>
      <c r="I2934" t="s">
        <v>22469</v>
      </c>
      <c r="J2934" t="s">
        <v>24585</v>
      </c>
      <c r="K2934" t="s">
        <v>29353</v>
      </c>
      <c r="M2934" t="s">
        <v>30708</v>
      </c>
      <c r="N2934" t="s">
        <v>32524</v>
      </c>
      <c r="O2934" t="s">
        <v>32525</v>
      </c>
      <c r="Q2934">
        <v>3</v>
      </c>
      <c r="R2934" t="s">
        <v>32527</v>
      </c>
      <c r="S2934" t="s">
        <v>32557</v>
      </c>
      <c r="T2934" t="s">
        <v>33391</v>
      </c>
      <c r="U2934" t="s">
        <v>36119</v>
      </c>
      <c r="V2934" t="s">
        <v>42704</v>
      </c>
      <c r="W2934" t="s">
        <v>30708</v>
      </c>
      <c r="X2934" t="s">
        <v>32529</v>
      </c>
    </row>
    <row r="2935" spans="1:24">
      <c r="A2935">
        <f>HYPERLINK("https://www.philgeps.gov.ph/GEPSNONPILOT/Tender/SplashBidNoticeAbstractUI.aspx?menuIndex=3&amp;refID=7043863&amp;Result=3","7043863")</f>
        <v>0</v>
      </c>
      <c r="B2935" t="s">
        <v>1055</v>
      </c>
      <c r="C2935" t="s">
        <v>5480</v>
      </c>
      <c r="E2935" t="s">
        <v>15680</v>
      </c>
      <c r="F2935" t="s">
        <v>22436</v>
      </c>
      <c r="G2935" t="s">
        <v>22443</v>
      </c>
      <c r="H2935" t="s">
        <v>22452</v>
      </c>
      <c r="I2935" t="s">
        <v>22460</v>
      </c>
      <c r="J2935" t="s">
        <v>24586</v>
      </c>
      <c r="K2935" t="s">
        <v>29338</v>
      </c>
      <c r="M2935" t="s">
        <v>30688</v>
      </c>
      <c r="N2935" t="s">
        <v>32524</v>
      </c>
      <c r="O2935" t="s">
        <v>32525</v>
      </c>
      <c r="P2935">
        <v>0</v>
      </c>
      <c r="Q2935">
        <v>0</v>
      </c>
      <c r="R2935" t="s">
        <v>32527</v>
      </c>
      <c r="S2935" t="s">
        <v>32552</v>
      </c>
      <c r="T2935" t="s">
        <v>33167</v>
      </c>
      <c r="U2935" t="s">
        <v>34083</v>
      </c>
      <c r="W2935" t="s">
        <v>30688</v>
      </c>
      <c r="X2935" t="s">
        <v>32529</v>
      </c>
    </row>
    <row r="2936" spans="1:24">
      <c r="A2936">
        <f>HYPERLINK("https://www.philgeps.gov.ph/GEPSNONPILOT/Tender/SplashBidNoticeAbstractUI.aspx?menuIndex=3&amp;refID=7043860&amp;Result=3","7043860")</f>
        <v>0</v>
      </c>
      <c r="B2936" t="s">
        <v>1055</v>
      </c>
      <c r="C2936" t="s">
        <v>5415</v>
      </c>
      <c r="E2936" t="s">
        <v>15680</v>
      </c>
      <c r="F2936" t="s">
        <v>22436</v>
      </c>
      <c r="G2936" t="s">
        <v>22443</v>
      </c>
      <c r="H2936" t="s">
        <v>22452</v>
      </c>
      <c r="I2936" t="s">
        <v>5194</v>
      </c>
      <c r="J2936" t="s">
        <v>24587</v>
      </c>
      <c r="K2936" t="s">
        <v>29338</v>
      </c>
      <c r="M2936" t="s">
        <v>30688</v>
      </c>
      <c r="N2936" t="s">
        <v>32524</v>
      </c>
      <c r="O2936" t="s">
        <v>32525</v>
      </c>
      <c r="P2936">
        <v>0</v>
      </c>
      <c r="Q2936">
        <v>0</v>
      </c>
      <c r="R2936" t="s">
        <v>32527</v>
      </c>
      <c r="S2936" t="s">
        <v>32552</v>
      </c>
      <c r="T2936" t="s">
        <v>33190</v>
      </c>
      <c r="U2936" t="s">
        <v>36070</v>
      </c>
      <c r="W2936" t="s">
        <v>30688</v>
      </c>
      <c r="X2936" t="s">
        <v>32529</v>
      </c>
    </row>
    <row r="2937" spans="1:24">
      <c r="A2937">
        <f>HYPERLINK("https://www.philgeps.gov.ph/GEPSNONPILOT/Tender/SplashBidNoticeAbstractUI.aspx?menuIndex=3&amp;refID=7043836&amp;Result=3","7043836")</f>
        <v>0</v>
      </c>
      <c r="B2937" t="s">
        <v>407</v>
      </c>
      <c r="C2937" t="s">
        <v>5481</v>
      </c>
      <c r="D2937" t="s">
        <v>12997</v>
      </c>
      <c r="E2937" t="s">
        <v>15746</v>
      </c>
      <c r="F2937" t="s">
        <v>22436</v>
      </c>
      <c r="G2937" t="s">
        <v>22444</v>
      </c>
      <c r="H2937" t="s">
        <v>22454</v>
      </c>
      <c r="I2937" t="s">
        <v>7738</v>
      </c>
      <c r="J2937" t="s">
        <v>22587</v>
      </c>
      <c r="K2937" t="s">
        <v>29347</v>
      </c>
      <c r="M2937" t="s">
        <v>29986</v>
      </c>
      <c r="N2937" t="s">
        <v>32524</v>
      </c>
      <c r="O2937" t="s">
        <v>32525</v>
      </c>
      <c r="P2937">
        <v>0</v>
      </c>
      <c r="Q2937">
        <v>0</v>
      </c>
      <c r="R2937" t="s">
        <v>32527</v>
      </c>
      <c r="S2937" t="s">
        <v>32552</v>
      </c>
      <c r="T2937" t="s">
        <v>33166</v>
      </c>
      <c r="U2937" t="s">
        <v>36120</v>
      </c>
      <c r="W2937" t="s">
        <v>29986</v>
      </c>
      <c r="X2937" t="s">
        <v>32529</v>
      </c>
    </row>
    <row r="2938" spans="1:24">
      <c r="A2938">
        <f>HYPERLINK("https://www.philgeps.gov.ph/GEPSNONPILOT/Tender/SplashBidNoticeAbstractUI.aspx?menuIndex=3&amp;refID=7043852&amp;Result=3","7043852")</f>
        <v>0</v>
      </c>
      <c r="B2938" t="s">
        <v>915</v>
      </c>
      <c r="C2938" t="s">
        <v>5482</v>
      </c>
      <c r="D2938" t="s">
        <v>13013</v>
      </c>
      <c r="E2938" t="s">
        <v>15193</v>
      </c>
      <c r="F2938" t="s">
        <v>22436</v>
      </c>
      <c r="G2938" t="s">
        <v>22443</v>
      </c>
      <c r="H2938" t="s">
        <v>22452</v>
      </c>
      <c r="I2938" t="s">
        <v>2993</v>
      </c>
      <c r="J2938" t="s">
        <v>24588</v>
      </c>
      <c r="K2938" t="s">
        <v>29357</v>
      </c>
      <c r="M2938" t="s">
        <v>30529</v>
      </c>
      <c r="N2938" t="s">
        <v>32524</v>
      </c>
      <c r="O2938" t="s">
        <v>32525</v>
      </c>
      <c r="P2938">
        <v>0</v>
      </c>
      <c r="Q2938">
        <v>0</v>
      </c>
      <c r="R2938" t="s">
        <v>32527</v>
      </c>
      <c r="S2938" t="s">
        <v>32552</v>
      </c>
      <c r="T2938" t="s">
        <v>33270</v>
      </c>
      <c r="U2938" t="s">
        <v>36121</v>
      </c>
      <c r="V2938" t="s">
        <v>42705</v>
      </c>
      <c r="W2938" t="s">
        <v>30529</v>
      </c>
      <c r="X2938" t="s">
        <v>32529</v>
      </c>
    </row>
    <row r="2939" spans="1:24">
      <c r="A2939">
        <f>HYPERLINK("https://www.philgeps.gov.ph/GEPSNONPILOT/Tender/SplashBidNoticeAbstractUI.aspx?menuIndex=3&amp;refID=7043874&amp;Result=3","7043874")</f>
        <v>0</v>
      </c>
      <c r="B2939" t="s">
        <v>1070</v>
      </c>
      <c r="C2939" t="s">
        <v>5483</v>
      </c>
      <c r="D2939" t="s">
        <v>13029</v>
      </c>
      <c r="E2939" t="s">
        <v>15747</v>
      </c>
      <c r="F2939" t="s">
        <v>22436</v>
      </c>
      <c r="G2939" t="s">
        <v>22443</v>
      </c>
      <c r="H2939" t="s">
        <v>22452</v>
      </c>
      <c r="I2939" t="s">
        <v>3827</v>
      </c>
      <c r="J2939" t="s">
        <v>24589</v>
      </c>
      <c r="K2939" t="s">
        <v>29336</v>
      </c>
      <c r="M2939" t="s">
        <v>30704</v>
      </c>
      <c r="N2939" t="s">
        <v>32524</v>
      </c>
      <c r="O2939" t="s">
        <v>32525</v>
      </c>
      <c r="P2939">
        <v>0</v>
      </c>
      <c r="Q2939">
        <v>2</v>
      </c>
      <c r="R2939" t="s">
        <v>32527</v>
      </c>
      <c r="S2939" t="s">
        <v>32552</v>
      </c>
      <c r="T2939" t="s">
        <v>33209</v>
      </c>
      <c r="U2939" t="s">
        <v>36122</v>
      </c>
      <c r="V2939" t="s">
        <v>42701</v>
      </c>
      <c r="W2939" t="s">
        <v>30704</v>
      </c>
      <c r="X2939" t="s">
        <v>32529</v>
      </c>
    </row>
    <row r="2940" spans="1:24">
      <c r="A2940">
        <f>HYPERLINK("https://www.philgeps.gov.ph/GEPSNONPILOT/Tender/SplashBidNoticeAbstractUI.aspx?menuIndex=3&amp;refID=7043835&amp;Result=3","7043835")</f>
        <v>0</v>
      </c>
      <c r="B2940" t="s">
        <v>1035</v>
      </c>
      <c r="C2940" t="s">
        <v>5484</v>
      </c>
      <c r="D2940" t="s">
        <v>13073</v>
      </c>
      <c r="E2940" t="s">
        <v>15748</v>
      </c>
      <c r="F2940" t="s">
        <v>22436</v>
      </c>
      <c r="G2940" t="s">
        <v>22444</v>
      </c>
      <c r="H2940" t="s">
        <v>22454</v>
      </c>
      <c r="I2940" t="s">
        <v>7738</v>
      </c>
      <c r="J2940" t="s">
        <v>24590</v>
      </c>
      <c r="K2940" t="s">
        <v>29344</v>
      </c>
      <c r="M2940" t="s">
        <v>30666</v>
      </c>
      <c r="N2940" t="s">
        <v>32524</v>
      </c>
      <c r="O2940" t="s">
        <v>32525</v>
      </c>
      <c r="P2940">
        <v>0</v>
      </c>
      <c r="Q2940">
        <v>0</v>
      </c>
      <c r="R2940" t="s">
        <v>32527</v>
      </c>
      <c r="S2940" t="s">
        <v>32552</v>
      </c>
      <c r="T2940" t="s">
        <v>33166</v>
      </c>
      <c r="U2940" t="s">
        <v>36123</v>
      </c>
      <c r="W2940" t="s">
        <v>30666</v>
      </c>
      <c r="X2940" t="s">
        <v>32529</v>
      </c>
    </row>
    <row r="2941" spans="1:24">
      <c r="A2941">
        <f>HYPERLINK("https://www.philgeps.gov.ph/GEPSNONPILOT/Tender/SplashBidNoticeAbstractUI.aspx?menuIndex=3&amp;refID=7043848&amp;Result=3","7043848")</f>
        <v>0</v>
      </c>
      <c r="B2941" t="s">
        <v>1074</v>
      </c>
      <c r="C2941" t="s">
        <v>5485</v>
      </c>
      <c r="E2941" t="s">
        <v>15749</v>
      </c>
      <c r="F2941" t="s">
        <v>22437</v>
      </c>
      <c r="G2941" t="s">
        <v>22443</v>
      </c>
      <c r="H2941" t="s">
        <v>22452</v>
      </c>
      <c r="I2941" t="s">
        <v>3827</v>
      </c>
      <c r="J2941" t="s">
        <v>23229</v>
      </c>
      <c r="K2941" t="s">
        <v>29357</v>
      </c>
      <c r="M2941" t="s">
        <v>30709</v>
      </c>
      <c r="N2941" t="s">
        <v>32524</v>
      </c>
      <c r="O2941" t="s">
        <v>32525</v>
      </c>
      <c r="P2941">
        <v>0</v>
      </c>
      <c r="Q2941">
        <v>2</v>
      </c>
      <c r="R2941" t="s">
        <v>32527</v>
      </c>
      <c r="S2941" t="s">
        <v>32552</v>
      </c>
      <c r="T2941" t="s">
        <v>33206</v>
      </c>
      <c r="U2941" t="s">
        <v>36124</v>
      </c>
      <c r="W2941" t="s">
        <v>30709</v>
      </c>
      <c r="X2941" t="s">
        <v>32529</v>
      </c>
    </row>
    <row r="2942" spans="1:24">
      <c r="A2942">
        <f>HYPERLINK("https://www.philgeps.gov.ph/GEPSNONPILOT/Tender/SplashBidNoticeAbstractUI.aspx?menuIndex=3&amp;refID=7043842&amp;Result=3","7043842")</f>
        <v>0</v>
      </c>
      <c r="B2942" t="s">
        <v>407</v>
      </c>
      <c r="C2942" t="s">
        <v>5486</v>
      </c>
      <c r="D2942" t="s">
        <v>12997</v>
      </c>
      <c r="E2942" t="s">
        <v>15750</v>
      </c>
      <c r="F2942" t="s">
        <v>22436</v>
      </c>
      <c r="G2942" t="s">
        <v>22444</v>
      </c>
      <c r="H2942" t="s">
        <v>22454</v>
      </c>
      <c r="I2942" t="s">
        <v>7738</v>
      </c>
      <c r="J2942" t="s">
        <v>22587</v>
      </c>
      <c r="K2942" t="s">
        <v>29329</v>
      </c>
      <c r="M2942" t="s">
        <v>29986</v>
      </c>
      <c r="N2942" t="s">
        <v>32524</v>
      </c>
      <c r="O2942" t="s">
        <v>32525</v>
      </c>
      <c r="P2942">
        <v>0</v>
      </c>
      <c r="Q2942">
        <v>0</v>
      </c>
      <c r="R2942" t="s">
        <v>32527</v>
      </c>
      <c r="S2942" t="s">
        <v>32552</v>
      </c>
      <c r="T2942" t="s">
        <v>33166</v>
      </c>
      <c r="U2942" t="s">
        <v>36125</v>
      </c>
      <c r="W2942" t="s">
        <v>29986</v>
      </c>
      <c r="X2942" t="s">
        <v>32529</v>
      </c>
    </row>
    <row r="2943" spans="1:24">
      <c r="A2943">
        <f>HYPERLINK("https://www.philgeps.gov.ph/GEPSNONPILOT/Tender/SplashBidNoticeAbstractUI.aspx?menuIndex=3&amp;refID=7043875&amp;Result=3","7043875")</f>
        <v>0</v>
      </c>
      <c r="B2943" t="s">
        <v>1070</v>
      </c>
      <c r="C2943" t="s">
        <v>5487</v>
      </c>
      <c r="D2943" t="s">
        <v>13029</v>
      </c>
      <c r="E2943" t="s">
        <v>15751</v>
      </c>
      <c r="F2943" t="s">
        <v>22436</v>
      </c>
      <c r="G2943" t="s">
        <v>22443</v>
      </c>
      <c r="H2943" t="s">
        <v>22452</v>
      </c>
      <c r="I2943" t="s">
        <v>2981</v>
      </c>
      <c r="J2943" t="s">
        <v>22809</v>
      </c>
      <c r="K2943" t="s">
        <v>29356</v>
      </c>
      <c r="M2943" t="s">
        <v>30704</v>
      </c>
      <c r="N2943" t="s">
        <v>32524</v>
      </c>
      <c r="O2943" t="s">
        <v>32525</v>
      </c>
      <c r="P2943">
        <v>0</v>
      </c>
      <c r="Q2943">
        <v>2</v>
      </c>
      <c r="R2943" t="s">
        <v>32527</v>
      </c>
      <c r="S2943" t="s">
        <v>32552</v>
      </c>
      <c r="T2943" t="s">
        <v>33209</v>
      </c>
      <c r="U2943" t="s">
        <v>36126</v>
      </c>
      <c r="V2943" t="s">
        <v>42701</v>
      </c>
      <c r="W2943" t="s">
        <v>30704</v>
      </c>
      <c r="X2943" t="s">
        <v>32529</v>
      </c>
    </row>
    <row r="2944" spans="1:24">
      <c r="A2944">
        <f>HYPERLINK("https://www.philgeps.gov.ph/GEPSNONPILOT/Tender/SplashBidNoticeAbstractUI.aspx?menuIndex=3&amp;refID=7043878&amp;Result=3","7043878")</f>
        <v>0</v>
      </c>
      <c r="B2944" t="s">
        <v>1070</v>
      </c>
      <c r="C2944" t="s">
        <v>5488</v>
      </c>
      <c r="D2944" t="s">
        <v>13026</v>
      </c>
      <c r="E2944" t="s">
        <v>15752</v>
      </c>
      <c r="F2944" t="s">
        <v>22436</v>
      </c>
      <c r="G2944" t="s">
        <v>22443</v>
      </c>
      <c r="H2944" t="s">
        <v>22452</v>
      </c>
      <c r="I2944" t="s">
        <v>22461</v>
      </c>
      <c r="J2944" t="s">
        <v>24591</v>
      </c>
      <c r="K2944" t="s">
        <v>29356</v>
      </c>
      <c r="M2944" t="s">
        <v>30704</v>
      </c>
      <c r="N2944" t="s">
        <v>32524</v>
      </c>
      <c r="O2944" t="s">
        <v>32525</v>
      </c>
      <c r="P2944">
        <v>0</v>
      </c>
      <c r="Q2944">
        <v>2</v>
      </c>
      <c r="R2944" t="s">
        <v>32527</v>
      </c>
      <c r="S2944" t="s">
        <v>32552</v>
      </c>
      <c r="T2944" t="s">
        <v>33209</v>
      </c>
      <c r="U2944" t="s">
        <v>36127</v>
      </c>
      <c r="V2944" t="s">
        <v>42701</v>
      </c>
      <c r="W2944" t="s">
        <v>30704</v>
      </c>
      <c r="X2944" t="s">
        <v>32529</v>
      </c>
    </row>
    <row r="2945" spans="1:24">
      <c r="A2945">
        <f>HYPERLINK("https://www.philgeps.gov.ph/GEPSNONPILOT/Tender/SplashBidNoticeAbstractUI.aspx?menuIndex=3&amp;refID=7043922&amp;Result=3","7043922")</f>
        <v>0</v>
      </c>
      <c r="B2945" t="s">
        <v>1075</v>
      </c>
      <c r="C2945" t="s">
        <v>5489</v>
      </c>
      <c r="D2945" t="s">
        <v>13008</v>
      </c>
      <c r="E2945" t="s">
        <v>15753</v>
      </c>
      <c r="F2945" t="s">
        <v>22436</v>
      </c>
      <c r="G2945" t="s">
        <v>22443</v>
      </c>
      <c r="H2945" t="s">
        <v>22452</v>
      </c>
      <c r="I2945" t="s">
        <v>22461</v>
      </c>
      <c r="J2945" t="s">
        <v>24592</v>
      </c>
      <c r="K2945" t="s">
        <v>29329</v>
      </c>
      <c r="M2945" t="s">
        <v>30710</v>
      </c>
      <c r="N2945" t="s">
        <v>32524</v>
      </c>
      <c r="O2945" t="s">
        <v>32525</v>
      </c>
      <c r="P2945">
        <v>0</v>
      </c>
      <c r="Q2945">
        <v>0</v>
      </c>
      <c r="R2945" t="s">
        <v>32527</v>
      </c>
      <c r="S2945" t="s">
        <v>32552</v>
      </c>
      <c r="T2945" t="s">
        <v>33213</v>
      </c>
      <c r="U2945" t="s">
        <v>36128</v>
      </c>
      <c r="W2945" t="s">
        <v>30710</v>
      </c>
      <c r="X2945" t="s">
        <v>32528</v>
      </c>
    </row>
    <row r="2946" spans="1:24">
      <c r="A2946">
        <f>HYPERLINK("https://www.philgeps.gov.ph/GEPSNONPILOT/Tender/SplashBidNoticeAbstractUI.aspx?menuIndex=3&amp;refID=7043877&amp;Result=3","7043877")</f>
        <v>0</v>
      </c>
      <c r="B2946" t="s">
        <v>1073</v>
      </c>
      <c r="C2946" t="s">
        <v>5490</v>
      </c>
      <c r="D2946" t="s">
        <v>13002</v>
      </c>
      <c r="E2946" t="s">
        <v>15754</v>
      </c>
      <c r="F2946" t="s">
        <v>22436</v>
      </c>
      <c r="G2946" t="s">
        <v>22443</v>
      </c>
      <c r="H2946" t="s">
        <v>22452</v>
      </c>
      <c r="I2946" t="s">
        <v>12358</v>
      </c>
      <c r="J2946" t="s">
        <v>24593</v>
      </c>
      <c r="K2946" t="s">
        <v>29336</v>
      </c>
      <c r="M2946" t="s">
        <v>30707</v>
      </c>
      <c r="N2946" t="s">
        <v>32524</v>
      </c>
      <c r="O2946" t="s">
        <v>32525</v>
      </c>
      <c r="P2946">
        <v>0</v>
      </c>
      <c r="Q2946">
        <v>0</v>
      </c>
      <c r="R2946" t="s">
        <v>32527</v>
      </c>
      <c r="S2946" t="s">
        <v>32552</v>
      </c>
      <c r="T2946" t="s">
        <v>33229</v>
      </c>
      <c r="U2946" t="s">
        <v>36118</v>
      </c>
      <c r="W2946" t="s">
        <v>30707</v>
      </c>
      <c r="X2946" t="s">
        <v>32529</v>
      </c>
    </row>
    <row r="2947" spans="1:24">
      <c r="A2947">
        <f>HYPERLINK("https://www.philgeps.gov.ph/GEPSNONPILOT/Tender/SplashBidNoticeAbstractUI.aspx?menuIndex=3&amp;refID=7043917&amp;Result=3","7043917")</f>
        <v>0</v>
      </c>
      <c r="B2947" t="s">
        <v>1076</v>
      </c>
      <c r="C2947" t="s">
        <v>5491</v>
      </c>
      <c r="D2947" t="s">
        <v>13016</v>
      </c>
      <c r="E2947" t="s">
        <v>15755</v>
      </c>
      <c r="F2947" t="s">
        <v>22436</v>
      </c>
      <c r="G2947" t="s">
        <v>22444</v>
      </c>
      <c r="H2947" t="s">
        <v>22454</v>
      </c>
      <c r="I2947" t="s">
        <v>7738</v>
      </c>
      <c r="J2947" t="s">
        <v>23387</v>
      </c>
      <c r="K2947" t="s">
        <v>29334</v>
      </c>
      <c r="M2947" t="s">
        <v>30711</v>
      </c>
      <c r="N2947" t="s">
        <v>32524</v>
      </c>
      <c r="O2947" t="s">
        <v>32525</v>
      </c>
      <c r="P2947">
        <v>0</v>
      </c>
      <c r="Q2947">
        <v>1</v>
      </c>
      <c r="R2947" t="s">
        <v>32527</v>
      </c>
      <c r="S2947" t="s">
        <v>32552</v>
      </c>
      <c r="T2947" t="s">
        <v>33179</v>
      </c>
      <c r="U2947" t="s">
        <v>36129</v>
      </c>
      <c r="W2947" t="s">
        <v>30711</v>
      </c>
      <c r="X2947" t="s">
        <v>32528</v>
      </c>
    </row>
    <row r="2948" spans="1:24">
      <c r="A2948">
        <f>HYPERLINK("https://www.philgeps.gov.ph/GEPSNONPILOT/Tender/SplashBidNoticeAbstractUI.aspx?menuIndex=3&amp;refID=7043876&amp;Result=3","7043876")</f>
        <v>0</v>
      </c>
      <c r="B2948" t="s">
        <v>1077</v>
      </c>
      <c r="C2948" t="s">
        <v>5492</v>
      </c>
      <c r="D2948" t="s">
        <v>13007</v>
      </c>
      <c r="E2948" t="s">
        <v>15756</v>
      </c>
      <c r="F2948" t="s">
        <v>22436</v>
      </c>
      <c r="G2948" t="s">
        <v>22443</v>
      </c>
      <c r="H2948" t="s">
        <v>22452</v>
      </c>
      <c r="I2948" t="s">
        <v>22460</v>
      </c>
      <c r="J2948" t="s">
        <v>24594</v>
      </c>
      <c r="K2948" t="s">
        <v>29336</v>
      </c>
      <c r="M2948" t="s">
        <v>30712</v>
      </c>
      <c r="N2948" t="s">
        <v>32524</v>
      </c>
      <c r="O2948" t="s">
        <v>32525</v>
      </c>
      <c r="P2948">
        <v>0</v>
      </c>
      <c r="Q2948">
        <v>0</v>
      </c>
      <c r="R2948" t="s">
        <v>32527</v>
      </c>
      <c r="S2948" t="s">
        <v>32552</v>
      </c>
      <c r="T2948" t="s">
        <v>33185</v>
      </c>
      <c r="U2948" t="s">
        <v>36130</v>
      </c>
      <c r="W2948" t="s">
        <v>30712</v>
      </c>
      <c r="X2948" t="s">
        <v>32529</v>
      </c>
    </row>
    <row r="2949" spans="1:24">
      <c r="A2949">
        <f>HYPERLINK("https://www.philgeps.gov.ph/GEPSNONPILOT/Tender/SplashBidNoticeAbstractUI.aspx?menuIndex=3&amp;refID=7043919&amp;Result=3","7043919")</f>
        <v>0</v>
      </c>
      <c r="B2949" t="s">
        <v>1078</v>
      </c>
      <c r="C2949" t="s">
        <v>5493</v>
      </c>
      <c r="D2949" t="s">
        <v>13073</v>
      </c>
      <c r="E2949" t="s">
        <v>15757</v>
      </c>
      <c r="F2949" t="s">
        <v>22436</v>
      </c>
      <c r="G2949" t="s">
        <v>22443</v>
      </c>
      <c r="H2949" t="s">
        <v>22452</v>
      </c>
      <c r="I2949" t="s">
        <v>4688</v>
      </c>
      <c r="J2949" t="s">
        <v>24595</v>
      </c>
      <c r="K2949" t="s">
        <v>29340</v>
      </c>
      <c r="M2949" t="s">
        <v>30713</v>
      </c>
      <c r="N2949" t="s">
        <v>32524</v>
      </c>
      <c r="O2949" t="s">
        <v>32525</v>
      </c>
      <c r="P2949">
        <v>0</v>
      </c>
      <c r="Q2949">
        <v>2</v>
      </c>
      <c r="R2949" t="s">
        <v>32527</v>
      </c>
      <c r="S2949" t="s">
        <v>32552</v>
      </c>
      <c r="T2949" t="s">
        <v>33180</v>
      </c>
      <c r="U2949" t="s">
        <v>36131</v>
      </c>
      <c r="W2949" t="s">
        <v>30713</v>
      </c>
      <c r="X2949" t="s">
        <v>32528</v>
      </c>
    </row>
    <row r="2950" spans="1:24">
      <c r="A2950">
        <f>HYPERLINK("https://www.philgeps.gov.ph/GEPSNONPILOT/Tender/SplashBidNoticeAbstractUI.aspx?menuIndex=3&amp;refID=7043898&amp;Result=3","7043898")</f>
        <v>0</v>
      </c>
      <c r="B2950" t="s">
        <v>1079</v>
      </c>
      <c r="C2950" t="s">
        <v>5494</v>
      </c>
      <c r="D2950" t="s">
        <v>12988</v>
      </c>
      <c r="E2950" t="s">
        <v>15758</v>
      </c>
      <c r="F2950" t="s">
        <v>22436</v>
      </c>
      <c r="G2950" t="s">
        <v>22446</v>
      </c>
      <c r="H2950" t="s">
        <v>22454</v>
      </c>
      <c r="I2950" t="s">
        <v>22490</v>
      </c>
      <c r="J2950" t="s">
        <v>24255</v>
      </c>
      <c r="K2950" t="s">
        <v>29331</v>
      </c>
      <c r="M2950" t="s">
        <v>30714</v>
      </c>
      <c r="N2950" t="s">
        <v>32524</v>
      </c>
      <c r="O2950" t="s">
        <v>32525</v>
      </c>
      <c r="P2950">
        <v>0</v>
      </c>
      <c r="Q2950">
        <v>0</v>
      </c>
      <c r="R2950" t="s">
        <v>32527</v>
      </c>
      <c r="S2950" t="s">
        <v>32552</v>
      </c>
      <c r="T2950" t="s">
        <v>33238</v>
      </c>
      <c r="U2950" t="s">
        <v>36132</v>
      </c>
      <c r="W2950" t="s">
        <v>30714</v>
      </c>
      <c r="X2950" t="s">
        <v>32529</v>
      </c>
    </row>
    <row r="2951" spans="1:24">
      <c r="A2951">
        <f>HYPERLINK("https://www.philgeps.gov.ph/GEPSNONPILOT/Tender/SplashBidNoticeAbstractUI.aspx?menuIndex=3&amp;refID=7043889&amp;Result=3","7043889")</f>
        <v>0</v>
      </c>
      <c r="B2951" t="s">
        <v>1073</v>
      </c>
      <c r="C2951" t="s">
        <v>5495</v>
      </c>
      <c r="D2951" t="s">
        <v>13002</v>
      </c>
      <c r="E2951" t="s">
        <v>15759</v>
      </c>
      <c r="F2951" t="s">
        <v>22436</v>
      </c>
      <c r="G2951" t="s">
        <v>22443</v>
      </c>
      <c r="H2951" t="s">
        <v>22452</v>
      </c>
      <c r="I2951" t="s">
        <v>12358</v>
      </c>
      <c r="J2951" t="s">
        <v>24596</v>
      </c>
      <c r="K2951" t="s">
        <v>29336</v>
      </c>
      <c r="M2951" t="s">
        <v>30707</v>
      </c>
      <c r="N2951" t="s">
        <v>32524</v>
      </c>
      <c r="O2951" t="s">
        <v>32525</v>
      </c>
      <c r="P2951">
        <v>0</v>
      </c>
      <c r="Q2951">
        <v>0</v>
      </c>
      <c r="R2951" t="s">
        <v>32527</v>
      </c>
      <c r="S2951" t="s">
        <v>32552</v>
      </c>
      <c r="T2951" t="s">
        <v>33229</v>
      </c>
      <c r="U2951" t="s">
        <v>36133</v>
      </c>
      <c r="W2951" t="s">
        <v>30707</v>
      </c>
      <c r="X2951" t="s">
        <v>32529</v>
      </c>
    </row>
    <row r="2952" spans="1:24">
      <c r="A2952">
        <f>HYPERLINK("https://www.philgeps.gov.ph/GEPSNONPILOT/Tender/SplashBidNoticeAbstractUI.aspx?menuIndex=3&amp;refID=7043918&amp;Result=3","7043918")</f>
        <v>0</v>
      </c>
      <c r="B2952" t="s">
        <v>550</v>
      </c>
      <c r="C2952" t="s">
        <v>5496</v>
      </c>
      <c r="E2952" t="s">
        <v>15760</v>
      </c>
      <c r="F2952" t="s">
        <v>22436</v>
      </c>
      <c r="G2952" t="s">
        <v>22446</v>
      </c>
      <c r="H2952" t="s">
        <v>22452</v>
      </c>
      <c r="I2952" t="s">
        <v>5194</v>
      </c>
      <c r="J2952" t="s">
        <v>23653</v>
      </c>
      <c r="K2952" t="s">
        <v>29338</v>
      </c>
      <c r="M2952" t="s">
        <v>30715</v>
      </c>
      <c r="N2952" t="s">
        <v>32524</v>
      </c>
      <c r="O2952" t="s">
        <v>32525</v>
      </c>
      <c r="P2952">
        <v>0</v>
      </c>
      <c r="Q2952">
        <v>13</v>
      </c>
      <c r="R2952" t="s">
        <v>32527</v>
      </c>
      <c r="S2952" t="s">
        <v>32552</v>
      </c>
      <c r="T2952" t="s">
        <v>33351</v>
      </c>
      <c r="U2952" t="s">
        <v>35030</v>
      </c>
      <c r="W2952" t="s">
        <v>30715</v>
      </c>
      <c r="X2952" t="s">
        <v>32528</v>
      </c>
    </row>
    <row r="2953" spans="1:24">
      <c r="A2953">
        <f>HYPERLINK("https://www.philgeps.gov.ph/GEPSNONPILOT/Tender/SplashBidNoticeAbstractUI.aspx?menuIndex=3&amp;refID=7043886&amp;Result=3","7043886")</f>
        <v>0</v>
      </c>
      <c r="B2953" t="s">
        <v>1070</v>
      </c>
      <c r="C2953" t="s">
        <v>5497</v>
      </c>
      <c r="D2953" t="s">
        <v>13029</v>
      </c>
      <c r="E2953" t="s">
        <v>15761</v>
      </c>
      <c r="F2953" t="s">
        <v>22436</v>
      </c>
      <c r="G2953" t="s">
        <v>22443</v>
      </c>
      <c r="H2953" t="s">
        <v>22452</v>
      </c>
      <c r="I2953" t="s">
        <v>2981</v>
      </c>
      <c r="J2953" t="s">
        <v>24597</v>
      </c>
      <c r="K2953" t="s">
        <v>29336</v>
      </c>
      <c r="M2953" t="s">
        <v>30704</v>
      </c>
      <c r="N2953" t="s">
        <v>32524</v>
      </c>
      <c r="O2953" t="s">
        <v>32525</v>
      </c>
      <c r="P2953">
        <v>0</v>
      </c>
      <c r="Q2953">
        <v>3</v>
      </c>
      <c r="R2953" t="s">
        <v>32527</v>
      </c>
      <c r="S2953" t="s">
        <v>32552</v>
      </c>
      <c r="T2953" t="s">
        <v>33209</v>
      </c>
      <c r="U2953" t="s">
        <v>36134</v>
      </c>
      <c r="V2953" t="s">
        <v>42701</v>
      </c>
      <c r="W2953" t="s">
        <v>30704</v>
      </c>
      <c r="X2953" t="s">
        <v>32529</v>
      </c>
    </row>
    <row r="2954" spans="1:24">
      <c r="A2954">
        <f>HYPERLINK("https://www.philgeps.gov.ph/GEPSNONPILOT/Tender/SplashBidNoticeAbstractUI.aspx?menuIndex=3&amp;refID=7043884&amp;Result=3","7043884")</f>
        <v>0</v>
      </c>
      <c r="B2954" t="s">
        <v>1070</v>
      </c>
      <c r="C2954" t="s">
        <v>5498</v>
      </c>
      <c r="D2954" t="s">
        <v>13029</v>
      </c>
      <c r="E2954" t="s">
        <v>15762</v>
      </c>
      <c r="F2954" t="s">
        <v>22436</v>
      </c>
      <c r="G2954" t="s">
        <v>22443</v>
      </c>
      <c r="H2954" t="s">
        <v>22454</v>
      </c>
      <c r="I2954" t="s">
        <v>6387</v>
      </c>
      <c r="J2954" t="s">
        <v>24598</v>
      </c>
      <c r="K2954" t="s">
        <v>29333</v>
      </c>
      <c r="M2954" t="s">
        <v>30704</v>
      </c>
      <c r="N2954" t="s">
        <v>32524</v>
      </c>
      <c r="O2954" t="s">
        <v>32525</v>
      </c>
      <c r="P2954">
        <v>0</v>
      </c>
      <c r="Q2954">
        <v>1</v>
      </c>
      <c r="R2954" t="s">
        <v>32527</v>
      </c>
      <c r="S2954" t="s">
        <v>32552</v>
      </c>
      <c r="T2954" t="s">
        <v>33209</v>
      </c>
      <c r="U2954" t="s">
        <v>36135</v>
      </c>
      <c r="V2954" t="s">
        <v>42701</v>
      </c>
      <c r="W2954" t="s">
        <v>30704</v>
      </c>
      <c r="X2954" t="s">
        <v>32529</v>
      </c>
    </row>
    <row r="2955" spans="1:24">
      <c r="A2955">
        <f>HYPERLINK("https://www.philgeps.gov.ph/GEPSNONPILOT/Tender/SplashBidNoticeAbstractUI.aspx?menuIndex=3&amp;refID=7043888&amp;Result=3","7043888")</f>
        <v>0</v>
      </c>
      <c r="B2955" t="s">
        <v>947</v>
      </c>
      <c r="C2955" t="s">
        <v>5499</v>
      </c>
      <c r="D2955" t="s">
        <v>13041</v>
      </c>
      <c r="E2955" t="s">
        <v>15763</v>
      </c>
      <c r="F2955" t="s">
        <v>22436</v>
      </c>
      <c r="G2955" t="s">
        <v>22444</v>
      </c>
      <c r="H2955" t="s">
        <v>22454</v>
      </c>
      <c r="I2955" t="s">
        <v>7738</v>
      </c>
      <c r="J2955" t="s">
        <v>24599</v>
      </c>
      <c r="K2955" t="s">
        <v>29396</v>
      </c>
      <c r="M2955" t="s">
        <v>30561</v>
      </c>
      <c r="N2955" t="s">
        <v>32524</v>
      </c>
      <c r="O2955" t="s">
        <v>32525</v>
      </c>
      <c r="P2955">
        <v>0</v>
      </c>
      <c r="Q2955">
        <v>0</v>
      </c>
      <c r="R2955" t="s">
        <v>32527</v>
      </c>
      <c r="S2955" t="s">
        <v>32552</v>
      </c>
      <c r="T2955" t="s">
        <v>33319</v>
      </c>
      <c r="U2955" t="s">
        <v>35712</v>
      </c>
      <c r="W2955" t="s">
        <v>30561</v>
      </c>
      <c r="X2955" t="s">
        <v>32529</v>
      </c>
    </row>
    <row r="2956" spans="1:24">
      <c r="A2956">
        <f>HYPERLINK("https://www.philgeps.gov.ph/GEPSNONPILOT/Tender/SplashBidNoticeAbstractUI.aspx?menuIndex=3&amp;refID=7043920&amp;Result=3","7043920")</f>
        <v>0</v>
      </c>
      <c r="B2956" t="s">
        <v>1075</v>
      </c>
      <c r="C2956" t="s">
        <v>5500</v>
      </c>
      <c r="D2956" t="s">
        <v>13022</v>
      </c>
      <c r="E2956" t="s">
        <v>15764</v>
      </c>
      <c r="F2956" t="s">
        <v>22436</v>
      </c>
      <c r="G2956" t="s">
        <v>22443</v>
      </c>
      <c r="H2956" t="s">
        <v>22452</v>
      </c>
      <c r="I2956" t="s">
        <v>22456</v>
      </c>
      <c r="J2956" t="s">
        <v>24600</v>
      </c>
      <c r="K2956" t="s">
        <v>29333</v>
      </c>
      <c r="M2956" t="s">
        <v>30710</v>
      </c>
      <c r="N2956" t="s">
        <v>32524</v>
      </c>
      <c r="O2956" t="s">
        <v>32525</v>
      </c>
      <c r="P2956">
        <v>0</v>
      </c>
      <c r="Q2956">
        <v>2</v>
      </c>
      <c r="R2956" t="s">
        <v>32527</v>
      </c>
      <c r="S2956" t="s">
        <v>32552</v>
      </c>
      <c r="T2956" t="s">
        <v>33213</v>
      </c>
      <c r="U2956" t="s">
        <v>36128</v>
      </c>
      <c r="W2956" t="s">
        <v>30710</v>
      </c>
      <c r="X2956" t="s">
        <v>32528</v>
      </c>
    </row>
    <row r="2957" spans="1:24">
      <c r="A2957">
        <f>HYPERLINK("https://www.philgeps.gov.ph/GEPSNONPILOT/Tender/SplashBidNoticeAbstractUI.aspx?menuIndex=3&amp;refID=7043883&amp;Result=3","7043883")</f>
        <v>0</v>
      </c>
      <c r="B2957" t="s">
        <v>1070</v>
      </c>
      <c r="C2957" t="s">
        <v>5501</v>
      </c>
      <c r="D2957" t="s">
        <v>13050</v>
      </c>
      <c r="E2957" t="s">
        <v>15765</v>
      </c>
      <c r="F2957" t="s">
        <v>22436</v>
      </c>
      <c r="G2957" t="s">
        <v>22443</v>
      </c>
      <c r="H2957" t="s">
        <v>22452</v>
      </c>
      <c r="I2957" t="s">
        <v>22461</v>
      </c>
      <c r="J2957" t="s">
        <v>22588</v>
      </c>
      <c r="K2957" t="s">
        <v>29356</v>
      </c>
      <c r="M2957" t="s">
        <v>30704</v>
      </c>
      <c r="N2957" t="s">
        <v>32524</v>
      </c>
      <c r="O2957" t="s">
        <v>32525</v>
      </c>
      <c r="P2957">
        <v>0</v>
      </c>
      <c r="Q2957">
        <v>3</v>
      </c>
      <c r="R2957" t="s">
        <v>32527</v>
      </c>
      <c r="S2957" t="s">
        <v>32552</v>
      </c>
      <c r="T2957" t="s">
        <v>33209</v>
      </c>
      <c r="U2957" t="s">
        <v>36136</v>
      </c>
      <c r="V2957" t="s">
        <v>42701</v>
      </c>
      <c r="W2957" t="s">
        <v>30704</v>
      </c>
      <c r="X2957" t="s">
        <v>32529</v>
      </c>
    </row>
    <row r="2958" spans="1:24">
      <c r="A2958">
        <f>HYPERLINK("https://www.philgeps.gov.ph/GEPSNONPILOT/Tender/SplashBidNoticeAbstractUI.aspx?menuIndex=3&amp;refID=7043923&amp;Result=3","7043923")</f>
        <v>0</v>
      </c>
      <c r="B2958" t="s">
        <v>1080</v>
      </c>
      <c r="C2958" t="s">
        <v>5502</v>
      </c>
      <c r="D2958" t="s">
        <v>13023</v>
      </c>
      <c r="E2958" t="s">
        <v>15037</v>
      </c>
      <c r="F2958" t="s">
        <v>22436</v>
      </c>
      <c r="G2958" t="s">
        <v>22443</v>
      </c>
      <c r="H2958" t="s">
        <v>22454</v>
      </c>
      <c r="I2958" t="s">
        <v>3529</v>
      </c>
      <c r="J2958" t="s">
        <v>24601</v>
      </c>
      <c r="K2958" t="s">
        <v>29335</v>
      </c>
      <c r="M2958" t="s">
        <v>30716</v>
      </c>
      <c r="N2958" t="s">
        <v>32524</v>
      </c>
      <c r="O2958" t="s">
        <v>32525</v>
      </c>
      <c r="P2958">
        <v>0</v>
      </c>
      <c r="Q2958">
        <v>0</v>
      </c>
      <c r="R2958" t="s">
        <v>32527</v>
      </c>
      <c r="S2958" t="s">
        <v>32552</v>
      </c>
      <c r="T2958" t="s">
        <v>33306</v>
      </c>
      <c r="U2958" t="s">
        <v>36137</v>
      </c>
      <c r="W2958" t="s">
        <v>30716</v>
      </c>
      <c r="X2958" t="s">
        <v>32528</v>
      </c>
    </row>
    <row r="2959" spans="1:24">
      <c r="A2959">
        <f>HYPERLINK("https://www.philgeps.gov.ph/GEPSNONPILOT/Tender/SplashBidNoticeAbstractUI.aspx?menuIndex=3&amp;refID=7043921&amp;Result=3","7043921")</f>
        <v>0</v>
      </c>
      <c r="B2959" t="s">
        <v>1081</v>
      </c>
      <c r="C2959" t="s">
        <v>5503</v>
      </c>
      <c r="D2959" t="s">
        <v>12990</v>
      </c>
      <c r="E2959" t="s">
        <v>13551</v>
      </c>
      <c r="F2959" t="s">
        <v>22436</v>
      </c>
      <c r="G2959" t="s">
        <v>22443</v>
      </c>
      <c r="H2959" t="s">
        <v>22452</v>
      </c>
      <c r="I2959" t="s">
        <v>22499</v>
      </c>
      <c r="J2959" t="s">
        <v>23145</v>
      </c>
      <c r="K2959" t="s">
        <v>29336</v>
      </c>
      <c r="M2959" t="s">
        <v>30717</v>
      </c>
      <c r="N2959" t="s">
        <v>32524</v>
      </c>
      <c r="O2959" t="s">
        <v>32525</v>
      </c>
      <c r="P2959">
        <v>0</v>
      </c>
      <c r="Q2959">
        <v>9</v>
      </c>
      <c r="R2959" t="s">
        <v>32527</v>
      </c>
      <c r="S2959" t="s">
        <v>32552</v>
      </c>
      <c r="T2959" t="s">
        <v>33185</v>
      </c>
      <c r="U2959" t="s">
        <v>36138</v>
      </c>
      <c r="V2959" t="s">
        <v>42706</v>
      </c>
      <c r="W2959" t="s">
        <v>30717</v>
      </c>
      <c r="X2959" t="s">
        <v>32528</v>
      </c>
    </row>
    <row r="2960" spans="1:24">
      <c r="A2960">
        <f>HYPERLINK("https://www.philgeps.gov.ph/GEPSNONPILOT/Tender/SplashBidNoticeAbstractUI.aspx?menuIndex=3&amp;refID=7043924&amp;Result=3","7043924")</f>
        <v>0</v>
      </c>
      <c r="B2960" t="s">
        <v>1080</v>
      </c>
      <c r="C2960" t="s">
        <v>5504</v>
      </c>
      <c r="D2960" t="s">
        <v>13030</v>
      </c>
      <c r="E2960" t="s">
        <v>14107</v>
      </c>
      <c r="F2960" t="s">
        <v>22436</v>
      </c>
      <c r="G2960" t="s">
        <v>22443</v>
      </c>
      <c r="H2960" t="s">
        <v>22452</v>
      </c>
      <c r="I2960" t="s">
        <v>22474</v>
      </c>
      <c r="J2960" t="s">
        <v>22809</v>
      </c>
      <c r="K2960" t="s">
        <v>29335</v>
      </c>
      <c r="M2960" t="s">
        <v>30716</v>
      </c>
      <c r="N2960" t="s">
        <v>32524</v>
      </c>
      <c r="O2960" t="s">
        <v>32525</v>
      </c>
      <c r="P2960">
        <v>0</v>
      </c>
      <c r="Q2960">
        <v>1</v>
      </c>
      <c r="R2960" t="s">
        <v>32527</v>
      </c>
      <c r="S2960" t="s">
        <v>32552</v>
      </c>
      <c r="T2960" t="s">
        <v>33386</v>
      </c>
      <c r="U2960" t="s">
        <v>36139</v>
      </c>
      <c r="W2960" t="s">
        <v>30716</v>
      </c>
      <c r="X2960" t="s">
        <v>32528</v>
      </c>
    </row>
    <row r="2961" spans="1:24">
      <c r="A2961">
        <f>HYPERLINK("https://www.philgeps.gov.ph/GEPSNONPILOT/Tender/SplashBidNoticeAbstractUI.aspx?menuIndex=3&amp;refID=7043906&amp;Result=3","7043906")</f>
        <v>0</v>
      </c>
      <c r="B2961" t="s">
        <v>1082</v>
      </c>
      <c r="C2961" t="s">
        <v>5505</v>
      </c>
      <c r="D2961" t="s">
        <v>13010</v>
      </c>
      <c r="E2961" t="s">
        <v>15766</v>
      </c>
      <c r="F2961" t="s">
        <v>22436</v>
      </c>
      <c r="G2961" t="s">
        <v>22446</v>
      </c>
      <c r="H2961" t="s">
        <v>22452</v>
      </c>
      <c r="I2961" t="s">
        <v>2993</v>
      </c>
      <c r="J2961" t="s">
        <v>23598</v>
      </c>
      <c r="K2961" t="s">
        <v>29356</v>
      </c>
      <c r="M2961" t="s">
        <v>30718</v>
      </c>
      <c r="N2961" t="s">
        <v>32524</v>
      </c>
      <c r="O2961" t="s">
        <v>32525</v>
      </c>
      <c r="P2961">
        <v>0</v>
      </c>
      <c r="Q2961">
        <v>1</v>
      </c>
      <c r="R2961" t="s">
        <v>32527</v>
      </c>
      <c r="S2961" t="s">
        <v>32552</v>
      </c>
      <c r="T2961" t="s">
        <v>33270</v>
      </c>
      <c r="U2961" t="s">
        <v>36140</v>
      </c>
      <c r="V2961" t="s">
        <v>42707</v>
      </c>
      <c r="W2961" t="s">
        <v>30718</v>
      </c>
      <c r="X2961" t="s">
        <v>32529</v>
      </c>
    </row>
    <row r="2962" spans="1:24">
      <c r="A2962">
        <f>HYPERLINK("https://www.philgeps.gov.ph/GEPSNONPILOT/Tender/SplashBidNoticeAbstractUI.aspx?menuIndex=3&amp;refID=7043880&amp;Result=3","7043880")</f>
        <v>0</v>
      </c>
      <c r="B2962" t="s">
        <v>1070</v>
      </c>
      <c r="C2962" t="s">
        <v>5506</v>
      </c>
      <c r="D2962" t="s">
        <v>13050</v>
      </c>
      <c r="E2962" t="s">
        <v>15767</v>
      </c>
      <c r="F2962" t="s">
        <v>22436</v>
      </c>
      <c r="G2962" t="s">
        <v>22443</v>
      </c>
      <c r="H2962" t="s">
        <v>22452</v>
      </c>
      <c r="I2962" t="s">
        <v>22461</v>
      </c>
      <c r="J2962" t="s">
        <v>24602</v>
      </c>
      <c r="K2962" t="s">
        <v>29356</v>
      </c>
      <c r="M2962" t="s">
        <v>30704</v>
      </c>
      <c r="N2962" t="s">
        <v>32524</v>
      </c>
      <c r="O2962" t="s">
        <v>32525</v>
      </c>
      <c r="P2962">
        <v>0</v>
      </c>
      <c r="Q2962">
        <v>3</v>
      </c>
      <c r="R2962" t="s">
        <v>32527</v>
      </c>
      <c r="S2962" t="s">
        <v>32552</v>
      </c>
      <c r="T2962" t="s">
        <v>33209</v>
      </c>
      <c r="U2962" t="s">
        <v>36141</v>
      </c>
      <c r="V2962" t="s">
        <v>42701</v>
      </c>
      <c r="W2962" t="s">
        <v>30704</v>
      </c>
      <c r="X2962" t="s">
        <v>32529</v>
      </c>
    </row>
    <row r="2963" spans="1:24">
      <c r="A2963">
        <f>HYPERLINK("https://www.philgeps.gov.ph/GEPSNONPILOT/Tender/SplashBidNoticeAbstractUI.aspx?menuIndex=3&amp;refID=7043939&amp;Result=3","7043939")</f>
        <v>0</v>
      </c>
      <c r="B2963" t="s">
        <v>1083</v>
      </c>
      <c r="C2963" t="s">
        <v>5507</v>
      </c>
      <c r="D2963" t="s">
        <v>13038</v>
      </c>
      <c r="E2963" t="s">
        <v>15768</v>
      </c>
      <c r="F2963" t="s">
        <v>22437</v>
      </c>
      <c r="G2963" t="s">
        <v>22444</v>
      </c>
      <c r="H2963" t="s">
        <v>22452</v>
      </c>
      <c r="I2963" t="s">
        <v>2993</v>
      </c>
      <c r="J2963" t="s">
        <v>22605</v>
      </c>
      <c r="K2963" t="s">
        <v>29356</v>
      </c>
      <c r="M2963" t="s">
        <v>30719</v>
      </c>
      <c r="N2963" t="s">
        <v>32524</v>
      </c>
      <c r="O2963" t="s">
        <v>32525</v>
      </c>
      <c r="P2963">
        <v>0</v>
      </c>
      <c r="Q2963">
        <v>0</v>
      </c>
      <c r="R2963" t="s">
        <v>32527</v>
      </c>
      <c r="S2963" t="s">
        <v>32552</v>
      </c>
      <c r="T2963" t="s">
        <v>33340</v>
      </c>
      <c r="U2963" t="s">
        <v>36142</v>
      </c>
      <c r="W2963" t="s">
        <v>30719</v>
      </c>
      <c r="X2963" t="s">
        <v>32528</v>
      </c>
    </row>
    <row r="2964" spans="1:24">
      <c r="A2964">
        <f>HYPERLINK("https://www.philgeps.gov.ph/GEPSNONPILOT/Tender/SplashBidNoticeAbstractUI.aspx?menuIndex=3&amp;refID=7043935&amp;Result=3","7043935")</f>
        <v>0</v>
      </c>
      <c r="B2964" t="s">
        <v>1084</v>
      </c>
      <c r="C2964" t="s">
        <v>5508</v>
      </c>
      <c r="D2964" t="s">
        <v>12988</v>
      </c>
      <c r="E2964" t="s">
        <v>15769</v>
      </c>
      <c r="F2964" t="s">
        <v>22436</v>
      </c>
      <c r="G2964" t="s">
        <v>22443</v>
      </c>
      <c r="H2964" t="s">
        <v>22453</v>
      </c>
      <c r="I2964" t="s">
        <v>22529</v>
      </c>
      <c r="J2964" t="s">
        <v>22911</v>
      </c>
      <c r="K2964" t="s">
        <v>29353</v>
      </c>
      <c r="M2964" t="s">
        <v>30720</v>
      </c>
      <c r="N2964" t="s">
        <v>32524</v>
      </c>
      <c r="O2964" t="s">
        <v>32525</v>
      </c>
      <c r="P2964">
        <v>0</v>
      </c>
      <c r="Q2964">
        <v>4</v>
      </c>
      <c r="R2964" t="s">
        <v>32527</v>
      </c>
      <c r="S2964" t="s">
        <v>32552</v>
      </c>
      <c r="T2964" t="s">
        <v>33270</v>
      </c>
      <c r="U2964" t="s">
        <v>36143</v>
      </c>
      <c r="W2964" t="s">
        <v>30720</v>
      </c>
      <c r="X2964" t="s">
        <v>32528</v>
      </c>
    </row>
    <row r="2965" spans="1:24">
      <c r="A2965">
        <f>HYPERLINK("https://www.philgeps.gov.ph/GEPSNONPILOT/Tender/SplashBidNoticeAbstractUI.aspx?menuIndex=3&amp;refID=7043932&amp;Result=3","7043932")</f>
        <v>0</v>
      </c>
      <c r="B2965" t="s">
        <v>1085</v>
      </c>
      <c r="C2965" t="s">
        <v>5509</v>
      </c>
      <c r="D2965" t="s">
        <v>13033</v>
      </c>
      <c r="E2965" t="s">
        <v>15770</v>
      </c>
      <c r="F2965" t="s">
        <v>22436</v>
      </c>
      <c r="G2965" t="s">
        <v>22444</v>
      </c>
      <c r="H2965" t="s">
        <v>22454</v>
      </c>
      <c r="I2965" t="s">
        <v>7738</v>
      </c>
      <c r="J2965" t="s">
        <v>24603</v>
      </c>
      <c r="K2965" t="s">
        <v>29344</v>
      </c>
      <c r="M2965" t="s">
        <v>30721</v>
      </c>
      <c r="N2965" t="s">
        <v>32524</v>
      </c>
      <c r="O2965" t="s">
        <v>32525</v>
      </c>
      <c r="P2965">
        <v>0</v>
      </c>
      <c r="Q2965">
        <v>10</v>
      </c>
      <c r="R2965" t="s">
        <v>32527</v>
      </c>
      <c r="S2965" t="s">
        <v>32552</v>
      </c>
      <c r="T2965" t="s">
        <v>33165</v>
      </c>
      <c r="U2965" t="s">
        <v>36144</v>
      </c>
      <c r="W2965" t="s">
        <v>30721</v>
      </c>
      <c r="X2965" t="s">
        <v>32528</v>
      </c>
    </row>
    <row r="2966" spans="1:24">
      <c r="A2966">
        <f>HYPERLINK("https://www.philgeps.gov.ph/GEPSNONPILOT/Tender/SplashBidNoticeAbstractUI.aspx?menuIndex=3&amp;refID=7043931&amp;Result=3","7043931")</f>
        <v>0</v>
      </c>
      <c r="B2966" t="s">
        <v>1085</v>
      </c>
      <c r="C2966" t="s">
        <v>5510</v>
      </c>
      <c r="D2966" t="s">
        <v>13033</v>
      </c>
      <c r="E2966" t="s">
        <v>15770</v>
      </c>
      <c r="F2966" t="s">
        <v>22436</v>
      </c>
      <c r="G2966" t="s">
        <v>22444</v>
      </c>
      <c r="H2966" t="s">
        <v>22454</v>
      </c>
      <c r="I2966" t="s">
        <v>7738</v>
      </c>
      <c r="J2966" t="s">
        <v>24604</v>
      </c>
      <c r="K2966" t="s">
        <v>29344</v>
      </c>
      <c r="M2966" t="s">
        <v>30721</v>
      </c>
      <c r="N2966" t="s">
        <v>32524</v>
      </c>
      <c r="O2966" t="s">
        <v>32525</v>
      </c>
      <c r="P2966">
        <v>0</v>
      </c>
      <c r="Q2966">
        <v>11</v>
      </c>
      <c r="R2966" t="s">
        <v>32527</v>
      </c>
      <c r="S2966" t="s">
        <v>32552</v>
      </c>
      <c r="T2966" t="s">
        <v>33165</v>
      </c>
      <c r="U2966" t="s">
        <v>36144</v>
      </c>
      <c r="W2966" t="s">
        <v>30721</v>
      </c>
      <c r="X2966" t="s">
        <v>32528</v>
      </c>
    </row>
    <row r="2967" spans="1:24">
      <c r="A2967">
        <f>HYPERLINK("https://www.philgeps.gov.ph/GEPSNONPILOT/Tender/SplashBidNoticeAbstractUI.aspx?menuIndex=3&amp;refID=7043938&amp;Result=3","7043938")</f>
        <v>0</v>
      </c>
      <c r="B2967" t="s">
        <v>1083</v>
      </c>
      <c r="C2967" t="s">
        <v>5511</v>
      </c>
      <c r="D2967" t="s">
        <v>13038</v>
      </c>
      <c r="E2967" t="s">
        <v>15771</v>
      </c>
      <c r="F2967" t="s">
        <v>22437</v>
      </c>
      <c r="G2967" t="s">
        <v>22444</v>
      </c>
      <c r="H2967" t="s">
        <v>22452</v>
      </c>
      <c r="I2967" t="s">
        <v>2993</v>
      </c>
      <c r="J2967" t="s">
        <v>22640</v>
      </c>
      <c r="K2967" t="s">
        <v>29356</v>
      </c>
      <c r="M2967" t="s">
        <v>30719</v>
      </c>
      <c r="N2967" t="s">
        <v>32524</v>
      </c>
      <c r="O2967" t="s">
        <v>32525</v>
      </c>
      <c r="P2967">
        <v>0</v>
      </c>
      <c r="Q2967">
        <v>1</v>
      </c>
      <c r="R2967" t="s">
        <v>32527</v>
      </c>
      <c r="S2967" t="s">
        <v>32552</v>
      </c>
      <c r="T2967" t="s">
        <v>33340</v>
      </c>
      <c r="U2967" t="s">
        <v>36145</v>
      </c>
      <c r="W2967" t="s">
        <v>30719</v>
      </c>
      <c r="X2967" t="s">
        <v>32528</v>
      </c>
    </row>
    <row r="2968" spans="1:24">
      <c r="A2968">
        <f>HYPERLINK("https://www.philgeps.gov.ph/GEPSNONPILOT/Tender/SplashBidNoticeAbstractUI.aspx?menuIndex=3&amp;refID=7043947&amp;Result=3","7043947")</f>
        <v>0</v>
      </c>
      <c r="B2968" t="s">
        <v>959</v>
      </c>
      <c r="C2968" t="s">
        <v>5512</v>
      </c>
      <c r="D2968" t="s">
        <v>13039</v>
      </c>
      <c r="E2968" t="s">
        <v>15573</v>
      </c>
      <c r="F2968" t="s">
        <v>22436</v>
      </c>
      <c r="G2968" t="s">
        <v>22444</v>
      </c>
      <c r="H2968" t="s">
        <v>22452</v>
      </c>
      <c r="I2968" t="s">
        <v>22460</v>
      </c>
      <c r="J2968" t="s">
        <v>24605</v>
      </c>
      <c r="K2968" t="s">
        <v>29335</v>
      </c>
      <c r="M2968" t="s">
        <v>30575</v>
      </c>
      <c r="N2968" t="s">
        <v>32524</v>
      </c>
      <c r="O2968" t="s">
        <v>32525</v>
      </c>
      <c r="P2968">
        <v>0</v>
      </c>
      <c r="Q2968">
        <v>0</v>
      </c>
      <c r="R2968" t="s">
        <v>32527</v>
      </c>
      <c r="S2968" t="s">
        <v>32552</v>
      </c>
      <c r="T2968" t="s">
        <v>33203</v>
      </c>
      <c r="U2968" t="s">
        <v>35755</v>
      </c>
      <c r="W2968" t="s">
        <v>30575</v>
      </c>
      <c r="X2968" t="s">
        <v>32528</v>
      </c>
    </row>
    <row r="2969" spans="1:24">
      <c r="A2969">
        <f>HYPERLINK("https://www.philgeps.gov.ph/GEPSNONPILOT/Tender/SplashBidNoticeAbstractUI.aspx?menuIndex=3&amp;refID=7043933&amp;Result=3","7043933")</f>
        <v>0</v>
      </c>
      <c r="B2969" t="s">
        <v>1085</v>
      </c>
      <c r="C2969" t="s">
        <v>5513</v>
      </c>
      <c r="D2969" t="s">
        <v>13033</v>
      </c>
      <c r="E2969" t="s">
        <v>15770</v>
      </c>
      <c r="F2969" t="s">
        <v>22436</v>
      </c>
      <c r="G2969" t="s">
        <v>22444</v>
      </c>
      <c r="H2969" t="s">
        <v>22454</v>
      </c>
      <c r="I2969" t="s">
        <v>7738</v>
      </c>
      <c r="J2969" t="s">
        <v>24606</v>
      </c>
      <c r="K2969" t="s">
        <v>29344</v>
      </c>
      <c r="M2969" t="s">
        <v>30721</v>
      </c>
      <c r="N2969" t="s">
        <v>32524</v>
      </c>
      <c r="O2969" t="s">
        <v>32525</v>
      </c>
      <c r="P2969">
        <v>0</v>
      </c>
      <c r="Q2969">
        <v>11</v>
      </c>
      <c r="R2969" t="s">
        <v>32527</v>
      </c>
      <c r="S2969" t="s">
        <v>32552</v>
      </c>
      <c r="T2969" t="s">
        <v>33165</v>
      </c>
      <c r="U2969" t="s">
        <v>36144</v>
      </c>
      <c r="W2969" t="s">
        <v>30721</v>
      </c>
      <c r="X2969" t="s">
        <v>32528</v>
      </c>
    </row>
    <row r="2970" spans="1:24">
      <c r="A2970">
        <f>HYPERLINK("https://www.philgeps.gov.ph/GEPSNONPILOT/Tender/SplashBidNoticeAbstractUI.aspx?menuIndex=3&amp;refID=7043934&amp;Result=3","7043934")</f>
        <v>0</v>
      </c>
      <c r="B2970" t="s">
        <v>1085</v>
      </c>
      <c r="C2970" t="s">
        <v>5514</v>
      </c>
      <c r="D2970" t="s">
        <v>13033</v>
      </c>
      <c r="E2970" t="s">
        <v>15770</v>
      </c>
      <c r="F2970" t="s">
        <v>22436</v>
      </c>
      <c r="G2970" t="s">
        <v>22444</v>
      </c>
      <c r="H2970" t="s">
        <v>22454</v>
      </c>
      <c r="I2970" t="s">
        <v>7738</v>
      </c>
      <c r="J2970" t="s">
        <v>24607</v>
      </c>
      <c r="K2970" t="s">
        <v>29344</v>
      </c>
      <c r="M2970" t="s">
        <v>30721</v>
      </c>
      <c r="N2970" t="s">
        <v>32524</v>
      </c>
      <c r="O2970" t="s">
        <v>32525</v>
      </c>
      <c r="P2970">
        <v>0</v>
      </c>
      <c r="Q2970">
        <v>11</v>
      </c>
      <c r="R2970" t="s">
        <v>32527</v>
      </c>
      <c r="S2970" t="s">
        <v>32552</v>
      </c>
      <c r="T2970" t="s">
        <v>33165</v>
      </c>
      <c r="U2970" t="s">
        <v>36144</v>
      </c>
      <c r="W2970" t="s">
        <v>30721</v>
      </c>
      <c r="X2970" t="s">
        <v>32528</v>
      </c>
    </row>
    <row r="2971" spans="1:24">
      <c r="A2971">
        <f>HYPERLINK("https://www.philgeps.gov.ph/GEPSNONPILOT/Tender/SplashBidNoticeAbstractUI.aspx?menuIndex=3&amp;refID=7043930&amp;Result=3","7043930")</f>
        <v>0</v>
      </c>
      <c r="B2971" t="s">
        <v>1085</v>
      </c>
      <c r="C2971" t="s">
        <v>5515</v>
      </c>
      <c r="D2971" t="s">
        <v>13033</v>
      </c>
      <c r="E2971" t="s">
        <v>15770</v>
      </c>
      <c r="F2971" t="s">
        <v>22436</v>
      </c>
      <c r="G2971" t="s">
        <v>22444</v>
      </c>
      <c r="H2971" t="s">
        <v>22454</v>
      </c>
      <c r="I2971" t="s">
        <v>7738</v>
      </c>
      <c r="J2971" t="s">
        <v>24608</v>
      </c>
      <c r="K2971" t="s">
        <v>29344</v>
      </c>
      <c r="M2971" t="s">
        <v>30721</v>
      </c>
      <c r="N2971" t="s">
        <v>32524</v>
      </c>
      <c r="O2971" t="s">
        <v>32525</v>
      </c>
      <c r="P2971">
        <v>0</v>
      </c>
      <c r="Q2971">
        <v>12</v>
      </c>
      <c r="R2971" t="s">
        <v>32527</v>
      </c>
      <c r="S2971" t="s">
        <v>32552</v>
      </c>
      <c r="T2971" t="s">
        <v>33165</v>
      </c>
      <c r="U2971" t="s">
        <v>36144</v>
      </c>
      <c r="W2971" t="s">
        <v>30721</v>
      </c>
      <c r="X2971" t="s">
        <v>32528</v>
      </c>
    </row>
    <row r="2972" spans="1:24">
      <c r="A2972">
        <f>HYPERLINK("https://www.philgeps.gov.ph/GEPSNONPILOT/Tender/SplashBidNoticeAbstractUI.aspx?menuIndex=3&amp;refID=7043953&amp;Result=3","7043953")</f>
        <v>0</v>
      </c>
      <c r="B2972" t="s">
        <v>353</v>
      </c>
      <c r="C2972" t="s">
        <v>5516</v>
      </c>
      <c r="D2972" t="s">
        <v>13034</v>
      </c>
      <c r="E2972" t="s">
        <v>15772</v>
      </c>
      <c r="F2972" t="s">
        <v>22436</v>
      </c>
      <c r="G2972" t="s">
        <v>22443</v>
      </c>
      <c r="H2972" t="s">
        <v>22454</v>
      </c>
      <c r="I2972" t="s">
        <v>3827</v>
      </c>
      <c r="J2972" t="s">
        <v>22798</v>
      </c>
      <c r="K2972" t="s">
        <v>29356</v>
      </c>
      <c r="M2972" t="s">
        <v>29930</v>
      </c>
      <c r="N2972" t="s">
        <v>32524</v>
      </c>
      <c r="O2972" t="s">
        <v>32525</v>
      </c>
      <c r="P2972">
        <v>0</v>
      </c>
      <c r="Q2972">
        <v>0</v>
      </c>
      <c r="R2972" t="s">
        <v>32527</v>
      </c>
      <c r="S2972" t="s">
        <v>32552</v>
      </c>
      <c r="T2972" t="s">
        <v>33220</v>
      </c>
      <c r="U2972" t="s">
        <v>36146</v>
      </c>
      <c r="W2972" t="s">
        <v>29930</v>
      </c>
      <c r="X2972" t="s">
        <v>32528</v>
      </c>
    </row>
    <row r="2973" spans="1:24">
      <c r="A2973">
        <f>HYPERLINK("https://www.philgeps.gov.ph/GEPSNONPILOT/Tender/SplashBidNoticeAbstractUI.aspx?menuIndex=3&amp;refID=7043925&amp;Result=3","7043925")</f>
        <v>0</v>
      </c>
      <c r="B2973" t="s">
        <v>1085</v>
      </c>
      <c r="C2973" t="s">
        <v>5517</v>
      </c>
      <c r="D2973" t="s">
        <v>13033</v>
      </c>
      <c r="E2973" t="s">
        <v>15770</v>
      </c>
      <c r="F2973" t="s">
        <v>22436</v>
      </c>
      <c r="G2973" t="s">
        <v>22444</v>
      </c>
      <c r="H2973" t="s">
        <v>22454</v>
      </c>
      <c r="I2973" t="s">
        <v>7738</v>
      </c>
      <c r="J2973" t="s">
        <v>24609</v>
      </c>
      <c r="K2973" t="s">
        <v>29344</v>
      </c>
      <c r="M2973" t="s">
        <v>30721</v>
      </c>
      <c r="N2973" t="s">
        <v>32524</v>
      </c>
      <c r="O2973" t="s">
        <v>32525</v>
      </c>
      <c r="P2973">
        <v>0</v>
      </c>
      <c r="Q2973">
        <v>12</v>
      </c>
      <c r="R2973" t="s">
        <v>32527</v>
      </c>
      <c r="S2973" t="s">
        <v>32552</v>
      </c>
      <c r="T2973" t="s">
        <v>33165</v>
      </c>
      <c r="U2973" t="s">
        <v>36147</v>
      </c>
      <c r="W2973" t="s">
        <v>30721</v>
      </c>
      <c r="X2973" t="s">
        <v>32528</v>
      </c>
    </row>
    <row r="2974" spans="1:24">
      <c r="A2974">
        <f>HYPERLINK("https://www.philgeps.gov.ph/GEPSNONPILOT/Tender/SplashBidNoticeAbstractUI.aspx?menuIndex=3&amp;refID=7043929&amp;Result=3","7043929")</f>
        <v>0</v>
      </c>
      <c r="B2974" t="s">
        <v>1085</v>
      </c>
      <c r="C2974" t="s">
        <v>5518</v>
      </c>
      <c r="D2974" t="s">
        <v>13033</v>
      </c>
      <c r="E2974" t="s">
        <v>15770</v>
      </c>
      <c r="F2974" t="s">
        <v>22436</v>
      </c>
      <c r="G2974" t="s">
        <v>22444</v>
      </c>
      <c r="H2974" t="s">
        <v>22454</v>
      </c>
      <c r="I2974" t="s">
        <v>7738</v>
      </c>
      <c r="J2974" t="s">
        <v>24610</v>
      </c>
      <c r="K2974" t="s">
        <v>29344</v>
      </c>
      <c r="M2974" t="s">
        <v>30721</v>
      </c>
      <c r="N2974" t="s">
        <v>32524</v>
      </c>
      <c r="O2974" t="s">
        <v>32525</v>
      </c>
      <c r="P2974">
        <v>0</v>
      </c>
      <c r="Q2974">
        <v>12</v>
      </c>
      <c r="R2974" t="s">
        <v>32527</v>
      </c>
      <c r="S2974" t="s">
        <v>32552</v>
      </c>
      <c r="T2974" t="s">
        <v>33165</v>
      </c>
      <c r="U2974" t="s">
        <v>36144</v>
      </c>
      <c r="W2974" t="s">
        <v>30721</v>
      </c>
      <c r="X2974" t="s">
        <v>32528</v>
      </c>
    </row>
    <row r="2975" spans="1:24">
      <c r="A2975">
        <f>HYPERLINK("https://www.philgeps.gov.ph/GEPSNONPILOT/Tender/SplashBidNoticeAbstractUI.aspx?menuIndex=3&amp;refID=7043927&amp;Result=3","7043927")</f>
        <v>0</v>
      </c>
      <c r="B2975" t="s">
        <v>1085</v>
      </c>
      <c r="C2975" t="s">
        <v>5519</v>
      </c>
      <c r="D2975" t="s">
        <v>13033</v>
      </c>
      <c r="E2975" t="s">
        <v>15770</v>
      </c>
      <c r="F2975" t="s">
        <v>22436</v>
      </c>
      <c r="G2975" t="s">
        <v>22444</v>
      </c>
      <c r="H2975" t="s">
        <v>22454</v>
      </c>
      <c r="I2975" t="s">
        <v>7738</v>
      </c>
      <c r="J2975" t="s">
        <v>24611</v>
      </c>
      <c r="K2975" t="s">
        <v>29344</v>
      </c>
      <c r="M2975" t="s">
        <v>30721</v>
      </c>
      <c r="N2975" t="s">
        <v>32524</v>
      </c>
      <c r="O2975" t="s">
        <v>32525</v>
      </c>
      <c r="P2975">
        <v>0</v>
      </c>
      <c r="Q2975">
        <v>11</v>
      </c>
      <c r="R2975" t="s">
        <v>32527</v>
      </c>
      <c r="S2975" t="s">
        <v>32552</v>
      </c>
      <c r="T2975" t="s">
        <v>33165</v>
      </c>
      <c r="U2975" t="s">
        <v>36144</v>
      </c>
      <c r="W2975" t="s">
        <v>30721</v>
      </c>
      <c r="X2975" t="s">
        <v>32528</v>
      </c>
    </row>
    <row r="2976" spans="1:24">
      <c r="A2976">
        <f>HYPERLINK("https://www.philgeps.gov.ph/GEPSNONPILOT/Tender/SplashBidNoticeAbstractUI.aspx?menuIndex=3&amp;refID=7043954&amp;Result=3","7043954")</f>
        <v>0</v>
      </c>
      <c r="B2976" t="s">
        <v>267</v>
      </c>
      <c r="C2976" t="s">
        <v>5520</v>
      </c>
      <c r="D2976" t="s">
        <v>13032</v>
      </c>
      <c r="E2976" t="s">
        <v>15773</v>
      </c>
      <c r="F2976" t="s">
        <v>22436</v>
      </c>
      <c r="G2976" t="s">
        <v>22446</v>
      </c>
      <c r="H2976" t="s">
        <v>22452</v>
      </c>
      <c r="I2976" t="s">
        <v>5194</v>
      </c>
      <c r="J2976" t="s">
        <v>24612</v>
      </c>
      <c r="K2976" t="s">
        <v>29338</v>
      </c>
      <c r="M2976" t="s">
        <v>29841</v>
      </c>
      <c r="N2976" t="s">
        <v>32524</v>
      </c>
      <c r="O2976" t="s">
        <v>32525</v>
      </c>
      <c r="P2976">
        <v>0</v>
      </c>
      <c r="Q2976">
        <v>0</v>
      </c>
      <c r="R2976" t="s">
        <v>32527</v>
      </c>
      <c r="S2976" t="s">
        <v>32552</v>
      </c>
      <c r="T2976" t="s">
        <v>33213</v>
      </c>
      <c r="U2976" t="s">
        <v>36148</v>
      </c>
      <c r="W2976" t="s">
        <v>43690</v>
      </c>
      <c r="X2976" t="s">
        <v>32528</v>
      </c>
    </row>
    <row r="2977" spans="1:24">
      <c r="A2977">
        <f>HYPERLINK("https://www.philgeps.gov.ph/GEPSNONPILOT/Tender/SplashBidNoticeAbstractUI.aspx?menuIndex=3&amp;refID=7043951&amp;Result=3","7043951")</f>
        <v>0</v>
      </c>
      <c r="B2977" t="s">
        <v>1086</v>
      </c>
      <c r="C2977" t="s">
        <v>5521</v>
      </c>
      <c r="D2977" t="s">
        <v>12994</v>
      </c>
      <c r="E2977" t="s">
        <v>15774</v>
      </c>
      <c r="F2977" t="s">
        <v>22436</v>
      </c>
      <c r="G2977" t="s">
        <v>22444</v>
      </c>
      <c r="H2977" t="s">
        <v>22454</v>
      </c>
      <c r="I2977" t="s">
        <v>7738</v>
      </c>
      <c r="J2977" t="s">
        <v>22640</v>
      </c>
      <c r="K2977" t="s">
        <v>29336</v>
      </c>
      <c r="M2977" t="s">
        <v>30722</v>
      </c>
      <c r="N2977" t="s">
        <v>32524</v>
      </c>
      <c r="O2977" t="s">
        <v>32525</v>
      </c>
      <c r="P2977">
        <v>0</v>
      </c>
      <c r="Q2977">
        <v>0</v>
      </c>
      <c r="R2977" t="s">
        <v>32527</v>
      </c>
      <c r="S2977" t="s">
        <v>32552</v>
      </c>
      <c r="T2977" t="s">
        <v>33228</v>
      </c>
      <c r="U2977" t="s">
        <v>36149</v>
      </c>
      <c r="V2977" t="s">
        <v>42708</v>
      </c>
      <c r="W2977" t="s">
        <v>30722</v>
      </c>
      <c r="X2977" t="s">
        <v>32528</v>
      </c>
    </row>
    <row r="2978" spans="1:24">
      <c r="A2978">
        <f>HYPERLINK("https://www.philgeps.gov.ph/GEPSNONPILOT/Tender/SplashBidNoticeAbstractUI.aspx?menuIndex=3&amp;refID=7043949&amp;Result=3","7043949")</f>
        <v>0</v>
      </c>
      <c r="B2978" t="s">
        <v>1086</v>
      </c>
      <c r="C2978" t="s">
        <v>5522</v>
      </c>
      <c r="D2978" t="s">
        <v>12994</v>
      </c>
      <c r="E2978" t="s">
        <v>15775</v>
      </c>
      <c r="F2978" t="s">
        <v>22436</v>
      </c>
      <c r="G2978" t="s">
        <v>22444</v>
      </c>
      <c r="H2978" t="s">
        <v>22454</v>
      </c>
      <c r="I2978" t="s">
        <v>7738</v>
      </c>
      <c r="J2978" t="s">
        <v>22605</v>
      </c>
      <c r="K2978" t="s">
        <v>29336</v>
      </c>
      <c r="M2978" t="s">
        <v>30722</v>
      </c>
      <c r="N2978" t="s">
        <v>32524</v>
      </c>
      <c r="O2978" t="s">
        <v>32525</v>
      </c>
      <c r="P2978">
        <v>0</v>
      </c>
      <c r="Q2978">
        <v>0</v>
      </c>
      <c r="R2978" t="s">
        <v>32527</v>
      </c>
      <c r="S2978" t="s">
        <v>32552</v>
      </c>
      <c r="T2978" t="s">
        <v>33228</v>
      </c>
      <c r="U2978" t="s">
        <v>36149</v>
      </c>
      <c r="V2978" t="s">
        <v>42708</v>
      </c>
      <c r="W2978" t="s">
        <v>30722</v>
      </c>
      <c r="X2978" t="s">
        <v>32528</v>
      </c>
    </row>
    <row r="2979" spans="1:24">
      <c r="A2979">
        <f>HYPERLINK("https://www.philgeps.gov.ph/GEPSNONPILOT/Tender/SplashBidNoticeAbstractUI.aspx?menuIndex=3&amp;refID=7043928&amp;Result=3","7043928")</f>
        <v>0</v>
      </c>
      <c r="B2979" t="s">
        <v>1085</v>
      </c>
      <c r="C2979" t="s">
        <v>5523</v>
      </c>
      <c r="D2979" t="s">
        <v>13033</v>
      </c>
      <c r="E2979" t="s">
        <v>15770</v>
      </c>
      <c r="F2979" t="s">
        <v>22436</v>
      </c>
      <c r="G2979" t="s">
        <v>22444</v>
      </c>
      <c r="H2979" t="s">
        <v>22454</v>
      </c>
      <c r="I2979" t="s">
        <v>7738</v>
      </c>
      <c r="J2979" t="s">
        <v>24613</v>
      </c>
      <c r="K2979" t="s">
        <v>29344</v>
      </c>
      <c r="M2979" t="s">
        <v>30721</v>
      </c>
      <c r="N2979" t="s">
        <v>32524</v>
      </c>
      <c r="O2979" t="s">
        <v>32525</v>
      </c>
      <c r="P2979">
        <v>0</v>
      </c>
      <c r="Q2979">
        <v>13</v>
      </c>
      <c r="R2979" t="s">
        <v>32527</v>
      </c>
      <c r="S2979" t="s">
        <v>32552</v>
      </c>
      <c r="T2979" t="s">
        <v>33165</v>
      </c>
      <c r="U2979" t="s">
        <v>36144</v>
      </c>
      <c r="W2979" t="s">
        <v>30721</v>
      </c>
      <c r="X2979" t="s">
        <v>32528</v>
      </c>
    </row>
    <row r="2980" spans="1:24">
      <c r="A2980">
        <f>HYPERLINK("https://www.philgeps.gov.ph/GEPSNONPILOT/Tender/SplashBidNoticeAbstractUI.aspx?menuIndex=3&amp;refID=7043950&amp;Result=3","7043950")</f>
        <v>0</v>
      </c>
      <c r="B2980" t="s">
        <v>1087</v>
      </c>
      <c r="C2980" t="s">
        <v>4853</v>
      </c>
      <c r="E2980" t="s">
        <v>15776</v>
      </c>
      <c r="F2980" t="s">
        <v>22436</v>
      </c>
      <c r="G2980" t="s">
        <v>22444</v>
      </c>
      <c r="H2980" t="s">
        <v>22452</v>
      </c>
      <c r="I2980" t="s">
        <v>22469</v>
      </c>
      <c r="J2980" t="s">
        <v>22692</v>
      </c>
      <c r="K2980" t="s">
        <v>29336</v>
      </c>
      <c r="M2980" t="s">
        <v>30723</v>
      </c>
      <c r="N2980" t="s">
        <v>32524</v>
      </c>
      <c r="O2980" t="s">
        <v>32525</v>
      </c>
      <c r="P2980">
        <v>0</v>
      </c>
      <c r="Q2980">
        <v>1</v>
      </c>
      <c r="R2980" t="s">
        <v>32527</v>
      </c>
      <c r="S2980" t="s">
        <v>32552</v>
      </c>
      <c r="T2980" t="s">
        <v>33171</v>
      </c>
      <c r="U2980" t="s">
        <v>36150</v>
      </c>
      <c r="W2980" t="s">
        <v>30723</v>
      </c>
      <c r="X2980" t="s">
        <v>32528</v>
      </c>
    </row>
    <row r="2981" spans="1:24">
      <c r="A2981">
        <f>HYPERLINK("https://www.philgeps.gov.ph/GEPSNONPILOT/Tender/SplashBidNoticeAbstractUI.aspx?menuIndex=3&amp;refID=7043948&amp;Result=3","7043948")</f>
        <v>0</v>
      </c>
      <c r="B2981" t="s">
        <v>1086</v>
      </c>
      <c r="C2981" t="s">
        <v>5522</v>
      </c>
      <c r="D2981" t="s">
        <v>12994</v>
      </c>
      <c r="E2981" t="s">
        <v>15777</v>
      </c>
      <c r="F2981" t="s">
        <v>22436</v>
      </c>
      <c r="G2981" t="s">
        <v>22444</v>
      </c>
      <c r="H2981" t="s">
        <v>22454</v>
      </c>
      <c r="I2981" t="s">
        <v>7738</v>
      </c>
      <c r="J2981" t="s">
        <v>24614</v>
      </c>
      <c r="K2981" t="s">
        <v>29336</v>
      </c>
      <c r="M2981" t="s">
        <v>30722</v>
      </c>
      <c r="N2981" t="s">
        <v>32524</v>
      </c>
      <c r="O2981" t="s">
        <v>32525</v>
      </c>
      <c r="P2981">
        <v>0</v>
      </c>
      <c r="Q2981">
        <v>0</v>
      </c>
      <c r="R2981" t="s">
        <v>32527</v>
      </c>
      <c r="S2981" t="s">
        <v>32552</v>
      </c>
      <c r="T2981" t="s">
        <v>33228</v>
      </c>
      <c r="U2981" t="s">
        <v>36151</v>
      </c>
      <c r="V2981" t="s">
        <v>42709</v>
      </c>
      <c r="W2981" t="s">
        <v>30722</v>
      </c>
      <c r="X2981" t="s">
        <v>32528</v>
      </c>
    </row>
    <row r="2982" spans="1:24">
      <c r="A2982">
        <f>HYPERLINK("https://www.philgeps.gov.ph/GEPSNONPILOT/Tender/SplashBidNoticeAbstractUI.aspx?menuIndex=3&amp;refID=7043955&amp;Result=3","7043955")</f>
        <v>0</v>
      </c>
      <c r="B2982" t="s">
        <v>1088</v>
      </c>
      <c r="C2982" t="s">
        <v>5524</v>
      </c>
      <c r="D2982" t="s">
        <v>12995</v>
      </c>
      <c r="E2982" t="s">
        <v>15778</v>
      </c>
      <c r="F2982" t="s">
        <v>22436</v>
      </c>
      <c r="G2982" t="s">
        <v>22443</v>
      </c>
      <c r="H2982" t="s">
        <v>22452</v>
      </c>
      <c r="I2982" t="s">
        <v>2981</v>
      </c>
      <c r="J2982" t="s">
        <v>23829</v>
      </c>
      <c r="K2982" t="s">
        <v>29358</v>
      </c>
      <c r="M2982" t="s">
        <v>30724</v>
      </c>
      <c r="N2982" t="s">
        <v>32524</v>
      </c>
      <c r="O2982" t="s">
        <v>32525</v>
      </c>
      <c r="P2982">
        <v>0</v>
      </c>
      <c r="Q2982">
        <v>0</v>
      </c>
      <c r="R2982" t="s">
        <v>32527</v>
      </c>
      <c r="S2982" t="s">
        <v>32552</v>
      </c>
      <c r="T2982" t="s">
        <v>33270</v>
      </c>
      <c r="U2982" t="s">
        <v>36152</v>
      </c>
      <c r="W2982" t="s">
        <v>30724</v>
      </c>
      <c r="X2982" t="s">
        <v>32528</v>
      </c>
    </row>
    <row r="2983" spans="1:24">
      <c r="A2983">
        <f>HYPERLINK("https://www.philgeps.gov.ph/GEPSNONPILOT/Tender/SplashBidNoticeAbstractUI.aspx?menuIndex=3&amp;refID=7043956&amp;Result=3","7043956")</f>
        <v>0</v>
      </c>
      <c r="B2983" t="s">
        <v>267</v>
      </c>
      <c r="C2983" t="s">
        <v>5525</v>
      </c>
      <c r="D2983" t="s">
        <v>13032</v>
      </c>
      <c r="E2983" t="s">
        <v>15779</v>
      </c>
      <c r="F2983" t="s">
        <v>22436</v>
      </c>
      <c r="G2983" t="s">
        <v>22446</v>
      </c>
      <c r="H2983" t="s">
        <v>22452</v>
      </c>
      <c r="I2983" t="s">
        <v>22508</v>
      </c>
      <c r="J2983" t="s">
        <v>23216</v>
      </c>
      <c r="K2983" t="s">
        <v>29338</v>
      </c>
      <c r="M2983" t="s">
        <v>29841</v>
      </c>
      <c r="N2983" t="s">
        <v>32524</v>
      </c>
      <c r="O2983" t="s">
        <v>32525</v>
      </c>
      <c r="P2983">
        <v>0</v>
      </c>
      <c r="Q2983">
        <v>3</v>
      </c>
      <c r="R2983" t="s">
        <v>32527</v>
      </c>
      <c r="S2983" t="s">
        <v>32552</v>
      </c>
      <c r="T2983" t="s">
        <v>33213</v>
      </c>
      <c r="U2983" t="s">
        <v>36153</v>
      </c>
      <c r="W2983" t="s">
        <v>43690</v>
      </c>
      <c r="X2983" t="s">
        <v>32528</v>
      </c>
    </row>
    <row r="2984" spans="1:24">
      <c r="A2984">
        <f>HYPERLINK("https://www.philgeps.gov.ph/GEPSNONPILOT/Tender/SplashBidNoticeAbstractUI.aspx?menuIndex=3&amp;refID=7043959&amp;Result=3","7043959")</f>
        <v>0</v>
      </c>
      <c r="B2984" t="s">
        <v>1088</v>
      </c>
      <c r="C2984" t="s">
        <v>5526</v>
      </c>
      <c r="D2984" t="s">
        <v>12995</v>
      </c>
      <c r="E2984" t="s">
        <v>15780</v>
      </c>
      <c r="F2984" t="s">
        <v>22436</v>
      </c>
      <c r="G2984" t="s">
        <v>22443</v>
      </c>
      <c r="H2984" t="s">
        <v>22452</v>
      </c>
      <c r="I2984" t="s">
        <v>3827</v>
      </c>
      <c r="J2984" t="s">
        <v>23829</v>
      </c>
      <c r="K2984" t="s">
        <v>29358</v>
      </c>
      <c r="M2984" t="s">
        <v>30724</v>
      </c>
      <c r="N2984" t="s">
        <v>32524</v>
      </c>
      <c r="O2984" t="s">
        <v>32525</v>
      </c>
      <c r="P2984">
        <v>0</v>
      </c>
      <c r="Q2984">
        <v>3</v>
      </c>
      <c r="R2984" t="s">
        <v>32527</v>
      </c>
      <c r="S2984" t="s">
        <v>32552</v>
      </c>
      <c r="T2984" t="s">
        <v>33229</v>
      </c>
      <c r="U2984" t="s">
        <v>36152</v>
      </c>
      <c r="W2984" t="s">
        <v>30724</v>
      </c>
      <c r="X2984" t="s">
        <v>32528</v>
      </c>
    </row>
    <row r="2985" spans="1:24">
      <c r="A2985">
        <f>HYPERLINK("https://www.philgeps.gov.ph/GEPSNONPILOT/Tender/SplashBidNoticeAbstractUI.aspx?menuIndex=3&amp;refID=7043970&amp;Result=3","7043970")</f>
        <v>0</v>
      </c>
      <c r="B2985" t="s">
        <v>1089</v>
      </c>
      <c r="C2985" t="s">
        <v>5527</v>
      </c>
      <c r="D2985" t="s">
        <v>12996</v>
      </c>
      <c r="E2985" t="s">
        <v>15781</v>
      </c>
      <c r="F2985" t="s">
        <v>22436</v>
      </c>
      <c r="G2985" t="s">
        <v>22443</v>
      </c>
      <c r="H2985" t="s">
        <v>22452</v>
      </c>
      <c r="I2985" t="s">
        <v>3827</v>
      </c>
      <c r="J2985" t="s">
        <v>23120</v>
      </c>
      <c r="K2985" t="s">
        <v>29330</v>
      </c>
      <c r="M2985" t="s">
        <v>30725</v>
      </c>
      <c r="N2985" t="s">
        <v>32524</v>
      </c>
      <c r="O2985" t="s">
        <v>32525</v>
      </c>
      <c r="P2985">
        <v>0</v>
      </c>
      <c r="Q2985">
        <v>6</v>
      </c>
      <c r="R2985" t="s">
        <v>32527</v>
      </c>
      <c r="S2985" t="s">
        <v>32552</v>
      </c>
      <c r="T2985" t="s">
        <v>33392</v>
      </c>
      <c r="U2985" t="s">
        <v>36154</v>
      </c>
      <c r="W2985" t="s">
        <v>30725</v>
      </c>
      <c r="X2985" t="s">
        <v>32528</v>
      </c>
    </row>
    <row r="2986" spans="1:24">
      <c r="A2986">
        <f>HYPERLINK("https://www.philgeps.gov.ph/GEPSNONPILOT/Tender/SplashBidNoticeAbstractUI.aspx?menuIndex=3&amp;refID=7043958&amp;Result=3","7043958")</f>
        <v>0</v>
      </c>
      <c r="B2986" t="s">
        <v>1090</v>
      </c>
      <c r="C2986" t="s">
        <v>4016</v>
      </c>
      <c r="D2986" t="s">
        <v>13029</v>
      </c>
      <c r="E2986" t="s">
        <v>15782</v>
      </c>
      <c r="F2986" t="s">
        <v>22436</v>
      </c>
      <c r="G2986" t="s">
        <v>22446</v>
      </c>
      <c r="H2986" t="s">
        <v>22452</v>
      </c>
      <c r="I2986" t="s">
        <v>5194</v>
      </c>
      <c r="J2986" t="s">
        <v>22588</v>
      </c>
      <c r="K2986" t="s">
        <v>29357</v>
      </c>
      <c r="M2986" t="s">
        <v>30726</v>
      </c>
      <c r="N2986" t="s">
        <v>32524</v>
      </c>
      <c r="O2986" t="s">
        <v>32525</v>
      </c>
      <c r="P2986">
        <v>0</v>
      </c>
      <c r="Q2986">
        <v>1</v>
      </c>
      <c r="R2986" t="s">
        <v>32527</v>
      </c>
      <c r="S2986" t="s">
        <v>32552</v>
      </c>
      <c r="T2986" t="s">
        <v>33215</v>
      </c>
      <c r="U2986" t="s">
        <v>36155</v>
      </c>
      <c r="V2986" t="s">
        <v>42710</v>
      </c>
      <c r="W2986" t="s">
        <v>30726</v>
      </c>
      <c r="X2986" t="s">
        <v>32528</v>
      </c>
    </row>
    <row r="2987" spans="1:24">
      <c r="A2987">
        <f>HYPERLINK("https://www.philgeps.gov.ph/GEPSNONPILOT/Tender/SplashBidNoticeAbstractUI.aspx?menuIndex=3&amp;refID=7043967&amp;Result=3","7043967")</f>
        <v>0</v>
      </c>
      <c r="B2987" t="s">
        <v>1091</v>
      </c>
      <c r="C2987" t="s">
        <v>5528</v>
      </c>
      <c r="D2987" t="s">
        <v>13020</v>
      </c>
      <c r="E2987" t="s">
        <v>15783</v>
      </c>
      <c r="F2987" t="s">
        <v>22436</v>
      </c>
      <c r="G2987" t="s">
        <v>22443</v>
      </c>
      <c r="H2987" t="s">
        <v>22452</v>
      </c>
      <c r="I2987" t="s">
        <v>22504</v>
      </c>
      <c r="J2987" t="s">
        <v>24615</v>
      </c>
      <c r="K2987" t="s">
        <v>29335</v>
      </c>
      <c r="M2987" t="s">
        <v>30727</v>
      </c>
      <c r="N2987" t="s">
        <v>32524</v>
      </c>
      <c r="O2987" t="s">
        <v>32525</v>
      </c>
      <c r="P2987">
        <v>0</v>
      </c>
      <c r="Q2987">
        <v>3</v>
      </c>
      <c r="R2987" t="s">
        <v>32527</v>
      </c>
      <c r="S2987" t="s">
        <v>32552</v>
      </c>
      <c r="T2987" t="s">
        <v>33229</v>
      </c>
      <c r="U2987" t="s">
        <v>36156</v>
      </c>
      <c r="W2987" t="s">
        <v>30727</v>
      </c>
      <c r="X2987" t="s">
        <v>32528</v>
      </c>
    </row>
    <row r="2988" spans="1:24">
      <c r="A2988">
        <f>HYPERLINK("https://www.philgeps.gov.ph/GEPSNONPILOT/Tender/SplashBidNoticeAbstractUI.aspx?menuIndex=3&amp;refID=7043966&amp;Result=3","7043966")</f>
        <v>0</v>
      </c>
      <c r="B2988" t="s">
        <v>267</v>
      </c>
      <c r="C2988" t="s">
        <v>5529</v>
      </c>
      <c r="D2988" t="s">
        <v>13032</v>
      </c>
      <c r="E2988" t="s">
        <v>15784</v>
      </c>
      <c r="F2988" t="s">
        <v>22436</v>
      </c>
      <c r="G2988" t="s">
        <v>22446</v>
      </c>
      <c r="H2988" t="s">
        <v>22452</v>
      </c>
      <c r="I2988" t="s">
        <v>5194</v>
      </c>
      <c r="J2988" t="s">
        <v>24616</v>
      </c>
      <c r="K2988" t="s">
        <v>29338</v>
      </c>
      <c r="M2988" t="s">
        <v>29841</v>
      </c>
      <c r="N2988" t="s">
        <v>32524</v>
      </c>
      <c r="O2988" t="s">
        <v>32525</v>
      </c>
      <c r="P2988">
        <v>0</v>
      </c>
      <c r="Q2988">
        <v>0</v>
      </c>
      <c r="R2988" t="s">
        <v>32527</v>
      </c>
      <c r="S2988" t="s">
        <v>32552</v>
      </c>
      <c r="T2988" t="s">
        <v>33213</v>
      </c>
      <c r="U2988" t="s">
        <v>36157</v>
      </c>
      <c r="W2988" t="s">
        <v>43690</v>
      </c>
      <c r="X2988" t="s">
        <v>32528</v>
      </c>
    </row>
    <row r="2989" spans="1:24">
      <c r="A2989">
        <f>HYPERLINK("https://www.philgeps.gov.ph/GEPSNONPILOT/Tender/SplashBidNoticeAbstractUI.aspx?menuIndex=3&amp;refID=7043971&amp;Result=3","7043971")</f>
        <v>0</v>
      </c>
      <c r="B2989" t="s">
        <v>1048</v>
      </c>
      <c r="C2989" t="s">
        <v>5530</v>
      </c>
      <c r="D2989" t="s">
        <v>13007</v>
      </c>
      <c r="E2989" t="s">
        <v>15785</v>
      </c>
      <c r="F2989" t="s">
        <v>22436</v>
      </c>
      <c r="G2989" t="s">
        <v>22444</v>
      </c>
      <c r="H2989" t="s">
        <v>22452</v>
      </c>
      <c r="I2989" t="s">
        <v>22478</v>
      </c>
      <c r="J2989" t="s">
        <v>24617</v>
      </c>
      <c r="K2989" t="s">
        <v>29338</v>
      </c>
      <c r="M2989" t="s">
        <v>30680</v>
      </c>
      <c r="N2989" t="s">
        <v>32524</v>
      </c>
      <c r="O2989" t="s">
        <v>32525</v>
      </c>
      <c r="P2989">
        <v>0</v>
      </c>
      <c r="Q2989">
        <v>2</v>
      </c>
      <c r="R2989" t="s">
        <v>32527</v>
      </c>
      <c r="S2989" t="s">
        <v>32552</v>
      </c>
      <c r="T2989" t="s">
        <v>33153</v>
      </c>
      <c r="U2989" t="s">
        <v>36158</v>
      </c>
      <c r="W2989" t="s">
        <v>30680</v>
      </c>
      <c r="X2989" t="s">
        <v>32528</v>
      </c>
    </row>
    <row r="2990" spans="1:24">
      <c r="A2990">
        <f>HYPERLINK("https://www.philgeps.gov.ph/GEPSNONPILOT/Tender/SplashBidNoticeAbstractUI.aspx?menuIndex=3&amp;refID=7043957&amp;Result=3","7043957")</f>
        <v>0</v>
      </c>
      <c r="B2990" t="s">
        <v>267</v>
      </c>
      <c r="C2990" t="s">
        <v>5531</v>
      </c>
      <c r="D2990" t="s">
        <v>13032</v>
      </c>
      <c r="E2990" t="s">
        <v>15786</v>
      </c>
      <c r="F2990" t="s">
        <v>22436</v>
      </c>
      <c r="G2990" t="s">
        <v>22446</v>
      </c>
      <c r="H2990" t="s">
        <v>22452</v>
      </c>
      <c r="I2990" t="s">
        <v>5194</v>
      </c>
      <c r="J2990" t="s">
        <v>24618</v>
      </c>
      <c r="K2990" t="s">
        <v>29338</v>
      </c>
      <c r="M2990" t="s">
        <v>29841</v>
      </c>
      <c r="N2990" t="s">
        <v>32524</v>
      </c>
      <c r="O2990" t="s">
        <v>32525</v>
      </c>
      <c r="P2990">
        <v>0</v>
      </c>
      <c r="Q2990">
        <v>0</v>
      </c>
      <c r="R2990" t="s">
        <v>32527</v>
      </c>
      <c r="S2990" t="s">
        <v>32552</v>
      </c>
      <c r="T2990" t="s">
        <v>33213</v>
      </c>
      <c r="U2990" t="s">
        <v>36159</v>
      </c>
      <c r="W2990" t="s">
        <v>43690</v>
      </c>
      <c r="X2990" t="s">
        <v>32528</v>
      </c>
    </row>
    <row r="2991" spans="1:24">
      <c r="A2991">
        <f>HYPERLINK("https://www.philgeps.gov.ph/GEPSNONPILOT/Tender/SplashBidNoticeAbstractUI.aspx?menuIndex=3&amp;refID=7043963&amp;Result=3","7043963")</f>
        <v>0</v>
      </c>
      <c r="B2991" t="s">
        <v>1092</v>
      </c>
      <c r="C2991" t="s">
        <v>5532</v>
      </c>
      <c r="D2991" t="s">
        <v>13001</v>
      </c>
      <c r="E2991" t="s">
        <v>15787</v>
      </c>
      <c r="F2991" t="s">
        <v>22436</v>
      </c>
      <c r="G2991" t="s">
        <v>22444</v>
      </c>
      <c r="H2991" t="s">
        <v>22454</v>
      </c>
      <c r="I2991" t="s">
        <v>7738</v>
      </c>
      <c r="J2991" t="s">
        <v>24619</v>
      </c>
      <c r="K2991" t="s">
        <v>29338</v>
      </c>
      <c r="M2991" t="s">
        <v>30728</v>
      </c>
      <c r="N2991" t="s">
        <v>32524</v>
      </c>
      <c r="O2991" t="s">
        <v>32525</v>
      </c>
      <c r="P2991">
        <v>0</v>
      </c>
      <c r="Q2991">
        <v>3</v>
      </c>
      <c r="R2991" t="s">
        <v>32527</v>
      </c>
      <c r="S2991" t="s">
        <v>32552</v>
      </c>
      <c r="T2991" t="s">
        <v>33170</v>
      </c>
      <c r="U2991" t="s">
        <v>36160</v>
      </c>
      <c r="W2991" t="s">
        <v>30728</v>
      </c>
      <c r="X2991" t="s">
        <v>32528</v>
      </c>
    </row>
    <row r="2992" spans="1:24">
      <c r="A2992">
        <f>HYPERLINK("https://www.philgeps.gov.ph/GEPSNONPILOT/Tender/SplashBidNoticeAbstractUI.aspx?menuIndex=3&amp;refID=7043964&amp;Result=3","7043964")</f>
        <v>0</v>
      </c>
      <c r="B2992" t="s">
        <v>267</v>
      </c>
      <c r="C2992" t="s">
        <v>5533</v>
      </c>
      <c r="D2992" t="s">
        <v>13032</v>
      </c>
      <c r="E2992" t="s">
        <v>15788</v>
      </c>
      <c r="F2992" t="s">
        <v>22436</v>
      </c>
      <c r="G2992" t="s">
        <v>22446</v>
      </c>
      <c r="H2992" t="s">
        <v>22452</v>
      </c>
      <c r="I2992" t="s">
        <v>3840</v>
      </c>
      <c r="J2992" t="s">
        <v>24620</v>
      </c>
      <c r="K2992" t="s">
        <v>29338</v>
      </c>
      <c r="M2992" t="s">
        <v>29841</v>
      </c>
      <c r="N2992" t="s">
        <v>32524</v>
      </c>
      <c r="O2992" t="s">
        <v>32525</v>
      </c>
      <c r="P2992">
        <v>0</v>
      </c>
      <c r="Q2992">
        <v>0</v>
      </c>
      <c r="R2992" t="s">
        <v>32527</v>
      </c>
      <c r="S2992" t="s">
        <v>32552</v>
      </c>
      <c r="T2992" t="s">
        <v>33213</v>
      </c>
      <c r="U2992" t="s">
        <v>36161</v>
      </c>
      <c r="W2992" t="s">
        <v>43690</v>
      </c>
      <c r="X2992" t="s">
        <v>32528</v>
      </c>
    </row>
    <row r="2993" spans="1:24">
      <c r="A2993">
        <f>HYPERLINK("https://www.philgeps.gov.ph/GEPSNONPILOT/Tender/SplashBidNoticeAbstractUI.aspx?menuIndex=3&amp;refID=7043968&amp;Result=3","7043968")</f>
        <v>0</v>
      </c>
      <c r="B2993" t="s">
        <v>1093</v>
      </c>
      <c r="C2993" t="s">
        <v>5534</v>
      </c>
      <c r="D2993" t="s">
        <v>13069</v>
      </c>
      <c r="E2993" t="s">
        <v>15789</v>
      </c>
      <c r="F2993" t="s">
        <v>22436</v>
      </c>
      <c r="G2993" t="s">
        <v>22445</v>
      </c>
      <c r="H2993" t="s">
        <v>22452</v>
      </c>
      <c r="I2993" t="s">
        <v>5194</v>
      </c>
      <c r="J2993" t="s">
        <v>22700</v>
      </c>
      <c r="K2993" t="s">
        <v>29331</v>
      </c>
      <c r="M2993" t="s">
        <v>30729</v>
      </c>
      <c r="N2993" t="s">
        <v>32524</v>
      </c>
      <c r="O2993" t="s">
        <v>32525</v>
      </c>
      <c r="P2993">
        <v>0</v>
      </c>
      <c r="Q2993">
        <v>1</v>
      </c>
      <c r="R2993" t="s">
        <v>32527</v>
      </c>
      <c r="S2993" t="s">
        <v>32552</v>
      </c>
      <c r="T2993" t="s">
        <v>33203</v>
      </c>
      <c r="U2993" t="s">
        <v>36162</v>
      </c>
      <c r="W2993" t="s">
        <v>30729</v>
      </c>
      <c r="X2993" t="s">
        <v>32528</v>
      </c>
    </row>
    <row r="2994" spans="1:24">
      <c r="A2994">
        <f>HYPERLINK("https://www.philgeps.gov.ph/GEPSNONPILOT/Tender/SplashBidNoticeAbstractUI.aspx?menuIndex=3&amp;refID=7043960&amp;Result=3","7043960")</f>
        <v>0</v>
      </c>
      <c r="B2994" t="s">
        <v>1048</v>
      </c>
      <c r="C2994" t="s">
        <v>5535</v>
      </c>
      <c r="D2994" t="s">
        <v>13007</v>
      </c>
      <c r="E2994" t="s">
        <v>15790</v>
      </c>
      <c r="F2994" t="s">
        <v>22436</v>
      </c>
      <c r="G2994" t="s">
        <v>22444</v>
      </c>
      <c r="H2994" t="s">
        <v>22452</v>
      </c>
      <c r="I2994" t="s">
        <v>22469</v>
      </c>
      <c r="J2994" t="s">
        <v>24621</v>
      </c>
      <c r="K2994" t="s">
        <v>29338</v>
      </c>
      <c r="M2994" t="s">
        <v>30680</v>
      </c>
      <c r="N2994" t="s">
        <v>32524</v>
      </c>
      <c r="O2994" t="s">
        <v>32525</v>
      </c>
      <c r="P2994">
        <v>0</v>
      </c>
      <c r="Q2994">
        <v>5</v>
      </c>
      <c r="R2994" t="s">
        <v>32527</v>
      </c>
      <c r="S2994" t="s">
        <v>32552</v>
      </c>
      <c r="T2994" t="s">
        <v>33153</v>
      </c>
      <c r="U2994" t="s">
        <v>36163</v>
      </c>
      <c r="W2994" t="s">
        <v>30680</v>
      </c>
      <c r="X2994" t="s">
        <v>32528</v>
      </c>
    </row>
    <row r="2995" spans="1:24">
      <c r="A2995">
        <f>HYPERLINK("https://www.philgeps.gov.ph/GEPSNONPILOT/Tender/SplashBidNoticeAbstractUI.aspx?menuIndex=3&amp;refID=7043972&amp;Result=3","7043972")</f>
        <v>0</v>
      </c>
      <c r="B2995" t="s">
        <v>1094</v>
      </c>
      <c r="C2995" t="s">
        <v>5536</v>
      </c>
      <c r="D2995" t="s">
        <v>13000</v>
      </c>
      <c r="E2995" t="s">
        <v>15791</v>
      </c>
      <c r="F2995" t="s">
        <v>22436</v>
      </c>
      <c r="G2995" t="s">
        <v>22443</v>
      </c>
      <c r="H2995" t="s">
        <v>22452</v>
      </c>
      <c r="I2995" t="s">
        <v>2981</v>
      </c>
      <c r="J2995" t="s">
        <v>23289</v>
      </c>
      <c r="K2995" t="s">
        <v>29358</v>
      </c>
      <c r="M2995" t="s">
        <v>30730</v>
      </c>
      <c r="N2995" t="s">
        <v>32524</v>
      </c>
      <c r="O2995" t="s">
        <v>32525</v>
      </c>
      <c r="P2995">
        <v>0</v>
      </c>
      <c r="Q2995">
        <v>0</v>
      </c>
      <c r="R2995" t="s">
        <v>32527</v>
      </c>
      <c r="S2995" t="s">
        <v>32552</v>
      </c>
      <c r="T2995" t="s">
        <v>33203</v>
      </c>
      <c r="U2995" t="s">
        <v>36164</v>
      </c>
      <c r="W2995" t="s">
        <v>30730</v>
      </c>
      <c r="X2995" t="s">
        <v>32528</v>
      </c>
    </row>
    <row r="2996" spans="1:24">
      <c r="A2996">
        <f>HYPERLINK("https://www.philgeps.gov.ph/GEPSNONPILOT/Tender/SplashBidNoticeAbstractUI.aspx?menuIndex=3&amp;refID=7043979&amp;Result=3","7043979")</f>
        <v>0</v>
      </c>
      <c r="B2996" t="s">
        <v>1095</v>
      </c>
      <c r="C2996" t="s">
        <v>5537</v>
      </c>
      <c r="D2996" t="s">
        <v>12999</v>
      </c>
      <c r="E2996" t="s">
        <v>15792</v>
      </c>
      <c r="F2996" t="s">
        <v>22436</v>
      </c>
      <c r="G2996" t="s">
        <v>22445</v>
      </c>
      <c r="H2996" t="s">
        <v>22452</v>
      </c>
      <c r="I2996" t="s">
        <v>3529</v>
      </c>
      <c r="J2996" t="s">
        <v>24622</v>
      </c>
      <c r="K2996" t="s">
        <v>29338</v>
      </c>
      <c r="M2996" t="s">
        <v>30731</v>
      </c>
      <c r="N2996" t="s">
        <v>32524</v>
      </c>
      <c r="O2996" t="s">
        <v>32525</v>
      </c>
      <c r="P2996">
        <v>0</v>
      </c>
      <c r="Q2996">
        <v>0</v>
      </c>
      <c r="R2996" t="s">
        <v>32527</v>
      </c>
      <c r="S2996" t="s">
        <v>32552</v>
      </c>
      <c r="T2996" t="s">
        <v>33213</v>
      </c>
      <c r="U2996" t="s">
        <v>36165</v>
      </c>
      <c r="W2996" t="s">
        <v>30731</v>
      </c>
      <c r="X2996" t="s">
        <v>32528</v>
      </c>
    </row>
    <row r="2997" spans="1:24">
      <c r="A2997">
        <f>HYPERLINK("https://www.philgeps.gov.ph/GEPSNONPILOT/Tender/SplashBidNoticeAbstractUI.aspx?menuIndex=3&amp;refID=7043980&amp;Result=3","7043980")</f>
        <v>0</v>
      </c>
      <c r="B2997" t="s">
        <v>1096</v>
      </c>
      <c r="C2997" t="s">
        <v>5538</v>
      </c>
      <c r="D2997" t="s">
        <v>13006</v>
      </c>
      <c r="E2997" t="s">
        <v>15793</v>
      </c>
      <c r="F2997" t="s">
        <v>22436</v>
      </c>
      <c r="G2997" t="s">
        <v>22443</v>
      </c>
      <c r="H2997" t="s">
        <v>22454</v>
      </c>
      <c r="I2997" t="s">
        <v>22486</v>
      </c>
      <c r="J2997" t="s">
        <v>22588</v>
      </c>
      <c r="K2997" t="s">
        <v>29331</v>
      </c>
      <c r="M2997" t="s">
        <v>30732</v>
      </c>
      <c r="N2997" t="s">
        <v>32524</v>
      </c>
      <c r="O2997" t="s">
        <v>32525</v>
      </c>
      <c r="P2997">
        <v>0</v>
      </c>
      <c r="Q2997">
        <v>0</v>
      </c>
      <c r="R2997" t="s">
        <v>32527</v>
      </c>
      <c r="S2997" t="s">
        <v>32552</v>
      </c>
      <c r="T2997" t="s">
        <v>33209</v>
      </c>
      <c r="U2997" t="s">
        <v>36166</v>
      </c>
      <c r="W2997" t="s">
        <v>30732</v>
      </c>
      <c r="X2997" t="s">
        <v>32528</v>
      </c>
    </row>
    <row r="2998" spans="1:24">
      <c r="A2998">
        <f>HYPERLINK("https://www.philgeps.gov.ph/GEPSNONPILOT/Tender/SplashBidNoticeAbstractUI.aspx?menuIndex=3&amp;refID=7043973&amp;Result=3","7043973")</f>
        <v>0</v>
      </c>
      <c r="B2998" t="s">
        <v>267</v>
      </c>
      <c r="C2998" t="s">
        <v>5539</v>
      </c>
      <c r="D2998" t="s">
        <v>13032</v>
      </c>
      <c r="E2998" t="s">
        <v>15794</v>
      </c>
      <c r="F2998" t="s">
        <v>22436</v>
      </c>
      <c r="G2998" t="s">
        <v>22446</v>
      </c>
      <c r="H2998" t="s">
        <v>22452</v>
      </c>
      <c r="I2998" t="s">
        <v>22463</v>
      </c>
      <c r="J2998" t="s">
        <v>24623</v>
      </c>
      <c r="K2998" t="s">
        <v>29338</v>
      </c>
      <c r="M2998" t="s">
        <v>29841</v>
      </c>
      <c r="N2998" t="s">
        <v>32524</v>
      </c>
      <c r="O2998" t="s">
        <v>32525</v>
      </c>
      <c r="P2998">
        <v>0</v>
      </c>
      <c r="Q2998">
        <v>0</v>
      </c>
      <c r="R2998" t="s">
        <v>32527</v>
      </c>
      <c r="S2998" t="s">
        <v>32552</v>
      </c>
      <c r="T2998" t="s">
        <v>33213</v>
      </c>
      <c r="U2998" t="s">
        <v>36167</v>
      </c>
      <c r="W2998" t="s">
        <v>43690</v>
      </c>
      <c r="X2998" t="s">
        <v>32528</v>
      </c>
    </row>
    <row r="2999" spans="1:24">
      <c r="A2999">
        <f>HYPERLINK("https://www.philgeps.gov.ph/GEPSNONPILOT/Tender/SplashBidNoticeAbstractUI.aspx?menuIndex=3&amp;refID=7043962&amp;Result=3","7043962")</f>
        <v>0</v>
      </c>
      <c r="B2999" t="s">
        <v>1091</v>
      </c>
      <c r="C2999" t="s">
        <v>5540</v>
      </c>
      <c r="D2999" t="s">
        <v>13020</v>
      </c>
      <c r="E2999" t="s">
        <v>15795</v>
      </c>
      <c r="F2999" t="s">
        <v>22436</v>
      </c>
      <c r="G2999" t="s">
        <v>22443</v>
      </c>
      <c r="H2999" t="s">
        <v>22452</v>
      </c>
      <c r="I2999" t="s">
        <v>2981</v>
      </c>
      <c r="J2999" t="s">
        <v>24624</v>
      </c>
      <c r="K2999" t="s">
        <v>29335</v>
      </c>
      <c r="M2999" t="s">
        <v>30727</v>
      </c>
      <c r="N2999" t="s">
        <v>32524</v>
      </c>
      <c r="O2999" t="s">
        <v>32525</v>
      </c>
      <c r="P2999">
        <v>0</v>
      </c>
      <c r="Q2999">
        <v>1</v>
      </c>
      <c r="R2999" t="s">
        <v>32527</v>
      </c>
      <c r="S2999" t="s">
        <v>32552</v>
      </c>
      <c r="T2999" t="s">
        <v>33229</v>
      </c>
      <c r="U2999" t="s">
        <v>36168</v>
      </c>
      <c r="W2999" t="s">
        <v>30727</v>
      </c>
      <c r="X2999" t="s">
        <v>32528</v>
      </c>
    </row>
    <row r="3000" spans="1:24">
      <c r="A3000">
        <f>HYPERLINK("https://www.philgeps.gov.ph/GEPSNONPILOT/Tender/SplashBidNoticeAbstractUI.aspx?menuIndex=3&amp;refID=7043975&amp;Result=3","7043975")</f>
        <v>0</v>
      </c>
      <c r="B3000" t="s">
        <v>1091</v>
      </c>
      <c r="C3000" t="s">
        <v>5541</v>
      </c>
      <c r="D3000" t="s">
        <v>13020</v>
      </c>
      <c r="E3000" t="s">
        <v>15796</v>
      </c>
      <c r="F3000" t="s">
        <v>22436</v>
      </c>
      <c r="G3000" t="s">
        <v>22443</v>
      </c>
      <c r="H3000" t="s">
        <v>22452</v>
      </c>
      <c r="I3000" t="s">
        <v>22495</v>
      </c>
      <c r="J3000" t="s">
        <v>24625</v>
      </c>
      <c r="K3000" t="s">
        <v>29335</v>
      </c>
      <c r="M3000" t="s">
        <v>30727</v>
      </c>
      <c r="N3000" t="s">
        <v>32524</v>
      </c>
      <c r="O3000" t="s">
        <v>32525</v>
      </c>
      <c r="P3000">
        <v>0</v>
      </c>
      <c r="Q3000">
        <v>0</v>
      </c>
      <c r="R3000" t="s">
        <v>32527</v>
      </c>
      <c r="S3000" t="s">
        <v>32552</v>
      </c>
      <c r="T3000" t="s">
        <v>33229</v>
      </c>
      <c r="U3000" t="s">
        <v>36169</v>
      </c>
      <c r="W3000" t="s">
        <v>30727</v>
      </c>
      <c r="X3000" t="s">
        <v>32528</v>
      </c>
    </row>
    <row r="3001" spans="1:24">
      <c r="A3001">
        <f>HYPERLINK("https://www.philgeps.gov.ph/GEPSNONPILOT/Tender/SplashBidNoticeAbstractUI.aspx?menuIndex=3&amp;refID=7043974&amp;Result=3","7043974")</f>
        <v>0</v>
      </c>
      <c r="B3001" t="s">
        <v>1097</v>
      </c>
      <c r="C3001" t="s">
        <v>5536</v>
      </c>
      <c r="D3001" t="s">
        <v>13000</v>
      </c>
      <c r="E3001" t="s">
        <v>15797</v>
      </c>
      <c r="F3001" t="s">
        <v>22436</v>
      </c>
      <c r="G3001" t="s">
        <v>22443</v>
      </c>
      <c r="H3001" t="s">
        <v>22452</v>
      </c>
      <c r="I3001" t="s">
        <v>2981</v>
      </c>
      <c r="J3001" t="s">
        <v>23289</v>
      </c>
      <c r="K3001" t="s">
        <v>29358</v>
      </c>
      <c r="M3001" t="s">
        <v>30733</v>
      </c>
      <c r="N3001" t="s">
        <v>32524</v>
      </c>
      <c r="O3001" t="s">
        <v>32525</v>
      </c>
      <c r="P3001">
        <v>0</v>
      </c>
      <c r="Q3001">
        <v>0</v>
      </c>
      <c r="R3001" t="s">
        <v>32527</v>
      </c>
      <c r="S3001" t="s">
        <v>32552</v>
      </c>
      <c r="T3001" t="s">
        <v>33393</v>
      </c>
      <c r="U3001" t="s">
        <v>36170</v>
      </c>
      <c r="W3001" t="s">
        <v>30733</v>
      </c>
      <c r="X3001" t="s">
        <v>32528</v>
      </c>
    </row>
    <row r="3002" spans="1:24">
      <c r="A3002">
        <f>HYPERLINK("https://www.philgeps.gov.ph/GEPSNONPILOT/Tender/SplashBidNoticeAbstractUI.aspx?menuIndex=3&amp;refID=7044000&amp;Result=3","7044000")</f>
        <v>0</v>
      </c>
      <c r="B3002" t="s">
        <v>1098</v>
      </c>
      <c r="C3002" t="s">
        <v>5542</v>
      </c>
      <c r="D3002" t="s">
        <v>12988</v>
      </c>
      <c r="E3002" t="s">
        <v>15798</v>
      </c>
      <c r="F3002" t="s">
        <v>22436</v>
      </c>
      <c r="G3002" t="s">
        <v>22443</v>
      </c>
      <c r="H3002" t="s">
        <v>22452</v>
      </c>
      <c r="I3002" t="s">
        <v>12358</v>
      </c>
      <c r="J3002" t="s">
        <v>24626</v>
      </c>
      <c r="K3002" t="s">
        <v>29336</v>
      </c>
      <c r="M3002" t="s">
        <v>30734</v>
      </c>
      <c r="N3002" t="s">
        <v>32524</v>
      </c>
      <c r="O3002" t="s">
        <v>32525</v>
      </c>
      <c r="P3002">
        <v>0</v>
      </c>
      <c r="Q3002">
        <v>3</v>
      </c>
      <c r="R3002" t="s">
        <v>32527</v>
      </c>
      <c r="S3002" t="s">
        <v>32552</v>
      </c>
      <c r="T3002" t="s">
        <v>33327</v>
      </c>
      <c r="U3002" t="s">
        <v>36171</v>
      </c>
      <c r="W3002" t="s">
        <v>30734</v>
      </c>
      <c r="X3002" t="s">
        <v>32528</v>
      </c>
    </row>
    <row r="3003" spans="1:24">
      <c r="A3003">
        <f>HYPERLINK("https://www.philgeps.gov.ph/GEPSNONPILOT/Tender/SplashBidNoticeAbstractUI.aspx?menuIndex=3&amp;refID=7043986&amp;Result=3","7043986")</f>
        <v>0</v>
      </c>
      <c r="B3003" t="s">
        <v>1096</v>
      </c>
      <c r="C3003" t="s">
        <v>5543</v>
      </c>
      <c r="D3003" t="s">
        <v>13006</v>
      </c>
      <c r="E3003" t="s">
        <v>15799</v>
      </c>
      <c r="F3003" t="s">
        <v>22436</v>
      </c>
      <c r="G3003" t="s">
        <v>22443</v>
      </c>
      <c r="H3003" t="s">
        <v>22453</v>
      </c>
      <c r="I3003" t="s">
        <v>22504</v>
      </c>
      <c r="J3003" t="s">
        <v>23829</v>
      </c>
      <c r="K3003" t="s">
        <v>29337</v>
      </c>
      <c r="M3003" t="s">
        <v>30732</v>
      </c>
      <c r="N3003" t="s">
        <v>32524</v>
      </c>
      <c r="O3003" t="s">
        <v>32525</v>
      </c>
      <c r="P3003">
        <v>0</v>
      </c>
      <c r="Q3003">
        <v>0</v>
      </c>
      <c r="R3003" t="s">
        <v>32527</v>
      </c>
      <c r="S3003" t="s">
        <v>32552</v>
      </c>
      <c r="T3003" t="s">
        <v>33209</v>
      </c>
      <c r="U3003" t="s">
        <v>36172</v>
      </c>
      <c r="W3003" t="s">
        <v>30732</v>
      </c>
      <c r="X3003" t="s">
        <v>32528</v>
      </c>
    </row>
    <row r="3004" spans="1:24">
      <c r="A3004">
        <f>HYPERLINK("https://www.philgeps.gov.ph/GEPSNONPILOT/Tender/SplashBidNoticeAbstractUI.aspx?menuIndex=3&amp;refID=7043984&amp;Result=3","7043984")</f>
        <v>0</v>
      </c>
      <c r="B3004" t="s">
        <v>1096</v>
      </c>
      <c r="C3004" t="s">
        <v>5544</v>
      </c>
      <c r="D3004" t="s">
        <v>13006</v>
      </c>
      <c r="E3004" t="s">
        <v>15800</v>
      </c>
      <c r="F3004" t="s">
        <v>22436</v>
      </c>
      <c r="G3004" t="s">
        <v>22443</v>
      </c>
      <c r="H3004" t="s">
        <v>22452</v>
      </c>
      <c r="I3004" t="s">
        <v>6387</v>
      </c>
      <c r="J3004" t="s">
        <v>24627</v>
      </c>
      <c r="K3004" t="s">
        <v>29331</v>
      </c>
      <c r="M3004" t="s">
        <v>30732</v>
      </c>
      <c r="N3004" t="s">
        <v>32524</v>
      </c>
      <c r="O3004" t="s">
        <v>32525</v>
      </c>
      <c r="P3004">
        <v>0</v>
      </c>
      <c r="Q3004">
        <v>0</v>
      </c>
      <c r="R3004" t="s">
        <v>32527</v>
      </c>
      <c r="S3004" t="s">
        <v>32552</v>
      </c>
      <c r="T3004" t="s">
        <v>33209</v>
      </c>
      <c r="U3004" t="s">
        <v>36173</v>
      </c>
      <c r="W3004" t="s">
        <v>30732</v>
      </c>
      <c r="X3004" t="s">
        <v>32528</v>
      </c>
    </row>
    <row r="3005" spans="1:24">
      <c r="A3005">
        <f>HYPERLINK("https://www.philgeps.gov.ph/GEPSNONPILOT/Tender/SplashBidNoticeAbstractUI.aspx?menuIndex=3&amp;refID=7043999&amp;Result=3","7043999")</f>
        <v>0</v>
      </c>
      <c r="B3005" t="s">
        <v>267</v>
      </c>
      <c r="C3005" t="s">
        <v>5545</v>
      </c>
      <c r="D3005" t="s">
        <v>13032</v>
      </c>
      <c r="E3005" t="s">
        <v>15801</v>
      </c>
      <c r="F3005" t="s">
        <v>22436</v>
      </c>
      <c r="G3005" t="s">
        <v>22446</v>
      </c>
      <c r="H3005" t="s">
        <v>22452</v>
      </c>
      <c r="I3005" t="s">
        <v>3840</v>
      </c>
      <c r="J3005" t="s">
        <v>24628</v>
      </c>
      <c r="K3005" t="s">
        <v>29338</v>
      </c>
      <c r="M3005" t="s">
        <v>29841</v>
      </c>
      <c r="N3005" t="s">
        <v>32524</v>
      </c>
      <c r="O3005" t="s">
        <v>32525</v>
      </c>
      <c r="P3005">
        <v>0</v>
      </c>
      <c r="Q3005">
        <v>0</v>
      </c>
      <c r="R3005" t="s">
        <v>32527</v>
      </c>
      <c r="S3005" t="s">
        <v>32552</v>
      </c>
      <c r="T3005" t="s">
        <v>33213</v>
      </c>
      <c r="U3005" t="s">
        <v>36174</v>
      </c>
      <c r="W3005" t="s">
        <v>43690</v>
      </c>
      <c r="X3005" t="s">
        <v>32528</v>
      </c>
    </row>
    <row r="3006" spans="1:24">
      <c r="A3006">
        <f>HYPERLINK("https://www.philgeps.gov.ph/GEPSNONPILOT/Tender/SplashBidNoticeAbstractUI.aspx?menuIndex=3&amp;refID=7043989&amp;Result=3","7043989")</f>
        <v>0</v>
      </c>
      <c r="B3006" t="s">
        <v>267</v>
      </c>
      <c r="C3006" t="s">
        <v>5546</v>
      </c>
      <c r="D3006" t="s">
        <v>13032</v>
      </c>
      <c r="E3006" t="s">
        <v>15802</v>
      </c>
      <c r="F3006" t="s">
        <v>22436</v>
      </c>
      <c r="G3006" t="s">
        <v>22446</v>
      </c>
      <c r="H3006" t="s">
        <v>22452</v>
      </c>
      <c r="I3006" t="s">
        <v>22508</v>
      </c>
      <c r="J3006" t="s">
        <v>24629</v>
      </c>
      <c r="K3006" t="s">
        <v>29338</v>
      </c>
      <c r="M3006" t="s">
        <v>29841</v>
      </c>
      <c r="N3006" t="s">
        <v>32524</v>
      </c>
      <c r="O3006" t="s">
        <v>32525</v>
      </c>
      <c r="P3006">
        <v>0</v>
      </c>
      <c r="Q3006">
        <v>2</v>
      </c>
      <c r="R3006" t="s">
        <v>32527</v>
      </c>
      <c r="S3006" t="s">
        <v>32552</v>
      </c>
      <c r="T3006" t="s">
        <v>33213</v>
      </c>
      <c r="U3006" t="s">
        <v>36175</v>
      </c>
      <c r="W3006" t="s">
        <v>43690</v>
      </c>
      <c r="X3006" t="s">
        <v>32528</v>
      </c>
    </row>
    <row r="3007" spans="1:24">
      <c r="A3007">
        <f>HYPERLINK("https://www.philgeps.gov.ph/GEPSNONPILOT/Tender/SplashBidNoticeAbstractUI.aspx?menuIndex=3&amp;refID=7043983&amp;Result=3","7043983")</f>
        <v>0</v>
      </c>
      <c r="B3007" t="s">
        <v>1099</v>
      </c>
      <c r="C3007" t="s">
        <v>5547</v>
      </c>
      <c r="D3007" t="s">
        <v>13055</v>
      </c>
      <c r="E3007" t="s">
        <v>15803</v>
      </c>
      <c r="F3007" t="s">
        <v>22436</v>
      </c>
      <c r="G3007" t="s">
        <v>22443</v>
      </c>
      <c r="H3007" t="s">
        <v>22452</v>
      </c>
      <c r="I3007" t="s">
        <v>2981</v>
      </c>
      <c r="J3007" t="s">
        <v>24630</v>
      </c>
      <c r="K3007" t="s">
        <v>29331</v>
      </c>
      <c r="M3007" t="s">
        <v>30735</v>
      </c>
      <c r="N3007" t="s">
        <v>32524</v>
      </c>
      <c r="O3007" t="s">
        <v>32525</v>
      </c>
      <c r="P3007">
        <v>0</v>
      </c>
      <c r="Q3007">
        <v>1</v>
      </c>
      <c r="R3007" t="s">
        <v>32527</v>
      </c>
      <c r="S3007" t="s">
        <v>32552</v>
      </c>
      <c r="T3007" t="s">
        <v>33213</v>
      </c>
      <c r="U3007" t="s">
        <v>36176</v>
      </c>
      <c r="V3007" t="s">
        <v>42711</v>
      </c>
      <c r="W3007" t="s">
        <v>30735</v>
      </c>
      <c r="X3007" t="s">
        <v>32528</v>
      </c>
    </row>
    <row r="3008" spans="1:24">
      <c r="A3008">
        <f>HYPERLINK("https://www.philgeps.gov.ph/GEPSNONPILOT/Tender/SplashBidNoticeAbstractUI.aspx?menuIndex=3&amp;refID=7043990&amp;Result=3","7043990")</f>
        <v>0</v>
      </c>
      <c r="B3008" t="s">
        <v>1096</v>
      </c>
      <c r="C3008" t="s">
        <v>5548</v>
      </c>
      <c r="D3008" t="s">
        <v>13006</v>
      </c>
      <c r="E3008" t="s">
        <v>15804</v>
      </c>
      <c r="F3008" t="s">
        <v>22436</v>
      </c>
      <c r="G3008" t="s">
        <v>22443</v>
      </c>
      <c r="H3008" t="s">
        <v>22452</v>
      </c>
      <c r="I3008" t="s">
        <v>3529</v>
      </c>
      <c r="J3008" t="s">
        <v>24631</v>
      </c>
      <c r="K3008" t="s">
        <v>29331</v>
      </c>
      <c r="M3008" t="s">
        <v>30732</v>
      </c>
      <c r="N3008" t="s">
        <v>32524</v>
      </c>
      <c r="O3008" t="s">
        <v>32525</v>
      </c>
      <c r="P3008">
        <v>0</v>
      </c>
      <c r="Q3008">
        <v>0</v>
      </c>
      <c r="R3008" t="s">
        <v>32527</v>
      </c>
      <c r="S3008" t="s">
        <v>32552</v>
      </c>
      <c r="T3008" t="s">
        <v>33209</v>
      </c>
      <c r="U3008" t="s">
        <v>36177</v>
      </c>
      <c r="W3008" t="s">
        <v>30732</v>
      </c>
      <c r="X3008" t="s">
        <v>32528</v>
      </c>
    </row>
    <row r="3009" spans="1:24">
      <c r="A3009">
        <f>HYPERLINK("https://www.philgeps.gov.ph/GEPSNONPILOT/Tender/SplashBidNoticeAbstractUI.aspx?menuIndex=3&amp;refID=7044013&amp;Result=3","7044013")</f>
        <v>0</v>
      </c>
      <c r="B3009" t="s">
        <v>267</v>
      </c>
      <c r="C3009" t="s">
        <v>5549</v>
      </c>
      <c r="D3009" t="s">
        <v>13032</v>
      </c>
      <c r="E3009" t="s">
        <v>15805</v>
      </c>
      <c r="F3009" t="s">
        <v>22436</v>
      </c>
      <c r="G3009" t="s">
        <v>22446</v>
      </c>
      <c r="H3009" t="s">
        <v>22452</v>
      </c>
      <c r="I3009" t="s">
        <v>22479</v>
      </c>
      <c r="J3009" t="s">
        <v>24632</v>
      </c>
      <c r="K3009" t="s">
        <v>29338</v>
      </c>
      <c r="M3009" t="s">
        <v>29841</v>
      </c>
      <c r="N3009" t="s">
        <v>32524</v>
      </c>
      <c r="O3009" t="s">
        <v>32525</v>
      </c>
      <c r="P3009">
        <v>0</v>
      </c>
      <c r="Q3009">
        <v>1</v>
      </c>
      <c r="R3009" t="s">
        <v>32527</v>
      </c>
      <c r="S3009" t="s">
        <v>32552</v>
      </c>
      <c r="T3009" t="s">
        <v>33213</v>
      </c>
      <c r="U3009" t="s">
        <v>36178</v>
      </c>
      <c r="W3009" t="s">
        <v>43690</v>
      </c>
      <c r="X3009" t="s">
        <v>32528</v>
      </c>
    </row>
    <row r="3010" spans="1:24">
      <c r="A3010">
        <f>HYPERLINK("https://www.philgeps.gov.ph/GEPSNONPILOT/Tender/SplashBidNoticeAbstractUI.aspx?menuIndex=3&amp;refID=7044016&amp;Result=3","7044016")</f>
        <v>0</v>
      </c>
      <c r="B3010" t="s">
        <v>353</v>
      </c>
      <c r="C3010" t="s">
        <v>5550</v>
      </c>
      <c r="D3010" t="s">
        <v>13034</v>
      </c>
      <c r="E3010" t="s">
        <v>15806</v>
      </c>
      <c r="F3010" t="s">
        <v>22436</v>
      </c>
      <c r="G3010" t="s">
        <v>22444</v>
      </c>
      <c r="H3010" t="s">
        <v>22452</v>
      </c>
      <c r="I3010" t="s">
        <v>22474</v>
      </c>
      <c r="J3010" t="s">
        <v>24216</v>
      </c>
      <c r="K3010" t="s">
        <v>29357</v>
      </c>
      <c r="M3010" t="s">
        <v>29930</v>
      </c>
      <c r="N3010" t="s">
        <v>32524</v>
      </c>
      <c r="O3010" t="s">
        <v>32525</v>
      </c>
      <c r="P3010">
        <v>0</v>
      </c>
      <c r="Q3010">
        <v>5</v>
      </c>
      <c r="R3010" t="s">
        <v>32527</v>
      </c>
      <c r="S3010" t="s">
        <v>32552</v>
      </c>
      <c r="T3010" t="s">
        <v>33165</v>
      </c>
      <c r="U3010" t="s">
        <v>36179</v>
      </c>
      <c r="W3010" t="s">
        <v>29930</v>
      </c>
      <c r="X3010" t="s">
        <v>32528</v>
      </c>
    </row>
    <row r="3011" spans="1:24">
      <c r="A3011">
        <f>HYPERLINK("https://www.philgeps.gov.ph/GEPSNONPILOT/Tender/SplashBidNoticeAbstractUI.aspx?menuIndex=3&amp;refID=7044015&amp;Result=3","7044015")</f>
        <v>0</v>
      </c>
      <c r="B3011" t="s">
        <v>957</v>
      </c>
      <c r="C3011" t="s">
        <v>5551</v>
      </c>
      <c r="D3011" t="s">
        <v>13028</v>
      </c>
      <c r="E3011" t="s">
        <v>15807</v>
      </c>
      <c r="F3011" t="s">
        <v>22436</v>
      </c>
      <c r="G3011" t="s">
        <v>22444</v>
      </c>
      <c r="H3011" t="s">
        <v>22454</v>
      </c>
      <c r="I3011" t="s">
        <v>22501</v>
      </c>
      <c r="J3011" t="s">
        <v>24633</v>
      </c>
      <c r="K3011" t="s">
        <v>29344</v>
      </c>
      <c r="M3011" t="s">
        <v>30573</v>
      </c>
      <c r="N3011" t="s">
        <v>32524</v>
      </c>
      <c r="O3011" t="s">
        <v>32525</v>
      </c>
      <c r="P3011">
        <v>0</v>
      </c>
      <c r="Q3011">
        <v>1</v>
      </c>
      <c r="R3011" t="s">
        <v>32527</v>
      </c>
      <c r="S3011" t="s">
        <v>32552</v>
      </c>
      <c r="T3011" t="s">
        <v>33170</v>
      </c>
      <c r="U3011" t="s">
        <v>36180</v>
      </c>
      <c r="V3011" t="s">
        <v>42656</v>
      </c>
      <c r="W3011" t="s">
        <v>30573</v>
      </c>
      <c r="X3011" t="s">
        <v>32528</v>
      </c>
    </row>
    <row r="3012" spans="1:24">
      <c r="A3012">
        <f>HYPERLINK("https://www.philgeps.gov.ph/GEPSNONPILOT/Tender/SplashBidNoticeAbstractUI.aspx?menuIndex=3&amp;refID=7044008&amp;Result=3","7044008")</f>
        <v>0</v>
      </c>
      <c r="B3012" t="s">
        <v>1100</v>
      </c>
      <c r="C3012" t="s">
        <v>5552</v>
      </c>
      <c r="D3012" t="s">
        <v>12988</v>
      </c>
      <c r="E3012" t="s">
        <v>15808</v>
      </c>
      <c r="F3012" t="s">
        <v>22436</v>
      </c>
      <c r="G3012" t="s">
        <v>22444</v>
      </c>
      <c r="H3012" t="s">
        <v>22454</v>
      </c>
      <c r="I3012" t="s">
        <v>22512</v>
      </c>
      <c r="J3012" t="s">
        <v>22634</v>
      </c>
      <c r="K3012" t="s">
        <v>29338</v>
      </c>
      <c r="M3012" t="s">
        <v>30736</v>
      </c>
      <c r="N3012" t="s">
        <v>32524</v>
      </c>
      <c r="O3012" t="s">
        <v>32525</v>
      </c>
      <c r="P3012">
        <v>0</v>
      </c>
      <c r="Q3012">
        <v>5</v>
      </c>
      <c r="R3012" t="s">
        <v>32527</v>
      </c>
      <c r="S3012" t="s">
        <v>32552</v>
      </c>
      <c r="T3012" t="s">
        <v>33157</v>
      </c>
      <c r="U3012" t="s">
        <v>36181</v>
      </c>
      <c r="W3012" t="s">
        <v>30736</v>
      </c>
      <c r="X3012" t="s">
        <v>32528</v>
      </c>
    </row>
    <row r="3013" spans="1:24">
      <c r="A3013">
        <f>HYPERLINK("https://www.philgeps.gov.ph/GEPSNONPILOT/Tender/SplashBidNoticeAbstractUI.aspx?menuIndex=3&amp;refID=7043996&amp;Result=3","7043996")</f>
        <v>0</v>
      </c>
      <c r="B3013" t="s">
        <v>267</v>
      </c>
      <c r="C3013" t="s">
        <v>5553</v>
      </c>
      <c r="D3013" t="s">
        <v>13032</v>
      </c>
      <c r="E3013" t="s">
        <v>15809</v>
      </c>
      <c r="F3013" t="s">
        <v>22436</v>
      </c>
      <c r="G3013" t="s">
        <v>22446</v>
      </c>
      <c r="H3013" t="s">
        <v>22452</v>
      </c>
      <c r="I3013" t="s">
        <v>3840</v>
      </c>
      <c r="J3013" t="s">
        <v>24634</v>
      </c>
      <c r="K3013" t="s">
        <v>29338</v>
      </c>
      <c r="M3013" t="s">
        <v>29841</v>
      </c>
      <c r="N3013" t="s">
        <v>32524</v>
      </c>
      <c r="O3013" t="s">
        <v>32525</v>
      </c>
      <c r="P3013">
        <v>0</v>
      </c>
      <c r="Q3013">
        <v>0</v>
      </c>
      <c r="R3013" t="s">
        <v>32527</v>
      </c>
      <c r="S3013" t="s">
        <v>32552</v>
      </c>
      <c r="T3013" t="s">
        <v>33213</v>
      </c>
      <c r="U3013" t="s">
        <v>36182</v>
      </c>
      <c r="W3013" t="s">
        <v>43690</v>
      </c>
      <c r="X3013" t="s">
        <v>32528</v>
      </c>
    </row>
    <row r="3014" spans="1:24">
      <c r="A3014">
        <f>HYPERLINK("https://www.philgeps.gov.ph/GEPSNONPILOT/Tender/SplashBidNoticeAbstractUI.aspx?menuIndex=3&amp;refID=7044004&amp;Result=3","7044004")</f>
        <v>0</v>
      </c>
      <c r="B3014" t="s">
        <v>267</v>
      </c>
      <c r="C3014" t="s">
        <v>5554</v>
      </c>
      <c r="D3014" t="s">
        <v>13032</v>
      </c>
      <c r="E3014" t="s">
        <v>15810</v>
      </c>
      <c r="F3014" t="s">
        <v>22436</v>
      </c>
      <c r="G3014" t="s">
        <v>22446</v>
      </c>
      <c r="H3014" t="s">
        <v>22452</v>
      </c>
      <c r="I3014" t="s">
        <v>22478</v>
      </c>
      <c r="J3014" t="s">
        <v>22800</v>
      </c>
      <c r="K3014" t="s">
        <v>29338</v>
      </c>
      <c r="M3014" t="s">
        <v>29841</v>
      </c>
      <c r="N3014" t="s">
        <v>32524</v>
      </c>
      <c r="O3014" t="s">
        <v>32525</v>
      </c>
      <c r="P3014">
        <v>0</v>
      </c>
      <c r="Q3014">
        <v>1</v>
      </c>
      <c r="R3014" t="s">
        <v>32527</v>
      </c>
      <c r="S3014" t="s">
        <v>32552</v>
      </c>
      <c r="T3014" t="s">
        <v>33213</v>
      </c>
      <c r="U3014" t="s">
        <v>36183</v>
      </c>
      <c r="W3014" t="s">
        <v>43690</v>
      </c>
      <c r="X3014" t="s">
        <v>32528</v>
      </c>
    </row>
    <row r="3015" spans="1:24">
      <c r="A3015">
        <f>HYPERLINK("https://www.philgeps.gov.ph/GEPSNONPILOT/Tender/SplashBidNoticeAbstractUI.aspx?menuIndex=3&amp;refID=7044020&amp;Result=3","7044020")</f>
        <v>0</v>
      </c>
      <c r="B3015" t="s">
        <v>874</v>
      </c>
      <c r="C3015" t="s">
        <v>5555</v>
      </c>
      <c r="E3015" t="s">
        <v>15811</v>
      </c>
      <c r="F3015" t="s">
        <v>22436</v>
      </c>
      <c r="G3015" t="s">
        <v>22445</v>
      </c>
      <c r="H3015" t="s">
        <v>22452</v>
      </c>
      <c r="I3015" t="s">
        <v>22460</v>
      </c>
      <c r="J3015" t="s">
        <v>23036</v>
      </c>
      <c r="K3015" t="s">
        <v>29338</v>
      </c>
      <c r="M3015" t="s">
        <v>30482</v>
      </c>
      <c r="N3015" t="s">
        <v>32524</v>
      </c>
      <c r="O3015" t="s">
        <v>32525</v>
      </c>
      <c r="P3015">
        <v>0</v>
      </c>
      <c r="Q3015">
        <v>5</v>
      </c>
      <c r="R3015" t="s">
        <v>32527</v>
      </c>
      <c r="S3015" t="s">
        <v>32552</v>
      </c>
      <c r="T3015" t="s">
        <v>33327</v>
      </c>
      <c r="U3015" t="s">
        <v>36184</v>
      </c>
      <c r="W3015" t="s">
        <v>30482</v>
      </c>
      <c r="X3015" t="s">
        <v>32528</v>
      </c>
    </row>
    <row r="3016" spans="1:24">
      <c r="A3016">
        <f>HYPERLINK("https://www.philgeps.gov.ph/GEPSNONPILOT/Tender/SplashBidNoticeAbstractUI.aspx?menuIndex=3&amp;refID=7043994&amp;Result=3","7043994")</f>
        <v>0</v>
      </c>
      <c r="B3016" t="s">
        <v>267</v>
      </c>
      <c r="C3016" t="s">
        <v>5556</v>
      </c>
      <c r="D3016" t="s">
        <v>13032</v>
      </c>
      <c r="E3016" t="s">
        <v>15812</v>
      </c>
      <c r="F3016" t="s">
        <v>22436</v>
      </c>
      <c r="G3016" t="s">
        <v>22446</v>
      </c>
      <c r="H3016" t="s">
        <v>22452</v>
      </c>
      <c r="I3016" t="s">
        <v>3027</v>
      </c>
      <c r="J3016" t="s">
        <v>24635</v>
      </c>
      <c r="K3016" t="s">
        <v>29338</v>
      </c>
      <c r="M3016" t="s">
        <v>29841</v>
      </c>
      <c r="N3016" t="s">
        <v>32524</v>
      </c>
      <c r="O3016" t="s">
        <v>32525</v>
      </c>
      <c r="P3016">
        <v>0</v>
      </c>
      <c r="Q3016">
        <v>0</v>
      </c>
      <c r="R3016" t="s">
        <v>32527</v>
      </c>
      <c r="S3016" t="s">
        <v>32552</v>
      </c>
      <c r="T3016" t="s">
        <v>33213</v>
      </c>
      <c r="U3016" t="s">
        <v>36185</v>
      </c>
      <c r="W3016" t="s">
        <v>43690</v>
      </c>
      <c r="X3016" t="s">
        <v>32528</v>
      </c>
    </row>
    <row r="3017" spans="1:24">
      <c r="A3017">
        <f>HYPERLINK("https://www.philgeps.gov.ph/GEPSNONPILOT/Tender/SplashBidNoticeAbstractUI.aspx?menuIndex=3&amp;refID=7044019&amp;Result=3","7044019")</f>
        <v>0</v>
      </c>
      <c r="B3017" t="s">
        <v>1100</v>
      </c>
      <c r="C3017" t="s">
        <v>5557</v>
      </c>
      <c r="D3017" t="s">
        <v>12988</v>
      </c>
      <c r="E3017" t="s">
        <v>15813</v>
      </c>
      <c r="F3017" t="s">
        <v>22436</v>
      </c>
      <c r="G3017" t="s">
        <v>22444</v>
      </c>
      <c r="H3017" t="s">
        <v>22452</v>
      </c>
      <c r="I3017" t="s">
        <v>22499</v>
      </c>
      <c r="J3017" t="s">
        <v>22640</v>
      </c>
      <c r="K3017" t="s">
        <v>29338</v>
      </c>
      <c r="M3017" t="s">
        <v>30736</v>
      </c>
      <c r="N3017" t="s">
        <v>32524</v>
      </c>
      <c r="O3017" t="s">
        <v>32525</v>
      </c>
      <c r="P3017">
        <v>0</v>
      </c>
      <c r="Q3017">
        <v>1</v>
      </c>
      <c r="R3017" t="s">
        <v>32527</v>
      </c>
      <c r="S3017" t="s">
        <v>32552</v>
      </c>
      <c r="T3017" t="s">
        <v>33383</v>
      </c>
      <c r="U3017" t="s">
        <v>36186</v>
      </c>
      <c r="W3017" t="s">
        <v>30736</v>
      </c>
      <c r="X3017" t="s">
        <v>32528</v>
      </c>
    </row>
    <row r="3018" spans="1:24">
      <c r="A3018">
        <f>HYPERLINK("https://www.philgeps.gov.ph/GEPSNONPILOT/Tender/SplashBidNoticeAbstractUI.aspx?menuIndex=3&amp;refID=7044010&amp;Result=3","7044010")</f>
        <v>0</v>
      </c>
      <c r="B3018" t="s">
        <v>267</v>
      </c>
      <c r="C3018" t="s">
        <v>5558</v>
      </c>
      <c r="D3018" t="s">
        <v>13032</v>
      </c>
      <c r="E3018" t="s">
        <v>15814</v>
      </c>
      <c r="F3018" t="s">
        <v>22436</v>
      </c>
      <c r="G3018" t="s">
        <v>22446</v>
      </c>
      <c r="H3018" t="s">
        <v>22452</v>
      </c>
      <c r="I3018" t="s">
        <v>22466</v>
      </c>
      <c r="J3018" t="s">
        <v>24636</v>
      </c>
      <c r="K3018" t="s">
        <v>29338</v>
      </c>
      <c r="M3018" t="s">
        <v>29841</v>
      </c>
      <c r="N3018" t="s">
        <v>32524</v>
      </c>
      <c r="O3018" t="s">
        <v>32525</v>
      </c>
      <c r="P3018">
        <v>0</v>
      </c>
      <c r="Q3018">
        <v>4</v>
      </c>
      <c r="R3018" t="s">
        <v>32527</v>
      </c>
      <c r="S3018" t="s">
        <v>32552</v>
      </c>
      <c r="T3018" t="s">
        <v>33213</v>
      </c>
      <c r="U3018" t="s">
        <v>36187</v>
      </c>
      <c r="W3018" t="s">
        <v>43690</v>
      </c>
      <c r="X3018" t="s">
        <v>32528</v>
      </c>
    </row>
    <row r="3019" spans="1:24">
      <c r="A3019">
        <f>HYPERLINK("https://www.philgeps.gov.ph/GEPSNONPILOT/Tender/SplashBidNoticeAbstractUI.aspx?menuIndex=3&amp;refID=7044011&amp;Result=3","7044011")</f>
        <v>0</v>
      </c>
      <c r="B3019" t="s">
        <v>441</v>
      </c>
      <c r="C3019" t="s">
        <v>5559</v>
      </c>
      <c r="D3019" t="s">
        <v>13032</v>
      </c>
      <c r="E3019" t="s">
        <v>15815</v>
      </c>
      <c r="F3019" t="s">
        <v>22436</v>
      </c>
      <c r="G3019" t="s">
        <v>22443</v>
      </c>
      <c r="H3019" t="s">
        <v>22452</v>
      </c>
      <c r="I3019" t="s">
        <v>22457</v>
      </c>
      <c r="J3019" t="s">
        <v>24637</v>
      </c>
      <c r="K3019" t="s">
        <v>29371</v>
      </c>
      <c r="M3019" t="s">
        <v>30022</v>
      </c>
      <c r="N3019" t="s">
        <v>32524</v>
      </c>
      <c r="O3019" t="s">
        <v>32525</v>
      </c>
      <c r="P3019">
        <v>0</v>
      </c>
      <c r="Q3019">
        <v>1</v>
      </c>
      <c r="R3019" t="s">
        <v>32527</v>
      </c>
      <c r="S3019" t="s">
        <v>32552</v>
      </c>
      <c r="T3019" t="s">
        <v>33394</v>
      </c>
      <c r="U3019" t="s">
        <v>36188</v>
      </c>
      <c r="V3019" t="s">
        <v>42712</v>
      </c>
      <c r="W3019" t="s">
        <v>30022</v>
      </c>
      <c r="X3019" t="s">
        <v>32528</v>
      </c>
    </row>
    <row r="3020" spans="1:24">
      <c r="A3020">
        <f>HYPERLINK("https://www.philgeps.gov.ph/GEPSNONPILOT/Tender/SplashBidNoticeAbstractUI.aspx?menuIndex=3&amp;refID=7044003&amp;Result=3","7044003")</f>
        <v>0</v>
      </c>
      <c r="B3020" t="s">
        <v>267</v>
      </c>
      <c r="C3020" t="s">
        <v>5560</v>
      </c>
      <c r="D3020" t="s">
        <v>13032</v>
      </c>
      <c r="E3020" t="s">
        <v>15816</v>
      </c>
      <c r="F3020" t="s">
        <v>22436</v>
      </c>
      <c r="G3020" t="s">
        <v>22446</v>
      </c>
      <c r="H3020" t="s">
        <v>22452</v>
      </c>
      <c r="I3020" t="s">
        <v>3027</v>
      </c>
      <c r="J3020" t="s">
        <v>23120</v>
      </c>
      <c r="K3020" t="s">
        <v>29338</v>
      </c>
      <c r="M3020" t="s">
        <v>29841</v>
      </c>
      <c r="N3020" t="s">
        <v>32524</v>
      </c>
      <c r="O3020" t="s">
        <v>32525</v>
      </c>
      <c r="P3020">
        <v>0</v>
      </c>
      <c r="Q3020">
        <v>0</v>
      </c>
      <c r="R3020" t="s">
        <v>32527</v>
      </c>
      <c r="S3020" t="s">
        <v>32552</v>
      </c>
      <c r="T3020" t="s">
        <v>33213</v>
      </c>
      <c r="U3020" t="s">
        <v>36189</v>
      </c>
      <c r="W3020" t="s">
        <v>43690</v>
      </c>
      <c r="X3020" t="s">
        <v>32528</v>
      </c>
    </row>
    <row r="3021" spans="1:24">
      <c r="A3021">
        <f>HYPERLINK("https://www.philgeps.gov.ph/GEPSNONPILOT/Tender/SplashBidNoticeAbstractUI.aspx?menuIndex=3&amp;refID=7044021&amp;Result=3","7044021")</f>
        <v>0</v>
      </c>
      <c r="B3021" t="s">
        <v>267</v>
      </c>
      <c r="C3021" t="s">
        <v>5561</v>
      </c>
      <c r="D3021" t="s">
        <v>13032</v>
      </c>
      <c r="E3021" t="s">
        <v>15817</v>
      </c>
      <c r="F3021" t="s">
        <v>22436</v>
      </c>
      <c r="G3021" t="s">
        <v>22446</v>
      </c>
      <c r="H3021" t="s">
        <v>22452</v>
      </c>
      <c r="I3021" t="s">
        <v>22494</v>
      </c>
      <c r="J3021" t="s">
        <v>23799</v>
      </c>
      <c r="K3021" t="s">
        <v>29338</v>
      </c>
      <c r="M3021" t="s">
        <v>29841</v>
      </c>
      <c r="N3021" t="s">
        <v>32524</v>
      </c>
      <c r="O3021" t="s">
        <v>32525</v>
      </c>
      <c r="P3021">
        <v>0</v>
      </c>
      <c r="Q3021">
        <v>0</v>
      </c>
      <c r="R3021" t="s">
        <v>32527</v>
      </c>
      <c r="S3021" t="s">
        <v>32552</v>
      </c>
      <c r="T3021" t="s">
        <v>33213</v>
      </c>
      <c r="U3021" t="s">
        <v>36190</v>
      </c>
      <c r="W3021" t="s">
        <v>43690</v>
      </c>
      <c r="X3021" t="s">
        <v>32528</v>
      </c>
    </row>
    <row r="3022" spans="1:24">
      <c r="A3022">
        <f>HYPERLINK("https://www.philgeps.gov.ph/GEPSNONPILOT/Tender/SplashBidNoticeAbstractUI.aspx?menuIndex=3&amp;refID=7044018&amp;Result=3","7044018")</f>
        <v>0</v>
      </c>
      <c r="B3022" t="s">
        <v>874</v>
      </c>
      <c r="C3022" t="s">
        <v>5562</v>
      </c>
      <c r="E3022" t="s">
        <v>15818</v>
      </c>
      <c r="F3022" t="s">
        <v>22436</v>
      </c>
      <c r="G3022" t="s">
        <v>22445</v>
      </c>
      <c r="H3022" t="s">
        <v>22452</v>
      </c>
      <c r="I3022" t="s">
        <v>22502</v>
      </c>
      <c r="J3022" t="s">
        <v>23191</v>
      </c>
      <c r="K3022" t="s">
        <v>29338</v>
      </c>
      <c r="M3022" t="s">
        <v>30482</v>
      </c>
      <c r="N3022" t="s">
        <v>32524</v>
      </c>
      <c r="O3022" t="s">
        <v>32525</v>
      </c>
      <c r="P3022">
        <v>0</v>
      </c>
      <c r="Q3022">
        <v>6</v>
      </c>
      <c r="R3022" t="s">
        <v>32527</v>
      </c>
      <c r="S3022" t="s">
        <v>32552</v>
      </c>
      <c r="T3022" t="s">
        <v>33327</v>
      </c>
      <c r="U3022" t="s">
        <v>36184</v>
      </c>
      <c r="W3022" t="s">
        <v>30482</v>
      </c>
      <c r="X3022" t="s">
        <v>32528</v>
      </c>
    </row>
    <row r="3023" spans="1:24">
      <c r="A3023">
        <f>HYPERLINK("https://www.philgeps.gov.ph/GEPSNONPILOT/Tender/SplashBidNoticeAbstractUI.aspx?menuIndex=3&amp;refID=7044030&amp;Result=3","7044030")</f>
        <v>0</v>
      </c>
      <c r="B3023" t="s">
        <v>1101</v>
      </c>
      <c r="C3023" t="s">
        <v>5563</v>
      </c>
      <c r="D3023" t="s">
        <v>13034</v>
      </c>
      <c r="E3023" t="s">
        <v>15819</v>
      </c>
      <c r="F3023" t="s">
        <v>22436</v>
      </c>
      <c r="G3023" t="s">
        <v>22444</v>
      </c>
      <c r="H3023" t="s">
        <v>22454</v>
      </c>
      <c r="I3023" t="s">
        <v>7738</v>
      </c>
      <c r="J3023" t="s">
        <v>22893</v>
      </c>
      <c r="K3023" t="s">
        <v>29354</v>
      </c>
      <c r="M3023" t="s">
        <v>30737</v>
      </c>
      <c r="N3023" t="s">
        <v>32524</v>
      </c>
      <c r="O3023" t="s">
        <v>32525</v>
      </c>
      <c r="P3023">
        <v>0</v>
      </c>
      <c r="Q3023">
        <v>0</v>
      </c>
      <c r="R3023" t="s">
        <v>32527</v>
      </c>
      <c r="S3023" t="s">
        <v>32552</v>
      </c>
      <c r="T3023" t="s">
        <v>33230</v>
      </c>
      <c r="U3023" t="s">
        <v>36191</v>
      </c>
      <c r="W3023" t="s">
        <v>30737</v>
      </c>
      <c r="X3023" t="s">
        <v>32528</v>
      </c>
    </row>
    <row r="3024" spans="1:24">
      <c r="A3024">
        <f>HYPERLINK("https://www.philgeps.gov.ph/GEPSNONPILOT/Tender/SplashBidNoticeAbstractUI.aspx?menuIndex=3&amp;refID=7044027&amp;Result=3","7044027")</f>
        <v>0</v>
      </c>
      <c r="B3024" t="s">
        <v>441</v>
      </c>
      <c r="C3024" t="s">
        <v>5564</v>
      </c>
      <c r="D3024" t="s">
        <v>13032</v>
      </c>
      <c r="E3024" t="s">
        <v>15820</v>
      </c>
      <c r="F3024" t="s">
        <v>22436</v>
      </c>
      <c r="G3024" t="s">
        <v>22443</v>
      </c>
      <c r="H3024" t="s">
        <v>22452</v>
      </c>
      <c r="I3024" t="s">
        <v>4170</v>
      </c>
      <c r="J3024" t="s">
        <v>24638</v>
      </c>
      <c r="K3024" t="s">
        <v>29371</v>
      </c>
      <c r="M3024" t="s">
        <v>30022</v>
      </c>
      <c r="N3024" t="s">
        <v>32524</v>
      </c>
      <c r="O3024" t="s">
        <v>32525</v>
      </c>
      <c r="P3024">
        <v>0</v>
      </c>
      <c r="Q3024">
        <v>0</v>
      </c>
      <c r="R3024" t="s">
        <v>32527</v>
      </c>
      <c r="S3024" t="s">
        <v>32552</v>
      </c>
      <c r="T3024" t="s">
        <v>33395</v>
      </c>
      <c r="U3024" t="s">
        <v>36192</v>
      </c>
      <c r="V3024" t="s">
        <v>42713</v>
      </c>
      <c r="W3024" t="s">
        <v>30022</v>
      </c>
      <c r="X3024" t="s">
        <v>32528</v>
      </c>
    </row>
    <row r="3025" spans="1:24">
      <c r="A3025">
        <f>HYPERLINK("https://www.philgeps.gov.ph/GEPSNONPILOT/Tender/SplashBidNoticeAbstractUI.aspx?menuIndex=3&amp;refID=7044028&amp;Result=3","7044028")</f>
        <v>0</v>
      </c>
      <c r="B3025" t="s">
        <v>874</v>
      </c>
      <c r="C3025" t="s">
        <v>5565</v>
      </c>
      <c r="E3025" t="s">
        <v>15821</v>
      </c>
      <c r="F3025" t="s">
        <v>22436</v>
      </c>
      <c r="G3025" t="s">
        <v>22443</v>
      </c>
      <c r="H3025" t="s">
        <v>22452</v>
      </c>
      <c r="I3025" t="s">
        <v>22527</v>
      </c>
      <c r="J3025" t="s">
        <v>22667</v>
      </c>
      <c r="K3025" t="s">
        <v>29338</v>
      </c>
      <c r="M3025" t="s">
        <v>30482</v>
      </c>
      <c r="N3025" t="s">
        <v>32524</v>
      </c>
      <c r="O3025" t="s">
        <v>32525</v>
      </c>
      <c r="P3025">
        <v>0</v>
      </c>
      <c r="Q3025">
        <v>0</v>
      </c>
      <c r="R3025" t="s">
        <v>32527</v>
      </c>
      <c r="S3025" t="s">
        <v>32552</v>
      </c>
      <c r="T3025" t="s">
        <v>33327</v>
      </c>
      <c r="U3025" t="s">
        <v>36184</v>
      </c>
      <c r="W3025" t="s">
        <v>30482</v>
      </c>
      <c r="X3025" t="s">
        <v>32528</v>
      </c>
    </row>
    <row r="3026" spans="1:24">
      <c r="A3026">
        <f>HYPERLINK("https://www.philgeps.gov.ph/GEPSNONPILOT/Tender/SplashBidNoticeAbstractUI.aspx?menuIndex=3&amp;refID=7044034&amp;Result=3","7044034")</f>
        <v>0</v>
      </c>
      <c r="B3026" t="s">
        <v>957</v>
      </c>
      <c r="C3026" t="s">
        <v>5566</v>
      </c>
      <c r="D3026" t="s">
        <v>13028</v>
      </c>
      <c r="E3026" t="s">
        <v>15822</v>
      </c>
      <c r="F3026" t="s">
        <v>22436</v>
      </c>
      <c r="G3026" t="s">
        <v>22444</v>
      </c>
      <c r="H3026" t="s">
        <v>22454</v>
      </c>
      <c r="I3026" t="s">
        <v>22501</v>
      </c>
      <c r="J3026" t="s">
        <v>24639</v>
      </c>
      <c r="K3026" t="s">
        <v>29344</v>
      </c>
      <c r="M3026" t="s">
        <v>30573</v>
      </c>
      <c r="N3026" t="s">
        <v>32524</v>
      </c>
      <c r="O3026" t="s">
        <v>32525</v>
      </c>
      <c r="P3026">
        <v>0</v>
      </c>
      <c r="Q3026">
        <v>2</v>
      </c>
      <c r="R3026" t="s">
        <v>32527</v>
      </c>
      <c r="S3026" t="s">
        <v>32552</v>
      </c>
      <c r="T3026" t="s">
        <v>33170</v>
      </c>
      <c r="U3026" t="s">
        <v>36193</v>
      </c>
      <c r="V3026" t="s">
        <v>42656</v>
      </c>
      <c r="W3026" t="s">
        <v>30573</v>
      </c>
      <c r="X3026" t="s">
        <v>32528</v>
      </c>
    </row>
    <row r="3027" spans="1:24">
      <c r="A3027">
        <f>HYPERLINK("https://www.philgeps.gov.ph/GEPSNONPILOT/Tender/SplashBidNoticeAbstractUI.aspx?menuIndex=3&amp;refID=7044033&amp;Result=3","7044033")</f>
        <v>0</v>
      </c>
      <c r="B3027" t="s">
        <v>957</v>
      </c>
      <c r="C3027" t="s">
        <v>5567</v>
      </c>
      <c r="D3027" t="s">
        <v>13028</v>
      </c>
      <c r="E3027" t="s">
        <v>15823</v>
      </c>
      <c r="F3027" t="s">
        <v>22436</v>
      </c>
      <c r="G3027" t="s">
        <v>22444</v>
      </c>
      <c r="H3027" t="s">
        <v>22454</v>
      </c>
      <c r="I3027" t="s">
        <v>22501</v>
      </c>
      <c r="J3027" t="s">
        <v>24640</v>
      </c>
      <c r="K3027" t="s">
        <v>29344</v>
      </c>
      <c r="M3027" t="s">
        <v>30573</v>
      </c>
      <c r="N3027" t="s">
        <v>32524</v>
      </c>
      <c r="O3027" t="s">
        <v>32525</v>
      </c>
      <c r="P3027">
        <v>0</v>
      </c>
      <c r="Q3027">
        <v>1</v>
      </c>
      <c r="R3027" t="s">
        <v>32527</v>
      </c>
      <c r="S3027" t="s">
        <v>32552</v>
      </c>
      <c r="T3027" t="s">
        <v>33170</v>
      </c>
      <c r="U3027" t="s">
        <v>36194</v>
      </c>
      <c r="V3027" t="s">
        <v>42656</v>
      </c>
      <c r="W3027" t="s">
        <v>30573</v>
      </c>
      <c r="X3027" t="s">
        <v>32528</v>
      </c>
    </row>
    <row r="3028" spans="1:24">
      <c r="A3028">
        <f>HYPERLINK("https://www.philgeps.gov.ph/GEPSNONPILOT/Tender/SplashBidNoticeAbstractUI.aspx?menuIndex=3&amp;refID=7044025&amp;Result=3","7044025")</f>
        <v>0</v>
      </c>
      <c r="B3028" t="s">
        <v>874</v>
      </c>
      <c r="C3028" t="s">
        <v>5568</v>
      </c>
      <c r="E3028" t="s">
        <v>15824</v>
      </c>
      <c r="F3028" t="s">
        <v>22436</v>
      </c>
      <c r="G3028" t="s">
        <v>22445</v>
      </c>
      <c r="H3028" t="s">
        <v>22452</v>
      </c>
      <c r="I3028" t="s">
        <v>22460</v>
      </c>
      <c r="J3028" t="s">
        <v>24641</v>
      </c>
      <c r="K3028" t="s">
        <v>29338</v>
      </c>
      <c r="M3028" t="s">
        <v>30482</v>
      </c>
      <c r="N3028" t="s">
        <v>32524</v>
      </c>
      <c r="O3028" t="s">
        <v>32525</v>
      </c>
      <c r="P3028">
        <v>0</v>
      </c>
      <c r="Q3028">
        <v>3</v>
      </c>
      <c r="R3028" t="s">
        <v>32527</v>
      </c>
      <c r="S3028" t="s">
        <v>32552</v>
      </c>
      <c r="T3028" t="s">
        <v>33327</v>
      </c>
      <c r="U3028" t="s">
        <v>36184</v>
      </c>
      <c r="W3028" t="s">
        <v>30482</v>
      </c>
      <c r="X3028" t="s">
        <v>32528</v>
      </c>
    </row>
    <row r="3029" spans="1:24">
      <c r="A3029">
        <f>HYPERLINK("https://www.philgeps.gov.ph/GEPSNONPILOT/Tender/SplashBidNoticeAbstractUI.aspx?menuIndex=3&amp;refID=7044026&amp;Result=3","7044026")</f>
        <v>0</v>
      </c>
      <c r="B3029" t="s">
        <v>874</v>
      </c>
      <c r="C3029" t="s">
        <v>5569</v>
      </c>
      <c r="E3029" t="s">
        <v>15825</v>
      </c>
      <c r="F3029" t="s">
        <v>22436</v>
      </c>
      <c r="G3029" t="s">
        <v>22445</v>
      </c>
      <c r="H3029" t="s">
        <v>22452</v>
      </c>
      <c r="I3029" t="s">
        <v>22460</v>
      </c>
      <c r="J3029" t="s">
        <v>24642</v>
      </c>
      <c r="K3029" t="s">
        <v>29338</v>
      </c>
      <c r="M3029" t="s">
        <v>30482</v>
      </c>
      <c r="N3029" t="s">
        <v>32524</v>
      </c>
      <c r="O3029" t="s">
        <v>32525</v>
      </c>
      <c r="P3029">
        <v>0</v>
      </c>
      <c r="Q3029">
        <v>2</v>
      </c>
      <c r="R3029" t="s">
        <v>32527</v>
      </c>
      <c r="S3029" t="s">
        <v>32552</v>
      </c>
      <c r="T3029" t="s">
        <v>33327</v>
      </c>
      <c r="U3029" t="s">
        <v>36184</v>
      </c>
      <c r="W3029" t="s">
        <v>30482</v>
      </c>
      <c r="X3029" t="s">
        <v>32528</v>
      </c>
    </row>
    <row r="3030" spans="1:24">
      <c r="A3030">
        <f>HYPERLINK("https://www.philgeps.gov.ph/GEPSNONPILOT/Tender/SplashBidNoticeAbstractUI.aspx?menuIndex=3&amp;refID=7044024&amp;Result=3","7044024")</f>
        <v>0</v>
      </c>
      <c r="B3030" t="s">
        <v>874</v>
      </c>
      <c r="C3030" t="s">
        <v>5570</v>
      </c>
      <c r="E3030" t="s">
        <v>15826</v>
      </c>
      <c r="F3030" t="s">
        <v>22436</v>
      </c>
      <c r="G3030" t="s">
        <v>22443</v>
      </c>
      <c r="H3030" t="s">
        <v>22452</v>
      </c>
      <c r="I3030" t="s">
        <v>22460</v>
      </c>
      <c r="J3030" t="s">
        <v>22714</v>
      </c>
      <c r="K3030" t="s">
        <v>29338</v>
      </c>
      <c r="M3030" t="s">
        <v>30482</v>
      </c>
      <c r="N3030" t="s">
        <v>32524</v>
      </c>
      <c r="O3030" t="s">
        <v>32525</v>
      </c>
      <c r="P3030">
        <v>0</v>
      </c>
      <c r="Q3030">
        <v>5</v>
      </c>
      <c r="R3030" t="s">
        <v>32527</v>
      </c>
      <c r="S3030" t="s">
        <v>32552</v>
      </c>
      <c r="T3030" t="s">
        <v>33327</v>
      </c>
      <c r="U3030" t="s">
        <v>36184</v>
      </c>
      <c r="W3030" t="s">
        <v>30482</v>
      </c>
      <c r="X3030" t="s">
        <v>32528</v>
      </c>
    </row>
    <row r="3031" spans="1:24">
      <c r="A3031">
        <f>HYPERLINK("https://www.philgeps.gov.ph/GEPSNONPILOT/Tender/SplashBidNoticeAbstractUI.aspx?menuIndex=3&amp;refID=7044044&amp;Result=3","7044044")</f>
        <v>0</v>
      </c>
      <c r="B3031" t="s">
        <v>957</v>
      </c>
      <c r="C3031" t="s">
        <v>5571</v>
      </c>
      <c r="D3031" t="s">
        <v>13028</v>
      </c>
      <c r="E3031" t="s">
        <v>15827</v>
      </c>
      <c r="F3031" t="s">
        <v>22436</v>
      </c>
      <c r="G3031" t="s">
        <v>22444</v>
      </c>
      <c r="H3031" t="s">
        <v>22454</v>
      </c>
      <c r="I3031" t="s">
        <v>22501</v>
      </c>
      <c r="J3031" t="s">
        <v>24643</v>
      </c>
      <c r="K3031" t="s">
        <v>29344</v>
      </c>
      <c r="M3031" t="s">
        <v>30573</v>
      </c>
      <c r="N3031" t="s">
        <v>32524</v>
      </c>
      <c r="O3031" t="s">
        <v>32525</v>
      </c>
      <c r="P3031">
        <v>0</v>
      </c>
      <c r="Q3031">
        <v>1</v>
      </c>
      <c r="R3031" t="s">
        <v>32527</v>
      </c>
      <c r="S3031" t="s">
        <v>32552</v>
      </c>
      <c r="T3031" t="s">
        <v>33170</v>
      </c>
      <c r="U3031" t="s">
        <v>36195</v>
      </c>
      <c r="V3031" t="s">
        <v>42656</v>
      </c>
      <c r="W3031" t="s">
        <v>30573</v>
      </c>
      <c r="X3031" t="s">
        <v>32528</v>
      </c>
    </row>
    <row r="3032" spans="1:24">
      <c r="A3032">
        <f>HYPERLINK("https://www.philgeps.gov.ph/GEPSNONPILOT/Tender/SplashBidNoticeAbstractUI.aspx?menuIndex=3&amp;refID=7044023&amp;Result=3","7044023")</f>
        <v>0</v>
      </c>
      <c r="B3032" t="s">
        <v>874</v>
      </c>
      <c r="C3032" t="s">
        <v>5572</v>
      </c>
      <c r="E3032" t="s">
        <v>15828</v>
      </c>
      <c r="F3032" t="s">
        <v>22436</v>
      </c>
      <c r="G3032" t="s">
        <v>22443</v>
      </c>
      <c r="H3032" t="s">
        <v>22452</v>
      </c>
      <c r="I3032" t="s">
        <v>22502</v>
      </c>
      <c r="J3032" t="s">
        <v>22878</v>
      </c>
      <c r="K3032" t="s">
        <v>29338</v>
      </c>
      <c r="M3032" t="s">
        <v>30482</v>
      </c>
      <c r="N3032" t="s">
        <v>32524</v>
      </c>
      <c r="O3032" t="s">
        <v>32525</v>
      </c>
      <c r="P3032">
        <v>0</v>
      </c>
      <c r="Q3032">
        <v>3</v>
      </c>
      <c r="R3032" t="s">
        <v>32527</v>
      </c>
      <c r="S3032" t="s">
        <v>32552</v>
      </c>
      <c r="T3032" t="s">
        <v>33327</v>
      </c>
      <c r="U3032" t="s">
        <v>36184</v>
      </c>
      <c r="W3032" t="s">
        <v>30482</v>
      </c>
      <c r="X3032" t="s">
        <v>32528</v>
      </c>
    </row>
    <row r="3033" spans="1:24">
      <c r="A3033">
        <f>HYPERLINK("https://www.philgeps.gov.ph/GEPSNONPILOT/Tender/SplashBidNoticeAbstractUI.aspx?menuIndex=3&amp;refID=7044029&amp;Result=3","7044029")</f>
        <v>0</v>
      </c>
      <c r="B3033" t="s">
        <v>874</v>
      </c>
      <c r="C3033" t="s">
        <v>5573</v>
      </c>
      <c r="E3033" t="s">
        <v>15829</v>
      </c>
      <c r="F3033" t="s">
        <v>22436</v>
      </c>
      <c r="G3033" t="s">
        <v>22445</v>
      </c>
      <c r="H3033" t="s">
        <v>22452</v>
      </c>
      <c r="I3033" t="s">
        <v>22460</v>
      </c>
      <c r="J3033" t="s">
        <v>24644</v>
      </c>
      <c r="K3033" t="s">
        <v>29338</v>
      </c>
      <c r="M3033" t="s">
        <v>30482</v>
      </c>
      <c r="N3033" t="s">
        <v>32524</v>
      </c>
      <c r="O3033" t="s">
        <v>32525</v>
      </c>
      <c r="P3033">
        <v>0</v>
      </c>
      <c r="Q3033">
        <v>2</v>
      </c>
      <c r="R3033" t="s">
        <v>32527</v>
      </c>
      <c r="S3033" t="s">
        <v>32552</v>
      </c>
      <c r="T3033" t="s">
        <v>33327</v>
      </c>
      <c r="U3033" t="s">
        <v>36184</v>
      </c>
      <c r="W3033" t="s">
        <v>30482</v>
      </c>
      <c r="X3033" t="s">
        <v>32528</v>
      </c>
    </row>
    <row r="3034" spans="1:24">
      <c r="A3034">
        <f>HYPERLINK("https://www.philgeps.gov.ph/GEPSNONPILOT/Tender/SplashBidNoticeAbstractUI.aspx?menuIndex=3&amp;refID=7044022&amp;Result=3","7044022")</f>
        <v>0</v>
      </c>
      <c r="B3034" t="s">
        <v>874</v>
      </c>
      <c r="C3034" t="s">
        <v>5574</v>
      </c>
      <c r="E3034" t="s">
        <v>15830</v>
      </c>
      <c r="F3034" t="s">
        <v>22436</v>
      </c>
      <c r="G3034" t="s">
        <v>22445</v>
      </c>
      <c r="H3034" t="s">
        <v>22452</v>
      </c>
      <c r="I3034" t="s">
        <v>22460</v>
      </c>
      <c r="J3034" t="s">
        <v>24645</v>
      </c>
      <c r="K3034" t="s">
        <v>29338</v>
      </c>
      <c r="M3034" t="s">
        <v>30482</v>
      </c>
      <c r="N3034" t="s">
        <v>32524</v>
      </c>
      <c r="O3034" t="s">
        <v>32525</v>
      </c>
      <c r="P3034">
        <v>0</v>
      </c>
      <c r="Q3034">
        <v>3</v>
      </c>
      <c r="R3034" t="s">
        <v>32527</v>
      </c>
      <c r="S3034" t="s">
        <v>32552</v>
      </c>
      <c r="T3034" t="s">
        <v>33327</v>
      </c>
      <c r="U3034" t="s">
        <v>36184</v>
      </c>
      <c r="W3034" t="s">
        <v>30482</v>
      </c>
      <c r="X3034" t="s">
        <v>32528</v>
      </c>
    </row>
    <row r="3035" spans="1:24">
      <c r="A3035">
        <f>HYPERLINK("https://www.philgeps.gov.ph/GEPSNONPILOT/Tender/SplashBidNoticeAbstractUI.aspx?menuIndex=3&amp;refID=7044036&amp;Result=3","7044036")</f>
        <v>0</v>
      </c>
      <c r="B3035" t="s">
        <v>957</v>
      </c>
      <c r="C3035" t="s">
        <v>5575</v>
      </c>
      <c r="D3035" t="s">
        <v>13028</v>
      </c>
      <c r="E3035" t="s">
        <v>15831</v>
      </c>
      <c r="F3035" t="s">
        <v>22436</v>
      </c>
      <c r="G3035" t="s">
        <v>22444</v>
      </c>
      <c r="H3035" t="s">
        <v>22454</v>
      </c>
      <c r="I3035" t="s">
        <v>22501</v>
      </c>
      <c r="J3035" t="s">
        <v>24646</v>
      </c>
      <c r="K3035" t="s">
        <v>29344</v>
      </c>
      <c r="M3035" t="s">
        <v>30573</v>
      </c>
      <c r="N3035" t="s">
        <v>32524</v>
      </c>
      <c r="O3035" t="s">
        <v>32525</v>
      </c>
      <c r="P3035">
        <v>0</v>
      </c>
      <c r="Q3035">
        <v>1</v>
      </c>
      <c r="R3035" t="s">
        <v>32527</v>
      </c>
      <c r="S3035" t="s">
        <v>32552</v>
      </c>
      <c r="T3035" t="s">
        <v>33170</v>
      </c>
      <c r="U3035" t="s">
        <v>36196</v>
      </c>
      <c r="V3035" t="s">
        <v>42656</v>
      </c>
      <c r="W3035" t="s">
        <v>30573</v>
      </c>
      <c r="X3035" t="s">
        <v>32528</v>
      </c>
    </row>
    <row r="3036" spans="1:24">
      <c r="A3036">
        <f>HYPERLINK("https://www.philgeps.gov.ph/GEPSNONPILOT/Tender/SplashBidNoticeAbstractUI.aspx?menuIndex=3&amp;refID=7044042&amp;Result=3","7044042")</f>
        <v>0</v>
      </c>
      <c r="B3036" t="s">
        <v>957</v>
      </c>
      <c r="C3036" t="s">
        <v>5576</v>
      </c>
      <c r="D3036" t="s">
        <v>13028</v>
      </c>
      <c r="E3036" t="s">
        <v>15832</v>
      </c>
      <c r="F3036" t="s">
        <v>22436</v>
      </c>
      <c r="G3036" t="s">
        <v>22444</v>
      </c>
      <c r="H3036" t="s">
        <v>22454</v>
      </c>
      <c r="I3036" t="s">
        <v>22501</v>
      </c>
      <c r="J3036" t="s">
        <v>24647</v>
      </c>
      <c r="K3036" t="s">
        <v>29344</v>
      </c>
      <c r="M3036" t="s">
        <v>30573</v>
      </c>
      <c r="N3036" t="s">
        <v>32524</v>
      </c>
      <c r="O3036" t="s">
        <v>32525</v>
      </c>
      <c r="P3036">
        <v>0</v>
      </c>
      <c r="Q3036">
        <v>2</v>
      </c>
      <c r="R3036" t="s">
        <v>32527</v>
      </c>
      <c r="S3036" t="s">
        <v>32552</v>
      </c>
      <c r="T3036" t="s">
        <v>33170</v>
      </c>
      <c r="U3036" t="s">
        <v>36197</v>
      </c>
      <c r="V3036" t="s">
        <v>42656</v>
      </c>
      <c r="W3036" t="s">
        <v>30573</v>
      </c>
      <c r="X3036" t="s">
        <v>32528</v>
      </c>
    </row>
    <row r="3037" spans="1:24">
      <c r="A3037">
        <f>HYPERLINK("https://www.philgeps.gov.ph/GEPSNONPILOT/Tender/SplashBidNoticeAbstractUI.aspx?menuIndex=3&amp;refID=7044031&amp;Result=3","7044031")</f>
        <v>0</v>
      </c>
      <c r="B3037" t="s">
        <v>874</v>
      </c>
      <c r="C3037" t="s">
        <v>5577</v>
      </c>
      <c r="E3037" t="s">
        <v>15833</v>
      </c>
      <c r="F3037" t="s">
        <v>22436</v>
      </c>
      <c r="G3037" t="s">
        <v>22443</v>
      </c>
      <c r="H3037" t="s">
        <v>22452</v>
      </c>
      <c r="I3037" t="s">
        <v>11896</v>
      </c>
      <c r="J3037" t="s">
        <v>24648</v>
      </c>
      <c r="K3037" t="s">
        <v>29338</v>
      </c>
      <c r="M3037" t="s">
        <v>30482</v>
      </c>
      <c r="N3037" t="s">
        <v>32524</v>
      </c>
      <c r="O3037" t="s">
        <v>32525</v>
      </c>
      <c r="P3037">
        <v>0</v>
      </c>
      <c r="Q3037">
        <v>1</v>
      </c>
      <c r="R3037" t="s">
        <v>32527</v>
      </c>
      <c r="S3037" t="s">
        <v>32552</v>
      </c>
      <c r="T3037" t="s">
        <v>33327</v>
      </c>
      <c r="U3037" t="s">
        <v>36184</v>
      </c>
      <c r="W3037" t="s">
        <v>30482</v>
      </c>
      <c r="X3037" t="s">
        <v>32528</v>
      </c>
    </row>
    <row r="3038" spans="1:24">
      <c r="A3038">
        <f>HYPERLINK("https://www.philgeps.gov.ph/GEPSNONPILOT/Tender/SplashBidNoticeAbstractUI.aspx?menuIndex=3&amp;refID=7044035&amp;Result=3","7044035")</f>
        <v>0</v>
      </c>
      <c r="B3038" t="s">
        <v>1102</v>
      </c>
      <c r="C3038" t="s">
        <v>3483</v>
      </c>
      <c r="D3038" t="s">
        <v>13007</v>
      </c>
      <c r="E3038" t="s">
        <v>13137</v>
      </c>
      <c r="F3038" t="s">
        <v>22436</v>
      </c>
      <c r="G3038" t="s">
        <v>22444</v>
      </c>
      <c r="H3038" t="s">
        <v>22452</v>
      </c>
      <c r="I3038" t="s">
        <v>22460</v>
      </c>
      <c r="J3038" t="s">
        <v>23514</v>
      </c>
      <c r="K3038" t="s">
        <v>29338</v>
      </c>
      <c r="M3038" t="s">
        <v>30738</v>
      </c>
      <c r="N3038" t="s">
        <v>32524</v>
      </c>
      <c r="O3038" t="s">
        <v>32525</v>
      </c>
      <c r="P3038">
        <v>0</v>
      </c>
      <c r="Q3038">
        <v>0</v>
      </c>
      <c r="R3038" t="s">
        <v>32527</v>
      </c>
      <c r="S3038" t="s">
        <v>32552</v>
      </c>
      <c r="T3038" t="s">
        <v>33357</v>
      </c>
      <c r="U3038" t="s">
        <v>36198</v>
      </c>
      <c r="W3038" t="s">
        <v>30738</v>
      </c>
      <c r="X3038" t="s">
        <v>32528</v>
      </c>
    </row>
    <row r="3039" spans="1:24">
      <c r="A3039">
        <f>HYPERLINK("https://www.philgeps.gov.ph/GEPSNONPILOT/Tender/SplashBidNoticeAbstractUI.aspx?menuIndex=3&amp;refID=7044041&amp;Result=3","7044041")</f>
        <v>0</v>
      </c>
      <c r="B3039" t="s">
        <v>957</v>
      </c>
      <c r="C3039" t="s">
        <v>5578</v>
      </c>
      <c r="D3039" t="s">
        <v>13028</v>
      </c>
      <c r="E3039" t="s">
        <v>15834</v>
      </c>
      <c r="F3039" t="s">
        <v>22436</v>
      </c>
      <c r="G3039" t="s">
        <v>22444</v>
      </c>
      <c r="H3039" t="s">
        <v>22454</v>
      </c>
      <c r="I3039" t="s">
        <v>22501</v>
      </c>
      <c r="J3039" t="s">
        <v>24649</v>
      </c>
      <c r="K3039" t="s">
        <v>29344</v>
      </c>
      <c r="M3039" t="s">
        <v>30573</v>
      </c>
      <c r="N3039" t="s">
        <v>32524</v>
      </c>
      <c r="O3039" t="s">
        <v>32525</v>
      </c>
      <c r="P3039">
        <v>0</v>
      </c>
      <c r="Q3039">
        <v>1</v>
      </c>
      <c r="R3039" t="s">
        <v>32527</v>
      </c>
      <c r="S3039" t="s">
        <v>32552</v>
      </c>
      <c r="T3039" t="s">
        <v>33170</v>
      </c>
      <c r="U3039" t="s">
        <v>36199</v>
      </c>
      <c r="V3039" t="s">
        <v>42656</v>
      </c>
      <c r="W3039" t="s">
        <v>30573</v>
      </c>
      <c r="X3039" t="s">
        <v>32528</v>
      </c>
    </row>
    <row r="3040" spans="1:24">
      <c r="A3040">
        <f>HYPERLINK("https://www.philgeps.gov.ph/GEPSNONPILOT/Tender/SplashBidNoticeAbstractUI.aspx?menuIndex=3&amp;refID=7044032&amp;Result=3","7044032")</f>
        <v>0</v>
      </c>
      <c r="B3040" t="s">
        <v>957</v>
      </c>
      <c r="C3040" t="s">
        <v>5579</v>
      </c>
      <c r="D3040" t="s">
        <v>13028</v>
      </c>
      <c r="E3040" t="s">
        <v>15835</v>
      </c>
      <c r="F3040" t="s">
        <v>22436</v>
      </c>
      <c r="G3040" t="s">
        <v>22444</v>
      </c>
      <c r="H3040" t="s">
        <v>22454</v>
      </c>
      <c r="I3040" t="s">
        <v>22501</v>
      </c>
      <c r="J3040" t="s">
        <v>24650</v>
      </c>
      <c r="K3040" t="s">
        <v>29344</v>
      </c>
      <c r="M3040" t="s">
        <v>30573</v>
      </c>
      <c r="N3040" t="s">
        <v>32524</v>
      </c>
      <c r="O3040" t="s">
        <v>32525</v>
      </c>
      <c r="P3040">
        <v>0</v>
      </c>
      <c r="Q3040">
        <v>1</v>
      </c>
      <c r="R3040" t="s">
        <v>32527</v>
      </c>
      <c r="S3040" t="s">
        <v>32552</v>
      </c>
      <c r="T3040" t="s">
        <v>33170</v>
      </c>
      <c r="U3040" t="s">
        <v>36200</v>
      </c>
      <c r="V3040" t="s">
        <v>42656</v>
      </c>
      <c r="W3040" t="s">
        <v>30573</v>
      </c>
      <c r="X3040" t="s">
        <v>32528</v>
      </c>
    </row>
    <row r="3041" spans="1:24">
      <c r="A3041">
        <f>HYPERLINK("https://www.philgeps.gov.ph/GEPSNONPILOT/Tender/SplashBidNoticeAbstractUI.aspx?menuIndex=3&amp;refID=7044037&amp;Result=3","7044037")</f>
        <v>0</v>
      </c>
      <c r="B3041" t="s">
        <v>957</v>
      </c>
      <c r="C3041" t="s">
        <v>5580</v>
      </c>
      <c r="D3041" t="s">
        <v>13028</v>
      </c>
      <c r="E3041" t="s">
        <v>15836</v>
      </c>
      <c r="F3041" t="s">
        <v>22436</v>
      </c>
      <c r="G3041" t="s">
        <v>22444</v>
      </c>
      <c r="H3041" t="s">
        <v>22454</v>
      </c>
      <c r="I3041" t="s">
        <v>22501</v>
      </c>
      <c r="J3041" t="s">
        <v>24651</v>
      </c>
      <c r="K3041" t="s">
        <v>29344</v>
      </c>
      <c r="M3041" t="s">
        <v>30573</v>
      </c>
      <c r="N3041" t="s">
        <v>32524</v>
      </c>
      <c r="O3041" t="s">
        <v>32525</v>
      </c>
      <c r="P3041">
        <v>0</v>
      </c>
      <c r="Q3041">
        <v>1</v>
      </c>
      <c r="R3041" t="s">
        <v>32527</v>
      </c>
      <c r="S3041" t="s">
        <v>32552</v>
      </c>
      <c r="T3041" t="s">
        <v>33170</v>
      </c>
      <c r="U3041" t="s">
        <v>36201</v>
      </c>
      <c r="V3041" t="s">
        <v>42656</v>
      </c>
      <c r="W3041" t="s">
        <v>30573</v>
      </c>
      <c r="X3041" t="s">
        <v>32528</v>
      </c>
    </row>
    <row r="3042" spans="1:24">
      <c r="A3042">
        <f>HYPERLINK("https://www.philgeps.gov.ph/GEPSNONPILOT/Tender/SplashBidNoticeAbstractUI.aspx?menuIndex=3&amp;refID=7044059&amp;Result=3","7044059")</f>
        <v>0</v>
      </c>
      <c r="B3042" t="s">
        <v>957</v>
      </c>
      <c r="C3042" t="s">
        <v>5581</v>
      </c>
      <c r="D3042" t="s">
        <v>13028</v>
      </c>
      <c r="E3042" t="s">
        <v>15837</v>
      </c>
      <c r="F3042" t="s">
        <v>22436</v>
      </c>
      <c r="G3042" t="s">
        <v>22444</v>
      </c>
      <c r="H3042" t="s">
        <v>22454</v>
      </c>
      <c r="I3042" t="s">
        <v>22501</v>
      </c>
      <c r="J3042" t="s">
        <v>24652</v>
      </c>
      <c r="K3042" t="s">
        <v>29344</v>
      </c>
      <c r="M3042" t="s">
        <v>30573</v>
      </c>
      <c r="N3042" t="s">
        <v>32524</v>
      </c>
      <c r="O3042" t="s">
        <v>32525</v>
      </c>
      <c r="P3042">
        <v>0</v>
      </c>
      <c r="Q3042">
        <v>1</v>
      </c>
      <c r="R3042" t="s">
        <v>32527</v>
      </c>
      <c r="S3042" t="s">
        <v>32552</v>
      </c>
      <c r="T3042" t="s">
        <v>33170</v>
      </c>
      <c r="U3042" t="s">
        <v>36202</v>
      </c>
      <c r="V3042" t="s">
        <v>42656</v>
      </c>
      <c r="W3042" t="s">
        <v>30573</v>
      </c>
      <c r="X3042" t="s">
        <v>32528</v>
      </c>
    </row>
    <row r="3043" spans="1:24">
      <c r="A3043">
        <f>HYPERLINK("https://www.philgeps.gov.ph/GEPSNONPILOT/Tender/SplashBidNoticeAbstractUI.aspx?menuIndex=3&amp;refID=7044058&amp;Result=3","7044058")</f>
        <v>0</v>
      </c>
      <c r="B3043" t="s">
        <v>1103</v>
      </c>
      <c r="C3043" t="s">
        <v>5582</v>
      </c>
      <c r="D3043" t="s">
        <v>13046</v>
      </c>
      <c r="E3043" t="s">
        <v>15838</v>
      </c>
      <c r="F3043" t="s">
        <v>22436</v>
      </c>
      <c r="G3043" t="s">
        <v>22444</v>
      </c>
      <c r="H3043" t="s">
        <v>22452</v>
      </c>
      <c r="I3043" t="s">
        <v>22465</v>
      </c>
      <c r="J3043" t="s">
        <v>24653</v>
      </c>
      <c r="K3043" t="s">
        <v>29335</v>
      </c>
      <c r="M3043" t="s">
        <v>30739</v>
      </c>
      <c r="N3043" t="s">
        <v>32524</v>
      </c>
      <c r="O3043" t="s">
        <v>32525</v>
      </c>
      <c r="P3043">
        <v>0</v>
      </c>
      <c r="Q3043">
        <v>0</v>
      </c>
      <c r="R3043" t="s">
        <v>32527</v>
      </c>
      <c r="S3043" t="s">
        <v>32552</v>
      </c>
      <c r="T3043" t="s">
        <v>33170</v>
      </c>
      <c r="U3043" t="s">
        <v>36203</v>
      </c>
      <c r="W3043" t="s">
        <v>30739</v>
      </c>
      <c r="X3043" t="s">
        <v>32528</v>
      </c>
    </row>
    <row r="3044" spans="1:24">
      <c r="A3044">
        <f>HYPERLINK("https://www.philgeps.gov.ph/GEPSNONPILOT/Tender/SplashBidNoticeAbstractUI.aspx?menuIndex=3&amp;refID=7044046&amp;Result=3","7044046")</f>
        <v>0</v>
      </c>
      <c r="B3044" t="s">
        <v>957</v>
      </c>
      <c r="C3044" t="s">
        <v>5583</v>
      </c>
      <c r="D3044" t="s">
        <v>13028</v>
      </c>
      <c r="E3044" t="s">
        <v>15839</v>
      </c>
      <c r="F3044" t="s">
        <v>22436</v>
      </c>
      <c r="G3044" t="s">
        <v>22444</v>
      </c>
      <c r="H3044" t="s">
        <v>22454</v>
      </c>
      <c r="I3044" t="s">
        <v>22501</v>
      </c>
      <c r="J3044" t="s">
        <v>24654</v>
      </c>
      <c r="K3044" t="s">
        <v>29344</v>
      </c>
      <c r="M3044" t="s">
        <v>30573</v>
      </c>
      <c r="N3044" t="s">
        <v>32524</v>
      </c>
      <c r="O3044" t="s">
        <v>32525</v>
      </c>
      <c r="P3044">
        <v>0</v>
      </c>
      <c r="Q3044">
        <v>2</v>
      </c>
      <c r="R3044" t="s">
        <v>32527</v>
      </c>
      <c r="S3044" t="s">
        <v>32552</v>
      </c>
      <c r="T3044" t="s">
        <v>33170</v>
      </c>
      <c r="U3044" t="s">
        <v>36204</v>
      </c>
      <c r="V3044" t="s">
        <v>42656</v>
      </c>
      <c r="W3044" t="s">
        <v>30573</v>
      </c>
      <c r="X3044" t="s">
        <v>32528</v>
      </c>
    </row>
    <row r="3045" spans="1:24">
      <c r="A3045">
        <f>HYPERLINK("https://www.philgeps.gov.ph/GEPSNONPILOT/Tender/SplashBidNoticeAbstractUI.aspx?menuIndex=3&amp;refID=7044057&amp;Result=3","7044057")</f>
        <v>0</v>
      </c>
      <c r="B3045" t="s">
        <v>957</v>
      </c>
      <c r="C3045" t="s">
        <v>5584</v>
      </c>
      <c r="D3045" t="s">
        <v>13028</v>
      </c>
      <c r="E3045" t="s">
        <v>15840</v>
      </c>
      <c r="F3045" t="s">
        <v>22436</v>
      </c>
      <c r="G3045" t="s">
        <v>22444</v>
      </c>
      <c r="H3045" t="s">
        <v>22454</v>
      </c>
      <c r="I3045" t="s">
        <v>22501</v>
      </c>
      <c r="J3045" t="s">
        <v>24655</v>
      </c>
      <c r="K3045" t="s">
        <v>29344</v>
      </c>
      <c r="M3045" t="s">
        <v>30573</v>
      </c>
      <c r="N3045" t="s">
        <v>32524</v>
      </c>
      <c r="O3045" t="s">
        <v>32525</v>
      </c>
      <c r="P3045">
        <v>0</v>
      </c>
      <c r="Q3045">
        <v>1</v>
      </c>
      <c r="R3045" t="s">
        <v>32527</v>
      </c>
      <c r="S3045" t="s">
        <v>32552</v>
      </c>
      <c r="T3045" t="s">
        <v>33170</v>
      </c>
      <c r="U3045" t="s">
        <v>36205</v>
      </c>
      <c r="V3045" t="s">
        <v>42656</v>
      </c>
      <c r="W3045" t="s">
        <v>30573</v>
      </c>
      <c r="X3045" t="s">
        <v>32528</v>
      </c>
    </row>
    <row r="3046" spans="1:24">
      <c r="A3046">
        <f>HYPERLINK("https://www.philgeps.gov.ph/GEPSNONPILOT/Tender/SplashBidNoticeAbstractUI.aspx?menuIndex=3&amp;refID=7044061&amp;Result=3","7044061")</f>
        <v>0</v>
      </c>
      <c r="B3046" t="s">
        <v>1104</v>
      </c>
      <c r="C3046" t="s">
        <v>5585</v>
      </c>
      <c r="D3046" t="s">
        <v>12999</v>
      </c>
      <c r="E3046" t="s">
        <v>15841</v>
      </c>
      <c r="F3046" t="s">
        <v>22436</v>
      </c>
      <c r="G3046" t="s">
        <v>22446</v>
      </c>
      <c r="H3046" t="s">
        <v>22452</v>
      </c>
      <c r="I3046" t="s">
        <v>22467</v>
      </c>
      <c r="J3046" t="s">
        <v>24656</v>
      </c>
      <c r="K3046" t="s">
        <v>29356</v>
      </c>
      <c r="M3046" t="s">
        <v>30740</v>
      </c>
      <c r="N3046" t="s">
        <v>32524</v>
      </c>
      <c r="O3046" t="s">
        <v>32525</v>
      </c>
      <c r="P3046">
        <v>0</v>
      </c>
      <c r="Q3046">
        <v>0</v>
      </c>
      <c r="R3046" t="s">
        <v>32527</v>
      </c>
      <c r="S3046" t="s">
        <v>32552</v>
      </c>
      <c r="T3046" t="s">
        <v>33313</v>
      </c>
      <c r="U3046" t="s">
        <v>36206</v>
      </c>
      <c r="W3046" t="s">
        <v>30740</v>
      </c>
      <c r="X3046" t="s">
        <v>32528</v>
      </c>
    </row>
    <row r="3047" spans="1:24">
      <c r="A3047">
        <f>HYPERLINK("https://www.philgeps.gov.ph/GEPSNONPILOT/Tender/SplashBidNoticeAbstractUI.aspx?menuIndex=3&amp;refID=7044054&amp;Result=3","7044054")</f>
        <v>0</v>
      </c>
      <c r="B3047" t="s">
        <v>957</v>
      </c>
      <c r="C3047" t="s">
        <v>5586</v>
      </c>
      <c r="D3047" t="s">
        <v>13028</v>
      </c>
      <c r="E3047" t="s">
        <v>15842</v>
      </c>
      <c r="F3047" t="s">
        <v>22436</v>
      </c>
      <c r="G3047" t="s">
        <v>22444</v>
      </c>
      <c r="H3047" t="s">
        <v>22454</v>
      </c>
      <c r="I3047" t="s">
        <v>22501</v>
      </c>
      <c r="J3047" t="s">
        <v>24657</v>
      </c>
      <c r="K3047" t="s">
        <v>29344</v>
      </c>
      <c r="M3047" t="s">
        <v>30573</v>
      </c>
      <c r="N3047" t="s">
        <v>32524</v>
      </c>
      <c r="O3047" t="s">
        <v>32525</v>
      </c>
      <c r="P3047">
        <v>0</v>
      </c>
      <c r="Q3047">
        <v>1</v>
      </c>
      <c r="R3047" t="s">
        <v>32527</v>
      </c>
      <c r="S3047" t="s">
        <v>32552</v>
      </c>
      <c r="T3047" t="s">
        <v>33170</v>
      </c>
      <c r="U3047" t="s">
        <v>36207</v>
      </c>
      <c r="V3047" t="s">
        <v>42656</v>
      </c>
      <c r="W3047" t="s">
        <v>30573</v>
      </c>
      <c r="X3047" t="s">
        <v>32528</v>
      </c>
    </row>
    <row r="3048" spans="1:24">
      <c r="A3048">
        <f>HYPERLINK("https://www.philgeps.gov.ph/GEPSNONPILOT/Tender/SplashBidNoticeAbstractUI.aspx?menuIndex=3&amp;refID=7044055&amp;Result=3","7044055")</f>
        <v>0</v>
      </c>
      <c r="B3048" t="s">
        <v>533</v>
      </c>
      <c r="C3048" t="s">
        <v>5587</v>
      </c>
      <c r="D3048" t="s">
        <v>12990</v>
      </c>
      <c r="E3048" t="s">
        <v>15843</v>
      </c>
      <c r="F3048" t="s">
        <v>22436</v>
      </c>
      <c r="G3048" t="s">
        <v>22446</v>
      </c>
      <c r="H3048" t="s">
        <v>22452</v>
      </c>
      <c r="I3048" t="s">
        <v>4688</v>
      </c>
      <c r="J3048" t="s">
        <v>22800</v>
      </c>
      <c r="K3048" t="s">
        <v>29336</v>
      </c>
      <c r="M3048" t="s">
        <v>30117</v>
      </c>
      <c r="N3048" t="s">
        <v>32524</v>
      </c>
      <c r="O3048" t="s">
        <v>32525</v>
      </c>
      <c r="P3048">
        <v>0</v>
      </c>
      <c r="Q3048">
        <v>6</v>
      </c>
      <c r="R3048" t="s">
        <v>32527</v>
      </c>
      <c r="S3048" t="s">
        <v>32552</v>
      </c>
      <c r="T3048" t="s">
        <v>33313</v>
      </c>
      <c r="U3048" t="s">
        <v>34701</v>
      </c>
      <c r="W3048" t="s">
        <v>30117</v>
      </c>
      <c r="X3048" t="s">
        <v>32528</v>
      </c>
    </row>
    <row r="3049" spans="1:24">
      <c r="A3049">
        <f>HYPERLINK("https://www.philgeps.gov.ph/GEPSNONPILOT/Tender/SplashBidNoticeAbstractUI.aspx?menuIndex=3&amp;refID=7044052&amp;Result=3","7044052")</f>
        <v>0</v>
      </c>
      <c r="B3049" t="s">
        <v>1105</v>
      </c>
      <c r="C3049" t="s">
        <v>5588</v>
      </c>
      <c r="D3049" t="s">
        <v>13023</v>
      </c>
      <c r="E3049" t="s">
        <v>15844</v>
      </c>
      <c r="F3049" t="s">
        <v>22436</v>
      </c>
      <c r="G3049" t="s">
        <v>22444</v>
      </c>
      <c r="H3049" t="s">
        <v>22453</v>
      </c>
      <c r="I3049" t="s">
        <v>22474</v>
      </c>
      <c r="J3049" t="s">
        <v>23226</v>
      </c>
      <c r="K3049" t="s">
        <v>29357</v>
      </c>
      <c r="M3049" t="s">
        <v>30741</v>
      </c>
      <c r="N3049" t="s">
        <v>32524</v>
      </c>
      <c r="O3049" t="s">
        <v>32525</v>
      </c>
      <c r="P3049">
        <v>0</v>
      </c>
      <c r="Q3049">
        <v>1</v>
      </c>
      <c r="R3049" t="s">
        <v>32527</v>
      </c>
      <c r="S3049" t="s">
        <v>32552</v>
      </c>
      <c r="T3049" t="s">
        <v>33206</v>
      </c>
      <c r="U3049" t="s">
        <v>36208</v>
      </c>
      <c r="W3049" t="s">
        <v>30741</v>
      </c>
      <c r="X3049" t="s">
        <v>32528</v>
      </c>
    </row>
    <row r="3050" spans="1:24">
      <c r="A3050">
        <f>HYPERLINK("https://www.philgeps.gov.ph/GEPSNONPILOT/Tender/SplashBidNoticeAbstractUI.aspx?menuIndex=3&amp;refID=7044047&amp;Result=3","7044047")</f>
        <v>0</v>
      </c>
      <c r="B3050" t="s">
        <v>957</v>
      </c>
      <c r="C3050" t="s">
        <v>5589</v>
      </c>
      <c r="D3050" t="s">
        <v>13028</v>
      </c>
      <c r="E3050" t="s">
        <v>15845</v>
      </c>
      <c r="F3050" t="s">
        <v>22436</v>
      </c>
      <c r="G3050" t="s">
        <v>22444</v>
      </c>
      <c r="H3050" t="s">
        <v>22454</v>
      </c>
      <c r="I3050" t="s">
        <v>22501</v>
      </c>
      <c r="J3050" t="s">
        <v>24658</v>
      </c>
      <c r="K3050" t="s">
        <v>29344</v>
      </c>
      <c r="M3050" t="s">
        <v>30573</v>
      </c>
      <c r="N3050" t="s">
        <v>32524</v>
      </c>
      <c r="O3050" t="s">
        <v>32525</v>
      </c>
      <c r="P3050">
        <v>0</v>
      </c>
      <c r="Q3050">
        <v>2</v>
      </c>
      <c r="R3050" t="s">
        <v>32527</v>
      </c>
      <c r="S3050" t="s">
        <v>32552</v>
      </c>
      <c r="T3050" t="s">
        <v>33170</v>
      </c>
      <c r="U3050" t="s">
        <v>36209</v>
      </c>
      <c r="V3050" t="s">
        <v>42656</v>
      </c>
      <c r="W3050" t="s">
        <v>30573</v>
      </c>
      <c r="X3050" t="s">
        <v>32528</v>
      </c>
    </row>
    <row r="3051" spans="1:24">
      <c r="A3051">
        <f>HYPERLINK("https://www.philgeps.gov.ph/GEPSNONPILOT/Tender/SplashBidNoticeAbstractUI.aspx?menuIndex=3&amp;refID=7044048&amp;Result=3","7044048")</f>
        <v>0</v>
      </c>
      <c r="B3051" t="s">
        <v>957</v>
      </c>
      <c r="C3051" t="s">
        <v>5590</v>
      </c>
      <c r="D3051" t="s">
        <v>13028</v>
      </c>
      <c r="E3051" t="s">
        <v>15846</v>
      </c>
      <c r="F3051" t="s">
        <v>22436</v>
      </c>
      <c r="G3051" t="s">
        <v>22444</v>
      </c>
      <c r="H3051" t="s">
        <v>22454</v>
      </c>
      <c r="I3051" t="s">
        <v>22501</v>
      </c>
      <c r="J3051" t="s">
        <v>24659</v>
      </c>
      <c r="K3051" t="s">
        <v>29344</v>
      </c>
      <c r="M3051" t="s">
        <v>30573</v>
      </c>
      <c r="N3051" t="s">
        <v>32524</v>
      </c>
      <c r="O3051" t="s">
        <v>32525</v>
      </c>
      <c r="P3051">
        <v>0</v>
      </c>
      <c r="Q3051">
        <v>1</v>
      </c>
      <c r="R3051" t="s">
        <v>32527</v>
      </c>
      <c r="S3051" t="s">
        <v>32552</v>
      </c>
      <c r="T3051" t="s">
        <v>33170</v>
      </c>
      <c r="U3051" t="s">
        <v>36210</v>
      </c>
      <c r="V3051" t="s">
        <v>42656</v>
      </c>
      <c r="W3051" t="s">
        <v>30573</v>
      </c>
      <c r="X3051" t="s">
        <v>32528</v>
      </c>
    </row>
    <row r="3052" spans="1:24">
      <c r="A3052">
        <f>HYPERLINK("https://www.philgeps.gov.ph/GEPSNONPILOT/Tender/SplashBidNoticeAbstractUI.aspx?menuIndex=3&amp;refID=7044056&amp;Result=3","7044056")</f>
        <v>0</v>
      </c>
      <c r="B3052" t="s">
        <v>957</v>
      </c>
      <c r="C3052" t="s">
        <v>5591</v>
      </c>
      <c r="D3052" t="s">
        <v>13028</v>
      </c>
      <c r="E3052" t="s">
        <v>15847</v>
      </c>
      <c r="F3052" t="s">
        <v>22436</v>
      </c>
      <c r="G3052" t="s">
        <v>22444</v>
      </c>
      <c r="H3052" t="s">
        <v>22454</v>
      </c>
      <c r="I3052" t="s">
        <v>22501</v>
      </c>
      <c r="J3052" t="s">
        <v>24660</v>
      </c>
      <c r="K3052" t="s">
        <v>29344</v>
      </c>
      <c r="M3052" t="s">
        <v>30573</v>
      </c>
      <c r="N3052" t="s">
        <v>32524</v>
      </c>
      <c r="O3052" t="s">
        <v>32525</v>
      </c>
      <c r="P3052">
        <v>0</v>
      </c>
      <c r="Q3052">
        <v>1</v>
      </c>
      <c r="R3052" t="s">
        <v>32527</v>
      </c>
      <c r="S3052" t="s">
        <v>32552</v>
      </c>
      <c r="T3052" t="s">
        <v>33170</v>
      </c>
      <c r="U3052" t="s">
        <v>36211</v>
      </c>
      <c r="V3052" t="s">
        <v>42656</v>
      </c>
      <c r="W3052" t="s">
        <v>30573</v>
      </c>
      <c r="X3052" t="s">
        <v>32528</v>
      </c>
    </row>
    <row r="3053" spans="1:24">
      <c r="A3053">
        <f>HYPERLINK("https://www.philgeps.gov.ph/GEPSNONPILOT/Tender/SplashBidNoticeAbstractUI.aspx?menuIndex=3&amp;refID=7044045&amp;Result=3","7044045")</f>
        <v>0</v>
      </c>
      <c r="B3053" t="s">
        <v>1048</v>
      </c>
      <c r="C3053" t="s">
        <v>5535</v>
      </c>
      <c r="D3053" t="s">
        <v>13007</v>
      </c>
      <c r="E3053" t="s">
        <v>15848</v>
      </c>
      <c r="F3053" t="s">
        <v>22436</v>
      </c>
      <c r="G3053" t="s">
        <v>22444</v>
      </c>
      <c r="H3053" t="s">
        <v>22452</v>
      </c>
      <c r="I3053" t="s">
        <v>22469</v>
      </c>
      <c r="J3053" t="s">
        <v>24661</v>
      </c>
      <c r="K3053" t="s">
        <v>29357</v>
      </c>
      <c r="M3053" t="s">
        <v>30680</v>
      </c>
      <c r="N3053" t="s">
        <v>32524</v>
      </c>
      <c r="O3053" t="s">
        <v>32525</v>
      </c>
      <c r="P3053">
        <v>0</v>
      </c>
      <c r="Q3053">
        <v>3</v>
      </c>
      <c r="R3053" t="s">
        <v>32527</v>
      </c>
      <c r="S3053" t="s">
        <v>32552</v>
      </c>
      <c r="T3053" t="s">
        <v>33153</v>
      </c>
      <c r="U3053" t="s">
        <v>36212</v>
      </c>
      <c r="W3053" t="s">
        <v>30680</v>
      </c>
      <c r="X3053" t="s">
        <v>32528</v>
      </c>
    </row>
    <row r="3054" spans="1:24">
      <c r="A3054">
        <f>HYPERLINK("https://www.philgeps.gov.ph/GEPSNONPILOT/Tender/SplashBidNoticeAbstractUI.aspx?menuIndex=3&amp;refID=7044053&amp;Result=3","7044053")</f>
        <v>0</v>
      </c>
      <c r="B3054" t="s">
        <v>533</v>
      </c>
      <c r="C3054" t="s">
        <v>3483</v>
      </c>
      <c r="D3054" t="s">
        <v>12990</v>
      </c>
      <c r="E3054" t="s">
        <v>15849</v>
      </c>
      <c r="F3054" t="s">
        <v>22436</v>
      </c>
      <c r="G3054" t="s">
        <v>22446</v>
      </c>
      <c r="H3054" t="s">
        <v>22452</v>
      </c>
      <c r="I3054" t="s">
        <v>22460</v>
      </c>
      <c r="J3054" t="s">
        <v>22817</v>
      </c>
      <c r="K3054" t="s">
        <v>29336</v>
      </c>
      <c r="M3054" t="s">
        <v>30117</v>
      </c>
      <c r="N3054" t="s">
        <v>32524</v>
      </c>
      <c r="O3054" t="s">
        <v>32525</v>
      </c>
      <c r="P3054">
        <v>0</v>
      </c>
      <c r="Q3054">
        <v>1</v>
      </c>
      <c r="R3054" t="s">
        <v>32527</v>
      </c>
      <c r="S3054" t="s">
        <v>32552</v>
      </c>
      <c r="T3054" t="s">
        <v>33313</v>
      </c>
      <c r="U3054" t="s">
        <v>34701</v>
      </c>
      <c r="W3054" t="s">
        <v>30117</v>
      </c>
      <c r="X3054" t="s">
        <v>32528</v>
      </c>
    </row>
    <row r="3055" spans="1:24">
      <c r="A3055">
        <f>HYPERLINK("https://www.philgeps.gov.ph/GEPSNONPILOT/Tender/SplashBidNoticeAbstractUI.aspx?menuIndex=3&amp;refID=7044066&amp;Result=3","7044066")</f>
        <v>0</v>
      </c>
      <c r="B3055" t="s">
        <v>957</v>
      </c>
      <c r="C3055" t="s">
        <v>5592</v>
      </c>
      <c r="D3055" t="s">
        <v>13028</v>
      </c>
      <c r="E3055" t="s">
        <v>15850</v>
      </c>
      <c r="F3055" t="s">
        <v>22436</v>
      </c>
      <c r="G3055" t="s">
        <v>22444</v>
      </c>
      <c r="H3055" t="s">
        <v>22454</v>
      </c>
      <c r="I3055" t="s">
        <v>22501</v>
      </c>
      <c r="J3055" t="s">
        <v>24662</v>
      </c>
      <c r="K3055" t="s">
        <v>29344</v>
      </c>
      <c r="M3055" t="s">
        <v>30573</v>
      </c>
      <c r="N3055" t="s">
        <v>32524</v>
      </c>
      <c r="O3055" t="s">
        <v>32525</v>
      </c>
      <c r="P3055">
        <v>0</v>
      </c>
      <c r="Q3055">
        <v>1</v>
      </c>
      <c r="R3055" t="s">
        <v>32527</v>
      </c>
      <c r="S3055" t="s">
        <v>32552</v>
      </c>
      <c r="T3055" t="s">
        <v>33170</v>
      </c>
      <c r="U3055" t="s">
        <v>36213</v>
      </c>
      <c r="V3055" t="s">
        <v>42656</v>
      </c>
      <c r="W3055" t="s">
        <v>30573</v>
      </c>
      <c r="X3055" t="s">
        <v>32528</v>
      </c>
    </row>
    <row r="3056" spans="1:24">
      <c r="A3056">
        <f>HYPERLINK("https://www.philgeps.gov.ph/GEPSNONPILOT/Tender/SplashBidNoticeAbstractUI.aspx?menuIndex=3&amp;refID=7044060&amp;Result=3","7044060")</f>
        <v>0</v>
      </c>
      <c r="B3056" t="s">
        <v>874</v>
      </c>
      <c r="C3056" t="s">
        <v>5593</v>
      </c>
      <c r="E3056" t="s">
        <v>15851</v>
      </c>
      <c r="F3056" t="s">
        <v>22436</v>
      </c>
      <c r="G3056" t="s">
        <v>22445</v>
      </c>
      <c r="H3056" t="s">
        <v>22452</v>
      </c>
      <c r="I3056" t="s">
        <v>3827</v>
      </c>
      <c r="J3056" t="s">
        <v>22824</v>
      </c>
      <c r="K3056" t="s">
        <v>29338</v>
      </c>
      <c r="M3056" t="s">
        <v>30482</v>
      </c>
      <c r="N3056" t="s">
        <v>32524</v>
      </c>
      <c r="O3056" t="s">
        <v>32525</v>
      </c>
      <c r="P3056">
        <v>0</v>
      </c>
      <c r="Q3056">
        <v>10</v>
      </c>
      <c r="R3056" t="s">
        <v>32527</v>
      </c>
      <c r="S3056" t="s">
        <v>32552</v>
      </c>
      <c r="T3056" t="s">
        <v>33327</v>
      </c>
      <c r="U3056" t="s">
        <v>36184</v>
      </c>
      <c r="W3056" t="s">
        <v>30482</v>
      </c>
      <c r="X3056" t="s">
        <v>32528</v>
      </c>
    </row>
    <row r="3057" spans="1:24">
      <c r="A3057">
        <f>HYPERLINK("https://www.philgeps.gov.ph/GEPSNONPILOT/Tender/SplashBidNoticeAbstractUI.aspx?menuIndex=3&amp;refID=7044051&amp;Result=3","7044051")</f>
        <v>0</v>
      </c>
      <c r="B3057" t="s">
        <v>957</v>
      </c>
      <c r="C3057" t="s">
        <v>5594</v>
      </c>
      <c r="D3057" t="s">
        <v>13028</v>
      </c>
      <c r="E3057" t="s">
        <v>15852</v>
      </c>
      <c r="F3057" t="s">
        <v>22436</v>
      </c>
      <c r="G3057" t="s">
        <v>22444</v>
      </c>
      <c r="H3057" t="s">
        <v>22454</v>
      </c>
      <c r="I3057" t="s">
        <v>22501</v>
      </c>
      <c r="J3057" t="s">
        <v>24663</v>
      </c>
      <c r="K3057" t="s">
        <v>29344</v>
      </c>
      <c r="M3057" t="s">
        <v>30573</v>
      </c>
      <c r="N3057" t="s">
        <v>32524</v>
      </c>
      <c r="O3057" t="s">
        <v>32525</v>
      </c>
      <c r="P3057">
        <v>0</v>
      </c>
      <c r="Q3057">
        <v>1</v>
      </c>
      <c r="R3057" t="s">
        <v>32527</v>
      </c>
      <c r="S3057" t="s">
        <v>32552</v>
      </c>
      <c r="T3057" t="s">
        <v>33170</v>
      </c>
      <c r="U3057" t="s">
        <v>36214</v>
      </c>
      <c r="V3057" t="s">
        <v>42656</v>
      </c>
      <c r="W3057" t="s">
        <v>30573</v>
      </c>
      <c r="X3057" t="s">
        <v>32528</v>
      </c>
    </row>
    <row r="3058" spans="1:24">
      <c r="A3058">
        <f>HYPERLINK("https://www.philgeps.gov.ph/GEPSNONPILOT/Tender/SplashBidNoticeAbstractUI.aspx?menuIndex=3&amp;refID=7044063&amp;Result=3","7044063")</f>
        <v>0</v>
      </c>
      <c r="B3058" t="s">
        <v>874</v>
      </c>
      <c r="C3058" t="s">
        <v>5595</v>
      </c>
      <c r="E3058" t="s">
        <v>15853</v>
      </c>
      <c r="F3058" t="s">
        <v>22436</v>
      </c>
      <c r="G3058" t="s">
        <v>22445</v>
      </c>
      <c r="H3058" t="s">
        <v>22452</v>
      </c>
      <c r="I3058" t="s">
        <v>3827</v>
      </c>
      <c r="J3058" t="s">
        <v>23514</v>
      </c>
      <c r="K3058" t="s">
        <v>29338</v>
      </c>
      <c r="M3058" t="s">
        <v>30482</v>
      </c>
      <c r="N3058" t="s">
        <v>32524</v>
      </c>
      <c r="O3058" t="s">
        <v>32525</v>
      </c>
      <c r="P3058">
        <v>0</v>
      </c>
      <c r="Q3058">
        <v>10</v>
      </c>
      <c r="R3058" t="s">
        <v>32527</v>
      </c>
      <c r="S3058" t="s">
        <v>32552</v>
      </c>
      <c r="T3058" t="s">
        <v>33327</v>
      </c>
      <c r="U3058" t="s">
        <v>36184</v>
      </c>
      <c r="W3058" t="s">
        <v>30482</v>
      </c>
      <c r="X3058" t="s">
        <v>32528</v>
      </c>
    </row>
    <row r="3059" spans="1:24">
      <c r="A3059">
        <f>HYPERLINK("https://www.philgeps.gov.ph/GEPSNONPILOT/Tender/SplashBidNoticeAbstractUI.aspx?menuIndex=3&amp;refID=7044065&amp;Result=3","7044065")</f>
        <v>0</v>
      </c>
      <c r="B3059" t="s">
        <v>957</v>
      </c>
      <c r="C3059" t="s">
        <v>5596</v>
      </c>
      <c r="D3059" t="s">
        <v>13028</v>
      </c>
      <c r="E3059" t="s">
        <v>15854</v>
      </c>
      <c r="F3059" t="s">
        <v>22436</v>
      </c>
      <c r="G3059" t="s">
        <v>22444</v>
      </c>
      <c r="H3059" t="s">
        <v>22454</v>
      </c>
      <c r="I3059" t="s">
        <v>22501</v>
      </c>
      <c r="J3059" t="s">
        <v>24664</v>
      </c>
      <c r="K3059" t="s">
        <v>29344</v>
      </c>
      <c r="M3059" t="s">
        <v>30573</v>
      </c>
      <c r="N3059" t="s">
        <v>32524</v>
      </c>
      <c r="O3059" t="s">
        <v>32525</v>
      </c>
      <c r="P3059">
        <v>0</v>
      </c>
      <c r="Q3059">
        <v>1</v>
      </c>
      <c r="R3059" t="s">
        <v>32527</v>
      </c>
      <c r="S3059" t="s">
        <v>32552</v>
      </c>
      <c r="T3059" t="s">
        <v>33170</v>
      </c>
      <c r="U3059" t="s">
        <v>36215</v>
      </c>
      <c r="V3059" t="s">
        <v>42656</v>
      </c>
      <c r="W3059" t="s">
        <v>30573</v>
      </c>
      <c r="X3059" t="s">
        <v>32528</v>
      </c>
    </row>
    <row r="3060" spans="1:24">
      <c r="A3060">
        <f>HYPERLINK("https://www.philgeps.gov.ph/GEPSNONPILOT/Tender/SplashBidNoticeAbstractUI.aspx?menuIndex=3&amp;refID=7044067&amp;Result=3","7044067")</f>
        <v>0</v>
      </c>
      <c r="B3060" t="s">
        <v>874</v>
      </c>
      <c r="C3060" t="s">
        <v>5597</v>
      </c>
      <c r="E3060" t="s">
        <v>15855</v>
      </c>
      <c r="F3060" t="s">
        <v>22436</v>
      </c>
      <c r="G3060" t="s">
        <v>22445</v>
      </c>
      <c r="H3060" t="s">
        <v>22452</v>
      </c>
      <c r="I3060" t="s">
        <v>22460</v>
      </c>
      <c r="J3060" t="s">
        <v>24665</v>
      </c>
      <c r="K3060" t="s">
        <v>29338</v>
      </c>
      <c r="M3060" t="s">
        <v>30482</v>
      </c>
      <c r="N3060" t="s">
        <v>32524</v>
      </c>
      <c r="O3060" t="s">
        <v>32525</v>
      </c>
      <c r="P3060">
        <v>0</v>
      </c>
      <c r="Q3060">
        <v>1</v>
      </c>
      <c r="R3060" t="s">
        <v>32527</v>
      </c>
      <c r="S3060" t="s">
        <v>32552</v>
      </c>
      <c r="T3060" t="s">
        <v>33327</v>
      </c>
      <c r="U3060" t="s">
        <v>36184</v>
      </c>
      <c r="W3060" t="s">
        <v>30482</v>
      </c>
      <c r="X3060" t="s">
        <v>32528</v>
      </c>
    </row>
    <row r="3061" spans="1:24">
      <c r="A3061">
        <f>HYPERLINK("https://www.philgeps.gov.ph/GEPSNONPILOT/Tender/SplashBidNoticeAbstractUI.aspx?menuIndex=3&amp;refID=7044064&amp;Result=3","7044064")</f>
        <v>0</v>
      </c>
      <c r="B3061" t="s">
        <v>1103</v>
      </c>
      <c r="C3061" t="s">
        <v>5598</v>
      </c>
      <c r="D3061" t="s">
        <v>13046</v>
      </c>
      <c r="E3061" t="s">
        <v>15856</v>
      </c>
      <c r="F3061" t="s">
        <v>22436</v>
      </c>
      <c r="G3061" t="s">
        <v>22444</v>
      </c>
      <c r="H3061" t="s">
        <v>22452</v>
      </c>
      <c r="I3061" t="s">
        <v>22465</v>
      </c>
      <c r="J3061" t="s">
        <v>24666</v>
      </c>
      <c r="K3061" t="s">
        <v>29335</v>
      </c>
      <c r="M3061" t="s">
        <v>30739</v>
      </c>
      <c r="N3061" t="s">
        <v>32524</v>
      </c>
      <c r="O3061" t="s">
        <v>32525</v>
      </c>
      <c r="P3061">
        <v>0</v>
      </c>
      <c r="Q3061">
        <v>0</v>
      </c>
      <c r="R3061" t="s">
        <v>32527</v>
      </c>
      <c r="S3061" t="s">
        <v>32552</v>
      </c>
      <c r="T3061" t="s">
        <v>33165</v>
      </c>
      <c r="U3061" t="s">
        <v>36216</v>
      </c>
      <c r="W3061" t="s">
        <v>30739</v>
      </c>
      <c r="X3061" t="s">
        <v>32528</v>
      </c>
    </row>
    <row r="3062" spans="1:24">
      <c r="A3062">
        <f>HYPERLINK("https://www.philgeps.gov.ph/GEPSNONPILOT/Tender/SplashBidNoticeAbstractUI.aspx?menuIndex=3&amp;refID=7044070&amp;Result=3","7044070")</f>
        <v>0</v>
      </c>
      <c r="B3062" t="s">
        <v>1106</v>
      </c>
      <c r="C3062" t="s">
        <v>5599</v>
      </c>
      <c r="D3062" t="s">
        <v>12988</v>
      </c>
      <c r="E3062" t="s">
        <v>15857</v>
      </c>
      <c r="F3062" t="s">
        <v>22436</v>
      </c>
      <c r="G3062" t="s">
        <v>22443</v>
      </c>
      <c r="H3062" t="s">
        <v>22452</v>
      </c>
      <c r="I3062" t="s">
        <v>3529</v>
      </c>
      <c r="J3062" t="s">
        <v>24667</v>
      </c>
      <c r="K3062" t="s">
        <v>29336</v>
      </c>
      <c r="M3062" t="s">
        <v>30742</v>
      </c>
      <c r="N3062" t="s">
        <v>32524</v>
      </c>
      <c r="O3062" t="s">
        <v>32525</v>
      </c>
      <c r="P3062">
        <v>0</v>
      </c>
      <c r="Q3062">
        <v>3</v>
      </c>
      <c r="R3062" t="s">
        <v>32527</v>
      </c>
      <c r="S3062" t="s">
        <v>32552</v>
      </c>
      <c r="T3062" t="s">
        <v>33314</v>
      </c>
      <c r="U3062" t="s">
        <v>36217</v>
      </c>
      <c r="W3062" t="s">
        <v>30742</v>
      </c>
      <c r="X3062" t="s">
        <v>32528</v>
      </c>
    </row>
    <row r="3063" spans="1:24">
      <c r="A3063">
        <f>HYPERLINK("https://www.philgeps.gov.ph/GEPSNONPILOT/Tender/SplashBidNoticeAbstractUI.aspx?menuIndex=3&amp;refID=7044062&amp;Result=3","7044062")</f>
        <v>0</v>
      </c>
      <c r="B3063" t="s">
        <v>957</v>
      </c>
      <c r="C3063" t="s">
        <v>5600</v>
      </c>
      <c r="D3063" t="s">
        <v>13028</v>
      </c>
      <c r="E3063" t="s">
        <v>15858</v>
      </c>
      <c r="F3063" t="s">
        <v>22436</v>
      </c>
      <c r="G3063" t="s">
        <v>22444</v>
      </c>
      <c r="H3063" t="s">
        <v>22454</v>
      </c>
      <c r="I3063" t="s">
        <v>22501</v>
      </c>
      <c r="J3063" t="s">
        <v>24668</v>
      </c>
      <c r="K3063" t="s">
        <v>29344</v>
      </c>
      <c r="M3063" t="s">
        <v>30573</v>
      </c>
      <c r="N3063" t="s">
        <v>32524</v>
      </c>
      <c r="O3063" t="s">
        <v>32525</v>
      </c>
      <c r="P3063">
        <v>0</v>
      </c>
      <c r="Q3063">
        <v>1</v>
      </c>
      <c r="R3063" t="s">
        <v>32527</v>
      </c>
      <c r="S3063" t="s">
        <v>32552</v>
      </c>
      <c r="T3063" t="s">
        <v>33170</v>
      </c>
      <c r="U3063" t="s">
        <v>36218</v>
      </c>
      <c r="V3063" t="s">
        <v>42656</v>
      </c>
      <c r="W3063" t="s">
        <v>30573</v>
      </c>
      <c r="X3063" t="s">
        <v>32528</v>
      </c>
    </row>
    <row r="3064" spans="1:24">
      <c r="A3064">
        <f>HYPERLINK("https://www.philgeps.gov.ph/GEPSNONPILOT/Tender/SplashBidNoticeAbstractUI.aspx?menuIndex=3&amp;refID=7044068&amp;Result=3","7044068")</f>
        <v>0</v>
      </c>
      <c r="B3064" t="s">
        <v>957</v>
      </c>
      <c r="C3064" t="s">
        <v>5601</v>
      </c>
      <c r="D3064" t="s">
        <v>13028</v>
      </c>
      <c r="E3064" t="s">
        <v>15859</v>
      </c>
      <c r="F3064" t="s">
        <v>22436</v>
      </c>
      <c r="G3064" t="s">
        <v>22444</v>
      </c>
      <c r="H3064" t="s">
        <v>22454</v>
      </c>
      <c r="I3064" t="s">
        <v>22501</v>
      </c>
      <c r="J3064" t="s">
        <v>24669</v>
      </c>
      <c r="K3064" t="s">
        <v>29344</v>
      </c>
      <c r="M3064" t="s">
        <v>30573</v>
      </c>
      <c r="N3064" t="s">
        <v>32524</v>
      </c>
      <c r="O3064" t="s">
        <v>32525</v>
      </c>
      <c r="P3064">
        <v>0</v>
      </c>
      <c r="Q3064">
        <v>2</v>
      </c>
      <c r="R3064" t="s">
        <v>32527</v>
      </c>
      <c r="S3064" t="s">
        <v>32552</v>
      </c>
      <c r="T3064" t="s">
        <v>33170</v>
      </c>
      <c r="U3064" t="s">
        <v>36219</v>
      </c>
      <c r="V3064" t="s">
        <v>42656</v>
      </c>
      <c r="W3064" t="s">
        <v>30573</v>
      </c>
      <c r="X3064" t="s">
        <v>32528</v>
      </c>
    </row>
    <row r="3065" spans="1:24">
      <c r="A3065">
        <f>HYPERLINK("https://www.philgeps.gov.ph/GEPSNONPILOT/Tender/SplashBidNoticeAbstractUI.aspx?menuIndex=3&amp;refID=7044072&amp;Result=3","7044072")</f>
        <v>0</v>
      </c>
      <c r="B3065" t="s">
        <v>874</v>
      </c>
      <c r="C3065" t="s">
        <v>5602</v>
      </c>
      <c r="E3065" t="s">
        <v>15860</v>
      </c>
      <c r="F3065" t="s">
        <v>22436</v>
      </c>
      <c r="G3065" t="s">
        <v>22445</v>
      </c>
      <c r="H3065" t="s">
        <v>22452</v>
      </c>
      <c r="I3065" t="s">
        <v>22460</v>
      </c>
      <c r="J3065" t="s">
        <v>22865</v>
      </c>
      <c r="K3065" t="s">
        <v>29338</v>
      </c>
      <c r="M3065" t="s">
        <v>30482</v>
      </c>
      <c r="N3065" t="s">
        <v>32524</v>
      </c>
      <c r="O3065" t="s">
        <v>32525</v>
      </c>
      <c r="P3065">
        <v>0</v>
      </c>
      <c r="Q3065">
        <v>8</v>
      </c>
      <c r="R3065" t="s">
        <v>32527</v>
      </c>
      <c r="S3065" t="s">
        <v>32552</v>
      </c>
      <c r="T3065" t="s">
        <v>33327</v>
      </c>
      <c r="U3065" t="s">
        <v>36184</v>
      </c>
      <c r="W3065" t="s">
        <v>30482</v>
      </c>
      <c r="X3065" t="s">
        <v>32528</v>
      </c>
    </row>
    <row r="3066" spans="1:24">
      <c r="A3066">
        <f>HYPERLINK("https://www.philgeps.gov.ph/GEPSNONPILOT/Tender/SplashBidNoticeAbstractUI.aspx?menuIndex=3&amp;refID=7044074&amp;Result=3","7044074")</f>
        <v>0</v>
      </c>
      <c r="B3066" t="s">
        <v>1048</v>
      </c>
      <c r="C3066" t="s">
        <v>5530</v>
      </c>
      <c r="D3066" t="s">
        <v>13007</v>
      </c>
      <c r="E3066" t="s">
        <v>15861</v>
      </c>
      <c r="F3066" t="s">
        <v>22436</v>
      </c>
      <c r="G3066" t="s">
        <v>22444</v>
      </c>
      <c r="H3066" t="s">
        <v>22452</v>
      </c>
      <c r="I3066" t="s">
        <v>22478</v>
      </c>
      <c r="J3066" t="s">
        <v>24670</v>
      </c>
      <c r="K3066" t="s">
        <v>29357</v>
      </c>
      <c r="M3066" t="s">
        <v>30680</v>
      </c>
      <c r="N3066" t="s">
        <v>32524</v>
      </c>
      <c r="O3066" t="s">
        <v>32525</v>
      </c>
      <c r="P3066">
        <v>0</v>
      </c>
      <c r="Q3066">
        <v>0</v>
      </c>
      <c r="R3066" t="s">
        <v>32527</v>
      </c>
      <c r="S3066" t="s">
        <v>32552</v>
      </c>
      <c r="T3066" t="s">
        <v>33153</v>
      </c>
      <c r="U3066" t="s">
        <v>36220</v>
      </c>
      <c r="W3066" t="s">
        <v>30680</v>
      </c>
      <c r="X3066" t="s">
        <v>32528</v>
      </c>
    </row>
    <row r="3067" spans="1:24">
      <c r="A3067">
        <f>HYPERLINK("https://www.philgeps.gov.ph/GEPSNONPILOT/Tender/SplashBidNoticeAbstractUI.aspx?menuIndex=3&amp;refID=7044078&amp;Result=3","7044078")</f>
        <v>0</v>
      </c>
      <c r="B3067" t="s">
        <v>957</v>
      </c>
      <c r="C3067" t="s">
        <v>5603</v>
      </c>
      <c r="D3067" t="s">
        <v>13028</v>
      </c>
      <c r="E3067" t="s">
        <v>15862</v>
      </c>
      <c r="F3067" t="s">
        <v>22436</v>
      </c>
      <c r="G3067" t="s">
        <v>22444</v>
      </c>
      <c r="H3067" t="s">
        <v>22454</v>
      </c>
      <c r="I3067" t="s">
        <v>22501</v>
      </c>
      <c r="J3067" t="s">
        <v>24671</v>
      </c>
      <c r="K3067" t="s">
        <v>29344</v>
      </c>
      <c r="M3067" t="s">
        <v>30573</v>
      </c>
      <c r="N3067" t="s">
        <v>32524</v>
      </c>
      <c r="O3067" t="s">
        <v>32525</v>
      </c>
      <c r="P3067">
        <v>0</v>
      </c>
      <c r="Q3067">
        <v>1</v>
      </c>
      <c r="R3067" t="s">
        <v>32527</v>
      </c>
      <c r="S3067" t="s">
        <v>32552</v>
      </c>
      <c r="T3067" t="s">
        <v>33170</v>
      </c>
      <c r="U3067" t="s">
        <v>36221</v>
      </c>
      <c r="V3067" t="s">
        <v>42656</v>
      </c>
      <c r="W3067" t="s">
        <v>30573</v>
      </c>
      <c r="X3067" t="s">
        <v>32528</v>
      </c>
    </row>
    <row r="3068" spans="1:24">
      <c r="A3068">
        <f>HYPERLINK("https://www.philgeps.gov.ph/GEPSNONPILOT/Tender/SplashBidNoticeAbstractUI.aspx?menuIndex=3&amp;refID=7044073&amp;Result=3","7044073")</f>
        <v>0</v>
      </c>
      <c r="B3068" t="s">
        <v>957</v>
      </c>
      <c r="C3068" t="s">
        <v>5604</v>
      </c>
      <c r="D3068" t="s">
        <v>13028</v>
      </c>
      <c r="E3068" t="s">
        <v>15863</v>
      </c>
      <c r="F3068" t="s">
        <v>22436</v>
      </c>
      <c r="G3068" t="s">
        <v>22444</v>
      </c>
      <c r="H3068" t="s">
        <v>22454</v>
      </c>
      <c r="I3068" t="s">
        <v>22501</v>
      </c>
      <c r="J3068" t="s">
        <v>24672</v>
      </c>
      <c r="K3068" t="s">
        <v>29344</v>
      </c>
      <c r="M3068" t="s">
        <v>30573</v>
      </c>
      <c r="N3068" t="s">
        <v>32524</v>
      </c>
      <c r="O3068" t="s">
        <v>32525</v>
      </c>
      <c r="P3068">
        <v>0</v>
      </c>
      <c r="Q3068">
        <v>1</v>
      </c>
      <c r="R3068" t="s">
        <v>32527</v>
      </c>
      <c r="S3068" t="s">
        <v>32552</v>
      </c>
      <c r="T3068" t="s">
        <v>33170</v>
      </c>
      <c r="U3068" t="s">
        <v>36222</v>
      </c>
      <c r="V3068" t="s">
        <v>42656</v>
      </c>
      <c r="W3068" t="s">
        <v>30573</v>
      </c>
      <c r="X3068" t="s">
        <v>32528</v>
      </c>
    </row>
    <row r="3069" spans="1:24">
      <c r="A3069">
        <f>HYPERLINK("https://www.philgeps.gov.ph/GEPSNONPILOT/Tender/SplashBidNoticeAbstractUI.aspx?menuIndex=3&amp;refID=7044077&amp;Result=3","7044077")</f>
        <v>0</v>
      </c>
      <c r="B3069" t="s">
        <v>957</v>
      </c>
      <c r="C3069" t="s">
        <v>5605</v>
      </c>
      <c r="D3069" t="s">
        <v>13028</v>
      </c>
      <c r="E3069" t="s">
        <v>15864</v>
      </c>
      <c r="F3069" t="s">
        <v>22436</v>
      </c>
      <c r="G3069" t="s">
        <v>22444</v>
      </c>
      <c r="H3069" t="s">
        <v>22454</v>
      </c>
      <c r="I3069" t="s">
        <v>22501</v>
      </c>
      <c r="J3069" t="s">
        <v>24673</v>
      </c>
      <c r="K3069" t="s">
        <v>29344</v>
      </c>
      <c r="M3069" t="s">
        <v>30573</v>
      </c>
      <c r="N3069" t="s">
        <v>32524</v>
      </c>
      <c r="O3069" t="s">
        <v>32525</v>
      </c>
      <c r="P3069">
        <v>0</v>
      </c>
      <c r="Q3069">
        <v>2</v>
      </c>
      <c r="R3069" t="s">
        <v>32527</v>
      </c>
      <c r="S3069" t="s">
        <v>32552</v>
      </c>
      <c r="T3069" t="s">
        <v>33170</v>
      </c>
      <c r="U3069" t="s">
        <v>36223</v>
      </c>
      <c r="V3069" t="s">
        <v>42656</v>
      </c>
      <c r="W3069" t="s">
        <v>30573</v>
      </c>
      <c r="X3069" t="s">
        <v>32528</v>
      </c>
    </row>
    <row r="3070" spans="1:24">
      <c r="A3070">
        <f>HYPERLINK("https://www.philgeps.gov.ph/GEPSNONPILOT/Tender/SplashBidNoticeAbstractUI.aspx?menuIndex=3&amp;refID=7044092&amp;Result=3","7044092")</f>
        <v>0</v>
      </c>
      <c r="B3070" t="s">
        <v>1107</v>
      </c>
      <c r="C3070" t="s">
        <v>5606</v>
      </c>
      <c r="D3070" t="s">
        <v>13035</v>
      </c>
      <c r="E3070" t="s">
        <v>15865</v>
      </c>
      <c r="F3070" t="s">
        <v>22436</v>
      </c>
      <c r="G3070" t="s">
        <v>22447</v>
      </c>
      <c r="H3070" t="s">
        <v>22452</v>
      </c>
      <c r="I3070" t="s">
        <v>22468</v>
      </c>
      <c r="J3070" t="s">
        <v>22692</v>
      </c>
      <c r="K3070" t="s">
        <v>29331</v>
      </c>
      <c r="M3070" t="s">
        <v>30743</v>
      </c>
      <c r="N3070" t="s">
        <v>32524</v>
      </c>
      <c r="O3070" t="s">
        <v>32525</v>
      </c>
      <c r="P3070">
        <v>0</v>
      </c>
      <c r="Q3070">
        <v>0</v>
      </c>
      <c r="R3070" t="s">
        <v>32527</v>
      </c>
      <c r="S3070" t="s">
        <v>32552</v>
      </c>
      <c r="T3070" t="s">
        <v>33206</v>
      </c>
      <c r="U3070" t="s">
        <v>36224</v>
      </c>
      <c r="V3070" t="s">
        <v>42714</v>
      </c>
      <c r="W3070" t="s">
        <v>30743</v>
      </c>
      <c r="X3070" t="s">
        <v>32528</v>
      </c>
    </row>
    <row r="3071" spans="1:24">
      <c r="A3071">
        <f>HYPERLINK("https://www.philgeps.gov.ph/GEPSNONPILOT/Tender/SplashBidNoticeAbstractUI.aspx?menuIndex=3&amp;refID=7044069&amp;Result=3","7044069")</f>
        <v>0</v>
      </c>
      <c r="B3071" t="s">
        <v>533</v>
      </c>
      <c r="C3071" t="s">
        <v>5168</v>
      </c>
      <c r="D3071" t="s">
        <v>12990</v>
      </c>
      <c r="E3071" t="s">
        <v>15866</v>
      </c>
      <c r="F3071" t="s">
        <v>22436</v>
      </c>
      <c r="G3071" t="s">
        <v>22446</v>
      </c>
      <c r="H3071" t="s">
        <v>22452</v>
      </c>
      <c r="I3071" t="s">
        <v>3840</v>
      </c>
      <c r="J3071" t="s">
        <v>22588</v>
      </c>
      <c r="K3071" t="s">
        <v>29336</v>
      </c>
      <c r="M3071" t="s">
        <v>30117</v>
      </c>
      <c r="N3071" t="s">
        <v>32524</v>
      </c>
      <c r="O3071" t="s">
        <v>32525</v>
      </c>
      <c r="P3071">
        <v>0</v>
      </c>
      <c r="Q3071">
        <v>3</v>
      </c>
      <c r="R3071" t="s">
        <v>32527</v>
      </c>
      <c r="S3071" t="s">
        <v>32552</v>
      </c>
      <c r="T3071" t="s">
        <v>33313</v>
      </c>
      <c r="U3071" t="s">
        <v>34701</v>
      </c>
      <c r="W3071" t="s">
        <v>30117</v>
      </c>
      <c r="X3071" t="s">
        <v>32528</v>
      </c>
    </row>
    <row r="3072" spans="1:24">
      <c r="A3072">
        <f>HYPERLINK("https://www.philgeps.gov.ph/GEPSNONPILOT/Tender/SplashBidNoticeAbstractUI.aspx?menuIndex=3&amp;refID=7044076&amp;Result=3","7044076")</f>
        <v>0</v>
      </c>
      <c r="B3072" t="s">
        <v>957</v>
      </c>
      <c r="C3072" t="s">
        <v>5607</v>
      </c>
      <c r="D3072" t="s">
        <v>13028</v>
      </c>
      <c r="E3072" t="s">
        <v>15867</v>
      </c>
      <c r="F3072" t="s">
        <v>22436</v>
      </c>
      <c r="G3072" t="s">
        <v>22444</v>
      </c>
      <c r="H3072" t="s">
        <v>22454</v>
      </c>
      <c r="I3072" t="s">
        <v>22501</v>
      </c>
      <c r="J3072" t="s">
        <v>24674</v>
      </c>
      <c r="K3072" t="s">
        <v>29344</v>
      </c>
      <c r="M3072" t="s">
        <v>30573</v>
      </c>
      <c r="N3072" t="s">
        <v>32524</v>
      </c>
      <c r="O3072" t="s">
        <v>32525</v>
      </c>
      <c r="P3072">
        <v>0</v>
      </c>
      <c r="Q3072">
        <v>1</v>
      </c>
      <c r="R3072" t="s">
        <v>32527</v>
      </c>
      <c r="S3072" t="s">
        <v>32552</v>
      </c>
      <c r="T3072" t="s">
        <v>33170</v>
      </c>
      <c r="U3072" t="s">
        <v>36225</v>
      </c>
      <c r="V3072" t="s">
        <v>42656</v>
      </c>
      <c r="W3072" t="s">
        <v>30573</v>
      </c>
      <c r="X3072" t="s">
        <v>32528</v>
      </c>
    </row>
    <row r="3073" spans="1:24">
      <c r="A3073">
        <f>HYPERLINK("https://www.philgeps.gov.ph/GEPSNONPILOT/Tender/SplashBidNoticeAbstractUI.aspx?menuIndex=3&amp;refID=7044088&amp;Result=3","7044088")</f>
        <v>0</v>
      </c>
      <c r="B3073" t="s">
        <v>1103</v>
      </c>
      <c r="C3073" t="s">
        <v>5608</v>
      </c>
      <c r="D3073" t="s">
        <v>13046</v>
      </c>
      <c r="E3073" t="s">
        <v>15868</v>
      </c>
      <c r="F3073" t="s">
        <v>22436</v>
      </c>
      <c r="G3073" t="s">
        <v>22444</v>
      </c>
      <c r="H3073" t="s">
        <v>22452</v>
      </c>
      <c r="I3073" t="s">
        <v>12358</v>
      </c>
      <c r="J3073" t="s">
        <v>24675</v>
      </c>
      <c r="K3073" t="s">
        <v>29329</v>
      </c>
      <c r="M3073" t="s">
        <v>30739</v>
      </c>
      <c r="N3073" t="s">
        <v>32524</v>
      </c>
      <c r="O3073" t="s">
        <v>32525</v>
      </c>
      <c r="P3073">
        <v>0</v>
      </c>
      <c r="Q3073">
        <v>0</v>
      </c>
      <c r="R3073" t="s">
        <v>32527</v>
      </c>
      <c r="S3073" t="s">
        <v>32552</v>
      </c>
      <c r="T3073" t="s">
        <v>33205</v>
      </c>
      <c r="U3073" t="s">
        <v>36226</v>
      </c>
      <c r="W3073" t="s">
        <v>30739</v>
      </c>
      <c r="X3073" t="s">
        <v>32528</v>
      </c>
    </row>
    <row r="3074" spans="1:24">
      <c r="A3074">
        <f>HYPERLINK("https://www.philgeps.gov.ph/GEPSNONPILOT/Tender/SplashBidNoticeAbstractUI.aspx?menuIndex=3&amp;refID=7044071&amp;Result=3","7044071")</f>
        <v>0</v>
      </c>
      <c r="B3074" t="s">
        <v>957</v>
      </c>
      <c r="C3074" t="s">
        <v>5609</v>
      </c>
      <c r="D3074" t="s">
        <v>13028</v>
      </c>
      <c r="E3074" t="s">
        <v>15869</v>
      </c>
      <c r="F3074" t="s">
        <v>22436</v>
      </c>
      <c r="G3074" t="s">
        <v>22444</v>
      </c>
      <c r="H3074" t="s">
        <v>22454</v>
      </c>
      <c r="I3074" t="s">
        <v>22501</v>
      </c>
      <c r="J3074" t="s">
        <v>24676</v>
      </c>
      <c r="K3074" t="s">
        <v>29344</v>
      </c>
      <c r="M3074" t="s">
        <v>30573</v>
      </c>
      <c r="N3074" t="s">
        <v>32524</v>
      </c>
      <c r="O3074" t="s">
        <v>32525</v>
      </c>
      <c r="P3074">
        <v>0</v>
      </c>
      <c r="Q3074">
        <v>1</v>
      </c>
      <c r="R3074" t="s">
        <v>32527</v>
      </c>
      <c r="S3074" t="s">
        <v>32552</v>
      </c>
      <c r="T3074" t="s">
        <v>33170</v>
      </c>
      <c r="U3074" t="s">
        <v>36227</v>
      </c>
      <c r="V3074" t="s">
        <v>42656</v>
      </c>
      <c r="W3074" t="s">
        <v>30573</v>
      </c>
      <c r="X3074" t="s">
        <v>32528</v>
      </c>
    </row>
    <row r="3075" spans="1:24">
      <c r="A3075">
        <f>HYPERLINK("https://www.philgeps.gov.ph/GEPSNONPILOT/Tender/SplashBidNoticeAbstractUI.aspx?menuIndex=3&amp;refID=7044089&amp;Result=3","7044089")</f>
        <v>0</v>
      </c>
      <c r="B3075" t="s">
        <v>1106</v>
      </c>
      <c r="C3075" t="s">
        <v>5610</v>
      </c>
      <c r="D3075" t="s">
        <v>12988</v>
      </c>
      <c r="E3075" t="s">
        <v>15870</v>
      </c>
      <c r="F3075" t="s">
        <v>22436</v>
      </c>
      <c r="G3075" t="s">
        <v>22443</v>
      </c>
      <c r="H3075" t="s">
        <v>22452</v>
      </c>
      <c r="I3075" t="s">
        <v>22489</v>
      </c>
      <c r="J3075" t="s">
        <v>23951</v>
      </c>
      <c r="K3075" t="s">
        <v>29336</v>
      </c>
      <c r="M3075" t="s">
        <v>30742</v>
      </c>
      <c r="N3075" t="s">
        <v>32524</v>
      </c>
      <c r="O3075" t="s">
        <v>32525</v>
      </c>
      <c r="P3075">
        <v>0</v>
      </c>
      <c r="Q3075">
        <v>8</v>
      </c>
      <c r="R3075" t="s">
        <v>32527</v>
      </c>
      <c r="S3075" t="s">
        <v>32552</v>
      </c>
      <c r="T3075" t="s">
        <v>33314</v>
      </c>
      <c r="U3075" t="s">
        <v>36228</v>
      </c>
      <c r="W3075" t="s">
        <v>30742</v>
      </c>
      <c r="X3075" t="s">
        <v>32528</v>
      </c>
    </row>
    <row r="3076" spans="1:24">
      <c r="A3076">
        <f>HYPERLINK("https://www.philgeps.gov.ph/GEPSNONPILOT/Tender/SplashBidNoticeAbstractUI.aspx?menuIndex=3&amp;refID=7044085&amp;Result=3","7044085")</f>
        <v>0</v>
      </c>
      <c r="B3076" t="s">
        <v>1108</v>
      </c>
      <c r="C3076" t="s">
        <v>5611</v>
      </c>
      <c r="D3076" t="s">
        <v>13061</v>
      </c>
      <c r="E3076" t="s">
        <v>15871</v>
      </c>
      <c r="F3076" t="s">
        <v>22436</v>
      </c>
      <c r="G3076" t="s">
        <v>22446</v>
      </c>
      <c r="H3076" t="s">
        <v>22452</v>
      </c>
      <c r="I3076" t="s">
        <v>22463</v>
      </c>
      <c r="J3076" t="s">
        <v>24677</v>
      </c>
      <c r="K3076" t="s">
        <v>29338</v>
      </c>
      <c r="M3076" t="s">
        <v>30744</v>
      </c>
      <c r="N3076" t="s">
        <v>32524</v>
      </c>
      <c r="O3076" t="s">
        <v>32525</v>
      </c>
      <c r="P3076">
        <v>0</v>
      </c>
      <c r="Q3076">
        <v>7</v>
      </c>
      <c r="R3076" t="s">
        <v>32527</v>
      </c>
      <c r="S3076" t="s">
        <v>32552</v>
      </c>
      <c r="T3076" t="s">
        <v>33209</v>
      </c>
      <c r="U3076" t="s">
        <v>36229</v>
      </c>
      <c r="V3076" t="s">
        <v>42715</v>
      </c>
      <c r="W3076" t="s">
        <v>30744</v>
      </c>
      <c r="X3076" t="s">
        <v>32528</v>
      </c>
    </row>
    <row r="3077" spans="1:24">
      <c r="A3077">
        <f>HYPERLINK("https://www.philgeps.gov.ph/GEPSNONPILOT/Tender/SplashBidNoticeAbstractUI.aspx?menuIndex=3&amp;refID=7044081&amp;Result=3","7044081")</f>
        <v>0</v>
      </c>
      <c r="B3077" t="s">
        <v>1106</v>
      </c>
      <c r="C3077" t="s">
        <v>5612</v>
      </c>
      <c r="D3077" t="s">
        <v>12988</v>
      </c>
      <c r="E3077" t="s">
        <v>15872</v>
      </c>
      <c r="F3077" t="s">
        <v>22436</v>
      </c>
      <c r="G3077" t="s">
        <v>22445</v>
      </c>
      <c r="H3077" t="s">
        <v>22452</v>
      </c>
      <c r="I3077" t="s">
        <v>22489</v>
      </c>
      <c r="J3077" t="s">
        <v>24678</v>
      </c>
      <c r="K3077" t="s">
        <v>29336</v>
      </c>
      <c r="M3077" t="s">
        <v>30742</v>
      </c>
      <c r="N3077" t="s">
        <v>32524</v>
      </c>
      <c r="O3077" t="s">
        <v>32525</v>
      </c>
      <c r="P3077">
        <v>0</v>
      </c>
      <c r="Q3077">
        <v>6</v>
      </c>
      <c r="R3077" t="s">
        <v>32527</v>
      </c>
      <c r="S3077" t="s">
        <v>32552</v>
      </c>
      <c r="T3077" t="s">
        <v>33314</v>
      </c>
      <c r="U3077" t="s">
        <v>36230</v>
      </c>
      <c r="W3077" t="s">
        <v>30742</v>
      </c>
      <c r="X3077" t="s">
        <v>32528</v>
      </c>
    </row>
    <row r="3078" spans="1:24">
      <c r="A3078">
        <f>HYPERLINK("https://www.philgeps.gov.ph/GEPSNONPILOT/Tender/SplashBidNoticeAbstractUI.aspx?menuIndex=3&amp;refID=7044080&amp;Result=3","7044080")</f>
        <v>0</v>
      </c>
      <c r="B3078" t="s">
        <v>1109</v>
      </c>
      <c r="C3078" t="s">
        <v>5613</v>
      </c>
      <c r="D3078" t="s">
        <v>13045</v>
      </c>
      <c r="E3078" t="s">
        <v>15873</v>
      </c>
      <c r="F3078" t="s">
        <v>22436</v>
      </c>
      <c r="G3078" t="s">
        <v>22448</v>
      </c>
      <c r="H3078" t="s">
        <v>22452</v>
      </c>
      <c r="I3078" t="s">
        <v>22465</v>
      </c>
      <c r="J3078" t="s">
        <v>24679</v>
      </c>
      <c r="K3078" t="s">
        <v>29341</v>
      </c>
      <c r="M3078" t="s">
        <v>30745</v>
      </c>
      <c r="N3078" t="s">
        <v>32524</v>
      </c>
      <c r="O3078" t="s">
        <v>32525</v>
      </c>
      <c r="P3078">
        <v>0</v>
      </c>
      <c r="Q3078">
        <v>0</v>
      </c>
      <c r="R3078" t="s">
        <v>32527</v>
      </c>
      <c r="S3078" t="s">
        <v>32552</v>
      </c>
      <c r="T3078" t="s">
        <v>33310</v>
      </c>
      <c r="U3078" t="s">
        <v>36231</v>
      </c>
      <c r="W3078" t="s">
        <v>30745</v>
      </c>
      <c r="X3078" t="s">
        <v>32528</v>
      </c>
    </row>
    <row r="3079" spans="1:24">
      <c r="A3079">
        <f>HYPERLINK("https://www.philgeps.gov.ph/GEPSNONPILOT/Tender/SplashBidNoticeAbstractUI.aspx?menuIndex=3&amp;refID=7044087&amp;Result=3","7044087")</f>
        <v>0</v>
      </c>
      <c r="B3079" t="s">
        <v>1107</v>
      </c>
      <c r="C3079" t="s">
        <v>5614</v>
      </c>
      <c r="D3079" t="s">
        <v>13035</v>
      </c>
      <c r="E3079" t="s">
        <v>15874</v>
      </c>
      <c r="F3079" t="s">
        <v>22436</v>
      </c>
      <c r="G3079" t="s">
        <v>22443</v>
      </c>
      <c r="H3079" t="s">
        <v>22452</v>
      </c>
      <c r="I3079" t="s">
        <v>22471</v>
      </c>
      <c r="J3079" t="s">
        <v>24680</v>
      </c>
      <c r="K3079" t="s">
        <v>29331</v>
      </c>
      <c r="M3079" t="s">
        <v>30743</v>
      </c>
      <c r="N3079" t="s">
        <v>32524</v>
      </c>
      <c r="O3079" t="s">
        <v>32525</v>
      </c>
      <c r="P3079">
        <v>0</v>
      </c>
      <c r="Q3079">
        <v>0</v>
      </c>
      <c r="R3079" t="s">
        <v>32527</v>
      </c>
      <c r="S3079" t="s">
        <v>32552</v>
      </c>
      <c r="T3079" t="s">
        <v>33396</v>
      </c>
      <c r="U3079" t="s">
        <v>36232</v>
      </c>
      <c r="V3079" t="s">
        <v>42716</v>
      </c>
      <c r="W3079" t="s">
        <v>30743</v>
      </c>
      <c r="X3079" t="s">
        <v>32528</v>
      </c>
    </row>
    <row r="3080" spans="1:24">
      <c r="A3080">
        <f>HYPERLINK("https://www.philgeps.gov.ph/GEPSNONPILOT/Tender/SplashBidNoticeAbstractUI.aspx?menuIndex=3&amp;refID=7044084&amp;Result=3","7044084")</f>
        <v>0</v>
      </c>
      <c r="B3080" t="s">
        <v>1106</v>
      </c>
      <c r="C3080" t="s">
        <v>5615</v>
      </c>
      <c r="D3080" t="s">
        <v>12988</v>
      </c>
      <c r="E3080" t="s">
        <v>15875</v>
      </c>
      <c r="F3080" t="s">
        <v>22436</v>
      </c>
      <c r="G3080" t="s">
        <v>22443</v>
      </c>
      <c r="H3080" t="s">
        <v>22452</v>
      </c>
      <c r="I3080" t="s">
        <v>22489</v>
      </c>
      <c r="J3080" t="s">
        <v>24681</v>
      </c>
      <c r="K3080" t="s">
        <v>29336</v>
      </c>
      <c r="M3080" t="s">
        <v>30742</v>
      </c>
      <c r="N3080" t="s">
        <v>32524</v>
      </c>
      <c r="O3080" t="s">
        <v>32525</v>
      </c>
      <c r="P3080">
        <v>0</v>
      </c>
      <c r="Q3080">
        <v>8</v>
      </c>
      <c r="R3080" t="s">
        <v>32527</v>
      </c>
      <c r="S3080" t="s">
        <v>32552</v>
      </c>
      <c r="T3080" t="s">
        <v>33314</v>
      </c>
      <c r="U3080" t="s">
        <v>36233</v>
      </c>
      <c r="W3080" t="s">
        <v>30742</v>
      </c>
      <c r="X3080" t="s">
        <v>32528</v>
      </c>
    </row>
    <row r="3081" spans="1:24">
      <c r="A3081">
        <f>HYPERLINK("https://www.philgeps.gov.ph/GEPSNONPILOT/Tender/SplashBidNoticeAbstractUI.aspx?menuIndex=3&amp;refID=7044083&amp;Result=3","7044083")</f>
        <v>0</v>
      </c>
      <c r="B3081" t="s">
        <v>1048</v>
      </c>
      <c r="C3081" t="s">
        <v>5616</v>
      </c>
      <c r="D3081" t="s">
        <v>13007</v>
      </c>
      <c r="E3081" t="s">
        <v>15876</v>
      </c>
      <c r="F3081" t="s">
        <v>22436</v>
      </c>
      <c r="G3081" t="s">
        <v>22444</v>
      </c>
      <c r="H3081" t="s">
        <v>22452</v>
      </c>
      <c r="I3081" t="s">
        <v>22460</v>
      </c>
      <c r="J3081" t="s">
        <v>23667</v>
      </c>
      <c r="K3081" t="s">
        <v>29357</v>
      </c>
      <c r="M3081" t="s">
        <v>30680</v>
      </c>
      <c r="N3081" t="s">
        <v>32524</v>
      </c>
      <c r="O3081" t="s">
        <v>32525</v>
      </c>
      <c r="P3081">
        <v>0</v>
      </c>
      <c r="Q3081">
        <v>0</v>
      </c>
      <c r="R3081" t="s">
        <v>32527</v>
      </c>
      <c r="S3081" t="s">
        <v>32552</v>
      </c>
      <c r="T3081" t="s">
        <v>33153</v>
      </c>
      <c r="U3081" t="s">
        <v>36212</v>
      </c>
      <c r="W3081" t="s">
        <v>30680</v>
      </c>
      <c r="X3081" t="s">
        <v>32528</v>
      </c>
    </row>
    <row r="3082" spans="1:24">
      <c r="A3082">
        <f>HYPERLINK("https://www.philgeps.gov.ph/GEPSNONPILOT/Tender/SplashBidNoticeAbstractUI.aspx?menuIndex=3&amp;refID=7044094&amp;Result=3","7044094")</f>
        <v>0</v>
      </c>
      <c r="B3082" t="s">
        <v>1110</v>
      </c>
      <c r="C3082" t="s">
        <v>5617</v>
      </c>
      <c r="D3082" t="s">
        <v>13025</v>
      </c>
      <c r="E3082" t="s">
        <v>15877</v>
      </c>
      <c r="F3082" t="s">
        <v>22436</v>
      </c>
      <c r="G3082" t="s">
        <v>22444</v>
      </c>
      <c r="H3082" t="s">
        <v>22452</v>
      </c>
      <c r="I3082" t="s">
        <v>3529</v>
      </c>
      <c r="J3082" t="s">
        <v>24682</v>
      </c>
      <c r="K3082" t="s">
        <v>29388</v>
      </c>
      <c r="L3082" t="s">
        <v>1110</v>
      </c>
      <c r="M3082" t="s">
        <v>30746</v>
      </c>
      <c r="N3082" t="s">
        <v>32524</v>
      </c>
      <c r="O3082" t="s">
        <v>32525</v>
      </c>
      <c r="P3082">
        <v>0</v>
      </c>
      <c r="Q3082">
        <v>1</v>
      </c>
      <c r="R3082" t="s">
        <v>32527</v>
      </c>
      <c r="S3082" t="s">
        <v>32552</v>
      </c>
      <c r="T3082" t="s">
        <v>33219</v>
      </c>
      <c r="U3082" t="s">
        <v>36234</v>
      </c>
      <c r="V3082" t="s">
        <v>42717</v>
      </c>
      <c r="W3082" t="s">
        <v>30746</v>
      </c>
      <c r="X3082" t="s">
        <v>32528</v>
      </c>
    </row>
    <row r="3083" spans="1:24">
      <c r="A3083">
        <f>HYPERLINK("https://www.philgeps.gov.ph/GEPSNONPILOT/Tender/SplashBidNoticeAbstractUI.aspx?menuIndex=3&amp;refID=7044105&amp;Result=3","7044105")</f>
        <v>0</v>
      </c>
      <c r="B3083" t="s">
        <v>140</v>
      </c>
      <c r="C3083" t="s">
        <v>5618</v>
      </c>
      <c r="D3083" t="s">
        <v>12988</v>
      </c>
      <c r="E3083" t="s">
        <v>15878</v>
      </c>
      <c r="F3083" t="s">
        <v>22436</v>
      </c>
      <c r="G3083" t="s">
        <v>22443</v>
      </c>
      <c r="H3083" t="s">
        <v>22452</v>
      </c>
      <c r="I3083" t="s">
        <v>22466</v>
      </c>
      <c r="J3083" t="s">
        <v>24683</v>
      </c>
      <c r="K3083" t="s">
        <v>29338</v>
      </c>
      <c r="M3083" t="s">
        <v>30747</v>
      </c>
      <c r="N3083" t="s">
        <v>32524</v>
      </c>
      <c r="O3083" t="s">
        <v>32525</v>
      </c>
      <c r="P3083">
        <v>0</v>
      </c>
      <c r="Q3083">
        <v>6</v>
      </c>
      <c r="R3083" t="s">
        <v>32527</v>
      </c>
      <c r="S3083" t="s">
        <v>32552</v>
      </c>
      <c r="T3083" t="s">
        <v>33203</v>
      </c>
      <c r="U3083" t="s">
        <v>36235</v>
      </c>
      <c r="W3083" t="s">
        <v>30747</v>
      </c>
      <c r="X3083" t="s">
        <v>32528</v>
      </c>
    </row>
    <row r="3084" spans="1:24">
      <c r="A3084">
        <f>HYPERLINK("https://www.philgeps.gov.ph/GEPSNONPILOT/Tender/SplashBidNoticeAbstractUI.aspx?menuIndex=3&amp;refID=7044103&amp;Result=3","7044103")</f>
        <v>0</v>
      </c>
      <c r="B3084" t="s">
        <v>1048</v>
      </c>
      <c r="C3084" t="s">
        <v>5619</v>
      </c>
      <c r="D3084" t="s">
        <v>13007</v>
      </c>
      <c r="E3084" t="s">
        <v>15879</v>
      </c>
      <c r="F3084" t="s">
        <v>22436</v>
      </c>
      <c r="G3084" t="s">
        <v>22443</v>
      </c>
      <c r="H3084" t="s">
        <v>22452</v>
      </c>
      <c r="I3084" t="s">
        <v>22520</v>
      </c>
      <c r="J3084" t="s">
        <v>24684</v>
      </c>
      <c r="K3084" t="s">
        <v>29357</v>
      </c>
      <c r="M3084" t="s">
        <v>30680</v>
      </c>
      <c r="N3084" t="s">
        <v>32524</v>
      </c>
      <c r="O3084" t="s">
        <v>32525</v>
      </c>
      <c r="P3084">
        <v>0</v>
      </c>
      <c r="Q3084">
        <v>1</v>
      </c>
      <c r="R3084" t="s">
        <v>32527</v>
      </c>
      <c r="S3084" t="s">
        <v>32552</v>
      </c>
      <c r="T3084" t="s">
        <v>33153</v>
      </c>
      <c r="U3084" t="s">
        <v>36236</v>
      </c>
      <c r="W3084" t="s">
        <v>30680</v>
      </c>
      <c r="X3084" t="s">
        <v>32528</v>
      </c>
    </row>
    <row r="3085" spans="1:24">
      <c r="A3085">
        <f>HYPERLINK("https://www.philgeps.gov.ph/GEPSNONPILOT/Tender/SplashBidNoticeAbstractUI.aspx?menuIndex=3&amp;refID=7044109&amp;Result=3","7044109")</f>
        <v>0</v>
      </c>
      <c r="B3085" t="s">
        <v>519</v>
      </c>
      <c r="C3085" t="s">
        <v>5620</v>
      </c>
      <c r="D3085" t="s">
        <v>12988</v>
      </c>
      <c r="E3085" t="s">
        <v>15880</v>
      </c>
      <c r="F3085" t="s">
        <v>22436</v>
      </c>
      <c r="G3085" t="s">
        <v>22444</v>
      </c>
      <c r="H3085" t="s">
        <v>22452</v>
      </c>
      <c r="I3085" t="s">
        <v>22489</v>
      </c>
      <c r="J3085" t="s">
        <v>24685</v>
      </c>
      <c r="K3085" t="s">
        <v>29336</v>
      </c>
      <c r="M3085" t="s">
        <v>30748</v>
      </c>
      <c r="N3085" t="s">
        <v>32524</v>
      </c>
      <c r="O3085" t="s">
        <v>32525</v>
      </c>
      <c r="P3085">
        <v>0</v>
      </c>
      <c r="Q3085">
        <v>12</v>
      </c>
      <c r="R3085" t="s">
        <v>32527</v>
      </c>
      <c r="S3085" t="s">
        <v>32552</v>
      </c>
      <c r="T3085" t="s">
        <v>33366</v>
      </c>
      <c r="U3085" t="s">
        <v>36237</v>
      </c>
      <c r="W3085" t="s">
        <v>30748</v>
      </c>
      <c r="X3085" t="s">
        <v>32528</v>
      </c>
    </row>
    <row r="3086" spans="1:24">
      <c r="A3086">
        <f>HYPERLINK("https://www.philgeps.gov.ph/GEPSNONPILOT/Tender/SplashBidNoticeAbstractUI.aspx?menuIndex=3&amp;refID=7044102&amp;Result=3","7044102")</f>
        <v>0</v>
      </c>
      <c r="B3086" t="s">
        <v>140</v>
      </c>
      <c r="C3086" t="s">
        <v>5621</v>
      </c>
      <c r="D3086" t="s">
        <v>12988</v>
      </c>
      <c r="E3086" t="s">
        <v>15881</v>
      </c>
      <c r="F3086" t="s">
        <v>22436</v>
      </c>
      <c r="G3086" t="s">
        <v>22443</v>
      </c>
      <c r="H3086" t="s">
        <v>22452</v>
      </c>
      <c r="I3086" t="s">
        <v>22466</v>
      </c>
      <c r="J3086" t="s">
        <v>24686</v>
      </c>
      <c r="K3086" t="s">
        <v>29338</v>
      </c>
      <c r="M3086" t="s">
        <v>30747</v>
      </c>
      <c r="N3086" t="s">
        <v>32524</v>
      </c>
      <c r="O3086" t="s">
        <v>32525</v>
      </c>
      <c r="P3086">
        <v>0</v>
      </c>
      <c r="Q3086">
        <v>9</v>
      </c>
      <c r="R3086" t="s">
        <v>32527</v>
      </c>
      <c r="S3086" t="s">
        <v>32552</v>
      </c>
      <c r="T3086" t="s">
        <v>33203</v>
      </c>
      <c r="U3086" t="s">
        <v>36238</v>
      </c>
      <c r="W3086" t="s">
        <v>30747</v>
      </c>
      <c r="X3086" t="s">
        <v>32528</v>
      </c>
    </row>
    <row r="3087" spans="1:24">
      <c r="A3087">
        <f>HYPERLINK("https://www.philgeps.gov.ph/GEPSNONPILOT/Tender/SplashBidNoticeAbstractUI.aspx?menuIndex=3&amp;refID=7044099&amp;Result=3","7044099")</f>
        <v>0</v>
      </c>
      <c r="B3087" t="s">
        <v>519</v>
      </c>
      <c r="C3087" t="s">
        <v>5622</v>
      </c>
      <c r="D3087" t="s">
        <v>12988</v>
      </c>
      <c r="E3087" t="s">
        <v>15882</v>
      </c>
      <c r="F3087" t="s">
        <v>22436</v>
      </c>
      <c r="G3087" t="s">
        <v>22444</v>
      </c>
      <c r="H3087" t="s">
        <v>22452</v>
      </c>
      <c r="I3087" t="s">
        <v>22456</v>
      </c>
      <c r="J3087" t="s">
        <v>24687</v>
      </c>
      <c r="K3087" t="s">
        <v>29336</v>
      </c>
      <c r="M3087" t="s">
        <v>30748</v>
      </c>
      <c r="N3087" t="s">
        <v>32524</v>
      </c>
      <c r="O3087" t="s">
        <v>32525</v>
      </c>
      <c r="P3087">
        <v>0</v>
      </c>
      <c r="Q3087">
        <v>17</v>
      </c>
      <c r="R3087" t="s">
        <v>32527</v>
      </c>
      <c r="S3087" t="s">
        <v>32552</v>
      </c>
      <c r="T3087" t="s">
        <v>33366</v>
      </c>
      <c r="U3087" t="s">
        <v>36237</v>
      </c>
      <c r="W3087" t="s">
        <v>30748</v>
      </c>
      <c r="X3087" t="s">
        <v>32528</v>
      </c>
    </row>
    <row r="3088" spans="1:24">
      <c r="A3088">
        <f>HYPERLINK("https://www.philgeps.gov.ph/GEPSNONPILOT/Tender/SplashBidNoticeAbstractUI.aspx?menuIndex=3&amp;refID=7044107&amp;Result=3","7044107")</f>
        <v>0</v>
      </c>
      <c r="B3088" t="s">
        <v>1111</v>
      </c>
      <c r="C3088" t="s">
        <v>5623</v>
      </c>
      <c r="D3088" t="s">
        <v>12996</v>
      </c>
      <c r="E3088" t="s">
        <v>15883</v>
      </c>
      <c r="F3088" t="s">
        <v>22436</v>
      </c>
      <c r="G3088" t="s">
        <v>22446</v>
      </c>
      <c r="H3088" t="s">
        <v>22452</v>
      </c>
      <c r="I3088" t="s">
        <v>22467</v>
      </c>
      <c r="J3088" t="s">
        <v>24688</v>
      </c>
      <c r="K3088" t="s">
        <v>29336</v>
      </c>
      <c r="M3088" t="s">
        <v>30749</v>
      </c>
      <c r="N3088" t="s">
        <v>32524</v>
      </c>
      <c r="O3088" t="s">
        <v>32525</v>
      </c>
      <c r="P3088">
        <v>0</v>
      </c>
      <c r="Q3088">
        <v>0</v>
      </c>
      <c r="R3088" t="s">
        <v>32527</v>
      </c>
      <c r="S3088" t="s">
        <v>32552</v>
      </c>
      <c r="T3088" t="s">
        <v>33220</v>
      </c>
      <c r="U3088" t="s">
        <v>36239</v>
      </c>
      <c r="W3088" t="s">
        <v>30749</v>
      </c>
      <c r="X3088" t="s">
        <v>32528</v>
      </c>
    </row>
    <row r="3089" spans="1:24">
      <c r="A3089">
        <f>HYPERLINK("https://www.philgeps.gov.ph/GEPSNONPILOT/Tender/SplashBidNoticeAbstractUI.aspx?menuIndex=3&amp;refID=7044096&amp;Result=3","7044096")</f>
        <v>0</v>
      </c>
      <c r="B3089" t="s">
        <v>140</v>
      </c>
      <c r="C3089" t="s">
        <v>5624</v>
      </c>
      <c r="D3089" t="s">
        <v>12988</v>
      </c>
      <c r="E3089" t="s">
        <v>15884</v>
      </c>
      <c r="F3089" t="s">
        <v>22436</v>
      </c>
      <c r="G3089" t="s">
        <v>22443</v>
      </c>
      <c r="H3089" t="s">
        <v>22452</v>
      </c>
      <c r="I3089" t="s">
        <v>11896</v>
      </c>
      <c r="J3089" t="s">
        <v>23085</v>
      </c>
      <c r="K3089" t="s">
        <v>29338</v>
      </c>
      <c r="M3089" t="s">
        <v>30747</v>
      </c>
      <c r="N3089" t="s">
        <v>32524</v>
      </c>
      <c r="O3089" t="s">
        <v>32525</v>
      </c>
      <c r="P3089">
        <v>0</v>
      </c>
      <c r="Q3089">
        <v>3</v>
      </c>
      <c r="R3089" t="s">
        <v>32527</v>
      </c>
      <c r="S3089" t="s">
        <v>32552</v>
      </c>
      <c r="T3089" t="s">
        <v>33203</v>
      </c>
      <c r="U3089" t="s">
        <v>36240</v>
      </c>
      <c r="W3089" t="s">
        <v>30747</v>
      </c>
      <c r="X3089" t="s">
        <v>32528</v>
      </c>
    </row>
    <row r="3090" spans="1:24">
      <c r="A3090">
        <f>HYPERLINK("https://www.philgeps.gov.ph/GEPSNONPILOT/Tender/SplashBidNoticeAbstractUI.aspx?menuIndex=3&amp;refID=7044110&amp;Result=3","7044110")</f>
        <v>0</v>
      </c>
      <c r="B3090" t="s">
        <v>1111</v>
      </c>
      <c r="C3090" t="s">
        <v>5625</v>
      </c>
      <c r="D3090" t="s">
        <v>12996</v>
      </c>
      <c r="E3090" t="s">
        <v>15885</v>
      </c>
      <c r="F3090" t="s">
        <v>22436</v>
      </c>
      <c r="G3090" t="s">
        <v>22446</v>
      </c>
      <c r="H3090" t="s">
        <v>22452</v>
      </c>
      <c r="I3090" t="s">
        <v>22467</v>
      </c>
      <c r="J3090" t="s">
        <v>23023</v>
      </c>
      <c r="K3090" t="s">
        <v>29336</v>
      </c>
      <c r="M3090" t="s">
        <v>30749</v>
      </c>
      <c r="N3090" t="s">
        <v>32524</v>
      </c>
      <c r="O3090" t="s">
        <v>32525</v>
      </c>
      <c r="P3090">
        <v>0</v>
      </c>
      <c r="Q3090">
        <v>0</v>
      </c>
      <c r="R3090" t="s">
        <v>32527</v>
      </c>
      <c r="S3090" t="s">
        <v>32552</v>
      </c>
      <c r="T3090" t="s">
        <v>33220</v>
      </c>
      <c r="U3090" t="s">
        <v>36239</v>
      </c>
      <c r="W3090" t="s">
        <v>30749</v>
      </c>
      <c r="X3090" t="s">
        <v>32528</v>
      </c>
    </row>
    <row r="3091" spans="1:24">
      <c r="A3091">
        <f>HYPERLINK("https://www.philgeps.gov.ph/GEPSNONPILOT/Tender/SplashBidNoticeAbstractUI.aspx?menuIndex=3&amp;refID=7044098&amp;Result=3","7044098")</f>
        <v>0</v>
      </c>
      <c r="B3091" t="s">
        <v>1110</v>
      </c>
      <c r="C3091" t="s">
        <v>5626</v>
      </c>
      <c r="D3091" t="s">
        <v>13025</v>
      </c>
      <c r="E3091" t="s">
        <v>15886</v>
      </c>
      <c r="F3091" t="s">
        <v>22436</v>
      </c>
      <c r="G3091" t="s">
        <v>22444</v>
      </c>
      <c r="H3091" t="s">
        <v>22452</v>
      </c>
      <c r="I3091" t="s">
        <v>3529</v>
      </c>
      <c r="J3091" t="s">
        <v>24689</v>
      </c>
      <c r="K3091" t="s">
        <v>29388</v>
      </c>
      <c r="L3091" t="s">
        <v>1110</v>
      </c>
      <c r="M3091" t="s">
        <v>30746</v>
      </c>
      <c r="N3091" t="s">
        <v>32524</v>
      </c>
      <c r="O3091" t="s">
        <v>32525</v>
      </c>
      <c r="P3091">
        <v>0</v>
      </c>
      <c r="Q3091">
        <v>1</v>
      </c>
      <c r="R3091" t="s">
        <v>32527</v>
      </c>
      <c r="S3091" t="s">
        <v>32552</v>
      </c>
      <c r="T3091" t="s">
        <v>33219</v>
      </c>
      <c r="U3091" t="s">
        <v>36241</v>
      </c>
      <c r="V3091" t="s">
        <v>42718</v>
      </c>
      <c r="W3091" t="s">
        <v>30746</v>
      </c>
      <c r="X3091" t="s">
        <v>32528</v>
      </c>
    </row>
    <row r="3092" spans="1:24">
      <c r="A3092">
        <f>HYPERLINK("https://www.philgeps.gov.ph/GEPSNONPILOT/Tender/SplashBidNoticeAbstractUI.aspx?menuIndex=3&amp;refID=7044112&amp;Result=3","7044112")</f>
        <v>0</v>
      </c>
      <c r="B3092" t="s">
        <v>1112</v>
      </c>
      <c r="C3092" t="s">
        <v>5627</v>
      </c>
      <c r="E3092" t="s">
        <v>15887</v>
      </c>
      <c r="F3092" t="s">
        <v>22436</v>
      </c>
      <c r="G3092" t="s">
        <v>22447</v>
      </c>
      <c r="H3092" t="s">
        <v>22452</v>
      </c>
      <c r="I3092" t="s">
        <v>3827</v>
      </c>
      <c r="J3092" t="s">
        <v>24690</v>
      </c>
      <c r="K3092" t="s">
        <v>29338</v>
      </c>
      <c r="M3092" t="s">
        <v>30750</v>
      </c>
      <c r="N3092" t="s">
        <v>32524</v>
      </c>
      <c r="O3092" t="s">
        <v>32525</v>
      </c>
      <c r="Q3092">
        <v>18</v>
      </c>
      <c r="R3092" t="s">
        <v>32527</v>
      </c>
      <c r="S3092" t="s">
        <v>32558</v>
      </c>
      <c r="T3092" t="s">
        <v>33312</v>
      </c>
      <c r="U3092" t="s">
        <v>36242</v>
      </c>
      <c r="W3092" t="s">
        <v>30750</v>
      </c>
      <c r="X3092" t="s">
        <v>32528</v>
      </c>
    </row>
    <row r="3093" spans="1:24">
      <c r="A3093">
        <f>HYPERLINK("https://www.philgeps.gov.ph/GEPSNONPILOT/Tender/SplashBidNoticeAbstractUI.aspx?menuIndex=3&amp;refID=7044120&amp;Result=3","7044120")</f>
        <v>0</v>
      </c>
      <c r="B3093" t="s">
        <v>1113</v>
      </c>
      <c r="C3093" t="s">
        <v>5628</v>
      </c>
      <c r="D3093" t="s">
        <v>13041</v>
      </c>
      <c r="E3093" t="s">
        <v>15888</v>
      </c>
      <c r="F3093" t="s">
        <v>22436</v>
      </c>
      <c r="G3093" t="s">
        <v>22443</v>
      </c>
      <c r="H3093" t="s">
        <v>22452</v>
      </c>
      <c r="I3093" t="s">
        <v>2981</v>
      </c>
      <c r="J3093" t="s">
        <v>22617</v>
      </c>
      <c r="K3093" t="s">
        <v>29335</v>
      </c>
      <c r="M3093" t="s">
        <v>30751</v>
      </c>
      <c r="N3093" t="s">
        <v>32524</v>
      </c>
      <c r="O3093" t="s">
        <v>32525</v>
      </c>
      <c r="P3093">
        <v>0</v>
      </c>
      <c r="Q3093">
        <v>1</v>
      </c>
      <c r="R3093" t="s">
        <v>32527</v>
      </c>
      <c r="S3093" t="s">
        <v>32552</v>
      </c>
      <c r="T3093" t="s">
        <v>33206</v>
      </c>
      <c r="U3093" t="s">
        <v>36243</v>
      </c>
      <c r="W3093" t="s">
        <v>30751</v>
      </c>
      <c r="X3093" t="s">
        <v>32528</v>
      </c>
    </row>
    <row r="3094" spans="1:24">
      <c r="A3094">
        <f>HYPERLINK("https://www.philgeps.gov.ph/GEPSNONPILOT/Tender/SplashBidNoticeAbstractUI.aspx?menuIndex=3&amp;refID=7044115&amp;Result=3","7044115")</f>
        <v>0</v>
      </c>
      <c r="B3094" t="s">
        <v>140</v>
      </c>
      <c r="C3094" t="s">
        <v>5629</v>
      </c>
      <c r="D3094" t="s">
        <v>12988</v>
      </c>
      <c r="E3094" t="s">
        <v>15889</v>
      </c>
      <c r="F3094" t="s">
        <v>22436</v>
      </c>
      <c r="G3094" t="s">
        <v>22443</v>
      </c>
      <c r="H3094" t="s">
        <v>22452</v>
      </c>
      <c r="I3094" t="s">
        <v>3122</v>
      </c>
      <c r="J3094" t="s">
        <v>22911</v>
      </c>
      <c r="K3094" t="s">
        <v>29338</v>
      </c>
      <c r="M3094" t="s">
        <v>30747</v>
      </c>
      <c r="N3094" t="s">
        <v>32524</v>
      </c>
      <c r="O3094" t="s">
        <v>32525</v>
      </c>
      <c r="P3094">
        <v>0</v>
      </c>
      <c r="Q3094">
        <v>0</v>
      </c>
      <c r="R3094" t="s">
        <v>32527</v>
      </c>
      <c r="S3094" t="s">
        <v>32552</v>
      </c>
      <c r="T3094" t="s">
        <v>33203</v>
      </c>
      <c r="U3094" t="s">
        <v>36244</v>
      </c>
      <c r="W3094" t="s">
        <v>30747</v>
      </c>
      <c r="X3094" t="s">
        <v>32528</v>
      </c>
    </row>
    <row r="3095" spans="1:24">
      <c r="A3095">
        <f>HYPERLINK("https://www.philgeps.gov.ph/GEPSNONPILOT/Tender/SplashBidNoticeAbstractUI.aspx?menuIndex=3&amp;refID=7044119&amp;Result=3","7044119")</f>
        <v>0</v>
      </c>
      <c r="B3095" t="s">
        <v>261</v>
      </c>
      <c r="C3095" t="s">
        <v>5630</v>
      </c>
      <c r="D3095" t="s">
        <v>13002</v>
      </c>
      <c r="E3095" t="s">
        <v>15890</v>
      </c>
      <c r="F3095" t="s">
        <v>22436</v>
      </c>
      <c r="G3095" t="s">
        <v>22443</v>
      </c>
      <c r="H3095" t="s">
        <v>22452</v>
      </c>
      <c r="I3095" t="s">
        <v>3529</v>
      </c>
      <c r="J3095" t="s">
        <v>24691</v>
      </c>
      <c r="K3095" t="s">
        <v>29341</v>
      </c>
      <c r="M3095" t="s">
        <v>29835</v>
      </c>
      <c r="N3095" t="s">
        <v>32524</v>
      </c>
      <c r="O3095" t="s">
        <v>32525</v>
      </c>
      <c r="P3095">
        <v>0</v>
      </c>
      <c r="Q3095">
        <v>0</v>
      </c>
      <c r="R3095" t="s">
        <v>32527</v>
      </c>
      <c r="S3095" t="s">
        <v>32552</v>
      </c>
      <c r="T3095" t="s">
        <v>33220</v>
      </c>
      <c r="U3095" t="s">
        <v>36245</v>
      </c>
      <c r="W3095" t="s">
        <v>29835</v>
      </c>
      <c r="X3095" t="s">
        <v>32528</v>
      </c>
    </row>
    <row r="3096" spans="1:24">
      <c r="A3096">
        <f>HYPERLINK("https://www.philgeps.gov.ph/GEPSNONPILOT/Tender/SplashBidNoticeAbstractUI.aspx?menuIndex=3&amp;refID=7044113&amp;Result=3","7044113")</f>
        <v>0</v>
      </c>
      <c r="B3096" t="s">
        <v>1111</v>
      </c>
      <c r="C3096" t="s">
        <v>5631</v>
      </c>
      <c r="D3096" t="s">
        <v>12996</v>
      </c>
      <c r="E3096" t="s">
        <v>15891</v>
      </c>
      <c r="F3096" t="s">
        <v>22436</v>
      </c>
      <c r="G3096" t="s">
        <v>22446</v>
      </c>
      <c r="H3096" t="s">
        <v>22452</v>
      </c>
      <c r="I3096" t="s">
        <v>22467</v>
      </c>
      <c r="J3096" t="s">
        <v>22826</v>
      </c>
      <c r="K3096" t="s">
        <v>29336</v>
      </c>
      <c r="M3096" t="s">
        <v>30749</v>
      </c>
      <c r="N3096" t="s">
        <v>32524</v>
      </c>
      <c r="O3096" t="s">
        <v>32525</v>
      </c>
      <c r="P3096">
        <v>0</v>
      </c>
      <c r="Q3096">
        <v>0</v>
      </c>
      <c r="R3096" t="s">
        <v>32527</v>
      </c>
      <c r="S3096" t="s">
        <v>32552</v>
      </c>
      <c r="T3096" t="s">
        <v>33220</v>
      </c>
      <c r="U3096" t="s">
        <v>36239</v>
      </c>
      <c r="W3096" t="s">
        <v>30749</v>
      </c>
      <c r="X3096" t="s">
        <v>32528</v>
      </c>
    </row>
    <row r="3097" spans="1:24">
      <c r="A3097">
        <f>HYPERLINK("https://www.philgeps.gov.ph/GEPSNONPILOT/Tender/SplashBidNoticeAbstractUI.aspx?menuIndex=3&amp;refID=7044118&amp;Result=3","7044118")</f>
        <v>0</v>
      </c>
      <c r="B3097" t="s">
        <v>140</v>
      </c>
      <c r="C3097" t="s">
        <v>5632</v>
      </c>
      <c r="D3097" t="s">
        <v>12988</v>
      </c>
      <c r="E3097" t="s">
        <v>15892</v>
      </c>
      <c r="F3097" t="s">
        <v>22436</v>
      </c>
      <c r="G3097" t="s">
        <v>22443</v>
      </c>
      <c r="H3097" t="s">
        <v>22452</v>
      </c>
      <c r="I3097" t="s">
        <v>3827</v>
      </c>
      <c r="J3097" t="s">
        <v>24692</v>
      </c>
      <c r="K3097" t="s">
        <v>29338</v>
      </c>
      <c r="M3097" t="s">
        <v>30747</v>
      </c>
      <c r="N3097" t="s">
        <v>32524</v>
      </c>
      <c r="O3097" t="s">
        <v>32525</v>
      </c>
      <c r="P3097">
        <v>0</v>
      </c>
      <c r="Q3097">
        <v>8</v>
      </c>
      <c r="R3097" t="s">
        <v>32527</v>
      </c>
      <c r="S3097" t="s">
        <v>32552</v>
      </c>
      <c r="T3097" t="s">
        <v>33203</v>
      </c>
      <c r="U3097" t="s">
        <v>36246</v>
      </c>
      <c r="W3097" t="s">
        <v>30747</v>
      </c>
      <c r="X3097" t="s">
        <v>32528</v>
      </c>
    </row>
    <row r="3098" spans="1:24">
      <c r="A3098">
        <f>HYPERLINK("https://www.philgeps.gov.ph/GEPSNONPILOT/Tender/SplashBidNoticeAbstractUI.aspx?menuIndex=3&amp;refID=7044117&amp;Result=3","7044117")</f>
        <v>0</v>
      </c>
      <c r="B3098" t="s">
        <v>519</v>
      </c>
      <c r="C3098" t="s">
        <v>5633</v>
      </c>
      <c r="D3098" t="s">
        <v>12988</v>
      </c>
      <c r="E3098" t="s">
        <v>15893</v>
      </c>
      <c r="F3098" t="s">
        <v>22436</v>
      </c>
      <c r="G3098" t="s">
        <v>22444</v>
      </c>
      <c r="H3098" t="s">
        <v>22452</v>
      </c>
      <c r="I3098" t="s">
        <v>3827</v>
      </c>
      <c r="J3098" t="s">
        <v>24693</v>
      </c>
      <c r="K3098" t="s">
        <v>29334</v>
      </c>
      <c r="M3098" t="s">
        <v>30748</v>
      </c>
      <c r="N3098" t="s">
        <v>32524</v>
      </c>
      <c r="O3098" t="s">
        <v>32525</v>
      </c>
      <c r="P3098">
        <v>0</v>
      </c>
      <c r="Q3098">
        <v>12</v>
      </c>
      <c r="R3098" t="s">
        <v>32527</v>
      </c>
      <c r="S3098" t="s">
        <v>32552</v>
      </c>
      <c r="T3098" t="s">
        <v>33366</v>
      </c>
      <c r="U3098" t="s">
        <v>36237</v>
      </c>
      <c r="W3098" t="s">
        <v>30748</v>
      </c>
      <c r="X3098" t="s">
        <v>32528</v>
      </c>
    </row>
    <row r="3099" spans="1:24">
      <c r="A3099">
        <f>HYPERLINK("https://www.philgeps.gov.ph/GEPSNONPILOT/Tender/SplashBidNoticeAbstractUI.aspx?menuIndex=3&amp;refID=7044121&amp;Result=3","7044121")</f>
        <v>0</v>
      </c>
      <c r="B3099" t="s">
        <v>1064</v>
      </c>
      <c r="C3099" t="s">
        <v>5634</v>
      </c>
      <c r="D3099" t="s">
        <v>13045</v>
      </c>
      <c r="E3099" t="s">
        <v>15894</v>
      </c>
      <c r="F3099" t="s">
        <v>22436</v>
      </c>
      <c r="G3099" t="s">
        <v>22445</v>
      </c>
      <c r="H3099" t="s">
        <v>22452</v>
      </c>
      <c r="I3099" t="s">
        <v>22469</v>
      </c>
      <c r="J3099" t="s">
        <v>24694</v>
      </c>
      <c r="K3099" t="s">
        <v>29331</v>
      </c>
      <c r="M3099" t="s">
        <v>30697</v>
      </c>
      <c r="N3099" t="s">
        <v>32524</v>
      </c>
      <c r="O3099" t="s">
        <v>32525</v>
      </c>
      <c r="P3099">
        <v>0</v>
      </c>
      <c r="Q3099">
        <v>2</v>
      </c>
      <c r="R3099" t="s">
        <v>32527</v>
      </c>
      <c r="S3099" t="s">
        <v>32552</v>
      </c>
      <c r="T3099" t="s">
        <v>33338</v>
      </c>
      <c r="U3099" t="s">
        <v>36247</v>
      </c>
      <c r="W3099" t="s">
        <v>30697</v>
      </c>
      <c r="X3099" t="s">
        <v>32528</v>
      </c>
    </row>
    <row r="3100" spans="1:24">
      <c r="A3100">
        <f>HYPERLINK("https://www.philgeps.gov.ph/GEPSNONPILOT/Tender/SplashBidNoticeAbstractUI.aspx?menuIndex=3&amp;refID=7044123&amp;Result=3","7044123")</f>
        <v>0</v>
      </c>
      <c r="B3100" t="s">
        <v>1114</v>
      </c>
      <c r="C3100" t="s">
        <v>5635</v>
      </c>
      <c r="D3100" t="s">
        <v>13073</v>
      </c>
      <c r="E3100" t="s">
        <v>15895</v>
      </c>
      <c r="F3100" t="s">
        <v>22436</v>
      </c>
      <c r="G3100" t="s">
        <v>22444</v>
      </c>
      <c r="H3100" t="s">
        <v>22454</v>
      </c>
      <c r="I3100" t="s">
        <v>7738</v>
      </c>
      <c r="J3100" t="s">
        <v>24695</v>
      </c>
      <c r="K3100" t="s">
        <v>29389</v>
      </c>
      <c r="L3100" t="s">
        <v>1114</v>
      </c>
      <c r="M3100" t="s">
        <v>30752</v>
      </c>
      <c r="N3100" t="s">
        <v>32524</v>
      </c>
      <c r="O3100" t="s">
        <v>32525</v>
      </c>
      <c r="P3100">
        <v>0</v>
      </c>
      <c r="Q3100">
        <v>0</v>
      </c>
      <c r="R3100" t="s">
        <v>32527</v>
      </c>
      <c r="S3100" t="s">
        <v>32552</v>
      </c>
      <c r="T3100" t="s">
        <v>33164</v>
      </c>
      <c r="U3100" t="s">
        <v>36248</v>
      </c>
      <c r="V3100" t="s">
        <v>42719</v>
      </c>
      <c r="W3100" t="s">
        <v>30752</v>
      </c>
      <c r="X3100" t="s">
        <v>32528</v>
      </c>
    </row>
    <row r="3101" spans="1:24">
      <c r="A3101">
        <f>HYPERLINK("https://www.philgeps.gov.ph/GEPSNONPILOT/Tender/SplashBidNoticeAbstractUI.aspx?menuIndex=3&amp;refID=7044130&amp;Result=3","7044130")</f>
        <v>0</v>
      </c>
      <c r="B3101" t="s">
        <v>1064</v>
      </c>
      <c r="C3101" t="s">
        <v>5636</v>
      </c>
      <c r="D3101" t="s">
        <v>13045</v>
      </c>
      <c r="E3101" t="s">
        <v>15896</v>
      </c>
      <c r="F3101" t="s">
        <v>22436</v>
      </c>
      <c r="G3101" t="s">
        <v>22445</v>
      </c>
      <c r="H3101" t="s">
        <v>22452</v>
      </c>
      <c r="I3101" t="s">
        <v>22469</v>
      </c>
      <c r="J3101" t="s">
        <v>24696</v>
      </c>
      <c r="K3101" t="s">
        <v>29331</v>
      </c>
      <c r="M3101" t="s">
        <v>30697</v>
      </c>
      <c r="N3101" t="s">
        <v>32524</v>
      </c>
      <c r="O3101" t="s">
        <v>32525</v>
      </c>
      <c r="P3101">
        <v>0</v>
      </c>
      <c r="Q3101">
        <v>3</v>
      </c>
      <c r="R3101" t="s">
        <v>32527</v>
      </c>
      <c r="S3101" t="s">
        <v>32552</v>
      </c>
      <c r="T3101" t="s">
        <v>33338</v>
      </c>
      <c r="U3101" t="s">
        <v>36249</v>
      </c>
      <c r="W3101" t="s">
        <v>30697</v>
      </c>
      <c r="X3101" t="s">
        <v>32528</v>
      </c>
    </row>
    <row r="3102" spans="1:24">
      <c r="A3102">
        <f>HYPERLINK("https://www.philgeps.gov.ph/GEPSNONPILOT/Tender/SplashBidNoticeAbstractUI.aspx?menuIndex=3&amp;refID=7044104&amp;Result=3","7044104")</f>
        <v>0</v>
      </c>
      <c r="B3102" t="s">
        <v>1111</v>
      </c>
      <c r="C3102" t="s">
        <v>5637</v>
      </c>
      <c r="D3102" t="s">
        <v>12996</v>
      </c>
      <c r="E3102" t="s">
        <v>15897</v>
      </c>
      <c r="F3102" t="s">
        <v>22436</v>
      </c>
      <c r="G3102" t="s">
        <v>22446</v>
      </c>
      <c r="H3102" t="s">
        <v>22452</v>
      </c>
      <c r="I3102" t="s">
        <v>22467</v>
      </c>
      <c r="J3102" t="s">
        <v>24697</v>
      </c>
      <c r="K3102" t="s">
        <v>29336</v>
      </c>
      <c r="M3102" t="s">
        <v>30749</v>
      </c>
      <c r="N3102" t="s">
        <v>32524</v>
      </c>
      <c r="O3102" t="s">
        <v>32525</v>
      </c>
      <c r="P3102">
        <v>0</v>
      </c>
      <c r="Q3102">
        <v>0</v>
      </c>
      <c r="R3102" t="s">
        <v>32527</v>
      </c>
      <c r="S3102" t="s">
        <v>32552</v>
      </c>
      <c r="T3102" t="s">
        <v>33220</v>
      </c>
      <c r="U3102" t="s">
        <v>36239</v>
      </c>
      <c r="W3102" t="s">
        <v>30749</v>
      </c>
      <c r="X3102" t="s">
        <v>32528</v>
      </c>
    </row>
    <row r="3103" spans="1:24">
      <c r="A3103">
        <f>HYPERLINK("https://www.philgeps.gov.ph/GEPSNONPILOT/Tender/SplashBidNoticeAbstractUI.aspx?menuIndex=3&amp;refID=7044124&amp;Result=3","7044124")</f>
        <v>0</v>
      </c>
      <c r="B3103" t="s">
        <v>261</v>
      </c>
      <c r="C3103" t="s">
        <v>5638</v>
      </c>
      <c r="D3103" t="s">
        <v>13002</v>
      </c>
      <c r="E3103" t="s">
        <v>15898</v>
      </c>
      <c r="F3103" t="s">
        <v>22436</v>
      </c>
      <c r="G3103" t="s">
        <v>22443</v>
      </c>
      <c r="H3103" t="s">
        <v>22452</v>
      </c>
      <c r="I3103" t="s">
        <v>3529</v>
      </c>
      <c r="J3103" t="s">
        <v>24698</v>
      </c>
      <c r="K3103" t="s">
        <v>29341</v>
      </c>
      <c r="M3103" t="s">
        <v>29835</v>
      </c>
      <c r="N3103" t="s">
        <v>32524</v>
      </c>
      <c r="O3103" t="s">
        <v>32525</v>
      </c>
      <c r="P3103">
        <v>0</v>
      </c>
      <c r="Q3103">
        <v>0</v>
      </c>
      <c r="R3103" t="s">
        <v>32527</v>
      </c>
      <c r="S3103" t="s">
        <v>32552</v>
      </c>
      <c r="T3103" t="s">
        <v>33220</v>
      </c>
      <c r="U3103" t="s">
        <v>36245</v>
      </c>
      <c r="W3103" t="s">
        <v>29835</v>
      </c>
      <c r="X3103" t="s">
        <v>32528</v>
      </c>
    </row>
    <row r="3104" spans="1:24">
      <c r="A3104">
        <f>HYPERLINK("https://www.philgeps.gov.ph/GEPSNONPILOT/Tender/SplashBidNoticeAbstractUI.aspx?menuIndex=3&amp;refID=7044111&amp;Result=3","7044111")</f>
        <v>0</v>
      </c>
      <c r="B3104" t="s">
        <v>140</v>
      </c>
      <c r="C3104" t="s">
        <v>5639</v>
      </c>
      <c r="D3104" t="s">
        <v>12988</v>
      </c>
      <c r="E3104" t="s">
        <v>15899</v>
      </c>
      <c r="F3104" t="s">
        <v>22436</v>
      </c>
      <c r="G3104" t="s">
        <v>22446</v>
      </c>
      <c r="H3104" t="s">
        <v>22452</v>
      </c>
      <c r="I3104" t="s">
        <v>22460</v>
      </c>
      <c r="J3104" t="s">
        <v>24699</v>
      </c>
      <c r="K3104" t="s">
        <v>29338</v>
      </c>
      <c r="M3104" t="s">
        <v>30747</v>
      </c>
      <c r="N3104" t="s">
        <v>32524</v>
      </c>
      <c r="O3104" t="s">
        <v>32525</v>
      </c>
      <c r="P3104">
        <v>0</v>
      </c>
      <c r="Q3104">
        <v>1</v>
      </c>
      <c r="R3104" t="s">
        <v>32527</v>
      </c>
      <c r="S3104" t="s">
        <v>32552</v>
      </c>
      <c r="T3104" t="s">
        <v>33203</v>
      </c>
      <c r="U3104" t="s">
        <v>36250</v>
      </c>
      <c r="W3104" t="s">
        <v>30747</v>
      </c>
      <c r="X3104" t="s">
        <v>32528</v>
      </c>
    </row>
    <row r="3105" spans="1:24">
      <c r="A3105">
        <f>HYPERLINK("https://www.philgeps.gov.ph/GEPSNONPILOT/Tender/SplashBidNoticeAbstractUI.aspx?menuIndex=3&amp;refID=7044129&amp;Result=3","7044129")</f>
        <v>0</v>
      </c>
      <c r="B3105" t="s">
        <v>519</v>
      </c>
      <c r="C3105" t="s">
        <v>5640</v>
      </c>
      <c r="D3105" t="s">
        <v>12988</v>
      </c>
      <c r="E3105" t="s">
        <v>15900</v>
      </c>
      <c r="F3105" t="s">
        <v>22436</v>
      </c>
      <c r="G3105" t="s">
        <v>22444</v>
      </c>
      <c r="H3105" t="s">
        <v>22452</v>
      </c>
      <c r="I3105" t="s">
        <v>22486</v>
      </c>
      <c r="J3105" t="s">
        <v>24700</v>
      </c>
      <c r="K3105" t="s">
        <v>29341</v>
      </c>
      <c r="M3105" t="s">
        <v>30748</v>
      </c>
      <c r="N3105" t="s">
        <v>32524</v>
      </c>
      <c r="O3105" t="s">
        <v>32525</v>
      </c>
      <c r="P3105">
        <v>0</v>
      </c>
      <c r="Q3105">
        <v>2</v>
      </c>
      <c r="R3105" t="s">
        <v>32527</v>
      </c>
      <c r="S3105" t="s">
        <v>32552</v>
      </c>
      <c r="T3105" t="s">
        <v>33366</v>
      </c>
      <c r="U3105" t="s">
        <v>36251</v>
      </c>
      <c r="W3105" t="s">
        <v>30748</v>
      </c>
      <c r="X3105" t="s">
        <v>32528</v>
      </c>
    </row>
    <row r="3106" spans="1:24">
      <c r="A3106">
        <f>HYPERLINK("https://www.philgeps.gov.ph/GEPSNONPILOT/Tender/SplashBidNoticeAbstractUI.aspx?menuIndex=3&amp;refID=7044127&amp;Result=3","7044127")</f>
        <v>0</v>
      </c>
      <c r="B3106" t="s">
        <v>1064</v>
      </c>
      <c r="C3106" t="s">
        <v>5641</v>
      </c>
      <c r="D3106" t="s">
        <v>13045</v>
      </c>
      <c r="E3106" t="s">
        <v>15901</v>
      </c>
      <c r="F3106" t="s">
        <v>22436</v>
      </c>
      <c r="G3106" t="s">
        <v>22443</v>
      </c>
      <c r="H3106" t="s">
        <v>22452</v>
      </c>
      <c r="I3106" t="s">
        <v>22465</v>
      </c>
      <c r="J3106" t="s">
        <v>24701</v>
      </c>
      <c r="K3106" t="s">
        <v>29331</v>
      </c>
      <c r="M3106" t="s">
        <v>30697</v>
      </c>
      <c r="N3106" t="s">
        <v>32524</v>
      </c>
      <c r="O3106" t="s">
        <v>32525</v>
      </c>
      <c r="P3106">
        <v>0</v>
      </c>
      <c r="Q3106">
        <v>0</v>
      </c>
      <c r="R3106" t="s">
        <v>32527</v>
      </c>
      <c r="S3106" t="s">
        <v>32552</v>
      </c>
      <c r="T3106" t="s">
        <v>33338</v>
      </c>
      <c r="U3106" t="s">
        <v>36252</v>
      </c>
      <c r="W3106" t="s">
        <v>30697</v>
      </c>
      <c r="X3106" t="s">
        <v>32528</v>
      </c>
    </row>
    <row r="3107" spans="1:24">
      <c r="A3107">
        <f>HYPERLINK("https://www.philgeps.gov.ph/GEPSNONPILOT/Tender/SplashBidNoticeAbstractUI.aspx?menuIndex=3&amp;refID=7044128&amp;Result=3","7044128")</f>
        <v>0</v>
      </c>
      <c r="B3107" t="s">
        <v>140</v>
      </c>
      <c r="C3107" t="s">
        <v>5642</v>
      </c>
      <c r="D3107" t="s">
        <v>12988</v>
      </c>
      <c r="E3107" t="s">
        <v>15902</v>
      </c>
      <c r="F3107" t="s">
        <v>22436</v>
      </c>
      <c r="G3107" t="s">
        <v>22446</v>
      </c>
      <c r="H3107" t="s">
        <v>22452</v>
      </c>
      <c r="I3107" t="s">
        <v>22460</v>
      </c>
      <c r="J3107" t="s">
        <v>24702</v>
      </c>
      <c r="K3107" t="s">
        <v>29338</v>
      </c>
      <c r="M3107" t="s">
        <v>30747</v>
      </c>
      <c r="N3107" t="s">
        <v>32524</v>
      </c>
      <c r="O3107" t="s">
        <v>32525</v>
      </c>
      <c r="P3107">
        <v>0</v>
      </c>
      <c r="Q3107">
        <v>0</v>
      </c>
      <c r="R3107" t="s">
        <v>32527</v>
      </c>
      <c r="S3107" t="s">
        <v>32552</v>
      </c>
      <c r="T3107" t="s">
        <v>33203</v>
      </c>
      <c r="U3107" t="s">
        <v>36253</v>
      </c>
      <c r="W3107" t="s">
        <v>30747</v>
      </c>
      <c r="X3107" t="s">
        <v>32528</v>
      </c>
    </row>
    <row r="3108" spans="1:24">
      <c r="A3108">
        <f>HYPERLINK("https://www.philgeps.gov.ph/GEPSNONPILOT/Tender/SplashBidNoticeAbstractUI.aspx?menuIndex=3&amp;refID=7044131&amp;Result=3","7044131")</f>
        <v>0</v>
      </c>
      <c r="B3108" t="s">
        <v>261</v>
      </c>
      <c r="C3108" t="s">
        <v>5643</v>
      </c>
      <c r="D3108" t="s">
        <v>13002</v>
      </c>
      <c r="E3108" t="s">
        <v>15903</v>
      </c>
      <c r="F3108" t="s">
        <v>22436</v>
      </c>
      <c r="G3108" t="s">
        <v>22443</v>
      </c>
      <c r="H3108" t="s">
        <v>22452</v>
      </c>
      <c r="I3108" t="s">
        <v>3529</v>
      </c>
      <c r="J3108" t="s">
        <v>24703</v>
      </c>
      <c r="K3108" t="s">
        <v>29341</v>
      </c>
      <c r="M3108" t="s">
        <v>29835</v>
      </c>
      <c r="N3108" t="s">
        <v>32524</v>
      </c>
      <c r="O3108" t="s">
        <v>32525</v>
      </c>
      <c r="P3108">
        <v>0</v>
      </c>
      <c r="Q3108">
        <v>0</v>
      </c>
      <c r="R3108" t="s">
        <v>32527</v>
      </c>
      <c r="S3108" t="s">
        <v>32552</v>
      </c>
      <c r="T3108" t="s">
        <v>33220</v>
      </c>
      <c r="U3108" t="s">
        <v>36254</v>
      </c>
      <c r="W3108" t="s">
        <v>29835</v>
      </c>
      <c r="X3108" t="s">
        <v>32528</v>
      </c>
    </row>
    <row r="3109" spans="1:24">
      <c r="A3109">
        <f>HYPERLINK("https://www.philgeps.gov.ph/GEPSNONPILOT/Tender/SplashBidNoticeAbstractUI.aspx?menuIndex=3&amp;refID=7044125&amp;Result=3","7044125")</f>
        <v>0</v>
      </c>
      <c r="B3109" t="s">
        <v>140</v>
      </c>
      <c r="C3109" t="s">
        <v>5644</v>
      </c>
      <c r="D3109" t="s">
        <v>12988</v>
      </c>
      <c r="E3109" t="s">
        <v>15904</v>
      </c>
      <c r="F3109" t="s">
        <v>22436</v>
      </c>
      <c r="G3109" t="s">
        <v>22443</v>
      </c>
      <c r="H3109" t="s">
        <v>22452</v>
      </c>
      <c r="I3109" t="s">
        <v>3840</v>
      </c>
      <c r="J3109" t="s">
        <v>24704</v>
      </c>
      <c r="K3109" t="s">
        <v>29338</v>
      </c>
      <c r="M3109" t="s">
        <v>30747</v>
      </c>
      <c r="N3109" t="s">
        <v>32524</v>
      </c>
      <c r="O3109" t="s">
        <v>32525</v>
      </c>
      <c r="P3109">
        <v>0</v>
      </c>
      <c r="Q3109">
        <v>2</v>
      </c>
      <c r="R3109" t="s">
        <v>32527</v>
      </c>
      <c r="S3109" t="s">
        <v>32552</v>
      </c>
      <c r="T3109" t="s">
        <v>33203</v>
      </c>
      <c r="U3109" t="s">
        <v>36255</v>
      </c>
      <c r="W3109" t="s">
        <v>30747</v>
      </c>
      <c r="X3109" t="s">
        <v>32528</v>
      </c>
    </row>
    <row r="3110" spans="1:24">
      <c r="A3110">
        <f>HYPERLINK("https://www.philgeps.gov.ph/GEPSNONPILOT/Tender/SplashBidNoticeAbstractUI.aspx?menuIndex=3&amp;refID=7044132&amp;Result=3","7044132")</f>
        <v>0</v>
      </c>
      <c r="B3110" t="s">
        <v>1115</v>
      </c>
      <c r="C3110" t="s">
        <v>5645</v>
      </c>
      <c r="D3110" t="s">
        <v>13039</v>
      </c>
      <c r="E3110" t="s">
        <v>15905</v>
      </c>
      <c r="F3110" t="s">
        <v>22436</v>
      </c>
      <c r="G3110" t="s">
        <v>22444</v>
      </c>
      <c r="H3110" t="s">
        <v>22454</v>
      </c>
      <c r="I3110" t="s">
        <v>7738</v>
      </c>
      <c r="J3110" t="s">
        <v>24705</v>
      </c>
      <c r="K3110" t="s">
        <v>29442</v>
      </c>
      <c r="M3110" t="s">
        <v>30753</v>
      </c>
      <c r="N3110" t="s">
        <v>32524</v>
      </c>
      <c r="O3110" t="s">
        <v>32525</v>
      </c>
      <c r="P3110">
        <v>0</v>
      </c>
      <c r="Q3110">
        <v>1</v>
      </c>
      <c r="R3110" t="s">
        <v>32527</v>
      </c>
      <c r="S3110" t="s">
        <v>32552</v>
      </c>
      <c r="T3110" t="s">
        <v>33397</v>
      </c>
      <c r="U3110" t="s">
        <v>36256</v>
      </c>
      <c r="W3110" t="s">
        <v>30753</v>
      </c>
      <c r="X3110" t="s">
        <v>32528</v>
      </c>
    </row>
    <row r="3111" spans="1:24">
      <c r="A3111">
        <f>HYPERLINK("https://www.philgeps.gov.ph/GEPSNONPILOT/Tender/SplashBidNoticeAbstractUI.aspx?menuIndex=3&amp;refID=7044134&amp;Result=3","7044134")</f>
        <v>0</v>
      </c>
      <c r="B3111" t="s">
        <v>1064</v>
      </c>
      <c r="C3111" t="s">
        <v>5646</v>
      </c>
      <c r="D3111" t="s">
        <v>13045</v>
      </c>
      <c r="E3111" t="s">
        <v>15906</v>
      </c>
      <c r="F3111" t="s">
        <v>22436</v>
      </c>
      <c r="G3111" t="s">
        <v>22443</v>
      </c>
      <c r="H3111" t="s">
        <v>22452</v>
      </c>
      <c r="I3111" t="s">
        <v>22465</v>
      </c>
      <c r="J3111" t="s">
        <v>24706</v>
      </c>
      <c r="K3111" t="s">
        <v>29331</v>
      </c>
      <c r="M3111" t="s">
        <v>30697</v>
      </c>
      <c r="N3111" t="s">
        <v>32524</v>
      </c>
      <c r="O3111" t="s">
        <v>32525</v>
      </c>
      <c r="P3111">
        <v>0</v>
      </c>
      <c r="Q3111">
        <v>0</v>
      </c>
      <c r="R3111" t="s">
        <v>32527</v>
      </c>
      <c r="S3111" t="s">
        <v>32552</v>
      </c>
      <c r="T3111" t="s">
        <v>33338</v>
      </c>
      <c r="U3111" t="s">
        <v>36257</v>
      </c>
      <c r="W3111" t="s">
        <v>30697</v>
      </c>
      <c r="X3111" t="s">
        <v>32528</v>
      </c>
    </row>
    <row r="3112" spans="1:24">
      <c r="A3112">
        <f>HYPERLINK("https://www.philgeps.gov.ph/GEPSNONPILOT/Tender/SplashBidNoticeAbstractUI.aspx?menuIndex=3&amp;refID=7044141&amp;Result=3","7044141")</f>
        <v>0</v>
      </c>
      <c r="B3112" t="s">
        <v>1064</v>
      </c>
      <c r="C3112" t="s">
        <v>5647</v>
      </c>
      <c r="D3112" t="s">
        <v>13045</v>
      </c>
      <c r="E3112" t="s">
        <v>15907</v>
      </c>
      <c r="F3112" t="s">
        <v>22436</v>
      </c>
      <c r="G3112" t="s">
        <v>22443</v>
      </c>
      <c r="H3112" t="s">
        <v>22452</v>
      </c>
      <c r="I3112" t="s">
        <v>22463</v>
      </c>
      <c r="J3112" t="s">
        <v>22620</v>
      </c>
      <c r="K3112" t="s">
        <v>29331</v>
      </c>
      <c r="M3112" t="s">
        <v>30697</v>
      </c>
      <c r="N3112" t="s">
        <v>32524</v>
      </c>
      <c r="O3112" t="s">
        <v>32525</v>
      </c>
      <c r="P3112">
        <v>0</v>
      </c>
      <c r="Q3112">
        <v>2</v>
      </c>
      <c r="R3112" t="s">
        <v>32527</v>
      </c>
      <c r="S3112" t="s">
        <v>32552</v>
      </c>
      <c r="T3112" t="s">
        <v>33338</v>
      </c>
      <c r="U3112" t="s">
        <v>36258</v>
      </c>
      <c r="W3112" t="s">
        <v>30697</v>
      </c>
      <c r="X3112" t="s">
        <v>32528</v>
      </c>
    </row>
    <row r="3113" spans="1:24">
      <c r="A3113">
        <f>HYPERLINK("https://www.philgeps.gov.ph/GEPSNONPILOT/Tender/SplashBidNoticeAbstractUI.aspx?menuIndex=3&amp;refID=7044122&amp;Result=3","7044122")</f>
        <v>0</v>
      </c>
      <c r="B3113" t="s">
        <v>140</v>
      </c>
      <c r="C3113" t="s">
        <v>5648</v>
      </c>
      <c r="D3113" t="s">
        <v>12988</v>
      </c>
      <c r="E3113" t="s">
        <v>15908</v>
      </c>
      <c r="F3113" t="s">
        <v>22436</v>
      </c>
      <c r="G3113" t="s">
        <v>22443</v>
      </c>
      <c r="H3113" t="s">
        <v>22452</v>
      </c>
      <c r="I3113" t="s">
        <v>11896</v>
      </c>
      <c r="J3113" t="s">
        <v>22704</v>
      </c>
      <c r="K3113" t="s">
        <v>29338</v>
      </c>
      <c r="M3113" t="s">
        <v>30747</v>
      </c>
      <c r="N3113" t="s">
        <v>32524</v>
      </c>
      <c r="O3113" t="s">
        <v>32525</v>
      </c>
      <c r="P3113">
        <v>0</v>
      </c>
      <c r="Q3113">
        <v>3</v>
      </c>
      <c r="R3113" t="s">
        <v>32527</v>
      </c>
      <c r="S3113" t="s">
        <v>32552</v>
      </c>
      <c r="T3113" t="s">
        <v>33203</v>
      </c>
      <c r="U3113" t="s">
        <v>36259</v>
      </c>
      <c r="W3113" t="s">
        <v>30747</v>
      </c>
      <c r="X3113" t="s">
        <v>32528</v>
      </c>
    </row>
    <row r="3114" spans="1:24">
      <c r="A3114">
        <f>HYPERLINK("https://www.philgeps.gov.ph/GEPSNONPILOT/Tender/SplashBidNoticeAbstractUI.aspx?menuIndex=3&amp;refID=7044126&amp;Result=3","7044126")</f>
        <v>0</v>
      </c>
      <c r="B3114" t="s">
        <v>261</v>
      </c>
      <c r="C3114" t="s">
        <v>5649</v>
      </c>
      <c r="D3114" t="s">
        <v>13002</v>
      </c>
      <c r="E3114" t="s">
        <v>15909</v>
      </c>
      <c r="F3114" t="s">
        <v>22436</v>
      </c>
      <c r="G3114" t="s">
        <v>22443</v>
      </c>
      <c r="H3114" t="s">
        <v>22452</v>
      </c>
      <c r="I3114" t="s">
        <v>3529</v>
      </c>
      <c r="J3114" t="s">
        <v>24707</v>
      </c>
      <c r="K3114" t="s">
        <v>29341</v>
      </c>
      <c r="M3114" t="s">
        <v>29835</v>
      </c>
      <c r="N3114" t="s">
        <v>32524</v>
      </c>
      <c r="O3114" t="s">
        <v>32525</v>
      </c>
      <c r="P3114">
        <v>0</v>
      </c>
      <c r="Q3114">
        <v>0</v>
      </c>
      <c r="R3114" t="s">
        <v>32527</v>
      </c>
      <c r="S3114" t="s">
        <v>32552</v>
      </c>
      <c r="T3114" t="s">
        <v>33220</v>
      </c>
      <c r="U3114" t="s">
        <v>36260</v>
      </c>
      <c r="W3114" t="s">
        <v>29835</v>
      </c>
      <c r="X3114" t="s">
        <v>32528</v>
      </c>
    </row>
    <row r="3115" spans="1:24">
      <c r="A3115">
        <f>HYPERLINK("https://www.philgeps.gov.ph/GEPSNONPILOT/Tender/SplashBidNoticeAbstractUI.aspx?menuIndex=3&amp;refID=7044139&amp;Result=3","7044139")</f>
        <v>0</v>
      </c>
      <c r="B3115" t="s">
        <v>261</v>
      </c>
      <c r="C3115" t="s">
        <v>5650</v>
      </c>
      <c r="D3115" t="s">
        <v>13002</v>
      </c>
      <c r="E3115" t="s">
        <v>15910</v>
      </c>
      <c r="F3115" t="s">
        <v>22436</v>
      </c>
      <c r="G3115" t="s">
        <v>22443</v>
      </c>
      <c r="H3115" t="s">
        <v>22452</v>
      </c>
      <c r="I3115" t="s">
        <v>3529</v>
      </c>
      <c r="J3115" t="s">
        <v>24708</v>
      </c>
      <c r="K3115" t="s">
        <v>29341</v>
      </c>
      <c r="M3115" t="s">
        <v>29835</v>
      </c>
      <c r="N3115" t="s">
        <v>32524</v>
      </c>
      <c r="O3115" t="s">
        <v>32525</v>
      </c>
      <c r="P3115">
        <v>0</v>
      </c>
      <c r="Q3115">
        <v>0</v>
      </c>
      <c r="R3115" t="s">
        <v>32527</v>
      </c>
      <c r="S3115" t="s">
        <v>32552</v>
      </c>
      <c r="T3115" t="s">
        <v>33220</v>
      </c>
      <c r="U3115" t="s">
        <v>36261</v>
      </c>
      <c r="W3115" t="s">
        <v>29835</v>
      </c>
      <c r="X3115" t="s">
        <v>32528</v>
      </c>
    </row>
    <row r="3116" spans="1:24">
      <c r="A3116">
        <f>HYPERLINK("https://www.philgeps.gov.ph/GEPSNONPILOT/Tender/SplashBidNoticeAbstractUI.aspx?menuIndex=3&amp;refID=7044142&amp;Result=3","7044142")</f>
        <v>0</v>
      </c>
      <c r="B3116" t="s">
        <v>1114</v>
      </c>
      <c r="C3116" t="s">
        <v>5651</v>
      </c>
      <c r="D3116" t="s">
        <v>13073</v>
      </c>
      <c r="E3116" t="s">
        <v>15911</v>
      </c>
      <c r="F3116" t="s">
        <v>22436</v>
      </c>
      <c r="G3116" t="s">
        <v>22444</v>
      </c>
      <c r="H3116" t="s">
        <v>22454</v>
      </c>
      <c r="I3116" t="s">
        <v>7738</v>
      </c>
      <c r="J3116" t="s">
        <v>24709</v>
      </c>
      <c r="K3116" t="s">
        <v>29379</v>
      </c>
      <c r="L3116" t="s">
        <v>1114</v>
      </c>
      <c r="M3116" t="s">
        <v>30752</v>
      </c>
      <c r="N3116" t="s">
        <v>32524</v>
      </c>
      <c r="O3116" t="s">
        <v>32525</v>
      </c>
      <c r="P3116">
        <v>0</v>
      </c>
      <c r="Q3116">
        <v>0</v>
      </c>
      <c r="R3116" t="s">
        <v>32527</v>
      </c>
      <c r="S3116" t="s">
        <v>32552</v>
      </c>
      <c r="T3116" t="s">
        <v>33164</v>
      </c>
      <c r="U3116" t="s">
        <v>36262</v>
      </c>
      <c r="V3116" t="s">
        <v>42719</v>
      </c>
      <c r="W3116" t="s">
        <v>30752</v>
      </c>
      <c r="X3116" t="s">
        <v>32528</v>
      </c>
    </row>
    <row r="3117" spans="1:24">
      <c r="A3117">
        <f>HYPERLINK("https://www.philgeps.gov.ph/GEPSNONPILOT/Tender/SplashBidNoticeAbstractUI.aspx?menuIndex=3&amp;refID=7044133&amp;Result=3","7044133")</f>
        <v>0</v>
      </c>
      <c r="B3117" t="s">
        <v>140</v>
      </c>
      <c r="C3117" t="s">
        <v>5652</v>
      </c>
      <c r="D3117" t="s">
        <v>12988</v>
      </c>
      <c r="E3117" t="s">
        <v>15912</v>
      </c>
      <c r="F3117" t="s">
        <v>22436</v>
      </c>
      <c r="G3117" t="s">
        <v>22446</v>
      </c>
      <c r="H3117" t="s">
        <v>22452</v>
      </c>
      <c r="I3117" t="s">
        <v>22460</v>
      </c>
      <c r="J3117" t="s">
        <v>24710</v>
      </c>
      <c r="K3117" t="s">
        <v>29338</v>
      </c>
      <c r="M3117" t="s">
        <v>30747</v>
      </c>
      <c r="N3117" t="s">
        <v>32524</v>
      </c>
      <c r="O3117" t="s">
        <v>32525</v>
      </c>
      <c r="P3117">
        <v>0</v>
      </c>
      <c r="Q3117">
        <v>0</v>
      </c>
      <c r="R3117" t="s">
        <v>32527</v>
      </c>
      <c r="S3117" t="s">
        <v>32552</v>
      </c>
      <c r="T3117" t="s">
        <v>33398</v>
      </c>
      <c r="U3117" t="s">
        <v>36263</v>
      </c>
      <c r="W3117" t="s">
        <v>30747</v>
      </c>
      <c r="X3117" t="s">
        <v>32528</v>
      </c>
    </row>
    <row r="3118" spans="1:24">
      <c r="A3118">
        <f>HYPERLINK("https://www.philgeps.gov.ph/GEPSNONPILOT/Tender/SplashBidNoticeAbstractUI.aspx?menuIndex=3&amp;refID=7044135&amp;Result=3","7044135")</f>
        <v>0</v>
      </c>
      <c r="B3118" t="s">
        <v>261</v>
      </c>
      <c r="C3118" t="s">
        <v>5653</v>
      </c>
      <c r="D3118" t="s">
        <v>13002</v>
      </c>
      <c r="E3118" t="s">
        <v>15913</v>
      </c>
      <c r="F3118" t="s">
        <v>22436</v>
      </c>
      <c r="G3118" t="s">
        <v>22443</v>
      </c>
      <c r="H3118" t="s">
        <v>22452</v>
      </c>
      <c r="I3118" t="s">
        <v>3529</v>
      </c>
      <c r="J3118" t="s">
        <v>24711</v>
      </c>
      <c r="K3118" t="s">
        <v>29341</v>
      </c>
      <c r="M3118" t="s">
        <v>29835</v>
      </c>
      <c r="N3118" t="s">
        <v>32524</v>
      </c>
      <c r="O3118" t="s">
        <v>32525</v>
      </c>
      <c r="P3118">
        <v>0</v>
      </c>
      <c r="Q3118">
        <v>0</v>
      </c>
      <c r="R3118" t="s">
        <v>32527</v>
      </c>
      <c r="S3118" t="s">
        <v>32552</v>
      </c>
      <c r="T3118" t="s">
        <v>33220</v>
      </c>
      <c r="U3118" t="s">
        <v>36264</v>
      </c>
      <c r="W3118" t="s">
        <v>29835</v>
      </c>
      <c r="X3118" t="s">
        <v>32528</v>
      </c>
    </row>
    <row r="3119" spans="1:24">
      <c r="A3119">
        <f>HYPERLINK("https://www.philgeps.gov.ph/GEPSNONPILOT/Tender/SplashBidNoticeAbstractUI.aspx?menuIndex=3&amp;refID=7044137&amp;Result=3","7044137")</f>
        <v>0</v>
      </c>
      <c r="B3119" t="s">
        <v>519</v>
      </c>
      <c r="C3119" t="s">
        <v>5654</v>
      </c>
      <c r="D3119" t="s">
        <v>12988</v>
      </c>
      <c r="E3119" t="s">
        <v>15914</v>
      </c>
      <c r="F3119" t="s">
        <v>22436</v>
      </c>
      <c r="G3119" t="s">
        <v>22444</v>
      </c>
      <c r="H3119" t="s">
        <v>22452</v>
      </c>
      <c r="I3119" t="s">
        <v>22458</v>
      </c>
      <c r="J3119" t="s">
        <v>24712</v>
      </c>
      <c r="K3119" t="s">
        <v>29333</v>
      </c>
      <c r="M3119" t="s">
        <v>30748</v>
      </c>
      <c r="N3119" t="s">
        <v>32524</v>
      </c>
      <c r="O3119" t="s">
        <v>32525</v>
      </c>
      <c r="P3119">
        <v>0</v>
      </c>
      <c r="Q3119">
        <v>19</v>
      </c>
      <c r="R3119" t="s">
        <v>32527</v>
      </c>
      <c r="S3119" t="s">
        <v>32552</v>
      </c>
      <c r="T3119" t="s">
        <v>33366</v>
      </c>
      <c r="U3119" t="s">
        <v>36265</v>
      </c>
      <c r="W3119" t="s">
        <v>30748</v>
      </c>
      <c r="X3119" t="s">
        <v>32528</v>
      </c>
    </row>
    <row r="3120" spans="1:24">
      <c r="A3120">
        <f>HYPERLINK("https://www.philgeps.gov.ph/GEPSNONPILOT/Tender/SplashBidNoticeAbstractUI.aspx?menuIndex=3&amp;refID=7044138&amp;Result=3","7044138")</f>
        <v>0</v>
      </c>
      <c r="B3120" t="s">
        <v>1064</v>
      </c>
      <c r="C3120" t="s">
        <v>5655</v>
      </c>
      <c r="D3120" t="s">
        <v>13045</v>
      </c>
      <c r="E3120" t="s">
        <v>15915</v>
      </c>
      <c r="F3120" t="s">
        <v>22436</v>
      </c>
      <c r="G3120" t="s">
        <v>22443</v>
      </c>
      <c r="H3120" t="s">
        <v>22452</v>
      </c>
      <c r="I3120" t="s">
        <v>22463</v>
      </c>
      <c r="J3120" t="s">
        <v>22588</v>
      </c>
      <c r="K3120" t="s">
        <v>29331</v>
      </c>
      <c r="M3120" t="s">
        <v>30697</v>
      </c>
      <c r="N3120" t="s">
        <v>32524</v>
      </c>
      <c r="O3120" t="s">
        <v>32525</v>
      </c>
      <c r="P3120">
        <v>0</v>
      </c>
      <c r="Q3120">
        <v>5</v>
      </c>
      <c r="R3120" t="s">
        <v>32527</v>
      </c>
      <c r="S3120" t="s">
        <v>32552</v>
      </c>
      <c r="T3120" t="s">
        <v>33338</v>
      </c>
      <c r="U3120" t="s">
        <v>36266</v>
      </c>
      <c r="W3120" t="s">
        <v>30697</v>
      </c>
      <c r="X3120" t="s">
        <v>32528</v>
      </c>
    </row>
    <row r="3121" spans="1:24">
      <c r="A3121">
        <f>HYPERLINK("https://www.philgeps.gov.ph/GEPSNONPILOT/Tender/SplashBidNoticeAbstractUI.aspx?menuIndex=3&amp;refID=7044143&amp;Result=3","7044143")</f>
        <v>0</v>
      </c>
      <c r="B3121" t="s">
        <v>557</v>
      </c>
      <c r="C3121" t="s">
        <v>5656</v>
      </c>
      <c r="D3121" t="s">
        <v>13024</v>
      </c>
      <c r="E3121" t="s">
        <v>15916</v>
      </c>
      <c r="F3121" t="s">
        <v>22436</v>
      </c>
      <c r="G3121" t="s">
        <v>22444</v>
      </c>
      <c r="H3121" t="s">
        <v>22452</v>
      </c>
      <c r="I3121" t="s">
        <v>3529</v>
      </c>
      <c r="J3121" t="s">
        <v>24713</v>
      </c>
      <c r="K3121" t="s">
        <v>29331</v>
      </c>
      <c r="M3121" t="s">
        <v>30145</v>
      </c>
      <c r="N3121" t="s">
        <v>32524</v>
      </c>
      <c r="O3121" t="s">
        <v>32525</v>
      </c>
      <c r="P3121">
        <v>0</v>
      </c>
      <c r="Q3121">
        <v>0</v>
      </c>
      <c r="R3121" t="s">
        <v>32527</v>
      </c>
      <c r="S3121" t="s">
        <v>32552</v>
      </c>
      <c r="T3121" t="s">
        <v>33155</v>
      </c>
      <c r="U3121" t="s">
        <v>36267</v>
      </c>
      <c r="W3121" t="s">
        <v>30145</v>
      </c>
      <c r="X3121" t="s">
        <v>32528</v>
      </c>
    </row>
    <row r="3122" spans="1:24">
      <c r="A3122">
        <f>HYPERLINK("https://www.philgeps.gov.ph/GEPSNONPILOT/Tender/SplashBidNoticeAbstractUI.aspx?menuIndex=3&amp;refID=7044136&amp;Result=3","7044136")</f>
        <v>0</v>
      </c>
      <c r="B3122" t="s">
        <v>1064</v>
      </c>
      <c r="C3122" t="s">
        <v>5657</v>
      </c>
      <c r="D3122" t="s">
        <v>13045</v>
      </c>
      <c r="E3122" t="s">
        <v>15444</v>
      </c>
      <c r="F3122" t="s">
        <v>22436</v>
      </c>
      <c r="G3122" t="s">
        <v>22443</v>
      </c>
      <c r="H3122" t="s">
        <v>22452</v>
      </c>
      <c r="I3122" t="s">
        <v>22463</v>
      </c>
      <c r="J3122" t="s">
        <v>22583</v>
      </c>
      <c r="K3122" t="s">
        <v>29331</v>
      </c>
      <c r="M3122" t="s">
        <v>30697</v>
      </c>
      <c r="N3122" t="s">
        <v>32524</v>
      </c>
      <c r="O3122" t="s">
        <v>32525</v>
      </c>
      <c r="P3122">
        <v>0</v>
      </c>
      <c r="Q3122">
        <v>4</v>
      </c>
      <c r="R3122" t="s">
        <v>32527</v>
      </c>
      <c r="S3122" t="s">
        <v>32552</v>
      </c>
      <c r="T3122" t="s">
        <v>33338</v>
      </c>
      <c r="U3122" t="s">
        <v>36268</v>
      </c>
      <c r="W3122" t="s">
        <v>30697</v>
      </c>
      <c r="X3122" t="s">
        <v>32528</v>
      </c>
    </row>
    <row r="3123" spans="1:24">
      <c r="A3123">
        <f>HYPERLINK("https://www.philgeps.gov.ph/GEPSNONPILOT/Tender/SplashBidNoticeAbstractUI.aspx?menuIndex=3&amp;refID=7044154&amp;Result=3","7044154")</f>
        <v>0</v>
      </c>
      <c r="B3123" t="s">
        <v>1116</v>
      </c>
      <c r="C3123" t="s">
        <v>5658</v>
      </c>
      <c r="D3123" t="s">
        <v>12988</v>
      </c>
      <c r="E3123" t="s">
        <v>15917</v>
      </c>
      <c r="F3123" t="s">
        <v>22436</v>
      </c>
      <c r="G3123" t="s">
        <v>22444</v>
      </c>
      <c r="H3123" t="s">
        <v>22452</v>
      </c>
      <c r="I3123" t="s">
        <v>2981</v>
      </c>
      <c r="J3123" t="s">
        <v>24714</v>
      </c>
      <c r="K3123" t="s">
        <v>29356</v>
      </c>
      <c r="M3123" t="s">
        <v>30754</v>
      </c>
      <c r="N3123" t="s">
        <v>32524</v>
      </c>
      <c r="O3123" t="s">
        <v>32525</v>
      </c>
      <c r="P3123">
        <v>0</v>
      </c>
      <c r="Q3123">
        <v>0</v>
      </c>
      <c r="R3123" t="s">
        <v>32527</v>
      </c>
      <c r="S3123" t="s">
        <v>32552</v>
      </c>
      <c r="T3123" t="s">
        <v>33206</v>
      </c>
      <c r="U3123" t="s">
        <v>36269</v>
      </c>
      <c r="W3123" t="s">
        <v>30754</v>
      </c>
      <c r="X3123" t="s">
        <v>32528</v>
      </c>
    </row>
    <row r="3124" spans="1:24">
      <c r="A3124">
        <f>HYPERLINK("https://www.philgeps.gov.ph/GEPSNONPILOT/Tender/SplashBidNoticeAbstractUI.aspx?menuIndex=3&amp;refID=7044149&amp;Result=3","7044149")</f>
        <v>0</v>
      </c>
      <c r="B3124" t="s">
        <v>1114</v>
      </c>
      <c r="C3124" t="s">
        <v>5659</v>
      </c>
      <c r="D3124" t="s">
        <v>13073</v>
      </c>
      <c r="E3124" t="s">
        <v>15918</v>
      </c>
      <c r="F3124" t="s">
        <v>22436</v>
      </c>
      <c r="G3124" t="s">
        <v>22444</v>
      </c>
      <c r="H3124" t="s">
        <v>22454</v>
      </c>
      <c r="I3124" t="s">
        <v>7738</v>
      </c>
      <c r="J3124" t="s">
        <v>24715</v>
      </c>
      <c r="K3124" t="s">
        <v>29329</v>
      </c>
      <c r="L3124" t="s">
        <v>1114</v>
      </c>
      <c r="M3124" t="s">
        <v>30752</v>
      </c>
      <c r="N3124" t="s">
        <v>32524</v>
      </c>
      <c r="O3124" t="s">
        <v>32525</v>
      </c>
      <c r="P3124">
        <v>0</v>
      </c>
      <c r="Q3124">
        <v>0</v>
      </c>
      <c r="R3124" t="s">
        <v>32527</v>
      </c>
      <c r="S3124" t="s">
        <v>32552</v>
      </c>
      <c r="T3124" t="s">
        <v>33164</v>
      </c>
      <c r="U3124" t="s">
        <v>36270</v>
      </c>
      <c r="V3124" t="s">
        <v>42719</v>
      </c>
      <c r="W3124" t="s">
        <v>30752</v>
      </c>
      <c r="X3124" t="s">
        <v>32528</v>
      </c>
    </row>
    <row r="3125" spans="1:24">
      <c r="A3125">
        <f>HYPERLINK("https://www.philgeps.gov.ph/GEPSNONPILOT/Tender/SplashBidNoticeAbstractUI.aspx?menuIndex=3&amp;refID=7044158&amp;Result=3","7044158")</f>
        <v>0</v>
      </c>
      <c r="B3125" t="s">
        <v>1117</v>
      </c>
      <c r="C3125" t="s">
        <v>5660</v>
      </c>
      <c r="E3125" t="s">
        <v>15919</v>
      </c>
      <c r="F3125" t="s">
        <v>22436</v>
      </c>
      <c r="G3125" t="s">
        <v>22446</v>
      </c>
      <c r="H3125" t="s">
        <v>22454</v>
      </c>
      <c r="I3125" t="s">
        <v>3529</v>
      </c>
      <c r="J3125" t="s">
        <v>22605</v>
      </c>
      <c r="K3125" t="s">
        <v>29357</v>
      </c>
      <c r="M3125" t="s">
        <v>30755</v>
      </c>
      <c r="N3125" t="s">
        <v>32524</v>
      </c>
      <c r="O3125" t="s">
        <v>32525</v>
      </c>
      <c r="P3125">
        <v>0</v>
      </c>
      <c r="Q3125">
        <v>3</v>
      </c>
      <c r="R3125" t="s">
        <v>32527</v>
      </c>
      <c r="S3125" t="s">
        <v>32552</v>
      </c>
      <c r="T3125" t="s">
        <v>33371</v>
      </c>
      <c r="U3125" t="s">
        <v>36271</v>
      </c>
      <c r="W3125" t="s">
        <v>30755</v>
      </c>
      <c r="X3125" t="s">
        <v>32528</v>
      </c>
    </row>
    <row r="3126" spans="1:24">
      <c r="A3126">
        <f>HYPERLINK("https://www.philgeps.gov.ph/GEPSNONPILOT/Tender/SplashBidNoticeAbstractUI.aspx?menuIndex=3&amp;refID=7044148&amp;Result=3","7044148")</f>
        <v>0</v>
      </c>
      <c r="B3126" t="s">
        <v>1114</v>
      </c>
      <c r="C3126" t="s">
        <v>5661</v>
      </c>
      <c r="D3126" t="s">
        <v>13073</v>
      </c>
      <c r="E3126" t="s">
        <v>15920</v>
      </c>
      <c r="F3126" t="s">
        <v>22436</v>
      </c>
      <c r="G3126" t="s">
        <v>22444</v>
      </c>
      <c r="H3126" t="s">
        <v>22454</v>
      </c>
      <c r="I3126" t="s">
        <v>7738</v>
      </c>
      <c r="J3126" t="s">
        <v>24716</v>
      </c>
      <c r="K3126" t="s">
        <v>29333</v>
      </c>
      <c r="L3126" t="s">
        <v>1114</v>
      </c>
      <c r="M3126" t="s">
        <v>30752</v>
      </c>
      <c r="N3126" t="s">
        <v>32524</v>
      </c>
      <c r="O3126" t="s">
        <v>32525</v>
      </c>
      <c r="P3126">
        <v>0</v>
      </c>
      <c r="Q3126">
        <v>0</v>
      </c>
      <c r="R3126" t="s">
        <v>32527</v>
      </c>
      <c r="S3126" t="s">
        <v>32552</v>
      </c>
      <c r="T3126" t="s">
        <v>33164</v>
      </c>
      <c r="U3126" t="s">
        <v>36272</v>
      </c>
      <c r="V3126" t="s">
        <v>42719</v>
      </c>
      <c r="W3126" t="s">
        <v>30752</v>
      </c>
      <c r="X3126" t="s">
        <v>32528</v>
      </c>
    </row>
    <row r="3127" spans="1:24">
      <c r="A3127">
        <f>HYPERLINK("https://www.philgeps.gov.ph/GEPSNONPILOT/Tender/SplashBidNoticeAbstractUI.aspx?menuIndex=3&amp;refID=7044146&amp;Result=3","7044146")</f>
        <v>0</v>
      </c>
      <c r="B3127" t="s">
        <v>1064</v>
      </c>
      <c r="C3127" t="s">
        <v>5662</v>
      </c>
      <c r="D3127" t="s">
        <v>13045</v>
      </c>
      <c r="E3127" t="s">
        <v>15921</v>
      </c>
      <c r="F3127" t="s">
        <v>22436</v>
      </c>
      <c r="G3127" t="s">
        <v>22443</v>
      </c>
      <c r="H3127" t="s">
        <v>22452</v>
      </c>
      <c r="I3127" t="s">
        <v>22466</v>
      </c>
      <c r="J3127" t="s">
        <v>23222</v>
      </c>
      <c r="K3127" t="s">
        <v>29331</v>
      </c>
      <c r="M3127" t="s">
        <v>30697</v>
      </c>
      <c r="N3127" t="s">
        <v>32524</v>
      </c>
      <c r="O3127" t="s">
        <v>32525</v>
      </c>
      <c r="P3127">
        <v>0</v>
      </c>
      <c r="Q3127">
        <v>4</v>
      </c>
      <c r="R3127" t="s">
        <v>32527</v>
      </c>
      <c r="S3127" t="s">
        <v>32552</v>
      </c>
      <c r="T3127" t="s">
        <v>33338</v>
      </c>
      <c r="U3127" t="s">
        <v>36273</v>
      </c>
      <c r="W3127" t="s">
        <v>30697</v>
      </c>
      <c r="X3127" t="s">
        <v>32528</v>
      </c>
    </row>
    <row r="3128" spans="1:24">
      <c r="A3128">
        <f>HYPERLINK("https://www.philgeps.gov.ph/GEPSNONPILOT/Tender/SplashBidNoticeAbstractUI.aspx?menuIndex=3&amp;refID=7044162&amp;Result=3","7044162")</f>
        <v>0</v>
      </c>
      <c r="B3128" t="s">
        <v>557</v>
      </c>
      <c r="C3128" t="s">
        <v>5663</v>
      </c>
      <c r="D3128" t="s">
        <v>13024</v>
      </c>
      <c r="E3128" t="s">
        <v>15922</v>
      </c>
      <c r="F3128" t="s">
        <v>22436</v>
      </c>
      <c r="G3128" t="s">
        <v>22444</v>
      </c>
      <c r="H3128" t="s">
        <v>22452</v>
      </c>
      <c r="I3128" t="s">
        <v>3529</v>
      </c>
      <c r="J3128" t="s">
        <v>24717</v>
      </c>
      <c r="K3128" t="s">
        <v>29331</v>
      </c>
      <c r="M3128" t="s">
        <v>30145</v>
      </c>
      <c r="N3128" t="s">
        <v>32524</v>
      </c>
      <c r="O3128" t="s">
        <v>32525</v>
      </c>
      <c r="P3128">
        <v>0</v>
      </c>
      <c r="Q3128">
        <v>0</v>
      </c>
      <c r="R3128" t="s">
        <v>32527</v>
      </c>
      <c r="S3128" t="s">
        <v>32552</v>
      </c>
      <c r="T3128" t="s">
        <v>33155</v>
      </c>
      <c r="U3128" t="s">
        <v>36274</v>
      </c>
      <c r="W3128" t="s">
        <v>30145</v>
      </c>
      <c r="X3128" t="s">
        <v>32528</v>
      </c>
    </row>
    <row r="3129" spans="1:24">
      <c r="A3129">
        <f>HYPERLINK("https://www.philgeps.gov.ph/GEPSNONPILOT/Tender/SplashBidNoticeAbstractUI.aspx?menuIndex=3&amp;refID=7044147&amp;Result=3","7044147")</f>
        <v>0</v>
      </c>
      <c r="B3129" t="s">
        <v>1064</v>
      </c>
      <c r="C3129" t="s">
        <v>5664</v>
      </c>
      <c r="D3129" t="s">
        <v>13045</v>
      </c>
      <c r="E3129" t="s">
        <v>15923</v>
      </c>
      <c r="F3129" t="s">
        <v>22436</v>
      </c>
      <c r="G3129" t="s">
        <v>22443</v>
      </c>
      <c r="H3129" t="s">
        <v>22452</v>
      </c>
      <c r="I3129" t="s">
        <v>22482</v>
      </c>
      <c r="J3129" t="s">
        <v>24718</v>
      </c>
      <c r="K3129" t="s">
        <v>29331</v>
      </c>
      <c r="M3129" t="s">
        <v>30697</v>
      </c>
      <c r="N3129" t="s">
        <v>32524</v>
      </c>
      <c r="O3129" t="s">
        <v>32525</v>
      </c>
      <c r="P3129">
        <v>0</v>
      </c>
      <c r="Q3129">
        <v>2</v>
      </c>
      <c r="R3129" t="s">
        <v>32527</v>
      </c>
      <c r="S3129" t="s">
        <v>32552</v>
      </c>
      <c r="T3129" t="s">
        <v>33338</v>
      </c>
      <c r="U3129" t="s">
        <v>36275</v>
      </c>
      <c r="W3129" t="s">
        <v>30697</v>
      </c>
      <c r="X3129" t="s">
        <v>32528</v>
      </c>
    </row>
    <row r="3130" spans="1:24">
      <c r="A3130">
        <f>HYPERLINK("https://www.philgeps.gov.ph/GEPSNONPILOT/Tender/SplashBidNoticeAbstractUI.aspx?menuIndex=3&amp;refID=7044151&amp;Result=3","7044151")</f>
        <v>0</v>
      </c>
      <c r="B3130" t="s">
        <v>1116</v>
      </c>
      <c r="C3130" t="s">
        <v>5665</v>
      </c>
      <c r="D3130" t="s">
        <v>12988</v>
      </c>
      <c r="E3130" t="s">
        <v>15924</v>
      </c>
      <c r="F3130" t="s">
        <v>22436</v>
      </c>
      <c r="G3130" t="s">
        <v>22444</v>
      </c>
      <c r="H3130" t="s">
        <v>22452</v>
      </c>
      <c r="I3130" t="s">
        <v>2981</v>
      </c>
      <c r="J3130" t="s">
        <v>24714</v>
      </c>
      <c r="K3130" t="s">
        <v>29356</v>
      </c>
      <c r="M3130" t="s">
        <v>30754</v>
      </c>
      <c r="N3130" t="s">
        <v>32524</v>
      </c>
      <c r="O3130" t="s">
        <v>32525</v>
      </c>
      <c r="P3130">
        <v>0</v>
      </c>
      <c r="Q3130">
        <v>1</v>
      </c>
      <c r="R3130" t="s">
        <v>32527</v>
      </c>
      <c r="S3130" t="s">
        <v>32552</v>
      </c>
      <c r="T3130" t="s">
        <v>33182</v>
      </c>
      <c r="U3130" t="s">
        <v>36276</v>
      </c>
      <c r="W3130" t="s">
        <v>30754</v>
      </c>
      <c r="X3130" t="s">
        <v>32528</v>
      </c>
    </row>
    <row r="3131" spans="1:24">
      <c r="A3131">
        <f>HYPERLINK("https://www.philgeps.gov.ph/GEPSNONPILOT/Tender/SplashBidNoticeAbstractUI.aspx?menuIndex=3&amp;refID=7044160&amp;Result=3","7044160")</f>
        <v>0</v>
      </c>
      <c r="B3131" t="s">
        <v>1114</v>
      </c>
      <c r="C3131" t="s">
        <v>5666</v>
      </c>
      <c r="D3131" t="s">
        <v>13073</v>
      </c>
      <c r="E3131" t="s">
        <v>15925</v>
      </c>
      <c r="F3131" t="s">
        <v>22436</v>
      </c>
      <c r="G3131" t="s">
        <v>22444</v>
      </c>
      <c r="H3131" t="s">
        <v>22454</v>
      </c>
      <c r="I3131" t="s">
        <v>7738</v>
      </c>
      <c r="J3131" t="s">
        <v>24719</v>
      </c>
      <c r="K3131" t="s">
        <v>29329</v>
      </c>
      <c r="L3131" t="s">
        <v>1114</v>
      </c>
      <c r="M3131" t="s">
        <v>30752</v>
      </c>
      <c r="N3131" t="s">
        <v>32524</v>
      </c>
      <c r="O3131" t="s">
        <v>32525</v>
      </c>
      <c r="P3131">
        <v>0</v>
      </c>
      <c r="Q3131">
        <v>0</v>
      </c>
      <c r="R3131" t="s">
        <v>32527</v>
      </c>
      <c r="S3131" t="s">
        <v>32552</v>
      </c>
      <c r="T3131" t="s">
        <v>33164</v>
      </c>
      <c r="U3131" t="s">
        <v>36277</v>
      </c>
      <c r="V3131" t="s">
        <v>42719</v>
      </c>
      <c r="W3131" t="s">
        <v>30752</v>
      </c>
      <c r="X3131" t="s">
        <v>32528</v>
      </c>
    </row>
    <row r="3132" spans="1:24">
      <c r="A3132">
        <f>HYPERLINK("https://www.philgeps.gov.ph/GEPSNONPILOT/Tender/SplashBidNoticeAbstractUI.aspx?menuIndex=3&amp;refID=7044161&amp;Result=3","7044161")</f>
        <v>0</v>
      </c>
      <c r="B3132" t="s">
        <v>1118</v>
      </c>
      <c r="C3132" t="s">
        <v>5667</v>
      </c>
      <c r="D3132" t="s">
        <v>13024</v>
      </c>
      <c r="E3132" t="s">
        <v>15926</v>
      </c>
      <c r="F3132" t="s">
        <v>22436</v>
      </c>
      <c r="G3132" t="s">
        <v>22443</v>
      </c>
      <c r="H3132" t="s">
        <v>22452</v>
      </c>
      <c r="I3132" t="s">
        <v>22547</v>
      </c>
      <c r="J3132" t="s">
        <v>22654</v>
      </c>
      <c r="K3132" t="s">
        <v>29335</v>
      </c>
      <c r="M3132" t="s">
        <v>30756</v>
      </c>
      <c r="N3132" t="s">
        <v>32524</v>
      </c>
      <c r="O3132" t="s">
        <v>32525</v>
      </c>
      <c r="P3132">
        <v>0</v>
      </c>
      <c r="Q3132">
        <v>1</v>
      </c>
      <c r="R3132" t="s">
        <v>32527</v>
      </c>
      <c r="S3132" t="s">
        <v>32552</v>
      </c>
      <c r="T3132" t="s">
        <v>33213</v>
      </c>
      <c r="U3132" t="s">
        <v>36278</v>
      </c>
      <c r="W3132" t="s">
        <v>30756</v>
      </c>
      <c r="X3132" t="s">
        <v>32528</v>
      </c>
    </row>
    <row r="3133" spans="1:24">
      <c r="A3133">
        <f>HYPERLINK("https://www.philgeps.gov.ph/GEPSNONPILOT/Tender/SplashBidNoticeAbstractUI.aspx?menuIndex=3&amp;refID=7044157&amp;Result=3","7044157")</f>
        <v>0</v>
      </c>
      <c r="B3133" t="s">
        <v>1064</v>
      </c>
      <c r="C3133" t="s">
        <v>5668</v>
      </c>
      <c r="D3133" t="s">
        <v>13045</v>
      </c>
      <c r="E3133" t="s">
        <v>15927</v>
      </c>
      <c r="F3133" t="s">
        <v>22436</v>
      </c>
      <c r="G3133" t="s">
        <v>22443</v>
      </c>
      <c r="H3133" t="s">
        <v>22452</v>
      </c>
      <c r="I3133" t="s">
        <v>2962</v>
      </c>
      <c r="J3133" t="s">
        <v>24720</v>
      </c>
      <c r="K3133" t="s">
        <v>29331</v>
      </c>
      <c r="M3133" t="s">
        <v>30697</v>
      </c>
      <c r="N3133" t="s">
        <v>32524</v>
      </c>
      <c r="O3133" t="s">
        <v>32525</v>
      </c>
      <c r="P3133">
        <v>0</v>
      </c>
      <c r="Q3133">
        <v>0</v>
      </c>
      <c r="R3133" t="s">
        <v>32527</v>
      </c>
      <c r="S3133" t="s">
        <v>32552</v>
      </c>
      <c r="T3133" t="s">
        <v>33338</v>
      </c>
      <c r="U3133" t="s">
        <v>36279</v>
      </c>
      <c r="W3133" t="s">
        <v>30697</v>
      </c>
      <c r="X3133" t="s">
        <v>32528</v>
      </c>
    </row>
    <row r="3134" spans="1:24">
      <c r="A3134">
        <f>HYPERLINK("https://www.philgeps.gov.ph/GEPSNONPILOT/Tender/SplashBidNoticeAbstractUI.aspx?menuIndex=3&amp;refID=7044153&amp;Result=3","7044153")</f>
        <v>0</v>
      </c>
      <c r="B3134" t="s">
        <v>519</v>
      </c>
      <c r="C3134" t="s">
        <v>5669</v>
      </c>
      <c r="D3134" t="s">
        <v>12988</v>
      </c>
      <c r="E3134" t="s">
        <v>15928</v>
      </c>
      <c r="F3134" t="s">
        <v>22436</v>
      </c>
      <c r="G3134" t="s">
        <v>22444</v>
      </c>
      <c r="H3134" t="s">
        <v>22452</v>
      </c>
      <c r="I3134" t="s">
        <v>22499</v>
      </c>
      <c r="J3134" t="s">
        <v>24721</v>
      </c>
      <c r="K3134" t="s">
        <v>29341</v>
      </c>
      <c r="M3134" t="s">
        <v>30748</v>
      </c>
      <c r="N3134" t="s">
        <v>32524</v>
      </c>
      <c r="O3134" t="s">
        <v>32525</v>
      </c>
      <c r="P3134">
        <v>0</v>
      </c>
      <c r="Q3134">
        <v>5</v>
      </c>
      <c r="R3134" t="s">
        <v>32527</v>
      </c>
      <c r="S3134" t="s">
        <v>32552</v>
      </c>
      <c r="T3134" t="s">
        <v>33366</v>
      </c>
      <c r="U3134" t="s">
        <v>36280</v>
      </c>
      <c r="W3134" t="s">
        <v>30748</v>
      </c>
      <c r="X3134" t="s">
        <v>32528</v>
      </c>
    </row>
    <row r="3135" spans="1:24">
      <c r="A3135">
        <f>HYPERLINK("https://www.philgeps.gov.ph/GEPSNONPILOT/Tender/SplashBidNoticeAbstractUI.aspx?menuIndex=3&amp;refID=7044165&amp;Result=3","7044165")</f>
        <v>0</v>
      </c>
      <c r="B3135" t="s">
        <v>557</v>
      </c>
      <c r="C3135" t="s">
        <v>5670</v>
      </c>
      <c r="D3135" t="s">
        <v>13024</v>
      </c>
      <c r="E3135" t="s">
        <v>15929</v>
      </c>
      <c r="F3135" t="s">
        <v>22436</v>
      </c>
      <c r="G3135" t="s">
        <v>22444</v>
      </c>
      <c r="H3135" t="s">
        <v>22452</v>
      </c>
      <c r="I3135" t="s">
        <v>3529</v>
      </c>
      <c r="J3135" t="s">
        <v>24722</v>
      </c>
      <c r="K3135" t="s">
        <v>29331</v>
      </c>
      <c r="M3135" t="s">
        <v>30145</v>
      </c>
      <c r="N3135" t="s">
        <v>32524</v>
      </c>
      <c r="O3135" t="s">
        <v>32525</v>
      </c>
      <c r="P3135">
        <v>0</v>
      </c>
      <c r="Q3135">
        <v>0</v>
      </c>
      <c r="R3135" t="s">
        <v>32527</v>
      </c>
      <c r="S3135" t="s">
        <v>32552</v>
      </c>
      <c r="T3135" t="s">
        <v>33155</v>
      </c>
      <c r="U3135" t="s">
        <v>36281</v>
      </c>
      <c r="W3135" t="s">
        <v>30145</v>
      </c>
      <c r="X3135" t="s">
        <v>32528</v>
      </c>
    </row>
    <row r="3136" spans="1:24">
      <c r="A3136">
        <f>HYPERLINK("https://www.philgeps.gov.ph/GEPSNONPILOT/Tender/SplashBidNoticeAbstractUI.aspx?menuIndex=3&amp;refID=7044170&amp;Result=3","7044170")</f>
        <v>0</v>
      </c>
      <c r="B3136" t="s">
        <v>557</v>
      </c>
      <c r="C3136" t="s">
        <v>5671</v>
      </c>
      <c r="D3136" t="s">
        <v>13024</v>
      </c>
      <c r="E3136" t="s">
        <v>15930</v>
      </c>
      <c r="F3136" t="s">
        <v>22436</v>
      </c>
      <c r="G3136" t="s">
        <v>22444</v>
      </c>
      <c r="H3136" t="s">
        <v>22452</v>
      </c>
      <c r="I3136" t="s">
        <v>3529</v>
      </c>
      <c r="J3136" t="s">
        <v>24723</v>
      </c>
      <c r="K3136" t="s">
        <v>29331</v>
      </c>
      <c r="M3136" t="s">
        <v>30145</v>
      </c>
      <c r="N3136" t="s">
        <v>32524</v>
      </c>
      <c r="O3136" t="s">
        <v>32525</v>
      </c>
      <c r="P3136">
        <v>0</v>
      </c>
      <c r="Q3136">
        <v>1</v>
      </c>
      <c r="R3136" t="s">
        <v>32527</v>
      </c>
      <c r="S3136" t="s">
        <v>32552</v>
      </c>
      <c r="T3136" t="s">
        <v>33155</v>
      </c>
      <c r="U3136" t="s">
        <v>36282</v>
      </c>
      <c r="W3136" t="s">
        <v>30145</v>
      </c>
      <c r="X3136" t="s">
        <v>32528</v>
      </c>
    </row>
    <row r="3137" spans="1:24">
      <c r="A3137">
        <f>HYPERLINK("https://www.philgeps.gov.ph/GEPSNONPILOT/Tender/SplashBidNoticeAbstractUI.aspx?menuIndex=3&amp;refID=7044155&amp;Result=3","7044155")</f>
        <v>0</v>
      </c>
      <c r="B3137" t="s">
        <v>1114</v>
      </c>
      <c r="C3137" t="s">
        <v>5672</v>
      </c>
      <c r="D3137" t="s">
        <v>13073</v>
      </c>
      <c r="E3137" t="s">
        <v>15931</v>
      </c>
      <c r="F3137" t="s">
        <v>22436</v>
      </c>
      <c r="G3137" t="s">
        <v>22444</v>
      </c>
      <c r="H3137" t="s">
        <v>22454</v>
      </c>
      <c r="I3137" t="s">
        <v>7738</v>
      </c>
      <c r="J3137" t="s">
        <v>24724</v>
      </c>
      <c r="K3137" t="s">
        <v>29329</v>
      </c>
      <c r="L3137" t="s">
        <v>1114</v>
      </c>
      <c r="M3137" t="s">
        <v>30752</v>
      </c>
      <c r="N3137" t="s">
        <v>32524</v>
      </c>
      <c r="O3137" t="s">
        <v>32525</v>
      </c>
      <c r="P3137">
        <v>0</v>
      </c>
      <c r="Q3137">
        <v>0</v>
      </c>
      <c r="R3137" t="s">
        <v>32527</v>
      </c>
      <c r="S3137" t="s">
        <v>32552</v>
      </c>
      <c r="T3137" t="s">
        <v>33164</v>
      </c>
      <c r="U3137" t="s">
        <v>36283</v>
      </c>
      <c r="V3137" t="s">
        <v>42719</v>
      </c>
      <c r="W3137" t="s">
        <v>30752</v>
      </c>
      <c r="X3137" t="s">
        <v>32528</v>
      </c>
    </row>
    <row r="3138" spans="1:24">
      <c r="A3138">
        <f>HYPERLINK("https://www.philgeps.gov.ph/GEPSNONPILOT/Tender/SplashBidNoticeAbstractUI.aspx?menuIndex=3&amp;refID=7044166&amp;Result=3","7044166")</f>
        <v>0</v>
      </c>
      <c r="B3138" t="s">
        <v>519</v>
      </c>
      <c r="C3138" t="s">
        <v>5673</v>
      </c>
      <c r="D3138" t="s">
        <v>12988</v>
      </c>
      <c r="E3138" t="s">
        <v>15932</v>
      </c>
      <c r="F3138" t="s">
        <v>22436</v>
      </c>
      <c r="G3138" t="s">
        <v>22444</v>
      </c>
      <c r="H3138" t="s">
        <v>22452</v>
      </c>
      <c r="I3138" t="s">
        <v>22501</v>
      </c>
      <c r="J3138" t="s">
        <v>22877</v>
      </c>
      <c r="K3138" t="s">
        <v>29336</v>
      </c>
      <c r="M3138" t="s">
        <v>30748</v>
      </c>
      <c r="N3138" t="s">
        <v>32524</v>
      </c>
      <c r="O3138" t="s">
        <v>32525</v>
      </c>
      <c r="P3138">
        <v>0</v>
      </c>
      <c r="Q3138">
        <v>0</v>
      </c>
      <c r="R3138" t="s">
        <v>32527</v>
      </c>
      <c r="S3138" t="s">
        <v>32552</v>
      </c>
      <c r="T3138" t="s">
        <v>33366</v>
      </c>
      <c r="U3138" t="s">
        <v>36284</v>
      </c>
      <c r="W3138" t="s">
        <v>30748</v>
      </c>
      <c r="X3138" t="s">
        <v>32528</v>
      </c>
    </row>
    <row r="3139" spans="1:24">
      <c r="A3139">
        <f>HYPERLINK("https://www.philgeps.gov.ph/GEPSNONPILOT/Tender/SplashBidNoticeAbstractUI.aspx?menuIndex=3&amp;refID=7044169&amp;Result=3","7044169")</f>
        <v>0</v>
      </c>
      <c r="B3139" t="s">
        <v>557</v>
      </c>
      <c r="C3139" t="s">
        <v>5674</v>
      </c>
      <c r="D3139" t="s">
        <v>13024</v>
      </c>
      <c r="E3139" t="s">
        <v>15933</v>
      </c>
      <c r="F3139" t="s">
        <v>22436</v>
      </c>
      <c r="G3139" t="s">
        <v>22444</v>
      </c>
      <c r="H3139" t="s">
        <v>22452</v>
      </c>
      <c r="I3139" t="s">
        <v>3529</v>
      </c>
      <c r="J3139" t="s">
        <v>24725</v>
      </c>
      <c r="K3139" t="s">
        <v>29331</v>
      </c>
      <c r="M3139" t="s">
        <v>30145</v>
      </c>
      <c r="N3139" t="s">
        <v>32524</v>
      </c>
      <c r="O3139" t="s">
        <v>32525</v>
      </c>
      <c r="P3139">
        <v>0</v>
      </c>
      <c r="Q3139">
        <v>0</v>
      </c>
      <c r="R3139" t="s">
        <v>32527</v>
      </c>
      <c r="S3139" t="s">
        <v>32552</v>
      </c>
      <c r="T3139" t="s">
        <v>33155</v>
      </c>
      <c r="U3139" t="s">
        <v>36285</v>
      </c>
      <c r="W3139" t="s">
        <v>30145</v>
      </c>
      <c r="X3139" t="s">
        <v>32528</v>
      </c>
    </row>
    <row r="3140" spans="1:24">
      <c r="A3140">
        <f>HYPERLINK("https://www.philgeps.gov.ph/GEPSNONPILOT/Tender/SplashBidNoticeAbstractUI.aspx?menuIndex=3&amp;refID=7044168&amp;Result=3","7044168")</f>
        <v>0</v>
      </c>
      <c r="B3140" t="s">
        <v>1064</v>
      </c>
      <c r="C3140" t="s">
        <v>5675</v>
      </c>
      <c r="D3140" t="s">
        <v>13045</v>
      </c>
      <c r="E3140" t="s">
        <v>15934</v>
      </c>
      <c r="F3140" t="s">
        <v>22436</v>
      </c>
      <c r="G3140" t="s">
        <v>22443</v>
      </c>
      <c r="H3140" t="s">
        <v>22452</v>
      </c>
      <c r="I3140" t="s">
        <v>22492</v>
      </c>
      <c r="J3140" t="s">
        <v>24053</v>
      </c>
      <c r="K3140" t="s">
        <v>29331</v>
      </c>
      <c r="M3140" t="s">
        <v>30697</v>
      </c>
      <c r="N3140" t="s">
        <v>32524</v>
      </c>
      <c r="O3140" t="s">
        <v>32525</v>
      </c>
      <c r="P3140">
        <v>0</v>
      </c>
      <c r="Q3140">
        <v>0</v>
      </c>
      <c r="R3140" t="s">
        <v>32527</v>
      </c>
      <c r="S3140" t="s">
        <v>32552</v>
      </c>
      <c r="T3140" t="s">
        <v>33338</v>
      </c>
      <c r="U3140" t="s">
        <v>36286</v>
      </c>
      <c r="W3140" t="s">
        <v>30697</v>
      </c>
      <c r="X3140" t="s">
        <v>32528</v>
      </c>
    </row>
    <row r="3141" spans="1:24">
      <c r="A3141">
        <f>HYPERLINK("https://www.philgeps.gov.ph/GEPSNONPILOT/Tender/SplashBidNoticeAbstractUI.aspx?menuIndex=3&amp;refID=7044144&amp;Result=3","7044144")</f>
        <v>0</v>
      </c>
      <c r="B3141" t="s">
        <v>557</v>
      </c>
      <c r="C3141" t="s">
        <v>5676</v>
      </c>
      <c r="D3141" t="s">
        <v>13024</v>
      </c>
      <c r="E3141" t="s">
        <v>15935</v>
      </c>
      <c r="F3141" t="s">
        <v>22436</v>
      </c>
      <c r="G3141" t="s">
        <v>22444</v>
      </c>
      <c r="H3141" t="s">
        <v>22452</v>
      </c>
      <c r="I3141" t="s">
        <v>3529</v>
      </c>
      <c r="J3141" t="s">
        <v>24726</v>
      </c>
      <c r="K3141" t="s">
        <v>29331</v>
      </c>
      <c r="M3141" t="s">
        <v>30145</v>
      </c>
      <c r="N3141" t="s">
        <v>32524</v>
      </c>
      <c r="O3141" t="s">
        <v>32525</v>
      </c>
      <c r="P3141">
        <v>0</v>
      </c>
      <c r="Q3141">
        <v>0</v>
      </c>
      <c r="R3141" t="s">
        <v>32527</v>
      </c>
      <c r="S3141" t="s">
        <v>32552</v>
      </c>
      <c r="T3141" t="s">
        <v>33155</v>
      </c>
      <c r="U3141" t="s">
        <v>36287</v>
      </c>
      <c r="W3141" t="s">
        <v>30145</v>
      </c>
      <c r="X3141" t="s">
        <v>32528</v>
      </c>
    </row>
    <row r="3142" spans="1:24">
      <c r="A3142">
        <f>HYPERLINK("https://www.philgeps.gov.ph/GEPSNONPILOT/Tender/SplashBidNoticeAbstractUI.aspx?menuIndex=3&amp;refID=7044171&amp;Result=3","7044171")</f>
        <v>0</v>
      </c>
      <c r="B3142" t="s">
        <v>1119</v>
      </c>
      <c r="C3142" t="s">
        <v>5677</v>
      </c>
      <c r="D3142" t="s">
        <v>13031</v>
      </c>
      <c r="E3142" t="s">
        <v>15936</v>
      </c>
      <c r="F3142" t="s">
        <v>22436</v>
      </c>
      <c r="G3142" t="s">
        <v>22443</v>
      </c>
      <c r="H3142" t="s">
        <v>22452</v>
      </c>
      <c r="I3142" t="s">
        <v>3529</v>
      </c>
      <c r="J3142" t="s">
        <v>23467</v>
      </c>
      <c r="K3142" t="s">
        <v>29341</v>
      </c>
      <c r="M3142" t="s">
        <v>30757</v>
      </c>
      <c r="N3142" t="s">
        <v>32524</v>
      </c>
      <c r="O3142" t="s">
        <v>32525</v>
      </c>
      <c r="P3142">
        <v>0</v>
      </c>
      <c r="Q3142">
        <v>0</v>
      </c>
      <c r="R3142" t="s">
        <v>32527</v>
      </c>
      <c r="S3142" t="s">
        <v>32552</v>
      </c>
      <c r="T3142" t="s">
        <v>33162</v>
      </c>
      <c r="U3142" t="s">
        <v>36288</v>
      </c>
      <c r="W3142" t="s">
        <v>30757</v>
      </c>
      <c r="X3142" t="s">
        <v>32528</v>
      </c>
    </row>
    <row r="3143" spans="1:24">
      <c r="A3143">
        <f>HYPERLINK("https://www.philgeps.gov.ph/GEPSNONPILOT/Tender/SplashBidNoticeAbstractUI.aspx?menuIndex=3&amp;refID=7044181&amp;Result=3","7044181")</f>
        <v>0</v>
      </c>
      <c r="B3143" t="s">
        <v>1119</v>
      </c>
      <c r="C3143" t="s">
        <v>5678</v>
      </c>
      <c r="D3143" t="s">
        <v>13031</v>
      </c>
      <c r="E3143" t="s">
        <v>15937</v>
      </c>
      <c r="F3143" t="s">
        <v>22436</v>
      </c>
      <c r="G3143" t="s">
        <v>22446</v>
      </c>
      <c r="H3143" t="s">
        <v>22452</v>
      </c>
      <c r="I3143" t="s">
        <v>3529</v>
      </c>
      <c r="J3143" t="s">
        <v>24727</v>
      </c>
      <c r="K3143" t="s">
        <v>29341</v>
      </c>
      <c r="M3143" t="s">
        <v>30757</v>
      </c>
      <c r="N3143" t="s">
        <v>32524</v>
      </c>
      <c r="O3143" t="s">
        <v>32525</v>
      </c>
      <c r="P3143">
        <v>0</v>
      </c>
      <c r="Q3143">
        <v>1</v>
      </c>
      <c r="R3143" t="s">
        <v>32527</v>
      </c>
      <c r="S3143" t="s">
        <v>32552</v>
      </c>
      <c r="T3143" t="s">
        <v>33162</v>
      </c>
      <c r="U3143" t="s">
        <v>36288</v>
      </c>
      <c r="W3143" t="s">
        <v>30757</v>
      </c>
      <c r="X3143" t="s">
        <v>32528</v>
      </c>
    </row>
    <row r="3144" spans="1:24">
      <c r="A3144">
        <f>HYPERLINK("https://www.philgeps.gov.ph/GEPSNONPILOT/Tender/SplashBidNoticeAbstractUI.aspx?menuIndex=3&amp;refID=7044182&amp;Result=3","7044182")</f>
        <v>0</v>
      </c>
      <c r="B3144" t="s">
        <v>1114</v>
      </c>
      <c r="C3144" t="s">
        <v>5679</v>
      </c>
      <c r="D3144" t="s">
        <v>13073</v>
      </c>
      <c r="E3144" t="s">
        <v>15938</v>
      </c>
      <c r="F3144" t="s">
        <v>22436</v>
      </c>
      <c r="G3144" t="s">
        <v>22444</v>
      </c>
      <c r="H3144" t="s">
        <v>22454</v>
      </c>
      <c r="I3144" t="s">
        <v>7738</v>
      </c>
      <c r="J3144" t="s">
        <v>24695</v>
      </c>
      <c r="K3144" t="s">
        <v>29378</v>
      </c>
      <c r="L3144" t="s">
        <v>1114</v>
      </c>
      <c r="M3144" t="s">
        <v>30752</v>
      </c>
      <c r="N3144" t="s">
        <v>32524</v>
      </c>
      <c r="O3144" t="s">
        <v>32525</v>
      </c>
      <c r="P3144">
        <v>0</v>
      </c>
      <c r="Q3144">
        <v>0</v>
      </c>
      <c r="R3144" t="s">
        <v>32527</v>
      </c>
      <c r="S3144" t="s">
        <v>32552</v>
      </c>
      <c r="T3144" t="s">
        <v>33164</v>
      </c>
      <c r="U3144" t="s">
        <v>36289</v>
      </c>
      <c r="V3144" t="s">
        <v>42719</v>
      </c>
      <c r="W3144" t="s">
        <v>30752</v>
      </c>
      <c r="X3144" t="s">
        <v>32528</v>
      </c>
    </row>
    <row r="3145" spans="1:24">
      <c r="A3145">
        <f>HYPERLINK("https://www.philgeps.gov.ph/GEPSNONPILOT/Tender/SplashBidNoticeAbstractUI.aspx?menuIndex=3&amp;refID=7044174&amp;Result=3","7044174")</f>
        <v>0</v>
      </c>
      <c r="B3145" t="s">
        <v>1119</v>
      </c>
      <c r="C3145" t="s">
        <v>5680</v>
      </c>
      <c r="D3145" t="s">
        <v>13031</v>
      </c>
      <c r="E3145" t="s">
        <v>15939</v>
      </c>
      <c r="F3145" t="s">
        <v>22436</v>
      </c>
      <c r="G3145" t="s">
        <v>22443</v>
      </c>
      <c r="H3145" t="s">
        <v>22452</v>
      </c>
      <c r="I3145" t="s">
        <v>3529</v>
      </c>
      <c r="J3145" t="s">
        <v>24728</v>
      </c>
      <c r="K3145" t="s">
        <v>29341</v>
      </c>
      <c r="M3145" t="s">
        <v>30757</v>
      </c>
      <c r="N3145" t="s">
        <v>32524</v>
      </c>
      <c r="O3145" t="s">
        <v>32525</v>
      </c>
      <c r="P3145">
        <v>0</v>
      </c>
      <c r="Q3145">
        <v>0</v>
      </c>
      <c r="R3145" t="s">
        <v>32527</v>
      </c>
      <c r="S3145" t="s">
        <v>32552</v>
      </c>
      <c r="T3145" t="s">
        <v>33162</v>
      </c>
      <c r="U3145" t="s">
        <v>36288</v>
      </c>
      <c r="W3145" t="s">
        <v>30757</v>
      </c>
      <c r="X3145" t="s">
        <v>32528</v>
      </c>
    </row>
    <row r="3146" spans="1:24">
      <c r="A3146">
        <f>HYPERLINK("https://www.philgeps.gov.ph/GEPSNONPILOT/Tender/SplashBidNoticeAbstractUI.aspx?menuIndex=3&amp;refID=7044173&amp;Result=3","7044173")</f>
        <v>0</v>
      </c>
      <c r="B3146" t="s">
        <v>1064</v>
      </c>
      <c r="C3146" t="s">
        <v>5681</v>
      </c>
      <c r="D3146" t="s">
        <v>13045</v>
      </c>
      <c r="E3146" t="s">
        <v>15940</v>
      </c>
      <c r="F3146" t="s">
        <v>22436</v>
      </c>
      <c r="G3146" t="s">
        <v>22443</v>
      </c>
      <c r="H3146" t="s">
        <v>22452</v>
      </c>
      <c r="I3146" t="s">
        <v>2962</v>
      </c>
      <c r="J3146" t="s">
        <v>22588</v>
      </c>
      <c r="K3146" t="s">
        <v>29331</v>
      </c>
      <c r="M3146" t="s">
        <v>30697</v>
      </c>
      <c r="N3146" t="s">
        <v>32524</v>
      </c>
      <c r="O3146" t="s">
        <v>32525</v>
      </c>
      <c r="P3146">
        <v>0</v>
      </c>
      <c r="Q3146">
        <v>0</v>
      </c>
      <c r="R3146" t="s">
        <v>32527</v>
      </c>
      <c r="S3146" t="s">
        <v>32552</v>
      </c>
      <c r="T3146" t="s">
        <v>33338</v>
      </c>
      <c r="U3146" t="s">
        <v>36290</v>
      </c>
      <c r="W3146" t="s">
        <v>30697</v>
      </c>
      <c r="X3146" t="s">
        <v>32528</v>
      </c>
    </row>
    <row r="3147" spans="1:24">
      <c r="A3147">
        <f>HYPERLINK("https://www.philgeps.gov.ph/GEPSNONPILOT/Tender/SplashBidNoticeAbstractUI.aspx?menuIndex=3&amp;refID=7044178&amp;Result=3","7044178")</f>
        <v>0</v>
      </c>
      <c r="B3147" t="s">
        <v>1118</v>
      </c>
      <c r="C3147" t="s">
        <v>5682</v>
      </c>
      <c r="D3147" t="s">
        <v>13024</v>
      </c>
      <c r="E3147" t="s">
        <v>15941</v>
      </c>
      <c r="F3147" t="s">
        <v>22436</v>
      </c>
      <c r="G3147" t="s">
        <v>22443</v>
      </c>
      <c r="H3147" t="s">
        <v>22452</v>
      </c>
      <c r="I3147" t="s">
        <v>22502</v>
      </c>
      <c r="J3147" t="s">
        <v>24729</v>
      </c>
      <c r="K3147" t="s">
        <v>29335</v>
      </c>
      <c r="M3147" t="s">
        <v>30756</v>
      </c>
      <c r="N3147" t="s">
        <v>32524</v>
      </c>
      <c r="O3147" t="s">
        <v>32525</v>
      </c>
      <c r="P3147">
        <v>0</v>
      </c>
      <c r="Q3147">
        <v>17</v>
      </c>
      <c r="R3147" t="s">
        <v>32527</v>
      </c>
      <c r="S3147" t="s">
        <v>32552</v>
      </c>
      <c r="T3147" t="s">
        <v>33213</v>
      </c>
      <c r="U3147" t="s">
        <v>36291</v>
      </c>
      <c r="W3147" t="s">
        <v>30756</v>
      </c>
      <c r="X3147" t="s">
        <v>32528</v>
      </c>
    </row>
    <row r="3148" spans="1:24">
      <c r="A3148">
        <f>HYPERLINK("https://www.philgeps.gov.ph/GEPSNONPILOT/Tender/SplashBidNoticeAbstractUI.aspx?menuIndex=3&amp;refID=7044172&amp;Result=3","7044172")</f>
        <v>0</v>
      </c>
      <c r="B3148" t="s">
        <v>557</v>
      </c>
      <c r="C3148" t="s">
        <v>5683</v>
      </c>
      <c r="D3148" t="s">
        <v>13024</v>
      </c>
      <c r="E3148" t="s">
        <v>15942</v>
      </c>
      <c r="F3148" t="s">
        <v>22436</v>
      </c>
      <c r="G3148" t="s">
        <v>22444</v>
      </c>
      <c r="H3148" t="s">
        <v>22452</v>
      </c>
      <c r="I3148" t="s">
        <v>3529</v>
      </c>
      <c r="J3148" t="s">
        <v>24725</v>
      </c>
      <c r="K3148" t="s">
        <v>29331</v>
      </c>
      <c r="M3148" t="s">
        <v>30145</v>
      </c>
      <c r="N3148" t="s">
        <v>32524</v>
      </c>
      <c r="O3148" t="s">
        <v>32525</v>
      </c>
      <c r="P3148">
        <v>0</v>
      </c>
      <c r="Q3148">
        <v>0</v>
      </c>
      <c r="R3148" t="s">
        <v>32527</v>
      </c>
      <c r="S3148" t="s">
        <v>32552</v>
      </c>
      <c r="T3148" t="s">
        <v>33155</v>
      </c>
      <c r="U3148" t="s">
        <v>36285</v>
      </c>
      <c r="W3148" t="s">
        <v>30145</v>
      </c>
      <c r="X3148" t="s">
        <v>32528</v>
      </c>
    </row>
    <row r="3149" spans="1:24">
      <c r="A3149">
        <f>HYPERLINK("https://www.philgeps.gov.ph/GEPSNONPILOT/Tender/SplashBidNoticeAbstractUI.aspx?menuIndex=3&amp;refID=7044185&amp;Result=3","7044185")</f>
        <v>0</v>
      </c>
      <c r="B3149" t="s">
        <v>1064</v>
      </c>
      <c r="C3149" t="s">
        <v>5684</v>
      </c>
      <c r="D3149" t="s">
        <v>13045</v>
      </c>
      <c r="E3149" t="s">
        <v>15943</v>
      </c>
      <c r="F3149" t="s">
        <v>22436</v>
      </c>
      <c r="G3149" t="s">
        <v>22443</v>
      </c>
      <c r="H3149" t="s">
        <v>22452</v>
      </c>
      <c r="I3149" t="s">
        <v>22468</v>
      </c>
      <c r="J3149" t="s">
        <v>24730</v>
      </c>
      <c r="K3149" t="s">
        <v>29331</v>
      </c>
      <c r="M3149" t="s">
        <v>30697</v>
      </c>
      <c r="N3149" t="s">
        <v>32524</v>
      </c>
      <c r="O3149" t="s">
        <v>32525</v>
      </c>
      <c r="P3149">
        <v>0</v>
      </c>
      <c r="Q3149">
        <v>3</v>
      </c>
      <c r="R3149" t="s">
        <v>32527</v>
      </c>
      <c r="S3149" t="s">
        <v>32552</v>
      </c>
      <c r="T3149" t="s">
        <v>33338</v>
      </c>
      <c r="U3149" t="s">
        <v>36292</v>
      </c>
      <c r="W3149" t="s">
        <v>30697</v>
      </c>
      <c r="X3149" t="s">
        <v>32528</v>
      </c>
    </row>
    <row r="3150" spans="1:24">
      <c r="A3150">
        <f>HYPERLINK("https://www.philgeps.gov.ph/GEPSNONPILOT/Tender/SplashBidNoticeAbstractUI.aspx?menuIndex=3&amp;refID=7044189&amp;Result=3","7044189")</f>
        <v>0</v>
      </c>
      <c r="B3150" t="s">
        <v>1118</v>
      </c>
      <c r="C3150" t="s">
        <v>5685</v>
      </c>
      <c r="D3150" t="s">
        <v>13024</v>
      </c>
      <c r="E3150" t="s">
        <v>15944</v>
      </c>
      <c r="F3150" t="s">
        <v>22436</v>
      </c>
      <c r="G3150" t="s">
        <v>22443</v>
      </c>
      <c r="H3150" t="s">
        <v>22452</v>
      </c>
      <c r="I3150" t="s">
        <v>22502</v>
      </c>
      <c r="J3150" t="s">
        <v>24731</v>
      </c>
      <c r="K3150" t="s">
        <v>29335</v>
      </c>
      <c r="M3150" t="s">
        <v>30756</v>
      </c>
      <c r="N3150" t="s">
        <v>32524</v>
      </c>
      <c r="O3150" t="s">
        <v>32525</v>
      </c>
      <c r="P3150">
        <v>0</v>
      </c>
      <c r="Q3150">
        <v>11</v>
      </c>
      <c r="R3150" t="s">
        <v>32527</v>
      </c>
      <c r="S3150" t="s">
        <v>32552</v>
      </c>
      <c r="T3150" t="s">
        <v>33213</v>
      </c>
      <c r="U3150" t="s">
        <v>36291</v>
      </c>
      <c r="W3150" t="s">
        <v>30756</v>
      </c>
      <c r="X3150" t="s">
        <v>32528</v>
      </c>
    </row>
    <row r="3151" spans="1:24">
      <c r="A3151">
        <f>HYPERLINK("https://www.philgeps.gov.ph/GEPSNONPILOT/Tender/SplashBidNoticeAbstractUI.aspx?menuIndex=3&amp;refID=7044190&amp;Result=3","7044190")</f>
        <v>0</v>
      </c>
      <c r="B3151" t="s">
        <v>1064</v>
      </c>
      <c r="C3151" t="s">
        <v>5686</v>
      </c>
      <c r="D3151" t="s">
        <v>13045</v>
      </c>
      <c r="E3151" t="s">
        <v>15945</v>
      </c>
      <c r="F3151" t="s">
        <v>22436</v>
      </c>
      <c r="G3151" t="s">
        <v>22443</v>
      </c>
      <c r="H3151" t="s">
        <v>22452</v>
      </c>
      <c r="I3151" t="s">
        <v>12358</v>
      </c>
      <c r="J3151" t="s">
        <v>23780</v>
      </c>
      <c r="K3151" t="s">
        <v>29331</v>
      </c>
      <c r="M3151" t="s">
        <v>30697</v>
      </c>
      <c r="N3151" t="s">
        <v>32524</v>
      </c>
      <c r="O3151" t="s">
        <v>32525</v>
      </c>
      <c r="P3151">
        <v>0</v>
      </c>
      <c r="Q3151">
        <v>1</v>
      </c>
      <c r="R3151" t="s">
        <v>32527</v>
      </c>
      <c r="S3151" t="s">
        <v>32552</v>
      </c>
      <c r="T3151" t="s">
        <v>33338</v>
      </c>
      <c r="U3151" t="s">
        <v>36293</v>
      </c>
      <c r="W3151" t="s">
        <v>30697</v>
      </c>
      <c r="X3151" t="s">
        <v>32528</v>
      </c>
    </row>
    <row r="3152" spans="1:24">
      <c r="A3152">
        <f>HYPERLINK("https://www.philgeps.gov.ph/GEPSNONPILOT/Tender/SplashBidNoticeAbstractUI.aspx?menuIndex=3&amp;refID=7044188&amp;Result=3","7044188")</f>
        <v>0</v>
      </c>
      <c r="B3152" t="s">
        <v>1119</v>
      </c>
      <c r="C3152" t="s">
        <v>5687</v>
      </c>
      <c r="D3152" t="s">
        <v>13031</v>
      </c>
      <c r="E3152" t="s">
        <v>15946</v>
      </c>
      <c r="F3152" t="s">
        <v>22436</v>
      </c>
      <c r="G3152" t="s">
        <v>22446</v>
      </c>
      <c r="H3152" t="s">
        <v>22452</v>
      </c>
      <c r="I3152" t="s">
        <v>3529</v>
      </c>
      <c r="J3152" t="s">
        <v>24732</v>
      </c>
      <c r="K3152" t="s">
        <v>29341</v>
      </c>
      <c r="M3152" t="s">
        <v>30757</v>
      </c>
      <c r="N3152" t="s">
        <v>32524</v>
      </c>
      <c r="O3152" t="s">
        <v>32525</v>
      </c>
      <c r="P3152">
        <v>0</v>
      </c>
      <c r="Q3152">
        <v>1</v>
      </c>
      <c r="R3152" t="s">
        <v>32527</v>
      </c>
      <c r="S3152" t="s">
        <v>32552</v>
      </c>
      <c r="T3152" t="s">
        <v>33162</v>
      </c>
      <c r="U3152" t="s">
        <v>36288</v>
      </c>
      <c r="W3152" t="s">
        <v>30757</v>
      </c>
      <c r="X3152" t="s">
        <v>32528</v>
      </c>
    </row>
    <row r="3153" spans="1:24">
      <c r="A3153">
        <f>HYPERLINK("https://www.philgeps.gov.ph/GEPSNONPILOT/Tender/SplashBidNoticeAbstractUI.aspx?menuIndex=3&amp;refID=7044187&amp;Result=3","7044187")</f>
        <v>0</v>
      </c>
      <c r="B3153" t="s">
        <v>713</v>
      </c>
      <c r="C3153" t="s">
        <v>5688</v>
      </c>
      <c r="D3153" t="s">
        <v>13007</v>
      </c>
      <c r="E3153" t="s">
        <v>15947</v>
      </c>
      <c r="F3153" t="s">
        <v>22436</v>
      </c>
      <c r="G3153" t="s">
        <v>22443</v>
      </c>
      <c r="H3153" t="s">
        <v>22454</v>
      </c>
      <c r="I3153" t="s">
        <v>7738</v>
      </c>
      <c r="J3153" t="s">
        <v>24733</v>
      </c>
      <c r="K3153" t="s">
        <v>29341</v>
      </c>
      <c r="M3153" t="s">
        <v>30310</v>
      </c>
      <c r="N3153" t="s">
        <v>32524</v>
      </c>
      <c r="O3153" t="s">
        <v>32525</v>
      </c>
      <c r="P3153">
        <v>0</v>
      </c>
      <c r="Q3153">
        <v>0</v>
      </c>
      <c r="R3153" t="s">
        <v>32527</v>
      </c>
      <c r="S3153" t="s">
        <v>32552</v>
      </c>
      <c r="T3153" t="s">
        <v>33154</v>
      </c>
      <c r="U3153" t="s">
        <v>36294</v>
      </c>
      <c r="W3153" t="s">
        <v>30310</v>
      </c>
      <c r="X3153" t="s">
        <v>32528</v>
      </c>
    </row>
    <row r="3154" spans="1:24">
      <c r="A3154">
        <f>HYPERLINK("https://www.philgeps.gov.ph/GEPSNONPILOT/Tender/SplashBidNoticeAbstractUI.aspx?menuIndex=3&amp;refID=7044176&amp;Result=3","7044176")</f>
        <v>0</v>
      </c>
      <c r="B3154" t="s">
        <v>1114</v>
      </c>
      <c r="C3154" t="s">
        <v>5689</v>
      </c>
      <c r="D3154" t="s">
        <v>13073</v>
      </c>
      <c r="E3154" t="s">
        <v>15948</v>
      </c>
      <c r="F3154" t="s">
        <v>22436</v>
      </c>
      <c r="G3154" t="s">
        <v>22444</v>
      </c>
      <c r="H3154" t="s">
        <v>22454</v>
      </c>
      <c r="I3154" t="s">
        <v>7738</v>
      </c>
      <c r="J3154" t="s">
        <v>24734</v>
      </c>
      <c r="K3154" t="s">
        <v>29378</v>
      </c>
      <c r="L3154" t="s">
        <v>1114</v>
      </c>
      <c r="M3154" t="s">
        <v>30752</v>
      </c>
      <c r="N3154" t="s">
        <v>32524</v>
      </c>
      <c r="O3154" t="s">
        <v>32525</v>
      </c>
      <c r="P3154">
        <v>0</v>
      </c>
      <c r="Q3154">
        <v>0</v>
      </c>
      <c r="R3154" t="s">
        <v>32527</v>
      </c>
      <c r="S3154" t="s">
        <v>32552</v>
      </c>
      <c r="T3154" t="s">
        <v>33164</v>
      </c>
      <c r="U3154" t="s">
        <v>36295</v>
      </c>
      <c r="V3154" t="s">
        <v>42719</v>
      </c>
      <c r="W3154" t="s">
        <v>30752</v>
      </c>
      <c r="X3154" t="s">
        <v>32528</v>
      </c>
    </row>
    <row r="3155" spans="1:24">
      <c r="A3155">
        <f>HYPERLINK("https://www.philgeps.gov.ph/GEPSNONPILOT/Tender/SplashBidNoticeAbstractUI.aspx?menuIndex=3&amp;refID=7044192&amp;Result=3","7044192")</f>
        <v>0</v>
      </c>
      <c r="B3155" t="s">
        <v>1119</v>
      </c>
      <c r="C3155" t="s">
        <v>5690</v>
      </c>
      <c r="D3155" t="s">
        <v>13031</v>
      </c>
      <c r="E3155" t="s">
        <v>15949</v>
      </c>
      <c r="F3155" t="s">
        <v>22436</v>
      </c>
      <c r="G3155" t="s">
        <v>22446</v>
      </c>
      <c r="H3155" t="s">
        <v>22452</v>
      </c>
      <c r="I3155" t="s">
        <v>3529</v>
      </c>
      <c r="J3155" t="s">
        <v>24735</v>
      </c>
      <c r="K3155" t="s">
        <v>29341</v>
      </c>
      <c r="M3155" t="s">
        <v>30757</v>
      </c>
      <c r="N3155" t="s">
        <v>32524</v>
      </c>
      <c r="O3155" t="s">
        <v>32525</v>
      </c>
      <c r="P3155">
        <v>0</v>
      </c>
      <c r="Q3155">
        <v>1</v>
      </c>
      <c r="R3155" t="s">
        <v>32527</v>
      </c>
      <c r="S3155" t="s">
        <v>32552</v>
      </c>
      <c r="T3155" t="s">
        <v>33162</v>
      </c>
      <c r="U3155" t="s">
        <v>36288</v>
      </c>
      <c r="W3155" t="s">
        <v>30757</v>
      </c>
      <c r="X3155" t="s">
        <v>32528</v>
      </c>
    </row>
    <row r="3156" spans="1:24">
      <c r="A3156">
        <f>HYPERLINK("https://www.philgeps.gov.ph/GEPSNONPILOT/Tender/SplashBidNoticeAbstractUI.aspx?menuIndex=3&amp;refID=7044193&amp;Result=3","7044193")</f>
        <v>0</v>
      </c>
      <c r="B3156" t="s">
        <v>1064</v>
      </c>
      <c r="C3156" t="s">
        <v>5691</v>
      </c>
      <c r="D3156" t="s">
        <v>13045</v>
      </c>
      <c r="E3156" t="s">
        <v>15950</v>
      </c>
      <c r="F3156" t="s">
        <v>22436</v>
      </c>
      <c r="G3156" t="s">
        <v>22443</v>
      </c>
      <c r="H3156" t="s">
        <v>22452</v>
      </c>
      <c r="I3156" t="s">
        <v>22482</v>
      </c>
      <c r="J3156" t="s">
        <v>24736</v>
      </c>
      <c r="K3156" t="s">
        <v>29331</v>
      </c>
      <c r="M3156" t="s">
        <v>30697</v>
      </c>
      <c r="N3156" t="s">
        <v>32524</v>
      </c>
      <c r="O3156" t="s">
        <v>32525</v>
      </c>
      <c r="P3156">
        <v>0</v>
      </c>
      <c r="Q3156">
        <v>4</v>
      </c>
      <c r="R3156" t="s">
        <v>32527</v>
      </c>
      <c r="S3156" t="s">
        <v>32552</v>
      </c>
      <c r="T3156" t="s">
        <v>33338</v>
      </c>
      <c r="U3156" t="s">
        <v>36296</v>
      </c>
      <c r="W3156" t="s">
        <v>30697</v>
      </c>
      <c r="X3156" t="s">
        <v>32528</v>
      </c>
    </row>
    <row r="3157" spans="1:24">
      <c r="A3157">
        <f>HYPERLINK("https://www.philgeps.gov.ph/GEPSNONPILOT/Tender/SplashBidNoticeAbstractUI.aspx?menuIndex=3&amp;refID=7044177&amp;Result=3","7044177")</f>
        <v>0</v>
      </c>
      <c r="B3157" t="s">
        <v>1064</v>
      </c>
      <c r="C3157" t="s">
        <v>5692</v>
      </c>
      <c r="D3157" t="s">
        <v>13045</v>
      </c>
      <c r="E3157" t="s">
        <v>15951</v>
      </c>
      <c r="F3157" t="s">
        <v>22436</v>
      </c>
      <c r="G3157" t="s">
        <v>22443</v>
      </c>
      <c r="H3157" t="s">
        <v>22452</v>
      </c>
      <c r="I3157" t="s">
        <v>22463</v>
      </c>
      <c r="J3157" t="s">
        <v>24737</v>
      </c>
      <c r="K3157" t="s">
        <v>29331</v>
      </c>
      <c r="M3157" t="s">
        <v>30697</v>
      </c>
      <c r="N3157" t="s">
        <v>32524</v>
      </c>
      <c r="O3157" t="s">
        <v>32525</v>
      </c>
      <c r="P3157">
        <v>0</v>
      </c>
      <c r="Q3157">
        <v>2</v>
      </c>
      <c r="R3157" t="s">
        <v>32527</v>
      </c>
      <c r="S3157" t="s">
        <v>32552</v>
      </c>
      <c r="T3157" t="s">
        <v>33338</v>
      </c>
      <c r="U3157" t="s">
        <v>36297</v>
      </c>
      <c r="W3157" t="s">
        <v>30697</v>
      </c>
      <c r="X3157" t="s">
        <v>32528</v>
      </c>
    </row>
    <row r="3158" spans="1:24">
      <c r="A3158">
        <f>HYPERLINK("https://www.philgeps.gov.ph/GEPSNONPILOT/Tender/SplashBidNoticeAbstractUI.aspx?menuIndex=3&amp;refID=7044191&amp;Result=3","7044191")</f>
        <v>0</v>
      </c>
      <c r="B3158" t="s">
        <v>1114</v>
      </c>
      <c r="C3158" t="s">
        <v>5693</v>
      </c>
      <c r="D3158" t="s">
        <v>13073</v>
      </c>
      <c r="E3158" t="s">
        <v>15952</v>
      </c>
      <c r="F3158" t="s">
        <v>22436</v>
      </c>
      <c r="G3158" t="s">
        <v>22444</v>
      </c>
      <c r="H3158" t="s">
        <v>22454</v>
      </c>
      <c r="I3158" t="s">
        <v>7738</v>
      </c>
      <c r="J3158" t="s">
        <v>24738</v>
      </c>
      <c r="K3158" t="s">
        <v>29329</v>
      </c>
      <c r="L3158" t="s">
        <v>1114</v>
      </c>
      <c r="M3158" t="s">
        <v>30752</v>
      </c>
      <c r="N3158" t="s">
        <v>32524</v>
      </c>
      <c r="O3158" t="s">
        <v>32525</v>
      </c>
      <c r="P3158">
        <v>0</v>
      </c>
      <c r="Q3158">
        <v>0</v>
      </c>
      <c r="R3158" t="s">
        <v>32527</v>
      </c>
      <c r="S3158" t="s">
        <v>32552</v>
      </c>
      <c r="T3158" t="s">
        <v>33164</v>
      </c>
      <c r="U3158" t="s">
        <v>36298</v>
      </c>
      <c r="V3158" t="s">
        <v>42719</v>
      </c>
      <c r="W3158" t="s">
        <v>30752</v>
      </c>
      <c r="X3158" t="s">
        <v>32528</v>
      </c>
    </row>
    <row r="3159" spans="1:24">
      <c r="A3159">
        <f>HYPERLINK("https://www.philgeps.gov.ph/GEPSNONPILOT/Tender/SplashBidNoticeAbstractUI.aspx?menuIndex=3&amp;refID=7044179&amp;Result=3","7044179")</f>
        <v>0</v>
      </c>
      <c r="B3159" t="s">
        <v>1119</v>
      </c>
      <c r="C3159" t="s">
        <v>5694</v>
      </c>
      <c r="D3159" t="s">
        <v>13031</v>
      </c>
      <c r="E3159" t="s">
        <v>15953</v>
      </c>
      <c r="F3159" t="s">
        <v>22436</v>
      </c>
      <c r="G3159" t="s">
        <v>22443</v>
      </c>
      <c r="H3159" t="s">
        <v>22452</v>
      </c>
      <c r="I3159" t="s">
        <v>3529</v>
      </c>
      <c r="J3159" t="s">
        <v>24739</v>
      </c>
      <c r="K3159" t="s">
        <v>29341</v>
      </c>
      <c r="M3159" t="s">
        <v>30757</v>
      </c>
      <c r="N3159" t="s">
        <v>32524</v>
      </c>
      <c r="O3159" t="s">
        <v>32525</v>
      </c>
      <c r="P3159">
        <v>0</v>
      </c>
      <c r="Q3159">
        <v>0</v>
      </c>
      <c r="R3159" t="s">
        <v>32527</v>
      </c>
      <c r="S3159" t="s">
        <v>32552</v>
      </c>
      <c r="T3159" t="s">
        <v>33162</v>
      </c>
      <c r="U3159" t="s">
        <v>36288</v>
      </c>
      <c r="W3159" t="s">
        <v>30757</v>
      </c>
      <c r="X3159" t="s">
        <v>32528</v>
      </c>
    </row>
    <row r="3160" spans="1:24">
      <c r="A3160">
        <f>HYPERLINK("https://www.philgeps.gov.ph/GEPSNONPILOT/Tender/SplashBidNoticeAbstractUI.aspx?menuIndex=3&amp;refID=7044184&amp;Result=3","7044184")</f>
        <v>0</v>
      </c>
      <c r="B3160" t="s">
        <v>1120</v>
      </c>
      <c r="C3160" t="s">
        <v>5695</v>
      </c>
      <c r="D3160" t="s">
        <v>12988</v>
      </c>
      <c r="E3160" t="s">
        <v>15954</v>
      </c>
      <c r="F3160" t="s">
        <v>22436</v>
      </c>
      <c r="G3160" t="s">
        <v>22444</v>
      </c>
      <c r="H3160" t="s">
        <v>22452</v>
      </c>
      <c r="I3160" t="s">
        <v>22467</v>
      </c>
      <c r="J3160" t="s">
        <v>24740</v>
      </c>
      <c r="K3160" t="s">
        <v>29443</v>
      </c>
      <c r="M3160" t="s">
        <v>30758</v>
      </c>
      <c r="N3160" t="s">
        <v>32524</v>
      </c>
      <c r="O3160" t="s">
        <v>32525</v>
      </c>
      <c r="P3160">
        <v>0</v>
      </c>
      <c r="Q3160">
        <v>0</v>
      </c>
      <c r="R3160" t="s">
        <v>32527</v>
      </c>
      <c r="S3160" t="s">
        <v>32552</v>
      </c>
      <c r="T3160" t="s">
        <v>33157</v>
      </c>
      <c r="U3160" t="s">
        <v>36299</v>
      </c>
      <c r="V3160" t="s">
        <v>42720</v>
      </c>
      <c r="W3160" t="s">
        <v>30758</v>
      </c>
      <c r="X3160" t="s">
        <v>32528</v>
      </c>
    </row>
    <row r="3161" spans="1:24">
      <c r="A3161">
        <f>HYPERLINK("https://www.philgeps.gov.ph/GEPSNONPILOT/Tender/SplashBidNoticeAbstractUI.aspx?menuIndex=3&amp;refID=7044199&amp;Result=3","7044199")</f>
        <v>0</v>
      </c>
      <c r="B3161" t="s">
        <v>1121</v>
      </c>
      <c r="C3161" t="s">
        <v>5696</v>
      </c>
      <c r="D3161" t="s">
        <v>13038</v>
      </c>
      <c r="E3161" t="s">
        <v>15955</v>
      </c>
      <c r="F3161" t="s">
        <v>22436</v>
      </c>
      <c r="G3161" t="s">
        <v>22443</v>
      </c>
      <c r="H3161" t="s">
        <v>22452</v>
      </c>
      <c r="I3161" t="s">
        <v>5194</v>
      </c>
      <c r="J3161" t="s">
        <v>24741</v>
      </c>
      <c r="K3161" t="s">
        <v>29335</v>
      </c>
      <c r="M3161" t="s">
        <v>30759</v>
      </c>
      <c r="N3161" t="s">
        <v>32524</v>
      </c>
      <c r="O3161" t="s">
        <v>32525</v>
      </c>
      <c r="P3161">
        <v>0</v>
      </c>
      <c r="Q3161">
        <v>1</v>
      </c>
      <c r="R3161" t="s">
        <v>32527</v>
      </c>
      <c r="S3161" t="s">
        <v>32552</v>
      </c>
      <c r="T3161" t="s">
        <v>33310</v>
      </c>
      <c r="U3161" t="s">
        <v>36300</v>
      </c>
      <c r="W3161" t="s">
        <v>30759</v>
      </c>
      <c r="X3161" t="s">
        <v>32528</v>
      </c>
    </row>
    <row r="3162" spans="1:24">
      <c r="A3162">
        <f>HYPERLINK("https://www.philgeps.gov.ph/GEPSNONPILOT/Tender/SplashBidNoticeAbstractUI.aspx?menuIndex=3&amp;refID=7044197&amp;Result=3","7044197")</f>
        <v>0</v>
      </c>
      <c r="B3162" t="s">
        <v>1114</v>
      </c>
      <c r="C3162" t="s">
        <v>5697</v>
      </c>
      <c r="D3162" t="s">
        <v>13073</v>
      </c>
      <c r="E3162" t="s">
        <v>15956</v>
      </c>
      <c r="F3162" t="s">
        <v>22436</v>
      </c>
      <c r="G3162" t="s">
        <v>22444</v>
      </c>
      <c r="H3162" t="s">
        <v>22454</v>
      </c>
      <c r="I3162" t="s">
        <v>7738</v>
      </c>
      <c r="J3162" t="s">
        <v>24742</v>
      </c>
      <c r="K3162" t="s">
        <v>29444</v>
      </c>
      <c r="L3162" t="s">
        <v>1114</v>
      </c>
      <c r="M3162" t="s">
        <v>30752</v>
      </c>
      <c r="N3162" t="s">
        <v>32524</v>
      </c>
      <c r="O3162" t="s">
        <v>32525</v>
      </c>
      <c r="P3162">
        <v>0</v>
      </c>
      <c r="Q3162">
        <v>0</v>
      </c>
      <c r="R3162" t="s">
        <v>32527</v>
      </c>
      <c r="S3162" t="s">
        <v>32552</v>
      </c>
      <c r="T3162" t="s">
        <v>33164</v>
      </c>
      <c r="U3162" t="s">
        <v>36301</v>
      </c>
      <c r="V3162" t="s">
        <v>42719</v>
      </c>
      <c r="W3162" t="s">
        <v>30752</v>
      </c>
      <c r="X3162" t="s">
        <v>32528</v>
      </c>
    </row>
    <row r="3163" spans="1:24">
      <c r="A3163">
        <f>HYPERLINK("https://www.philgeps.gov.ph/GEPSNONPILOT/Tender/SplashBidNoticeAbstractUI.aspx?menuIndex=3&amp;refID=7044203&amp;Result=3","7044203")</f>
        <v>0</v>
      </c>
      <c r="B3163" t="s">
        <v>1064</v>
      </c>
      <c r="C3163" t="s">
        <v>5698</v>
      </c>
      <c r="D3163" t="s">
        <v>13045</v>
      </c>
      <c r="E3163" t="s">
        <v>15957</v>
      </c>
      <c r="F3163" t="s">
        <v>22436</v>
      </c>
      <c r="G3163" t="s">
        <v>22443</v>
      </c>
      <c r="H3163" t="s">
        <v>22452</v>
      </c>
      <c r="I3163" t="s">
        <v>22468</v>
      </c>
      <c r="J3163" t="s">
        <v>22588</v>
      </c>
      <c r="K3163" t="s">
        <v>29331</v>
      </c>
      <c r="M3163" t="s">
        <v>30697</v>
      </c>
      <c r="N3163" t="s">
        <v>32524</v>
      </c>
      <c r="O3163" t="s">
        <v>32525</v>
      </c>
      <c r="P3163">
        <v>0</v>
      </c>
      <c r="Q3163">
        <v>1</v>
      </c>
      <c r="R3163" t="s">
        <v>32527</v>
      </c>
      <c r="S3163" t="s">
        <v>32552</v>
      </c>
      <c r="T3163" t="s">
        <v>33338</v>
      </c>
      <c r="U3163" t="s">
        <v>36302</v>
      </c>
      <c r="W3163" t="s">
        <v>30697</v>
      </c>
      <c r="X3163" t="s">
        <v>32528</v>
      </c>
    </row>
    <row r="3164" spans="1:24">
      <c r="A3164">
        <f>HYPERLINK("https://www.philgeps.gov.ph/GEPSNONPILOT/Tender/SplashBidNoticeAbstractUI.aspx?menuIndex=3&amp;refID=7044205&amp;Result=3","7044205")</f>
        <v>0</v>
      </c>
      <c r="B3164" t="s">
        <v>1122</v>
      </c>
      <c r="C3164" t="s">
        <v>5699</v>
      </c>
      <c r="D3164" t="s">
        <v>12988</v>
      </c>
      <c r="E3164" t="s">
        <v>15958</v>
      </c>
      <c r="F3164" t="s">
        <v>22436</v>
      </c>
      <c r="G3164" t="s">
        <v>22443</v>
      </c>
      <c r="H3164" t="s">
        <v>22452</v>
      </c>
      <c r="I3164" t="s">
        <v>22502</v>
      </c>
      <c r="J3164" t="s">
        <v>23653</v>
      </c>
      <c r="K3164" t="s">
        <v>29329</v>
      </c>
      <c r="M3164" t="s">
        <v>30760</v>
      </c>
      <c r="N3164" t="s">
        <v>32524</v>
      </c>
      <c r="O3164" t="s">
        <v>32525</v>
      </c>
      <c r="P3164">
        <v>0</v>
      </c>
      <c r="Q3164">
        <v>4</v>
      </c>
      <c r="R3164" t="s">
        <v>32527</v>
      </c>
      <c r="S3164" t="s">
        <v>32552</v>
      </c>
      <c r="T3164" t="s">
        <v>33293</v>
      </c>
      <c r="U3164" t="s">
        <v>36303</v>
      </c>
      <c r="W3164" t="s">
        <v>30760</v>
      </c>
      <c r="X3164" t="s">
        <v>32528</v>
      </c>
    </row>
    <row r="3165" spans="1:24">
      <c r="A3165">
        <f>HYPERLINK("https://www.philgeps.gov.ph/GEPSNONPILOT/Tender/SplashBidNoticeAbstractUI.aspx?menuIndex=3&amp;refID=7044196&amp;Result=3","7044196")</f>
        <v>0</v>
      </c>
      <c r="B3165" t="s">
        <v>1064</v>
      </c>
      <c r="C3165" t="s">
        <v>5700</v>
      </c>
      <c r="D3165" t="s">
        <v>13045</v>
      </c>
      <c r="E3165" t="s">
        <v>15959</v>
      </c>
      <c r="F3165" t="s">
        <v>22436</v>
      </c>
      <c r="G3165" t="s">
        <v>22443</v>
      </c>
      <c r="H3165" t="s">
        <v>22452</v>
      </c>
      <c r="I3165" t="s">
        <v>12358</v>
      </c>
      <c r="J3165" t="s">
        <v>23977</v>
      </c>
      <c r="K3165" t="s">
        <v>29331</v>
      </c>
      <c r="M3165" t="s">
        <v>30697</v>
      </c>
      <c r="N3165" t="s">
        <v>32524</v>
      </c>
      <c r="O3165" t="s">
        <v>32525</v>
      </c>
      <c r="P3165">
        <v>0</v>
      </c>
      <c r="Q3165">
        <v>2</v>
      </c>
      <c r="R3165" t="s">
        <v>32527</v>
      </c>
      <c r="S3165" t="s">
        <v>32552</v>
      </c>
      <c r="T3165" t="s">
        <v>33338</v>
      </c>
      <c r="U3165" t="s">
        <v>36304</v>
      </c>
      <c r="W3165" t="s">
        <v>30697</v>
      </c>
      <c r="X3165" t="s">
        <v>32528</v>
      </c>
    </row>
    <row r="3166" spans="1:24">
      <c r="A3166">
        <f>HYPERLINK("https://www.philgeps.gov.ph/GEPSNONPILOT/Tender/SplashBidNoticeAbstractUI.aspx?menuIndex=3&amp;refID=7044204&amp;Result=3","7044204")</f>
        <v>0</v>
      </c>
      <c r="B3166" t="s">
        <v>1064</v>
      </c>
      <c r="C3166" t="s">
        <v>5701</v>
      </c>
      <c r="D3166" t="s">
        <v>13045</v>
      </c>
      <c r="E3166" t="s">
        <v>15960</v>
      </c>
      <c r="F3166" t="s">
        <v>22436</v>
      </c>
      <c r="G3166" t="s">
        <v>22443</v>
      </c>
      <c r="H3166" t="s">
        <v>22452</v>
      </c>
      <c r="I3166" t="s">
        <v>22471</v>
      </c>
      <c r="J3166" t="s">
        <v>24743</v>
      </c>
      <c r="K3166" t="s">
        <v>29331</v>
      </c>
      <c r="M3166" t="s">
        <v>30697</v>
      </c>
      <c r="N3166" t="s">
        <v>32524</v>
      </c>
      <c r="O3166" t="s">
        <v>32525</v>
      </c>
      <c r="P3166">
        <v>0</v>
      </c>
      <c r="Q3166">
        <v>0</v>
      </c>
      <c r="R3166" t="s">
        <v>32527</v>
      </c>
      <c r="S3166" t="s">
        <v>32552</v>
      </c>
      <c r="T3166" t="s">
        <v>33338</v>
      </c>
      <c r="U3166" t="s">
        <v>36305</v>
      </c>
      <c r="W3166" t="s">
        <v>30697</v>
      </c>
      <c r="X3166" t="s">
        <v>32528</v>
      </c>
    </row>
    <row r="3167" spans="1:24">
      <c r="A3167">
        <f>HYPERLINK("https://www.philgeps.gov.ph/GEPSNONPILOT/Tender/SplashBidNoticeAbstractUI.aspx?menuIndex=3&amp;refID=7044198&amp;Result=3","7044198")</f>
        <v>0</v>
      </c>
      <c r="B3167" t="s">
        <v>1064</v>
      </c>
      <c r="C3167" t="s">
        <v>5702</v>
      </c>
      <c r="D3167" t="s">
        <v>13045</v>
      </c>
      <c r="E3167" t="s">
        <v>15961</v>
      </c>
      <c r="F3167" t="s">
        <v>22436</v>
      </c>
      <c r="G3167" t="s">
        <v>22443</v>
      </c>
      <c r="H3167" t="s">
        <v>22452</v>
      </c>
      <c r="I3167" t="s">
        <v>22492</v>
      </c>
      <c r="J3167" t="s">
        <v>22588</v>
      </c>
      <c r="K3167" t="s">
        <v>29331</v>
      </c>
      <c r="M3167" t="s">
        <v>30697</v>
      </c>
      <c r="N3167" t="s">
        <v>32524</v>
      </c>
      <c r="O3167" t="s">
        <v>32525</v>
      </c>
      <c r="P3167">
        <v>0</v>
      </c>
      <c r="Q3167">
        <v>0</v>
      </c>
      <c r="R3167" t="s">
        <v>32527</v>
      </c>
      <c r="S3167" t="s">
        <v>32552</v>
      </c>
      <c r="T3167" t="s">
        <v>33338</v>
      </c>
      <c r="U3167" t="s">
        <v>36306</v>
      </c>
      <c r="W3167" t="s">
        <v>30697</v>
      </c>
      <c r="X3167" t="s">
        <v>32528</v>
      </c>
    </row>
    <row r="3168" spans="1:24">
      <c r="A3168">
        <f>HYPERLINK("https://www.philgeps.gov.ph/GEPSNONPILOT/Tender/SplashBidNoticeAbstractUI.aspx?menuIndex=3&amp;refID=7044195&amp;Result=3","7044195")</f>
        <v>0</v>
      </c>
      <c r="B3168" t="s">
        <v>1119</v>
      </c>
      <c r="C3168" t="s">
        <v>5703</v>
      </c>
      <c r="D3168" t="s">
        <v>13031</v>
      </c>
      <c r="E3168" t="s">
        <v>15962</v>
      </c>
      <c r="F3168" t="s">
        <v>22436</v>
      </c>
      <c r="G3168" t="s">
        <v>22446</v>
      </c>
      <c r="H3168" t="s">
        <v>22452</v>
      </c>
      <c r="I3168" t="s">
        <v>3529</v>
      </c>
      <c r="J3168" t="s">
        <v>24744</v>
      </c>
      <c r="K3168" t="s">
        <v>29341</v>
      </c>
      <c r="M3168" t="s">
        <v>30757</v>
      </c>
      <c r="N3168" t="s">
        <v>32524</v>
      </c>
      <c r="O3168" t="s">
        <v>32525</v>
      </c>
      <c r="P3168">
        <v>0</v>
      </c>
      <c r="Q3168">
        <v>1</v>
      </c>
      <c r="R3168" t="s">
        <v>32527</v>
      </c>
      <c r="S3168" t="s">
        <v>32552</v>
      </c>
      <c r="T3168" t="s">
        <v>33162</v>
      </c>
      <c r="U3168" t="s">
        <v>36288</v>
      </c>
      <c r="W3168" t="s">
        <v>30757</v>
      </c>
      <c r="X3168" t="s">
        <v>32528</v>
      </c>
    </row>
    <row r="3169" spans="1:24">
      <c r="A3169">
        <f>HYPERLINK("https://www.philgeps.gov.ph/GEPSNONPILOT/Tender/SplashBidNoticeAbstractUI.aspx?menuIndex=3&amp;refID=7044201&amp;Result=3","7044201")</f>
        <v>0</v>
      </c>
      <c r="B3169" t="s">
        <v>1114</v>
      </c>
      <c r="C3169" t="s">
        <v>5704</v>
      </c>
      <c r="D3169" t="s">
        <v>13073</v>
      </c>
      <c r="E3169" t="s">
        <v>15963</v>
      </c>
      <c r="F3169" t="s">
        <v>22436</v>
      </c>
      <c r="G3169" t="s">
        <v>22444</v>
      </c>
      <c r="H3169" t="s">
        <v>22452</v>
      </c>
      <c r="I3169" t="s">
        <v>5194</v>
      </c>
      <c r="J3169" t="s">
        <v>24745</v>
      </c>
      <c r="K3169" t="s">
        <v>29352</v>
      </c>
      <c r="L3169" t="s">
        <v>1114</v>
      </c>
      <c r="M3169" t="s">
        <v>30752</v>
      </c>
      <c r="N3169" t="s">
        <v>32524</v>
      </c>
      <c r="O3169" t="s">
        <v>32525</v>
      </c>
      <c r="P3169">
        <v>0</v>
      </c>
      <c r="Q3169">
        <v>3</v>
      </c>
      <c r="R3169" t="s">
        <v>32527</v>
      </c>
      <c r="S3169" t="s">
        <v>32552</v>
      </c>
      <c r="T3169" t="s">
        <v>33164</v>
      </c>
      <c r="U3169" t="s">
        <v>36307</v>
      </c>
      <c r="V3169" t="s">
        <v>42719</v>
      </c>
      <c r="W3169" t="s">
        <v>30752</v>
      </c>
      <c r="X3169" t="s">
        <v>32528</v>
      </c>
    </row>
    <row r="3170" spans="1:24">
      <c r="A3170">
        <f>HYPERLINK("https://www.philgeps.gov.ph/GEPSNONPILOT/Tender/SplashBidNoticeAbstractUI.aspx?menuIndex=3&amp;refID=7044211&amp;Result=3","7044211")</f>
        <v>0</v>
      </c>
      <c r="B3170" t="s">
        <v>1123</v>
      </c>
      <c r="C3170" t="s">
        <v>5705</v>
      </c>
      <c r="D3170" t="s">
        <v>13031</v>
      </c>
      <c r="E3170" t="s">
        <v>15964</v>
      </c>
      <c r="F3170" t="s">
        <v>22436</v>
      </c>
      <c r="G3170" t="s">
        <v>22443</v>
      </c>
      <c r="H3170" t="s">
        <v>22452</v>
      </c>
      <c r="I3170" t="s">
        <v>22502</v>
      </c>
      <c r="J3170" t="s">
        <v>22818</v>
      </c>
      <c r="K3170" t="s">
        <v>29333</v>
      </c>
      <c r="M3170" t="s">
        <v>30761</v>
      </c>
      <c r="N3170" t="s">
        <v>32524</v>
      </c>
      <c r="O3170" t="s">
        <v>32525</v>
      </c>
      <c r="P3170">
        <v>0</v>
      </c>
      <c r="Q3170">
        <v>9</v>
      </c>
      <c r="R3170" t="s">
        <v>32527</v>
      </c>
      <c r="S3170" t="s">
        <v>32552</v>
      </c>
      <c r="T3170" t="s">
        <v>33209</v>
      </c>
      <c r="U3170" t="s">
        <v>36308</v>
      </c>
      <c r="W3170" t="s">
        <v>30761</v>
      </c>
      <c r="X3170" t="s">
        <v>32528</v>
      </c>
    </row>
    <row r="3171" spans="1:24">
      <c r="A3171">
        <f>HYPERLINK("https://www.philgeps.gov.ph/GEPSNONPILOT/Tender/SplashBidNoticeAbstractUI.aspx?menuIndex=3&amp;refID=7044180&amp;Result=3","7044180")</f>
        <v>0</v>
      </c>
      <c r="B3171" t="s">
        <v>1064</v>
      </c>
      <c r="C3171" t="s">
        <v>5706</v>
      </c>
      <c r="D3171" t="s">
        <v>13045</v>
      </c>
      <c r="E3171" t="s">
        <v>15965</v>
      </c>
      <c r="F3171" t="s">
        <v>22436</v>
      </c>
      <c r="G3171" t="s">
        <v>22443</v>
      </c>
      <c r="H3171" t="s">
        <v>22452</v>
      </c>
      <c r="I3171" t="s">
        <v>22471</v>
      </c>
      <c r="J3171" t="s">
        <v>24746</v>
      </c>
      <c r="K3171" t="s">
        <v>29331</v>
      </c>
      <c r="M3171" t="s">
        <v>30697</v>
      </c>
      <c r="N3171" t="s">
        <v>32524</v>
      </c>
      <c r="O3171" t="s">
        <v>32525</v>
      </c>
      <c r="P3171">
        <v>0</v>
      </c>
      <c r="Q3171">
        <v>0</v>
      </c>
      <c r="R3171" t="s">
        <v>32527</v>
      </c>
      <c r="S3171" t="s">
        <v>32552</v>
      </c>
      <c r="T3171" t="s">
        <v>33338</v>
      </c>
      <c r="U3171" t="s">
        <v>36309</v>
      </c>
      <c r="W3171" t="s">
        <v>30697</v>
      </c>
      <c r="X3171" t="s">
        <v>32528</v>
      </c>
    </row>
    <row r="3172" spans="1:24">
      <c r="A3172">
        <f>HYPERLINK("https://www.philgeps.gov.ph/GEPSNONPILOT/Tender/SplashBidNoticeAbstractUI.aspx?menuIndex=3&amp;refID=7044207&amp;Result=3","7044207")</f>
        <v>0</v>
      </c>
      <c r="B3172" t="s">
        <v>1064</v>
      </c>
      <c r="C3172" t="s">
        <v>5707</v>
      </c>
      <c r="D3172" t="s">
        <v>13045</v>
      </c>
      <c r="E3172" t="s">
        <v>15966</v>
      </c>
      <c r="F3172" t="s">
        <v>22436</v>
      </c>
      <c r="G3172" t="s">
        <v>22443</v>
      </c>
      <c r="H3172" t="s">
        <v>22452</v>
      </c>
      <c r="I3172" t="s">
        <v>22463</v>
      </c>
      <c r="J3172" t="s">
        <v>23689</v>
      </c>
      <c r="K3172" t="s">
        <v>29331</v>
      </c>
      <c r="M3172" t="s">
        <v>30697</v>
      </c>
      <c r="N3172" t="s">
        <v>32524</v>
      </c>
      <c r="O3172" t="s">
        <v>32525</v>
      </c>
      <c r="P3172">
        <v>0</v>
      </c>
      <c r="Q3172">
        <v>7</v>
      </c>
      <c r="R3172" t="s">
        <v>32527</v>
      </c>
      <c r="S3172" t="s">
        <v>32552</v>
      </c>
      <c r="T3172" t="s">
        <v>33338</v>
      </c>
      <c r="U3172" t="s">
        <v>36310</v>
      </c>
      <c r="W3172" t="s">
        <v>30697</v>
      </c>
      <c r="X3172" t="s">
        <v>32528</v>
      </c>
    </row>
    <row r="3173" spans="1:24">
      <c r="A3173">
        <f>HYPERLINK("https://www.philgeps.gov.ph/GEPSNONPILOT/Tender/SplashBidNoticeAbstractUI.aspx?menuIndex=3&amp;refID=7044212&amp;Result=3","7044212")</f>
        <v>0</v>
      </c>
      <c r="B3173" t="s">
        <v>1124</v>
      </c>
      <c r="C3173" t="s">
        <v>5708</v>
      </c>
      <c r="D3173" t="s">
        <v>12988</v>
      </c>
      <c r="E3173" t="s">
        <v>15967</v>
      </c>
      <c r="F3173" t="s">
        <v>22436</v>
      </c>
      <c r="G3173" t="s">
        <v>22444</v>
      </c>
      <c r="H3173" t="s">
        <v>22452</v>
      </c>
      <c r="I3173" t="s">
        <v>2981</v>
      </c>
      <c r="J3173" t="s">
        <v>24747</v>
      </c>
      <c r="K3173" t="s">
        <v>29357</v>
      </c>
      <c r="M3173" t="s">
        <v>30762</v>
      </c>
      <c r="N3173" t="s">
        <v>32524</v>
      </c>
      <c r="O3173" t="s">
        <v>32525</v>
      </c>
      <c r="P3173">
        <v>0</v>
      </c>
      <c r="Q3173">
        <v>3</v>
      </c>
      <c r="R3173" t="s">
        <v>32527</v>
      </c>
      <c r="S3173" t="s">
        <v>32552</v>
      </c>
      <c r="T3173" t="s">
        <v>33181</v>
      </c>
      <c r="U3173" t="s">
        <v>36311</v>
      </c>
      <c r="V3173" t="s">
        <v>42721</v>
      </c>
      <c r="W3173" t="s">
        <v>30762</v>
      </c>
      <c r="X3173" t="s">
        <v>32528</v>
      </c>
    </row>
    <row r="3174" spans="1:24">
      <c r="A3174">
        <f>HYPERLINK("https://www.philgeps.gov.ph/GEPSNONPILOT/Tender/SplashBidNoticeAbstractUI.aspx?menuIndex=3&amp;refID=7044214&amp;Result=3","7044214")</f>
        <v>0</v>
      </c>
      <c r="B3174" t="s">
        <v>1125</v>
      </c>
      <c r="C3174" t="s">
        <v>5709</v>
      </c>
      <c r="D3174" t="s">
        <v>13041</v>
      </c>
      <c r="E3174" t="s">
        <v>15968</v>
      </c>
      <c r="F3174" t="s">
        <v>22436</v>
      </c>
      <c r="G3174" t="s">
        <v>22443</v>
      </c>
      <c r="H3174" t="s">
        <v>22452</v>
      </c>
      <c r="I3174" t="s">
        <v>3529</v>
      </c>
      <c r="J3174" t="s">
        <v>24748</v>
      </c>
      <c r="K3174" t="s">
        <v>29341</v>
      </c>
      <c r="M3174" t="s">
        <v>30763</v>
      </c>
      <c r="N3174" t="s">
        <v>32524</v>
      </c>
      <c r="O3174" t="s">
        <v>32525</v>
      </c>
      <c r="P3174">
        <v>0</v>
      </c>
      <c r="Q3174">
        <v>2</v>
      </c>
      <c r="R3174" t="s">
        <v>32527</v>
      </c>
      <c r="S3174" t="s">
        <v>32552</v>
      </c>
      <c r="T3174" t="s">
        <v>33167</v>
      </c>
      <c r="U3174" t="s">
        <v>36312</v>
      </c>
      <c r="W3174" t="s">
        <v>30763</v>
      </c>
      <c r="X3174" t="s">
        <v>32528</v>
      </c>
    </row>
    <row r="3175" spans="1:24">
      <c r="A3175">
        <f>HYPERLINK("https://www.philgeps.gov.ph/GEPSNONPILOT/Tender/SplashBidNoticeAbstractUI.aspx?menuIndex=3&amp;refID=7044213&amp;Result=3","7044213")</f>
        <v>0</v>
      </c>
      <c r="B3175" t="s">
        <v>1124</v>
      </c>
      <c r="C3175" t="s">
        <v>5710</v>
      </c>
      <c r="D3175" t="s">
        <v>12988</v>
      </c>
      <c r="E3175" t="s">
        <v>15969</v>
      </c>
      <c r="F3175" t="s">
        <v>22436</v>
      </c>
      <c r="G3175" t="s">
        <v>22444</v>
      </c>
      <c r="H3175" t="s">
        <v>22452</v>
      </c>
      <c r="I3175" t="s">
        <v>2981</v>
      </c>
      <c r="J3175" t="s">
        <v>24749</v>
      </c>
      <c r="K3175" t="s">
        <v>29357</v>
      </c>
      <c r="M3175" t="s">
        <v>30762</v>
      </c>
      <c r="N3175" t="s">
        <v>32524</v>
      </c>
      <c r="O3175" t="s">
        <v>32525</v>
      </c>
      <c r="P3175">
        <v>0</v>
      </c>
      <c r="Q3175">
        <v>3</v>
      </c>
      <c r="R3175" t="s">
        <v>32527</v>
      </c>
      <c r="S3175" t="s">
        <v>32552</v>
      </c>
      <c r="T3175" t="s">
        <v>33181</v>
      </c>
      <c r="U3175" t="s">
        <v>36311</v>
      </c>
      <c r="V3175" t="s">
        <v>42721</v>
      </c>
      <c r="W3175" t="s">
        <v>30762</v>
      </c>
      <c r="X3175" t="s">
        <v>32528</v>
      </c>
    </row>
    <row r="3176" spans="1:24">
      <c r="A3176">
        <f>HYPERLINK("https://www.philgeps.gov.ph/GEPSNONPILOT/Tender/SplashBidNoticeAbstractUI.aspx?menuIndex=3&amp;refID=7044209&amp;Result=3","7044209")</f>
        <v>0</v>
      </c>
      <c r="B3176" t="s">
        <v>1064</v>
      </c>
      <c r="C3176" t="s">
        <v>5711</v>
      </c>
      <c r="D3176" t="s">
        <v>13045</v>
      </c>
      <c r="E3176" t="s">
        <v>15970</v>
      </c>
      <c r="F3176" t="s">
        <v>22436</v>
      </c>
      <c r="G3176" t="s">
        <v>22443</v>
      </c>
      <c r="H3176" t="s">
        <v>22452</v>
      </c>
      <c r="I3176" t="s">
        <v>22471</v>
      </c>
      <c r="J3176" t="s">
        <v>24750</v>
      </c>
      <c r="K3176" t="s">
        <v>29331</v>
      </c>
      <c r="M3176" t="s">
        <v>30697</v>
      </c>
      <c r="N3176" t="s">
        <v>32524</v>
      </c>
      <c r="O3176" t="s">
        <v>32525</v>
      </c>
      <c r="P3176">
        <v>0</v>
      </c>
      <c r="Q3176">
        <v>1</v>
      </c>
      <c r="R3176" t="s">
        <v>32527</v>
      </c>
      <c r="S3176" t="s">
        <v>32552</v>
      </c>
      <c r="T3176" t="s">
        <v>33338</v>
      </c>
      <c r="U3176" t="s">
        <v>36313</v>
      </c>
      <c r="W3176" t="s">
        <v>30697</v>
      </c>
      <c r="X3176" t="s">
        <v>32528</v>
      </c>
    </row>
    <row r="3177" spans="1:24">
      <c r="A3177">
        <f>HYPERLINK("https://www.philgeps.gov.ph/GEPSNONPILOT/Tender/SplashBidNoticeAbstractUI.aspx?menuIndex=3&amp;refID=7044215&amp;Result=3","7044215")</f>
        <v>0</v>
      </c>
      <c r="B3177" t="s">
        <v>1101</v>
      </c>
      <c r="C3177" t="s">
        <v>5712</v>
      </c>
      <c r="D3177" t="s">
        <v>13034</v>
      </c>
      <c r="E3177" t="s">
        <v>15971</v>
      </c>
      <c r="F3177" t="s">
        <v>22436</v>
      </c>
      <c r="G3177" t="s">
        <v>22444</v>
      </c>
      <c r="H3177" t="s">
        <v>22452</v>
      </c>
      <c r="I3177" t="s">
        <v>22467</v>
      </c>
      <c r="J3177" t="s">
        <v>24751</v>
      </c>
      <c r="K3177" t="s">
        <v>29335</v>
      </c>
      <c r="M3177" t="s">
        <v>30737</v>
      </c>
      <c r="N3177" t="s">
        <v>32524</v>
      </c>
      <c r="O3177" t="s">
        <v>32525</v>
      </c>
      <c r="P3177">
        <v>0</v>
      </c>
      <c r="Q3177">
        <v>0</v>
      </c>
      <c r="R3177" t="s">
        <v>32527</v>
      </c>
      <c r="S3177" t="s">
        <v>32552</v>
      </c>
      <c r="T3177" t="s">
        <v>33307</v>
      </c>
      <c r="U3177" t="s">
        <v>36314</v>
      </c>
      <c r="W3177" t="s">
        <v>30737</v>
      </c>
      <c r="X3177" t="s">
        <v>32528</v>
      </c>
    </row>
    <row r="3178" spans="1:24">
      <c r="A3178">
        <f>HYPERLINK("https://www.philgeps.gov.ph/GEPSNONPILOT/Tender/SplashBidNoticeAbstractUI.aspx?menuIndex=3&amp;refID=7044206&amp;Result=3","7044206")</f>
        <v>0</v>
      </c>
      <c r="B3178" t="s">
        <v>1123</v>
      </c>
      <c r="C3178" t="s">
        <v>5713</v>
      </c>
      <c r="D3178" t="s">
        <v>13031</v>
      </c>
      <c r="E3178" t="s">
        <v>15972</v>
      </c>
      <c r="F3178" t="s">
        <v>22436</v>
      </c>
      <c r="G3178" t="s">
        <v>22443</v>
      </c>
      <c r="H3178" t="s">
        <v>22452</v>
      </c>
      <c r="I3178" t="s">
        <v>22502</v>
      </c>
      <c r="J3178" t="s">
        <v>24752</v>
      </c>
      <c r="K3178" t="s">
        <v>29333</v>
      </c>
      <c r="M3178" t="s">
        <v>30761</v>
      </c>
      <c r="N3178" t="s">
        <v>32524</v>
      </c>
      <c r="O3178" t="s">
        <v>32525</v>
      </c>
      <c r="P3178">
        <v>0</v>
      </c>
      <c r="Q3178">
        <v>9</v>
      </c>
      <c r="R3178" t="s">
        <v>32527</v>
      </c>
      <c r="S3178" t="s">
        <v>32552</v>
      </c>
      <c r="T3178" t="s">
        <v>33209</v>
      </c>
      <c r="U3178" t="s">
        <v>36315</v>
      </c>
      <c r="W3178" t="s">
        <v>30761</v>
      </c>
      <c r="X3178" t="s">
        <v>32528</v>
      </c>
    </row>
    <row r="3179" spans="1:24">
      <c r="A3179">
        <f>HYPERLINK("https://www.philgeps.gov.ph/GEPSNONPILOT/Tender/SplashBidNoticeAbstractUI.aspx?menuIndex=3&amp;refID=7044220&amp;Result=3","7044220")</f>
        <v>0</v>
      </c>
      <c r="B3179" t="s">
        <v>1078</v>
      </c>
      <c r="C3179" t="s">
        <v>5714</v>
      </c>
      <c r="D3179" t="s">
        <v>13073</v>
      </c>
      <c r="E3179" t="s">
        <v>15973</v>
      </c>
      <c r="F3179" t="s">
        <v>22436</v>
      </c>
      <c r="G3179" t="s">
        <v>22444</v>
      </c>
      <c r="H3179" t="s">
        <v>22452</v>
      </c>
      <c r="I3179" t="s">
        <v>3827</v>
      </c>
      <c r="J3179" t="s">
        <v>24753</v>
      </c>
      <c r="K3179" t="s">
        <v>29341</v>
      </c>
      <c r="M3179" t="s">
        <v>30713</v>
      </c>
      <c r="N3179" t="s">
        <v>32524</v>
      </c>
      <c r="O3179" t="s">
        <v>32525</v>
      </c>
      <c r="P3179">
        <v>0</v>
      </c>
      <c r="Q3179">
        <v>1</v>
      </c>
      <c r="R3179" t="s">
        <v>32527</v>
      </c>
      <c r="S3179" t="s">
        <v>32552</v>
      </c>
      <c r="T3179" t="s">
        <v>33207</v>
      </c>
      <c r="U3179" t="s">
        <v>36316</v>
      </c>
      <c r="W3179" t="s">
        <v>30713</v>
      </c>
      <c r="X3179" t="s">
        <v>32528</v>
      </c>
    </row>
    <row r="3180" spans="1:24">
      <c r="A3180">
        <f>HYPERLINK("https://www.philgeps.gov.ph/GEPSNONPILOT/Tender/SplashBidNoticeAbstractUI.aspx?menuIndex=3&amp;refID=7044210&amp;Result=3","7044210")</f>
        <v>0</v>
      </c>
      <c r="B3180" t="s">
        <v>1064</v>
      </c>
      <c r="C3180" t="s">
        <v>5715</v>
      </c>
      <c r="D3180" t="s">
        <v>13045</v>
      </c>
      <c r="E3180" t="s">
        <v>15974</v>
      </c>
      <c r="F3180" t="s">
        <v>22436</v>
      </c>
      <c r="G3180" t="s">
        <v>22443</v>
      </c>
      <c r="H3180" t="s">
        <v>22452</v>
      </c>
      <c r="I3180" t="s">
        <v>22465</v>
      </c>
      <c r="J3180" t="s">
        <v>24754</v>
      </c>
      <c r="K3180" t="s">
        <v>29331</v>
      </c>
      <c r="M3180" t="s">
        <v>30697</v>
      </c>
      <c r="N3180" t="s">
        <v>32524</v>
      </c>
      <c r="O3180" t="s">
        <v>32525</v>
      </c>
      <c r="P3180">
        <v>0</v>
      </c>
      <c r="Q3180">
        <v>0</v>
      </c>
      <c r="R3180" t="s">
        <v>32527</v>
      </c>
      <c r="S3180" t="s">
        <v>32552</v>
      </c>
      <c r="T3180" t="s">
        <v>33338</v>
      </c>
      <c r="U3180" t="s">
        <v>36317</v>
      </c>
      <c r="W3180" t="s">
        <v>30697</v>
      </c>
      <c r="X3180" t="s">
        <v>32528</v>
      </c>
    </row>
    <row r="3181" spans="1:24">
      <c r="A3181">
        <f>HYPERLINK("https://www.philgeps.gov.ph/GEPSNONPILOT/Tender/SplashBidNoticeAbstractUI.aspx?menuIndex=3&amp;refID=7044218&amp;Result=3","7044218")</f>
        <v>0</v>
      </c>
      <c r="B3181" t="s">
        <v>1101</v>
      </c>
      <c r="C3181" t="s">
        <v>5716</v>
      </c>
      <c r="D3181" t="s">
        <v>13034</v>
      </c>
      <c r="E3181" t="s">
        <v>15975</v>
      </c>
      <c r="F3181" t="s">
        <v>22436</v>
      </c>
      <c r="G3181" t="s">
        <v>22444</v>
      </c>
      <c r="H3181" t="s">
        <v>22452</v>
      </c>
      <c r="I3181" t="s">
        <v>4688</v>
      </c>
      <c r="J3181" t="s">
        <v>22877</v>
      </c>
      <c r="K3181" t="s">
        <v>29335</v>
      </c>
      <c r="M3181" t="s">
        <v>30737</v>
      </c>
      <c r="N3181" t="s">
        <v>32524</v>
      </c>
      <c r="O3181" t="s">
        <v>32525</v>
      </c>
      <c r="P3181">
        <v>0</v>
      </c>
      <c r="Q3181">
        <v>6</v>
      </c>
      <c r="R3181" t="s">
        <v>32527</v>
      </c>
      <c r="S3181" t="s">
        <v>32552</v>
      </c>
      <c r="T3181" t="s">
        <v>33194</v>
      </c>
      <c r="U3181" t="s">
        <v>36318</v>
      </c>
      <c r="W3181" t="s">
        <v>30737</v>
      </c>
      <c r="X3181" t="s">
        <v>32528</v>
      </c>
    </row>
    <row r="3182" spans="1:24">
      <c r="A3182">
        <f>HYPERLINK("https://www.philgeps.gov.ph/GEPSNONPILOT/Tender/SplashBidNoticeAbstractUI.aspx?menuIndex=3&amp;refID=7044223&amp;Result=3","7044223")</f>
        <v>0</v>
      </c>
      <c r="B3182" t="s">
        <v>1126</v>
      </c>
      <c r="C3182" t="s">
        <v>5717</v>
      </c>
      <c r="D3182" t="s">
        <v>13018</v>
      </c>
      <c r="E3182" t="s">
        <v>13539</v>
      </c>
      <c r="F3182" t="s">
        <v>22436</v>
      </c>
      <c r="G3182" t="s">
        <v>22446</v>
      </c>
      <c r="H3182" t="s">
        <v>22452</v>
      </c>
      <c r="I3182" t="s">
        <v>3529</v>
      </c>
      <c r="J3182" t="s">
        <v>24755</v>
      </c>
      <c r="K3182" t="s">
        <v>29338</v>
      </c>
      <c r="M3182" t="s">
        <v>30764</v>
      </c>
      <c r="N3182" t="s">
        <v>32524</v>
      </c>
      <c r="O3182" t="s">
        <v>32525</v>
      </c>
      <c r="P3182">
        <v>0</v>
      </c>
      <c r="Q3182">
        <v>0</v>
      </c>
      <c r="R3182" t="s">
        <v>32527</v>
      </c>
      <c r="S3182" t="s">
        <v>32552</v>
      </c>
      <c r="T3182" t="s">
        <v>33296</v>
      </c>
      <c r="U3182" t="s">
        <v>36319</v>
      </c>
      <c r="W3182" t="s">
        <v>30764</v>
      </c>
      <c r="X3182" t="s">
        <v>32528</v>
      </c>
    </row>
    <row r="3183" spans="1:24">
      <c r="A3183">
        <f>HYPERLINK("https://www.philgeps.gov.ph/GEPSNONPILOT/Tender/SplashBidNoticeAbstractUI.aspx?menuIndex=3&amp;refID=7044200&amp;Result=3","7044200")</f>
        <v>0</v>
      </c>
      <c r="B3183" t="s">
        <v>1064</v>
      </c>
      <c r="C3183" t="s">
        <v>5718</v>
      </c>
      <c r="D3183" t="s">
        <v>13045</v>
      </c>
      <c r="E3183" t="s">
        <v>15976</v>
      </c>
      <c r="F3183" t="s">
        <v>22436</v>
      </c>
      <c r="G3183" t="s">
        <v>22443</v>
      </c>
      <c r="H3183" t="s">
        <v>22452</v>
      </c>
      <c r="I3183" t="s">
        <v>22471</v>
      </c>
      <c r="J3183" t="s">
        <v>24756</v>
      </c>
      <c r="K3183" t="s">
        <v>29331</v>
      </c>
      <c r="M3183" t="s">
        <v>30697</v>
      </c>
      <c r="N3183" t="s">
        <v>32524</v>
      </c>
      <c r="O3183" t="s">
        <v>32525</v>
      </c>
      <c r="P3183">
        <v>0</v>
      </c>
      <c r="Q3183">
        <v>0</v>
      </c>
      <c r="R3183" t="s">
        <v>32527</v>
      </c>
      <c r="S3183" t="s">
        <v>32552</v>
      </c>
      <c r="T3183" t="s">
        <v>33338</v>
      </c>
      <c r="U3183" t="s">
        <v>36320</v>
      </c>
      <c r="W3183" t="s">
        <v>30697</v>
      </c>
      <c r="X3183" t="s">
        <v>32528</v>
      </c>
    </row>
    <row r="3184" spans="1:24">
      <c r="A3184">
        <f>HYPERLINK("https://www.philgeps.gov.ph/GEPSNONPILOT/Tender/SplashBidNoticeAbstractUI.aspx?menuIndex=3&amp;refID=7044221&amp;Result=3","7044221")</f>
        <v>0</v>
      </c>
      <c r="B3184" t="s">
        <v>527</v>
      </c>
      <c r="C3184" t="s">
        <v>5719</v>
      </c>
      <c r="D3184" t="s">
        <v>12988</v>
      </c>
      <c r="E3184" t="s">
        <v>15977</v>
      </c>
      <c r="F3184" t="s">
        <v>22436</v>
      </c>
      <c r="G3184" t="s">
        <v>22444</v>
      </c>
      <c r="H3184" t="s">
        <v>22452</v>
      </c>
      <c r="I3184" t="s">
        <v>22469</v>
      </c>
      <c r="J3184" t="s">
        <v>24757</v>
      </c>
      <c r="K3184" t="s">
        <v>29338</v>
      </c>
      <c r="M3184" t="s">
        <v>30765</v>
      </c>
      <c r="N3184" t="s">
        <v>32524</v>
      </c>
      <c r="O3184" t="s">
        <v>32525</v>
      </c>
      <c r="P3184">
        <v>0</v>
      </c>
      <c r="Q3184">
        <v>11</v>
      </c>
      <c r="R3184" t="s">
        <v>32527</v>
      </c>
      <c r="S3184" t="s">
        <v>32552</v>
      </c>
      <c r="T3184" t="s">
        <v>33391</v>
      </c>
      <c r="U3184" t="s">
        <v>36321</v>
      </c>
      <c r="V3184" t="s">
        <v>42722</v>
      </c>
      <c r="W3184" t="s">
        <v>30765</v>
      </c>
      <c r="X3184" t="s">
        <v>32528</v>
      </c>
    </row>
    <row r="3185" spans="1:24">
      <c r="A3185">
        <f>HYPERLINK("https://www.philgeps.gov.ph/GEPSNONPILOT/Tender/SplashBidNoticeAbstractUI.aspx?menuIndex=3&amp;refID=7044222&amp;Result=3","7044222")</f>
        <v>0</v>
      </c>
      <c r="B3185" t="s">
        <v>1101</v>
      </c>
      <c r="C3185" t="s">
        <v>5720</v>
      </c>
      <c r="D3185" t="s">
        <v>13034</v>
      </c>
      <c r="E3185" t="s">
        <v>15978</v>
      </c>
      <c r="F3185" t="s">
        <v>22436</v>
      </c>
      <c r="G3185" t="s">
        <v>22444</v>
      </c>
      <c r="H3185" t="s">
        <v>22452</v>
      </c>
      <c r="I3185" t="s">
        <v>22463</v>
      </c>
      <c r="J3185" t="s">
        <v>24758</v>
      </c>
      <c r="K3185" t="s">
        <v>29335</v>
      </c>
      <c r="M3185" t="s">
        <v>30737</v>
      </c>
      <c r="N3185" t="s">
        <v>32524</v>
      </c>
      <c r="O3185" t="s">
        <v>32525</v>
      </c>
      <c r="P3185">
        <v>0</v>
      </c>
      <c r="Q3185">
        <v>4</v>
      </c>
      <c r="R3185" t="s">
        <v>32527</v>
      </c>
      <c r="S3185" t="s">
        <v>32552</v>
      </c>
      <c r="T3185" t="s">
        <v>33194</v>
      </c>
      <c r="U3185" t="s">
        <v>36322</v>
      </c>
      <c r="W3185" t="s">
        <v>30737</v>
      </c>
      <c r="X3185" t="s">
        <v>32528</v>
      </c>
    </row>
    <row r="3186" spans="1:24">
      <c r="A3186">
        <f>HYPERLINK("https://www.philgeps.gov.ph/GEPSNONPILOT/Tender/SplashBidNoticeAbstractUI.aspx?menuIndex=3&amp;refID=7044235&amp;Result=3","7044235")</f>
        <v>0</v>
      </c>
      <c r="B3186" t="s">
        <v>1127</v>
      </c>
      <c r="C3186" t="s">
        <v>5721</v>
      </c>
      <c r="D3186" t="s">
        <v>13069</v>
      </c>
      <c r="E3186" t="s">
        <v>15979</v>
      </c>
      <c r="F3186" t="s">
        <v>22436</v>
      </c>
      <c r="G3186" t="s">
        <v>22443</v>
      </c>
      <c r="H3186" t="s">
        <v>22452</v>
      </c>
      <c r="I3186" t="s">
        <v>2993</v>
      </c>
      <c r="J3186" t="s">
        <v>24759</v>
      </c>
      <c r="K3186" t="s">
        <v>29336</v>
      </c>
      <c r="M3186" t="s">
        <v>30766</v>
      </c>
      <c r="N3186" t="s">
        <v>32524</v>
      </c>
      <c r="O3186" t="s">
        <v>32525</v>
      </c>
      <c r="P3186">
        <v>0</v>
      </c>
      <c r="Q3186">
        <v>1</v>
      </c>
      <c r="R3186" t="s">
        <v>32527</v>
      </c>
      <c r="S3186" t="s">
        <v>32552</v>
      </c>
      <c r="T3186" t="s">
        <v>33351</v>
      </c>
      <c r="U3186" t="s">
        <v>36323</v>
      </c>
      <c r="W3186" t="s">
        <v>30766</v>
      </c>
      <c r="X3186" t="s">
        <v>32528</v>
      </c>
    </row>
    <row r="3187" spans="1:24">
      <c r="A3187">
        <f>HYPERLINK("https://www.philgeps.gov.ph/GEPSNONPILOT/Tender/SplashBidNoticeAbstractUI.aspx?menuIndex=3&amp;refID=7044234&amp;Result=3","7044234")</f>
        <v>0</v>
      </c>
      <c r="B3187" t="s">
        <v>1128</v>
      </c>
      <c r="C3187" t="s">
        <v>5722</v>
      </c>
      <c r="D3187" t="s">
        <v>12988</v>
      </c>
      <c r="E3187" t="s">
        <v>13368</v>
      </c>
      <c r="F3187" t="s">
        <v>22436</v>
      </c>
      <c r="G3187" t="s">
        <v>22444</v>
      </c>
      <c r="H3187" t="s">
        <v>22453</v>
      </c>
      <c r="I3187" t="s">
        <v>4170</v>
      </c>
      <c r="J3187" t="s">
        <v>24760</v>
      </c>
      <c r="K3187" t="s">
        <v>29371</v>
      </c>
      <c r="M3187" t="s">
        <v>30767</v>
      </c>
      <c r="N3187" t="s">
        <v>32524</v>
      </c>
      <c r="O3187" t="s">
        <v>32525</v>
      </c>
      <c r="P3187">
        <v>0</v>
      </c>
      <c r="Q3187">
        <v>5</v>
      </c>
      <c r="R3187" t="s">
        <v>32527</v>
      </c>
      <c r="S3187" t="s">
        <v>32552</v>
      </c>
      <c r="T3187" t="s">
        <v>33165</v>
      </c>
      <c r="U3187" t="s">
        <v>36324</v>
      </c>
      <c r="V3187" t="s">
        <v>42723</v>
      </c>
      <c r="W3187" t="s">
        <v>30767</v>
      </c>
      <c r="X3187" t="s">
        <v>32528</v>
      </c>
    </row>
    <row r="3188" spans="1:24">
      <c r="A3188">
        <f>HYPERLINK("https://www.philgeps.gov.ph/GEPSNONPILOT/Tender/SplashBidNoticeAbstractUI.aspx?menuIndex=3&amp;refID=7044232&amp;Result=3","7044232")</f>
        <v>0</v>
      </c>
      <c r="B3188" t="s">
        <v>1127</v>
      </c>
      <c r="C3188" t="s">
        <v>5721</v>
      </c>
      <c r="D3188" t="s">
        <v>13069</v>
      </c>
      <c r="E3188" t="s">
        <v>15980</v>
      </c>
      <c r="F3188" t="s">
        <v>22436</v>
      </c>
      <c r="G3188" t="s">
        <v>22443</v>
      </c>
      <c r="H3188" t="s">
        <v>22452</v>
      </c>
      <c r="I3188" t="s">
        <v>2993</v>
      </c>
      <c r="J3188" t="s">
        <v>24761</v>
      </c>
      <c r="K3188" t="s">
        <v>29336</v>
      </c>
      <c r="M3188" t="s">
        <v>30766</v>
      </c>
      <c r="N3188" t="s">
        <v>32524</v>
      </c>
      <c r="O3188" t="s">
        <v>32525</v>
      </c>
      <c r="P3188">
        <v>0</v>
      </c>
      <c r="Q3188">
        <v>2</v>
      </c>
      <c r="R3188" t="s">
        <v>32527</v>
      </c>
      <c r="S3188" t="s">
        <v>32552</v>
      </c>
      <c r="T3188" t="s">
        <v>33351</v>
      </c>
      <c r="U3188" t="s">
        <v>36323</v>
      </c>
      <c r="W3188" t="s">
        <v>30766</v>
      </c>
      <c r="X3188" t="s">
        <v>32528</v>
      </c>
    </row>
    <row r="3189" spans="1:24">
      <c r="A3189">
        <f>HYPERLINK("https://www.philgeps.gov.ph/GEPSNONPILOT/Tender/SplashBidNoticeAbstractUI.aspx?menuIndex=3&amp;refID=7044237&amp;Result=3","7044237")</f>
        <v>0</v>
      </c>
      <c r="B3189" t="s">
        <v>1129</v>
      </c>
      <c r="C3189" t="s">
        <v>5723</v>
      </c>
      <c r="D3189" t="s">
        <v>13025</v>
      </c>
      <c r="E3189" t="s">
        <v>15981</v>
      </c>
      <c r="F3189" t="s">
        <v>22436</v>
      </c>
      <c r="G3189" t="s">
        <v>22444</v>
      </c>
      <c r="H3189" t="s">
        <v>22452</v>
      </c>
      <c r="I3189" t="s">
        <v>22484</v>
      </c>
      <c r="J3189" t="s">
        <v>24762</v>
      </c>
      <c r="K3189" t="s">
        <v>29335</v>
      </c>
      <c r="M3189" t="s">
        <v>30768</v>
      </c>
      <c r="N3189" t="s">
        <v>32524</v>
      </c>
      <c r="O3189" t="s">
        <v>32525</v>
      </c>
      <c r="P3189">
        <v>0</v>
      </c>
      <c r="Q3189">
        <v>3</v>
      </c>
      <c r="R3189" t="s">
        <v>32527</v>
      </c>
      <c r="S3189" t="s">
        <v>32552</v>
      </c>
      <c r="T3189" t="s">
        <v>33186</v>
      </c>
      <c r="U3189" t="s">
        <v>36325</v>
      </c>
      <c r="W3189" t="s">
        <v>30768</v>
      </c>
      <c r="X3189" t="s">
        <v>32528</v>
      </c>
    </row>
    <row r="3190" spans="1:24">
      <c r="A3190">
        <f>HYPERLINK("https://www.philgeps.gov.ph/GEPSNONPILOT/Tender/SplashBidNoticeAbstractUI.aspx?menuIndex=3&amp;refID=7044236&amp;Result=3","7044236")</f>
        <v>0</v>
      </c>
      <c r="B3190" t="s">
        <v>1127</v>
      </c>
      <c r="C3190" t="s">
        <v>5721</v>
      </c>
      <c r="D3190" t="s">
        <v>13069</v>
      </c>
      <c r="E3190" t="s">
        <v>15982</v>
      </c>
      <c r="F3190" t="s">
        <v>22436</v>
      </c>
      <c r="G3190" t="s">
        <v>22443</v>
      </c>
      <c r="H3190" t="s">
        <v>22452</v>
      </c>
      <c r="I3190" t="s">
        <v>2993</v>
      </c>
      <c r="J3190" t="s">
        <v>24763</v>
      </c>
      <c r="K3190" t="s">
        <v>29336</v>
      </c>
      <c r="M3190" t="s">
        <v>30766</v>
      </c>
      <c r="N3190" t="s">
        <v>32524</v>
      </c>
      <c r="O3190" t="s">
        <v>32525</v>
      </c>
      <c r="P3190">
        <v>0</v>
      </c>
      <c r="Q3190">
        <v>1</v>
      </c>
      <c r="R3190" t="s">
        <v>32527</v>
      </c>
      <c r="S3190" t="s">
        <v>32552</v>
      </c>
      <c r="T3190" t="s">
        <v>33351</v>
      </c>
      <c r="U3190" t="s">
        <v>36323</v>
      </c>
      <c r="W3190" t="s">
        <v>30766</v>
      </c>
      <c r="X3190" t="s">
        <v>32528</v>
      </c>
    </row>
    <row r="3191" spans="1:24">
      <c r="A3191">
        <f>HYPERLINK("https://www.philgeps.gov.ph/GEPSNONPILOT/Tender/SplashBidNoticeAbstractUI.aspx?menuIndex=3&amp;refID=7044229&amp;Result=3","7044229")</f>
        <v>0</v>
      </c>
      <c r="B3191" t="s">
        <v>1127</v>
      </c>
      <c r="C3191" t="s">
        <v>5721</v>
      </c>
      <c r="D3191" t="s">
        <v>13069</v>
      </c>
      <c r="E3191" t="s">
        <v>15983</v>
      </c>
      <c r="F3191" t="s">
        <v>22436</v>
      </c>
      <c r="G3191" t="s">
        <v>22443</v>
      </c>
      <c r="H3191" t="s">
        <v>22452</v>
      </c>
      <c r="I3191" t="s">
        <v>2993</v>
      </c>
      <c r="J3191" t="s">
        <v>24764</v>
      </c>
      <c r="K3191" t="s">
        <v>29336</v>
      </c>
      <c r="M3191" t="s">
        <v>30766</v>
      </c>
      <c r="N3191" t="s">
        <v>32524</v>
      </c>
      <c r="O3191" t="s">
        <v>32525</v>
      </c>
      <c r="P3191">
        <v>0</v>
      </c>
      <c r="Q3191">
        <v>3</v>
      </c>
      <c r="R3191" t="s">
        <v>32527</v>
      </c>
      <c r="S3191" t="s">
        <v>32552</v>
      </c>
      <c r="T3191" t="s">
        <v>33351</v>
      </c>
      <c r="U3191" t="s">
        <v>36323</v>
      </c>
      <c r="W3191" t="s">
        <v>30766</v>
      </c>
      <c r="X3191" t="s">
        <v>32528</v>
      </c>
    </row>
    <row r="3192" spans="1:24">
      <c r="A3192">
        <f>HYPERLINK("https://www.philgeps.gov.ph/GEPSNONPILOT/Tender/SplashBidNoticeAbstractUI.aspx?menuIndex=3&amp;refID=7044226&amp;Result=3","7044226")</f>
        <v>0</v>
      </c>
      <c r="B3192" t="s">
        <v>1078</v>
      </c>
      <c r="C3192" t="s">
        <v>5724</v>
      </c>
      <c r="D3192" t="s">
        <v>13073</v>
      </c>
      <c r="E3192" t="s">
        <v>15984</v>
      </c>
      <c r="F3192" t="s">
        <v>22436</v>
      </c>
      <c r="G3192" t="s">
        <v>22444</v>
      </c>
      <c r="H3192" t="s">
        <v>22452</v>
      </c>
      <c r="I3192" t="s">
        <v>22508</v>
      </c>
      <c r="J3192" t="s">
        <v>24765</v>
      </c>
      <c r="K3192" t="s">
        <v>29341</v>
      </c>
      <c r="M3192" t="s">
        <v>30713</v>
      </c>
      <c r="N3192" t="s">
        <v>32524</v>
      </c>
      <c r="O3192" t="s">
        <v>32525</v>
      </c>
      <c r="P3192">
        <v>0</v>
      </c>
      <c r="Q3192">
        <v>1</v>
      </c>
      <c r="R3192" t="s">
        <v>32527</v>
      </c>
      <c r="S3192" t="s">
        <v>32552</v>
      </c>
      <c r="T3192" t="s">
        <v>33207</v>
      </c>
      <c r="U3192" t="s">
        <v>36326</v>
      </c>
      <c r="W3192" t="s">
        <v>30713</v>
      </c>
      <c r="X3192" t="s">
        <v>32528</v>
      </c>
    </row>
    <row r="3193" spans="1:24">
      <c r="A3193">
        <f>HYPERLINK("https://www.philgeps.gov.ph/GEPSNONPILOT/Tender/SplashBidNoticeAbstractUI.aspx?menuIndex=3&amp;refID=7044230&amp;Result=3","7044230")</f>
        <v>0</v>
      </c>
      <c r="B3193" t="s">
        <v>467</v>
      </c>
      <c r="C3193" t="s">
        <v>5725</v>
      </c>
      <c r="D3193" t="s">
        <v>12998</v>
      </c>
      <c r="E3193" t="s">
        <v>13182</v>
      </c>
      <c r="F3193" t="s">
        <v>22437</v>
      </c>
      <c r="G3193" t="s">
        <v>22446</v>
      </c>
      <c r="H3193" t="s">
        <v>22453</v>
      </c>
      <c r="I3193" t="s">
        <v>6387</v>
      </c>
      <c r="J3193" t="s">
        <v>24766</v>
      </c>
      <c r="K3193" t="s">
        <v>29360</v>
      </c>
      <c r="M3193" t="s">
        <v>30050</v>
      </c>
      <c r="N3193" t="s">
        <v>32524</v>
      </c>
      <c r="O3193" t="s">
        <v>32525</v>
      </c>
      <c r="P3193">
        <v>0</v>
      </c>
      <c r="Q3193">
        <v>0</v>
      </c>
      <c r="R3193" t="s">
        <v>32527</v>
      </c>
      <c r="S3193" t="s">
        <v>32552</v>
      </c>
      <c r="T3193" t="s">
        <v>33313</v>
      </c>
      <c r="U3193" t="s">
        <v>36327</v>
      </c>
      <c r="W3193" t="s">
        <v>30050</v>
      </c>
      <c r="X3193" t="s">
        <v>32528</v>
      </c>
    </row>
    <row r="3194" spans="1:24">
      <c r="A3194">
        <f>HYPERLINK("https://www.philgeps.gov.ph/GEPSNONPILOT/Tender/SplashBidNoticeAbstractUI.aspx?menuIndex=3&amp;refID=7044228&amp;Result=3","7044228")</f>
        <v>0</v>
      </c>
      <c r="B3194" t="s">
        <v>1130</v>
      </c>
      <c r="C3194" t="s">
        <v>5726</v>
      </c>
      <c r="D3194" t="s">
        <v>12994</v>
      </c>
      <c r="E3194" t="s">
        <v>15985</v>
      </c>
      <c r="F3194" t="s">
        <v>22436</v>
      </c>
      <c r="G3194" t="s">
        <v>22443</v>
      </c>
      <c r="H3194" t="s">
        <v>22452</v>
      </c>
      <c r="I3194" t="s">
        <v>22555</v>
      </c>
      <c r="J3194" t="s">
        <v>24767</v>
      </c>
      <c r="K3194" t="s">
        <v>29331</v>
      </c>
      <c r="M3194" t="s">
        <v>30769</v>
      </c>
      <c r="N3194" t="s">
        <v>32524</v>
      </c>
      <c r="O3194" t="s">
        <v>32525</v>
      </c>
      <c r="P3194">
        <v>0</v>
      </c>
      <c r="Q3194">
        <v>0</v>
      </c>
      <c r="R3194" t="s">
        <v>32527</v>
      </c>
      <c r="S3194" t="s">
        <v>32552</v>
      </c>
      <c r="T3194" t="s">
        <v>33220</v>
      </c>
      <c r="U3194" t="s">
        <v>36328</v>
      </c>
      <c r="W3194" t="s">
        <v>30769</v>
      </c>
      <c r="X3194" t="s">
        <v>32528</v>
      </c>
    </row>
    <row r="3195" spans="1:24">
      <c r="A3195">
        <f>HYPERLINK("https://www.philgeps.gov.ph/GEPSNONPILOT/Tender/SplashBidNoticeAbstractUI.aspx?menuIndex=3&amp;refID=7044227&amp;Result=3","7044227")</f>
        <v>0</v>
      </c>
      <c r="B3195" t="s">
        <v>1130</v>
      </c>
      <c r="C3195" t="s">
        <v>5727</v>
      </c>
      <c r="D3195" t="s">
        <v>12994</v>
      </c>
      <c r="E3195" t="s">
        <v>15986</v>
      </c>
      <c r="F3195" t="s">
        <v>22436</v>
      </c>
      <c r="G3195" t="s">
        <v>22444</v>
      </c>
      <c r="H3195" t="s">
        <v>22452</v>
      </c>
      <c r="I3195" t="s">
        <v>22461</v>
      </c>
      <c r="J3195" t="s">
        <v>24768</v>
      </c>
      <c r="K3195" t="s">
        <v>29333</v>
      </c>
      <c r="M3195" t="s">
        <v>30769</v>
      </c>
      <c r="N3195" t="s">
        <v>32524</v>
      </c>
      <c r="O3195" t="s">
        <v>32525</v>
      </c>
      <c r="P3195">
        <v>0</v>
      </c>
      <c r="Q3195">
        <v>3</v>
      </c>
      <c r="R3195" t="s">
        <v>32527</v>
      </c>
      <c r="S3195" t="s">
        <v>32552</v>
      </c>
      <c r="T3195" t="s">
        <v>33345</v>
      </c>
      <c r="U3195" t="s">
        <v>36329</v>
      </c>
      <c r="W3195" t="s">
        <v>30769</v>
      </c>
      <c r="X3195" t="s">
        <v>32528</v>
      </c>
    </row>
    <row r="3196" spans="1:24">
      <c r="A3196">
        <f>HYPERLINK("https://www.philgeps.gov.ph/GEPSNONPILOT/Tender/SplashBidNoticeAbstractUI.aspx?menuIndex=3&amp;refID=7044239&amp;Result=3","7044239")</f>
        <v>0</v>
      </c>
      <c r="B3196" t="s">
        <v>1127</v>
      </c>
      <c r="C3196" t="s">
        <v>5721</v>
      </c>
      <c r="D3196" t="s">
        <v>13069</v>
      </c>
      <c r="E3196" t="s">
        <v>15987</v>
      </c>
      <c r="F3196" t="s">
        <v>22436</v>
      </c>
      <c r="G3196" t="s">
        <v>22443</v>
      </c>
      <c r="H3196" t="s">
        <v>22452</v>
      </c>
      <c r="I3196" t="s">
        <v>2993</v>
      </c>
      <c r="J3196" t="s">
        <v>22865</v>
      </c>
      <c r="K3196" t="s">
        <v>29336</v>
      </c>
      <c r="M3196" t="s">
        <v>30766</v>
      </c>
      <c r="N3196" t="s">
        <v>32524</v>
      </c>
      <c r="O3196" t="s">
        <v>32525</v>
      </c>
      <c r="P3196">
        <v>0</v>
      </c>
      <c r="Q3196">
        <v>1</v>
      </c>
      <c r="R3196" t="s">
        <v>32527</v>
      </c>
      <c r="S3196" t="s">
        <v>32552</v>
      </c>
      <c r="T3196" t="s">
        <v>33351</v>
      </c>
      <c r="U3196" t="s">
        <v>36323</v>
      </c>
      <c r="W3196" t="s">
        <v>30766</v>
      </c>
      <c r="X3196" t="s">
        <v>32528</v>
      </c>
    </row>
    <row r="3197" spans="1:24">
      <c r="A3197">
        <f>HYPERLINK("https://www.philgeps.gov.ph/GEPSNONPILOT/Tender/SplashBidNoticeAbstractUI.aspx?menuIndex=3&amp;refID=7044225&amp;Result=3","7044225")</f>
        <v>0</v>
      </c>
      <c r="B3197" t="s">
        <v>1129</v>
      </c>
      <c r="C3197" t="s">
        <v>5728</v>
      </c>
      <c r="D3197" t="s">
        <v>13025</v>
      </c>
      <c r="E3197" t="s">
        <v>15988</v>
      </c>
      <c r="F3197" t="s">
        <v>22436</v>
      </c>
      <c r="G3197" t="s">
        <v>22444</v>
      </c>
      <c r="H3197" t="s">
        <v>22452</v>
      </c>
      <c r="I3197" t="s">
        <v>3827</v>
      </c>
      <c r="J3197" t="s">
        <v>22640</v>
      </c>
      <c r="K3197" t="s">
        <v>29335</v>
      </c>
      <c r="M3197" t="s">
        <v>30768</v>
      </c>
      <c r="N3197" t="s">
        <v>32524</v>
      </c>
      <c r="O3197" t="s">
        <v>32525</v>
      </c>
      <c r="P3197">
        <v>0</v>
      </c>
      <c r="Q3197">
        <v>1</v>
      </c>
      <c r="R3197" t="s">
        <v>32527</v>
      </c>
      <c r="S3197" t="s">
        <v>32552</v>
      </c>
      <c r="T3197" t="s">
        <v>33186</v>
      </c>
      <c r="U3197" t="s">
        <v>36330</v>
      </c>
      <c r="W3197" t="s">
        <v>30768</v>
      </c>
      <c r="X3197" t="s">
        <v>32528</v>
      </c>
    </row>
    <row r="3198" spans="1:24">
      <c r="A3198">
        <f>HYPERLINK("https://www.philgeps.gov.ph/GEPSNONPILOT/Tender/SplashBidNoticeAbstractUI.aspx?menuIndex=3&amp;refID=7044231&amp;Result=3","7044231")</f>
        <v>0</v>
      </c>
      <c r="B3198" t="s">
        <v>1131</v>
      </c>
      <c r="C3198" t="s">
        <v>5729</v>
      </c>
      <c r="D3198" t="s">
        <v>12994</v>
      </c>
      <c r="E3198" t="s">
        <v>14018</v>
      </c>
      <c r="F3198" t="s">
        <v>22436</v>
      </c>
      <c r="G3198" t="s">
        <v>22444</v>
      </c>
      <c r="H3198" t="s">
        <v>22452</v>
      </c>
      <c r="I3198" t="s">
        <v>3529</v>
      </c>
      <c r="J3198" t="s">
        <v>24769</v>
      </c>
      <c r="K3198" t="s">
        <v>29335</v>
      </c>
      <c r="M3198" t="s">
        <v>30770</v>
      </c>
      <c r="N3198" t="s">
        <v>32524</v>
      </c>
      <c r="O3198" t="s">
        <v>32525</v>
      </c>
      <c r="P3198">
        <v>0</v>
      </c>
      <c r="Q3198">
        <v>0</v>
      </c>
      <c r="R3198" t="s">
        <v>32527</v>
      </c>
      <c r="S3198" t="s">
        <v>32552</v>
      </c>
      <c r="T3198" t="s">
        <v>33344</v>
      </c>
      <c r="U3198" t="s">
        <v>36331</v>
      </c>
      <c r="W3198" t="s">
        <v>30770</v>
      </c>
      <c r="X3198" t="s">
        <v>32528</v>
      </c>
    </row>
    <row r="3199" spans="1:24">
      <c r="A3199">
        <f>HYPERLINK("https://www.philgeps.gov.ph/GEPSNONPILOT/Tender/SplashBidNoticeAbstractUI.aspx?menuIndex=3&amp;refID=7044224&amp;Result=3","7044224")</f>
        <v>0</v>
      </c>
      <c r="B3199" t="s">
        <v>956</v>
      </c>
      <c r="C3199" t="s">
        <v>5730</v>
      </c>
      <c r="D3199" t="s">
        <v>13045</v>
      </c>
      <c r="E3199" t="s">
        <v>15989</v>
      </c>
      <c r="F3199" t="s">
        <v>22436</v>
      </c>
      <c r="G3199" t="s">
        <v>22445</v>
      </c>
      <c r="H3199" t="s">
        <v>22452</v>
      </c>
      <c r="I3199" t="s">
        <v>22460</v>
      </c>
      <c r="J3199" t="s">
        <v>24770</v>
      </c>
      <c r="K3199" t="s">
        <v>29356</v>
      </c>
      <c r="M3199" t="s">
        <v>30771</v>
      </c>
      <c r="N3199" t="s">
        <v>32524</v>
      </c>
      <c r="O3199" t="s">
        <v>32525</v>
      </c>
      <c r="P3199">
        <v>0</v>
      </c>
      <c r="Q3199">
        <v>8</v>
      </c>
      <c r="R3199" t="s">
        <v>32527</v>
      </c>
      <c r="S3199" t="s">
        <v>32552</v>
      </c>
      <c r="T3199" t="s">
        <v>33209</v>
      </c>
      <c r="U3199" t="s">
        <v>36332</v>
      </c>
      <c r="W3199" t="s">
        <v>30771</v>
      </c>
      <c r="X3199" t="s">
        <v>32528</v>
      </c>
    </row>
    <row r="3200" spans="1:24">
      <c r="A3200">
        <f>HYPERLINK("https://www.philgeps.gov.ph/GEPSNONPILOT/Tender/SplashBidNoticeAbstractUI.aspx?menuIndex=3&amp;refID=7044241&amp;Result=3","7044241")</f>
        <v>0</v>
      </c>
      <c r="B3200" t="s">
        <v>1128</v>
      </c>
      <c r="C3200" t="s">
        <v>5731</v>
      </c>
      <c r="D3200" t="s">
        <v>12988</v>
      </c>
      <c r="E3200" t="s">
        <v>13743</v>
      </c>
      <c r="F3200" t="s">
        <v>22436</v>
      </c>
      <c r="G3200" t="s">
        <v>22444</v>
      </c>
      <c r="H3200" t="s">
        <v>22453</v>
      </c>
      <c r="I3200" t="s">
        <v>22457</v>
      </c>
      <c r="J3200" t="s">
        <v>24771</v>
      </c>
      <c r="K3200" t="s">
        <v>29371</v>
      </c>
      <c r="M3200" t="s">
        <v>30767</v>
      </c>
      <c r="N3200" t="s">
        <v>32524</v>
      </c>
      <c r="O3200" t="s">
        <v>32525</v>
      </c>
      <c r="P3200">
        <v>0</v>
      </c>
      <c r="Q3200">
        <v>2</v>
      </c>
      <c r="R3200" t="s">
        <v>32527</v>
      </c>
      <c r="S3200" t="s">
        <v>32552</v>
      </c>
      <c r="T3200" t="s">
        <v>33165</v>
      </c>
      <c r="U3200" t="s">
        <v>36333</v>
      </c>
      <c r="V3200" t="s">
        <v>42723</v>
      </c>
      <c r="W3200" t="s">
        <v>30767</v>
      </c>
      <c r="X3200" t="s">
        <v>32528</v>
      </c>
    </row>
    <row r="3201" spans="1:24">
      <c r="A3201">
        <f>HYPERLINK("https://www.philgeps.gov.ph/GEPSNONPILOT/Tender/SplashBidNoticeAbstractUI.aspx?menuIndex=3&amp;refID=7044243&amp;Result=3","7044243")</f>
        <v>0</v>
      </c>
      <c r="B3201" t="s">
        <v>1127</v>
      </c>
      <c r="C3201" t="s">
        <v>5732</v>
      </c>
      <c r="D3201" t="s">
        <v>13069</v>
      </c>
      <c r="E3201" t="s">
        <v>15990</v>
      </c>
      <c r="F3201" t="s">
        <v>22436</v>
      </c>
      <c r="G3201" t="s">
        <v>22443</v>
      </c>
      <c r="H3201" t="s">
        <v>22452</v>
      </c>
      <c r="I3201" t="s">
        <v>2993</v>
      </c>
      <c r="J3201" t="s">
        <v>24772</v>
      </c>
      <c r="K3201" t="s">
        <v>29336</v>
      </c>
      <c r="M3201" t="s">
        <v>30766</v>
      </c>
      <c r="N3201" t="s">
        <v>32524</v>
      </c>
      <c r="O3201" t="s">
        <v>32525</v>
      </c>
      <c r="P3201">
        <v>0</v>
      </c>
      <c r="Q3201">
        <v>1</v>
      </c>
      <c r="R3201" t="s">
        <v>32527</v>
      </c>
      <c r="S3201" t="s">
        <v>32552</v>
      </c>
      <c r="T3201" t="s">
        <v>33351</v>
      </c>
      <c r="U3201" t="s">
        <v>36323</v>
      </c>
      <c r="W3201" t="s">
        <v>30766</v>
      </c>
      <c r="X3201" t="s">
        <v>32528</v>
      </c>
    </row>
    <row r="3202" spans="1:24">
      <c r="A3202">
        <f>HYPERLINK("https://www.philgeps.gov.ph/GEPSNONPILOT/Tender/SplashBidNoticeAbstractUI.aspx?menuIndex=3&amp;refID=7044248&amp;Result=3","7044248")</f>
        <v>0</v>
      </c>
      <c r="B3202" t="s">
        <v>1129</v>
      </c>
      <c r="C3202" t="s">
        <v>5733</v>
      </c>
      <c r="D3202" t="s">
        <v>13025</v>
      </c>
      <c r="E3202" t="s">
        <v>15991</v>
      </c>
      <c r="F3202" t="s">
        <v>22436</v>
      </c>
      <c r="G3202" t="s">
        <v>22444</v>
      </c>
      <c r="H3202" t="s">
        <v>22452</v>
      </c>
      <c r="I3202" t="s">
        <v>22474</v>
      </c>
      <c r="J3202" t="s">
        <v>23178</v>
      </c>
      <c r="K3202" t="s">
        <v>29335</v>
      </c>
      <c r="M3202" t="s">
        <v>30768</v>
      </c>
      <c r="N3202" t="s">
        <v>32524</v>
      </c>
      <c r="O3202" t="s">
        <v>32525</v>
      </c>
      <c r="P3202">
        <v>0</v>
      </c>
      <c r="Q3202">
        <v>2</v>
      </c>
      <c r="R3202" t="s">
        <v>32527</v>
      </c>
      <c r="S3202" t="s">
        <v>32552</v>
      </c>
      <c r="T3202" t="s">
        <v>33283</v>
      </c>
      <c r="U3202" t="s">
        <v>36334</v>
      </c>
      <c r="W3202" t="s">
        <v>30768</v>
      </c>
      <c r="X3202" t="s">
        <v>32528</v>
      </c>
    </row>
    <row r="3203" spans="1:24">
      <c r="A3203">
        <f>HYPERLINK("https://www.philgeps.gov.ph/GEPSNONPILOT/Tender/SplashBidNoticeAbstractUI.aspx?menuIndex=3&amp;refID=7044233&amp;Result=3","7044233")</f>
        <v>0</v>
      </c>
      <c r="B3203" t="s">
        <v>1129</v>
      </c>
      <c r="C3203" t="s">
        <v>5734</v>
      </c>
      <c r="D3203" t="s">
        <v>13025</v>
      </c>
      <c r="E3203" t="s">
        <v>15992</v>
      </c>
      <c r="F3203" t="s">
        <v>22436</v>
      </c>
      <c r="G3203" t="s">
        <v>22444</v>
      </c>
      <c r="H3203" t="s">
        <v>22452</v>
      </c>
      <c r="I3203" t="s">
        <v>12358</v>
      </c>
      <c r="J3203" t="s">
        <v>22806</v>
      </c>
      <c r="K3203" t="s">
        <v>29335</v>
      </c>
      <c r="M3203" t="s">
        <v>30768</v>
      </c>
      <c r="N3203" t="s">
        <v>32524</v>
      </c>
      <c r="O3203" t="s">
        <v>32525</v>
      </c>
      <c r="P3203">
        <v>0</v>
      </c>
      <c r="Q3203">
        <v>0</v>
      </c>
      <c r="R3203" t="s">
        <v>32527</v>
      </c>
      <c r="S3203" t="s">
        <v>32552</v>
      </c>
      <c r="T3203" t="s">
        <v>33186</v>
      </c>
      <c r="U3203" t="s">
        <v>36335</v>
      </c>
      <c r="W3203" t="s">
        <v>30768</v>
      </c>
      <c r="X3203" t="s">
        <v>32528</v>
      </c>
    </row>
    <row r="3204" spans="1:24">
      <c r="A3204">
        <f>HYPERLINK("https://www.philgeps.gov.ph/GEPSNONPILOT/Tender/SplashBidNoticeAbstractUI.aspx?menuIndex=3&amp;refID=7044246&amp;Result=3","7044246")</f>
        <v>0</v>
      </c>
      <c r="B3204" t="s">
        <v>1131</v>
      </c>
      <c r="C3204" t="s">
        <v>5735</v>
      </c>
      <c r="D3204" t="s">
        <v>12994</v>
      </c>
      <c r="E3204" t="s">
        <v>13320</v>
      </c>
      <c r="F3204" t="s">
        <v>22436</v>
      </c>
      <c r="G3204" t="s">
        <v>22444</v>
      </c>
      <c r="H3204" t="s">
        <v>22452</v>
      </c>
      <c r="I3204" t="s">
        <v>3529</v>
      </c>
      <c r="J3204" t="s">
        <v>24769</v>
      </c>
      <c r="K3204" t="s">
        <v>29335</v>
      </c>
      <c r="M3204" t="s">
        <v>30770</v>
      </c>
      <c r="N3204" t="s">
        <v>32524</v>
      </c>
      <c r="O3204" t="s">
        <v>32525</v>
      </c>
      <c r="P3204">
        <v>0</v>
      </c>
      <c r="Q3204">
        <v>0</v>
      </c>
      <c r="R3204" t="s">
        <v>32527</v>
      </c>
      <c r="S3204" t="s">
        <v>32552</v>
      </c>
      <c r="T3204" t="s">
        <v>33344</v>
      </c>
      <c r="U3204" t="s">
        <v>36336</v>
      </c>
      <c r="W3204" t="s">
        <v>30770</v>
      </c>
      <c r="X3204" t="s">
        <v>32528</v>
      </c>
    </row>
    <row r="3205" spans="1:24">
      <c r="A3205">
        <f>HYPERLINK("https://www.philgeps.gov.ph/GEPSNONPILOT/Tender/SplashBidNoticeAbstractUI.aspx?menuIndex=3&amp;refID=7044242&amp;Result=3","7044242")</f>
        <v>0</v>
      </c>
      <c r="B3205" t="s">
        <v>1127</v>
      </c>
      <c r="C3205" t="s">
        <v>5721</v>
      </c>
      <c r="D3205" t="s">
        <v>13069</v>
      </c>
      <c r="E3205" t="s">
        <v>15993</v>
      </c>
      <c r="F3205" t="s">
        <v>22436</v>
      </c>
      <c r="G3205" t="s">
        <v>22443</v>
      </c>
      <c r="H3205" t="s">
        <v>22452</v>
      </c>
      <c r="I3205" t="s">
        <v>2993</v>
      </c>
      <c r="J3205" t="s">
        <v>24773</v>
      </c>
      <c r="K3205" t="s">
        <v>29336</v>
      </c>
      <c r="M3205" t="s">
        <v>30766</v>
      </c>
      <c r="N3205" t="s">
        <v>32524</v>
      </c>
      <c r="O3205" t="s">
        <v>32525</v>
      </c>
      <c r="P3205">
        <v>0</v>
      </c>
      <c r="Q3205">
        <v>1</v>
      </c>
      <c r="R3205" t="s">
        <v>32527</v>
      </c>
      <c r="S3205" t="s">
        <v>32552</v>
      </c>
      <c r="T3205" t="s">
        <v>33351</v>
      </c>
      <c r="U3205" t="s">
        <v>36323</v>
      </c>
      <c r="W3205" t="s">
        <v>30766</v>
      </c>
      <c r="X3205" t="s">
        <v>32528</v>
      </c>
    </row>
    <row r="3206" spans="1:24">
      <c r="A3206">
        <f>HYPERLINK("https://www.philgeps.gov.ph/GEPSNONPILOT/Tender/SplashBidNoticeAbstractUI.aspx?menuIndex=3&amp;refID=7044240&amp;Result=3","7044240")</f>
        <v>0</v>
      </c>
      <c r="B3206" t="s">
        <v>1132</v>
      </c>
      <c r="C3206" t="s">
        <v>5736</v>
      </c>
      <c r="D3206" t="s">
        <v>13020</v>
      </c>
      <c r="E3206" t="s">
        <v>15994</v>
      </c>
      <c r="F3206" t="s">
        <v>22436</v>
      </c>
      <c r="G3206" t="s">
        <v>22443</v>
      </c>
      <c r="H3206" t="s">
        <v>22452</v>
      </c>
      <c r="I3206" t="s">
        <v>3827</v>
      </c>
      <c r="J3206" t="s">
        <v>22873</v>
      </c>
      <c r="K3206" t="s">
        <v>29336</v>
      </c>
      <c r="M3206" t="s">
        <v>30772</v>
      </c>
      <c r="N3206" t="s">
        <v>32524</v>
      </c>
      <c r="O3206" t="s">
        <v>32525</v>
      </c>
      <c r="P3206">
        <v>0</v>
      </c>
      <c r="Q3206">
        <v>2</v>
      </c>
      <c r="R3206" t="s">
        <v>32527</v>
      </c>
      <c r="S3206" t="s">
        <v>32552</v>
      </c>
      <c r="T3206" t="s">
        <v>33220</v>
      </c>
      <c r="U3206" t="s">
        <v>36337</v>
      </c>
      <c r="W3206" t="s">
        <v>30772</v>
      </c>
      <c r="X3206" t="s">
        <v>32528</v>
      </c>
    </row>
    <row r="3207" spans="1:24">
      <c r="A3207">
        <f>HYPERLINK("https://www.philgeps.gov.ph/GEPSNONPILOT/Tender/SplashBidNoticeAbstractUI.aspx?menuIndex=3&amp;refID=7044238&amp;Result=3","7044238")</f>
        <v>0</v>
      </c>
      <c r="B3207" t="s">
        <v>1131</v>
      </c>
      <c r="C3207" t="s">
        <v>5737</v>
      </c>
      <c r="D3207" t="s">
        <v>12994</v>
      </c>
      <c r="E3207" t="s">
        <v>13668</v>
      </c>
      <c r="F3207" t="s">
        <v>22436</v>
      </c>
      <c r="G3207" t="s">
        <v>22444</v>
      </c>
      <c r="H3207" t="s">
        <v>22452</v>
      </c>
      <c r="I3207" t="s">
        <v>3529</v>
      </c>
      <c r="J3207" t="s">
        <v>24769</v>
      </c>
      <c r="K3207" t="s">
        <v>29335</v>
      </c>
      <c r="M3207" t="s">
        <v>30770</v>
      </c>
      <c r="N3207" t="s">
        <v>32524</v>
      </c>
      <c r="O3207" t="s">
        <v>32525</v>
      </c>
      <c r="P3207">
        <v>0</v>
      </c>
      <c r="Q3207">
        <v>0</v>
      </c>
      <c r="R3207" t="s">
        <v>32527</v>
      </c>
      <c r="S3207" t="s">
        <v>32552</v>
      </c>
      <c r="T3207" t="s">
        <v>33344</v>
      </c>
      <c r="U3207" t="s">
        <v>36338</v>
      </c>
      <c r="W3207" t="s">
        <v>30770</v>
      </c>
      <c r="X3207" t="s">
        <v>32528</v>
      </c>
    </row>
    <row r="3208" spans="1:24">
      <c r="A3208">
        <f>HYPERLINK("https://www.philgeps.gov.ph/GEPSNONPILOT/Tender/SplashBidNoticeAbstractUI.aspx?menuIndex=3&amp;refID=7044245&amp;Result=3","7044245")</f>
        <v>0</v>
      </c>
      <c r="B3208" t="s">
        <v>1133</v>
      </c>
      <c r="C3208" t="s">
        <v>5738</v>
      </c>
      <c r="D3208" t="s">
        <v>13013</v>
      </c>
      <c r="E3208" t="s">
        <v>13127</v>
      </c>
      <c r="F3208" t="s">
        <v>22437</v>
      </c>
      <c r="G3208" t="s">
        <v>22444</v>
      </c>
      <c r="H3208" t="s">
        <v>22452</v>
      </c>
      <c r="I3208" t="s">
        <v>3529</v>
      </c>
      <c r="J3208" t="s">
        <v>24774</v>
      </c>
      <c r="K3208" t="s">
        <v>29341</v>
      </c>
      <c r="M3208" t="s">
        <v>30773</v>
      </c>
      <c r="N3208" t="s">
        <v>32524</v>
      </c>
      <c r="O3208" t="s">
        <v>32525</v>
      </c>
      <c r="P3208">
        <v>0</v>
      </c>
      <c r="Q3208">
        <v>0</v>
      </c>
      <c r="R3208" t="s">
        <v>32527</v>
      </c>
      <c r="S3208" t="s">
        <v>32552</v>
      </c>
      <c r="T3208" t="s">
        <v>33399</v>
      </c>
      <c r="U3208" t="s">
        <v>36339</v>
      </c>
      <c r="W3208" t="s">
        <v>30773</v>
      </c>
      <c r="X3208" t="s">
        <v>32528</v>
      </c>
    </row>
    <row r="3209" spans="1:24">
      <c r="A3209">
        <f>HYPERLINK("https://www.philgeps.gov.ph/GEPSNONPILOT/Tender/SplashBidNoticeAbstractUI.aspx?menuIndex=3&amp;refID=7044252&amp;Result=3","7044252")</f>
        <v>0</v>
      </c>
      <c r="B3209" t="s">
        <v>1131</v>
      </c>
      <c r="C3209" t="s">
        <v>5739</v>
      </c>
      <c r="D3209" t="s">
        <v>12994</v>
      </c>
      <c r="E3209" t="s">
        <v>14329</v>
      </c>
      <c r="F3209" t="s">
        <v>22436</v>
      </c>
      <c r="G3209" t="s">
        <v>22444</v>
      </c>
      <c r="H3209" t="s">
        <v>22452</v>
      </c>
      <c r="I3209" t="s">
        <v>3529</v>
      </c>
      <c r="J3209" t="s">
        <v>24769</v>
      </c>
      <c r="K3209" t="s">
        <v>29335</v>
      </c>
      <c r="M3209" t="s">
        <v>30770</v>
      </c>
      <c r="N3209" t="s">
        <v>32524</v>
      </c>
      <c r="O3209" t="s">
        <v>32525</v>
      </c>
      <c r="P3209">
        <v>0</v>
      </c>
      <c r="Q3209">
        <v>0</v>
      </c>
      <c r="R3209" t="s">
        <v>32527</v>
      </c>
      <c r="S3209" t="s">
        <v>32552</v>
      </c>
      <c r="T3209" t="s">
        <v>33344</v>
      </c>
      <c r="U3209" t="s">
        <v>36340</v>
      </c>
      <c r="W3209" t="s">
        <v>30770</v>
      </c>
      <c r="X3209" t="s">
        <v>32528</v>
      </c>
    </row>
    <row r="3210" spans="1:24">
      <c r="A3210">
        <f>HYPERLINK("https://www.philgeps.gov.ph/GEPSNONPILOT/Tender/SplashBidNoticeAbstractUI.aspx?menuIndex=3&amp;refID=7044251&amp;Result=3","7044251")</f>
        <v>0</v>
      </c>
      <c r="B3210" t="s">
        <v>1078</v>
      </c>
      <c r="C3210" t="s">
        <v>5740</v>
      </c>
      <c r="D3210" t="s">
        <v>13073</v>
      </c>
      <c r="E3210" t="s">
        <v>15995</v>
      </c>
      <c r="F3210" t="s">
        <v>22436</v>
      </c>
      <c r="G3210" t="s">
        <v>22444</v>
      </c>
      <c r="H3210" t="s">
        <v>22452</v>
      </c>
      <c r="I3210" t="s">
        <v>22456</v>
      </c>
      <c r="J3210" t="s">
        <v>22588</v>
      </c>
      <c r="K3210" t="s">
        <v>29341</v>
      </c>
      <c r="M3210" t="s">
        <v>30713</v>
      </c>
      <c r="N3210" t="s">
        <v>32524</v>
      </c>
      <c r="O3210" t="s">
        <v>32525</v>
      </c>
      <c r="P3210">
        <v>0</v>
      </c>
      <c r="Q3210">
        <v>0</v>
      </c>
      <c r="R3210" t="s">
        <v>32527</v>
      </c>
      <c r="S3210" t="s">
        <v>32552</v>
      </c>
      <c r="T3210" t="s">
        <v>33207</v>
      </c>
      <c r="U3210" t="s">
        <v>36341</v>
      </c>
      <c r="W3210" t="s">
        <v>30713</v>
      </c>
      <c r="X3210" t="s">
        <v>32528</v>
      </c>
    </row>
    <row r="3211" spans="1:24">
      <c r="A3211">
        <f>HYPERLINK("https://www.philgeps.gov.ph/GEPSNONPILOT/Tender/SplashBidNoticeAbstractUI.aspx?menuIndex=3&amp;refID=7044250&amp;Result=3","7044250")</f>
        <v>0</v>
      </c>
      <c r="B3211" t="s">
        <v>1127</v>
      </c>
      <c r="C3211" t="s">
        <v>5741</v>
      </c>
      <c r="D3211" t="s">
        <v>13069</v>
      </c>
      <c r="E3211" t="s">
        <v>15996</v>
      </c>
      <c r="F3211" t="s">
        <v>22436</v>
      </c>
      <c r="G3211" t="s">
        <v>22443</v>
      </c>
      <c r="H3211" t="s">
        <v>22452</v>
      </c>
      <c r="I3211" t="s">
        <v>2993</v>
      </c>
      <c r="J3211" t="s">
        <v>24775</v>
      </c>
      <c r="K3211" t="s">
        <v>29336</v>
      </c>
      <c r="M3211" t="s">
        <v>30766</v>
      </c>
      <c r="N3211" t="s">
        <v>32524</v>
      </c>
      <c r="O3211" t="s">
        <v>32525</v>
      </c>
      <c r="P3211">
        <v>0</v>
      </c>
      <c r="Q3211">
        <v>1</v>
      </c>
      <c r="R3211" t="s">
        <v>32527</v>
      </c>
      <c r="S3211" t="s">
        <v>32552</v>
      </c>
      <c r="T3211" t="s">
        <v>33351</v>
      </c>
      <c r="U3211" t="s">
        <v>36323</v>
      </c>
      <c r="W3211" t="s">
        <v>30766</v>
      </c>
      <c r="X3211" t="s">
        <v>32528</v>
      </c>
    </row>
    <row r="3212" spans="1:24">
      <c r="A3212">
        <f>HYPERLINK("https://www.philgeps.gov.ph/GEPSNONPILOT/Tender/SplashBidNoticeAbstractUI.aspx?menuIndex=3&amp;refID=7044253&amp;Result=3","7044253")</f>
        <v>0</v>
      </c>
      <c r="B3212" t="s">
        <v>1127</v>
      </c>
      <c r="C3212" t="s">
        <v>5742</v>
      </c>
      <c r="D3212" t="s">
        <v>13069</v>
      </c>
      <c r="E3212" t="s">
        <v>15997</v>
      </c>
      <c r="F3212" t="s">
        <v>22436</v>
      </c>
      <c r="G3212" t="s">
        <v>22443</v>
      </c>
      <c r="H3212" t="s">
        <v>22452</v>
      </c>
      <c r="I3212" t="s">
        <v>2993</v>
      </c>
      <c r="J3212" t="s">
        <v>24776</v>
      </c>
      <c r="K3212" t="s">
        <v>29336</v>
      </c>
      <c r="M3212" t="s">
        <v>30766</v>
      </c>
      <c r="N3212" t="s">
        <v>32524</v>
      </c>
      <c r="O3212" t="s">
        <v>32525</v>
      </c>
      <c r="P3212">
        <v>0</v>
      </c>
      <c r="Q3212">
        <v>1</v>
      </c>
      <c r="R3212" t="s">
        <v>32527</v>
      </c>
      <c r="S3212" t="s">
        <v>32552</v>
      </c>
      <c r="T3212" t="s">
        <v>33351</v>
      </c>
      <c r="U3212" t="s">
        <v>36323</v>
      </c>
      <c r="W3212" t="s">
        <v>30766</v>
      </c>
      <c r="X3212" t="s">
        <v>32528</v>
      </c>
    </row>
    <row r="3213" spans="1:24">
      <c r="A3213">
        <f>HYPERLINK("https://www.philgeps.gov.ph/GEPSNONPILOT/Tender/SplashBidNoticeAbstractUI.aspx?menuIndex=3&amp;refID=7044247&amp;Result=3","7044247")</f>
        <v>0</v>
      </c>
      <c r="B3213" t="s">
        <v>1127</v>
      </c>
      <c r="C3213" t="s">
        <v>5743</v>
      </c>
      <c r="D3213" t="s">
        <v>13069</v>
      </c>
      <c r="E3213" t="s">
        <v>15998</v>
      </c>
      <c r="F3213" t="s">
        <v>22436</v>
      </c>
      <c r="G3213" t="s">
        <v>22443</v>
      </c>
      <c r="H3213" t="s">
        <v>22452</v>
      </c>
      <c r="I3213" t="s">
        <v>2993</v>
      </c>
      <c r="J3213" t="s">
        <v>24777</v>
      </c>
      <c r="K3213" t="s">
        <v>29336</v>
      </c>
      <c r="M3213" t="s">
        <v>30766</v>
      </c>
      <c r="N3213" t="s">
        <v>32524</v>
      </c>
      <c r="O3213" t="s">
        <v>32525</v>
      </c>
      <c r="P3213">
        <v>0</v>
      </c>
      <c r="Q3213">
        <v>1</v>
      </c>
      <c r="R3213" t="s">
        <v>32527</v>
      </c>
      <c r="S3213" t="s">
        <v>32552</v>
      </c>
      <c r="T3213" t="s">
        <v>33351</v>
      </c>
      <c r="U3213" t="s">
        <v>36323</v>
      </c>
      <c r="W3213" t="s">
        <v>30766</v>
      </c>
      <c r="X3213" t="s">
        <v>32528</v>
      </c>
    </row>
    <row r="3214" spans="1:24">
      <c r="A3214">
        <f>HYPERLINK("https://www.philgeps.gov.ph/GEPSNONPILOT/Tender/SplashBidNoticeAbstractUI.aspx?menuIndex=3&amp;refID=7044259&amp;Result=3","7044259")</f>
        <v>0</v>
      </c>
      <c r="B3214" t="s">
        <v>612</v>
      </c>
      <c r="C3214" t="s">
        <v>5744</v>
      </c>
      <c r="D3214" t="s">
        <v>13031</v>
      </c>
      <c r="E3214" t="s">
        <v>15999</v>
      </c>
      <c r="F3214" t="s">
        <v>22436</v>
      </c>
      <c r="G3214" t="s">
        <v>22446</v>
      </c>
      <c r="H3214" t="s">
        <v>22453</v>
      </c>
      <c r="I3214" t="s">
        <v>7738</v>
      </c>
      <c r="J3214" t="s">
        <v>23207</v>
      </c>
      <c r="K3214" t="s">
        <v>29356</v>
      </c>
      <c r="M3214" t="s">
        <v>30202</v>
      </c>
      <c r="N3214" t="s">
        <v>32524</v>
      </c>
      <c r="O3214" t="s">
        <v>32525</v>
      </c>
      <c r="P3214">
        <v>0</v>
      </c>
      <c r="Q3214">
        <v>0</v>
      </c>
      <c r="R3214" t="s">
        <v>32527</v>
      </c>
      <c r="S3214" t="s">
        <v>32552</v>
      </c>
      <c r="T3214" t="s">
        <v>33256</v>
      </c>
      <c r="U3214" t="s">
        <v>36342</v>
      </c>
      <c r="W3214" t="s">
        <v>30202</v>
      </c>
      <c r="X3214" t="s">
        <v>32528</v>
      </c>
    </row>
    <row r="3215" spans="1:24">
      <c r="A3215">
        <f>HYPERLINK("https://www.philgeps.gov.ph/GEPSNONPILOT/Tender/SplashBidNoticeAbstractUI.aspx?menuIndex=3&amp;refID=7044254&amp;Result=3","7044254")</f>
        <v>0</v>
      </c>
      <c r="B3215" t="s">
        <v>1073</v>
      </c>
      <c r="C3215" t="s">
        <v>5745</v>
      </c>
      <c r="D3215" t="s">
        <v>13002</v>
      </c>
      <c r="E3215" t="s">
        <v>16000</v>
      </c>
      <c r="F3215" t="s">
        <v>22436</v>
      </c>
      <c r="G3215" t="s">
        <v>22443</v>
      </c>
      <c r="H3215" t="s">
        <v>22452</v>
      </c>
      <c r="I3215" t="s">
        <v>12358</v>
      </c>
      <c r="J3215" t="s">
        <v>24778</v>
      </c>
      <c r="K3215" t="s">
        <v>29336</v>
      </c>
      <c r="M3215" t="s">
        <v>30707</v>
      </c>
      <c r="N3215" t="s">
        <v>32524</v>
      </c>
      <c r="O3215" t="s">
        <v>32525</v>
      </c>
      <c r="P3215">
        <v>0</v>
      </c>
      <c r="Q3215">
        <v>0</v>
      </c>
      <c r="R3215" t="s">
        <v>32527</v>
      </c>
      <c r="S3215" t="s">
        <v>32552</v>
      </c>
      <c r="T3215" t="s">
        <v>33229</v>
      </c>
      <c r="U3215" t="s">
        <v>36133</v>
      </c>
      <c r="W3215" t="s">
        <v>30707</v>
      </c>
      <c r="X3215" t="s">
        <v>32528</v>
      </c>
    </row>
    <row r="3216" spans="1:24">
      <c r="A3216">
        <f>HYPERLINK("https://www.philgeps.gov.ph/GEPSNONPILOT/Tender/SplashBidNoticeAbstractUI.aspx?menuIndex=3&amp;refID=7044249&amp;Result=3","7044249")</f>
        <v>0</v>
      </c>
      <c r="B3216" t="s">
        <v>1127</v>
      </c>
      <c r="C3216" t="s">
        <v>5746</v>
      </c>
      <c r="D3216" t="s">
        <v>13069</v>
      </c>
      <c r="E3216" t="s">
        <v>16001</v>
      </c>
      <c r="F3216" t="s">
        <v>22436</v>
      </c>
      <c r="G3216" t="s">
        <v>22443</v>
      </c>
      <c r="H3216" t="s">
        <v>22452</v>
      </c>
      <c r="I3216" t="s">
        <v>2993</v>
      </c>
      <c r="J3216" t="s">
        <v>24779</v>
      </c>
      <c r="K3216" t="s">
        <v>29336</v>
      </c>
      <c r="M3216" t="s">
        <v>30766</v>
      </c>
      <c r="N3216" t="s">
        <v>32524</v>
      </c>
      <c r="O3216" t="s">
        <v>32525</v>
      </c>
      <c r="P3216">
        <v>0</v>
      </c>
      <c r="Q3216">
        <v>1</v>
      </c>
      <c r="R3216" t="s">
        <v>32527</v>
      </c>
      <c r="S3216" t="s">
        <v>32552</v>
      </c>
      <c r="T3216" t="s">
        <v>33351</v>
      </c>
      <c r="U3216" t="s">
        <v>36323</v>
      </c>
      <c r="W3216" t="s">
        <v>30766</v>
      </c>
      <c r="X3216" t="s">
        <v>32528</v>
      </c>
    </row>
    <row r="3217" spans="1:24">
      <c r="A3217">
        <f>HYPERLINK("https://www.philgeps.gov.ph/GEPSNONPILOT/Tender/SplashBidNoticeAbstractUI.aspx?menuIndex=3&amp;refID=7044257&amp;Result=3","7044257")</f>
        <v>0</v>
      </c>
      <c r="B3217" t="s">
        <v>1127</v>
      </c>
      <c r="C3217" t="s">
        <v>5747</v>
      </c>
      <c r="D3217" t="s">
        <v>13069</v>
      </c>
      <c r="E3217" t="s">
        <v>16002</v>
      </c>
      <c r="F3217" t="s">
        <v>22436</v>
      </c>
      <c r="G3217" t="s">
        <v>22443</v>
      </c>
      <c r="H3217" t="s">
        <v>22452</v>
      </c>
      <c r="I3217" t="s">
        <v>5194</v>
      </c>
      <c r="J3217" t="s">
        <v>24780</v>
      </c>
      <c r="K3217" t="s">
        <v>29336</v>
      </c>
      <c r="M3217" t="s">
        <v>30766</v>
      </c>
      <c r="N3217" t="s">
        <v>32524</v>
      </c>
      <c r="O3217" t="s">
        <v>32525</v>
      </c>
      <c r="P3217">
        <v>0</v>
      </c>
      <c r="Q3217">
        <v>2</v>
      </c>
      <c r="R3217" t="s">
        <v>32527</v>
      </c>
      <c r="S3217" t="s">
        <v>32552</v>
      </c>
      <c r="T3217" t="s">
        <v>33351</v>
      </c>
      <c r="U3217" t="s">
        <v>36323</v>
      </c>
      <c r="W3217" t="s">
        <v>30766</v>
      </c>
      <c r="X3217" t="s">
        <v>32528</v>
      </c>
    </row>
    <row r="3218" spans="1:24">
      <c r="A3218">
        <f>HYPERLINK("https://www.philgeps.gov.ph/GEPSNONPILOT/Tender/SplashBidNoticeAbstractUI.aspx?menuIndex=3&amp;refID=7044256&amp;Result=3","7044256")</f>
        <v>0</v>
      </c>
      <c r="B3218" t="s">
        <v>1127</v>
      </c>
      <c r="C3218" t="s">
        <v>5748</v>
      </c>
      <c r="D3218" t="s">
        <v>13069</v>
      </c>
      <c r="E3218" t="s">
        <v>16003</v>
      </c>
      <c r="F3218" t="s">
        <v>22436</v>
      </c>
      <c r="G3218" t="s">
        <v>22443</v>
      </c>
      <c r="H3218" t="s">
        <v>22452</v>
      </c>
      <c r="I3218" t="s">
        <v>2993</v>
      </c>
      <c r="J3218" t="s">
        <v>24781</v>
      </c>
      <c r="K3218" t="s">
        <v>29336</v>
      </c>
      <c r="M3218" t="s">
        <v>30766</v>
      </c>
      <c r="N3218" t="s">
        <v>32524</v>
      </c>
      <c r="O3218" t="s">
        <v>32525</v>
      </c>
      <c r="P3218">
        <v>0</v>
      </c>
      <c r="Q3218">
        <v>1</v>
      </c>
      <c r="R3218" t="s">
        <v>32527</v>
      </c>
      <c r="S3218" t="s">
        <v>32552</v>
      </c>
      <c r="T3218" t="s">
        <v>33351</v>
      </c>
      <c r="U3218" t="s">
        <v>36323</v>
      </c>
      <c r="W3218" t="s">
        <v>30766</v>
      </c>
      <c r="X3218" t="s">
        <v>32528</v>
      </c>
    </row>
    <row r="3219" spans="1:24">
      <c r="A3219">
        <f>HYPERLINK("https://www.philgeps.gov.ph/GEPSNONPILOT/Tender/SplashBidNoticeAbstractUI.aspx?menuIndex=3&amp;refID=7044255&amp;Result=3","7044255")</f>
        <v>0</v>
      </c>
      <c r="B3219" t="s">
        <v>1129</v>
      </c>
      <c r="C3219" t="s">
        <v>5749</v>
      </c>
      <c r="D3219" t="s">
        <v>13025</v>
      </c>
      <c r="E3219" t="s">
        <v>16004</v>
      </c>
      <c r="F3219" t="s">
        <v>22436</v>
      </c>
      <c r="G3219" t="s">
        <v>22444</v>
      </c>
      <c r="H3219" t="s">
        <v>22452</v>
      </c>
      <c r="I3219" t="s">
        <v>3827</v>
      </c>
      <c r="J3219" t="s">
        <v>24782</v>
      </c>
      <c r="K3219" t="s">
        <v>29335</v>
      </c>
      <c r="M3219" t="s">
        <v>30768</v>
      </c>
      <c r="N3219" t="s">
        <v>32524</v>
      </c>
      <c r="O3219" t="s">
        <v>32525</v>
      </c>
      <c r="P3219">
        <v>0</v>
      </c>
      <c r="Q3219">
        <v>0</v>
      </c>
      <c r="R3219" t="s">
        <v>32527</v>
      </c>
      <c r="S3219" t="s">
        <v>32552</v>
      </c>
      <c r="T3219" t="s">
        <v>33283</v>
      </c>
      <c r="U3219" t="s">
        <v>36343</v>
      </c>
      <c r="W3219" t="s">
        <v>30768</v>
      </c>
      <c r="X3219" t="s">
        <v>32528</v>
      </c>
    </row>
    <row r="3220" spans="1:24">
      <c r="A3220">
        <f>HYPERLINK("https://www.philgeps.gov.ph/GEPSNONPILOT/Tender/SplashBidNoticeAbstractUI.aspx?menuIndex=3&amp;refID=7044258&amp;Result=3","7044258")</f>
        <v>0</v>
      </c>
      <c r="B3220" t="s">
        <v>1127</v>
      </c>
      <c r="C3220" t="s">
        <v>5750</v>
      </c>
      <c r="D3220" t="s">
        <v>13069</v>
      </c>
      <c r="E3220" t="s">
        <v>16005</v>
      </c>
      <c r="F3220" t="s">
        <v>22436</v>
      </c>
      <c r="G3220" t="s">
        <v>22443</v>
      </c>
      <c r="H3220" t="s">
        <v>22452</v>
      </c>
      <c r="I3220" t="s">
        <v>2993</v>
      </c>
      <c r="J3220" t="s">
        <v>24779</v>
      </c>
      <c r="K3220" t="s">
        <v>29336</v>
      </c>
      <c r="M3220" t="s">
        <v>30766</v>
      </c>
      <c r="N3220" t="s">
        <v>32524</v>
      </c>
      <c r="O3220" t="s">
        <v>32525</v>
      </c>
      <c r="P3220">
        <v>0</v>
      </c>
      <c r="Q3220">
        <v>1</v>
      </c>
      <c r="R3220" t="s">
        <v>32527</v>
      </c>
      <c r="S3220" t="s">
        <v>32552</v>
      </c>
      <c r="T3220" t="s">
        <v>33351</v>
      </c>
      <c r="U3220" t="s">
        <v>36344</v>
      </c>
      <c r="W3220" t="s">
        <v>30766</v>
      </c>
      <c r="X3220" t="s">
        <v>32528</v>
      </c>
    </row>
    <row r="3221" spans="1:24">
      <c r="A3221">
        <f>HYPERLINK("https://www.philgeps.gov.ph/GEPSNONPILOT/Tender/SplashBidNoticeAbstractUI.aspx?menuIndex=3&amp;refID=7044262&amp;Result=3","7044262")</f>
        <v>0</v>
      </c>
      <c r="B3221" t="s">
        <v>1134</v>
      </c>
      <c r="C3221" t="s">
        <v>5751</v>
      </c>
      <c r="D3221" t="s">
        <v>13037</v>
      </c>
      <c r="E3221" t="s">
        <v>16006</v>
      </c>
      <c r="F3221" t="s">
        <v>22436</v>
      </c>
      <c r="G3221" t="s">
        <v>22445</v>
      </c>
      <c r="H3221" t="s">
        <v>22452</v>
      </c>
      <c r="I3221" t="s">
        <v>22476</v>
      </c>
      <c r="J3221" t="s">
        <v>23215</v>
      </c>
      <c r="K3221" t="s">
        <v>29356</v>
      </c>
      <c r="M3221" t="s">
        <v>30774</v>
      </c>
      <c r="N3221" t="s">
        <v>32524</v>
      </c>
      <c r="O3221" t="s">
        <v>32525</v>
      </c>
      <c r="P3221">
        <v>0</v>
      </c>
      <c r="Q3221">
        <v>1</v>
      </c>
      <c r="R3221" t="s">
        <v>32527</v>
      </c>
      <c r="S3221" t="s">
        <v>32552</v>
      </c>
      <c r="T3221" t="s">
        <v>33161</v>
      </c>
      <c r="U3221" t="s">
        <v>36345</v>
      </c>
      <c r="V3221" t="s">
        <v>42724</v>
      </c>
      <c r="W3221" t="s">
        <v>30774</v>
      </c>
      <c r="X3221" t="s">
        <v>32528</v>
      </c>
    </row>
    <row r="3222" spans="1:24">
      <c r="A3222">
        <f>HYPERLINK("https://www.philgeps.gov.ph/GEPSNONPILOT/Tender/SplashBidNoticeAbstractUI.aspx?menuIndex=3&amp;refID=7044260&amp;Result=3","7044260")</f>
        <v>0</v>
      </c>
      <c r="B3222" t="s">
        <v>1073</v>
      </c>
      <c r="C3222" t="s">
        <v>5752</v>
      </c>
      <c r="D3222" t="s">
        <v>13002</v>
      </c>
      <c r="E3222" t="s">
        <v>16007</v>
      </c>
      <c r="F3222" t="s">
        <v>22436</v>
      </c>
      <c r="G3222" t="s">
        <v>22443</v>
      </c>
      <c r="H3222" t="s">
        <v>22452</v>
      </c>
      <c r="I3222" t="s">
        <v>12358</v>
      </c>
      <c r="J3222" t="s">
        <v>24783</v>
      </c>
      <c r="K3222" t="s">
        <v>29336</v>
      </c>
      <c r="M3222" t="s">
        <v>30707</v>
      </c>
      <c r="N3222" t="s">
        <v>32524</v>
      </c>
      <c r="O3222" t="s">
        <v>32525</v>
      </c>
      <c r="P3222">
        <v>0</v>
      </c>
      <c r="Q3222">
        <v>0</v>
      </c>
      <c r="R3222" t="s">
        <v>32527</v>
      </c>
      <c r="S3222" t="s">
        <v>32552</v>
      </c>
      <c r="T3222" t="s">
        <v>33229</v>
      </c>
      <c r="U3222" t="s">
        <v>36346</v>
      </c>
      <c r="W3222" t="s">
        <v>30707</v>
      </c>
      <c r="X3222" t="s">
        <v>32528</v>
      </c>
    </row>
    <row r="3223" spans="1:24">
      <c r="A3223">
        <f>HYPERLINK("https://www.philgeps.gov.ph/GEPSNONPILOT/Tender/SplashBidNoticeAbstractUI.aspx?menuIndex=3&amp;refID=7044244&amp;Result=3","7044244")</f>
        <v>0</v>
      </c>
      <c r="B3223" t="s">
        <v>1135</v>
      </c>
      <c r="C3223" t="s">
        <v>5753</v>
      </c>
      <c r="D3223" t="s">
        <v>12999</v>
      </c>
      <c r="E3223" t="s">
        <v>13535</v>
      </c>
      <c r="F3223" t="s">
        <v>22436</v>
      </c>
      <c r="G3223" t="s">
        <v>22446</v>
      </c>
      <c r="H3223" t="s">
        <v>22454</v>
      </c>
      <c r="I3223" t="s">
        <v>3529</v>
      </c>
      <c r="J3223" t="s">
        <v>24784</v>
      </c>
      <c r="K3223" t="s">
        <v>29338</v>
      </c>
      <c r="M3223" t="s">
        <v>30775</v>
      </c>
      <c r="N3223" t="s">
        <v>32524</v>
      </c>
      <c r="O3223" t="s">
        <v>32525</v>
      </c>
      <c r="P3223">
        <v>0</v>
      </c>
      <c r="Q3223">
        <v>0</v>
      </c>
      <c r="R3223" t="s">
        <v>32527</v>
      </c>
      <c r="S3223" t="s">
        <v>32552</v>
      </c>
      <c r="T3223" t="s">
        <v>33256</v>
      </c>
      <c r="U3223" t="s">
        <v>36347</v>
      </c>
      <c r="W3223" t="s">
        <v>30775</v>
      </c>
      <c r="X3223" t="s">
        <v>32528</v>
      </c>
    </row>
    <row r="3224" spans="1:24">
      <c r="A3224">
        <f>HYPERLINK("https://www.philgeps.gov.ph/GEPSNONPILOT/Tender/SplashBidNoticeAbstractUI.aspx?menuIndex=3&amp;refID=7044261&amp;Result=3","7044261")</f>
        <v>0</v>
      </c>
      <c r="B3224" t="s">
        <v>1136</v>
      </c>
      <c r="C3224" t="s">
        <v>5754</v>
      </c>
      <c r="D3224" t="s">
        <v>13019</v>
      </c>
      <c r="E3224" t="s">
        <v>16008</v>
      </c>
      <c r="F3224" t="s">
        <v>22436</v>
      </c>
      <c r="G3224" t="s">
        <v>22444</v>
      </c>
      <c r="H3224" t="s">
        <v>22454</v>
      </c>
      <c r="I3224" t="s">
        <v>7738</v>
      </c>
      <c r="J3224" t="s">
        <v>24785</v>
      </c>
      <c r="K3224" t="s">
        <v>29438</v>
      </c>
      <c r="M3224" t="s">
        <v>30776</v>
      </c>
      <c r="N3224" t="s">
        <v>32524</v>
      </c>
      <c r="O3224" t="s">
        <v>32525</v>
      </c>
      <c r="P3224">
        <v>0</v>
      </c>
      <c r="Q3224">
        <v>0</v>
      </c>
      <c r="R3224" t="s">
        <v>32527</v>
      </c>
      <c r="S3224" t="s">
        <v>32552</v>
      </c>
      <c r="T3224" t="s">
        <v>33207</v>
      </c>
      <c r="U3224" t="s">
        <v>36348</v>
      </c>
      <c r="W3224" t="s">
        <v>30776</v>
      </c>
      <c r="X3224" t="s">
        <v>32528</v>
      </c>
    </row>
    <row r="3225" spans="1:24">
      <c r="A3225">
        <f>HYPERLINK("https://www.philgeps.gov.ph/GEPSNONPILOT/Tender/SplashBidNoticeAbstractUI.aspx?menuIndex=3&amp;refID=7044265&amp;Result=3","7044265")</f>
        <v>0</v>
      </c>
      <c r="B3225" t="s">
        <v>602</v>
      </c>
      <c r="C3225" t="s">
        <v>5755</v>
      </c>
      <c r="D3225" t="s">
        <v>13031</v>
      </c>
      <c r="E3225" t="s">
        <v>16009</v>
      </c>
      <c r="F3225" t="s">
        <v>22436</v>
      </c>
      <c r="G3225" t="s">
        <v>22447</v>
      </c>
      <c r="H3225" t="s">
        <v>22452</v>
      </c>
      <c r="I3225" t="s">
        <v>3529</v>
      </c>
      <c r="J3225" t="s">
        <v>24786</v>
      </c>
      <c r="K3225" t="s">
        <v>29341</v>
      </c>
      <c r="M3225" t="s">
        <v>30777</v>
      </c>
      <c r="N3225" t="s">
        <v>32524</v>
      </c>
      <c r="O3225" t="s">
        <v>32525</v>
      </c>
      <c r="P3225">
        <v>0</v>
      </c>
      <c r="Q3225">
        <v>1</v>
      </c>
      <c r="R3225" t="s">
        <v>32527</v>
      </c>
      <c r="S3225" t="s">
        <v>32552</v>
      </c>
      <c r="T3225" t="s">
        <v>33177</v>
      </c>
      <c r="U3225" t="s">
        <v>36349</v>
      </c>
      <c r="W3225" t="s">
        <v>30777</v>
      </c>
      <c r="X3225" t="s">
        <v>32528</v>
      </c>
    </row>
    <row r="3226" spans="1:24">
      <c r="A3226">
        <f>HYPERLINK("https://www.philgeps.gov.ph/GEPSNONPILOT/Tender/SplashBidNoticeAbstractUI.aspx?menuIndex=3&amp;refID=7044264&amp;Result=3","7044264")</f>
        <v>0</v>
      </c>
      <c r="B3226" t="s">
        <v>1136</v>
      </c>
      <c r="C3226" t="s">
        <v>5756</v>
      </c>
      <c r="D3226" t="s">
        <v>13019</v>
      </c>
      <c r="E3226" t="s">
        <v>16010</v>
      </c>
      <c r="F3226" t="s">
        <v>22436</v>
      </c>
      <c r="G3226" t="s">
        <v>22444</v>
      </c>
      <c r="H3226" t="s">
        <v>22454</v>
      </c>
      <c r="I3226" t="s">
        <v>7738</v>
      </c>
      <c r="J3226" t="s">
        <v>24787</v>
      </c>
      <c r="K3226" t="s">
        <v>29335</v>
      </c>
      <c r="M3226" t="s">
        <v>30776</v>
      </c>
      <c r="N3226" t="s">
        <v>32524</v>
      </c>
      <c r="O3226" t="s">
        <v>32525</v>
      </c>
      <c r="P3226">
        <v>0</v>
      </c>
      <c r="Q3226">
        <v>0</v>
      </c>
      <c r="R3226" t="s">
        <v>32527</v>
      </c>
      <c r="S3226" t="s">
        <v>32552</v>
      </c>
      <c r="T3226" t="s">
        <v>33207</v>
      </c>
      <c r="U3226" t="s">
        <v>36350</v>
      </c>
      <c r="W3226" t="s">
        <v>30776</v>
      </c>
      <c r="X3226" t="s">
        <v>32528</v>
      </c>
    </row>
    <row r="3227" spans="1:24">
      <c r="A3227">
        <f>HYPERLINK("https://www.philgeps.gov.ph/GEPSNONPILOT/Tender/SplashBidNoticeAbstractUI.aspx?menuIndex=3&amp;refID=7044275&amp;Result=3","7044275")</f>
        <v>0</v>
      </c>
      <c r="B3227" t="s">
        <v>819</v>
      </c>
      <c r="C3227" t="s">
        <v>5757</v>
      </c>
      <c r="D3227" t="s">
        <v>13040</v>
      </c>
      <c r="E3227" t="s">
        <v>16011</v>
      </c>
      <c r="F3227" t="s">
        <v>22436</v>
      </c>
      <c r="G3227" t="s">
        <v>22444</v>
      </c>
      <c r="H3227" t="s">
        <v>22454</v>
      </c>
      <c r="I3227" t="s">
        <v>7738</v>
      </c>
      <c r="J3227" t="s">
        <v>24788</v>
      </c>
      <c r="K3227" t="s">
        <v>29338</v>
      </c>
      <c r="M3227" t="s">
        <v>30778</v>
      </c>
      <c r="N3227" t="s">
        <v>32524</v>
      </c>
      <c r="O3227" t="s">
        <v>32525</v>
      </c>
      <c r="P3227">
        <v>0</v>
      </c>
      <c r="Q3227">
        <v>0</v>
      </c>
      <c r="R3227" t="s">
        <v>32527</v>
      </c>
      <c r="S3227" t="s">
        <v>32552</v>
      </c>
      <c r="T3227" t="s">
        <v>33165</v>
      </c>
      <c r="U3227" t="s">
        <v>36351</v>
      </c>
      <c r="W3227" t="s">
        <v>30778</v>
      </c>
      <c r="X3227" t="s">
        <v>32528</v>
      </c>
    </row>
    <row r="3228" spans="1:24">
      <c r="A3228">
        <f>HYPERLINK("https://www.philgeps.gov.ph/GEPSNONPILOT/Tender/SplashBidNoticeAbstractUI.aspx?menuIndex=3&amp;refID=7044263&amp;Result=3","7044263")</f>
        <v>0</v>
      </c>
      <c r="B3228" t="s">
        <v>1073</v>
      </c>
      <c r="C3228" t="s">
        <v>5758</v>
      </c>
      <c r="D3228" t="s">
        <v>13002</v>
      </c>
      <c r="E3228" t="s">
        <v>16012</v>
      </c>
      <c r="F3228" t="s">
        <v>22436</v>
      </c>
      <c r="G3228" t="s">
        <v>22443</v>
      </c>
      <c r="H3228" t="s">
        <v>22452</v>
      </c>
      <c r="I3228" t="s">
        <v>12358</v>
      </c>
      <c r="J3228" t="s">
        <v>22878</v>
      </c>
      <c r="K3228" t="s">
        <v>29336</v>
      </c>
      <c r="M3228" t="s">
        <v>30707</v>
      </c>
      <c r="N3228" t="s">
        <v>32524</v>
      </c>
      <c r="O3228" t="s">
        <v>32525</v>
      </c>
      <c r="P3228">
        <v>0</v>
      </c>
      <c r="Q3228">
        <v>0</v>
      </c>
      <c r="R3228" t="s">
        <v>32527</v>
      </c>
      <c r="S3228" t="s">
        <v>32552</v>
      </c>
      <c r="T3228" t="s">
        <v>33229</v>
      </c>
      <c r="U3228" t="s">
        <v>36346</v>
      </c>
      <c r="W3228" t="s">
        <v>30707</v>
      </c>
      <c r="X3228" t="s">
        <v>32528</v>
      </c>
    </row>
    <row r="3229" spans="1:24">
      <c r="A3229">
        <f>HYPERLINK("https://www.philgeps.gov.ph/GEPSNONPILOT/Tender/SplashBidNoticeAbstractUI.aspx?menuIndex=3&amp;refID=7044267&amp;Result=3","7044267")</f>
        <v>0</v>
      </c>
      <c r="B3229" t="s">
        <v>819</v>
      </c>
      <c r="C3229" t="s">
        <v>5759</v>
      </c>
      <c r="D3229" t="s">
        <v>13040</v>
      </c>
      <c r="E3229" t="s">
        <v>16013</v>
      </c>
      <c r="F3229" t="s">
        <v>22436</v>
      </c>
      <c r="G3229" t="s">
        <v>22444</v>
      </c>
      <c r="H3229" t="s">
        <v>22454</v>
      </c>
      <c r="I3229" t="s">
        <v>7738</v>
      </c>
      <c r="J3229" t="s">
        <v>23713</v>
      </c>
      <c r="K3229" t="s">
        <v>29338</v>
      </c>
      <c r="M3229" t="s">
        <v>30778</v>
      </c>
      <c r="N3229" t="s">
        <v>32524</v>
      </c>
      <c r="O3229" t="s">
        <v>32525</v>
      </c>
      <c r="P3229">
        <v>0</v>
      </c>
      <c r="Q3229">
        <v>0</v>
      </c>
      <c r="R3229" t="s">
        <v>32527</v>
      </c>
      <c r="S3229" t="s">
        <v>32552</v>
      </c>
      <c r="T3229" t="s">
        <v>33165</v>
      </c>
      <c r="U3229" t="s">
        <v>36352</v>
      </c>
      <c r="W3229" t="s">
        <v>30778</v>
      </c>
      <c r="X3229" t="s">
        <v>32528</v>
      </c>
    </row>
    <row r="3230" spans="1:24">
      <c r="A3230">
        <f>HYPERLINK("https://www.philgeps.gov.ph/GEPSNONPILOT/Tender/SplashBidNoticeAbstractUI.aspx?menuIndex=3&amp;refID=7044266&amp;Result=3","7044266")</f>
        <v>0</v>
      </c>
      <c r="B3230" t="s">
        <v>819</v>
      </c>
      <c r="C3230" t="s">
        <v>5760</v>
      </c>
      <c r="D3230" t="s">
        <v>13040</v>
      </c>
      <c r="E3230" t="s">
        <v>16014</v>
      </c>
      <c r="F3230" t="s">
        <v>22436</v>
      </c>
      <c r="G3230" t="s">
        <v>22444</v>
      </c>
      <c r="H3230" t="s">
        <v>22454</v>
      </c>
      <c r="I3230" t="s">
        <v>7738</v>
      </c>
      <c r="J3230" t="s">
        <v>23713</v>
      </c>
      <c r="K3230" t="s">
        <v>29338</v>
      </c>
      <c r="M3230" t="s">
        <v>30778</v>
      </c>
      <c r="N3230" t="s">
        <v>32524</v>
      </c>
      <c r="O3230" t="s">
        <v>32525</v>
      </c>
      <c r="P3230">
        <v>0</v>
      </c>
      <c r="Q3230">
        <v>0</v>
      </c>
      <c r="R3230" t="s">
        <v>32527</v>
      </c>
      <c r="S3230" t="s">
        <v>32552</v>
      </c>
      <c r="T3230" t="s">
        <v>33165</v>
      </c>
      <c r="U3230" t="s">
        <v>36353</v>
      </c>
      <c r="W3230" t="s">
        <v>30778</v>
      </c>
      <c r="X3230" t="s">
        <v>32528</v>
      </c>
    </row>
    <row r="3231" spans="1:24">
      <c r="A3231">
        <f>HYPERLINK("https://www.philgeps.gov.ph/GEPSNONPILOT/Tender/SplashBidNoticeAbstractUI.aspx?menuIndex=3&amp;refID=7044269&amp;Result=3","7044269")</f>
        <v>0</v>
      </c>
      <c r="B3231" t="s">
        <v>1136</v>
      </c>
      <c r="C3231" t="s">
        <v>5761</v>
      </c>
      <c r="D3231" t="s">
        <v>13019</v>
      </c>
      <c r="E3231" t="s">
        <v>16015</v>
      </c>
      <c r="F3231" t="s">
        <v>22436</v>
      </c>
      <c r="G3231" t="s">
        <v>22444</v>
      </c>
      <c r="H3231" t="s">
        <v>22454</v>
      </c>
      <c r="I3231" t="s">
        <v>7738</v>
      </c>
      <c r="J3231" t="s">
        <v>24789</v>
      </c>
      <c r="K3231" t="s">
        <v>29387</v>
      </c>
      <c r="M3231" t="s">
        <v>30776</v>
      </c>
      <c r="N3231" t="s">
        <v>32524</v>
      </c>
      <c r="O3231" t="s">
        <v>32525</v>
      </c>
      <c r="P3231">
        <v>0</v>
      </c>
      <c r="Q3231">
        <v>0</v>
      </c>
      <c r="R3231" t="s">
        <v>32527</v>
      </c>
      <c r="S3231" t="s">
        <v>32552</v>
      </c>
      <c r="T3231" t="s">
        <v>33207</v>
      </c>
      <c r="U3231" t="s">
        <v>36354</v>
      </c>
      <c r="W3231" t="s">
        <v>30776</v>
      </c>
      <c r="X3231" t="s">
        <v>32528</v>
      </c>
    </row>
    <row r="3232" spans="1:24">
      <c r="A3232">
        <f>HYPERLINK("https://www.philgeps.gov.ph/GEPSNONPILOT/Tender/SplashBidNoticeAbstractUI.aspx?menuIndex=3&amp;refID=7044272&amp;Result=3","7044272")</f>
        <v>0</v>
      </c>
      <c r="B3232" t="s">
        <v>819</v>
      </c>
      <c r="C3232" t="s">
        <v>5762</v>
      </c>
      <c r="D3232" t="s">
        <v>13040</v>
      </c>
      <c r="E3232" t="s">
        <v>16016</v>
      </c>
      <c r="F3232" t="s">
        <v>22436</v>
      </c>
      <c r="G3232" t="s">
        <v>22444</v>
      </c>
      <c r="H3232" t="s">
        <v>22454</v>
      </c>
      <c r="I3232" t="s">
        <v>7738</v>
      </c>
      <c r="J3232" t="s">
        <v>24790</v>
      </c>
      <c r="K3232" t="s">
        <v>29338</v>
      </c>
      <c r="M3232" t="s">
        <v>30778</v>
      </c>
      <c r="N3232" t="s">
        <v>32524</v>
      </c>
      <c r="O3232" t="s">
        <v>32525</v>
      </c>
      <c r="P3232">
        <v>0</v>
      </c>
      <c r="Q3232">
        <v>0</v>
      </c>
      <c r="R3232" t="s">
        <v>32527</v>
      </c>
      <c r="S3232" t="s">
        <v>32552</v>
      </c>
      <c r="T3232" t="s">
        <v>33165</v>
      </c>
      <c r="U3232" t="s">
        <v>36355</v>
      </c>
      <c r="W3232" t="s">
        <v>30778</v>
      </c>
      <c r="X3232" t="s">
        <v>32528</v>
      </c>
    </row>
    <row r="3233" spans="1:24">
      <c r="A3233">
        <f>HYPERLINK("https://www.philgeps.gov.ph/GEPSNONPILOT/Tender/SplashBidNoticeAbstractUI.aspx?menuIndex=3&amp;refID=7044273&amp;Result=3","7044273")</f>
        <v>0</v>
      </c>
      <c r="B3233" t="s">
        <v>819</v>
      </c>
      <c r="C3233" t="s">
        <v>5763</v>
      </c>
      <c r="D3233" t="s">
        <v>13040</v>
      </c>
      <c r="E3233" t="s">
        <v>16017</v>
      </c>
      <c r="F3233" t="s">
        <v>22436</v>
      </c>
      <c r="G3233" t="s">
        <v>22444</v>
      </c>
      <c r="H3233" t="s">
        <v>22454</v>
      </c>
      <c r="I3233" t="s">
        <v>7738</v>
      </c>
      <c r="J3233" t="s">
        <v>23713</v>
      </c>
      <c r="K3233" t="s">
        <v>29338</v>
      </c>
      <c r="M3233" t="s">
        <v>30778</v>
      </c>
      <c r="N3233" t="s">
        <v>32524</v>
      </c>
      <c r="O3233" t="s">
        <v>32525</v>
      </c>
      <c r="P3233">
        <v>0</v>
      </c>
      <c r="Q3233">
        <v>0</v>
      </c>
      <c r="R3233" t="s">
        <v>32527</v>
      </c>
      <c r="S3233" t="s">
        <v>32552</v>
      </c>
      <c r="T3233" t="s">
        <v>33165</v>
      </c>
      <c r="U3233" t="s">
        <v>36356</v>
      </c>
      <c r="W3233" t="s">
        <v>30778</v>
      </c>
      <c r="X3233" t="s">
        <v>32528</v>
      </c>
    </row>
    <row r="3234" spans="1:24">
      <c r="A3234">
        <f>HYPERLINK("https://www.philgeps.gov.ph/GEPSNONPILOT/Tender/SplashBidNoticeAbstractUI.aspx?menuIndex=3&amp;refID=7044268&amp;Result=3","7044268")</f>
        <v>0</v>
      </c>
      <c r="B3234" t="s">
        <v>1137</v>
      </c>
      <c r="C3234" t="s">
        <v>5764</v>
      </c>
      <c r="D3234" t="s">
        <v>13025</v>
      </c>
      <c r="E3234" t="s">
        <v>15263</v>
      </c>
      <c r="F3234" t="s">
        <v>22436</v>
      </c>
      <c r="G3234" t="s">
        <v>22444</v>
      </c>
      <c r="H3234" t="s">
        <v>22452</v>
      </c>
      <c r="I3234" t="s">
        <v>3529</v>
      </c>
      <c r="J3234" t="s">
        <v>24791</v>
      </c>
      <c r="K3234" t="s">
        <v>29331</v>
      </c>
      <c r="M3234" t="s">
        <v>30779</v>
      </c>
      <c r="N3234" t="s">
        <v>32524</v>
      </c>
      <c r="O3234" t="s">
        <v>32525</v>
      </c>
      <c r="P3234">
        <v>0</v>
      </c>
      <c r="Q3234">
        <v>0</v>
      </c>
      <c r="R3234" t="s">
        <v>32527</v>
      </c>
      <c r="S3234" t="s">
        <v>32552</v>
      </c>
      <c r="T3234" t="s">
        <v>33155</v>
      </c>
      <c r="U3234" t="s">
        <v>36357</v>
      </c>
      <c r="W3234" t="s">
        <v>30779</v>
      </c>
      <c r="X3234" t="s">
        <v>32528</v>
      </c>
    </row>
    <row r="3235" spans="1:24">
      <c r="A3235">
        <f>HYPERLINK("https://www.philgeps.gov.ph/GEPSNONPILOT/Tender/SplashBidNoticeAbstractUI.aspx?menuIndex=3&amp;refID=7044281&amp;Result=3","7044281")</f>
        <v>0</v>
      </c>
      <c r="B3235" t="s">
        <v>1136</v>
      </c>
      <c r="C3235" t="s">
        <v>3905</v>
      </c>
      <c r="D3235" t="s">
        <v>13019</v>
      </c>
      <c r="E3235" t="s">
        <v>16018</v>
      </c>
      <c r="F3235" t="s">
        <v>22436</v>
      </c>
      <c r="G3235" t="s">
        <v>22444</v>
      </c>
      <c r="H3235" t="s">
        <v>22452</v>
      </c>
      <c r="I3235" t="s">
        <v>22506</v>
      </c>
      <c r="J3235" t="s">
        <v>24792</v>
      </c>
      <c r="K3235" t="s">
        <v>29335</v>
      </c>
      <c r="M3235" t="s">
        <v>30776</v>
      </c>
      <c r="N3235" t="s">
        <v>32524</v>
      </c>
      <c r="O3235" t="s">
        <v>32525</v>
      </c>
      <c r="P3235">
        <v>0</v>
      </c>
      <c r="Q3235">
        <v>4</v>
      </c>
      <c r="R3235" t="s">
        <v>32527</v>
      </c>
      <c r="S3235" t="s">
        <v>32552</v>
      </c>
      <c r="T3235" t="s">
        <v>33207</v>
      </c>
      <c r="U3235" t="s">
        <v>36358</v>
      </c>
      <c r="W3235" t="s">
        <v>30776</v>
      </c>
      <c r="X3235" t="s">
        <v>32528</v>
      </c>
    </row>
    <row r="3236" spans="1:24">
      <c r="A3236">
        <f>HYPERLINK("https://www.philgeps.gov.ph/GEPSNONPILOT/Tender/SplashBidNoticeAbstractUI.aspx?menuIndex=3&amp;refID=7044270&amp;Result=3","7044270")</f>
        <v>0</v>
      </c>
      <c r="B3236" t="s">
        <v>1078</v>
      </c>
      <c r="C3236" t="s">
        <v>5765</v>
      </c>
      <c r="D3236" t="s">
        <v>13073</v>
      </c>
      <c r="E3236" t="s">
        <v>16019</v>
      </c>
      <c r="F3236" t="s">
        <v>22436</v>
      </c>
      <c r="G3236" t="s">
        <v>22444</v>
      </c>
      <c r="H3236" t="s">
        <v>22452</v>
      </c>
      <c r="I3236" t="s">
        <v>6387</v>
      </c>
      <c r="J3236" t="s">
        <v>24793</v>
      </c>
      <c r="K3236" t="s">
        <v>29341</v>
      </c>
      <c r="M3236" t="s">
        <v>30713</v>
      </c>
      <c r="N3236" t="s">
        <v>32524</v>
      </c>
      <c r="O3236" t="s">
        <v>32525</v>
      </c>
      <c r="P3236">
        <v>0</v>
      </c>
      <c r="Q3236">
        <v>0</v>
      </c>
      <c r="R3236" t="s">
        <v>32527</v>
      </c>
      <c r="S3236" t="s">
        <v>32552</v>
      </c>
      <c r="T3236" t="s">
        <v>33207</v>
      </c>
      <c r="U3236" t="s">
        <v>36359</v>
      </c>
      <c r="W3236" t="s">
        <v>30713</v>
      </c>
      <c r="X3236" t="s">
        <v>32528</v>
      </c>
    </row>
    <row r="3237" spans="1:24">
      <c r="A3237">
        <f>HYPERLINK("https://www.philgeps.gov.ph/GEPSNONPILOT/Tender/SplashBidNoticeAbstractUI.aspx?menuIndex=3&amp;refID=7044279&amp;Result=3","7044279")</f>
        <v>0</v>
      </c>
      <c r="B3237" t="s">
        <v>1136</v>
      </c>
      <c r="C3237" t="s">
        <v>5766</v>
      </c>
      <c r="D3237" t="s">
        <v>13019</v>
      </c>
      <c r="E3237" t="s">
        <v>16020</v>
      </c>
      <c r="F3237" t="s">
        <v>22436</v>
      </c>
      <c r="G3237" t="s">
        <v>22444</v>
      </c>
      <c r="H3237" t="s">
        <v>22454</v>
      </c>
      <c r="I3237" t="s">
        <v>7738</v>
      </c>
      <c r="J3237" t="s">
        <v>24794</v>
      </c>
      <c r="K3237" t="s">
        <v>29445</v>
      </c>
      <c r="M3237" t="s">
        <v>30776</v>
      </c>
      <c r="N3237" t="s">
        <v>32524</v>
      </c>
      <c r="O3237" t="s">
        <v>32525</v>
      </c>
      <c r="P3237">
        <v>0</v>
      </c>
      <c r="Q3237">
        <v>0</v>
      </c>
      <c r="R3237" t="s">
        <v>32527</v>
      </c>
      <c r="S3237" t="s">
        <v>32552</v>
      </c>
      <c r="T3237" t="s">
        <v>33207</v>
      </c>
      <c r="U3237" t="s">
        <v>36360</v>
      </c>
      <c r="W3237" t="s">
        <v>30776</v>
      </c>
      <c r="X3237" t="s">
        <v>32528</v>
      </c>
    </row>
    <row r="3238" spans="1:24">
      <c r="A3238">
        <f>HYPERLINK("https://www.philgeps.gov.ph/GEPSNONPILOT/Tender/SplashBidNoticeAbstractUI.aspx?menuIndex=3&amp;refID=7044276&amp;Result=3","7044276")</f>
        <v>0</v>
      </c>
      <c r="B3238" t="s">
        <v>1138</v>
      </c>
      <c r="C3238" t="s">
        <v>5767</v>
      </c>
      <c r="D3238" t="s">
        <v>13030</v>
      </c>
      <c r="E3238" t="s">
        <v>16021</v>
      </c>
      <c r="F3238" t="s">
        <v>22436</v>
      </c>
      <c r="G3238" t="s">
        <v>22444</v>
      </c>
      <c r="H3238" t="s">
        <v>22452</v>
      </c>
      <c r="I3238" t="s">
        <v>22474</v>
      </c>
      <c r="J3238" t="s">
        <v>24795</v>
      </c>
      <c r="K3238" t="s">
        <v>29335</v>
      </c>
      <c r="M3238" t="s">
        <v>30780</v>
      </c>
      <c r="N3238" t="s">
        <v>32524</v>
      </c>
      <c r="O3238" t="s">
        <v>32525</v>
      </c>
      <c r="P3238">
        <v>0</v>
      </c>
      <c r="Q3238">
        <v>6</v>
      </c>
      <c r="R3238" t="s">
        <v>32527</v>
      </c>
      <c r="S3238" t="s">
        <v>32552</v>
      </c>
      <c r="T3238" t="s">
        <v>33249</v>
      </c>
      <c r="U3238" t="s">
        <v>36361</v>
      </c>
      <c r="W3238" t="s">
        <v>30780</v>
      </c>
      <c r="X3238" t="s">
        <v>32528</v>
      </c>
    </row>
    <row r="3239" spans="1:24">
      <c r="A3239">
        <f>HYPERLINK("https://www.philgeps.gov.ph/GEPSNONPILOT/Tender/SplashBidNoticeAbstractUI.aspx?menuIndex=3&amp;refID=7044280&amp;Result=3","7044280")</f>
        <v>0</v>
      </c>
      <c r="B3239" t="s">
        <v>1139</v>
      </c>
      <c r="C3239" t="s">
        <v>5768</v>
      </c>
      <c r="D3239" t="s">
        <v>13006</v>
      </c>
      <c r="E3239" t="s">
        <v>16022</v>
      </c>
      <c r="F3239" t="s">
        <v>22436</v>
      </c>
      <c r="G3239" t="s">
        <v>22443</v>
      </c>
      <c r="H3239" t="s">
        <v>22452</v>
      </c>
      <c r="I3239" t="s">
        <v>12358</v>
      </c>
      <c r="J3239" t="s">
        <v>24796</v>
      </c>
      <c r="K3239" t="s">
        <v>29341</v>
      </c>
      <c r="M3239" t="s">
        <v>30781</v>
      </c>
      <c r="N3239" t="s">
        <v>32524</v>
      </c>
      <c r="O3239" t="s">
        <v>32525</v>
      </c>
      <c r="P3239">
        <v>0</v>
      </c>
      <c r="Q3239">
        <v>0</v>
      </c>
      <c r="R3239" t="s">
        <v>32527</v>
      </c>
      <c r="S3239" t="s">
        <v>32552</v>
      </c>
      <c r="T3239" t="s">
        <v>33220</v>
      </c>
      <c r="U3239" t="s">
        <v>36362</v>
      </c>
      <c r="W3239" t="s">
        <v>30781</v>
      </c>
      <c r="X3239" t="s">
        <v>32528</v>
      </c>
    </row>
    <row r="3240" spans="1:24">
      <c r="A3240">
        <f>HYPERLINK("https://www.philgeps.gov.ph/GEPSNONPILOT/Tender/SplashBidNoticeAbstractUI.aspx?menuIndex=3&amp;refID=7044278&amp;Result=3","7044278")</f>
        <v>0</v>
      </c>
      <c r="B3240" t="s">
        <v>1073</v>
      </c>
      <c r="C3240" t="s">
        <v>5769</v>
      </c>
      <c r="D3240" t="s">
        <v>13002</v>
      </c>
      <c r="E3240" t="s">
        <v>16023</v>
      </c>
      <c r="F3240" t="s">
        <v>22436</v>
      </c>
      <c r="G3240" t="s">
        <v>22443</v>
      </c>
      <c r="H3240" t="s">
        <v>22452</v>
      </c>
      <c r="I3240" t="s">
        <v>12358</v>
      </c>
      <c r="J3240" t="s">
        <v>24797</v>
      </c>
      <c r="K3240" t="s">
        <v>29336</v>
      </c>
      <c r="M3240" t="s">
        <v>30707</v>
      </c>
      <c r="N3240" t="s">
        <v>32524</v>
      </c>
      <c r="O3240" t="s">
        <v>32525</v>
      </c>
      <c r="P3240">
        <v>0</v>
      </c>
      <c r="Q3240">
        <v>0</v>
      </c>
      <c r="R3240" t="s">
        <v>32527</v>
      </c>
      <c r="S3240" t="s">
        <v>32552</v>
      </c>
      <c r="T3240" t="s">
        <v>33229</v>
      </c>
      <c r="U3240" t="s">
        <v>36363</v>
      </c>
      <c r="W3240" t="s">
        <v>30707</v>
      </c>
      <c r="X3240" t="s">
        <v>32528</v>
      </c>
    </row>
    <row r="3241" spans="1:24">
      <c r="A3241">
        <f>HYPERLINK("https://www.philgeps.gov.ph/GEPSNONPILOT/Tender/SplashBidNoticeAbstractUI.aspx?menuIndex=3&amp;refID=7044277&amp;Result=3","7044277")</f>
        <v>0</v>
      </c>
      <c r="B3241" t="s">
        <v>819</v>
      </c>
      <c r="C3241" t="s">
        <v>5770</v>
      </c>
      <c r="D3241" t="s">
        <v>13040</v>
      </c>
      <c r="E3241" t="s">
        <v>16024</v>
      </c>
      <c r="F3241" t="s">
        <v>22436</v>
      </c>
      <c r="G3241" t="s">
        <v>22444</v>
      </c>
      <c r="H3241" t="s">
        <v>22454</v>
      </c>
      <c r="I3241" t="s">
        <v>7738</v>
      </c>
      <c r="J3241" t="s">
        <v>23111</v>
      </c>
      <c r="K3241" t="s">
        <v>29338</v>
      </c>
      <c r="M3241" t="s">
        <v>30778</v>
      </c>
      <c r="N3241" t="s">
        <v>32524</v>
      </c>
      <c r="O3241" t="s">
        <v>32525</v>
      </c>
      <c r="P3241">
        <v>0</v>
      </c>
      <c r="Q3241">
        <v>1</v>
      </c>
      <c r="R3241" t="s">
        <v>32527</v>
      </c>
      <c r="S3241" t="s">
        <v>32552</v>
      </c>
      <c r="T3241" t="s">
        <v>33165</v>
      </c>
      <c r="U3241" t="s">
        <v>36364</v>
      </c>
      <c r="W3241" t="s">
        <v>30778</v>
      </c>
      <c r="X3241" t="s">
        <v>32528</v>
      </c>
    </row>
    <row r="3242" spans="1:24">
      <c r="A3242">
        <f>HYPERLINK("https://www.philgeps.gov.ph/GEPSNONPILOT/Tender/SplashBidNoticeAbstractUI.aspx?menuIndex=3&amp;refID=7044284&amp;Result=3","7044284")</f>
        <v>0</v>
      </c>
      <c r="B3242" t="s">
        <v>1140</v>
      </c>
      <c r="C3242" t="s">
        <v>5771</v>
      </c>
      <c r="D3242" t="s">
        <v>13046</v>
      </c>
      <c r="E3242" t="s">
        <v>16025</v>
      </c>
      <c r="F3242" t="s">
        <v>22436</v>
      </c>
      <c r="G3242" t="s">
        <v>22443</v>
      </c>
      <c r="H3242" t="s">
        <v>22452</v>
      </c>
      <c r="I3242" t="s">
        <v>22465</v>
      </c>
      <c r="J3242" t="s">
        <v>24798</v>
      </c>
      <c r="K3242" t="s">
        <v>29335</v>
      </c>
      <c r="M3242" t="s">
        <v>30782</v>
      </c>
      <c r="N3242" t="s">
        <v>32524</v>
      </c>
      <c r="O3242" t="s">
        <v>32525</v>
      </c>
      <c r="P3242">
        <v>0</v>
      </c>
      <c r="Q3242">
        <v>0</v>
      </c>
      <c r="R3242" t="s">
        <v>32527</v>
      </c>
      <c r="S3242" t="s">
        <v>32552</v>
      </c>
      <c r="T3242" t="s">
        <v>33310</v>
      </c>
      <c r="U3242" t="s">
        <v>36365</v>
      </c>
      <c r="V3242" t="s">
        <v>42725</v>
      </c>
      <c r="W3242" t="s">
        <v>30782</v>
      </c>
      <c r="X3242" t="s">
        <v>32528</v>
      </c>
    </row>
    <row r="3243" spans="1:24">
      <c r="A3243">
        <f>HYPERLINK("https://www.philgeps.gov.ph/GEPSNONPILOT/Tender/SplashBidNoticeAbstractUI.aspx?menuIndex=3&amp;refID=7044288&amp;Result=3","7044288")</f>
        <v>0</v>
      </c>
      <c r="B3243" t="s">
        <v>1141</v>
      </c>
      <c r="C3243" t="s">
        <v>5772</v>
      </c>
      <c r="D3243" t="s">
        <v>13051</v>
      </c>
      <c r="E3243" t="s">
        <v>16026</v>
      </c>
      <c r="F3243" t="s">
        <v>22436</v>
      </c>
      <c r="G3243" t="s">
        <v>22443</v>
      </c>
      <c r="H3243" t="s">
        <v>22452</v>
      </c>
      <c r="I3243" t="s">
        <v>3529</v>
      </c>
      <c r="J3243" t="s">
        <v>24799</v>
      </c>
      <c r="K3243" t="s">
        <v>29338</v>
      </c>
      <c r="M3243" t="s">
        <v>30783</v>
      </c>
      <c r="N3243" t="s">
        <v>32524</v>
      </c>
      <c r="O3243" t="s">
        <v>32525</v>
      </c>
      <c r="P3243">
        <v>0</v>
      </c>
      <c r="Q3243">
        <v>0</v>
      </c>
      <c r="R3243" t="s">
        <v>32527</v>
      </c>
      <c r="S3243" t="s">
        <v>32552</v>
      </c>
      <c r="T3243" t="s">
        <v>33185</v>
      </c>
      <c r="U3243" t="s">
        <v>36366</v>
      </c>
      <c r="W3243" t="s">
        <v>30783</v>
      </c>
      <c r="X3243" t="s">
        <v>32528</v>
      </c>
    </row>
    <row r="3244" spans="1:24">
      <c r="A3244">
        <f>HYPERLINK("https://www.philgeps.gov.ph/GEPSNONPILOT/Tender/SplashBidNoticeAbstractUI.aspx?menuIndex=3&amp;refID=7044290&amp;Result=3","7044290")</f>
        <v>0</v>
      </c>
      <c r="B3244" t="s">
        <v>1142</v>
      </c>
      <c r="C3244" t="s">
        <v>5773</v>
      </c>
      <c r="D3244" t="s">
        <v>13021</v>
      </c>
      <c r="E3244" t="s">
        <v>16027</v>
      </c>
      <c r="F3244" t="s">
        <v>22436</v>
      </c>
      <c r="G3244" t="s">
        <v>22446</v>
      </c>
      <c r="H3244" t="s">
        <v>22452</v>
      </c>
      <c r="I3244" t="s">
        <v>3529</v>
      </c>
      <c r="J3244" t="s">
        <v>24800</v>
      </c>
      <c r="K3244" t="s">
        <v>29337</v>
      </c>
      <c r="L3244" t="s">
        <v>1142</v>
      </c>
      <c r="M3244" t="s">
        <v>30784</v>
      </c>
      <c r="N3244" t="s">
        <v>32524</v>
      </c>
      <c r="O3244" t="s">
        <v>32525</v>
      </c>
      <c r="P3244">
        <v>0</v>
      </c>
      <c r="Q3244">
        <v>2</v>
      </c>
      <c r="R3244" t="s">
        <v>32527</v>
      </c>
      <c r="S3244" t="s">
        <v>32552</v>
      </c>
      <c r="T3244" t="s">
        <v>33213</v>
      </c>
      <c r="U3244" t="s">
        <v>36367</v>
      </c>
      <c r="W3244" t="s">
        <v>30784</v>
      </c>
      <c r="X3244" t="s">
        <v>32528</v>
      </c>
    </row>
    <row r="3245" spans="1:24">
      <c r="A3245">
        <f>HYPERLINK("https://www.philgeps.gov.ph/GEPSNONPILOT/Tender/SplashBidNoticeAbstractUI.aspx?menuIndex=3&amp;refID=7044283&amp;Result=3","7044283")</f>
        <v>0</v>
      </c>
      <c r="B3245" t="s">
        <v>1135</v>
      </c>
      <c r="C3245" t="s">
        <v>5774</v>
      </c>
      <c r="D3245" t="s">
        <v>12999</v>
      </c>
      <c r="E3245" t="s">
        <v>14011</v>
      </c>
      <c r="F3245" t="s">
        <v>22436</v>
      </c>
      <c r="G3245" t="s">
        <v>22446</v>
      </c>
      <c r="H3245" t="s">
        <v>22454</v>
      </c>
      <c r="I3245" t="s">
        <v>22471</v>
      </c>
      <c r="J3245" t="s">
        <v>22657</v>
      </c>
      <c r="K3245" t="s">
        <v>29338</v>
      </c>
      <c r="M3245" t="s">
        <v>30775</v>
      </c>
      <c r="N3245" t="s">
        <v>32524</v>
      </c>
      <c r="O3245" t="s">
        <v>32525</v>
      </c>
      <c r="P3245">
        <v>0</v>
      </c>
      <c r="Q3245">
        <v>0</v>
      </c>
      <c r="R3245" t="s">
        <v>32527</v>
      </c>
      <c r="S3245" t="s">
        <v>32552</v>
      </c>
      <c r="T3245" t="s">
        <v>33256</v>
      </c>
      <c r="U3245" t="s">
        <v>36368</v>
      </c>
      <c r="W3245" t="s">
        <v>30775</v>
      </c>
      <c r="X3245" t="s">
        <v>32528</v>
      </c>
    </row>
    <row r="3246" spans="1:24">
      <c r="A3246">
        <f>HYPERLINK("https://www.philgeps.gov.ph/GEPSNONPILOT/Tender/SplashBidNoticeAbstractUI.aspx?menuIndex=3&amp;refID=7044282&amp;Result=3","7044282")</f>
        <v>0</v>
      </c>
      <c r="B3246" t="s">
        <v>1078</v>
      </c>
      <c r="C3246" t="s">
        <v>5775</v>
      </c>
      <c r="D3246" t="s">
        <v>13073</v>
      </c>
      <c r="E3246" t="s">
        <v>16028</v>
      </c>
      <c r="F3246" t="s">
        <v>22436</v>
      </c>
      <c r="G3246" t="s">
        <v>22444</v>
      </c>
      <c r="H3246" t="s">
        <v>22452</v>
      </c>
      <c r="I3246" t="s">
        <v>22476</v>
      </c>
      <c r="J3246" t="s">
        <v>23489</v>
      </c>
      <c r="K3246" t="s">
        <v>29341</v>
      </c>
      <c r="M3246" t="s">
        <v>30713</v>
      </c>
      <c r="N3246" t="s">
        <v>32524</v>
      </c>
      <c r="O3246" t="s">
        <v>32525</v>
      </c>
      <c r="P3246">
        <v>0</v>
      </c>
      <c r="Q3246">
        <v>0</v>
      </c>
      <c r="R3246" t="s">
        <v>32527</v>
      </c>
      <c r="S3246" t="s">
        <v>32552</v>
      </c>
      <c r="T3246" t="s">
        <v>33207</v>
      </c>
      <c r="U3246" t="s">
        <v>36369</v>
      </c>
      <c r="W3246" t="s">
        <v>30713</v>
      </c>
      <c r="X3246" t="s">
        <v>32528</v>
      </c>
    </row>
    <row r="3247" spans="1:24">
      <c r="A3247">
        <f>HYPERLINK("https://www.philgeps.gov.ph/GEPSNONPILOT/Tender/SplashBidNoticeAbstractUI.aspx?menuIndex=3&amp;refID=7044292&amp;Result=3","7044292")</f>
        <v>0</v>
      </c>
      <c r="B3247" t="s">
        <v>1140</v>
      </c>
      <c r="C3247" t="s">
        <v>5776</v>
      </c>
      <c r="D3247" t="s">
        <v>13046</v>
      </c>
      <c r="E3247" t="s">
        <v>16029</v>
      </c>
      <c r="F3247" t="s">
        <v>22436</v>
      </c>
      <c r="G3247" t="s">
        <v>22443</v>
      </c>
      <c r="H3247" t="s">
        <v>22452</v>
      </c>
      <c r="I3247" t="s">
        <v>22465</v>
      </c>
      <c r="J3247" t="s">
        <v>24801</v>
      </c>
      <c r="K3247" t="s">
        <v>29335</v>
      </c>
      <c r="M3247" t="s">
        <v>30782</v>
      </c>
      <c r="N3247" t="s">
        <v>32524</v>
      </c>
      <c r="O3247" t="s">
        <v>32525</v>
      </c>
      <c r="P3247">
        <v>0</v>
      </c>
      <c r="Q3247">
        <v>0</v>
      </c>
      <c r="R3247" t="s">
        <v>32527</v>
      </c>
      <c r="S3247" t="s">
        <v>32552</v>
      </c>
      <c r="T3247" t="s">
        <v>33310</v>
      </c>
      <c r="U3247" t="s">
        <v>36365</v>
      </c>
      <c r="V3247" t="s">
        <v>42725</v>
      </c>
      <c r="W3247" t="s">
        <v>30782</v>
      </c>
      <c r="X3247" t="s">
        <v>32528</v>
      </c>
    </row>
    <row r="3248" spans="1:24">
      <c r="A3248">
        <f>HYPERLINK("https://www.philgeps.gov.ph/GEPSNONPILOT/Tender/SplashBidNoticeAbstractUI.aspx?menuIndex=3&amp;refID=7044289&amp;Result=3","7044289")</f>
        <v>0</v>
      </c>
      <c r="B3248" t="s">
        <v>1140</v>
      </c>
      <c r="C3248" t="s">
        <v>5777</v>
      </c>
      <c r="D3248" t="s">
        <v>13046</v>
      </c>
      <c r="E3248" t="s">
        <v>16030</v>
      </c>
      <c r="F3248" t="s">
        <v>22436</v>
      </c>
      <c r="G3248" t="s">
        <v>22443</v>
      </c>
      <c r="H3248" t="s">
        <v>22452</v>
      </c>
      <c r="I3248" t="s">
        <v>22465</v>
      </c>
      <c r="J3248" t="s">
        <v>24802</v>
      </c>
      <c r="K3248" t="s">
        <v>29335</v>
      </c>
      <c r="M3248" t="s">
        <v>30782</v>
      </c>
      <c r="N3248" t="s">
        <v>32524</v>
      </c>
      <c r="O3248" t="s">
        <v>32525</v>
      </c>
      <c r="P3248">
        <v>0</v>
      </c>
      <c r="Q3248">
        <v>0</v>
      </c>
      <c r="R3248" t="s">
        <v>32527</v>
      </c>
      <c r="S3248" t="s">
        <v>32552</v>
      </c>
      <c r="T3248" t="s">
        <v>33310</v>
      </c>
      <c r="U3248" t="s">
        <v>36365</v>
      </c>
      <c r="V3248" t="s">
        <v>42725</v>
      </c>
      <c r="W3248" t="s">
        <v>30782</v>
      </c>
      <c r="X3248" t="s">
        <v>32528</v>
      </c>
    </row>
    <row r="3249" spans="1:24">
      <c r="A3249">
        <f>HYPERLINK("https://www.philgeps.gov.ph/GEPSNONPILOT/Tender/SplashBidNoticeAbstractUI.aspx?menuIndex=3&amp;refID=7044301&amp;Result=3","7044301")</f>
        <v>0</v>
      </c>
      <c r="B3249" t="s">
        <v>527</v>
      </c>
      <c r="C3249" t="s">
        <v>5778</v>
      </c>
      <c r="D3249" t="s">
        <v>12988</v>
      </c>
      <c r="E3249" t="s">
        <v>16031</v>
      </c>
      <c r="F3249" t="s">
        <v>22436</v>
      </c>
      <c r="G3249" t="s">
        <v>22444</v>
      </c>
      <c r="H3249" t="s">
        <v>22452</v>
      </c>
      <c r="I3249" t="s">
        <v>22469</v>
      </c>
      <c r="J3249" t="s">
        <v>24803</v>
      </c>
      <c r="K3249" t="s">
        <v>29345</v>
      </c>
      <c r="M3249" t="s">
        <v>30785</v>
      </c>
      <c r="N3249" t="s">
        <v>32524</v>
      </c>
      <c r="O3249" t="s">
        <v>32525</v>
      </c>
      <c r="P3249">
        <v>0</v>
      </c>
      <c r="Q3249">
        <v>6</v>
      </c>
      <c r="R3249" t="s">
        <v>32527</v>
      </c>
      <c r="S3249" t="s">
        <v>32552</v>
      </c>
      <c r="T3249" t="s">
        <v>33277</v>
      </c>
      <c r="U3249" t="s">
        <v>36321</v>
      </c>
      <c r="W3249" t="s">
        <v>30785</v>
      </c>
      <c r="X3249" t="s">
        <v>32528</v>
      </c>
    </row>
    <row r="3250" spans="1:24">
      <c r="A3250">
        <f>HYPERLINK("https://www.philgeps.gov.ph/GEPSNONPILOT/Tender/SplashBidNoticeAbstractUI.aspx?menuIndex=3&amp;refID=7044286&amp;Result=3","7044286")</f>
        <v>0</v>
      </c>
      <c r="B3250" t="s">
        <v>1140</v>
      </c>
      <c r="C3250" t="s">
        <v>5779</v>
      </c>
      <c r="D3250" t="s">
        <v>13046</v>
      </c>
      <c r="E3250" t="s">
        <v>16032</v>
      </c>
      <c r="F3250" t="s">
        <v>22436</v>
      </c>
      <c r="G3250" t="s">
        <v>22443</v>
      </c>
      <c r="H3250" t="s">
        <v>22452</v>
      </c>
      <c r="I3250" t="s">
        <v>22465</v>
      </c>
      <c r="J3250" t="s">
        <v>24804</v>
      </c>
      <c r="K3250" t="s">
        <v>29335</v>
      </c>
      <c r="M3250" t="s">
        <v>30782</v>
      </c>
      <c r="N3250" t="s">
        <v>32524</v>
      </c>
      <c r="O3250" t="s">
        <v>32525</v>
      </c>
      <c r="P3250">
        <v>0</v>
      </c>
      <c r="Q3250">
        <v>0</v>
      </c>
      <c r="R3250" t="s">
        <v>32527</v>
      </c>
      <c r="S3250" t="s">
        <v>32552</v>
      </c>
      <c r="T3250" t="s">
        <v>33310</v>
      </c>
      <c r="U3250" t="s">
        <v>36365</v>
      </c>
      <c r="V3250" t="s">
        <v>42725</v>
      </c>
      <c r="W3250" t="s">
        <v>30782</v>
      </c>
      <c r="X3250" t="s">
        <v>32528</v>
      </c>
    </row>
    <row r="3251" spans="1:24">
      <c r="A3251">
        <f>HYPERLINK("https://www.philgeps.gov.ph/GEPSNONPILOT/Tender/SplashBidNoticeAbstractUI.aspx?menuIndex=3&amp;refID=7044291&amp;Result=3","7044291")</f>
        <v>0</v>
      </c>
      <c r="B3251" t="s">
        <v>1143</v>
      </c>
      <c r="C3251" t="s">
        <v>5780</v>
      </c>
      <c r="D3251" t="s">
        <v>13045</v>
      </c>
      <c r="E3251" t="s">
        <v>16033</v>
      </c>
      <c r="F3251" t="s">
        <v>22436</v>
      </c>
      <c r="G3251" t="s">
        <v>22443</v>
      </c>
      <c r="H3251" t="s">
        <v>22452</v>
      </c>
      <c r="I3251" t="s">
        <v>22520</v>
      </c>
      <c r="J3251" t="s">
        <v>24198</v>
      </c>
      <c r="K3251" t="s">
        <v>29356</v>
      </c>
      <c r="M3251" t="s">
        <v>30786</v>
      </c>
      <c r="N3251" t="s">
        <v>32524</v>
      </c>
      <c r="O3251" t="s">
        <v>32525</v>
      </c>
      <c r="P3251">
        <v>0</v>
      </c>
      <c r="Q3251">
        <v>1</v>
      </c>
      <c r="R3251" t="s">
        <v>32527</v>
      </c>
      <c r="S3251" t="s">
        <v>32552</v>
      </c>
      <c r="T3251" t="s">
        <v>33220</v>
      </c>
      <c r="U3251" t="s">
        <v>36370</v>
      </c>
      <c r="W3251" t="s">
        <v>30786</v>
      </c>
      <c r="X3251" t="s">
        <v>32528</v>
      </c>
    </row>
    <row r="3252" spans="1:24">
      <c r="A3252">
        <f>HYPERLINK("https://www.philgeps.gov.ph/GEPSNONPILOT/Tender/SplashBidNoticeAbstractUI.aspx?menuIndex=3&amp;refID=7044299&amp;Result=3","7044299")</f>
        <v>0</v>
      </c>
      <c r="B3252" t="s">
        <v>1142</v>
      </c>
      <c r="C3252" t="s">
        <v>5781</v>
      </c>
      <c r="D3252" t="s">
        <v>13021</v>
      </c>
      <c r="E3252" t="s">
        <v>16034</v>
      </c>
      <c r="F3252" t="s">
        <v>22436</v>
      </c>
      <c r="G3252" t="s">
        <v>22446</v>
      </c>
      <c r="H3252" t="s">
        <v>22452</v>
      </c>
      <c r="I3252" t="s">
        <v>12358</v>
      </c>
      <c r="J3252" t="s">
        <v>24805</v>
      </c>
      <c r="K3252" t="s">
        <v>29341</v>
      </c>
      <c r="L3252" t="s">
        <v>1142</v>
      </c>
      <c r="M3252" t="s">
        <v>30784</v>
      </c>
      <c r="N3252" t="s">
        <v>32524</v>
      </c>
      <c r="O3252" t="s">
        <v>32525</v>
      </c>
      <c r="P3252">
        <v>0</v>
      </c>
      <c r="Q3252">
        <v>0</v>
      </c>
      <c r="R3252" t="s">
        <v>32527</v>
      </c>
      <c r="S3252" t="s">
        <v>32552</v>
      </c>
      <c r="T3252" t="s">
        <v>33213</v>
      </c>
      <c r="U3252" t="s">
        <v>36371</v>
      </c>
      <c r="W3252" t="s">
        <v>30784</v>
      </c>
      <c r="X3252" t="s">
        <v>32528</v>
      </c>
    </row>
    <row r="3253" spans="1:24">
      <c r="A3253">
        <f>HYPERLINK("https://www.philgeps.gov.ph/GEPSNONPILOT/Tender/SplashBidNoticeAbstractUI.aspx?menuIndex=3&amp;refID=7044297&amp;Result=3","7044297")</f>
        <v>0</v>
      </c>
      <c r="B3253" t="s">
        <v>1140</v>
      </c>
      <c r="C3253" t="s">
        <v>5782</v>
      </c>
      <c r="D3253" t="s">
        <v>13046</v>
      </c>
      <c r="E3253" t="s">
        <v>16035</v>
      </c>
      <c r="F3253" t="s">
        <v>22436</v>
      </c>
      <c r="G3253" t="s">
        <v>22443</v>
      </c>
      <c r="H3253" t="s">
        <v>22452</v>
      </c>
      <c r="I3253" t="s">
        <v>22465</v>
      </c>
      <c r="J3253" t="s">
        <v>24806</v>
      </c>
      <c r="K3253" t="s">
        <v>29335</v>
      </c>
      <c r="M3253" t="s">
        <v>30782</v>
      </c>
      <c r="N3253" t="s">
        <v>32524</v>
      </c>
      <c r="O3253" t="s">
        <v>32525</v>
      </c>
      <c r="P3253">
        <v>0</v>
      </c>
      <c r="Q3253">
        <v>0</v>
      </c>
      <c r="R3253" t="s">
        <v>32527</v>
      </c>
      <c r="S3253" t="s">
        <v>32552</v>
      </c>
      <c r="T3253" t="s">
        <v>33310</v>
      </c>
      <c r="U3253" t="s">
        <v>36365</v>
      </c>
      <c r="V3253" t="s">
        <v>42725</v>
      </c>
      <c r="W3253" t="s">
        <v>30782</v>
      </c>
      <c r="X3253" t="s">
        <v>32528</v>
      </c>
    </row>
    <row r="3254" spans="1:24">
      <c r="A3254">
        <f>HYPERLINK("https://www.philgeps.gov.ph/GEPSNONPILOT/Tender/SplashBidNoticeAbstractUI.aspx?menuIndex=3&amp;refID=7044285&amp;Result=3","7044285")</f>
        <v>0</v>
      </c>
      <c r="B3254" t="s">
        <v>1140</v>
      </c>
      <c r="C3254" t="s">
        <v>5783</v>
      </c>
      <c r="D3254" t="s">
        <v>13046</v>
      </c>
      <c r="E3254" t="s">
        <v>16036</v>
      </c>
      <c r="F3254" t="s">
        <v>22436</v>
      </c>
      <c r="G3254" t="s">
        <v>22443</v>
      </c>
      <c r="H3254" t="s">
        <v>22452</v>
      </c>
      <c r="I3254" t="s">
        <v>22465</v>
      </c>
      <c r="J3254" t="s">
        <v>24807</v>
      </c>
      <c r="K3254" t="s">
        <v>29335</v>
      </c>
      <c r="M3254" t="s">
        <v>30782</v>
      </c>
      <c r="N3254" t="s">
        <v>32524</v>
      </c>
      <c r="O3254" t="s">
        <v>32525</v>
      </c>
      <c r="P3254">
        <v>0</v>
      </c>
      <c r="Q3254">
        <v>0</v>
      </c>
      <c r="R3254" t="s">
        <v>32527</v>
      </c>
      <c r="S3254" t="s">
        <v>32552</v>
      </c>
      <c r="T3254" t="s">
        <v>33310</v>
      </c>
      <c r="U3254" t="s">
        <v>36365</v>
      </c>
      <c r="V3254" t="s">
        <v>42725</v>
      </c>
      <c r="W3254" t="s">
        <v>30782</v>
      </c>
      <c r="X3254" t="s">
        <v>32528</v>
      </c>
    </row>
    <row r="3255" spans="1:24">
      <c r="A3255">
        <f>HYPERLINK("https://www.philgeps.gov.ph/GEPSNONPILOT/Tender/SplashBidNoticeAbstractUI.aspx?menuIndex=3&amp;refID=7044296&amp;Result=3","7044296")</f>
        <v>0</v>
      </c>
      <c r="B3255" t="s">
        <v>477</v>
      </c>
      <c r="C3255" t="s">
        <v>5784</v>
      </c>
      <c r="D3255" t="s">
        <v>13016</v>
      </c>
      <c r="E3255" t="s">
        <v>16037</v>
      </c>
      <c r="F3255" t="s">
        <v>22436</v>
      </c>
      <c r="G3255" t="s">
        <v>22443</v>
      </c>
      <c r="H3255" t="s">
        <v>22452</v>
      </c>
      <c r="I3255" t="s">
        <v>22463</v>
      </c>
      <c r="J3255" t="s">
        <v>24808</v>
      </c>
      <c r="K3255" t="s">
        <v>29331</v>
      </c>
      <c r="M3255" t="s">
        <v>30701</v>
      </c>
      <c r="N3255" t="s">
        <v>32524</v>
      </c>
      <c r="O3255" t="s">
        <v>32525</v>
      </c>
      <c r="P3255">
        <v>0</v>
      </c>
      <c r="Q3255">
        <v>0</v>
      </c>
      <c r="R3255" t="s">
        <v>32527</v>
      </c>
      <c r="S3255" t="s">
        <v>32552</v>
      </c>
      <c r="T3255" t="s">
        <v>33185</v>
      </c>
      <c r="U3255" t="s">
        <v>36372</v>
      </c>
      <c r="W3255" t="s">
        <v>30701</v>
      </c>
      <c r="X3255" t="s">
        <v>32528</v>
      </c>
    </row>
    <row r="3256" spans="1:24">
      <c r="A3256">
        <f>HYPERLINK("https://www.philgeps.gov.ph/GEPSNONPILOT/Tender/SplashBidNoticeAbstractUI.aspx?menuIndex=3&amp;refID=7044300&amp;Result=3","7044300")</f>
        <v>0</v>
      </c>
      <c r="B3256" t="s">
        <v>1140</v>
      </c>
      <c r="C3256" t="s">
        <v>5785</v>
      </c>
      <c r="D3256" t="s">
        <v>13046</v>
      </c>
      <c r="E3256" t="s">
        <v>16038</v>
      </c>
      <c r="F3256" t="s">
        <v>22436</v>
      </c>
      <c r="G3256" t="s">
        <v>22443</v>
      </c>
      <c r="H3256" t="s">
        <v>22452</v>
      </c>
      <c r="I3256" t="s">
        <v>22465</v>
      </c>
      <c r="J3256" t="s">
        <v>24809</v>
      </c>
      <c r="K3256" t="s">
        <v>29335</v>
      </c>
      <c r="M3256" t="s">
        <v>30782</v>
      </c>
      <c r="N3256" t="s">
        <v>32524</v>
      </c>
      <c r="O3256" t="s">
        <v>32525</v>
      </c>
      <c r="P3256">
        <v>0</v>
      </c>
      <c r="Q3256">
        <v>0</v>
      </c>
      <c r="R3256" t="s">
        <v>32527</v>
      </c>
      <c r="S3256" t="s">
        <v>32552</v>
      </c>
      <c r="T3256" t="s">
        <v>33310</v>
      </c>
      <c r="U3256" t="s">
        <v>36365</v>
      </c>
      <c r="V3256" t="s">
        <v>42725</v>
      </c>
      <c r="W3256" t="s">
        <v>30782</v>
      </c>
      <c r="X3256" t="s">
        <v>32528</v>
      </c>
    </row>
    <row r="3257" spans="1:24">
      <c r="A3257">
        <f>HYPERLINK("https://www.philgeps.gov.ph/GEPSNONPILOT/Tender/SplashBidNoticeAbstractUI.aspx?menuIndex=3&amp;refID=7044298&amp;Result=3","7044298")</f>
        <v>0</v>
      </c>
      <c r="B3257" t="s">
        <v>1123</v>
      </c>
      <c r="C3257" t="s">
        <v>5786</v>
      </c>
      <c r="D3257" t="s">
        <v>13031</v>
      </c>
      <c r="E3257" t="s">
        <v>16039</v>
      </c>
      <c r="F3257" t="s">
        <v>22436</v>
      </c>
      <c r="G3257" t="s">
        <v>22443</v>
      </c>
      <c r="H3257" t="s">
        <v>22452</v>
      </c>
      <c r="I3257" t="s">
        <v>22502</v>
      </c>
      <c r="J3257" t="s">
        <v>24810</v>
      </c>
      <c r="K3257" t="s">
        <v>29333</v>
      </c>
      <c r="M3257" t="s">
        <v>30761</v>
      </c>
      <c r="N3257" t="s">
        <v>32524</v>
      </c>
      <c r="O3257" t="s">
        <v>32525</v>
      </c>
      <c r="P3257">
        <v>0</v>
      </c>
      <c r="Q3257">
        <v>2</v>
      </c>
      <c r="R3257" t="s">
        <v>32527</v>
      </c>
      <c r="S3257" t="s">
        <v>32552</v>
      </c>
      <c r="T3257" t="s">
        <v>33209</v>
      </c>
      <c r="U3257" t="s">
        <v>36373</v>
      </c>
      <c r="W3257" t="s">
        <v>30761</v>
      </c>
      <c r="X3257" t="s">
        <v>32528</v>
      </c>
    </row>
    <row r="3258" spans="1:24">
      <c r="A3258">
        <f>HYPERLINK("https://www.philgeps.gov.ph/GEPSNONPILOT/Tender/SplashBidNoticeAbstractUI.aspx?menuIndex=3&amp;refID=7044294&amp;Result=3","7044294")</f>
        <v>0</v>
      </c>
      <c r="B3258" t="s">
        <v>1140</v>
      </c>
      <c r="C3258" t="s">
        <v>5787</v>
      </c>
      <c r="D3258" t="s">
        <v>13046</v>
      </c>
      <c r="E3258" t="s">
        <v>16040</v>
      </c>
      <c r="F3258" t="s">
        <v>22436</v>
      </c>
      <c r="G3258" t="s">
        <v>22443</v>
      </c>
      <c r="H3258" t="s">
        <v>22452</v>
      </c>
      <c r="I3258" t="s">
        <v>22465</v>
      </c>
      <c r="J3258" t="s">
        <v>24811</v>
      </c>
      <c r="K3258" t="s">
        <v>29335</v>
      </c>
      <c r="M3258" t="s">
        <v>30782</v>
      </c>
      <c r="N3258" t="s">
        <v>32524</v>
      </c>
      <c r="O3258" t="s">
        <v>32525</v>
      </c>
      <c r="P3258">
        <v>0</v>
      </c>
      <c r="Q3258">
        <v>0</v>
      </c>
      <c r="R3258" t="s">
        <v>32527</v>
      </c>
      <c r="S3258" t="s">
        <v>32552</v>
      </c>
      <c r="T3258" t="s">
        <v>33310</v>
      </c>
      <c r="U3258" t="s">
        <v>36365</v>
      </c>
      <c r="V3258" t="s">
        <v>42725</v>
      </c>
      <c r="W3258" t="s">
        <v>30782</v>
      </c>
      <c r="X3258" t="s">
        <v>32528</v>
      </c>
    </row>
    <row r="3259" spans="1:24">
      <c r="A3259">
        <f>HYPERLINK("https://www.philgeps.gov.ph/GEPSNONPILOT/Tender/SplashBidNoticeAbstractUI.aspx?menuIndex=3&amp;refID=7044295&amp;Result=3","7044295")</f>
        <v>0</v>
      </c>
      <c r="B3259" t="s">
        <v>1142</v>
      </c>
      <c r="C3259" t="s">
        <v>5788</v>
      </c>
      <c r="D3259" t="s">
        <v>13021</v>
      </c>
      <c r="E3259" t="s">
        <v>16041</v>
      </c>
      <c r="F3259" t="s">
        <v>22436</v>
      </c>
      <c r="G3259" t="s">
        <v>22446</v>
      </c>
      <c r="H3259" t="s">
        <v>22452</v>
      </c>
      <c r="I3259" t="s">
        <v>22460</v>
      </c>
      <c r="J3259" t="s">
        <v>24812</v>
      </c>
      <c r="K3259" t="s">
        <v>29337</v>
      </c>
      <c r="L3259" t="s">
        <v>1142</v>
      </c>
      <c r="M3259" t="s">
        <v>30784</v>
      </c>
      <c r="N3259" t="s">
        <v>32524</v>
      </c>
      <c r="O3259" t="s">
        <v>32525</v>
      </c>
      <c r="P3259">
        <v>0</v>
      </c>
      <c r="Q3259">
        <v>0</v>
      </c>
      <c r="R3259" t="s">
        <v>32527</v>
      </c>
      <c r="S3259" t="s">
        <v>32552</v>
      </c>
      <c r="T3259" t="s">
        <v>33213</v>
      </c>
      <c r="U3259" t="s">
        <v>36374</v>
      </c>
      <c r="W3259" t="s">
        <v>30784</v>
      </c>
      <c r="X3259" t="s">
        <v>32528</v>
      </c>
    </row>
    <row r="3260" spans="1:24">
      <c r="A3260">
        <f>HYPERLINK("https://www.philgeps.gov.ph/GEPSNONPILOT/Tender/SplashBidNoticeAbstractUI.aspx?menuIndex=3&amp;refID=7044293&amp;Result=3","7044293")</f>
        <v>0</v>
      </c>
      <c r="B3260" t="s">
        <v>1078</v>
      </c>
      <c r="C3260" t="s">
        <v>5789</v>
      </c>
      <c r="D3260" t="s">
        <v>13073</v>
      </c>
      <c r="E3260" t="s">
        <v>16042</v>
      </c>
      <c r="F3260" t="s">
        <v>22436</v>
      </c>
      <c r="G3260" t="s">
        <v>22444</v>
      </c>
      <c r="H3260" t="s">
        <v>22452</v>
      </c>
      <c r="I3260" t="s">
        <v>3529</v>
      </c>
      <c r="J3260" t="s">
        <v>24813</v>
      </c>
      <c r="K3260" t="s">
        <v>29341</v>
      </c>
      <c r="M3260" t="s">
        <v>30713</v>
      </c>
      <c r="N3260" t="s">
        <v>32524</v>
      </c>
      <c r="O3260" t="s">
        <v>32525</v>
      </c>
      <c r="P3260">
        <v>0</v>
      </c>
      <c r="Q3260">
        <v>0</v>
      </c>
      <c r="R3260" t="s">
        <v>32527</v>
      </c>
      <c r="S3260" t="s">
        <v>32552</v>
      </c>
      <c r="T3260" t="s">
        <v>33207</v>
      </c>
      <c r="U3260" t="s">
        <v>36375</v>
      </c>
      <c r="W3260" t="s">
        <v>30713</v>
      </c>
      <c r="X3260" t="s">
        <v>32528</v>
      </c>
    </row>
    <row r="3261" spans="1:24">
      <c r="A3261">
        <f>HYPERLINK("https://www.philgeps.gov.ph/GEPSNONPILOT/Tender/SplashBidNoticeAbstractUI.aspx?menuIndex=3&amp;refID=7044307&amp;Result=3","7044307")</f>
        <v>0</v>
      </c>
      <c r="B3261" t="s">
        <v>1144</v>
      </c>
      <c r="C3261" t="s">
        <v>5790</v>
      </c>
      <c r="D3261" t="s">
        <v>13002</v>
      </c>
      <c r="E3261" t="s">
        <v>16043</v>
      </c>
      <c r="F3261" t="s">
        <v>22436</v>
      </c>
      <c r="G3261" t="s">
        <v>22444</v>
      </c>
      <c r="H3261" t="s">
        <v>22452</v>
      </c>
      <c r="I3261" t="s">
        <v>22552</v>
      </c>
      <c r="J3261" t="s">
        <v>23881</v>
      </c>
      <c r="K3261" t="s">
        <v>29341</v>
      </c>
      <c r="M3261" t="s">
        <v>30787</v>
      </c>
      <c r="N3261" t="s">
        <v>32524</v>
      </c>
      <c r="O3261" t="s">
        <v>32525</v>
      </c>
      <c r="P3261">
        <v>0</v>
      </c>
      <c r="Q3261">
        <v>0</v>
      </c>
      <c r="R3261" t="s">
        <v>32527</v>
      </c>
      <c r="S3261" t="s">
        <v>32552</v>
      </c>
      <c r="T3261" t="s">
        <v>33293</v>
      </c>
      <c r="U3261" t="s">
        <v>36376</v>
      </c>
      <c r="W3261" t="s">
        <v>43707</v>
      </c>
      <c r="X3261" t="s">
        <v>32528</v>
      </c>
    </row>
    <row r="3262" spans="1:24">
      <c r="A3262">
        <f>HYPERLINK("https://www.philgeps.gov.ph/GEPSNONPILOT/Tender/SplashBidNoticeAbstractUI.aspx?menuIndex=3&amp;refID=7044313&amp;Result=3","7044313")</f>
        <v>0</v>
      </c>
      <c r="B3262" t="s">
        <v>1145</v>
      </c>
      <c r="C3262" t="s">
        <v>5791</v>
      </c>
      <c r="D3262" t="s">
        <v>13031</v>
      </c>
      <c r="E3262" t="s">
        <v>16044</v>
      </c>
      <c r="F3262" t="s">
        <v>22436</v>
      </c>
      <c r="G3262" t="s">
        <v>22444</v>
      </c>
      <c r="H3262" t="s">
        <v>22452</v>
      </c>
      <c r="I3262" t="s">
        <v>7738</v>
      </c>
      <c r="J3262" t="s">
        <v>24814</v>
      </c>
      <c r="K3262" t="s">
        <v>29333</v>
      </c>
      <c r="M3262" t="s">
        <v>30788</v>
      </c>
      <c r="N3262" t="s">
        <v>32524</v>
      </c>
      <c r="O3262" t="s">
        <v>32525</v>
      </c>
      <c r="P3262">
        <v>0</v>
      </c>
      <c r="Q3262">
        <v>0</v>
      </c>
      <c r="R3262" t="s">
        <v>32527</v>
      </c>
      <c r="S3262" t="s">
        <v>32552</v>
      </c>
      <c r="T3262" t="s">
        <v>33234</v>
      </c>
      <c r="U3262" t="s">
        <v>36377</v>
      </c>
      <c r="W3262" t="s">
        <v>30788</v>
      </c>
      <c r="X3262" t="s">
        <v>32528</v>
      </c>
    </row>
    <row r="3263" spans="1:24">
      <c r="A3263">
        <f>HYPERLINK("https://www.philgeps.gov.ph/GEPSNONPILOT/Tender/SplashBidNoticeAbstractUI.aspx?menuIndex=3&amp;refID=7044308&amp;Result=3","7044308")</f>
        <v>0</v>
      </c>
      <c r="B3263" t="s">
        <v>1144</v>
      </c>
      <c r="C3263" t="s">
        <v>5792</v>
      </c>
      <c r="D3263" t="s">
        <v>13002</v>
      </c>
      <c r="E3263" t="s">
        <v>16045</v>
      </c>
      <c r="F3263" t="s">
        <v>22436</v>
      </c>
      <c r="G3263" t="s">
        <v>22444</v>
      </c>
      <c r="H3263" t="s">
        <v>22452</v>
      </c>
      <c r="I3263" t="s">
        <v>22508</v>
      </c>
      <c r="J3263" t="s">
        <v>24815</v>
      </c>
      <c r="K3263" t="s">
        <v>29341</v>
      </c>
      <c r="M3263" t="s">
        <v>30787</v>
      </c>
      <c r="N3263" t="s">
        <v>32524</v>
      </c>
      <c r="O3263" t="s">
        <v>32525</v>
      </c>
      <c r="P3263">
        <v>0</v>
      </c>
      <c r="Q3263">
        <v>3</v>
      </c>
      <c r="R3263" t="s">
        <v>32527</v>
      </c>
      <c r="S3263" t="s">
        <v>32552</v>
      </c>
      <c r="T3263" t="s">
        <v>33293</v>
      </c>
      <c r="U3263" t="s">
        <v>36378</v>
      </c>
      <c r="W3263" t="s">
        <v>43707</v>
      </c>
      <c r="X3263" t="s">
        <v>32528</v>
      </c>
    </row>
    <row r="3264" spans="1:24">
      <c r="A3264">
        <f>HYPERLINK("https://www.philgeps.gov.ph/GEPSNONPILOT/Tender/SplashBidNoticeAbstractUI.aspx?menuIndex=3&amp;refID=7044325&amp;Result=3","7044325")</f>
        <v>0</v>
      </c>
      <c r="B3264" t="s">
        <v>1146</v>
      </c>
      <c r="C3264" t="s">
        <v>5793</v>
      </c>
      <c r="D3264" t="s">
        <v>13007</v>
      </c>
      <c r="E3264" t="s">
        <v>16046</v>
      </c>
      <c r="F3264" t="s">
        <v>22436</v>
      </c>
      <c r="G3264" t="s">
        <v>22444</v>
      </c>
      <c r="H3264" t="s">
        <v>22452</v>
      </c>
      <c r="I3264" t="s">
        <v>6421</v>
      </c>
      <c r="J3264" t="s">
        <v>24544</v>
      </c>
      <c r="K3264" t="s">
        <v>29357</v>
      </c>
      <c r="M3264" t="s">
        <v>30789</v>
      </c>
      <c r="N3264" t="s">
        <v>32524</v>
      </c>
      <c r="O3264" t="s">
        <v>32525</v>
      </c>
      <c r="P3264">
        <v>0</v>
      </c>
      <c r="Q3264">
        <v>1</v>
      </c>
      <c r="R3264" t="s">
        <v>32527</v>
      </c>
      <c r="S3264" t="s">
        <v>32552</v>
      </c>
      <c r="T3264" t="s">
        <v>33163</v>
      </c>
      <c r="U3264" t="s">
        <v>36379</v>
      </c>
      <c r="W3264" t="s">
        <v>30789</v>
      </c>
      <c r="X3264" t="s">
        <v>32528</v>
      </c>
    </row>
    <row r="3265" spans="1:24">
      <c r="A3265">
        <f>HYPERLINK("https://www.philgeps.gov.ph/GEPSNONPILOT/Tender/SplashBidNoticeAbstractUI.aspx?menuIndex=3&amp;refID=7044322&amp;Result=3","7044322")</f>
        <v>0</v>
      </c>
      <c r="B3265" t="s">
        <v>848</v>
      </c>
      <c r="C3265" t="s">
        <v>5794</v>
      </c>
      <c r="D3265" t="s">
        <v>12988</v>
      </c>
      <c r="E3265" t="s">
        <v>16047</v>
      </c>
      <c r="F3265" t="s">
        <v>22436</v>
      </c>
      <c r="G3265" t="s">
        <v>22443</v>
      </c>
      <c r="H3265" t="s">
        <v>22452</v>
      </c>
      <c r="I3265" t="s">
        <v>22469</v>
      </c>
      <c r="J3265" t="s">
        <v>22875</v>
      </c>
      <c r="K3265" t="s">
        <v>29338</v>
      </c>
      <c r="M3265" t="s">
        <v>30790</v>
      </c>
      <c r="N3265" t="s">
        <v>32524</v>
      </c>
      <c r="O3265" t="s">
        <v>32525</v>
      </c>
      <c r="P3265">
        <v>0</v>
      </c>
      <c r="Q3265">
        <v>9</v>
      </c>
      <c r="R3265" t="s">
        <v>32527</v>
      </c>
      <c r="S3265" t="s">
        <v>32552</v>
      </c>
      <c r="T3265" t="s">
        <v>33220</v>
      </c>
      <c r="U3265" t="s">
        <v>36380</v>
      </c>
      <c r="W3265" t="s">
        <v>30790</v>
      </c>
      <c r="X3265" t="s">
        <v>32528</v>
      </c>
    </row>
    <row r="3266" spans="1:24">
      <c r="A3266">
        <f>HYPERLINK("https://www.philgeps.gov.ph/GEPSNONPILOT/Tender/SplashBidNoticeAbstractUI.aspx?menuIndex=3&amp;refID=7044311&amp;Result=3","7044311")</f>
        <v>0</v>
      </c>
      <c r="B3266" t="s">
        <v>1147</v>
      </c>
      <c r="C3266" t="s">
        <v>5795</v>
      </c>
      <c r="D3266" t="s">
        <v>13000</v>
      </c>
      <c r="E3266" t="s">
        <v>16048</v>
      </c>
      <c r="F3266" t="s">
        <v>22436</v>
      </c>
      <c r="G3266" t="s">
        <v>22443</v>
      </c>
      <c r="H3266" t="s">
        <v>22452</v>
      </c>
      <c r="I3266" t="s">
        <v>22466</v>
      </c>
      <c r="J3266" t="s">
        <v>24816</v>
      </c>
      <c r="K3266" t="s">
        <v>29341</v>
      </c>
      <c r="M3266" t="s">
        <v>30791</v>
      </c>
      <c r="N3266" t="s">
        <v>32524</v>
      </c>
      <c r="O3266" t="s">
        <v>32525</v>
      </c>
      <c r="P3266">
        <v>0</v>
      </c>
      <c r="Q3266">
        <v>5</v>
      </c>
      <c r="R3266" t="s">
        <v>32527</v>
      </c>
      <c r="S3266" t="s">
        <v>32552</v>
      </c>
      <c r="T3266" t="s">
        <v>33351</v>
      </c>
      <c r="U3266" t="s">
        <v>36381</v>
      </c>
      <c r="W3266" t="s">
        <v>30791</v>
      </c>
      <c r="X3266" t="s">
        <v>32528</v>
      </c>
    </row>
    <row r="3267" spans="1:24">
      <c r="A3267">
        <f>HYPERLINK("https://www.philgeps.gov.ph/GEPSNONPILOT/Tender/SplashBidNoticeAbstractUI.aspx?menuIndex=3&amp;refID=7044321&amp;Result=3","7044321")</f>
        <v>0</v>
      </c>
      <c r="B3267" t="s">
        <v>1144</v>
      </c>
      <c r="C3267" t="s">
        <v>5796</v>
      </c>
      <c r="D3267" t="s">
        <v>13002</v>
      </c>
      <c r="E3267" t="s">
        <v>16049</v>
      </c>
      <c r="F3267" t="s">
        <v>22436</v>
      </c>
      <c r="G3267" t="s">
        <v>22444</v>
      </c>
      <c r="H3267" t="s">
        <v>22452</v>
      </c>
      <c r="I3267" t="s">
        <v>22465</v>
      </c>
      <c r="J3267" t="s">
        <v>24817</v>
      </c>
      <c r="K3267" t="s">
        <v>29341</v>
      </c>
      <c r="M3267" t="s">
        <v>30787</v>
      </c>
      <c r="N3267" t="s">
        <v>32524</v>
      </c>
      <c r="O3267" t="s">
        <v>32525</v>
      </c>
      <c r="P3267">
        <v>0</v>
      </c>
      <c r="Q3267">
        <v>1</v>
      </c>
      <c r="R3267" t="s">
        <v>32527</v>
      </c>
      <c r="S3267" t="s">
        <v>32552</v>
      </c>
      <c r="T3267" t="s">
        <v>33293</v>
      </c>
      <c r="U3267" t="s">
        <v>36382</v>
      </c>
      <c r="W3267" t="s">
        <v>43707</v>
      </c>
      <c r="X3267" t="s">
        <v>32528</v>
      </c>
    </row>
    <row r="3268" spans="1:24">
      <c r="A3268">
        <f>HYPERLINK("https://www.philgeps.gov.ph/GEPSNONPILOT/Tender/SplashBidNoticeAbstractUI.aspx?menuIndex=3&amp;refID=7044323&amp;Result=3","7044323")</f>
        <v>0</v>
      </c>
      <c r="B3268" t="s">
        <v>1148</v>
      </c>
      <c r="C3268" t="s">
        <v>5797</v>
      </c>
      <c r="D3268" t="s">
        <v>12988</v>
      </c>
      <c r="E3268" t="s">
        <v>13321</v>
      </c>
      <c r="F3268" t="s">
        <v>22436</v>
      </c>
      <c r="G3268" t="s">
        <v>22446</v>
      </c>
      <c r="H3268" t="s">
        <v>22454</v>
      </c>
      <c r="I3268" t="s">
        <v>7738</v>
      </c>
      <c r="J3268" t="s">
        <v>22607</v>
      </c>
      <c r="K3268" t="s">
        <v>29341</v>
      </c>
      <c r="M3268" t="s">
        <v>30792</v>
      </c>
      <c r="N3268" t="s">
        <v>32524</v>
      </c>
      <c r="O3268" t="s">
        <v>32525</v>
      </c>
      <c r="P3268">
        <v>0</v>
      </c>
      <c r="Q3268">
        <v>0</v>
      </c>
      <c r="R3268" t="s">
        <v>32527</v>
      </c>
      <c r="S3268" t="s">
        <v>32552</v>
      </c>
      <c r="T3268" t="s">
        <v>33351</v>
      </c>
      <c r="U3268" t="s">
        <v>36383</v>
      </c>
      <c r="W3268" t="s">
        <v>30792</v>
      </c>
      <c r="X3268" t="s">
        <v>32528</v>
      </c>
    </row>
    <row r="3269" spans="1:24">
      <c r="A3269">
        <f>HYPERLINK("https://www.philgeps.gov.ph/GEPSNONPILOT/Tender/SplashBidNoticeAbstractUI.aspx?menuIndex=3&amp;refID=7044312&amp;Result=3","7044312")</f>
        <v>0</v>
      </c>
      <c r="B3269" t="s">
        <v>1144</v>
      </c>
      <c r="C3269" t="s">
        <v>5798</v>
      </c>
      <c r="D3269" t="s">
        <v>13002</v>
      </c>
      <c r="E3269" t="s">
        <v>16050</v>
      </c>
      <c r="F3269" t="s">
        <v>22436</v>
      </c>
      <c r="G3269" t="s">
        <v>22444</v>
      </c>
      <c r="H3269" t="s">
        <v>22452</v>
      </c>
      <c r="I3269" t="s">
        <v>22469</v>
      </c>
      <c r="J3269" t="s">
        <v>22706</v>
      </c>
      <c r="K3269" t="s">
        <v>29335</v>
      </c>
      <c r="M3269" t="s">
        <v>30787</v>
      </c>
      <c r="N3269" t="s">
        <v>32524</v>
      </c>
      <c r="O3269" t="s">
        <v>32525</v>
      </c>
      <c r="P3269">
        <v>0</v>
      </c>
      <c r="Q3269">
        <v>2</v>
      </c>
      <c r="R3269" t="s">
        <v>32527</v>
      </c>
      <c r="S3269" t="s">
        <v>32552</v>
      </c>
      <c r="T3269" t="s">
        <v>33293</v>
      </c>
      <c r="U3269" t="s">
        <v>36384</v>
      </c>
      <c r="W3269" t="s">
        <v>43707</v>
      </c>
      <c r="X3269" t="s">
        <v>32528</v>
      </c>
    </row>
    <row r="3270" spans="1:24">
      <c r="A3270">
        <f>HYPERLINK("https://www.philgeps.gov.ph/GEPSNONPILOT/Tender/SplashBidNoticeAbstractUI.aspx?menuIndex=3&amp;refID=7044319&amp;Result=3","7044319")</f>
        <v>0</v>
      </c>
      <c r="B3270" t="s">
        <v>1144</v>
      </c>
      <c r="C3270" t="s">
        <v>5799</v>
      </c>
      <c r="D3270" t="s">
        <v>13002</v>
      </c>
      <c r="E3270" t="s">
        <v>16051</v>
      </c>
      <c r="F3270" t="s">
        <v>22436</v>
      </c>
      <c r="G3270" t="s">
        <v>22444</v>
      </c>
      <c r="H3270" t="s">
        <v>22452</v>
      </c>
      <c r="I3270" t="s">
        <v>22480</v>
      </c>
      <c r="J3270" t="s">
        <v>24818</v>
      </c>
      <c r="K3270" t="s">
        <v>29341</v>
      </c>
      <c r="M3270" t="s">
        <v>30787</v>
      </c>
      <c r="N3270" t="s">
        <v>32524</v>
      </c>
      <c r="O3270" t="s">
        <v>32525</v>
      </c>
      <c r="P3270">
        <v>0</v>
      </c>
      <c r="Q3270">
        <v>0</v>
      </c>
      <c r="R3270" t="s">
        <v>32527</v>
      </c>
      <c r="S3270" t="s">
        <v>32552</v>
      </c>
      <c r="T3270" t="s">
        <v>33293</v>
      </c>
      <c r="U3270" t="s">
        <v>36385</v>
      </c>
      <c r="W3270" t="s">
        <v>43707</v>
      </c>
      <c r="X3270" t="s">
        <v>32528</v>
      </c>
    </row>
    <row r="3271" spans="1:24">
      <c r="A3271">
        <f>HYPERLINK("https://www.philgeps.gov.ph/GEPSNONPILOT/Tender/SplashBidNoticeAbstractUI.aspx?menuIndex=3&amp;refID=7044326&amp;Result=3","7044326")</f>
        <v>0</v>
      </c>
      <c r="B3271" t="s">
        <v>1149</v>
      </c>
      <c r="C3271" t="s">
        <v>5800</v>
      </c>
      <c r="D3271" t="s">
        <v>13002</v>
      </c>
      <c r="E3271" t="s">
        <v>13897</v>
      </c>
      <c r="F3271" t="s">
        <v>22436</v>
      </c>
      <c r="G3271" t="s">
        <v>22444</v>
      </c>
      <c r="H3271" t="s">
        <v>22452</v>
      </c>
      <c r="I3271" t="s">
        <v>3027</v>
      </c>
      <c r="J3271" t="s">
        <v>24819</v>
      </c>
      <c r="K3271" t="s">
        <v>29335</v>
      </c>
      <c r="M3271" t="s">
        <v>30793</v>
      </c>
      <c r="N3271" t="s">
        <v>32524</v>
      </c>
      <c r="O3271" t="s">
        <v>32525</v>
      </c>
      <c r="P3271">
        <v>0</v>
      </c>
      <c r="Q3271">
        <v>0</v>
      </c>
      <c r="R3271" t="s">
        <v>32527</v>
      </c>
      <c r="S3271" t="s">
        <v>32552</v>
      </c>
      <c r="T3271" t="s">
        <v>33230</v>
      </c>
      <c r="U3271" t="s">
        <v>36386</v>
      </c>
      <c r="V3271" t="s">
        <v>42726</v>
      </c>
      <c r="W3271" t="s">
        <v>30793</v>
      </c>
      <c r="X3271" t="s">
        <v>32528</v>
      </c>
    </row>
    <row r="3272" spans="1:24">
      <c r="A3272">
        <f>HYPERLINK("https://www.philgeps.gov.ph/GEPSNONPILOT/Tender/SplashBidNoticeAbstractUI.aspx?menuIndex=3&amp;refID=7044310&amp;Result=3","7044310")</f>
        <v>0</v>
      </c>
      <c r="B3272" t="s">
        <v>1150</v>
      </c>
      <c r="C3272" t="s">
        <v>5801</v>
      </c>
      <c r="D3272" t="s">
        <v>13031</v>
      </c>
      <c r="E3272" t="s">
        <v>16052</v>
      </c>
      <c r="F3272" t="s">
        <v>22436</v>
      </c>
      <c r="G3272" t="s">
        <v>22446</v>
      </c>
      <c r="H3272" t="s">
        <v>22452</v>
      </c>
      <c r="I3272" t="s">
        <v>5194</v>
      </c>
      <c r="J3272" t="s">
        <v>24820</v>
      </c>
      <c r="K3272" t="s">
        <v>29331</v>
      </c>
      <c r="M3272" t="s">
        <v>30794</v>
      </c>
      <c r="N3272" t="s">
        <v>32524</v>
      </c>
      <c r="O3272" t="s">
        <v>32525</v>
      </c>
      <c r="P3272">
        <v>0</v>
      </c>
      <c r="Q3272">
        <v>1</v>
      </c>
      <c r="R3272" t="s">
        <v>32527</v>
      </c>
      <c r="S3272" t="s">
        <v>32552</v>
      </c>
      <c r="T3272" t="s">
        <v>33206</v>
      </c>
      <c r="U3272" t="s">
        <v>34315</v>
      </c>
      <c r="W3272" t="s">
        <v>30794</v>
      </c>
      <c r="X3272" t="s">
        <v>32528</v>
      </c>
    </row>
    <row r="3273" spans="1:24">
      <c r="A3273">
        <f>HYPERLINK("https://www.philgeps.gov.ph/GEPSNONPILOT/Tender/SplashBidNoticeAbstractUI.aspx?menuIndex=3&amp;refID=7044320&amp;Result=3","7044320")</f>
        <v>0</v>
      </c>
      <c r="B3273" t="s">
        <v>1144</v>
      </c>
      <c r="C3273" t="s">
        <v>5802</v>
      </c>
      <c r="D3273" t="s">
        <v>13002</v>
      </c>
      <c r="E3273" t="s">
        <v>16053</v>
      </c>
      <c r="F3273" t="s">
        <v>22436</v>
      </c>
      <c r="G3273" t="s">
        <v>22444</v>
      </c>
      <c r="H3273" t="s">
        <v>22452</v>
      </c>
      <c r="I3273" t="s">
        <v>22465</v>
      </c>
      <c r="J3273" t="s">
        <v>24821</v>
      </c>
      <c r="K3273" t="s">
        <v>29341</v>
      </c>
      <c r="M3273" t="s">
        <v>30787</v>
      </c>
      <c r="N3273" t="s">
        <v>32524</v>
      </c>
      <c r="O3273" t="s">
        <v>32525</v>
      </c>
      <c r="P3273">
        <v>0</v>
      </c>
      <c r="Q3273">
        <v>1</v>
      </c>
      <c r="R3273" t="s">
        <v>32527</v>
      </c>
      <c r="S3273" t="s">
        <v>32552</v>
      </c>
      <c r="T3273" t="s">
        <v>33293</v>
      </c>
      <c r="U3273" t="s">
        <v>36387</v>
      </c>
      <c r="W3273" t="s">
        <v>43707</v>
      </c>
      <c r="X3273" t="s">
        <v>32528</v>
      </c>
    </row>
    <row r="3274" spans="1:24">
      <c r="A3274">
        <f>HYPERLINK("https://www.philgeps.gov.ph/GEPSNONPILOT/Tender/SplashBidNoticeAbstractUI.aspx?menuIndex=3&amp;refID=7044316&amp;Result=3","7044316")</f>
        <v>0</v>
      </c>
      <c r="B3274" t="s">
        <v>1144</v>
      </c>
      <c r="C3274" t="s">
        <v>5803</v>
      </c>
      <c r="D3274" t="s">
        <v>13002</v>
      </c>
      <c r="E3274" t="s">
        <v>16054</v>
      </c>
      <c r="F3274" t="s">
        <v>22436</v>
      </c>
      <c r="G3274" t="s">
        <v>22444</v>
      </c>
      <c r="H3274" t="s">
        <v>22452</v>
      </c>
      <c r="I3274" t="s">
        <v>22468</v>
      </c>
      <c r="J3274" t="s">
        <v>24822</v>
      </c>
      <c r="K3274" t="s">
        <v>29341</v>
      </c>
      <c r="M3274" t="s">
        <v>30787</v>
      </c>
      <c r="N3274" t="s">
        <v>32524</v>
      </c>
      <c r="O3274" t="s">
        <v>32525</v>
      </c>
      <c r="P3274">
        <v>0</v>
      </c>
      <c r="Q3274">
        <v>0</v>
      </c>
      <c r="R3274" t="s">
        <v>32527</v>
      </c>
      <c r="S3274" t="s">
        <v>32552</v>
      </c>
      <c r="T3274" t="s">
        <v>33293</v>
      </c>
      <c r="U3274" t="s">
        <v>36388</v>
      </c>
      <c r="W3274" t="s">
        <v>43707</v>
      </c>
      <c r="X3274" t="s">
        <v>32528</v>
      </c>
    </row>
    <row r="3275" spans="1:24">
      <c r="A3275">
        <f>HYPERLINK("https://www.philgeps.gov.ph/GEPSNONPILOT/Tender/SplashBidNoticeAbstractUI.aspx?menuIndex=3&amp;refID=7044309&amp;Result=3","7044309")</f>
        <v>0</v>
      </c>
      <c r="B3275" t="s">
        <v>1144</v>
      </c>
      <c r="C3275" t="s">
        <v>5804</v>
      </c>
      <c r="D3275" t="s">
        <v>13002</v>
      </c>
      <c r="E3275" t="s">
        <v>16055</v>
      </c>
      <c r="F3275" t="s">
        <v>22436</v>
      </c>
      <c r="G3275" t="s">
        <v>22444</v>
      </c>
      <c r="H3275" t="s">
        <v>22452</v>
      </c>
      <c r="I3275" t="s">
        <v>22461</v>
      </c>
      <c r="J3275" t="s">
        <v>24823</v>
      </c>
      <c r="K3275" t="s">
        <v>29341</v>
      </c>
      <c r="M3275" t="s">
        <v>30787</v>
      </c>
      <c r="N3275" t="s">
        <v>32524</v>
      </c>
      <c r="O3275" t="s">
        <v>32525</v>
      </c>
      <c r="P3275">
        <v>0</v>
      </c>
      <c r="Q3275">
        <v>1</v>
      </c>
      <c r="R3275" t="s">
        <v>32527</v>
      </c>
      <c r="S3275" t="s">
        <v>32552</v>
      </c>
      <c r="T3275" t="s">
        <v>33293</v>
      </c>
      <c r="U3275" t="s">
        <v>36389</v>
      </c>
      <c r="W3275" t="s">
        <v>43707</v>
      </c>
      <c r="X3275" t="s">
        <v>32528</v>
      </c>
    </row>
    <row r="3276" spans="1:24">
      <c r="A3276">
        <f>HYPERLINK("https://www.philgeps.gov.ph/GEPSNONPILOT/Tender/SplashBidNoticeAbstractUI.aspx?menuIndex=3&amp;refID=7044334&amp;Result=3","7044334")</f>
        <v>0</v>
      </c>
      <c r="B3276" t="s">
        <v>931</v>
      </c>
      <c r="C3276" t="s">
        <v>5805</v>
      </c>
      <c r="D3276" t="s">
        <v>13002</v>
      </c>
      <c r="E3276" t="s">
        <v>16056</v>
      </c>
      <c r="F3276" t="s">
        <v>22436</v>
      </c>
      <c r="G3276" t="s">
        <v>22443</v>
      </c>
      <c r="H3276" t="s">
        <v>22452</v>
      </c>
      <c r="I3276" t="s">
        <v>22467</v>
      </c>
      <c r="J3276" t="s">
        <v>24824</v>
      </c>
      <c r="K3276" t="s">
        <v>29344</v>
      </c>
      <c r="M3276" t="s">
        <v>30545</v>
      </c>
      <c r="N3276" t="s">
        <v>32524</v>
      </c>
      <c r="O3276" t="s">
        <v>32525</v>
      </c>
      <c r="P3276">
        <v>0</v>
      </c>
      <c r="Q3276">
        <v>0</v>
      </c>
      <c r="R3276" t="s">
        <v>32527</v>
      </c>
      <c r="S3276" t="s">
        <v>32552</v>
      </c>
      <c r="T3276" t="s">
        <v>33320</v>
      </c>
      <c r="U3276" t="s">
        <v>36390</v>
      </c>
      <c r="W3276" t="s">
        <v>30545</v>
      </c>
      <c r="X3276" t="s">
        <v>32528</v>
      </c>
    </row>
    <row r="3277" spans="1:24">
      <c r="A3277">
        <f>HYPERLINK("https://www.philgeps.gov.ph/GEPSNONPILOT/Tender/SplashBidNoticeAbstractUI.aspx?menuIndex=3&amp;refID=7044337&amp;Result=3","7044337")</f>
        <v>0</v>
      </c>
      <c r="B3277" t="s">
        <v>1151</v>
      </c>
      <c r="C3277" t="s">
        <v>5806</v>
      </c>
      <c r="D3277" t="s">
        <v>13042</v>
      </c>
      <c r="E3277" t="s">
        <v>16057</v>
      </c>
      <c r="F3277" t="s">
        <v>22436</v>
      </c>
      <c r="G3277" t="s">
        <v>22443</v>
      </c>
      <c r="H3277" t="s">
        <v>22452</v>
      </c>
      <c r="I3277" t="s">
        <v>3027</v>
      </c>
      <c r="J3277" t="s">
        <v>22657</v>
      </c>
      <c r="K3277" t="s">
        <v>29358</v>
      </c>
      <c r="M3277" t="s">
        <v>30795</v>
      </c>
      <c r="N3277" t="s">
        <v>32524</v>
      </c>
      <c r="O3277" t="s">
        <v>32525</v>
      </c>
      <c r="P3277">
        <v>0</v>
      </c>
      <c r="Q3277">
        <v>0</v>
      </c>
      <c r="R3277" t="s">
        <v>32527</v>
      </c>
      <c r="S3277" t="s">
        <v>32552</v>
      </c>
      <c r="T3277" t="s">
        <v>33213</v>
      </c>
      <c r="U3277" t="s">
        <v>36391</v>
      </c>
      <c r="W3277" t="s">
        <v>30795</v>
      </c>
      <c r="X3277" t="s">
        <v>32528</v>
      </c>
    </row>
    <row r="3278" spans="1:24">
      <c r="A3278">
        <f>HYPERLINK("https://www.philgeps.gov.ph/GEPSNONPILOT/Tender/SplashBidNoticeAbstractUI.aspx?menuIndex=3&amp;refID=7044317&amp;Result=3","7044317")</f>
        <v>0</v>
      </c>
      <c r="B3278" t="s">
        <v>1144</v>
      </c>
      <c r="C3278" t="s">
        <v>5807</v>
      </c>
      <c r="D3278" t="s">
        <v>13002</v>
      </c>
      <c r="E3278" t="s">
        <v>16058</v>
      </c>
      <c r="F3278" t="s">
        <v>22436</v>
      </c>
      <c r="G3278" t="s">
        <v>22444</v>
      </c>
      <c r="H3278" t="s">
        <v>22452</v>
      </c>
      <c r="I3278" t="s">
        <v>3381</v>
      </c>
      <c r="J3278" t="s">
        <v>24825</v>
      </c>
      <c r="K3278" t="s">
        <v>29341</v>
      </c>
      <c r="M3278" t="s">
        <v>30787</v>
      </c>
      <c r="N3278" t="s">
        <v>32524</v>
      </c>
      <c r="O3278" t="s">
        <v>32525</v>
      </c>
      <c r="P3278">
        <v>0</v>
      </c>
      <c r="Q3278">
        <v>0</v>
      </c>
      <c r="R3278" t="s">
        <v>32527</v>
      </c>
      <c r="S3278" t="s">
        <v>32552</v>
      </c>
      <c r="T3278" t="s">
        <v>33293</v>
      </c>
      <c r="U3278" t="s">
        <v>36392</v>
      </c>
      <c r="W3278" t="s">
        <v>43707</v>
      </c>
      <c r="X3278" t="s">
        <v>32528</v>
      </c>
    </row>
    <row r="3279" spans="1:24">
      <c r="A3279">
        <f>HYPERLINK("https://www.philgeps.gov.ph/GEPSNONPILOT/Tender/SplashBidNoticeAbstractUI.aspx?menuIndex=3&amp;refID=7044314&amp;Result=3","7044314")</f>
        <v>0</v>
      </c>
      <c r="B3279" t="s">
        <v>1144</v>
      </c>
      <c r="C3279" t="s">
        <v>5808</v>
      </c>
      <c r="D3279" t="s">
        <v>13002</v>
      </c>
      <c r="E3279" t="s">
        <v>16059</v>
      </c>
      <c r="F3279" t="s">
        <v>22436</v>
      </c>
      <c r="G3279" t="s">
        <v>22444</v>
      </c>
      <c r="H3279" t="s">
        <v>22452</v>
      </c>
      <c r="I3279" t="s">
        <v>12358</v>
      </c>
      <c r="J3279" t="s">
        <v>24826</v>
      </c>
      <c r="K3279" t="s">
        <v>29341</v>
      </c>
      <c r="M3279" t="s">
        <v>30787</v>
      </c>
      <c r="N3279" t="s">
        <v>32524</v>
      </c>
      <c r="O3279" t="s">
        <v>32525</v>
      </c>
      <c r="P3279">
        <v>0</v>
      </c>
      <c r="Q3279">
        <v>0</v>
      </c>
      <c r="R3279" t="s">
        <v>32527</v>
      </c>
      <c r="S3279" t="s">
        <v>32552</v>
      </c>
      <c r="T3279" t="s">
        <v>33293</v>
      </c>
      <c r="U3279" t="s">
        <v>36393</v>
      </c>
      <c r="W3279" t="s">
        <v>43707</v>
      </c>
      <c r="X3279" t="s">
        <v>32528</v>
      </c>
    </row>
    <row r="3280" spans="1:24">
      <c r="A3280">
        <f>HYPERLINK("https://www.philgeps.gov.ph/GEPSNONPILOT/Tender/SplashBidNoticeAbstractUI.aspx?menuIndex=3&amp;refID=7044318&amp;Result=3","7044318")</f>
        <v>0</v>
      </c>
      <c r="B3280" t="s">
        <v>1144</v>
      </c>
      <c r="C3280" t="s">
        <v>5809</v>
      </c>
      <c r="D3280" t="s">
        <v>13002</v>
      </c>
      <c r="E3280" t="s">
        <v>16060</v>
      </c>
      <c r="F3280" t="s">
        <v>22436</v>
      </c>
      <c r="G3280" t="s">
        <v>22444</v>
      </c>
      <c r="H3280" t="s">
        <v>22452</v>
      </c>
      <c r="I3280" t="s">
        <v>22465</v>
      </c>
      <c r="J3280" t="s">
        <v>24827</v>
      </c>
      <c r="K3280" t="s">
        <v>29341</v>
      </c>
      <c r="M3280" t="s">
        <v>30787</v>
      </c>
      <c r="N3280" t="s">
        <v>32524</v>
      </c>
      <c r="O3280" t="s">
        <v>32525</v>
      </c>
      <c r="P3280">
        <v>0</v>
      </c>
      <c r="Q3280">
        <v>2</v>
      </c>
      <c r="R3280" t="s">
        <v>32527</v>
      </c>
      <c r="S3280" t="s">
        <v>32552</v>
      </c>
      <c r="T3280" t="s">
        <v>33293</v>
      </c>
      <c r="U3280" t="s">
        <v>36394</v>
      </c>
      <c r="W3280" t="s">
        <v>43707</v>
      </c>
      <c r="X3280" t="s">
        <v>32528</v>
      </c>
    </row>
    <row r="3281" spans="1:24">
      <c r="A3281">
        <f>HYPERLINK("https://www.philgeps.gov.ph/GEPSNONPILOT/Tender/SplashBidNoticeAbstractUI.aspx?menuIndex=3&amp;refID=7044332&amp;Result=3","7044332")</f>
        <v>0</v>
      </c>
      <c r="B3281" t="s">
        <v>931</v>
      </c>
      <c r="C3281" t="s">
        <v>5810</v>
      </c>
      <c r="D3281" t="s">
        <v>13002</v>
      </c>
      <c r="E3281" t="s">
        <v>16061</v>
      </c>
      <c r="F3281" t="s">
        <v>22436</v>
      </c>
      <c r="G3281" t="s">
        <v>22443</v>
      </c>
      <c r="H3281" t="s">
        <v>22452</v>
      </c>
      <c r="I3281" t="s">
        <v>3529</v>
      </c>
      <c r="J3281" t="s">
        <v>24828</v>
      </c>
      <c r="K3281" t="s">
        <v>29335</v>
      </c>
      <c r="M3281" t="s">
        <v>30545</v>
      </c>
      <c r="N3281" t="s">
        <v>32524</v>
      </c>
      <c r="O3281" t="s">
        <v>32525</v>
      </c>
      <c r="P3281">
        <v>0</v>
      </c>
      <c r="Q3281">
        <v>0</v>
      </c>
      <c r="R3281" t="s">
        <v>32527</v>
      </c>
      <c r="S3281" t="s">
        <v>32552</v>
      </c>
      <c r="T3281" t="s">
        <v>33389</v>
      </c>
      <c r="U3281" t="s">
        <v>36395</v>
      </c>
      <c r="W3281" t="s">
        <v>30545</v>
      </c>
      <c r="X3281" t="s">
        <v>32528</v>
      </c>
    </row>
    <row r="3282" spans="1:24">
      <c r="A3282">
        <f>HYPERLINK("https://www.philgeps.gov.ph/GEPSNONPILOT/Tender/SplashBidNoticeAbstractUI.aspx?menuIndex=3&amp;refID=7044331&amp;Result=3","7044331")</f>
        <v>0</v>
      </c>
      <c r="B3282" t="s">
        <v>1146</v>
      </c>
      <c r="C3282" t="s">
        <v>5811</v>
      </c>
      <c r="D3282" t="s">
        <v>13007</v>
      </c>
      <c r="E3282" t="s">
        <v>16062</v>
      </c>
      <c r="F3282" t="s">
        <v>22436</v>
      </c>
      <c r="G3282" t="s">
        <v>22444</v>
      </c>
      <c r="H3282" t="s">
        <v>22452</v>
      </c>
      <c r="I3282" t="s">
        <v>2993</v>
      </c>
      <c r="J3282" t="s">
        <v>24829</v>
      </c>
      <c r="K3282" t="s">
        <v>29357</v>
      </c>
      <c r="M3282" t="s">
        <v>30789</v>
      </c>
      <c r="N3282" t="s">
        <v>32524</v>
      </c>
      <c r="O3282" t="s">
        <v>32525</v>
      </c>
      <c r="P3282">
        <v>0</v>
      </c>
      <c r="Q3282">
        <v>0</v>
      </c>
      <c r="R3282" t="s">
        <v>32527</v>
      </c>
      <c r="S3282" t="s">
        <v>32552</v>
      </c>
      <c r="T3282" t="s">
        <v>33163</v>
      </c>
      <c r="U3282" t="s">
        <v>36396</v>
      </c>
      <c r="W3282" t="s">
        <v>30789</v>
      </c>
      <c r="X3282" t="s">
        <v>32528</v>
      </c>
    </row>
    <row r="3283" spans="1:24">
      <c r="A3283">
        <f>HYPERLINK("https://www.philgeps.gov.ph/GEPSNONPILOT/Tender/SplashBidNoticeAbstractUI.aspx?menuIndex=3&amp;refID=7044336&amp;Result=3","7044336")</f>
        <v>0</v>
      </c>
      <c r="B3283" t="s">
        <v>240</v>
      </c>
      <c r="C3283" t="s">
        <v>5812</v>
      </c>
      <c r="D3283" t="s">
        <v>12988</v>
      </c>
      <c r="E3283" t="s">
        <v>13865</v>
      </c>
      <c r="F3283" t="s">
        <v>22436</v>
      </c>
      <c r="G3283" t="s">
        <v>22444</v>
      </c>
      <c r="H3283" t="s">
        <v>22452</v>
      </c>
      <c r="I3283" t="s">
        <v>22556</v>
      </c>
      <c r="J3283" t="s">
        <v>24830</v>
      </c>
      <c r="K3283" t="s">
        <v>29334</v>
      </c>
      <c r="M3283" t="s">
        <v>29814</v>
      </c>
      <c r="N3283" t="s">
        <v>32524</v>
      </c>
      <c r="O3283" t="s">
        <v>32525</v>
      </c>
      <c r="P3283">
        <v>0</v>
      </c>
      <c r="Q3283">
        <v>6</v>
      </c>
      <c r="R3283" t="s">
        <v>32527</v>
      </c>
      <c r="S3283" t="s">
        <v>32552</v>
      </c>
      <c r="T3283" t="s">
        <v>33266</v>
      </c>
      <c r="U3283" t="s">
        <v>36397</v>
      </c>
      <c r="V3283" t="s">
        <v>42727</v>
      </c>
      <c r="W3283" t="s">
        <v>29814</v>
      </c>
      <c r="X3283" t="s">
        <v>32528</v>
      </c>
    </row>
    <row r="3284" spans="1:24">
      <c r="A3284">
        <f>HYPERLINK("https://www.philgeps.gov.ph/GEPSNONPILOT/Tender/SplashBidNoticeAbstractUI.aspx?menuIndex=3&amp;refID=7044327&amp;Result=3","7044327")</f>
        <v>0</v>
      </c>
      <c r="B3284" t="s">
        <v>1146</v>
      </c>
      <c r="C3284" t="s">
        <v>5813</v>
      </c>
      <c r="D3284" t="s">
        <v>13007</v>
      </c>
      <c r="E3284" t="s">
        <v>16063</v>
      </c>
      <c r="F3284" t="s">
        <v>22436</v>
      </c>
      <c r="G3284" t="s">
        <v>22444</v>
      </c>
      <c r="H3284" t="s">
        <v>22452</v>
      </c>
      <c r="I3284" t="s">
        <v>2993</v>
      </c>
      <c r="J3284" t="s">
        <v>24831</v>
      </c>
      <c r="K3284" t="s">
        <v>29357</v>
      </c>
      <c r="M3284" t="s">
        <v>30789</v>
      </c>
      <c r="N3284" t="s">
        <v>32524</v>
      </c>
      <c r="O3284" t="s">
        <v>32525</v>
      </c>
      <c r="P3284">
        <v>0</v>
      </c>
      <c r="Q3284">
        <v>0</v>
      </c>
      <c r="R3284" t="s">
        <v>32527</v>
      </c>
      <c r="S3284" t="s">
        <v>32552</v>
      </c>
      <c r="T3284" t="s">
        <v>33163</v>
      </c>
      <c r="U3284" t="s">
        <v>36398</v>
      </c>
      <c r="W3284" t="s">
        <v>30789</v>
      </c>
      <c r="X3284" t="s">
        <v>32528</v>
      </c>
    </row>
    <row r="3285" spans="1:24">
      <c r="A3285">
        <f>HYPERLINK("https://www.philgeps.gov.ph/GEPSNONPILOT/Tender/SplashBidNoticeAbstractUI.aspx?menuIndex=3&amp;refID=7043677&amp;Result=3","7043677")</f>
        <v>0</v>
      </c>
      <c r="B3285" t="s">
        <v>1152</v>
      </c>
      <c r="C3285" t="s">
        <v>5814</v>
      </c>
      <c r="D3285" t="s">
        <v>12988</v>
      </c>
      <c r="E3285" t="s">
        <v>16064</v>
      </c>
      <c r="F3285" t="s">
        <v>22437</v>
      </c>
      <c r="G3285" t="s">
        <v>22446</v>
      </c>
      <c r="H3285" t="s">
        <v>22452</v>
      </c>
      <c r="I3285" t="s">
        <v>22469</v>
      </c>
      <c r="J3285" t="s">
        <v>22931</v>
      </c>
      <c r="K3285" t="s">
        <v>29338</v>
      </c>
      <c r="M3285" t="s">
        <v>30796</v>
      </c>
      <c r="N3285" t="s">
        <v>32524</v>
      </c>
      <c r="O3285" t="s">
        <v>32525</v>
      </c>
      <c r="P3285">
        <v>0</v>
      </c>
      <c r="Q3285">
        <v>7</v>
      </c>
      <c r="R3285" t="s">
        <v>32528</v>
      </c>
      <c r="S3285" t="s">
        <v>32559</v>
      </c>
      <c r="T3285" t="s">
        <v>33185</v>
      </c>
      <c r="U3285" t="s">
        <v>36399</v>
      </c>
      <c r="V3285" t="s">
        <v>42728</v>
      </c>
      <c r="W3285" t="s">
        <v>30796</v>
      </c>
      <c r="X3285" t="s">
        <v>32530</v>
      </c>
    </row>
    <row r="3286" spans="1:24">
      <c r="A3286">
        <f>HYPERLINK("https://www.philgeps.gov.ph/GEPSNONPILOT/Tender/SplashBidNoticeAbstractUI.aspx?menuIndex=3&amp;refID=7044330&amp;Result=3","7044330")</f>
        <v>0</v>
      </c>
      <c r="B3286" t="s">
        <v>1146</v>
      </c>
      <c r="C3286" t="s">
        <v>5815</v>
      </c>
      <c r="D3286" t="s">
        <v>13007</v>
      </c>
      <c r="E3286" t="s">
        <v>16065</v>
      </c>
      <c r="F3286" t="s">
        <v>22436</v>
      </c>
      <c r="G3286" t="s">
        <v>22444</v>
      </c>
      <c r="H3286" t="s">
        <v>22452</v>
      </c>
      <c r="I3286" t="s">
        <v>2993</v>
      </c>
      <c r="J3286" t="s">
        <v>24832</v>
      </c>
      <c r="K3286" t="s">
        <v>29357</v>
      </c>
      <c r="M3286" t="s">
        <v>30789</v>
      </c>
      <c r="N3286" t="s">
        <v>32524</v>
      </c>
      <c r="O3286" t="s">
        <v>32525</v>
      </c>
      <c r="P3286">
        <v>0</v>
      </c>
      <c r="Q3286">
        <v>0</v>
      </c>
      <c r="R3286" t="s">
        <v>32527</v>
      </c>
      <c r="S3286" t="s">
        <v>32552</v>
      </c>
      <c r="T3286" t="s">
        <v>33163</v>
      </c>
      <c r="U3286" t="s">
        <v>36400</v>
      </c>
      <c r="W3286" t="s">
        <v>30789</v>
      </c>
      <c r="X3286" t="s">
        <v>32528</v>
      </c>
    </row>
    <row r="3287" spans="1:24">
      <c r="A3287">
        <f>HYPERLINK("https://www.philgeps.gov.ph/GEPSNONPILOT/Tender/SplashBidNoticeAbstractUI.aspx?menuIndex=3&amp;refID=7043053&amp;Result=3","7043053")</f>
        <v>0</v>
      </c>
      <c r="B3287" t="s">
        <v>1153</v>
      </c>
      <c r="C3287" t="s">
        <v>5816</v>
      </c>
      <c r="E3287" t="s">
        <v>16066</v>
      </c>
      <c r="F3287" t="s">
        <v>22436</v>
      </c>
      <c r="G3287" t="s">
        <v>22443</v>
      </c>
      <c r="H3287" t="s">
        <v>22452</v>
      </c>
      <c r="I3287" t="s">
        <v>22502</v>
      </c>
      <c r="J3287" t="s">
        <v>24833</v>
      </c>
      <c r="K3287" t="s">
        <v>29338</v>
      </c>
      <c r="M3287" t="s">
        <v>30797</v>
      </c>
      <c r="N3287" t="s">
        <v>32524</v>
      </c>
      <c r="O3287" t="s">
        <v>32525</v>
      </c>
      <c r="P3287">
        <v>0</v>
      </c>
      <c r="Q3287">
        <v>9</v>
      </c>
      <c r="R3287" t="s">
        <v>32528</v>
      </c>
      <c r="S3287" t="s">
        <v>32559</v>
      </c>
      <c r="T3287" t="s">
        <v>33221</v>
      </c>
      <c r="U3287" t="s">
        <v>36401</v>
      </c>
      <c r="W3287" t="s">
        <v>30797</v>
      </c>
      <c r="X3287" t="s">
        <v>32531</v>
      </c>
    </row>
    <row r="3288" spans="1:24">
      <c r="A3288">
        <f>HYPERLINK("https://www.philgeps.gov.ph/GEPSNONPILOT/Tender/SplashBidNoticeAbstractUI.aspx?menuIndex=3&amp;refID=7041926&amp;Result=3","7041926")</f>
        <v>0</v>
      </c>
      <c r="B3288" t="s">
        <v>1154</v>
      </c>
      <c r="C3288" t="s">
        <v>5817</v>
      </c>
      <c r="D3288" t="s">
        <v>13055</v>
      </c>
      <c r="E3288" t="s">
        <v>16067</v>
      </c>
      <c r="F3288" t="s">
        <v>22436</v>
      </c>
      <c r="G3288" t="s">
        <v>22443</v>
      </c>
      <c r="H3288" t="s">
        <v>22452</v>
      </c>
      <c r="I3288" t="s">
        <v>3529</v>
      </c>
      <c r="J3288" t="s">
        <v>24834</v>
      </c>
      <c r="K3288" t="s">
        <v>29335</v>
      </c>
      <c r="M3288" t="s">
        <v>30798</v>
      </c>
      <c r="N3288" t="s">
        <v>32524</v>
      </c>
      <c r="O3288" t="s">
        <v>32525</v>
      </c>
      <c r="P3288">
        <v>0</v>
      </c>
      <c r="Q3288">
        <v>2</v>
      </c>
      <c r="R3288" t="s">
        <v>32528</v>
      </c>
      <c r="S3288" t="s">
        <v>32559</v>
      </c>
      <c r="T3288" t="s">
        <v>33220</v>
      </c>
      <c r="U3288" t="s">
        <v>36402</v>
      </c>
      <c r="W3288" t="s">
        <v>30798</v>
      </c>
      <c r="X3288" t="s">
        <v>32531</v>
      </c>
    </row>
    <row r="3289" spans="1:24">
      <c r="A3289">
        <f>HYPERLINK("https://www.philgeps.gov.ph/GEPSNONPILOT/Tender/SplashBidNoticeAbstractUI.aspx?menuIndex=3&amp;refID=7036388&amp;Result=3","7036388")</f>
        <v>0</v>
      </c>
      <c r="B3289" t="s">
        <v>943</v>
      </c>
      <c r="C3289" t="s">
        <v>5818</v>
      </c>
      <c r="D3289" t="s">
        <v>13032</v>
      </c>
      <c r="E3289" t="s">
        <v>16068</v>
      </c>
      <c r="F3289" t="s">
        <v>22436</v>
      </c>
      <c r="G3289" t="s">
        <v>22444</v>
      </c>
      <c r="H3289" t="s">
        <v>22452</v>
      </c>
      <c r="I3289" t="s">
        <v>22461</v>
      </c>
      <c r="J3289" t="s">
        <v>24835</v>
      </c>
      <c r="K3289" t="s">
        <v>29335</v>
      </c>
      <c r="M3289" t="s">
        <v>30799</v>
      </c>
      <c r="N3289" t="s">
        <v>32524</v>
      </c>
      <c r="O3289" t="s">
        <v>32525</v>
      </c>
      <c r="P3289">
        <v>0</v>
      </c>
      <c r="Q3289">
        <v>2</v>
      </c>
      <c r="R3289" t="s">
        <v>32528</v>
      </c>
      <c r="S3289" t="s">
        <v>32559</v>
      </c>
      <c r="T3289" t="s">
        <v>33165</v>
      </c>
      <c r="U3289" t="s">
        <v>36403</v>
      </c>
      <c r="V3289" t="s">
        <v>42729</v>
      </c>
      <c r="W3289" t="s">
        <v>30799</v>
      </c>
      <c r="X3289" t="s">
        <v>32533</v>
      </c>
    </row>
    <row r="3290" spans="1:24">
      <c r="A3290">
        <f>HYPERLINK("https://www.philgeps.gov.ph/GEPSNONPILOT/Tender/SplashBidNoticeAbstractUI.aspx?menuIndex=3&amp;refID=7042060&amp;Result=3","7042060")</f>
        <v>0</v>
      </c>
      <c r="B3290" t="s">
        <v>1154</v>
      </c>
      <c r="C3290" t="s">
        <v>5819</v>
      </c>
      <c r="D3290" t="s">
        <v>13055</v>
      </c>
      <c r="E3290" t="s">
        <v>16069</v>
      </c>
      <c r="F3290" t="s">
        <v>22436</v>
      </c>
      <c r="G3290" t="s">
        <v>22443</v>
      </c>
      <c r="H3290" t="s">
        <v>22452</v>
      </c>
      <c r="I3290" t="s">
        <v>12358</v>
      </c>
      <c r="J3290" t="s">
        <v>24836</v>
      </c>
      <c r="K3290" t="s">
        <v>29335</v>
      </c>
      <c r="M3290" t="s">
        <v>30798</v>
      </c>
      <c r="N3290" t="s">
        <v>32524</v>
      </c>
      <c r="O3290" t="s">
        <v>32525</v>
      </c>
      <c r="P3290">
        <v>0</v>
      </c>
      <c r="Q3290">
        <v>2</v>
      </c>
      <c r="R3290" t="s">
        <v>32528</v>
      </c>
      <c r="S3290" t="s">
        <v>32559</v>
      </c>
      <c r="T3290" t="s">
        <v>33185</v>
      </c>
      <c r="U3290" t="s">
        <v>36404</v>
      </c>
      <c r="W3290" t="s">
        <v>30798</v>
      </c>
      <c r="X3290" t="s">
        <v>32531</v>
      </c>
    </row>
    <row r="3291" spans="1:24">
      <c r="A3291">
        <f>HYPERLINK("https://www.philgeps.gov.ph/GEPSNONPILOT/Tender/SplashBidNoticeAbstractUI.aspx?menuIndex=3&amp;refID=7043682&amp;Result=3","7043682")</f>
        <v>0</v>
      </c>
      <c r="B3291" t="s">
        <v>231</v>
      </c>
      <c r="C3291" t="s">
        <v>5820</v>
      </c>
      <c r="D3291" t="s">
        <v>13054</v>
      </c>
      <c r="E3291" t="s">
        <v>16070</v>
      </c>
      <c r="F3291" t="s">
        <v>22436</v>
      </c>
      <c r="G3291" t="s">
        <v>22446</v>
      </c>
      <c r="H3291" t="s">
        <v>22452</v>
      </c>
      <c r="I3291" t="s">
        <v>3827</v>
      </c>
      <c r="J3291" t="s">
        <v>22798</v>
      </c>
      <c r="K3291" t="s">
        <v>29336</v>
      </c>
      <c r="M3291" t="s">
        <v>29804</v>
      </c>
      <c r="N3291" t="s">
        <v>32524</v>
      </c>
      <c r="O3291" t="s">
        <v>32525</v>
      </c>
      <c r="P3291">
        <v>0</v>
      </c>
      <c r="Q3291">
        <v>1</v>
      </c>
      <c r="R3291" t="s">
        <v>32528</v>
      </c>
      <c r="S3291" t="s">
        <v>32559</v>
      </c>
      <c r="T3291" t="s">
        <v>33230</v>
      </c>
      <c r="U3291" t="s">
        <v>36405</v>
      </c>
      <c r="W3291" t="s">
        <v>29804</v>
      </c>
      <c r="X3291" t="s">
        <v>32530</v>
      </c>
    </row>
    <row r="3292" spans="1:24">
      <c r="A3292">
        <f>HYPERLINK("https://www.philgeps.gov.ph/GEPSNONPILOT/Tender/SplashBidNoticeAbstractUI.aspx?menuIndex=3&amp;refID=7036376&amp;Result=3","7036376")</f>
        <v>0</v>
      </c>
      <c r="B3292" t="s">
        <v>943</v>
      </c>
      <c r="C3292" t="s">
        <v>5821</v>
      </c>
      <c r="D3292" t="s">
        <v>13032</v>
      </c>
      <c r="E3292" t="s">
        <v>16071</v>
      </c>
      <c r="F3292" t="s">
        <v>22436</v>
      </c>
      <c r="G3292" t="s">
        <v>22444</v>
      </c>
      <c r="H3292" t="s">
        <v>22452</v>
      </c>
      <c r="I3292" t="s">
        <v>22479</v>
      </c>
      <c r="J3292" t="s">
        <v>24837</v>
      </c>
      <c r="K3292" t="s">
        <v>29335</v>
      </c>
      <c r="M3292" t="s">
        <v>30799</v>
      </c>
      <c r="N3292" t="s">
        <v>32524</v>
      </c>
      <c r="O3292" t="s">
        <v>32525</v>
      </c>
      <c r="P3292">
        <v>0</v>
      </c>
      <c r="Q3292">
        <v>3</v>
      </c>
      <c r="R3292" t="s">
        <v>32528</v>
      </c>
      <c r="S3292" t="s">
        <v>32559</v>
      </c>
      <c r="T3292" t="s">
        <v>33165</v>
      </c>
      <c r="U3292" t="s">
        <v>36406</v>
      </c>
      <c r="V3292" t="s">
        <v>42729</v>
      </c>
      <c r="W3292" t="s">
        <v>30799</v>
      </c>
      <c r="X3292" t="s">
        <v>32533</v>
      </c>
    </row>
    <row r="3293" spans="1:24">
      <c r="A3293">
        <f>HYPERLINK("https://www.philgeps.gov.ph/GEPSNONPILOT/Tender/SplashBidNoticeAbstractUI.aspx?menuIndex=3&amp;refID=7042635&amp;Result=3","7042635")</f>
        <v>0</v>
      </c>
      <c r="B3293" t="s">
        <v>1155</v>
      </c>
      <c r="C3293" t="s">
        <v>5822</v>
      </c>
      <c r="D3293" t="s">
        <v>13046</v>
      </c>
      <c r="E3293" t="s">
        <v>16072</v>
      </c>
      <c r="F3293" t="s">
        <v>22436</v>
      </c>
      <c r="G3293" t="s">
        <v>22444</v>
      </c>
      <c r="H3293" t="s">
        <v>22452</v>
      </c>
      <c r="I3293" t="s">
        <v>3529</v>
      </c>
      <c r="J3293" t="s">
        <v>24838</v>
      </c>
      <c r="K3293" t="s">
        <v>29331</v>
      </c>
      <c r="M3293" t="s">
        <v>30800</v>
      </c>
      <c r="N3293" t="s">
        <v>32524</v>
      </c>
      <c r="O3293" t="s">
        <v>32525</v>
      </c>
      <c r="P3293">
        <v>0</v>
      </c>
      <c r="Q3293">
        <v>0</v>
      </c>
      <c r="R3293" t="s">
        <v>32528</v>
      </c>
      <c r="S3293" t="s">
        <v>32559</v>
      </c>
      <c r="T3293" t="s">
        <v>33228</v>
      </c>
      <c r="U3293" t="s">
        <v>36407</v>
      </c>
      <c r="V3293" t="s">
        <v>42730</v>
      </c>
      <c r="W3293" t="s">
        <v>30800</v>
      </c>
      <c r="X3293" t="s">
        <v>32531</v>
      </c>
    </row>
    <row r="3294" spans="1:24">
      <c r="A3294">
        <f>HYPERLINK("https://www.philgeps.gov.ph/GEPSNONPILOT/Tender/SplashBidNoticeAbstractUI.aspx?menuIndex=3&amp;refID=7043690&amp;Result=3","7043690")</f>
        <v>0</v>
      </c>
      <c r="B3294" t="s">
        <v>231</v>
      </c>
      <c r="C3294" t="s">
        <v>5823</v>
      </c>
      <c r="D3294" t="s">
        <v>13054</v>
      </c>
      <c r="E3294" t="s">
        <v>16073</v>
      </c>
      <c r="F3294" t="s">
        <v>22436</v>
      </c>
      <c r="G3294" t="s">
        <v>22443</v>
      </c>
      <c r="H3294" t="s">
        <v>22452</v>
      </c>
      <c r="I3294" t="s">
        <v>3122</v>
      </c>
      <c r="J3294" t="s">
        <v>24839</v>
      </c>
      <c r="K3294" t="s">
        <v>29356</v>
      </c>
      <c r="M3294" t="s">
        <v>29804</v>
      </c>
      <c r="N3294" t="s">
        <v>32524</v>
      </c>
      <c r="O3294" t="s">
        <v>32525</v>
      </c>
      <c r="P3294">
        <v>0</v>
      </c>
      <c r="Q3294">
        <v>0</v>
      </c>
      <c r="R3294" t="s">
        <v>32528</v>
      </c>
      <c r="S3294" t="s">
        <v>32559</v>
      </c>
      <c r="T3294" t="s">
        <v>33296</v>
      </c>
      <c r="U3294" t="s">
        <v>36408</v>
      </c>
      <c r="W3294" t="s">
        <v>29804</v>
      </c>
      <c r="X3294" t="s">
        <v>32529</v>
      </c>
    </row>
    <row r="3295" spans="1:24">
      <c r="A3295">
        <f>HYPERLINK("https://www.philgeps.gov.ph/GEPSNONPILOT/Tender/SplashBidNoticeAbstractUI.aspx?menuIndex=3&amp;refID=7023347&amp;Result=3","7023347")</f>
        <v>0</v>
      </c>
      <c r="B3295" t="s">
        <v>1156</v>
      </c>
      <c r="C3295" t="s">
        <v>5824</v>
      </c>
      <c r="D3295" t="s">
        <v>13011</v>
      </c>
      <c r="E3295" t="s">
        <v>16074</v>
      </c>
      <c r="F3295" t="s">
        <v>22436</v>
      </c>
      <c r="G3295" t="s">
        <v>22444</v>
      </c>
      <c r="H3295" t="s">
        <v>22452</v>
      </c>
      <c r="I3295" t="s">
        <v>6421</v>
      </c>
      <c r="J3295" t="s">
        <v>24840</v>
      </c>
      <c r="K3295" t="s">
        <v>29336</v>
      </c>
      <c r="M3295" t="s">
        <v>30801</v>
      </c>
      <c r="N3295" t="s">
        <v>32524</v>
      </c>
      <c r="O3295" t="s">
        <v>32525</v>
      </c>
      <c r="P3295">
        <v>0</v>
      </c>
      <c r="Q3295">
        <v>7</v>
      </c>
      <c r="R3295" t="s">
        <v>32528</v>
      </c>
      <c r="S3295" t="s">
        <v>32559</v>
      </c>
      <c r="T3295" t="s">
        <v>33357</v>
      </c>
      <c r="U3295" t="s">
        <v>36409</v>
      </c>
      <c r="W3295" t="s">
        <v>30801</v>
      </c>
      <c r="X3295" t="s">
        <v>32540</v>
      </c>
    </row>
    <row r="3296" spans="1:24">
      <c r="A3296">
        <f>HYPERLINK("https://www.philgeps.gov.ph/GEPSNONPILOT/Tender/SplashBidNoticeAbstractUI.aspx?menuIndex=3&amp;refID=7033145&amp;Result=3","7033145")</f>
        <v>0</v>
      </c>
      <c r="B3296" t="s">
        <v>943</v>
      </c>
      <c r="C3296" t="s">
        <v>5825</v>
      </c>
      <c r="D3296" t="s">
        <v>13032</v>
      </c>
      <c r="E3296" t="s">
        <v>16075</v>
      </c>
      <c r="F3296" t="s">
        <v>22436</v>
      </c>
      <c r="G3296" t="s">
        <v>22444</v>
      </c>
      <c r="H3296" t="s">
        <v>22452</v>
      </c>
      <c r="I3296" t="s">
        <v>22465</v>
      </c>
      <c r="J3296" t="s">
        <v>24841</v>
      </c>
      <c r="K3296" t="s">
        <v>29335</v>
      </c>
      <c r="M3296" t="s">
        <v>30799</v>
      </c>
      <c r="N3296" t="s">
        <v>32524</v>
      </c>
      <c r="O3296" t="s">
        <v>32525</v>
      </c>
      <c r="P3296">
        <v>0</v>
      </c>
      <c r="Q3296">
        <v>1</v>
      </c>
      <c r="R3296" t="s">
        <v>32528</v>
      </c>
      <c r="S3296" t="s">
        <v>32559</v>
      </c>
      <c r="T3296" t="s">
        <v>33165</v>
      </c>
      <c r="U3296" t="s">
        <v>36410</v>
      </c>
      <c r="V3296" t="s">
        <v>42729</v>
      </c>
      <c r="W3296" t="s">
        <v>30799</v>
      </c>
      <c r="X3296" t="s">
        <v>32534</v>
      </c>
    </row>
    <row r="3297" spans="1:24">
      <c r="A3297">
        <f>HYPERLINK("https://www.philgeps.gov.ph/GEPSNONPILOT/Tender/SplashBidNoticeAbstractUI.aspx?menuIndex=3&amp;refID=7044340&amp;Result=3","7044340")</f>
        <v>0</v>
      </c>
      <c r="B3297" t="s">
        <v>667</v>
      </c>
      <c r="C3297" t="s">
        <v>5826</v>
      </c>
      <c r="E3297" t="s">
        <v>16076</v>
      </c>
      <c r="F3297" t="s">
        <v>22436</v>
      </c>
      <c r="G3297" t="s">
        <v>22446</v>
      </c>
      <c r="H3297" t="s">
        <v>22452</v>
      </c>
      <c r="I3297" t="s">
        <v>22469</v>
      </c>
      <c r="J3297" t="s">
        <v>23187</v>
      </c>
      <c r="K3297" t="s">
        <v>29338</v>
      </c>
      <c r="M3297" t="s">
        <v>30802</v>
      </c>
      <c r="N3297" t="s">
        <v>32524</v>
      </c>
      <c r="O3297" t="s">
        <v>32525</v>
      </c>
      <c r="P3297">
        <v>0</v>
      </c>
      <c r="Q3297">
        <v>10</v>
      </c>
      <c r="R3297" t="s">
        <v>32527</v>
      </c>
      <c r="S3297" t="s">
        <v>32552</v>
      </c>
      <c r="T3297" t="s">
        <v>33213</v>
      </c>
      <c r="U3297" t="s">
        <v>36411</v>
      </c>
      <c r="W3297" t="s">
        <v>30802</v>
      </c>
      <c r="X3297" t="s">
        <v>32528</v>
      </c>
    </row>
    <row r="3298" spans="1:24">
      <c r="A3298">
        <f>HYPERLINK("https://www.philgeps.gov.ph/GEPSNONPILOT/Tender/SplashBidNoticeAbstractUI.aspx?menuIndex=3&amp;refID=7043701&amp;Result=3","7043701")</f>
        <v>0</v>
      </c>
      <c r="B3298" t="s">
        <v>1157</v>
      </c>
      <c r="C3298" t="s">
        <v>5827</v>
      </c>
      <c r="D3298" t="s">
        <v>12993</v>
      </c>
      <c r="E3298" t="s">
        <v>16077</v>
      </c>
      <c r="F3298" t="s">
        <v>22436</v>
      </c>
      <c r="G3298" t="s">
        <v>22444</v>
      </c>
      <c r="H3298" t="s">
        <v>22454</v>
      </c>
      <c r="I3298" t="s">
        <v>7738</v>
      </c>
      <c r="J3298" t="s">
        <v>22936</v>
      </c>
      <c r="K3298" t="s">
        <v>29334</v>
      </c>
      <c r="M3298" t="s">
        <v>30803</v>
      </c>
      <c r="N3298" t="s">
        <v>32524</v>
      </c>
      <c r="O3298" t="s">
        <v>32525</v>
      </c>
      <c r="P3298">
        <v>0</v>
      </c>
      <c r="Q3298">
        <v>0</v>
      </c>
      <c r="R3298" t="s">
        <v>32528</v>
      </c>
      <c r="S3298" t="s">
        <v>32559</v>
      </c>
      <c r="T3298" t="s">
        <v>33165</v>
      </c>
      <c r="U3298" t="s">
        <v>36412</v>
      </c>
      <c r="V3298" t="s">
        <v>42731</v>
      </c>
      <c r="W3298" t="s">
        <v>30803</v>
      </c>
      <c r="X3298" t="s">
        <v>32529</v>
      </c>
    </row>
    <row r="3299" spans="1:24">
      <c r="A3299">
        <f>HYPERLINK("https://www.philgeps.gov.ph/GEPSNONPILOT/Tender/SplashBidNoticeAbstractUI.aspx?menuIndex=3&amp;refID=7043700&amp;Result=3","7043700")</f>
        <v>0</v>
      </c>
      <c r="B3299" t="s">
        <v>1158</v>
      </c>
      <c r="C3299" t="s">
        <v>5828</v>
      </c>
      <c r="D3299" t="s">
        <v>12988</v>
      </c>
      <c r="E3299" t="s">
        <v>16078</v>
      </c>
      <c r="F3299" t="s">
        <v>22436</v>
      </c>
      <c r="G3299" t="s">
        <v>22443</v>
      </c>
      <c r="H3299" t="s">
        <v>22452</v>
      </c>
      <c r="I3299" t="s">
        <v>22456</v>
      </c>
      <c r="J3299" t="s">
        <v>23215</v>
      </c>
      <c r="K3299" t="s">
        <v>29357</v>
      </c>
      <c r="M3299" t="s">
        <v>30804</v>
      </c>
      <c r="N3299" t="s">
        <v>32524</v>
      </c>
      <c r="O3299" t="s">
        <v>32525</v>
      </c>
      <c r="P3299">
        <v>0</v>
      </c>
      <c r="Q3299">
        <v>8</v>
      </c>
      <c r="R3299" t="s">
        <v>32528</v>
      </c>
      <c r="S3299" t="s">
        <v>32559</v>
      </c>
      <c r="T3299" t="s">
        <v>33372</v>
      </c>
      <c r="U3299" t="s">
        <v>36413</v>
      </c>
      <c r="W3299" t="s">
        <v>30804</v>
      </c>
      <c r="X3299" t="s">
        <v>32529</v>
      </c>
    </row>
    <row r="3300" spans="1:24">
      <c r="A3300">
        <f>HYPERLINK("https://www.philgeps.gov.ph/GEPSNONPILOT/Tender/SplashBidNoticeAbstractUI.aspx?menuIndex=3&amp;refID=7043707&amp;Result=3","7043707")</f>
        <v>0</v>
      </c>
      <c r="B3300" t="s">
        <v>1159</v>
      </c>
      <c r="C3300" t="s">
        <v>5829</v>
      </c>
      <c r="D3300" t="s">
        <v>13013</v>
      </c>
      <c r="E3300" t="s">
        <v>16079</v>
      </c>
      <c r="F3300" t="s">
        <v>22436</v>
      </c>
      <c r="G3300" t="s">
        <v>22443</v>
      </c>
      <c r="H3300" t="s">
        <v>22452</v>
      </c>
      <c r="I3300" t="s">
        <v>3529</v>
      </c>
      <c r="J3300" t="s">
        <v>24842</v>
      </c>
      <c r="K3300" t="s">
        <v>29331</v>
      </c>
      <c r="M3300" t="s">
        <v>30805</v>
      </c>
      <c r="N3300" t="s">
        <v>32524</v>
      </c>
      <c r="O3300" t="s">
        <v>32525</v>
      </c>
      <c r="P3300">
        <v>0</v>
      </c>
      <c r="Q3300">
        <v>0</v>
      </c>
      <c r="R3300" t="s">
        <v>32528</v>
      </c>
      <c r="S3300" t="s">
        <v>32559</v>
      </c>
      <c r="T3300" t="s">
        <v>33313</v>
      </c>
      <c r="U3300" t="s">
        <v>36414</v>
      </c>
      <c r="W3300" t="s">
        <v>30805</v>
      </c>
      <c r="X3300" t="s">
        <v>32529</v>
      </c>
    </row>
    <row r="3301" spans="1:24">
      <c r="A3301">
        <f>HYPERLINK("https://www.philgeps.gov.ph/GEPSNONPILOT/Tender/SplashBidNoticeAbstractUI.aspx?menuIndex=3&amp;refID=7043697&amp;Result=3","7043697")</f>
        <v>0</v>
      </c>
      <c r="B3301" t="s">
        <v>1160</v>
      </c>
      <c r="C3301" t="s">
        <v>5830</v>
      </c>
      <c r="D3301" t="s">
        <v>13046</v>
      </c>
      <c r="E3301" t="s">
        <v>13182</v>
      </c>
      <c r="F3301" t="s">
        <v>22436</v>
      </c>
      <c r="G3301" t="s">
        <v>22444</v>
      </c>
      <c r="H3301" t="s">
        <v>22452</v>
      </c>
      <c r="I3301" t="s">
        <v>22467</v>
      </c>
      <c r="J3301" t="s">
        <v>24843</v>
      </c>
      <c r="K3301" t="s">
        <v>29336</v>
      </c>
      <c r="L3301" t="s">
        <v>1160</v>
      </c>
      <c r="M3301" t="s">
        <v>30806</v>
      </c>
      <c r="N3301" t="s">
        <v>32524</v>
      </c>
      <c r="O3301" t="s">
        <v>32525</v>
      </c>
      <c r="P3301">
        <v>0</v>
      </c>
      <c r="Q3301">
        <v>1</v>
      </c>
      <c r="R3301" t="s">
        <v>32528</v>
      </c>
      <c r="S3301" t="s">
        <v>32559</v>
      </c>
      <c r="T3301" t="s">
        <v>33171</v>
      </c>
      <c r="U3301" t="s">
        <v>36415</v>
      </c>
      <c r="V3301" t="s">
        <v>42732</v>
      </c>
      <c r="W3301" t="s">
        <v>30806</v>
      </c>
      <c r="X3301" t="s">
        <v>32529</v>
      </c>
    </row>
    <row r="3302" spans="1:24">
      <c r="A3302">
        <f>HYPERLINK("https://www.philgeps.gov.ph/GEPSNONPILOT/Tender/SplashBidNoticeAbstractUI.aspx?menuIndex=3&amp;refID=7043703&amp;Result=3","7043703")</f>
        <v>0</v>
      </c>
      <c r="B3302" t="s">
        <v>1161</v>
      </c>
      <c r="C3302" t="s">
        <v>5831</v>
      </c>
      <c r="D3302" t="s">
        <v>12998</v>
      </c>
      <c r="E3302" t="s">
        <v>16080</v>
      </c>
      <c r="F3302" t="s">
        <v>22436</v>
      </c>
      <c r="G3302" t="s">
        <v>22444</v>
      </c>
      <c r="H3302" t="s">
        <v>22454</v>
      </c>
      <c r="I3302" t="s">
        <v>7738</v>
      </c>
      <c r="J3302" t="s">
        <v>24844</v>
      </c>
      <c r="K3302" t="s">
        <v>29338</v>
      </c>
      <c r="M3302" t="s">
        <v>30807</v>
      </c>
      <c r="N3302" t="s">
        <v>32524</v>
      </c>
      <c r="O3302" t="s">
        <v>32525</v>
      </c>
      <c r="P3302">
        <v>0</v>
      </c>
      <c r="Q3302">
        <v>6</v>
      </c>
      <c r="R3302" t="s">
        <v>32528</v>
      </c>
      <c r="S3302" t="s">
        <v>32559</v>
      </c>
      <c r="T3302" t="s">
        <v>33234</v>
      </c>
      <c r="U3302" t="s">
        <v>36416</v>
      </c>
      <c r="W3302" t="s">
        <v>30807</v>
      </c>
      <c r="X3302" t="s">
        <v>32529</v>
      </c>
    </row>
    <row r="3303" spans="1:24">
      <c r="A3303">
        <f>HYPERLINK("https://www.philgeps.gov.ph/GEPSNONPILOT/Tender/SplashBidNoticeAbstractUI.aspx?menuIndex=3&amp;refID=7043743&amp;Result=3","7043743")</f>
        <v>0</v>
      </c>
      <c r="B3303" t="s">
        <v>1162</v>
      </c>
      <c r="C3303" t="s">
        <v>5832</v>
      </c>
      <c r="D3303" t="s">
        <v>12994</v>
      </c>
      <c r="E3303" t="s">
        <v>14933</v>
      </c>
      <c r="F3303" t="s">
        <v>22437</v>
      </c>
      <c r="G3303" t="s">
        <v>22444</v>
      </c>
      <c r="H3303" t="s">
        <v>22454</v>
      </c>
      <c r="I3303" t="s">
        <v>7738</v>
      </c>
      <c r="J3303" t="s">
        <v>24845</v>
      </c>
      <c r="K3303" t="s">
        <v>29333</v>
      </c>
      <c r="M3303" t="s">
        <v>30808</v>
      </c>
      <c r="N3303" t="s">
        <v>32524</v>
      </c>
      <c r="O3303" t="s">
        <v>32525</v>
      </c>
      <c r="P3303">
        <v>0</v>
      </c>
      <c r="Q3303">
        <v>0</v>
      </c>
      <c r="R3303" t="s">
        <v>32528</v>
      </c>
      <c r="S3303" t="s">
        <v>32559</v>
      </c>
      <c r="T3303" t="s">
        <v>33400</v>
      </c>
      <c r="U3303" t="s">
        <v>36417</v>
      </c>
      <c r="W3303" t="s">
        <v>30808</v>
      </c>
      <c r="X3303" t="s">
        <v>32529</v>
      </c>
    </row>
    <row r="3304" spans="1:24">
      <c r="A3304">
        <f>HYPERLINK("https://www.philgeps.gov.ph/GEPSNONPILOT/Tender/SplashBidNoticeAbstractUI.aspx?menuIndex=3&amp;refID=7043715&amp;Result=3","7043715")</f>
        <v>0</v>
      </c>
      <c r="B3304" t="s">
        <v>1163</v>
      </c>
      <c r="C3304" t="s">
        <v>5833</v>
      </c>
      <c r="D3304" t="s">
        <v>12988</v>
      </c>
      <c r="E3304" t="s">
        <v>16081</v>
      </c>
      <c r="F3304" t="s">
        <v>22436</v>
      </c>
      <c r="G3304" t="s">
        <v>22444</v>
      </c>
      <c r="H3304" t="s">
        <v>22452</v>
      </c>
      <c r="I3304" t="s">
        <v>22460</v>
      </c>
      <c r="J3304" t="s">
        <v>22640</v>
      </c>
      <c r="K3304" t="s">
        <v>29357</v>
      </c>
      <c r="M3304" t="s">
        <v>30809</v>
      </c>
      <c r="N3304" t="s">
        <v>32524</v>
      </c>
      <c r="O3304" t="s">
        <v>32525</v>
      </c>
      <c r="P3304">
        <v>0</v>
      </c>
      <c r="Q3304">
        <v>2</v>
      </c>
      <c r="R3304" t="s">
        <v>32528</v>
      </c>
      <c r="S3304" t="s">
        <v>32559</v>
      </c>
      <c r="T3304" t="s">
        <v>33256</v>
      </c>
      <c r="U3304" t="s">
        <v>36418</v>
      </c>
      <c r="W3304" t="s">
        <v>30809</v>
      </c>
      <c r="X3304" t="s">
        <v>32529</v>
      </c>
    </row>
    <row r="3305" spans="1:24">
      <c r="A3305">
        <f>HYPERLINK("https://www.philgeps.gov.ph/GEPSNONPILOT/Tender/SplashBidNoticeAbstractUI.aspx?menuIndex=3&amp;refID=7043742&amp;Result=3","7043742")</f>
        <v>0</v>
      </c>
      <c r="B3305" t="s">
        <v>223</v>
      </c>
      <c r="C3305" t="s">
        <v>5834</v>
      </c>
      <c r="D3305" t="s">
        <v>13024</v>
      </c>
      <c r="E3305" t="s">
        <v>16082</v>
      </c>
      <c r="F3305" t="s">
        <v>22436</v>
      </c>
      <c r="G3305" t="s">
        <v>22448</v>
      </c>
      <c r="H3305" t="s">
        <v>22452</v>
      </c>
      <c r="I3305" t="s">
        <v>3122</v>
      </c>
      <c r="J3305" t="s">
        <v>24846</v>
      </c>
      <c r="K3305" t="s">
        <v>29336</v>
      </c>
      <c r="M3305" t="s">
        <v>29796</v>
      </c>
      <c r="N3305" t="s">
        <v>32524</v>
      </c>
      <c r="O3305" t="s">
        <v>32525</v>
      </c>
      <c r="P3305">
        <v>0</v>
      </c>
      <c r="Q3305">
        <v>1</v>
      </c>
      <c r="R3305" t="s">
        <v>32528</v>
      </c>
      <c r="S3305" t="s">
        <v>32559</v>
      </c>
      <c r="T3305" t="s">
        <v>33323</v>
      </c>
      <c r="U3305" t="s">
        <v>36419</v>
      </c>
      <c r="W3305" t="s">
        <v>29796</v>
      </c>
      <c r="X3305" t="s">
        <v>32529</v>
      </c>
    </row>
    <row r="3306" spans="1:24">
      <c r="A3306">
        <f>HYPERLINK("https://www.philgeps.gov.ph/GEPSNONPILOT/Tender/SplashBidNoticeAbstractUI.aspx?menuIndex=3&amp;refID=7043713&amp;Result=3","7043713")</f>
        <v>0</v>
      </c>
      <c r="B3306" t="s">
        <v>1159</v>
      </c>
      <c r="C3306" t="s">
        <v>5835</v>
      </c>
      <c r="D3306" t="s">
        <v>13013</v>
      </c>
      <c r="E3306" t="s">
        <v>16083</v>
      </c>
      <c r="F3306" t="s">
        <v>22436</v>
      </c>
      <c r="G3306" t="s">
        <v>22443</v>
      </c>
      <c r="H3306" t="s">
        <v>22452</v>
      </c>
      <c r="I3306" t="s">
        <v>3529</v>
      </c>
      <c r="J3306" t="s">
        <v>24847</v>
      </c>
      <c r="K3306" t="s">
        <v>29331</v>
      </c>
      <c r="M3306" t="s">
        <v>30805</v>
      </c>
      <c r="N3306" t="s">
        <v>32524</v>
      </c>
      <c r="O3306" t="s">
        <v>32525</v>
      </c>
      <c r="P3306">
        <v>0</v>
      </c>
      <c r="Q3306">
        <v>0</v>
      </c>
      <c r="R3306" t="s">
        <v>32528</v>
      </c>
      <c r="S3306" t="s">
        <v>32559</v>
      </c>
      <c r="T3306" t="s">
        <v>33313</v>
      </c>
      <c r="U3306" t="s">
        <v>36420</v>
      </c>
      <c r="W3306" t="s">
        <v>30805</v>
      </c>
      <c r="X3306" t="s">
        <v>32529</v>
      </c>
    </row>
    <row r="3307" spans="1:24">
      <c r="A3307">
        <f>HYPERLINK("https://www.philgeps.gov.ph/GEPSNONPILOT/Tender/SplashBidNoticeAbstractUI.aspx?menuIndex=3&amp;refID=7043738&amp;Result=3","7043738")</f>
        <v>0</v>
      </c>
      <c r="B3307" t="s">
        <v>1164</v>
      </c>
      <c r="C3307" t="s">
        <v>5836</v>
      </c>
      <c r="D3307" t="s">
        <v>12990</v>
      </c>
      <c r="E3307" t="s">
        <v>16084</v>
      </c>
      <c r="F3307" t="s">
        <v>22436</v>
      </c>
      <c r="G3307" t="s">
        <v>22446</v>
      </c>
      <c r="H3307" t="s">
        <v>22452</v>
      </c>
      <c r="I3307" t="s">
        <v>3529</v>
      </c>
      <c r="J3307" t="s">
        <v>24848</v>
      </c>
      <c r="K3307" t="s">
        <v>29421</v>
      </c>
      <c r="M3307" t="s">
        <v>30810</v>
      </c>
      <c r="N3307" t="s">
        <v>32524</v>
      </c>
      <c r="O3307" t="s">
        <v>32525</v>
      </c>
      <c r="P3307">
        <v>0</v>
      </c>
      <c r="Q3307">
        <v>0</v>
      </c>
      <c r="R3307" t="s">
        <v>32528</v>
      </c>
      <c r="S3307" t="s">
        <v>32559</v>
      </c>
      <c r="T3307" t="s">
        <v>33313</v>
      </c>
      <c r="U3307" t="s">
        <v>36421</v>
      </c>
      <c r="V3307" t="s">
        <v>42733</v>
      </c>
      <c r="W3307" t="s">
        <v>30810</v>
      </c>
      <c r="X3307" t="s">
        <v>32529</v>
      </c>
    </row>
    <row r="3308" spans="1:24">
      <c r="A3308">
        <f>HYPERLINK("https://www.philgeps.gov.ph/GEPSNONPILOT/Tender/SplashBidNoticeAbstractUI.aspx?menuIndex=3&amp;refID=7043714&amp;Result=3","7043714")</f>
        <v>0</v>
      </c>
      <c r="B3308" t="s">
        <v>1165</v>
      </c>
      <c r="C3308" t="s">
        <v>5837</v>
      </c>
      <c r="D3308" t="s">
        <v>13040</v>
      </c>
      <c r="E3308" t="s">
        <v>16085</v>
      </c>
      <c r="F3308" t="s">
        <v>22436</v>
      </c>
      <c r="G3308" t="s">
        <v>22443</v>
      </c>
      <c r="H3308" t="s">
        <v>22452</v>
      </c>
      <c r="I3308" t="s">
        <v>6387</v>
      </c>
      <c r="J3308" t="s">
        <v>22750</v>
      </c>
      <c r="K3308" t="s">
        <v>29331</v>
      </c>
      <c r="M3308" t="s">
        <v>30811</v>
      </c>
      <c r="N3308" t="s">
        <v>32524</v>
      </c>
      <c r="O3308" t="s">
        <v>32525</v>
      </c>
      <c r="Q3308">
        <v>5</v>
      </c>
      <c r="R3308" t="s">
        <v>32528</v>
      </c>
      <c r="S3308" t="s">
        <v>32560</v>
      </c>
      <c r="T3308" t="s">
        <v>33401</v>
      </c>
      <c r="U3308" t="s">
        <v>35253</v>
      </c>
      <c r="W3308" t="s">
        <v>30811</v>
      </c>
      <c r="X3308" t="s">
        <v>32529</v>
      </c>
    </row>
    <row r="3309" spans="1:24">
      <c r="A3309">
        <f>HYPERLINK("https://www.philgeps.gov.ph/GEPSNONPILOT/Tender/SplashBidNoticeAbstractUI.aspx?menuIndex=3&amp;refID=7043722&amp;Result=3","7043722")</f>
        <v>0</v>
      </c>
      <c r="B3309" t="s">
        <v>1164</v>
      </c>
      <c r="C3309" t="s">
        <v>5838</v>
      </c>
      <c r="D3309" t="s">
        <v>12990</v>
      </c>
      <c r="E3309" t="s">
        <v>16086</v>
      </c>
      <c r="F3309" t="s">
        <v>22436</v>
      </c>
      <c r="G3309" t="s">
        <v>22446</v>
      </c>
      <c r="H3309" t="s">
        <v>22452</v>
      </c>
      <c r="I3309" t="s">
        <v>22456</v>
      </c>
      <c r="J3309" t="s">
        <v>24849</v>
      </c>
      <c r="K3309" t="s">
        <v>29330</v>
      </c>
      <c r="M3309" t="s">
        <v>30810</v>
      </c>
      <c r="N3309" t="s">
        <v>32524</v>
      </c>
      <c r="O3309" t="s">
        <v>32525</v>
      </c>
      <c r="P3309">
        <v>0</v>
      </c>
      <c r="Q3309">
        <v>1</v>
      </c>
      <c r="R3309" t="s">
        <v>32528</v>
      </c>
      <c r="S3309" t="s">
        <v>32559</v>
      </c>
      <c r="T3309" t="s">
        <v>33313</v>
      </c>
      <c r="U3309" t="s">
        <v>36422</v>
      </c>
      <c r="V3309" t="s">
        <v>42734</v>
      </c>
      <c r="W3309" t="s">
        <v>30810</v>
      </c>
      <c r="X3309" t="s">
        <v>32529</v>
      </c>
    </row>
    <row r="3310" spans="1:24">
      <c r="A3310">
        <f>HYPERLINK("https://www.philgeps.gov.ph/GEPSNONPILOT/Tender/SplashBidNoticeAbstractUI.aspx?menuIndex=3&amp;refID=7043739&amp;Result=3","7043739")</f>
        <v>0</v>
      </c>
      <c r="B3310" t="s">
        <v>1162</v>
      </c>
      <c r="C3310" t="s">
        <v>5839</v>
      </c>
      <c r="D3310" t="s">
        <v>12994</v>
      </c>
      <c r="E3310" t="s">
        <v>13589</v>
      </c>
      <c r="F3310" t="s">
        <v>22437</v>
      </c>
      <c r="G3310" t="s">
        <v>22444</v>
      </c>
      <c r="H3310" t="s">
        <v>22454</v>
      </c>
      <c r="I3310" t="s">
        <v>7738</v>
      </c>
      <c r="J3310" t="s">
        <v>24850</v>
      </c>
      <c r="K3310" t="s">
        <v>29333</v>
      </c>
      <c r="M3310" t="s">
        <v>30808</v>
      </c>
      <c r="N3310" t="s">
        <v>32524</v>
      </c>
      <c r="O3310" t="s">
        <v>32525</v>
      </c>
      <c r="P3310">
        <v>0</v>
      </c>
      <c r="Q3310">
        <v>0</v>
      </c>
      <c r="R3310" t="s">
        <v>32528</v>
      </c>
      <c r="S3310" t="s">
        <v>32559</v>
      </c>
      <c r="T3310" t="s">
        <v>33400</v>
      </c>
      <c r="U3310" t="s">
        <v>36423</v>
      </c>
      <c r="W3310" t="s">
        <v>30808</v>
      </c>
      <c r="X3310" t="s">
        <v>32529</v>
      </c>
    </row>
    <row r="3311" spans="1:24">
      <c r="A3311">
        <f>HYPERLINK("https://www.philgeps.gov.ph/GEPSNONPILOT/Tender/SplashBidNoticeAbstractUI.aspx?menuIndex=3&amp;refID=7043734&amp;Result=3","7043734")</f>
        <v>0</v>
      </c>
      <c r="B3311" t="s">
        <v>1164</v>
      </c>
      <c r="C3311" t="s">
        <v>5840</v>
      </c>
      <c r="D3311" t="s">
        <v>12990</v>
      </c>
      <c r="E3311" t="s">
        <v>16087</v>
      </c>
      <c r="F3311" t="s">
        <v>22436</v>
      </c>
      <c r="G3311" t="s">
        <v>22443</v>
      </c>
      <c r="H3311" t="s">
        <v>22453</v>
      </c>
      <c r="I3311" t="s">
        <v>2962</v>
      </c>
      <c r="J3311" t="s">
        <v>24851</v>
      </c>
      <c r="K3311" t="s">
        <v>29421</v>
      </c>
      <c r="M3311" t="s">
        <v>30810</v>
      </c>
      <c r="N3311" t="s">
        <v>32524</v>
      </c>
      <c r="O3311" t="s">
        <v>32525</v>
      </c>
      <c r="P3311">
        <v>0</v>
      </c>
      <c r="Q3311">
        <v>0</v>
      </c>
      <c r="R3311" t="s">
        <v>32528</v>
      </c>
      <c r="S3311" t="s">
        <v>32559</v>
      </c>
      <c r="T3311" t="s">
        <v>33313</v>
      </c>
      <c r="U3311" t="s">
        <v>36424</v>
      </c>
      <c r="V3311" t="s">
        <v>42735</v>
      </c>
      <c r="W3311" t="s">
        <v>30810</v>
      </c>
      <c r="X3311" t="s">
        <v>32529</v>
      </c>
    </row>
    <row r="3312" spans="1:24">
      <c r="A3312">
        <f>HYPERLINK("https://www.philgeps.gov.ph/GEPSNONPILOT/Tender/SplashBidNoticeAbstractUI.aspx?menuIndex=3&amp;refID=7043704&amp;Result=3","7043704")</f>
        <v>0</v>
      </c>
      <c r="B3312" t="s">
        <v>1166</v>
      </c>
      <c r="C3312" t="s">
        <v>5841</v>
      </c>
      <c r="D3312" t="s">
        <v>12995</v>
      </c>
      <c r="E3312" t="s">
        <v>13321</v>
      </c>
      <c r="F3312" t="s">
        <v>22436</v>
      </c>
      <c r="G3312" t="s">
        <v>22443</v>
      </c>
      <c r="H3312" t="s">
        <v>22452</v>
      </c>
      <c r="I3312" t="s">
        <v>2981</v>
      </c>
      <c r="J3312" t="s">
        <v>24852</v>
      </c>
      <c r="K3312" t="s">
        <v>29336</v>
      </c>
      <c r="M3312" t="s">
        <v>30812</v>
      </c>
      <c r="N3312" t="s">
        <v>32524</v>
      </c>
      <c r="O3312" t="s">
        <v>32525</v>
      </c>
      <c r="P3312">
        <v>0</v>
      </c>
      <c r="Q3312">
        <v>3</v>
      </c>
      <c r="R3312" t="s">
        <v>32528</v>
      </c>
      <c r="S3312" t="s">
        <v>32559</v>
      </c>
      <c r="T3312" t="s">
        <v>33402</v>
      </c>
      <c r="U3312" t="s">
        <v>36425</v>
      </c>
      <c r="W3312" t="s">
        <v>30812</v>
      </c>
      <c r="X3312" t="s">
        <v>32529</v>
      </c>
    </row>
    <row r="3313" spans="1:24">
      <c r="A3313">
        <f>HYPERLINK("https://www.philgeps.gov.ph/GEPSNONPILOT/Tender/SplashBidNoticeAbstractUI.aspx?menuIndex=3&amp;refID=7043720&amp;Result=3","7043720")</f>
        <v>0</v>
      </c>
      <c r="B3313" t="s">
        <v>1167</v>
      </c>
      <c r="C3313" t="s">
        <v>5842</v>
      </c>
      <c r="D3313" t="s">
        <v>12998</v>
      </c>
      <c r="E3313" t="s">
        <v>16088</v>
      </c>
      <c r="F3313" t="s">
        <v>22436</v>
      </c>
      <c r="G3313" t="s">
        <v>22444</v>
      </c>
      <c r="H3313" t="s">
        <v>22454</v>
      </c>
      <c r="I3313" t="s">
        <v>7738</v>
      </c>
      <c r="J3313" t="s">
        <v>23999</v>
      </c>
      <c r="K3313" t="s">
        <v>29341</v>
      </c>
      <c r="M3313" t="s">
        <v>30813</v>
      </c>
      <c r="N3313" t="s">
        <v>32524</v>
      </c>
      <c r="O3313" t="s">
        <v>32525</v>
      </c>
      <c r="P3313">
        <v>0</v>
      </c>
      <c r="Q3313">
        <v>0</v>
      </c>
      <c r="R3313" t="s">
        <v>32528</v>
      </c>
      <c r="S3313" t="s">
        <v>32559</v>
      </c>
      <c r="T3313" t="s">
        <v>33206</v>
      </c>
      <c r="U3313" t="s">
        <v>36426</v>
      </c>
      <c r="W3313" t="s">
        <v>30813</v>
      </c>
      <c r="X3313" t="s">
        <v>32529</v>
      </c>
    </row>
    <row r="3314" spans="1:24">
      <c r="A3314">
        <f>HYPERLINK("https://www.philgeps.gov.ph/GEPSNONPILOT/Tender/SplashBidNoticeAbstractUI.aspx?menuIndex=3&amp;refID=7043746&amp;Result=3","7043746")</f>
        <v>0</v>
      </c>
      <c r="B3314" t="s">
        <v>1168</v>
      </c>
      <c r="C3314" t="s">
        <v>5843</v>
      </c>
      <c r="D3314" t="s">
        <v>13065</v>
      </c>
      <c r="E3314" t="s">
        <v>16089</v>
      </c>
      <c r="F3314" t="s">
        <v>22436</v>
      </c>
      <c r="G3314" t="s">
        <v>22443</v>
      </c>
      <c r="H3314" t="s">
        <v>22452</v>
      </c>
      <c r="I3314" t="s">
        <v>2962</v>
      </c>
      <c r="J3314" t="s">
        <v>24853</v>
      </c>
      <c r="K3314" t="s">
        <v>29357</v>
      </c>
      <c r="M3314" t="s">
        <v>30814</v>
      </c>
      <c r="N3314" t="s">
        <v>32524</v>
      </c>
      <c r="O3314" t="s">
        <v>32525</v>
      </c>
      <c r="P3314">
        <v>0</v>
      </c>
      <c r="Q3314">
        <v>0</v>
      </c>
      <c r="R3314" t="s">
        <v>32528</v>
      </c>
      <c r="S3314" t="s">
        <v>32559</v>
      </c>
      <c r="T3314" t="s">
        <v>33256</v>
      </c>
      <c r="U3314" t="s">
        <v>36427</v>
      </c>
      <c r="W3314" t="s">
        <v>30814</v>
      </c>
      <c r="X3314" t="s">
        <v>32529</v>
      </c>
    </row>
    <row r="3315" spans="1:24">
      <c r="A3315">
        <f>HYPERLINK("https://www.philgeps.gov.ph/GEPSNONPILOT/Tender/SplashBidNoticeAbstractUI.aspx?menuIndex=3&amp;refID=7043726&amp;Result=3","7043726")</f>
        <v>0</v>
      </c>
      <c r="B3315" t="s">
        <v>1164</v>
      </c>
      <c r="C3315" t="s">
        <v>5840</v>
      </c>
      <c r="D3315" t="s">
        <v>12990</v>
      </c>
      <c r="E3315" t="s">
        <v>16090</v>
      </c>
      <c r="F3315" t="s">
        <v>22436</v>
      </c>
      <c r="G3315" t="s">
        <v>22446</v>
      </c>
      <c r="H3315" t="s">
        <v>22452</v>
      </c>
      <c r="I3315" t="s">
        <v>2962</v>
      </c>
      <c r="J3315" t="s">
        <v>24854</v>
      </c>
      <c r="K3315" t="s">
        <v>29350</v>
      </c>
      <c r="M3315" t="s">
        <v>30810</v>
      </c>
      <c r="N3315" t="s">
        <v>32524</v>
      </c>
      <c r="O3315" t="s">
        <v>32525</v>
      </c>
      <c r="P3315">
        <v>0</v>
      </c>
      <c r="Q3315">
        <v>0</v>
      </c>
      <c r="R3315" t="s">
        <v>32528</v>
      </c>
      <c r="S3315" t="s">
        <v>32559</v>
      </c>
      <c r="T3315" t="s">
        <v>33313</v>
      </c>
      <c r="U3315" t="s">
        <v>36428</v>
      </c>
      <c r="V3315" t="s">
        <v>42736</v>
      </c>
      <c r="W3315" t="s">
        <v>30810</v>
      </c>
      <c r="X3315" t="s">
        <v>32529</v>
      </c>
    </row>
    <row r="3316" spans="1:24">
      <c r="A3316">
        <f>HYPERLINK("https://www.philgeps.gov.ph/GEPSNONPILOT/Tender/SplashBidNoticeAbstractUI.aspx?menuIndex=3&amp;refID=7043717&amp;Result=3","7043717")</f>
        <v>0</v>
      </c>
      <c r="B3316" t="s">
        <v>1163</v>
      </c>
      <c r="C3316" t="s">
        <v>5844</v>
      </c>
      <c r="D3316" t="s">
        <v>12988</v>
      </c>
      <c r="E3316" t="s">
        <v>16091</v>
      </c>
      <c r="F3316" t="s">
        <v>22436</v>
      </c>
      <c r="G3316" t="s">
        <v>22444</v>
      </c>
      <c r="H3316" t="s">
        <v>22452</v>
      </c>
      <c r="I3316" t="s">
        <v>6421</v>
      </c>
      <c r="J3316" t="s">
        <v>22640</v>
      </c>
      <c r="K3316" t="s">
        <v>29357</v>
      </c>
      <c r="M3316" t="s">
        <v>30809</v>
      </c>
      <c r="N3316" t="s">
        <v>32524</v>
      </c>
      <c r="O3316" t="s">
        <v>32525</v>
      </c>
      <c r="P3316">
        <v>0</v>
      </c>
      <c r="Q3316">
        <v>4</v>
      </c>
      <c r="R3316" t="s">
        <v>32528</v>
      </c>
      <c r="S3316" t="s">
        <v>32559</v>
      </c>
      <c r="T3316" t="s">
        <v>33256</v>
      </c>
      <c r="U3316" t="s">
        <v>36429</v>
      </c>
      <c r="W3316" t="s">
        <v>30809</v>
      </c>
      <c r="X3316" t="s">
        <v>32529</v>
      </c>
    </row>
    <row r="3317" spans="1:24">
      <c r="A3317">
        <f>HYPERLINK("https://www.philgeps.gov.ph/GEPSNONPILOT/Tender/SplashBidNoticeAbstractUI.aspx?menuIndex=3&amp;refID=7043750&amp;Result=3","7043750")</f>
        <v>0</v>
      </c>
      <c r="B3317" t="s">
        <v>1169</v>
      </c>
      <c r="C3317" t="s">
        <v>5845</v>
      </c>
      <c r="D3317" t="s">
        <v>13018</v>
      </c>
      <c r="E3317" t="s">
        <v>16092</v>
      </c>
      <c r="F3317" t="s">
        <v>22436</v>
      </c>
      <c r="G3317" t="s">
        <v>22444</v>
      </c>
      <c r="H3317" t="s">
        <v>22452</v>
      </c>
      <c r="I3317" t="s">
        <v>3027</v>
      </c>
      <c r="J3317" t="s">
        <v>24855</v>
      </c>
      <c r="K3317" t="s">
        <v>29338</v>
      </c>
      <c r="M3317" t="s">
        <v>30815</v>
      </c>
      <c r="N3317" t="s">
        <v>32524</v>
      </c>
      <c r="O3317" t="s">
        <v>32525</v>
      </c>
      <c r="P3317">
        <v>0</v>
      </c>
      <c r="Q3317">
        <v>0</v>
      </c>
      <c r="R3317" t="s">
        <v>32528</v>
      </c>
      <c r="S3317" t="s">
        <v>32559</v>
      </c>
      <c r="T3317" t="s">
        <v>33237</v>
      </c>
      <c r="U3317" t="s">
        <v>36430</v>
      </c>
      <c r="W3317" t="s">
        <v>30815</v>
      </c>
      <c r="X3317" t="s">
        <v>32529</v>
      </c>
    </row>
    <row r="3318" spans="1:24">
      <c r="A3318">
        <f>HYPERLINK("https://www.philgeps.gov.ph/GEPSNONPILOT/Tender/SplashBidNoticeAbstractUI.aspx?menuIndex=3&amp;refID=7043753&amp;Result=3","7043753")</f>
        <v>0</v>
      </c>
      <c r="B3318" t="s">
        <v>1170</v>
      </c>
      <c r="C3318" t="s">
        <v>5846</v>
      </c>
      <c r="D3318" t="s">
        <v>13074</v>
      </c>
      <c r="E3318" t="s">
        <v>16093</v>
      </c>
      <c r="F3318" t="s">
        <v>22436</v>
      </c>
      <c r="G3318" t="s">
        <v>22445</v>
      </c>
      <c r="H3318" t="s">
        <v>22452</v>
      </c>
      <c r="I3318" t="s">
        <v>22460</v>
      </c>
      <c r="J3318" t="s">
        <v>24856</v>
      </c>
      <c r="K3318" t="s">
        <v>29356</v>
      </c>
      <c r="M3318" t="s">
        <v>30816</v>
      </c>
      <c r="N3318" t="s">
        <v>32524</v>
      </c>
      <c r="O3318" t="s">
        <v>32525</v>
      </c>
      <c r="P3318">
        <v>0</v>
      </c>
      <c r="Q3318">
        <v>0</v>
      </c>
      <c r="R3318" t="s">
        <v>32528</v>
      </c>
      <c r="S3318" t="s">
        <v>32559</v>
      </c>
      <c r="T3318" t="s">
        <v>33304</v>
      </c>
      <c r="U3318" t="s">
        <v>36431</v>
      </c>
      <c r="V3318" t="s">
        <v>42737</v>
      </c>
      <c r="W3318" t="s">
        <v>30816</v>
      </c>
      <c r="X3318" t="s">
        <v>32529</v>
      </c>
    </row>
    <row r="3319" spans="1:24">
      <c r="A3319">
        <f>HYPERLINK("https://www.philgeps.gov.ph/GEPSNONPILOT/Tender/SplashBidNoticeAbstractUI.aspx?menuIndex=3&amp;refID=7043758&amp;Result=3","7043758")</f>
        <v>0</v>
      </c>
      <c r="B3319" t="s">
        <v>1171</v>
      </c>
      <c r="C3319" t="s">
        <v>5847</v>
      </c>
      <c r="D3319" t="s">
        <v>13004</v>
      </c>
      <c r="E3319" t="s">
        <v>16094</v>
      </c>
      <c r="F3319" t="s">
        <v>22436</v>
      </c>
      <c r="G3319" t="s">
        <v>22443</v>
      </c>
      <c r="H3319" t="s">
        <v>22452</v>
      </c>
      <c r="I3319" t="s">
        <v>7110</v>
      </c>
      <c r="J3319" t="s">
        <v>22802</v>
      </c>
      <c r="K3319" t="s">
        <v>29358</v>
      </c>
      <c r="M3319" t="s">
        <v>30817</v>
      </c>
      <c r="N3319" t="s">
        <v>32524</v>
      </c>
      <c r="O3319" t="s">
        <v>32525</v>
      </c>
      <c r="P3319">
        <v>0</v>
      </c>
      <c r="Q3319">
        <v>6</v>
      </c>
      <c r="R3319" t="s">
        <v>32528</v>
      </c>
      <c r="S3319" t="s">
        <v>32559</v>
      </c>
      <c r="T3319" t="s">
        <v>33209</v>
      </c>
      <c r="U3319" t="s">
        <v>36432</v>
      </c>
      <c r="W3319" t="s">
        <v>30817</v>
      </c>
      <c r="X3319" t="s">
        <v>32529</v>
      </c>
    </row>
    <row r="3320" spans="1:24">
      <c r="A3320">
        <f>HYPERLINK("https://www.philgeps.gov.ph/GEPSNONPILOT/Tender/SplashBidNoticeAbstractUI.aspx?menuIndex=3&amp;refID=7043762&amp;Result=3","7043762")</f>
        <v>0</v>
      </c>
      <c r="B3320" t="s">
        <v>1172</v>
      </c>
      <c r="C3320" t="s">
        <v>5848</v>
      </c>
      <c r="D3320" t="s">
        <v>13007</v>
      </c>
      <c r="E3320" t="s">
        <v>16095</v>
      </c>
      <c r="F3320" t="s">
        <v>22436</v>
      </c>
      <c r="G3320" t="s">
        <v>22443</v>
      </c>
      <c r="H3320" t="s">
        <v>22452</v>
      </c>
      <c r="I3320" t="s">
        <v>2981</v>
      </c>
      <c r="J3320" t="s">
        <v>22740</v>
      </c>
      <c r="K3320" t="s">
        <v>29340</v>
      </c>
      <c r="M3320" t="s">
        <v>30818</v>
      </c>
      <c r="N3320" t="s">
        <v>32524</v>
      </c>
      <c r="O3320" t="s">
        <v>32525</v>
      </c>
      <c r="P3320">
        <v>0</v>
      </c>
      <c r="Q3320">
        <v>1</v>
      </c>
      <c r="R3320" t="s">
        <v>32528</v>
      </c>
      <c r="S3320" t="s">
        <v>32559</v>
      </c>
      <c r="T3320" t="s">
        <v>33206</v>
      </c>
      <c r="U3320" t="s">
        <v>36433</v>
      </c>
      <c r="V3320" t="s">
        <v>42738</v>
      </c>
      <c r="W3320" t="s">
        <v>30818</v>
      </c>
      <c r="X3320" t="s">
        <v>32529</v>
      </c>
    </row>
    <row r="3321" spans="1:24">
      <c r="A3321">
        <f>HYPERLINK("https://www.philgeps.gov.ph/GEPSNONPILOT/Tender/SplashBidNoticeAbstractUI.aspx?menuIndex=3&amp;refID=7043849&amp;Result=3","7043849")</f>
        <v>0</v>
      </c>
      <c r="B3321" t="s">
        <v>1173</v>
      </c>
      <c r="C3321" t="s">
        <v>5849</v>
      </c>
      <c r="E3321" t="s">
        <v>13396</v>
      </c>
      <c r="F3321" t="s">
        <v>22437</v>
      </c>
      <c r="G3321" t="s">
        <v>22444</v>
      </c>
      <c r="H3321" t="s">
        <v>22452</v>
      </c>
      <c r="I3321" t="s">
        <v>22476</v>
      </c>
      <c r="J3321" t="s">
        <v>24399</v>
      </c>
      <c r="K3321" t="s">
        <v>29338</v>
      </c>
      <c r="M3321" t="s">
        <v>30819</v>
      </c>
      <c r="N3321" t="s">
        <v>32524</v>
      </c>
      <c r="O3321" t="s">
        <v>32525</v>
      </c>
      <c r="P3321">
        <v>0</v>
      </c>
      <c r="Q3321">
        <v>0</v>
      </c>
      <c r="R3321" t="s">
        <v>32528</v>
      </c>
      <c r="S3321" t="s">
        <v>32559</v>
      </c>
      <c r="T3321" t="s">
        <v>33227</v>
      </c>
      <c r="U3321" t="s">
        <v>36434</v>
      </c>
      <c r="W3321" t="s">
        <v>30819</v>
      </c>
      <c r="X3321" t="s">
        <v>32529</v>
      </c>
    </row>
    <row r="3322" spans="1:24">
      <c r="A3322">
        <f>HYPERLINK("https://www.philgeps.gov.ph/GEPSNONPILOT/Tender/SplashBidNoticeAbstractUI.aspx?menuIndex=3&amp;refID=7043845&amp;Result=3","7043845")</f>
        <v>0</v>
      </c>
      <c r="B3322" t="s">
        <v>1074</v>
      </c>
      <c r="C3322" t="s">
        <v>3441</v>
      </c>
      <c r="E3322" t="s">
        <v>16096</v>
      </c>
      <c r="F3322" t="s">
        <v>22437</v>
      </c>
      <c r="G3322" t="s">
        <v>22443</v>
      </c>
      <c r="H3322" t="s">
        <v>22452</v>
      </c>
      <c r="I3322" t="s">
        <v>3827</v>
      </c>
      <c r="J3322" t="s">
        <v>24857</v>
      </c>
      <c r="K3322" t="s">
        <v>29357</v>
      </c>
      <c r="M3322" t="s">
        <v>30709</v>
      </c>
      <c r="N3322" t="s">
        <v>32524</v>
      </c>
      <c r="O3322" t="s">
        <v>32525</v>
      </c>
      <c r="P3322">
        <v>0</v>
      </c>
      <c r="Q3322">
        <v>2</v>
      </c>
      <c r="R3322" t="s">
        <v>32528</v>
      </c>
      <c r="S3322" t="s">
        <v>32559</v>
      </c>
      <c r="T3322" t="s">
        <v>33206</v>
      </c>
      <c r="U3322" t="s">
        <v>36435</v>
      </c>
      <c r="W3322" t="s">
        <v>30709</v>
      </c>
      <c r="X3322" t="s">
        <v>32529</v>
      </c>
    </row>
    <row r="3323" spans="1:24">
      <c r="A3323">
        <f>HYPERLINK("https://www.philgeps.gov.ph/GEPSNONPILOT/Tender/SplashBidNoticeAbstractUI.aspx?menuIndex=3&amp;refID=7043841&amp;Result=3","7043841")</f>
        <v>0</v>
      </c>
      <c r="B3323" t="s">
        <v>1174</v>
      </c>
      <c r="C3323" t="s">
        <v>5850</v>
      </c>
      <c r="D3323" t="s">
        <v>13032</v>
      </c>
      <c r="E3323" t="s">
        <v>13321</v>
      </c>
      <c r="F3323" t="s">
        <v>22436</v>
      </c>
      <c r="G3323" t="s">
        <v>22444</v>
      </c>
      <c r="H3323" t="s">
        <v>22454</v>
      </c>
      <c r="I3323" t="s">
        <v>7738</v>
      </c>
      <c r="J3323" t="s">
        <v>24858</v>
      </c>
      <c r="K3323" t="s">
        <v>29386</v>
      </c>
      <c r="M3323" t="s">
        <v>30820</v>
      </c>
      <c r="N3323" t="s">
        <v>32524</v>
      </c>
      <c r="O3323" t="s">
        <v>32525</v>
      </c>
      <c r="P3323">
        <v>0</v>
      </c>
      <c r="Q3323">
        <v>1</v>
      </c>
      <c r="R3323" t="s">
        <v>32528</v>
      </c>
      <c r="S3323" t="s">
        <v>32559</v>
      </c>
      <c r="T3323" t="s">
        <v>33227</v>
      </c>
      <c r="U3323" t="s">
        <v>36436</v>
      </c>
      <c r="W3323" t="s">
        <v>30820</v>
      </c>
      <c r="X3323" t="s">
        <v>32529</v>
      </c>
    </row>
    <row r="3324" spans="1:24">
      <c r="A3324">
        <f>HYPERLINK("https://www.philgeps.gov.ph/GEPSNONPILOT/Tender/SplashBidNoticeAbstractUI.aspx?menuIndex=3&amp;refID=7043792&amp;Result=3","7043792")</f>
        <v>0</v>
      </c>
      <c r="B3324" t="s">
        <v>1172</v>
      </c>
      <c r="C3324" t="s">
        <v>3483</v>
      </c>
      <c r="D3324" t="s">
        <v>13007</v>
      </c>
      <c r="E3324" t="s">
        <v>16097</v>
      </c>
      <c r="F3324" t="s">
        <v>22436</v>
      </c>
      <c r="G3324" t="s">
        <v>22443</v>
      </c>
      <c r="H3324" t="s">
        <v>22452</v>
      </c>
      <c r="I3324" t="s">
        <v>22460</v>
      </c>
      <c r="J3324" t="s">
        <v>24859</v>
      </c>
      <c r="K3324" t="s">
        <v>29340</v>
      </c>
      <c r="M3324" t="s">
        <v>30818</v>
      </c>
      <c r="N3324" t="s">
        <v>32524</v>
      </c>
      <c r="O3324" t="s">
        <v>32525</v>
      </c>
      <c r="P3324">
        <v>0</v>
      </c>
      <c r="Q3324">
        <v>2</v>
      </c>
      <c r="R3324" t="s">
        <v>32528</v>
      </c>
      <c r="S3324" t="s">
        <v>32559</v>
      </c>
      <c r="T3324" t="s">
        <v>33206</v>
      </c>
      <c r="U3324" t="s">
        <v>36437</v>
      </c>
      <c r="V3324" t="s">
        <v>42739</v>
      </c>
      <c r="W3324" t="s">
        <v>30818</v>
      </c>
      <c r="X3324" t="s">
        <v>32529</v>
      </c>
    </row>
    <row r="3325" spans="1:24">
      <c r="A3325">
        <f>HYPERLINK("https://www.philgeps.gov.ph/GEPSNONPILOT/Tender/SplashBidNoticeAbstractUI.aspx?menuIndex=3&amp;refID=7043829&amp;Result=3","7043829")</f>
        <v>0</v>
      </c>
      <c r="B3325" t="s">
        <v>1175</v>
      </c>
      <c r="C3325" t="s">
        <v>5851</v>
      </c>
      <c r="D3325" t="s">
        <v>13050</v>
      </c>
      <c r="E3325" t="s">
        <v>16098</v>
      </c>
      <c r="F3325" t="s">
        <v>22436</v>
      </c>
      <c r="G3325" t="s">
        <v>22443</v>
      </c>
      <c r="H3325" t="s">
        <v>22452</v>
      </c>
      <c r="I3325" t="s">
        <v>2981</v>
      </c>
      <c r="J3325" t="s">
        <v>24860</v>
      </c>
      <c r="K3325" t="s">
        <v>29338</v>
      </c>
      <c r="M3325" t="s">
        <v>30821</v>
      </c>
      <c r="N3325" t="s">
        <v>32524</v>
      </c>
      <c r="O3325" t="s">
        <v>32525</v>
      </c>
      <c r="P3325">
        <v>0</v>
      </c>
      <c r="Q3325">
        <v>1</v>
      </c>
      <c r="R3325" t="s">
        <v>32528</v>
      </c>
      <c r="S3325" t="s">
        <v>32559</v>
      </c>
      <c r="T3325" t="s">
        <v>33238</v>
      </c>
      <c r="U3325" t="s">
        <v>36438</v>
      </c>
      <c r="W3325" t="s">
        <v>30821</v>
      </c>
      <c r="X3325" t="s">
        <v>32529</v>
      </c>
    </row>
    <row r="3326" spans="1:24">
      <c r="A3326">
        <f>HYPERLINK("https://www.philgeps.gov.ph/GEPSNONPILOT/Tender/SplashBidNoticeAbstractUI.aspx?menuIndex=3&amp;refID=7043837&amp;Result=3","7043837")</f>
        <v>0</v>
      </c>
      <c r="B3326" t="s">
        <v>1074</v>
      </c>
      <c r="C3326" t="s">
        <v>5852</v>
      </c>
      <c r="E3326" t="s">
        <v>16099</v>
      </c>
      <c r="F3326" t="s">
        <v>22437</v>
      </c>
      <c r="G3326" t="s">
        <v>22443</v>
      </c>
      <c r="H3326" t="s">
        <v>22452</v>
      </c>
      <c r="I3326" t="s">
        <v>5194</v>
      </c>
      <c r="J3326" t="s">
        <v>22788</v>
      </c>
      <c r="K3326" t="s">
        <v>29331</v>
      </c>
      <c r="M3326" t="s">
        <v>30709</v>
      </c>
      <c r="N3326" t="s">
        <v>32524</v>
      </c>
      <c r="O3326" t="s">
        <v>32525</v>
      </c>
      <c r="P3326">
        <v>0</v>
      </c>
      <c r="Q3326">
        <v>8</v>
      </c>
      <c r="R3326" t="s">
        <v>32528</v>
      </c>
      <c r="S3326" t="s">
        <v>32559</v>
      </c>
      <c r="T3326" t="s">
        <v>33206</v>
      </c>
      <c r="U3326" t="s">
        <v>36439</v>
      </c>
      <c r="W3326" t="s">
        <v>30709</v>
      </c>
      <c r="X3326" t="s">
        <v>32529</v>
      </c>
    </row>
    <row r="3327" spans="1:24">
      <c r="A3327">
        <f>HYPERLINK("https://www.philgeps.gov.ph/GEPSNONPILOT/Tender/SplashBidNoticeAbstractUI.aspx?menuIndex=3&amp;refID=7043821&amp;Result=3","7043821")</f>
        <v>0</v>
      </c>
      <c r="B3327" t="s">
        <v>1176</v>
      </c>
      <c r="C3327" t="s">
        <v>5853</v>
      </c>
      <c r="D3327" t="s">
        <v>13019</v>
      </c>
      <c r="E3327" t="s">
        <v>13182</v>
      </c>
      <c r="F3327" t="s">
        <v>22436</v>
      </c>
      <c r="G3327" t="s">
        <v>22444</v>
      </c>
      <c r="H3327" t="s">
        <v>22454</v>
      </c>
      <c r="I3327" t="s">
        <v>3529</v>
      </c>
      <c r="J3327" t="s">
        <v>24861</v>
      </c>
      <c r="K3327" t="s">
        <v>29336</v>
      </c>
      <c r="M3327" t="s">
        <v>30822</v>
      </c>
      <c r="N3327" t="s">
        <v>32524</v>
      </c>
      <c r="O3327" t="s">
        <v>32525</v>
      </c>
      <c r="P3327">
        <v>0</v>
      </c>
      <c r="Q3327">
        <v>0</v>
      </c>
      <c r="R3327" t="s">
        <v>32528</v>
      </c>
      <c r="S3327" t="s">
        <v>32559</v>
      </c>
      <c r="T3327" t="s">
        <v>33253</v>
      </c>
      <c r="U3327" t="s">
        <v>36440</v>
      </c>
      <c r="W3327" t="s">
        <v>30822</v>
      </c>
      <c r="X3327" t="s">
        <v>32529</v>
      </c>
    </row>
    <row r="3328" spans="1:24">
      <c r="A3328">
        <f>HYPERLINK("https://www.philgeps.gov.ph/GEPSNONPILOT/Tender/SplashBidNoticeAbstractUI.aspx?menuIndex=3&amp;refID=7043775&amp;Result=3","7043775")</f>
        <v>0</v>
      </c>
      <c r="B3328" t="s">
        <v>1177</v>
      </c>
      <c r="C3328" t="s">
        <v>5854</v>
      </c>
      <c r="D3328" t="s">
        <v>13060</v>
      </c>
      <c r="E3328" t="s">
        <v>16100</v>
      </c>
      <c r="F3328" t="s">
        <v>22436</v>
      </c>
      <c r="G3328" t="s">
        <v>22443</v>
      </c>
      <c r="H3328" t="s">
        <v>22452</v>
      </c>
      <c r="I3328" t="s">
        <v>3529</v>
      </c>
      <c r="J3328" t="s">
        <v>24862</v>
      </c>
      <c r="K3328" t="s">
        <v>29336</v>
      </c>
      <c r="M3328" t="s">
        <v>30823</v>
      </c>
      <c r="N3328" t="s">
        <v>32524</v>
      </c>
      <c r="O3328" t="s">
        <v>32525</v>
      </c>
      <c r="P3328">
        <v>0</v>
      </c>
      <c r="Q3328">
        <v>1</v>
      </c>
      <c r="R3328" t="s">
        <v>32528</v>
      </c>
      <c r="S3328" t="s">
        <v>32559</v>
      </c>
      <c r="T3328" t="s">
        <v>33296</v>
      </c>
      <c r="U3328" t="s">
        <v>36441</v>
      </c>
      <c r="W3328" t="s">
        <v>30823</v>
      </c>
      <c r="X3328" t="s">
        <v>32529</v>
      </c>
    </row>
    <row r="3329" spans="1:24">
      <c r="A3329">
        <f>HYPERLINK("https://www.philgeps.gov.ph/GEPSNONPILOT/Tender/SplashBidNoticeAbstractUI.aspx?menuIndex=3&amp;refID=7043810&amp;Result=3","7043810")</f>
        <v>0</v>
      </c>
      <c r="B3329" t="s">
        <v>1176</v>
      </c>
      <c r="C3329" t="s">
        <v>5855</v>
      </c>
      <c r="D3329" t="s">
        <v>13019</v>
      </c>
      <c r="E3329" t="s">
        <v>13182</v>
      </c>
      <c r="F3329" t="s">
        <v>22436</v>
      </c>
      <c r="G3329" t="s">
        <v>22444</v>
      </c>
      <c r="H3329" t="s">
        <v>22452</v>
      </c>
      <c r="I3329" t="s">
        <v>22479</v>
      </c>
      <c r="J3329" t="s">
        <v>22657</v>
      </c>
      <c r="K3329" t="s">
        <v>29336</v>
      </c>
      <c r="M3329" t="s">
        <v>30822</v>
      </c>
      <c r="N3329" t="s">
        <v>32524</v>
      </c>
      <c r="O3329" t="s">
        <v>32525</v>
      </c>
      <c r="P3329">
        <v>0</v>
      </c>
      <c r="Q3329">
        <v>1</v>
      </c>
      <c r="R3329" t="s">
        <v>32528</v>
      </c>
      <c r="S3329" t="s">
        <v>32559</v>
      </c>
      <c r="T3329" t="s">
        <v>33335</v>
      </c>
      <c r="U3329" t="s">
        <v>36442</v>
      </c>
      <c r="W3329" t="s">
        <v>30822</v>
      </c>
      <c r="X3329" t="s">
        <v>32529</v>
      </c>
    </row>
    <row r="3330" spans="1:24">
      <c r="A3330">
        <f>HYPERLINK("https://www.philgeps.gov.ph/GEPSNONPILOT/Tender/SplashBidNoticeAbstractUI.aspx?menuIndex=3&amp;refID=7043803&amp;Result=3","7043803")</f>
        <v>0</v>
      </c>
      <c r="B3330" t="s">
        <v>1178</v>
      </c>
      <c r="C3330" t="s">
        <v>5856</v>
      </c>
      <c r="D3330" t="s">
        <v>12988</v>
      </c>
      <c r="E3330" t="s">
        <v>16101</v>
      </c>
      <c r="F3330" t="s">
        <v>22436</v>
      </c>
      <c r="G3330" t="s">
        <v>22444</v>
      </c>
      <c r="H3330" t="s">
        <v>22453</v>
      </c>
      <c r="I3330" t="s">
        <v>6421</v>
      </c>
      <c r="J3330" t="s">
        <v>24863</v>
      </c>
      <c r="K3330" t="s">
        <v>29335</v>
      </c>
      <c r="M3330" t="s">
        <v>30824</v>
      </c>
      <c r="N3330" t="s">
        <v>32524</v>
      </c>
      <c r="O3330" t="s">
        <v>32525</v>
      </c>
      <c r="P3330">
        <v>0</v>
      </c>
      <c r="Q3330">
        <v>3</v>
      </c>
      <c r="R3330" t="s">
        <v>32528</v>
      </c>
      <c r="S3330" t="s">
        <v>32559</v>
      </c>
      <c r="T3330" t="s">
        <v>33190</v>
      </c>
      <c r="U3330" t="s">
        <v>36443</v>
      </c>
      <c r="V3330" t="s">
        <v>42740</v>
      </c>
      <c r="W3330" t="s">
        <v>30824</v>
      </c>
      <c r="X3330" t="s">
        <v>32529</v>
      </c>
    </row>
    <row r="3331" spans="1:24">
      <c r="A3331">
        <f>HYPERLINK("https://www.philgeps.gov.ph/GEPSNONPILOT/Tender/SplashBidNoticeAbstractUI.aspx?menuIndex=3&amp;refID=7043764&amp;Result=3","7043764")</f>
        <v>0</v>
      </c>
      <c r="B3331" t="s">
        <v>1172</v>
      </c>
      <c r="C3331" t="s">
        <v>5857</v>
      </c>
      <c r="D3331" t="s">
        <v>13007</v>
      </c>
      <c r="E3331" t="s">
        <v>16102</v>
      </c>
      <c r="F3331" t="s">
        <v>22436</v>
      </c>
      <c r="G3331" t="s">
        <v>22443</v>
      </c>
      <c r="H3331" t="s">
        <v>22452</v>
      </c>
      <c r="I3331" t="s">
        <v>2981</v>
      </c>
      <c r="J3331" t="s">
        <v>24864</v>
      </c>
      <c r="K3331" t="s">
        <v>29340</v>
      </c>
      <c r="M3331" t="s">
        <v>30818</v>
      </c>
      <c r="N3331" t="s">
        <v>32524</v>
      </c>
      <c r="O3331" t="s">
        <v>32525</v>
      </c>
      <c r="P3331">
        <v>0</v>
      </c>
      <c r="Q3331">
        <v>1</v>
      </c>
      <c r="R3331" t="s">
        <v>32528</v>
      </c>
      <c r="S3331" t="s">
        <v>32559</v>
      </c>
      <c r="T3331" t="s">
        <v>33206</v>
      </c>
      <c r="U3331" t="s">
        <v>36444</v>
      </c>
      <c r="V3331" t="s">
        <v>42741</v>
      </c>
      <c r="W3331" t="s">
        <v>30818</v>
      </c>
      <c r="X3331" t="s">
        <v>32529</v>
      </c>
    </row>
    <row r="3332" spans="1:24">
      <c r="A3332">
        <f>HYPERLINK("https://www.philgeps.gov.ph/GEPSNONPILOT/Tender/SplashBidNoticeAbstractUI.aspx?menuIndex=3&amp;refID=7043824&amp;Result=3","7043824")</f>
        <v>0</v>
      </c>
      <c r="B3332" t="s">
        <v>1175</v>
      </c>
      <c r="C3332" t="s">
        <v>5858</v>
      </c>
      <c r="D3332" t="s">
        <v>13050</v>
      </c>
      <c r="E3332" t="s">
        <v>16103</v>
      </c>
      <c r="F3332" t="s">
        <v>22436</v>
      </c>
      <c r="G3332" t="s">
        <v>22443</v>
      </c>
      <c r="H3332" t="s">
        <v>22452</v>
      </c>
      <c r="I3332" t="s">
        <v>2962</v>
      </c>
      <c r="J3332" t="s">
        <v>24865</v>
      </c>
      <c r="K3332" t="s">
        <v>29338</v>
      </c>
      <c r="M3332" t="s">
        <v>30821</v>
      </c>
      <c r="N3332" t="s">
        <v>32524</v>
      </c>
      <c r="O3332" t="s">
        <v>32525</v>
      </c>
      <c r="P3332">
        <v>0</v>
      </c>
      <c r="Q3332">
        <v>0</v>
      </c>
      <c r="R3332" t="s">
        <v>32528</v>
      </c>
      <c r="S3332" t="s">
        <v>32559</v>
      </c>
      <c r="T3332" t="s">
        <v>33304</v>
      </c>
      <c r="U3332" t="s">
        <v>36445</v>
      </c>
      <c r="W3332" t="s">
        <v>30821</v>
      </c>
      <c r="X3332" t="s">
        <v>32529</v>
      </c>
    </row>
    <row r="3333" spans="1:24">
      <c r="A3333">
        <f>HYPERLINK("https://www.philgeps.gov.ph/GEPSNONPILOT/Tender/SplashBidNoticeAbstractUI.aspx?menuIndex=3&amp;refID=7043801&amp;Result=3","7043801")</f>
        <v>0</v>
      </c>
      <c r="B3333" t="s">
        <v>1179</v>
      </c>
      <c r="C3333" t="s">
        <v>5859</v>
      </c>
      <c r="D3333" t="s">
        <v>13033</v>
      </c>
      <c r="E3333" t="s">
        <v>16104</v>
      </c>
      <c r="F3333" t="s">
        <v>22436</v>
      </c>
      <c r="G3333" t="s">
        <v>22443</v>
      </c>
      <c r="H3333" t="s">
        <v>22452</v>
      </c>
      <c r="I3333" t="s">
        <v>22469</v>
      </c>
      <c r="J3333" t="s">
        <v>22743</v>
      </c>
      <c r="K3333" t="s">
        <v>29335</v>
      </c>
      <c r="M3333" t="s">
        <v>30825</v>
      </c>
      <c r="N3333" t="s">
        <v>32524</v>
      </c>
      <c r="O3333" t="s">
        <v>32525</v>
      </c>
      <c r="P3333">
        <v>0</v>
      </c>
      <c r="Q3333">
        <v>5</v>
      </c>
      <c r="R3333" t="s">
        <v>32528</v>
      </c>
      <c r="S3333" t="s">
        <v>32559</v>
      </c>
      <c r="T3333" t="s">
        <v>33161</v>
      </c>
      <c r="U3333" t="s">
        <v>36446</v>
      </c>
      <c r="V3333" t="s">
        <v>42742</v>
      </c>
      <c r="W3333" t="s">
        <v>30825</v>
      </c>
      <c r="X3333" t="s">
        <v>32529</v>
      </c>
    </row>
    <row r="3334" spans="1:24">
      <c r="A3334">
        <f>HYPERLINK("https://www.philgeps.gov.ph/GEPSNONPILOT/Tender/SplashBidNoticeAbstractUI.aspx?menuIndex=3&amp;refID=7043789&amp;Result=3","7043789")</f>
        <v>0</v>
      </c>
      <c r="B3334" t="s">
        <v>1172</v>
      </c>
      <c r="C3334" t="s">
        <v>5860</v>
      </c>
      <c r="D3334" t="s">
        <v>13007</v>
      </c>
      <c r="E3334" t="s">
        <v>16105</v>
      </c>
      <c r="F3334" t="s">
        <v>22436</v>
      </c>
      <c r="G3334" t="s">
        <v>22443</v>
      </c>
      <c r="H3334" t="s">
        <v>22452</v>
      </c>
      <c r="I3334" t="s">
        <v>2981</v>
      </c>
      <c r="J3334" t="s">
        <v>24866</v>
      </c>
      <c r="K3334" t="s">
        <v>29340</v>
      </c>
      <c r="M3334" t="s">
        <v>30818</v>
      </c>
      <c r="N3334" t="s">
        <v>32524</v>
      </c>
      <c r="O3334" t="s">
        <v>32525</v>
      </c>
      <c r="P3334">
        <v>0</v>
      </c>
      <c r="Q3334">
        <v>1</v>
      </c>
      <c r="R3334" t="s">
        <v>32528</v>
      </c>
      <c r="S3334" t="s">
        <v>32559</v>
      </c>
      <c r="T3334" t="s">
        <v>33206</v>
      </c>
      <c r="U3334" t="s">
        <v>36447</v>
      </c>
      <c r="V3334" t="s">
        <v>42743</v>
      </c>
      <c r="W3334" t="s">
        <v>30818</v>
      </c>
      <c r="X3334" t="s">
        <v>32529</v>
      </c>
    </row>
    <row r="3335" spans="1:24">
      <c r="A3335">
        <f>HYPERLINK("https://www.philgeps.gov.ph/GEPSNONPILOT/Tender/SplashBidNoticeAbstractUI.aspx?menuIndex=3&amp;refID=7043806&amp;Result=3","7043806")</f>
        <v>0</v>
      </c>
      <c r="B3335" t="s">
        <v>1180</v>
      </c>
      <c r="C3335" t="s">
        <v>5861</v>
      </c>
      <c r="E3335" t="s">
        <v>13137</v>
      </c>
      <c r="F3335" t="s">
        <v>22436</v>
      </c>
      <c r="G3335" t="s">
        <v>22444</v>
      </c>
      <c r="H3335" t="s">
        <v>22452</v>
      </c>
      <c r="I3335" t="s">
        <v>22504</v>
      </c>
      <c r="J3335" t="s">
        <v>22785</v>
      </c>
      <c r="K3335" t="s">
        <v>29338</v>
      </c>
      <c r="M3335" t="s">
        <v>30826</v>
      </c>
      <c r="N3335" t="s">
        <v>32524</v>
      </c>
      <c r="O3335" t="s">
        <v>32525</v>
      </c>
      <c r="P3335">
        <v>0</v>
      </c>
      <c r="Q3335">
        <v>1</v>
      </c>
      <c r="R3335" t="s">
        <v>32528</v>
      </c>
      <c r="S3335" t="s">
        <v>32559</v>
      </c>
      <c r="T3335" t="s">
        <v>33173</v>
      </c>
      <c r="U3335" t="s">
        <v>36448</v>
      </c>
      <c r="W3335" t="s">
        <v>30826</v>
      </c>
      <c r="X3335" t="s">
        <v>32529</v>
      </c>
    </row>
    <row r="3336" spans="1:24">
      <c r="A3336">
        <f>HYPERLINK("https://www.philgeps.gov.ph/GEPSNONPILOT/Tender/SplashBidNoticeAbstractUI.aspx?menuIndex=3&amp;refID=7043767&amp;Result=3","7043767")</f>
        <v>0</v>
      </c>
      <c r="B3336" t="s">
        <v>1172</v>
      </c>
      <c r="C3336" t="s">
        <v>5862</v>
      </c>
      <c r="D3336" t="s">
        <v>13007</v>
      </c>
      <c r="E3336" t="s">
        <v>16106</v>
      </c>
      <c r="F3336" t="s">
        <v>22436</v>
      </c>
      <c r="G3336" t="s">
        <v>22443</v>
      </c>
      <c r="H3336" t="s">
        <v>22452</v>
      </c>
      <c r="I3336" t="s">
        <v>2981</v>
      </c>
      <c r="J3336" t="s">
        <v>22856</v>
      </c>
      <c r="K3336" t="s">
        <v>29340</v>
      </c>
      <c r="M3336" t="s">
        <v>30818</v>
      </c>
      <c r="N3336" t="s">
        <v>32524</v>
      </c>
      <c r="O3336" t="s">
        <v>32525</v>
      </c>
      <c r="P3336">
        <v>0</v>
      </c>
      <c r="Q3336">
        <v>1</v>
      </c>
      <c r="R3336" t="s">
        <v>32528</v>
      </c>
      <c r="S3336" t="s">
        <v>32559</v>
      </c>
      <c r="T3336" t="s">
        <v>33206</v>
      </c>
      <c r="U3336" t="s">
        <v>36449</v>
      </c>
      <c r="V3336" t="s">
        <v>42744</v>
      </c>
      <c r="W3336" t="s">
        <v>30818</v>
      </c>
      <c r="X3336" t="s">
        <v>32529</v>
      </c>
    </row>
    <row r="3337" spans="1:24">
      <c r="A3337">
        <f>HYPERLINK("https://www.philgeps.gov.ph/GEPSNONPILOT/Tender/SplashBidNoticeAbstractUI.aspx?menuIndex=3&amp;refID=7043873&amp;Result=3","7043873")</f>
        <v>0</v>
      </c>
      <c r="B3337" t="s">
        <v>1181</v>
      </c>
      <c r="C3337" t="s">
        <v>5863</v>
      </c>
      <c r="D3337" t="s">
        <v>12988</v>
      </c>
      <c r="E3337" t="s">
        <v>13092</v>
      </c>
      <c r="F3337" t="s">
        <v>22436</v>
      </c>
      <c r="G3337" t="s">
        <v>22446</v>
      </c>
      <c r="H3337" t="s">
        <v>22452</v>
      </c>
      <c r="I3337" t="s">
        <v>5194</v>
      </c>
      <c r="J3337" t="s">
        <v>24867</v>
      </c>
      <c r="K3337" t="s">
        <v>29356</v>
      </c>
      <c r="M3337" t="s">
        <v>30827</v>
      </c>
      <c r="N3337" t="s">
        <v>32524</v>
      </c>
      <c r="O3337" t="s">
        <v>32525</v>
      </c>
      <c r="P3337">
        <v>0</v>
      </c>
      <c r="Q3337">
        <v>2</v>
      </c>
      <c r="R3337" t="s">
        <v>32528</v>
      </c>
      <c r="S3337" t="s">
        <v>32559</v>
      </c>
      <c r="T3337" t="s">
        <v>33154</v>
      </c>
      <c r="U3337" t="s">
        <v>36450</v>
      </c>
      <c r="W3337" t="s">
        <v>30827</v>
      </c>
      <c r="X3337" t="s">
        <v>32529</v>
      </c>
    </row>
    <row r="3338" spans="1:24">
      <c r="A3338">
        <f>HYPERLINK("https://www.philgeps.gov.ph/GEPSNONPILOT/Tender/SplashBidNoticeAbstractUI.aspx?menuIndex=3&amp;refID=7043901&amp;Result=3","7043901")</f>
        <v>0</v>
      </c>
      <c r="B3338" t="s">
        <v>1178</v>
      </c>
      <c r="C3338" t="s">
        <v>5864</v>
      </c>
      <c r="D3338" t="s">
        <v>12988</v>
      </c>
      <c r="E3338" t="s">
        <v>16101</v>
      </c>
      <c r="F3338" t="s">
        <v>22436</v>
      </c>
      <c r="G3338" t="s">
        <v>22444</v>
      </c>
      <c r="H3338" t="s">
        <v>22453</v>
      </c>
      <c r="I3338" t="s">
        <v>3840</v>
      </c>
      <c r="J3338" t="s">
        <v>24868</v>
      </c>
      <c r="K3338" t="s">
        <v>29335</v>
      </c>
      <c r="M3338" t="s">
        <v>30824</v>
      </c>
      <c r="N3338" t="s">
        <v>32524</v>
      </c>
      <c r="O3338" t="s">
        <v>32525</v>
      </c>
      <c r="P3338">
        <v>0</v>
      </c>
      <c r="Q3338">
        <v>2</v>
      </c>
      <c r="R3338" t="s">
        <v>32528</v>
      </c>
      <c r="S3338" t="s">
        <v>32559</v>
      </c>
      <c r="T3338" t="s">
        <v>33387</v>
      </c>
      <c r="U3338" t="s">
        <v>36451</v>
      </c>
      <c r="V3338" t="s">
        <v>42745</v>
      </c>
      <c r="W3338" t="s">
        <v>30824</v>
      </c>
      <c r="X3338" t="s">
        <v>32529</v>
      </c>
    </row>
    <row r="3339" spans="1:24">
      <c r="A3339">
        <f>HYPERLINK("https://www.philgeps.gov.ph/GEPSNONPILOT/Tender/SplashBidNoticeAbstractUI.aspx?menuIndex=3&amp;refID=7043909&amp;Result=3","7043909")</f>
        <v>0</v>
      </c>
      <c r="B3339" t="s">
        <v>1182</v>
      </c>
      <c r="C3339" t="s">
        <v>5865</v>
      </c>
      <c r="D3339" t="s">
        <v>12993</v>
      </c>
      <c r="E3339" t="s">
        <v>16107</v>
      </c>
      <c r="F3339" t="s">
        <v>22436</v>
      </c>
      <c r="G3339" t="s">
        <v>22446</v>
      </c>
      <c r="H3339" t="s">
        <v>22452</v>
      </c>
      <c r="I3339" t="s">
        <v>22461</v>
      </c>
      <c r="J3339" t="s">
        <v>23513</v>
      </c>
      <c r="K3339" t="s">
        <v>29331</v>
      </c>
      <c r="M3339" t="s">
        <v>30828</v>
      </c>
      <c r="N3339" t="s">
        <v>32524</v>
      </c>
      <c r="O3339" t="s">
        <v>32525</v>
      </c>
      <c r="P3339">
        <v>0</v>
      </c>
      <c r="Q3339">
        <v>0</v>
      </c>
      <c r="R3339" t="s">
        <v>32528</v>
      </c>
      <c r="S3339" t="s">
        <v>32559</v>
      </c>
      <c r="T3339" t="s">
        <v>33213</v>
      </c>
      <c r="U3339" t="s">
        <v>36452</v>
      </c>
      <c r="W3339" t="s">
        <v>30828</v>
      </c>
      <c r="X3339" t="s">
        <v>32529</v>
      </c>
    </row>
    <row r="3340" spans="1:24">
      <c r="A3340">
        <f>HYPERLINK("https://www.philgeps.gov.ph/GEPSNONPILOT/Tender/SplashBidNoticeAbstractUI.aspx?menuIndex=3&amp;refID=7043910&amp;Result=3","7043910")</f>
        <v>0</v>
      </c>
      <c r="B3340" t="s">
        <v>1182</v>
      </c>
      <c r="C3340" t="s">
        <v>5866</v>
      </c>
      <c r="D3340" t="s">
        <v>12993</v>
      </c>
      <c r="E3340" t="s">
        <v>16107</v>
      </c>
      <c r="F3340" t="s">
        <v>22436</v>
      </c>
      <c r="G3340" t="s">
        <v>22446</v>
      </c>
      <c r="H3340" t="s">
        <v>22452</v>
      </c>
      <c r="I3340" t="s">
        <v>6421</v>
      </c>
      <c r="J3340" t="s">
        <v>24869</v>
      </c>
      <c r="K3340" t="s">
        <v>29331</v>
      </c>
      <c r="M3340" t="s">
        <v>30828</v>
      </c>
      <c r="N3340" t="s">
        <v>32524</v>
      </c>
      <c r="O3340" t="s">
        <v>32525</v>
      </c>
      <c r="P3340">
        <v>0</v>
      </c>
      <c r="Q3340">
        <v>2</v>
      </c>
      <c r="R3340" t="s">
        <v>32528</v>
      </c>
      <c r="S3340" t="s">
        <v>32559</v>
      </c>
      <c r="T3340" t="s">
        <v>33213</v>
      </c>
      <c r="U3340" t="s">
        <v>36453</v>
      </c>
      <c r="W3340" t="s">
        <v>30828</v>
      </c>
      <c r="X3340" t="s">
        <v>32529</v>
      </c>
    </row>
    <row r="3341" spans="1:24">
      <c r="A3341">
        <f>HYPERLINK("https://www.philgeps.gov.ph/GEPSNONPILOT/Tender/SplashBidNoticeAbstractUI.aspx?menuIndex=3&amp;refID=7043768&amp;Result=3","7043768")</f>
        <v>0</v>
      </c>
      <c r="B3341" t="s">
        <v>1172</v>
      </c>
      <c r="C3341" t="s">
        <v>5867</v>
      </c>
      <c r="D3341" t="s">
        <v>13007</v>
      </c>
      <c r="E3341" t="s">
        <v>16108</v>
      </c>
      <c r="F3341" t="s">
        <v>22436</v>
      </c>
      <c r="G3341" t="s">
        <v>22443</v>
      </c>
      <c r="H3341" t="s">
        <v>22452</v>
      </c>
      <c r="I3341" t="s">
        <v>22463</v>
      </c>
      <c r="J3341" t="s">
        <v>24870</v>
      </c>
      <c r="K3341" t="s">
        <v>29340</v>
      </c>
      <c r="M3341" t="s">
        <v>30818</v>
      </c>
      <c r="N3341" t="s">
        <v>32524</v>
      </c>
      <c r="O3341" t="s">
        <v>32525</v>
      </c>
      <c r="P3341">
        <v>0</v>
      </c>
      <c r="Q3341">
        <v>2</v>
      </c>
      <c r="R3341" t="s">
        <v>32528</v>
      </c>
      <c r="S3341" t="s">
        <v>32559</v>
      </c>
      <c r="T3341" t="s">
        <v>33206</v>
      </c>
      <c r="U3341" t="s">
        <v>36454</v>
      </c>
      <c r="V3341" t="s">
        <v>42746</v>
      </c>
      <c r="W3341" t="s">
        <v>30818</v>
      </c>
      <c r="X3341" t="s">
        <v>32529</v>
      </c>
    </row>
    <row r="3342" spans="1:24">
      <c r="A3342">
        <f>HYPERLINK("https://www.philgeps.gov.ph/GEPSNONPILOT/Tender/SplashBidNoticeAbstractUI.aspx?menuIndex=3&amp;refID=7043907&amp;Result=3","7043907")</f>
        <v>0</v>
      </c>
      <c r="B3342" t="s">
        <v>1182</v>
      </c>
      <c r="C3342" t="s">
        <v>5868</v>
      </c>
      <c r="D3342" t="s">
        <v>12993</v>
      </c>
      <c r="E3342" t="s">
        <v>16107</v>
      </c>
      <c r="F3342" t="s">
        <v>22436</v>
      </c>
      <c r="G3342" t="s">
        <v>22443</v>
      </c>
      <c r="H3342" t="s">
        <v>22452</v>
      </c>
      <c r="I3342" t="s">
        <v>22503</v>
      </c>
      <c r="J3342" t="s">
        <v>23775</v>
      </c>
      <c r="K3342" t="s">
        <v>29331</v>
      </c>
      <c r="M3342" t="s">
        <v>30828</v>
      </c>
      <c r="N3342" t="s">
        <v>32524</v>
      </c>
      <c r="O3342" t="s">
        <v>32525</v>
      </c>
      <c r="P3342">
        <v>0</v>
      </c>
      <c r="Q3342">
        <v>1</v>
      </c>
      <c r="R3342" t="s">
        <v>32528</v>
      </c>
      <c r="S3342" t="s">
        <v>32559</v>
      </c>
      <c r="T3342" t="s">
        <v>33213</v>
      </c>
      <c r="U3342" t="s">
        <v>36455</v>
      </c>
      <c r="W3342" t="s">
        <v>30828</v>
      </c>
      <c r="X3342" t="s">
        <v>32529</v>
      </c>
    </row>
    <row r="3343" spans="1:24">
      <c r="A3343">
        <f>HYPERLINK("https://www.philgeps.gov.ph/GEPSNONPILOT/Tender/SplashBidNoticeAbstractUI.aspx?menuIndex=3&amp;refID=7043908&amp;Result=3","7043908")</f>
        <v>0</v>
      </c>
      <c r="B3343" t="s">
        <v>1182</v>
      </c>
      <c r="C3343" t="s">
        <v>5869</v>
      </c>
      <c r="D3343" t="s">
        <v>12993</v>
      </c>
      <c r="E3343" t="s">
        <v>16107</v>
      </c>
      <c r="F3343" t="s">
        <v>22436</v>
      </c>
      <c r="G3343" t="s">
        <v>22446</v>
      </c>
      <c r="H3343" t="s">
        <v>22452</v>
      </c>
      <c r="I3343" t="s">
        <v>22469</v>
      </c>
      <c r="J3343" t="s">
        <v>22616</v>
      </c>
      <c r="K3343" t="s">
        <v>29331</v>
      </c>
      <c r="M3343" t="s">
        <v>30828</v>
      </c>
      <c r="N3343" t="s">
        <v>32524</v>
      </c>
      <c r="O3343" t="s">
        <v>32525</v>
      </c>
      <c r="P3343">
        <v>0</v>
      </c>
      <c r="Q3343">
        <v>1</v>
      </c>
      <c r="R3343" t="s">
        <v>32528</v>
      </c>
      <c r="S3343" t="s">
        <v>32559</v>
      </c>
      <c r="T3343" t="s">
        <v>33213</v>
      </c>
      <c r="U3343" t="s">
        <v>36456</v>
      </c>
      <c r="W3343" t="s">
        <v>30828</v>
      </c>
      <c r="X3343" t="s">
        <v>32529</v>
      </c>
    </row>
    <row r="3344" spans="1:24">
      <c r="A3344">
        <f>HYPERLINK("https://www.philgeps.gov.ph/GEPSNONPILOT/Tender/SplashBidNoticeAbstractUI.aspx?menuIndex=3&amp;refID=7043879&amp;Result=3","7043879")</f>
        <v>0</v>
      </c>
      <c r="B3344" t="s">
        <v>1183</v>
      </c>
      <c r="C3344" t="s">
        <v>5870</v>
      </c>
      <c r="D3344" t="s">
        <v>13031</v>
      </c>
      <c r="E3344" t="s">
        <v>16109</v>
      </c>
      <c r="F3344" t="s">
        <v>22436</v>
      </c>
      <c r="G3344" t="s">
        <v>22445</v>
      </c>
      <c r="H3344" t="s">
        <v>22452</v>
      </c>
      <c r="I3344" t="s">
        <v>22469</v>
      </c>
      <c r="J3344" t="s">
        <v>24871</v>
      </c>
      <c r="K3344" t="s">
        <v>29338</v>
      </c>
      <c r="M3344" t="s">
        <v>30829</v>
      </c>
      <c r="N3344" t="s">
        <v>32524</v>
      </c>
      <c r="O3344" t="s">
        <v>32525</v>
      </c>
      <c r="P3344">
        <v>0</v>
      </c>
      <c r="Q3344">
        <v>2</v>
      </c>
      <c r="R3344" t="s">
        <v>32528</v>
      </c>
      <c r="S3344" t="s">
        <v>32559</v>
      </c>
      <c r="T3344" t="s">
        <v>33213</v>
      </c>
      <c r="U3344" t="s">
        <v>36457</v>
      </c>
      <c r="W3344" t="s">
        <v>30829</v>
      </c>
      <c r="X3344" t="s">
        <v>32529</v>
      </c>
    </row>
    <row r="3345" spans="1:24">
      <c r="A3345">
        <f>HYPERLINK("https://www.philgeps.gov.ph/GEPSNONPILOT/Tender/SplashBidNoticeAbstractUI.aspx?menuIndex=3&amp;refID=7043899&amp;Result=3","7043899")</f>
        <v>0</v>
      </c>
      <c r="B3345" t="s">
        <v>1178</v>
      </c>
      <c r="C3345" t="s">
        <v>5871</v>
      </c>
      <c r="D3345" t="s">
        <v>12988</v>
      </c>
      <c r="E3345" t="s">
        <v>16101</v>
      </c>
      <c r="F3345" t="s">
        <v>22436</v>
      </c>
      <c r="G3345" t="s">
        <v>22444</v>
      </c>
      <c r="H3345" t="s">
        <v>22453</v>
      </c>
      <c r="I3345" t="s">
        <v>2981</v>
      </c>
      <c r="J3345" t="s">
        <v>23829</v>
      </c>
      <c r="K3345" t="s">
        <v>29335</v>
      </c>
      <c r="M3345" t="s">
        <v>30824</v>
      </c>
      <c r="N3345" t="s">
        <v>32524</v>
      </c>
      <c r="O3345" t="s">
        <v>32525</v>
      </c>
      <c r="P3345">
        <v>0</v>
      </c>
      <c r="Q3345">
        <v>9</v>
      </c>
      <c r="R3345" t="s">
        <v>32528</v>
      </c>
      <c r="S3345" t="s">
        <v>32559</v>
      </c>
      <c r="T3345" t="s">
        <v>33382</v>
      </c>
      <c r="U3345" t="s">
        <v>36458</v>
      </c>
      <c r="V3345" t="s">
        <v>42747</v>
      </c>
      <c r="W3345" t="s">
        <v>30824</v>
      </c>
      <c r="X3345" t="s">
        <v>32529</v>
      </c>
    </row>
    <row r="3346" spans="1:24">
      <c r="A3346">
        <f>HYPERLINK("https://www.philgeps.gov.ph/GEPSNONPILOT/Tender/SplashBidNoticeAbstractUI.aspx?menuIndex=3&amp;refID=7043900&amp;Result=3","7043900")</f>
        <v>0</v>
      </c>
      <c r="B3346" t="s">
        <v>1016</v>
      </c>
      <c r="C3346" t="s">
        <v>5872</v>
      </c>
      <c r="E3346" t="s">
        <v>16110</v>
      </c>
      <c r="F3346" t="s">
        <v>22436</v>
      </c>
      <c r="G3346" t="s">
        <v>22443</v>
      </c>
      <c r="H3346" t="s">
        <v>22452</v>
      </c>
      <c r="I3346" t="s">
        <v>22469</v>
      </c>
      <c r="J3346" t="s">
        <v>24872</v>
      </c>
      <c r="K3346" t="s">
        <v>29338</v>
      </c>
      <c r="M3346" t="s">
        <v>30830</v>
      </c>
      <c r="N3346" t="s">
        <v>32524</v>
      </c>
      <c r="O3346" t="s">
        <v>32525</v>
      </c>
      <c r="Q3346">
        <v>6</v>
      </c>
      <c r="R3346" t="s">
        <v>32528</v>
      </c>
      <c r="S3346" t="s">
        <v>32561</v>
      </c>
      <c r="T3346" t="s">
        <v>33161</v>
      </c>
      <c r="U3346" t="s">
        <v>36459</v>
      </c>
      <c r="W3346" t="s">
        <v>43706</v>
      </c>
      <c r="X3346" t="s">
        <v>32529</v>
      </c>
    </row>
    <row r="3347" spans="1:24">
      <c r="A3347">
        <f>HYPERLINK("https://www.philgeps.gov.ph/GEPSNONPILOT/Tender/SplashBidNoticeAbstractUI.aspx?menuIndex=3&amp;refID=7043897&amp;Result=3","7043897")</f>
        <v>0</v>
      </c>
      <c r="B3347" t="s">
        <v>1184</v>
      </c>
      <c r="C3347" t="s">
        <v>5873</v>
      </c>
      <c r="D3347" t="s">
        <v>13001</v>
      </c>
      <c r="E3347" t="s">
        <v>16111</v>
      </c>
      <c r="F3347" t="s">
        <v>22436</v>
      </c>
      <c r="G3347" t="s">
        <v>22443</v>
      </c>
      <c r="H3347" t="s">
        <v>22454</v>
      </c>
      <c r="I3347" t="s">
        <v>7738</v>
      </c>
      <c r="J3347" t="s">
        <v>24873</v>
      </c>
      <c r="K3347" t="s">
        <v>29338</v>
      </c>
      <c r="M3347" t="s">
        <v>30831</v>
      </c>
      <c r="N3347" t="s">
        <v>32524</v>
      </c>
      <c r="O3347" t="s">
        <v>32525</v>
      </c>
      <c r="P3347">
        <v>0</v>
      </c>
      <c r="Q3347">
        <v>1</v>
      </c>
      <c r="R3347" t="s">
        <v>32528</v>
      </c>
      <c r="S3347" t="s">
        <v>32559</v>
      </c>
      <c r="T3347" t="s">
        <v>33313</v>
      </c>
      <c r="U3347" t="s">
        <v>36460</v>
      </c>
      <c r="W3347" t="s">
        <v>30831</v>
      </c>
      <c r="X3347" t="s">
        <v>32529</v>
      </c>
    </row>
    <row r="3348" spans="1:24">
      <c r="A3348">
        <f>HYPERLINK("https://www.philgeps.gov.ph/GEPSNONPILOT/Tender/SplashBidNoticeAbstractUI.aspx?menuIndex=3&amp;refID=7043859&amp;Result=3","7043859")</f>
        <v>0</v>
      </c>
      <c r="B3348" t="s">
        <v>93</v>
      </c>
      <c r="C3348" t="s">
        <v>5874</v>
      </c>
      <c r="E3348" t="s">
        <v>16112</v>
      </c>
      <c r="F3348" t="s">
        <v>22436</v>
      </c>
      <c r="G3348" t="s">
        <v>22444</v>
      </c>
      <c r="H3348" t="s">
        <v>22454</v>
      </c>
      <c r="I3348" t="s">
        <v>22490</v>
      </c>
      <c r="J3348" t="s">
        <v>22634</v>
      </c>
      <c r="K3348" t="s">
        <v>29333</v>
      </c>
      <c r="M3348" t="s">
        <v>29665</v>
      </c>
      <c r="N3348" t="s">
        <v>32524</v>
      </c>
      <c r="O3348" t="s">
        <v>32525</v>
      </c>
      <c r="P3348">
        <v>0</v>
      </c>
      <c r="Q3348">
        <v>0</v>
      </c>
      <c r="R3348" t="s">
        <v>32528</v>
      </c>
      <c r="S3348" t="s">
        <v>32559</v>
      </c>
      <c r="T3348" t="s">
        <v>33237</v>
      </c>
      <c r="U3348" t="s">
        <v>33815</v>
      </c>
      <c r="W3348" t="s">
        <v>29665</v>
      </c>
      <c r="X3348" t="s">
        <v>32529</v>
      </c>
    </row>
    <row r="3349" spans="1:24">
      <c r="A3349">
        <f>HYPERLINK("https://www.philgeps.gov.ph/GEPSNONPILOT/Tender/SplashBidNoticeAbstractUI.aspx?menuIndex=3&amp;refID=7043893&amp;Result=3","7043893")</f>
        <v>0</v>
      </c>
      <c r="B3349" t="s">
        <v>450</v>
      </c>
      <c r="C3349" t="s">
        <v>5875</v>
      </c>
      <c r="D3349" t="s">
        <v>13009</v>
      </c>
      <c r="E3349" t="s">
        <v>16113</v>
      </c>
      <c r="F3349" t="s">
        <v>22436</v>
      </c>
      <c r="G3349" t="s">
        <v>22443</v>
      </c>
      <c r="H3349" t="s">
        <v>22452</v>
      </c>
      <c r="I3349" t="s">
        <v>3027</v>
      </c>
      <c r="J3349" t="s">
        <v>22785</v>
      </c>
      <c r="K3349" t="s">
        <v>29356</v>
      </c>
      <c r="M3349" t="s">
        <v>30032</v>
      </c>
      <c r="N3349" t="s">
        <v>32524</v>
      </c>
      <c r="O3349" t="s">
        <v>32525</v>
      </c>
      <c r="P3349">
        <v>0</v>
      </c>
      <c r="Q3349">
        <v>0</v>
      </c>
      <c r="R3349" t="s">
        <v>32528</v>
      </c>
      <c r="S3349" t="s">
        <v>32559</v>
      </c>
      <c r="T3349" t="s">
        <v>33313</v>
      </c>
      <c r="U3349" t="s">
        <v>36461</v>
      </c>
      <c r="W3349" t="s">
        <v>30032</v>
      </c>
      <c r="X3349" t="s">
        <v>32529</v>
      </c>
    </row>
    <row r="3350" spans="1:24">
      <c r="A3350">
        <f>HYPERLINK("https://www.philgeps.gov.ph/GEPSNONPILOT/Tender/SplashBidNoticeAbstractUI.aspx?menuIndex=3&amp;refID=7043892&amp;Result=3","7043892")</f>
        <v>0</v>
      </c>
      <c r="B3350" t="s">
        <v>1178</v>
      </c>
      <c r="C3350" t="s">
        <v>5876</v>
      </c>
      <c r="D3350" t="s">
        <v>12988</v>
      </c>
      <c r="E3350" t="s">
        <v>16101</v>
      </c>
      <c r="F3350" t="s">
        <v>22436</v>
      </c>
      <c r="G3350" t="s">
        <v>22444</v>
      </c>
      <c r="H3350" t="s">
        <v>22453</v>
      </c>
      <c r="I3350" t="s">
        <v>2981</v>
      </c>
      <c r="J3350" t="s">
        <v>24874</v>
      </c>
      <c r="K3350" t="s">
        <v>29335</v>
      </c>
      <c r="M3350" t="s">
        <v>30824</v>
      </c>
      <c r="N3350" t="s">
        <v>32524</v>
      </c>
      <c r="O3350" t="s">
        <v>32525</v>
      </c>
      <c r="P3350">
        <v>0</v>
      </c>
      <c r="Q3350">
        <v>0</v>
      </c>
      <c r="R3350" t="s">
        <v>32528</v>
      </c>
      <c r="S3350" t="s">
        <v>32559</v>
      </c>
      <c r="T3350" t="s">
        <v>33191</v>
      </c>
      <c r="U3350" t="s">
        <v>36462</v>
      </c>
      <c r="V3350" t="s">
        <v>42748</v>
      </c>
      <c r="W3350" t="s">
        <v>30824</v>
      </c>
      <c r="X3350" t="s">
        <v>32529</v>
      </c>
    </row>
    <row r="3351" spans="1:24">
      <c r="A3351">
        <f>HYPERLINK("https://www.philgeps.gov.ph/GEPSNONPILOT/Tender/SplashBidNoticeAbstractUI.aspx?menuIndex=3&amp;refID=7043896&amp;Result=3","7043896")</f>
        <v>0</v>
      </c>
      <c r="B3351" t="s">
        <v>450</v>
      </c>
      <c r="C3351" t="s">
        <v>5877</v>
      </c>
      <c r="D3351" t="s">
        <v>13009</v>
      </c>
      <c r="E3351" t="s">
        <v>16114</v>
      </c>
      <c r="F3351" t="s">
        <v>22436</v>
      </c>
      <c r="G3351" t="s">
        <v>22446</v>
      </c>
      <c r="H3351" t="s">
        <v>22452</v>
      </c>
      <c r="I3351" t="s">
        <v>22557</v>
      </c>
      <c r="J3351" t="s">
        <v>22657</v>
      </c>
      <c r="K3351" t="s">
        <v>29356</v>
      </c>
      <c r="M3351" t="s">
        <v>30032</v>
      </c>
      <c r="N3351" t="s">
        <v>32524</v>
      </c>
      <c r="O3351" t="s">
        <v>32525</v>
      </c>
      <c r="P3351">
        <v>0</v>
      </c>
      <c r="Q3351">
        <v>2</v>
      </c>
      <c r="R3351" t="s">
        <v>32528</v>
      </c>
      <c r="S3351" t="s">
        <v>32559</v>
      </c>
      <c r="T3351" t="s">
        <v>33313</v>
      </c>
      <c r="U3351" t="s">
        <v>36463</v>
      </c>
      <c r="W3351" t="s">
        <v>30032</v>
      </c>
      <c r="X3351" t="s">
        <v>32529</v>
      </c>
    </row>
    <row r="3352" spans="1:24">
      <c r="A3352">
        <f>HYPERLINK("https://www.philgeps.gov.ph/GEPSNONPILOT/Tender/SplashBidNoticeAbstractUI.aspx?menuIndex=3&amp;refID=7043881&amp;Result=3","7043881")</f>
        <v>0</v>
      </c>
      <c r="B3352" t="s">
        <v>1184</v>
      </c>
      <c r="C3352" t="s">
        <v>5878</v>
      </c>
      <c r="D3352" t="s">
        <v>13001</v>
      </c>
      <c r="E3352" t="s">
        <v>16115</v>
      </c>
      <c r="F3352" t="s">
        <v>22436</v>
      </c>
      <c r="G3352" t="s">
        <v>22443</v>
      </c>
      <c r="H3352" t="s">
        <v>22454</v>
      </c>
      <c r="I3352" t="s">
        <v>7738</v>
      </c>
      <c r="J3352" t="s">
        <v>24875</v>
      </c>
      <c r="K3352" t="s">
        <v>29338</v>
      </c>
      <c r="M3352" t="s">
        <v>30831</v>
      </c>
      <c r="N3352" t="s">
        <v>32524</v>
      </c>
      <c r="O3352" t="s">
        <v>32525</v>
      </c>
      <c r="P3352">
        <v>0</v>
      </c>
      <c r="Q3352">
        <v>1</v>
      </c>
      <c r="R3352" t="s">
        <v>32528</v>
      </c>
      <c r="S3352" t="s">
        <v>32559</v>
      </c>
      <c r="T3352" t="s">
        <v>33313</v>
      </c>
      <c r="U3352" t="s">
        <v>36460</v>
      </c>
      <c r="W3352" t="s">
        <v>30831</v>
      </c>
      <c r="X3352" t="s">
        <v>32529</v>
      </c>
    </row>
    <row r="3353" spans="1:24">
      <c r="A3353">
        <f>HYPERLINK("https://www.philgeps.gov.ph/GEPSNONPILOT/Tender/SplashBidNoticeAbstractUI.aspx?menuIndex=3&amp;refID=7043895&amp;Result=3","7043895")</f>
        <v>0</v>
      </c>
      <c r="B3353" t="s">
        <v>1178</v>
      </c>
      <c r="C3353" t="s">
        <v>5879</v>
      </c>
      <c r="D3353" t="s">
        <v>12988</v>
      </c>
      <c r="E3353" t="s">
        <v>16101</v>
      </c>
      <c r="F3353" t="s">
        <v>22436</v>
      </c>
      <c r="G3353" t="s">
        <v>22444</v>
      </c>
      <c r="H3353" t="s">
        <v>22453</v>
      </c>
      <c r="I3353" t="s">
        <v>2981</v>
      </c>
      <c r="J3353" t="s">
        <v>22788</v>
      </c>
      <c r="K3353" t="s">
        <v>29335</v>
      </c>
      <c r="M3353" t="s">
        <v>30824</v>
      </c>
      <c r="N3353" t="s">
        <v>32524</v>
      </c>
      <c r="O3353" t="s">
        <v>32525</v>
      </c>
      <c r="P3353">
        <v>0</v>
      </c>
      <c r="Q3353">
        <v>1</v>
      </c>
      <c r="R3353" t="s">
        <v>32528</v>
      </c>
      <c r="S3353" t="s">
        <v>32559</v>
      </c>
      <c r="T3353" t="s">
        <v>33227</v>
      </c>
      <c r="U3353" t="s">
        <v>36464</v>
      </c>
      <c r="V3353" t="s">
        <v>42749</v>
      </c>
      <c r="W3353" t="s">
        <v>30824</v>
      </c>
      <c r="X3353" t="s">
        <v>32529</v>
      </c>
    </row>
    <row r="3354" spans="1:24">
      <c r="A3354">
        <f>HYPERLINK("https://www.philgeps.gov.ph/GEPSNONPILOT/Tender/SplashBidNoticeAbstractUI.aspx?menuIndex=3&amp;refID=7043882&amp;Result=3","7043882")</f>
        <v>0</v>
      </c>
      <c r="B3354" t="s">
        <v>1178</v>
      </c>
      <c r="C3354" t="s">
        <v>5880</v>
      </c>
      <c r="D3354" t="s">
        <v>12988</v>
      </c>
      <c r="E3354" t="s">
        <v>16101</v>
      </c>
      <c r="F3354" t="s">
        <v>22436</v>
      </c>
      <c r="G3354" t="s">
        <v>22444</v>
      </c>
      <c r="H3354" t="s">
        <v>22453</v>
      </c>
      <c r="I3354" t="s">
        <v>2981</v>
      </c>
      <c r="J3354" t="s">
        <v>22640</v>
      </c>
      <c r="K3354" t="s">
        <v>29335</v>
      </c>
      <c r="M3354" t="s">
        <v>30824</v>
      </c>
      <c r="N3354" t="s">
        <v>32524</v>
      </c>
      <c r="O3354" t="s">
        <v>32525</v>
      </c>
      <c r="P3354">
        <v>0</v>
      </c>
      <c r="Q3354">
        <v>1</v>
      </c>
      <c r="R3354" t="s">
        <v>32528</v>
      </c>
      <c r="S3354" t="s">
        <v>32559</v>
      </c>
      <c r="T3354" t="s">
        <v>33403</v>
      </c>
      <c r="U3354" t="s">
        <v>36465</v>
      </c>
      <c r="V3354" t="s">
        <v>42750</v>
      </c>
      <c r="W3354" t="s">
        <v>30824</v>
      </c>
      <c r="X3354" t="s">
        <v>32529</v>
      </c>
    </row>
    <row r="3355" spans="1:24">
      <c r="A3355">
        <f>HYPERLINK("https://www.philgeps.gov.ph/GEPSNONPILOT/Tender/SplashBidNoticeAbstractUI.aspx?menuIndex=3&amp;refID=7041046&amp;Result=3","7041046")</f>
        <v>0</v>
      </c>
      <c r="B3355" t="s">
        <v>1185</v>
      </c>
      <c r="C3355" t="s">
        <v>5881</v>
      </c>
      <c r="D3355" t="s">
        <v>12996</v>
      </c>
      <c r="E3355" t="s">
        <v>16116</v>
      </c>
      <c r="F3355" t="s">
        <v>22436</v>
      </c>
      <c r="G3355" t="s">
        <v>22444</v>
      </c>
      <c r="H3355" t="s">
        <v>22454</v>
      </c>
      <c r="I3355" t="s">
        <v>7738</v>
      </c>
      <c r="J3355" t="s">
        <v>24876</v>
      </c>
      <c r="K3355" t="s">
        <v>29338</v>
      </c>
      <c r="M3355" t="s">
        <v>30832</v>
      </c>
      <c r="N3355" t="s">
        <v>32524</v>
      </c>
      <c r="O3355" t="s">
        <v>32525</v>
      </c>
      <c r="P3355">
        <v>0</v>
      </c>
      <c r="Q3355">
        <v>1</v>
      </c>
      <c r="R3355" t="s">
        <v>32529</v>
      </c>
      <c r="S3355" t="s">
        <v>32562</v>
      </c>
      <c r="T3355" t="s">
        <v>33180</v>
      </c>
      <c r="U3355" t="s">
        <v>36466</v>
      </c>
      <c r="W3355" t="s">
        <v>30832</v>
      </c>
      <c r="X3355" t="s">
        <v>32531</v>
      </c>
    </row>
    <row r="3356" spans="1:24">
      <c r="A3356">
        <f>HYPERLINK("https://www.philgeps.gov.ph/GEPSNONPILOT/Tender/SplashBidNoticeAbstractUI.aspx?menuIndex=3&amp;refID=7039830&amp;Result=3","7039830")</f>
        <v>0</v>
      </c>
      <c r="B3356" t="s">
        <v>1186</v>
      </c>
      <c r="C3356" t="s">
        <v>5882</v>
      </c>
      <c r="D3356" t="s">
        <v>13020</v>
      </c>
      <c r="E3356" t="s">
        <v>16117</v>
      </c>
      <c r="F3356" t="s">
        <v>22436</v>
      </c>
      <c r="G3356" t="s">
        <v>22444</v>
      </c>
      <c r="H3356" t="s">
        <v>22452</v>
      </c>
      <c r="I3356" t="s">
        <v>22463</v>
      </c>
      <c r="J3356" t="s">
        <v>24877</v>
      </c>
      <c r="K3356" t="s">
        <v>29341</v>
      </c>
      <c r="M3356" t="s">
        <v>30833</v>
      </c>
      <c r="N3356" t="s">
        <v>32524</v>
      </c>
      <c r="O3356" t="s">
        <v>32525</v>
      </c>
      <c r="P3356">
        <v>0</v>
      </c>
      <c r="Q3356">
        <v>2</v>
      </c>
      <c r="R3356" t="s">
        <v>32529</v>
      </c>
      <c r="S3356" t="s">
        <v>32562</v>
      </c>
      <c r="T3356" t="s">
        <v>33235</v>
      </c>
      <c r="U3356" t="s">
        <v>36467</v>
      </c>
      <c r="W3356" t="s">
        <v>30833</v>
      </c>
      <c r="X3356" t="s">
        <v>32532</v>
      </c>
    </row>
    <row r="3357" spans="1:24">
      <c r="A3357">
        <f>HYPERLINK("https://www.philgeps.gov.ph/GEPSNONPILOT/Tender/SplashBidNoticeAbstractUI.aspx?menuIndex=3&amp;refID=7043891&amp;Result=3","7043891")</f>
        <v>0</v>
      </c>
      <c r="B3357" t="s">
        <v>1178</v>
      </c>
      <c r="C3357" t="s">
        <v>5883</v>
      </c>
      <c r="E3357" t="s">
        <v>16101</v>
      </c>
      <c r="F3357" t="s">
        <v>22436</v>
      </c>
      <c r="G3357" t="s">
        <v>22444</v>
      </c>
      <c r="H3357" t="s">
        <v>22453</v>
      </c>
      <c r="I3357" t="s">
        <v>22474</v>
      </c>
      <c r="J3357" t="s">
        <v>22674</v>
      </c>
      <c r="K3357" t="s">
        <v>29335</v>
      </c>
      <c r="M3357" t="s">
        <v>30824</v>
      </c>
      <c r="N3357" t="s">
        <v>32524</v>
      </c>
      <c r="O3357" t="s">
        <v>32525</v>
      </c>
      <c r="P3357">
        <v>0</v>
      </c>
      <c r="Q3357">
        <v>2</v>
      </c>
      <c r="R3357" t="s">
        <v>32528</v>
      </c>
      <c r="S3357" t="s">
        <v>32559</v>
      </c>
      <c r="T3357" t="s">
        <v>33380</v>
      </c>
      <c r="U3357" t="s">
        <v>36468</v>
      </c>
      <c r="V3357" t="s">
        <v>42751</v>
      </c>
      <c r="W3357" t="s">
        <v>30824</v>
      </c>
      <c r="X3357" t="s">
        <v>32529</v>
      </c>
    </row>
    <row r="3358" spans="1:24">
      <c r="A3358">
        <f>HYPERLINK("https://www.philgeps.gov.ph/GEPSNONPILOT/Tender/SplashBidNoticeAbstractUI.aspx?menuIndex=3&amp;refID=7038559&amp;Result=3","7038559")</f>
        <v>0</v>
      </c>
      <c r="B3358" t="s">
        <v>1187</v>
      </c>
      <c r="C3358" t="s">
        <v>5884</v>
      </c>
      <c r="D3358" t="s">
        <v>13050</v>
      </c>
      <c r="E3358" t="s">
        <v>16118</v>
      </c>
      <c r="F3358" t="s">
        <v>22436</v>
      </c>
      <c r="G3358" t="s">
        <v>22446</v>
      </c>
      <c r="H3358" t="s">
        <v>22452</v>
      </c>
      <c r="I3358" t="s">
        <v>22512</v>
      </c>
      <c r="J3358" t="s">
        <v>24878</v>
      </c>
      <c r="K3358" t="s">
        <v>29341</v>
      </c>
      <c r="M3358" t="s">
        <v>30834</v>
      </c>
      <c r="N3358" t="s">
        <v>32524</v>
      </c>
      <c r="O3358" t="s">
        <v>32525</v>
      </c>
      <c r="P3358">
        <v>0</v>
      </c>
      <c r="Q3358">
        <v>5</v>
      </c>
      <c r="R3358" t="s">
        <v>32529</v>
      </c>
      <c r="S3358" t="s">
        <v>32562</v>
      </c>
      <c r="T3358" t="s">
        <v>33209</v>
      </c>
      <c r="U3358" t="s">
        <v>36469</v>
      </c>
      <c r="W3358" t="s">
        <v>30834</v>
      </c>
      <c r="X3358" t="s">
        <v>32532</v>
      </c>
    </row>
    <row r="3359" spans="1:24">
      <c r="A3359">
        <f>HYPERLINK("https://www.philgeps.gov.ph/GEPSNONPILOT/Tender/SplashBidNoticeAbstractUI.aspx?menuIndex=3&amp;refID=7043911&amp;Result=3","7043911")</f>
        <v>0</v>
      </c>
      <c r="B3359" t="s">
        <v>1182</v>
      </c>
      <c r="C3359" t="s">
        <v>5885</v>
      </c>
      <c r="D3359" t="s">
        <v>12993</v>
      </c>
      <c r="E3359" t="s">
        <v>16107</v>
      </c>
      <c r="F3359" t="s">
        <v>22436</v>
      </c>
      <c r="G3359" t="s">
        <v>22446</v>
      </c>
      <c r="H3359" t="s">
        <v>22452</v>
      </c>
      <c r="I3359" t="s">
        <v>22463</v>
      </c>
      <c r="J3359" t="s">
        <v>22858</v>
      </c>
      <c r="K3359" t="s">
        <v>29331</v>
      </c>
      <c r="M3359" t="s">
        <v>30828</v>
      </c>
      <c r="N3359" t="s">
        <v>32524</v>
      </c>
      <c r="O3359" t="s">
        <v>32525</v>
      </c>
      <c r="P3359">
        <v>0</v>
      </c>
      <c r="Q3359">
        <v>2</v>
      </c>
      <c r="R3359" t="s">
        <v>32528</v>
      </c>
      <c r="S3359" t="s">
        <v>32559</v>
      </c>
      <c r="T3359" t="s">
        <v>33213</v>
      </c>
      <c r="U3359" t="s">
        <v>36470</v>
      </c>
      <c r="W3359" t="s">
        <v>30828</v>
      </c>
      <c r="X3359" t="s">
        <v>32529</v>
      </c>
    </row>
    <row r="3360" spans="1:24">
      <c r="A3360">
        <f>HYPERLINK("https://www.philgeps.gov.ph/GEPSNONPILOT/Tender/SplashBidNoticeAbstractUI.aspx?menuIndex=3&amp;refID=6946900&amp;Result=3","6946900")</f>
        <v>0</v>
      </c>
      <c r="B3360" t="s">
        <v>1188</v>
      </c>
      <c r="C3360" t="s">
        <v>5886</v>
      </c>
      <c r="D3360" t="s">
        <v>13045</v>
      </c>
      <c r="E3360" t="s">
        <v>16119</v>
      </c>
      <c r="F3360" t="s">
        <v>22436</v>
      </c>
      <c r="G3360" t="s">
        <v>22446</v>
      </c>
      <c r="H3360" t="s">
        <v>22453</v>
      </c>
      <c r="I3360" t="s">
        <v>22457</v>
      </c>
      <c r="J3360" t="s">
        <v>22692</v>
      </c>
      <c r="K3360" t="s">
        <v>29376</v>
      </c>
      <c r="M3360" t="s">
        <v>30835</v>
      </c>
      <c r="N3360" t="s">
        <v>32524</v>
      </c>
      <c r="O3360" t="s">
        <v>32525</v>
      </c>
      <c r="P3360">
        <v>0</v>
      </c>
      <c r="Q3360">
        <v>0</v>
      </c>
      <c r="R3360" t="s">
        <v>32529</v>
      </c>
      <c r="S3360" t="s">
        <v>32562</v>
      </c>
      <c r="T3360" t="s">
        <v>33404</v>
      </c>
      <c r="U3360" t="s">
        <v>36471</v>
      </c>
      <c r="W3360" t="s">
        <v>30835</v>
      </c>
      <c r="X3360" t="s">
        <v>43784</v>
      </c>
    </row>
    <row r="3361" spans="1:24">
      <c r="A3361">
        <f>HYPERLINK("https://www.philgeps.gov.ph/GEPSNONPILOT/Tender/SplashBidNoticeAbstractUI.aspx?menuIndex=3&amp;refID=7040669&amp;Result=3","7040669")</f>
        <v>0</v>
      </c>
      <c r="B3361" t="s">
        <v>1189</v>
      </c>
      <c r="C3361" t="s">
        <v>5887</v>
      </c>
      <c r="D3361" t="s">
        <v>12988</v>
      </c>
      <c r="E3361" t="s">
        <v>13335</v>
      </c>
      <c r="F3361" t="s">
        <v>22436</v>
      </c>
      <c r="G3361" t="s">
        <v>22446</v>
      </c>
      <c r="H3361" t="s">
        <v>22452</v>
      </c>
      <c r="I3361" t="s">
        <v>5194</v>
      </c>
      <c r="J3361" t="s">
        <v>22605</v>
      </c>
      <c r="K3361" t="s">
        <v>29356</v>
      </c>
      <c r="M3361" t="s">
        <v>30836</v>
      </c>
      <c r="N3361" t="s">
        <v>32524</v>
      </c>
      <c r="O3361" t="s">
        <v>32525</v>
      </c>
      <c r="P3361">
        <v>0</v>
      </c>
      <c r="Q3361">
        <v>6</v>
      </c>
      <c r="R3361" t="s">
        <v>32529</v>
      </c>
      <c r="S3361" t="s">
        <v>32562</v>
      </c>
      <c r="T3361" t="s">
        <v>33304</v>
      </c>
      <c r="U3361" t="s">
        <v>36472</v>
      </c>
      <c r="W3361" t="s">
        <v>30836</v>
      </c>
      <c r="X3361" t="s">
        <v>32532</v>
      </c>
    </row>
    <row r="3362" spans="1:24">
      <c r="A3362">
        <f>HYPERLINK("https://www.philgeps.gov.ph/GEPSNONPILOT/Tender/SplashBidNoticeAbstractUI.aspx?menuIndex=3&amp;refID=7043916&amp;Result=3","7043916")</f>
        <v>0</v>
      </c>
      <c r="B3362" t="s">
        <v>1076</v>
      </c>
      <c r="C3362" t="s">
        <v>5888</v>
      </c>
      <c r="D3362" t="s">
        <v>13016</v>
      </c>
      <c r="E3362" t="s">
        <v>16120</v>
      </c>
      <c r="F3362" t="s">
        <v>22436</v>
      </c>
      <c r="G3362" t="s">
        <v>22444</v>
      </c>
      <c r="H3362" t="s">
        <v>22454</v>
      </c>
      <c r="I3362" t="s">
        <v>7738</v>
      </c>
      <c r="J3362" t="s">
        <v>22779</v>
      </c>
      <c r="K3362" t="s">
        <v>29333</v>
      </c>
      <c r="M3362" t="s">
        <v>30711</v>
      </c>
      <c r="N3362" t="s">
        <v>32524</v>
      </c>
      <c r="O3362" t="s">
        <v>32525</v>
      </c>
      <c r="P3362">
        <v>0</v>
      </c>
      <c r="Q3362">
        <v>0</v>
      </c>
      <c r="R3362" t="s">
        <v>32528</v>
      </c>
      <c r="S3362" t="s">
        <v>32559</v>
      </c>
      <c r="T3362" t="s">
        <v>33179</v>
      </c>
      <c r="U3362" t="s">
        <v>36473</v>
      </c>
      <c r="W3362" t="s">
        <v>30711</v>
      </c>
      <c r="X3362" t="s">
        <v>32529</v>
      </c>
    </row>
    <row r="3363" spans="1:24">
      <c r="A3363">
        <f>HYPERLINK("https://www.philgeps.gov.ph/GEPSNONPILOT/Tender/SplashBidNoticeAbstractUI.aspx?menuIndex=3&amp;refID=7041470&amp;Result=3","7041470")</f>
        <v>0</v>
      </c>
      <c r="B3363" t="s">
        <v>1190</v>
      </c>
      <c r="C3363" t="s">
        <v>5889</v>
      </c>
      <c r="D3363" t="s">
        <v>12988</v>
      </c>
      <c r="E3363" t="s">
        <v>16121</v>
      </c>
      <c r="F3363" t="s">
        <v>22436</v>
      </c>
      <c r="G3363" t="s">
        <v>22446</v>
      </c>
      <c r="H3363" t="s">
        <v>22452</v>
      </c>
      <c r="I3363" t="s">
        <v>22487</v>
      </c>
      <c r="J3363" t="s">
        <v>23023</v>
      </c>
      <c r="K3363" t="s">
        <v>29338</v>
      </c>
      <c r="M3363" t="s">
        <v>30837</v>
      </c>
      <c r="N3363" t="s">
        <v>32524</v>
      </c>
      <c r="O3363" t="s">
        <v>32525</v>
      </c>
      <c r="P3363">
        <v>0</v>
      </c>
      <c r="Q3363">
        <v>5</v>
      </c>
      <c r="R3363" t="s">
        <v>32529</v>
      </c>
      <c r="S3363" t="s">
        <v>32562</v>
      </c>
      <c r="T3363" t="s">
        <v>33296</v>
      </c>
      <c r="U3363" t="s">
        <v>36474</v>
      </c>
      <c r="W3363" t="s">
        <v>43708</v>
      </c>
      <c r="X3363" t="s">
        <v>32531</v>
      </c>
    </row>
    <row r="3364" spans="1:24">
      <c r="A3364">
        <f>HYPERLINK("https://www.philgeps.gov.ph/GEPSNONPILOT/Tender/SplashBidNoticeAbstractUI.aspx?menuIndex=3&amp;refID=7043887&amp;Result=3","7043887")</f>
        <v>0</v>
      </c>
      <c r="B3364" t="s">
        <v>1178</v>
      </c>
      <c r="C3364" t="s">
        <v>5890</v>
      </c>
      <c r="D3364" t="s">
        <v>12988</v>
      </c>
      <c r="E3364" t="s">
        <v>16101</v>
      </c>
      <c r="F3364" t="s">
        <v>22436</v>
      </c>
      <c r="G3364" t="s">
        <v>22444</v>
      </c>
      <c r="H3364" t="s">
        <v>22453</v>
      </c>
      <c r="I3364" t="s">
        <v>22484</v>
      </c>
      <c r="J3364" t="s">
        <v>24879</v>
      </c>
      <c r="K3364" t="s">
        <v>29335</v>
      </c>
      <c r="M3364" t="s">
        <v>30824</v>
      </c>
      <c r="N3364" t="s">
        <v>32524</v>
      </c>
      <c r="O3364" t="s">
        <v>32525</v>
      </c>
      <c r="P3364">
        <v>0</v>
      </c>
      <c r="Q3364">
        <v>5</v>
      </c>
      <c r="R3364" t="s">
        <v>32528</v>
      </c>
      <c r="S3364" t="s">
        <v>32559</v>
      </c>
      <c r="T3364" t="s">
        <v>33249</v>
      </c>
      <c r="U3364" t="s">
        <v>36475</v>
      </c>
      <c r="V3364" t="s">
        <v>42752</v>
      </c>
      <c r="W3364" t="s">
        <v>30824</v>
      </c>
      <c r="X3364" t="s">
        <v>32529</v>
      </c>
    </row>
    <row r="3365" spans="1:24">
      <c r="A3365">
        <f>HYPERLINK("https://www.philgeps.gov.ph/GEPSNONPILOT/Tender/SplashBidNoticeAbstractUI.aspx?menuIndex=3&amp;refID=7019418&amp;Result=3","7019418")</f>
        <v>0</v>
      </c>
      <c r="B3365" t="s">
        <v>1191</v>
      </c>
      <c r="C3365" t="s">
        <v>5891</v>
      </c>
      <c r="D3365" t="s">
        <v>13000</v>
      </c>
      <c r="E3365" t="s">
        <v>16122</v>
      </c>
      <c r="F3365" t="s">
        <v>22436</v>
      </c>
      <c r="G3365" t="s">
        <v>22444</v>
      </c>
      <c r="H3365" t="s">
        <v>22454</v>
      </c>
      <c r="I3365" t="s">
        <v>7738</v>
      </c>
      <c r="J3365" t="s">
        <v>24880</v>
      </c>
      <c r="K3365" t="s">
        <v>29380</v>
      </c>
      <c r="M3365" t="s">
        <v>30838</v>
      </c>
      <c r="N3365" t="s">
        <v>32524</v>
      </c>
      <c r="O3365" t="s">
        <v>32525</v>
      </c>
      <c r="P3365">
        <v>0</v>
      </c>
      <c r="Q3365">
        <v>1</v>
      </c>
      <c r="R3365" t="s">
        <v>32529</v>
      </c>
      <c r="S3365" t="s">
        <v>32562</v>
      </c>
      <c r="T3365" t="s">
        <v>33382</v>
      </c>
      <c r="U3365" t="s">
        <v>36476</v>
      </c>
      <c r="W3365" t="s">
        <v>30838</v>
      </c>
      <c r="X3365" t="s">
        <v>43779</v>
      </c>
    </row>
    <row r="3366" spans="1:24">
      <c r="A3366">
        <f>HYPERLINK("https://www.philgeps.gov.ph/GEPSNONPILOT/Tender/SplashBidNoticeAbstractUI.aspx?menuIndex=3&amp;refID=7041463&amp;Result=3","7041463")</f>
        <v>0</v>
      </c>
      <c r="B3366" t="s">
        <v>1192</v>
      </c>
      <c r="C3366" t="s">
        <v>5892</v>
      </c>
      <c r="D3366" t="s">
        <v>13007</v>
      </c>
      <c r="E3366" t="s">
        <v>16123</v>
      </c>
      <c r="F3366" t="s">
        <v>22436</v>
      </c>
      <c r="G3366" t="s">
        <v>22443</v>
      </c>
      <c r="H3366" t="s">
        <v>22452</v>
      </c>
      <c r="I3366" t="s">
        <v>22499</v>
      </c>
      <c r="J3366" t="s">
        <v>24881</v>
      </c>
      <c r="K3366" t="s">
        <v>29337</v>
      </c>
      <c r="M3366" t="s">
        <v>30839</v>
      </c>
      <c r="N3366" t="s">
        <v>32524</v>
      </c>
      <c r="O3366" t="s">
        <v>32525</v>
      </c>
      <c r="P3366">
        <v>0</v>
      </c>
      <c r="Q3366">
        <v>0</v>
      </c>
      <c r="R3366" t="s">
        <v>32529</v>
      </c>
      <c r="S3366" t="s">
        <v>32562</v>
      </c>
      <c r="T3366" t="s">
        <v>33177</v>
      </c>
      <c r="U3366" t="s">
        <v>36477</v>
      </c>
      <c r="W3366" t="s">
        <v>43709</v>
      </c>
      <c r="X3366" t="s">
        <v>32531</v>
      </c>
    </row>
    <row r="3367" spans="1:24">
      <c r="A3367">
        <f>HYPERLINK("https://www.philgeps.gov.ph/GEPSNONPILOT/Tender/SplashBidNoticeAbstractUI.aspx?menuIndex=3&amp;refID=7043885&amp;Result=3","7043885")</f>
        <v>0</v>
      </c>
      <c r="B3367" t="s">
        <v>1178</v>
      </c>
      <c r="C3367" t="s">
        <v>5893</v>
      </c>
      <c r="D3367" t="s">
        <v>12988</v>
      </c>
      <c r="E3367" t="s">
        <v>16101</v>
      </c>
      <c r="F3367" t="s">
        <v>22436</v>
      </c>
      <c r="G3367" t="s">
        <v>22444</v>
      </c>
      <c r="H3367" t="s">
        <v>22453</v>
      </c>
      <c r="I3367" t="s">
        <v>22517</v>
      </c>
      <c r="J3367" t="s">
        <v>24882</v>
      </c>
      <c r="K3367" t="s">
        <v>29335</v>
      </c>
      <c r="M3367" t="s">
        <v>30824</v>
      </c>
      <c r="N3367" t="s">
        <v>32524</v>
      </c>
      <c r="O3367" t="s">
        <v>32525</v>
      </c>
      <c r="P3367">
        <v>0</v>
      </c>
      <c r="Q3367">
        <v>1</v>
      </c>
      <c r="R3367" t="s">
        <v>32528</v>
      </c>
      <c r="S3367" t="s">
        <v>32559</v>
      </c>
      <c r="T3367" t="s">
        <v>33259</v>
      </c>
      <c r="U3367" t="s">
        <v>36478</v>
      </c>
      <c r="V3367" t="s">
        <v>42753</v>
      </c>
      <c r="W3367" t="s">
        <v>30824</v>
      </c>
      <c r="X3367" t="s">
        <v>32529</v>
      </c>
    </row>
    <row r="3368" spans="1:24">
      <c r="A3368">
        <f>HYPERLINK("https://www.philgeps.gov.ph/GEPSNONPILOT/Tender/SplashBidNoticeAbstractUI.aspx?menuIndex=3&amp;refID=7041443&amp;Result=3","7041443")</f>
        <v>0</v>
      </c>
      <c r="B3368" t="s">
        <v>1193</v>
      </c>
      <c r="C3368" t="s">
        <v>5894</v>
      </c>
      <c r="D3368" t="s">
        <v>13022</v>
      </c>
      <c r="E3368" t="s">
        <v>16124</v>
      </c>
      <c r="F3368" t="s">
        <v>22436</v>
      </c>
      <c r="G3368" t="s">
        <v>22444</v>
      </c>
      <c r="H3368" t="s">
        <v>22454</v>
      </c>
      <c r="I3368" t="s">
        <v>7738</v>
      </c>
      <c r="J3368" t="s">
        <v>22893</v>
      </c>
      <c r="K3368" t="s">
        <v>29338</v>
      </c>
      <c r="M3368" t="s">
        <v>30840</v>
      </c>
      <c r="N3368" t="s">
        <v>32524</v>
      </c>
      <c r="O3368" t="s">
        <v>32525</v>
      </c>
      <c r="P3368">
        <v>0</v>
      </c>
      <c r="Q3368">
        <v>1</v>
      </c>
      <c r="R3368" t="s">
        <v>32529</v>
      </c>
      <c r="S3368" t="s">
        <v>32562</v>
      </c>
      <c r="T3368" t="s">
        <v>33405</v>
      </c>
      <c r="U3368" t="s">
        <v>36479</v>
      </c>
      <c r="W3368" t="s">
        <v>30840</v>
      </c>
      <c r="X3368" t="s">
        <v>32531</v>
      </c>
    </row>
    <row r="3369" spans="1:24">
      <c r="A3369">
        <f>HYPERLINK("https://www.philgeps.gov.ph/GEPSNONPILOT/Tender/SplashBidNoticeAbstractUI.aspx?menuIndex=3&amp;refID=7043915&amp;Result=3","7043915")</f>
        <v>0</v>
      </c>
      <c r="B3369" t="s">
        <v>1076</v>
      </c>
      <c r="C3369" t="s">
        <v>5895</v>
      </c>
      <c r="D3369" t="s">
        <v>13016</v>
      </c>
      <c r="E3369" t="s">
        <v>16125</v>
      </c>
      <c r="F3369" t="s">
        <v>22436</v>
      </c>
      <c r="G3369" t="s">
        <v>22444</v>
      </c>
      <c r="H3369" t="s">
        <v>22454</v>
      </c>
      <c r="I3369" t="s">
        <v>7738</v>
      </c>
      <c r="J3369" t="s">
        <v>22779</v>
      </c>
      <c r="K3369" t="s">
        <v>29333</v>
      </c>
      <c r="M3369" t="s">
        <v>30711</v>
      </c>
      <c r="N3369" t="s">
        <v>32524</v>
      </c>
      <c r="O3369" t="s">
        <v>32525</v>
      </c>
      <c r="P3369">
        <v>0</v>
      </c>
      <c r="Q3369">
        <v>1</v>
      </c>
      <c r="R3369" t="s">
        <v>32528</v>
      </c>
      <c r="S3369" t="s">
        <v>32559</v>
      </c>
      <c r="T3369" t="s">
        <v>33179</v>
      </c>
      <c r="U3369" t="s">
        <v>36473</v>
      </c>
      <c r="W3369" t="s">
        <v>30711</v>
      </c>
      <c r="X3369" t="s">
        <v>32529</v>
      </c>
    </row>
    <row r="3370" spans="1:24">
      <c r="A3370">
        <f>HYPERLINK("https://www.philgeps.gov.ph/GEPSNONPILOT/Tender/SplashBidNoticeAbstractUI.aspx?menuIndex=3&amp;refID=7031128&amp;Result=3","7031128")</f>
        <v>0</v>
      </c>
      <c r="B3370" t="s">
        <v>1187</v>
      </c>
      <c r="C3370" t="s">
        <v>5896</v>
      </c>
      <c r="D3370" t="s">
        <v>13050</v>
      </c>
      <c r="E3370" t="s">
        <v>16126</v>
      </c>
      <c r="F3370" t="s">
        <v>22436</v>
      </c>
      <c r="G3370" t="s">
        <v>22446</v>
      </c>
      <c r="H3370" t="s">
        <v>22452</v>
      </c>
      <c r="I3370" t="s">
        <v>3827</v>
      </c>
      <c r="J3370" t="s">
        <v>24883</v>
      </c>
      <c r="K3370" t="s">
        <v>29331</v>
      </c>
      <c r="M3370" t="s">
        <v>30834</v>
      </c>
      <c r="N3370" t="s">
        <v>32524</v>
      </c>
      <c r="O3370" t="s">
        <v>32525</v>
      </c>
      <c r="P3370">
        <v>0</v>
      </c>
      <c r="Q3370">
        <v>7</v>
      </c>
      <c r="R3370" t="s">
        <v>32529</v>
      </c>
      <c r="S3370" t="s">
        <v>32562</v>
      </c>
      <c r="T3370" t="s">
        <v>33209</v>
      </c>
      <c r="U3370" t="s">
        <v>36480</v>
      </c>
      <c r="W3370" t="s">
        <v>30834</v>
      </c>
      <c r="X3370" t="s">
        <v>32537</v>
      </c>
    </row>
    <row r="3371" spans="1:24">
      <c r="A3371">
        <f>HYPERLINK("https://www.philgeps.gov.ph/GEPSNONPILOT/Tender/SplashBidNoticeAbstractUI.aspx?menuIndex=3&amp;refID=7041136&amp;Result=3","7041136")</f>
        <v>0</v>
      </c>
      <c r="B3371" t="s">
        <v>1194</v>
      </c>
      <c r="C3371" t="s">
        <v>5897</v>
      </c>
      <c r="E3371" t="s">
        <v>16127</v>
      </c>
      <c r="F3371" t="s">
        <v>22436</v>
      </c>
      <c r="G3371" t="s">
        <v>22443</v>
      </c>
      <c r="H3371" t="s">
        <v>22452</v>
      </c>
      <c r="I3371" t="s">
        <v>22460</v>
      </c>
      <c r="J3371" t="s">
        <v>24884</v>
      </c>
      <c r="K3371" t="s">
        <v>29338</v>
      </c>
      <c r="M3371" t="s">
        <v>30841</v>
      </c>
      <c r="N3371" t="s">
        <v>32524</v>
      </c>
      <c r="O3371" t="s">
        <v>32525</v>
      </c>
      <c r="P3371">
        <v>0</v>
      </c>
      <c r="Q3371">
        <v>24</v>
      </c>
      <c r="R3371" t="s">
        <v>32529</v>
      </c>
      <c r="S3371" t="s">
        <v>32562</v>
      </c>
      <c r="T3371" t="s">
        <v>33372</v>
      </c>
      <c r="U3371" t="s">
        <v>33876</v>
      </c>
      <c r="W3371" t="s">
        <v>30841</v>
      </c>
      <c r="X3371" t="s">
        <v>32531</v>
      </c>
    </row>
    <row r="3372" spans="1:24">
      <c r="A3372">
        <f>HYPERLINK("https://www.philgeps.gov.ph/GEPSNONPILOT/Tender/SplashBidNoticeAbstractUI.aspx?menuIndex=3&amp;refID=7041061&amp;Result=3","7041061")</f>
        <v>0</v>
      </c>
      <c r="B3372" t="s">
        <v>1185</v>
      </c>
      <c r="C3372" t="s">
        <v>5898</v>
      </c>
      <c r="D3372" t="s">
        <v>12996</v>
      </c>
      <c r="E3372" t="s">
        <v>16128</v>
      </c>
      <c r="F3372" t="s">
        <v>22436</v>
      </c>
      <c r="G3372" t="s">
        <v>22444</v>
      </c>
      <c r="H3372" t="s">
        <v>22452</v>
      </c>
      <c r="I3372" t="s">
        <v>3122</v>
      </c>
      <c r="J3372" t="s">
        <v>24885</v>
      </c>
      <c r="K3372" t="s">
        <v>29338</v>
      </c>
      <c r="M3372" t="s">
        <v>30832</v>
      </c>
      <c r="N3372" t="s">
        <v>32524</v>
      </c>
      <c r="O3372" t="s">
        <v>32525</v>
      </c>
      <c r="P3372">
        <v>0</v>
      </c>
      <c r="Q3372">
        <v>1</v>
      </c>
      <c r="R3372" t="s">
        <v>32529</v>
      </c>
      <c r="S3372" t="s">
        <v>32562</v>
      </c>
      <c r="T3372" t="s">
        <v>33180</v>
      </c>
      <c r="U3372" t="s">
        <v>36481</v>
      </c>
      <c r="W3372" t="s">
        <v>30832</v>
      </c>
      <c r="X3372" t="s">
        <v>32531</v>
      </c>
    </row>
    <row r="3373" spans="1:24">
      <c r="A3373">
        <f>HYPERLINK("https://www.philgeps.gov.ph/GEPSNONPILOT/Tender/SplashBidNoticeAbstractUI.aspx?menuIndex=3&amp;refID=7041243&amp;Result=3","7041243")</f>
        <v>0</v>
      </c>
      <c r="B3373" t="s">
        <v>1195</v>
      </c>
      <c r="C3373" t="s">
        <v>5899</v>
      </c>
      <c r="D3373" t="s">
        <v>13017</v>
      </c>
      <c r="E3373" t="s">
        <v>16129</v>
      </c>
      <c r="F3373" t="s">
        <v>22436</v>
      </c>
      <c r="G3373" t="s">
        <v>22444</v>
      </c>
      <c r="H3373" t="s">
        <v>22454</v>
      </c>
      <c r="I3373" t="s">
        <v>7738</v>
      </c>
      <c r="J3373" t="s">
        <v>22788</v>
      </c>
      <c r="K3373" t="s">
        <v>29329</v>
      </c>
      <c r="M3373" t="s">
        <v>30842</v>
      </c>
      <c r="N3373" t="s">
        <v>32524</v>
      </c>
      <c r="O3373" t="s">
        <v>32525</v>
      </c>
      <c r="P3373">
        <v>0</v>
      </c>
      <c r="Q3373">
        <v>0</v>
      </c>
      <c r="R3373" t="s">
        <v>32529</v>
      </c>
      <c r="S3373" t="s">
        <v>32562</v>
      </c>
      <c r="T3373" t="s">
        <v>33180</v>
      </c>
      <c r="U3373" t="s">
        <v>36482</v>
      </c>
      <c r="V3373" t="s">
        <v>42754</v>
      </c>
      <c r="W3373" t="s">
        <v>30842</v>
      </c>
      <c r="X3373" t="s">
        <v>32531</v>
      </c>
    </row>
    <row r="3374" spans="1:24">
      <c r="A3374">
        <f>HYPERLINK("https://www.philgeps.gov.ph/GEPSNONPILOT/Tender/SplashBidNoticeAbstractUI.aspx?menuIndex=3&amp;refID=7041186&amp;Result=3","7041186")</f>
        <v>0</v>
      </c>
      <c r="B3374" t="s">
        <v>1190</v>
      </c>
      <c r="C3374" t="s">
        <v>5900</v>
      </c>
      <c r="D3374" t="s">
        <v>12988</v>
      </c>
      <c r="E3374" t="s">
        <v>16130</v>
      </c>
      <c r="F3374" t="s">
        <v>22436</v>
      </c>
      <c r="G3374" t="s">
        <v>22446</v>
      </c>
      <c r="H3374" t="s">
        <v>22452</v>
      </c>
      <c r="I3374" t="s">
        <v>22469</v>
      </c>
      <c r="J3374" t="s">
        <v>22704</v>
      </c>
      <c r="K3374" t="s">
        <v>29338</v>
      </c>
      <c r="M3374" t="s">
        <v>30843</v>
      </c>
      <c r="N3374" t="s">
        <v>32524</v>
      </c>
      <c r="O3374" t="s">
        <v>32525</v>
      </c>
      <c r="P3374">
        <v>0</v>
      </c>
      <c r="Q3374">
        <v>6</v>
      </c>
      <c r="R3374" t="s">
        <v>32529</v>
      </c>
      <c r="S3374" t="s">
        <v>32562</v>
      </c>
      <c r="T3374" t="s">
        <v>33296</v>
      </c>
      <c r="U3374" t="s">
        <v>36483</v>
      </c>
      <c r="W3374" t="s">
        <v>43708</v>
      </c>
      <c r="X3374" t="s">
        <v>32531</v>
      </c>
    </row>
    <row r="3375" spans="1:24">
      <c r="A3375">
        <f>HYPERLINK("https://www.philgeps.gov.ph/GEPSNONPILOT/Tender/SplashBidNoticeAbstractUI.aspx?menuIndex=3&amp;refID=7043913&amp;Result=3","7043913")</f>
        <v>0</v>
      </c>
      <c r="B3375" t="s">
        <v>1182</v>
      </c>
      <c r="C3375" t="s">
        <v>5901</v>
      </c>
      <c r="D3375" t="s">
        <v>12993</v>
      </c>
      <c r="E3375" t="s">
        <v>16107</v>
      </c>
      <c r="F3375" t="s">
        <v>22436</v>
      </c>
      <c r="G3375" t="s">
        <v>22443</v>
      </c>
      <c r="H3375" t="s">
        <v>22452</v>
      </c>
      <c r="I3375" t="s">
        <v>22467</v>
      </c>
      <c r="J3375" t="s">
        <v>24886</v>
      </c>
      <c r="K3375" t="s">
        <v>29331</v>
      </c>
      <c r="M3375" t="s">
        <v>30828</v>
      </c>
      <c r="N3375" t="s">
        <v>32524</v>
      </c>
      <c r="O3375" t="s">
        <v>32525</v>
      </c>
      <c r="P3375">
        <v>0</v>
      </c>
      <c r="Q3375">
        <v>0</v>
      </c>
      <c r="R3375" t="s">
        <v>32528</v>
      </c>
      <c r="S3375" t="s">
        <v>32559</v>
      </c>
      <c r="T3375" t="s">
        <v>33213</v>
      </c>
      <c r="U3375" t="s">
        <v>36484</v>
      </c>
      <c r="W3375" t="s">
        <v>30828</v>
      </c>
      <c r="X3375" t="s">
        <v>32529</v>
      </c>
    </row>
    <row r="3376" spans="1:24">
      <c r="A3376">
        <f>HYPERLINK("https://www.philgeps.gov.ph/GEPSNONPILOT/Tender/SplashBidNoticeAbstractUI.aspx?menuIndex=3&amp;refID=7041487&amp;Result=3","7041487")</f>
        <v>0</v>
      </c>
      <c r="B3376" t="s">
        <v>1196</v>
      </c>
      <c r="C3376" t="s">
        <v>5902</v>
      </c>
      <c r="E3376" t="s">
        <v>16131</v>
      </c>
      <c r="F3376" t="s">
        <v>22436</v>
      </c>
      <c r="G3376" t="s">
        <v>22444</v>
      </c>
      <c r="H3376" t="s">
        <v>22452</v>
      </c>
      <c r="I3376" t="s">
        <v>6387</v>
      </c>
      <c r="J3376" t="s">
        <v>22911</v>
      </c>
      <c r="K3376" t="s">
        <v>29338</v>
      </c>
      <c r="M3376" t="s">
        <v>30844</v>
      </c>
      <c r="N3376" t="s">
        <v>32524</v>
      </c>
      <c r="O3376" t="s">
        <v>32525</v>
      </c>
      <c r="P3376">
        <v>0</v>
      </c>
      <c r="Q3376">
        <v>1</v>
      </c>
      <c r="R3376" t="s">
        <v>32529</v>
      </c>
      <c r="S3376" t="s">
        <v>32562</v>
      </c>
      <c r="T3376" t="s">
        <v>33206</v>
      </c>
      <c r="U3376" t="s">
        <v>36485</v>
      </c>
      <c r="W3376" t="s">
        <v>30844</v>
      </c>
      <c r="X3376" t="s">
        <v>32531</v>
      </c>
    </row>
    <row r="3377" spans="1:24">
      <c r="A3377">
        <f>HYPERLINK("https://www.philgeps.gov.ph/GEPSNONPILOT/Tender/SplashBidNoticeAbstractUI.aspx?menuIndex=3&amp;refID=7043914&amp;Result=3","7043914")</f>
        <v>0</v>
      </c>
      <c r="B3377" t="s">
        <v>1076</v>
      </c>
      <c r="C3377" t="s">
        <v>5903</v>
      </c>
      <c r="D3377" t="s">
        <v>13016</v>
      </c>
      <c r="E3377" t="s">
        <v>16132</v>
      </c>
      <c r="F3377" t="s">
        <v>22436</v>
      </c>
      <c r="G3377" t="s">
        <v>22444</v>
      </c>
      <c r="H3377" t="s">
        <v>22454</v>
      </c>
      <c r="I3377" t="s">
        <v>7738</v>
      </c>
      <c r="J3377" t="s">
        <v>24887</v>
      </c>
      <c r="K3377" t="s">
        <v>29334</v>
      </c>
      <c r="M3377" t="s">
        <v>30711</v>
      </c>
      <c r="N3377" t="s">
        <v>32524</v>
      </c>
      <c r="O3377" t="s">
        <v>32525</v>
      </c>
      <c r="P3377">
        <v>0</v>
      </c>
      <c r="Q3377">
        <v>1</v>
      </c>
      <c r="R3377" t="s">
        <v>32528</v>
      </c>
      <c r="S3377" t="s">
        <v>32559</v>
      </c>
      <c r="T3377" t="s">
        <v>33179</v>
      </c>
      <c r="U3377" t="s">
        <v>36473</v>
      </c>
      <c r="W3377" t="s">
        <v>30711</v>
      </c>
      <c r="X3377" t="s">
        <v>32529</v>
      </c>
    </row>
    <row r="3378" spans="1:24">
      <c r="A3378">
        <f>HYPERLINK("https://www.philgeps.gov.ph/GEPSNONPILOT/Tender/SplashBidNoticeAbstractUI.aspx?menuIndex=3&amp;refID=7043912&amp;Result=3","7043912")</f>
        <v>0</v>
      </c>
      <c r="B3378" t="s">
        <v>1182</v>
      </c>
      <c r="C3378" t="s">
        <v>5904</v>
      </c>
      <c r="D3378" t="s">
        <v>12993</v>
      </c>
      <c r="E3378" t="s">
        <v>16107</v>
      </c>
      <c r="F3378" t="s">
        <v>22436</v>
      </c>
      <c r="G3378" t="s">
        <v>22446</v>
      </c>
      <c r="H3378" t="s">
        <v>22452</v>
      </c>
      <c r="I3378" t="s">
        <v>22465</v>
      </c>
      <c r="J3378" t="s">
        <v>24888</v>
      </c>
      <c r="K3378" t="s">
        <v>29331</v>
      </c>
      <c r="M3378" t="s">
        <v>30828</v>
      </c>
      <c r="N3378" t="s">
        <v>32524</v>
      </c>
      <c r="O3378" t="s">
        <v>32525</v>
      </c>
      <c r="P3378">
        <v>0</v>
      </c>
      <c r="Q3378">
        <v>0</v>
      </c>
      <c r="R3378" t="s">
        <v>32528</v>
      </c>
      <c r="S3378" t="s">
        <v>32559</v>
      </c>
      <c r="T3378" t="s">
        <v>33213</v>
      </c>
      <c r="U3378" t="s">
        <v>36486</v>
      </c>
      <c r="W3378" t="s">
        <v>30828</v>
      </c>
      <c r="X3378" t="s">
        <v>32529</v>
      </c>
    </row>
    <row r="3379" spans="1:24">
      <c r="A3379">
        <f>HYPERLINK("https://www.philgeps.gov.ph/GEPSNONPILOT/Tender/SplashBidNoticeAbstractUI.aspx?menuIndex=3&amp;refID=7042529&amp;Result=3","7042529")</f>
        <v>0</v>
      </c>
      <c r="B3379" t="s">
        <v>1197</v>
      </c>
      <c r="C3379" t="s">
        <v>5905</v>
      </c>
      <c r="D3379" t="s">
        <v>13021</v>
      </c>
      <c r="E3379" t="s">
        <v>16133</v>
      </c>
      <c r="F3379" t="s">
        <v>22436</v>
      </c>
      <c r="G3379" t="s">
        <v>22444</v>
      </c>
      <c r="H3379" t="s">
        <v>22452</v>
      </c>
      <c r="I3379" t="s">
        <v>3529</v>
      </c>
      <c r="J3379" t="s">
        <v>24889</v>
      </c>
      <c r="K3379" t="s">
        <v>29335</v>
      </c>
      <c r="M3379" t="s">
        <v>30845</v>
      </c>
      <c r="N3379" t="s">
        <v>32524</v>
      </c>
      <c r="O3379" t="s">
        <v>32525</v>
      </c>
      <c r="P3379">
        <v>0</v>
      </c>
      <c r="Q3379">
        <v>0</v>
      </c>
      <c r="R3379" t="s">
        <v>32529</v>
      </c>
      <c r="S3379" t="s">
        <v>32562</v>
      </c>
      <c r="T3379" t="s">
        <v>33165</v>
      </c>
      <c r="U3379" t="s">
        <v>36487</v>
      </c>
      <c r="V3379" t="s">
        <v>42755</v>
      </c>
      <c r="W3379" t="s">
        <v>30845</v>
      </c>
      <c r="X3379" t="s">
        <v>32531</v>
      </c>
    </row>
    <row r="3380" spans="1:24">
      <c r="A3380">
        <f>HYPERLINK("https://www.philgeps.gov.ph/GEPSNONPILOT/Tender/SplashBidNoticeAbstractUI.aspx?menuIndex=3&amp;refID=7042360&amp;Result=3","7042360")</f>
        <v>0</v>
      </c>
      <c r="B3380" t="s">
        <v>698</v>
      </c>
      <c r="C3380" t="s">
        <v>5906</v>
      </c>
      <c r="D3380" t="s">
        <v>12988</v>
      </c>
      <c r="E3380" t="s">
        <v>13148</v>
      </c>
      <c r="F3380" t="s">
        <v>22436</v>
      </c>
      <c r="G3380" t="s">
        <v>22443</v>
      </c>
      <c r="H3380" t="s">
        <v>22452</v>
      </c>
      <c r="I3380" t="s">
        <v>6421</v>
      </c>
      <c r="J3380" t="s">
        <v>24890</v>
      </c>
      <c r="K3380" t="s">
        <v>29335</v>
      </c>
      <c r="M3380" t="s">
        <v>30293</v>
      </c>
      <c r="N3380" t="s">
        <v>32524</v>
      </c>
      <c r="O3380" t="s">
        <v>32525</v>
      </c>
      <c r="P3380">
        <v>0</v>
      </c>
      <c r="Q3380">
        <v>3</v>
      </c>
      <c r="R3380" t="s">
        <v>32529</v>
      </c>
      <c r="S3380" t="s">
        <v>32562</v>
      </c>
      <c r="T3380" t="s">
        <v>33372</v>
      </c>
      <c r="U3380" t="s">
        <v>36488</v>
      </c>
      <c r="W3380" t="s">
        <v>30293</v>
      </c>
      <c r="X3380" t="s">
        <v>32531</v>
      </c>
    </row>
    <row r="3381" spans="1:24">
      <c r="A3381">
        <f>HYPERLINK("https://www.philgeps.gov.ph/GEPSNONPILOT/Tender/SplashBidNoticeAbstractUI.aspx?menuIndex=3&amp;refID=7042591&amp;Result=3","7042591")</f>
        <v>0</v>
      </c>
      <c r="B3381" t="s">
        <v>1198</v>
      </c>
      <c r="C3381" t="s">
        <v>5907</v>
      </c>
      <c r="D3381" t="s">
        <v>13032</v>
      </c>
      <c r="E3381" t="s">
        <v>16134</v>
      </c>
      <c r="F3381" t="s">
        <v>22436</v>
      </c>
      <c r="G3381" t="s">
        <v>22444</v>
      </c>
      <c r="H3381" t="s">
        <v>22454</v>
      </c>
      <c r="I3381" t="s">
        <v>7738</v>
      </c>
      <c r="J3381" t="s">
        <v>24891</v>
      </c>
      <c r="K3381" t="s">
        <v>29401</v>
      </c>
      <c r="M3381" t="s">
        <v>30846</v>
      </c>
      <c r="N3381" t="s">
        <v>32524</v>
      </c>
      <c r="O3381" t="s">
        <v>32525</v>
      </c>
      <c r="Q3381">
        <v>4</v>
      </c>
      <c r="R3381" t="s">
        <v>32529</v>
      </c>
      <c r="S3381" t="s">
        <v>32563</v>
      </c>
      <c r="T3381" t="s">
        <v>33234</v>
      </c>
      <c r="U3381" t="s">
        <v>36489</v>
      </c>
      <c r="W3381" t="s">
        <v>30846</v>
      </c>
      <c r="X3381" t="s">
        <v>32531</v>
      </c>
    </row>
    <row r="3382" spans="1:24">
      <c r="A3382">
        <f>HYPERLINK("https://www.philgeps.gov.ph/GEPSNONPILOT/Tender/SplashBidNoticeAbstractUI.aspx?menuIndex=3&amp;refID=7041700&amp;Result=3","7041700")</f>
        <v>0</v>
      </c>
      <c r="B3382" t="s">
        <v>1199</v>
      </c>
      <c r="C3382" t="s">
        <v>5908</v>
      </c>
      <c r="D3382" t="s">
        <v>13045</v>
      </c>
      <c r="E3382" t="s">
        <v>16135</v>
      </c>
      <c r="F3382" t="s">
        <v>22436</v>
      </c>
      <c r="G3382" t="s">
        <v>22443</v>
      </c>
      <c r="H3382" t="s">
        <v>22452</v>
      </c>
      <c r="I3382" t="s">
        <v>22457</v>
      </c>
      <c r="J3382" t="s">
        <v>24892</v>
      </c>
      <c r="K3382" t="s">
        <v>29341</v>
      </c>
      <c r="M3382" t="s">
        <v>30847</v>
      </c>
      <c r="N3382" t="s">
        <v>32524</v>
      </c>
      <c r="O3382" t="s">
        <v>32525</v>
      </c>
      <c r="P3382">
        <v>0</v>
      </c>
      <c r="Q3382">
        <v>1</v>
      </c>
      <c r="R3382" t="s">
        <v>32529</v>
      </c>
      <c r="S3382" t="s">
        <v>32562</v>
      </c>
      <c r="T3382" t="s">
        <v>33372</v>
      </c>
      <c r="U3382" t="s">
        <v>36490</v>
      </c>
      <c r="W3382" t="s">
        <v>30847</v>
      </c>
      <c r="X3382" t="s">
        <v>32531</v>
      </c>
    </row>
    <row r="3383" spans="1:24">
      <c r="A3383">
        <f>HYPERLINK("https://www.philgeps.gov.ph/GEPSNONPILOT/Tender/SplashBidNoticeAbstractUI.aspx?menuIndex=3&amp;refID=7042293&amp;Result=3","7042293")</f>
        <v>0</v>
      </c>
      <c r="B3383" t="s">
        <v>86</v>
      </c>
      <c r="C3383" t="s">
        <v>5909</v>
      </c>
      <c r="D3383" t="s">
        <v>13021</v>
      </c>
      <c r="E3383" t="s">
        <v>16136</v>
      </c>
      <c r="F3383" t="s">
        <v>22436</v>
      </c>
      <c r="G3383" t="s">
        <v>22443</v>
      </c>
      <c r="H3383" t="s">
        <v>22452</v>
      </c>
      <c r="I3383" t="s">
        <v>22471</v>
      </c>
      <c r="J3383" t="s">
        <v>22654</v>
      </c>
      <c r="K3383" t="s">
        <v>29335</v>
      </c>
      <c r="M3383" t="s">
        <v>29658</v>
      </c>
      <c r="N3383" t="s">
        <v>32524</v>
      </c>
      <c r="O3383" t="s">
        <v>32525</v>
      </c>
      <c r="P3383">
        <v>0</v>
      </c>
      <c r="Q3383">
        <v>2</v>
      </c>
      <c r="R3383" t="s">
        <v>32529</v>
      </c>
      <c r="S3383" t="s">
        <v>32562</v>
      </c>
      <c r="T3383" t="s">
        <v>33322</v>
      </c>
      <c r="U3383" t="s">
        <v>36491</v>
      </c>
      <c r="W3383" t="s">
        <v>29658</v>
      </c>
      <c r="X3383" t="s">
        <v>32531</v>
      </c>
    </row>
    <row r="3384" spans="1:24">
      <c r="A3384">
        <f>HYPERLINK("https://www.philgeps.gov.ph/GEPSNONPILOT/Tender/SplashBidNoticeAbstractUI.aspx?menuIndex=3&amp;refID=7042199&amp;Result=3","7042199")</f>
        <v>0</v>
      </c>
      <c r="B3384" t="s">
        <v>1199</v>
      </c>
      <c r="C3384" t="s">
        <v>5910</v>
      </c>
      <c r="D3384" t="s">
        <v>13045</v>
      </c>
      <c r="E3384" t="s">
        <v>16137</v>
      </c>
      <c r="F3384" t="s">
        <v>22436</v>
      </c>
      <c r="G3384" t="s">
        <v>22443</v>
      </c>
      <c r="H3384" t="s">
        <v>22452</v>
      </c>
      <c r="I3384" t="s">
        <v>22478</v>
      </c>
      <c r="J3384" t="s">
        <v>24893</v>
      </c>
      <c r="K3384" t="s">
        <v>29341</v>
      </c>
      <c r="M3384" t="s">
        <v>30847</v>
      </c>
      <c r="N3384" t="s">
        <v>32524</v>
      </c>
      <c r="O3384" t="s">
        <v>32525</v>
      </c>
      <c r="P3384">
        <v>0</v>
      </c>
      <c r="Q3384">
        <v>4</v>
      </c>
      <c r="R3384" t="s">
        <v>32529</v>
      </c>
      <c r="S3384" t="s">
        <v>32562</v>
      </c>
      <c r="T3384" t="s">
        <v>33372</v>
      </c>
      <c r="U3384" t="s">
        <v>36492</v>
      </c>
      <c r="W3384" t="s">
        <v>30847</v>
      </c>
      <c r="X3384" t="s">
        <v>32531</v>
      </c>
    </row>
    <row r="3385" spans="1:24">
      <c r="A3385">
        <f>HYPERLINK("https://www.philgeps.gov.ph/GEPSNONPILOT/Tender/SplashBidNoticeAbstractUI.aspx?menuIndex=3&amp;refID=7042269&amp;Result=3","7042269")</f>
        <v>0</v>
      </c>
      <c r="B3385" t="s">
        <v>698</v>
      </c>
      <c r="C3385" t="s">
        <v>5911</v>
      </c>
      <c r="D3385" t="s">
        <v>12988</v>
      </c>
      <c r="E3385" t="s">
        <v>14646</v>
      </c>
      <c r="F3385" t="s">
        <v>22436</v>
      </c>
      <c r="G3385" t="s">
        <v>22443</v>
      </c>
      <c r="H3385" t="s">
        <v>22452</v>
      </c>
      <c r="I3385" t="s">
        <v>6421</v>
      </c>
      <c r="J3385" t="s">
        <v>24894</v>
      </c>
      <c r="K3385" t="s">
        <v>29335</v>
      </c>
      <c r="M3385" t="s">
        <v>30293</v>
      </c>
      <c r="N3385" t="s">
        <v>32524</v>
      </c>
      <c r="O3385" t="s">
        <v>32525</v>
      </c>
      <c r="P3385">
        <v>0</v>
      </c>
      <c r="Q3385">
        <v>4</v>
      </c>
      <c r="R3385" t="s">
        <v>32529</v>
      </c>
      <c r="S3385" t="s">
        <v>32562</v>
      </c>
      <c r="T3385" t="s">
        <v>33209</v>
      </c>
      <c r="U3385" t="s">
        <v>36493</v>
      </c>
      <c r="W3385" t="s">
        <v>30293</v>
      </c>
      <c r="X3385" t="s">
        <v>32531</v>
      </c>
    </row>
    <row r="3386" spans="1:24">
      <c r="A3386">
        <f>HYPERLINK("https://www.philgeps.gov.ph/GEPSNONPILOT/Tender/SplashBidNoticeAbstractUI.aspx?menuIndex=3&amp;refID=7042646&amp;Result=3","7042646")</f>
        <v>0</v>
      </c>
      <c r="B3386" t="s">
        <v>1198</v>
      </c>
      <c r="C3386" t="s">
        <v>5912</v>
      </c>
      <c r="D3386" t="s">
        <v>13032</v>
      </c>
      <c r="E3386" t="s">
        <v>16138</v>
      </c>
      <c r="F3386" t="s">
        <v>22436</v>
      </c>
      <c r="G3386" t="s">
        <v>22444</v>
      </c>
      <c r="H3386" t="s">
        <v>22454</v>
      </c>
      <c r="I3386" t="s">
        <v>7738</v>
      </c>
      <c r="J3386" t="s">
        <v>24895</v>
      </c>
      <c r="K3386" t="s">
        <v>29333</v>
      </c>
      <c r="M3386" t="s">
        <v>30846</v>
      </c>
      <c r="N3386" t="s">
        <v>32524</v>
      </c>
      <c r="O3386" t="s">
        <v>32525</v>
      </c>
      <c r="P3386">
        <v>0</v>
      </c>
      <c r="Q3386">
        <v>1</v>
      </c>
      <c r="R3386" t="s">
        <v>32529</v>
      </c>
      <c r="S3386" t="s">
        <v>32562</v>
      </c>
      <c r="T3386" t="s">
        <v>33234</v>
      </c>
      <c r="U3386" t="s">
        <v>36494</v>
      </c>
      <c r="W3386" t="s">
        <v>30846</v>
      </c>
      <c r="X3386" t="s">
        <v>32531</v>
      </c>
    </row>
    <row r="3387" spans="1:24">
      <c r="A3387">
        <f>HYPERLINK("https://www.philgeps.gov.ph/GEPSNONPILOT/Tender/SplashBidNoticeAbstractUI.aspx?menuIndex=3&amp;refID=7042642&amp;Result=3","7042642")</f>
        <v>0</v>
      </c>
      <c r="B3387" t="s">
        <v>1198</v>
      </c>
      <c r="C3387" t="s">
        <v>5913</v>
      </c>
      <c r="D3387" t="s">
        <v>13032</v>
      </c>
      <c r="E3387" t="s">
        <v>16139</v>
      </c>
      <c r="F3387" t="s">
        <v>22436</v>
      </c>
      <c r="G3387" t="s">
        <v>22444</v>
      </c>
      <c r="H3387" t="s">
        <v>22454</v>
      </c>
      <c r="I3387" t="s">
        <v>7738</v>
      </c>
      <c r="J3387" t="s">
        <v>24895</v>
      </c>
      <c r="K3387" t="s">
        <v>29333</v>
      </c>
      <c r="M3387" t="s">
        <v>30846</v>
      </c>
      <c r="N3387" t="s">
        <v>32524</v>
      </c>
      <c r="O3387" t="s">
        <v>32525</v>
      </c>
      <c r="P3387">
        <v>0</v>
      </c>
      <c r="Q3387">
        <v>1</v>
      </c>
      <c r="R3387" t="s">
        <v>32529</v>
      </c>
      <c r="S3387" t="s">
        <v>32562</v>
      </c>
      <c r="T3387" t="s">
        <v>33234</v>
      </c>
      <c r="U3387" t="s">
        <v>36495</v>
      </c>
      <c r="W3387" t="s">
        <v>30846</v>
      </c>
      <c r="X3387" t="s">
        <v>32531</v>
      </c>
    </row>
    <row r="3388" spans="1:24">
      <c r="A3388">
        <f>HYPERLINK("https://www.philgeps.gov.ph/GEPSNONPILOT/Tender/SplashBidNoticeAbstractUI.aspx?menuIndex=3&amp;refID=7042633&amp;Result=3","7042633")</f>
        <v>0</v>
      </c>
      <c r="B3388" t="s">
        <v>1198</v>
      </c>
      <c r="C3388" t="s">
        <v>5914</v>
      </c>
      <c r="D3388" t="s">
        <v>13032</v>
      </c>
      <c r="E3388" t="s">
        <v>16140</v>
      </c>
      <c r="F3388" t="s">
        <v>22436</v>
      </c>
      <c r="G3388" t="s">
        <v>22444</v>
      </c>
      <c r="H3388" t="s">
        <v>22454</v>
      </c>
      <c r="I3388" t="s">
        <v>7738</v>
      </c>
      <c r="J3388" t="s">
        <v>24896</v>
      </c>
      <c r="K3388" t="s">
        <v>29344</v>
      </c>
      <c r="M3388" t="s">
        <v>30846</v>
      </c>
      <c r="N3388" t="s">
        <v>32524</v>
      </c>
      <c r="O3388" t="s">
        <v>32525</v>
      </c>
      <c r="P3388">
        <v>0</v>
      </c>
      <c r="Q3388">
        <v>2</v>
      </c>
      <c r="R3388" t="s">
        <v>32529</v>
      </c>
      <c r="S3388" t="s">
        <v>32562</v>
      </c>
      <c r="T3388" t="s">
        <v>33234</v>
      </c>
      <c r="U3388" t="s">
        <v>36496</v>
      </c>
      <c r="W3388" t="s">
        <v>30846</v>
      </c>
      <c r="X3388" t="s">
        <v>32531</v>
      </c>
    </row>
    <row r="3389" spans="1:24">
      <c r="A3389">
        <f>HYPERLINK("https://www.philgeps.gov.ph/GEPSNONPILOT/Tender/SplashBidNoticeAbstractUI.aspx?menuIndex=3&amp;refID=7041686&amp;Result=3","7041686")</f>
        <v>0</v>
      </c>
      <c r="B3389" t="s">
        <v>1200</v>
      </c>
      <c r="C3389" t="s">
        <v>5915</v>
      </c>
      <c r="D3389" t="s">
        <v>13000</v>
      </c>
      <c r="E3389" t="s">
        <v>16141</v>
      </c>
      <c r="F3389" t="s">
        <v>22436</v>
      </c>
      <c r="G3389" t="s">
        <v>22445</v>
      </c>
      <c r="H3389" t="s">
        <v>22452</v>
      </c>
      <c r="I3389" t="s">
        <v>22460</v>
      </c>
      <c r="J3389" t="s">
        <v>24897</v>
      </c>
      <c r="K3389" t="s">
        <v>29335</v>
      </c>
      <c r="M3389" t="s">
        <v>30848</v>
      </c>
      <c r="N3389" t="s">
        <v>32524</v>
      </c>
      <c r="O3389" t="s">
        <v>32525</v>
      </c>
      <c r="P3389">
        <v>0</v>
      </c>
      <c r="Q3389">
        <v>6</v>
      </c>
      <c r="R3389" t="s">
        <v>32529</v>
      </c>
      <c r="S3389" t="s">
        <v>32562</v>
      </c>
      <c r="T3389" t="s">
        <v>33406</v>
      </c>
      <c r="U3389" t="s">
        <v>36497</v>
      </c>
      <c r="W3389" t="s">
        <v>30848</v>
      </c>
      <c r="X3389" t="s">
        <v>32531</v>
      </c>
    </row>
    <row r="3390" spans="1:24">
      <c r="A3390">
        <f>HYPERLINK("https://www.philgeps.gov.ph/GEPSNONPILOT/Tender/SplashBidNoticeAbstractUI.aspx?menuIndex=3&amp;refID=7042628&amp;Result=3","7042628")</f>
        <v>0</v>
      </c>
      <c r="B3390" t="s">
        <v>1198</v>
      </c>
      <c r="C3390" t="s">
        <v>5916</v>
      </c>
      <c r="D3390" t="s">
        <v>13032</v>
      </c>
      <c r="E3390" t="s">
        <v>16142</v>
      </c>
      <c r="F3390" t="s">
        <v>22436</v>
      </c>
      <c r="G3390" t="s">
        <v>22444</v>
      </c>
      <c r="H3390" t="s">
        <v>22454</v>
      </c>
      <c r="I3390" t="s">
        <v>7738</v>
      </c>
      <c r="J3390" t="s">
        <v>24891</v>
      </c>
      <c r="K3390" t="s">
        <v>29401</v>
      </c>
      <c r="M3390" t="s">
        <v>30846</v>
      </c>
      <c r="N3390" t="s">
        <v>32524</v>
      </c>
      <c r="O3390" t="s">
        <v>32525</v>
      </c>
      <c r="P3390">
        <v>0</v>
      </c>
      <c r="Q3390">
        <v>4</v>
      </c>
      <c r="R3390" t="s">
        <v>32529</v>
      </c>
      <c r="S3390" t="s">
        <v>32562</v>
      </c>
      <c r="T3390" t="s">
        <v>33234</v>
      </c>
      <c r="U3390" t="s">
        <v>36498</v>
      </c>
      <c r="W3390" t="s">
        <v>30846</v>
      </c>
      <c r="X3390" t="s">
        <v>32531</v>
      </c>
    </row>
    <row r="3391" spans="1:24">
      <c r="A3391">
        <f>HYPERLINK("https://www.philgeps.gov.ph/GEPSNONPILOT/Tender/SplashBidNoticeAbstractUI.aspx?menuIndex=3&amp;refID=7042638&amp;Result=3","7042638")</f>
        <v>0</v>
      </c>
      <c r="B3391" t="s">
        <v>1198</v>
      </c>
      <c r="C3391" t="s">
        <v>5917</v>
      </c>
      <c r="D3391" t="s">
        <v>13032</v>
      </c>
      <c r="E3391" t="s">
        <v>16143</v>
      </c>
      <c r="F3391" t="s">
        <v>22436</v>
      </c>
      <c r="G3391" t="s">
        <v>22444</v>
      </c>
      <c r="H3391" t="s">
        <v>22454</v>
      </c>
      <c r="I3391" t="s">
        <v>7738</v>
      </c>
      <c r="J3391" t="s">
        <v>24895</v>
      </c>
      <c r="K3391" t="s">
        <v>29334</v>
      </c>
      <c r="M3391" t="s">
        <v>30846</v>
      </c>
      <c r="N3391" t="s">
        <v>32524</v>
      </c>
      <c r="O3391" t="s">
        <v>32525</v>
      </c>
      <c r="P3391">
        <v>0</v>
      </c>
      <c r="Q3391">
        <v>1</v>
      </c>
      <c r="R3391" t="s">
        <v>32529</v>
      </c>
      <c r="S3391" t="s">
        <v>32562</v>
      </c>
      <c r="T3391" t="s">
        <v>33234</v>
      </c>
      <c r="U3391" t="s">
        <v>36499</v>
      </c>
      <c r="W3391" t="s">
        <v>30846</v>
      </c>
      <c r="X3391" t="s">
        <v>32531</v>
      </c>
    </row>
    <row r="3392" spans="1:24">
      <c r="A3392">
        <f>HYPERLINK("https://www.philgeps.gov.ph/GEPSNONPILOT/Tender/SplashBidNoticeAbstractUI.aspx?menuIndex=3&amp;refID=7041691&amp;Result=3","7041691")</f>
        <v>0</v>
      </c>
      <c r="B3392" t="s">
        <v>1201</v>
      </c>
      <c r="C3392" t="s">
        <v>5918</v>
      </c>
      <c r="D3392" t="s">
        <v>13022</v>
      </c>
      <c r="E3392" t="s">
        <v>16144</v>
      </c>
      <c r="F3392" t="s">
        <v>22436</v>
      </c>
      <c r="G3392" t="s">
        <v>22444</v>
      </c>
      <c r="H3392" t="s">
        <v>22454</v>
      </c>
      <c r="I3392" t="s">
        <v>7738</v>
      </c>
      <c r="J3392" t="s">
        <v>22893</v>
      </c>
      <c r="K3392" t="s">
        <v>29338</v>
      </c>
      <c r="M3392" t="s">
        <v>30849</v>
      </c>
      <c r="N3392" t="s">
        <v>32524</v>
      </c>
      <c r="O3392" t="s">
        <v>32525</v>
      </c>
      <c r="P3392">
        <v>0</v>
      </c>
      <c r="Q3392">
        <v>0</v>
      </c>
      <c r="R3392" t="s">
        <v>32529</v>
      </c>
      <c r="S3392" t="s">
        <v>32562</v>
      </c>
      <c r="T3392" t="s">
        <v>33405</v>
      </c>
      <c r="U3392" t="s">
        <v>36500</v>
      </c>
      <c r="W3392" t="s">
        <v>30849</v>
      </c>
      <c r="X3392" t="s">
        <v>32531</v>
      </c>
    </row>
    <row r="3393" spans="1:24">
      <c r="A3393">
        <f>HYPERLINK("https://www.philgeps.gov.ph/GEPSNONPILOT/Tender/SplashBidNoticeAbstractUI.aspx?menuIndex=3&amp;refID=7043340&amp;Result=3","7043340")</f>
        <v>0</v>
      </c>
      <c r="B3393" t="s">
        <v>1202</v>
      </c>
      <c r="C3393" t="s">
        <v>5919</v>
      </c>
      <c r="D3393" t="s">
        <v>13060</v>
      </c>
      <c r="E3393" t="s">
        <v>16145</v>
      </c>
      <c r="F3393" t="s">
        <v>22436</v>
      </c>
      <c r="G3393" t="s">
        <v>22444</v>
      </c>
      <c r="H3393" t="s">
        <v>22452</v>
      </c>
      <c r="I3393" t="s">
        <v>3529</v>
      </c>
      <c r="J3393" t="s">
        <v>24898</v>
      </c>
      <c r="K3393" t="s">
        <v>29341</v>
      </c>
      <c r="M3393" t="s">
        <v>30850</v>
      </c>
      <c r="N3393" t="s">
        <v>32524</v>
      </c>
      <c r="O3393" t="s">
        <v>32525</v>
      </c>
      <c r="P3393">
        <v>0</v>
      </c>
      <c r="Q3393">
        <v>0</v>
      </c>
      <c r="R3393" t="s">
        <v>32529</v>
      </c>
      <c r="S3393" t="s">
        <v>32562</v>
      </c>
      <c r="T3393" t="s">
        <v>33407</v>
      </c>
      <c r="U3393" t="s">
        <v>36501</v>
      </c>
      <c r="W3393" t="s">
        <v>30850</v>
      </c>
      <c r="X3393" t="s">
        <v>32530</v>
      </c>
    </row>
    <row r="3394" spans="1:24">
      <c r="A3394">
        <f>HYPERLINK("https://www.philgeps.gov.ph/GEPSNONPILOT/Tender/SplashBidNoticeAbstractUI.aspx?menuIndex=3&amp;refID=7042624&amp;Result=3","7042624")</f>
        <v>0</v>
      </c>
      <c r="B3394" t="s">
        <v>1198</v>
      </c>
      <c r="C3394" t="s">
        <v>5920</v>
      </c>
      <c r="D3394" t="s">
        <v>13032</v>
      </c>
      <c r="E3394" t="s">
        <v>16146</v>
      </c>
      <c r="F3394" t="s">
        <v>22436</v>
      </c>
      <c r="G3394" t="s">
        <v>22444</v>
      </c>
      <c r="H3394" t="s">
        <v>22454</v>
      </c>
      <c r="I3394" t="s">
        <v>7738</v>
      </c>
      <c r="J3394" t="s">
        <v>24891</v>
      </c>
      <c r="K3394" t="s">
        <v>29401</v>
      </c>
      <c r="M3394" t="s">
        <v>30846</v>
      </c>
      <c r="N3394" t="s">
        <v>32524</v>
      </c>
      <c r="O3394" t="s">
        <v>32525</v>
      </c>
      <c r="P3394">
        <v>0</v>
      </c>
      <c r="Q3394">
        <v>4</v>
      </c>
      <c r="R3394" t="s">
        <v>32529</v>
      </c>
      <c r="S3394" t="s">
        <v>32562</v>
      </c>
      <c r="T3394" t="s">
        <v>33234</v>
      </c>
      <c r="U3394" t="s">
        <v>36502</v>
      </c>
      <c r="W3394" t="s">
        <v>30846</v>
      </c>
      <c r="X3394" t="s">
        <v>32531</v>
      </c>
    </row>
    <row r="3395" spans="1:24">
      <c r="A3395">
        <f>HYPERLINK("https://www.philgeps.gov.ph/GEPSNONPILOT/Tender/SplashBidNoticeAbstractUI.aspx?menuIndex=3&amp;refID=7043391&amp;Result=3","7043391")</f>
        <v>0</v>
      </c>
      <c r="B3395" t="s">
        <v>1203</v>
      </c>
      <c r="C3395" t="s">
        <v>5921</v>
      </c>
      <c r="D3395" t="s">
        <v>13011</v>
      </c>
      <c r="E3395" t="s">
        <v>16147</v>
      </c>
      <c r="F3395" t="s">
        <v>22436</v>
      </c>
      <c r="G3395" t="s">
        <v>22446</v>
      </c>
      <c r="H3395" t="s">
        <v>22452</v>
      </c>
      <c r="I3395" t="s">
        <v>22469</v>
      </c>
      <c r="J3395" t="s">
        <v>22813</v>
      </c>
      <c r="K3395" t="s">
        <v>29338</v>
      </c>
      <c r="M3395" t="s">
        <v>30851</v>
      </c>
      <c r="N3395" t="s">
        <v>32524</v>
      </c>
      <c r="O3395" t="s">
        <v>32525</v>
      </c>
      <c r="P3395">
        <v>0</v>
      </c>
      <c r="Q3395">
        <v>4</v>
      </c>
      <c r="R3395" t="s">
        <v>32529</v>
      </c>
      <c r="S3395" t="s">
        <v>32562</v>
      </c>
      <c r="T3395" t="s">
        <v>33372</v>
      </c>
      <c r="U3395" t="s">
        <v>36503</v>
      </c>
      <c r="W3395" t="s">
        <v>30851</v>
      </c>
      <c r="X3395" t="s">
        <v>32530</v>
      </c>
    </row>
    <row r="3396" spans="1:24">
      <c r="A3396">
        <f>HYPERLINK("https://www.philgeps.gov.ph/GEPSNONPILOT/Tender/SplashBidNoticeAbstractUI.aspx?menuIndex=3&amp;refID=7041757&amp;Result=3","7041757")</f>
        <v>0</v>
      </c>
      <c r="B3396" t="s">
        <v>1199</v>
      </c>
      <c r="C3396" t="s">
        <v>5922</v>
      </c>
      <c r="D3396" t="s">
        <v>13045</v>
      </c>
      <c r="E3396" t="s">
        <v>16148</v>
      </c>
      <c r="F3396" t="s">
        <v>22436</v>
      </c>
      <c r="G3396" t="s">
        <v>22443</v>
      </c>
      <c r="H3396" t="s">
        <v>22452</v>
      </c>
      <c r="I3396" t="s">
        <v>4170</v>
      </c>
      <c r="J3396" t="s">
        <v>24899</v>
      </c>
      <c r="K3396" t="s">
        <v>29341</v>
      </c>
      <c r="M3396" t="s">
        <v>30847</v>
      </c>
      <c r="N3396" t="s">
        <v>32524</v>
      </c>
      <c r="O3396" t="s">
        <v>32525</v>
      </c>
      <c r="P3396">
        <v>0</v>
      </c>
      <c r="Q3396">
        <v>1</v>
      </c>
      <c r="R3396" t="s">
        <v>32529</v>
      </c>
      <c r="S3396" t="s">
        <v>32562</v>
      </c>
      <c r="T3396" t="s">
        <v>33372</v>
      </c>
      <c r="U3396" t="s">
        <v>36504</v>
      </c>
      <c r="W3396" t="s">
        <v>30847</v>
      </c>
      <c r="X3396" t="s">
        <v>32531</v>
      </c>
    </row>
    <row r="3397" spans="1:24">
      <c r="A3397">
        <f>HYPERLINK("https://www.philgeps.gov.ph/GEPSNONPILOT/Tender/SplashBidNoticeAbstractUI.aspx?menuIndex=3&amp;refID=7043339&amp;Result=3","7043339")</f>
        <v>0</v>
      </c>
      <c r="B3397" t="s">
        <v>1204</v>
      </c>
      <c r="C3397" t="s">
        <v>5923</v>
      </c>
      <c r="D3397" t="s">
        <v>13061</v>
      </c>
      <c r="E3397" t="s">
        <v>16149</v>
      </c>
      <c r="F3397" t="s">
        <v>22436</v>
      </c>
      <c r="G3397" t="s">
        <v>22443</v>
      </c>
      <c r="H3397" t="s">
        <v>22452</v>
      </c>
      <c r="I3397" t="s">
        <v>22466</v>
      </c>
      <c r="J3397" t="s">
        <v>24900</v>
      </c>
      <c r="K3397" t="s">
        <v>29337</v>
      </c>
      <c r="M3397" t="s">
        <v>30852</v>
      </c>
      <c r="N3397" t="s">
        <v>32524</v>
      </c>
      <c r="O3397" t="s">
        <v>32525</v>
      </c>
      <c r="P3397">
        <v>0</v>
      </c>
      <c r="Q3397">
        <v>13</v>
      </c>
      <c r="R3397" t="s">
        <v>32529</v>
      </c>
      <c r="S3397" t="s">
        <v>32562</v>
      </c>
      <c r="T3397" t="s">
        <v>33229</v>
      </c>
      <c r="U3397" t="s">
        <v>36505</v>
      </c>
      <c r="V3397" t="s">
        <v>42756</v>
      </c>
      <c r="W3397" t="s">
        <v>30852</v>
      </c>
      <c r="X3397" t="s">
        <v>32530</v>
      </c>
    </row>
    <row r="3398" spans="1:24">
      <c r="A3398">
        <f>HYPERLINK("https://www.philgeps.gov.ph/GEPSNONPILOT/Tender/SplashBidNoticeAbstractUI.aspx?menuIndex=3&amp;refID=7043348&amp;Result=3","7043348")</f>
        <v>0</v>
      </c>
      <c r="B3398" t="s">
        <v>1204</v>
      </c>
      <c r="C3398" t="s">
        <v>5924</v>
      </c>
      <c r="D3398" t="s">
        <v>13061</v>
      </c>
      <c r="E3398" t="s">
        <v>16150</v>
      </c>
      <c r="F3398" t="s">
        <v>22436</v>
      </c>
      <c r="G3398" t="s">
        <v>22443</v>
      </c>
      <c r="H3398" t="s">
        <v>22452</v>
      </c>
      <c r="I3398" t="s">
        <v>22463</v>
      </c>
      <c r="J3398" t="s">
        <v>24901</v>
      </c>
      <c r="K3398" t="s">
        <v>29341</v>
      </c>
      <c r="M3398" t="s">
        <v>30852</v>
      </c>
      <c r="N3398" t="s">
        <v>32524</v>
      </c>
      <c r="O3398" t="s">
        <v>32525</v>
      </c>
      <c r="P3398">
        <v>0</v>
      </c>
      <c r="Q3398">
        <v>4</v>
      </c>
      <c r="R3398" t="s">
        <v>32529</v>
      </c>
      <c r="S3398" t="s">
        <v>32562</v>
      </c>
      <c r="T3398" t="s">
        <v>33229</v>
      </c>
      <c r="U3398" t="s">
        <v>36506</v>
      </c>
      <c r="V3398" t="s">
        <v>42756</v>
      </c>
      <c r="W3398" t="s">
        <v>30852</v>
      </c>
      <c r="X3398" t="s">
        <v>32530</v>
      </c>
    </row>
    <row r="3399" spans="1:24">
      <c r="A3399">
        <f>HYPERLINK("https://www.philgeps.gov.ph/GEPSNONPILOT/Tender/SplashBidNoticeAbstractUI.aspx?menuIndex=3&amp;refID=7042620&amp;Result=3","7042620")</f>
        <v>0</v>
      </c>
      <c r="B3399" t="s">
        <v>1198</v>
      </c>
      <c r="C3399" t="s">
        <v>5925</v>
      </c>
      <c r="D3399" t="s">
        <v>13032</v>
      </c>
      <c r="E3399" t="s">
        <v>16151</v>
      </c>
      <c r="F3399" t="s">
        <v>22436</v>
      </c>
      <c r="G3399" t="s">
        <v>22444</v>
      </c>
      <c r="H3399" t="s">
        <v>22454</v>
      </c>
      <c r="I3399" t="s">
        <v>7738</v>
      </c>
      <c r="J3399" t="s">
        <v>24891</v>
      </c>
      <c r="K3399" t="s">
        <v>29401</v>
      </c>
      <c r="M3399" t="s">
        <v>30846</v>
      </c>
      <c r="N3399" t="s">
        <v>32524</v>
      </c>
      <c r="O3399" t="s">
        <v>32525</v>
      </c>
      <c r="Q3399">
        <v>4</v>
      </c>
      <c r="R3399" t="s">
        <v>32529</v>
      </c>
      <c r="S3399" t="s">
        <v>32564</v>
      </c>
      <c r="T3399" t="s">
        <v>33234</v>
      </c>
      <c r="U3399" t="s">
        <v>36507</v>
      </c>
      <c r="W3399" t="s">
        <v>30846</v>
      </c>
      <c r="X3399" t="s">
        <v>32531</v>
      </c>
    </row>
    <row r="3400" spans="1:24">
      <c r="A3400">
        <f>HYPERLINK("https://www.philgeps.gov.ph/GEPSNONPILOT/Tender/SplashBidNoticeAbstractUI.aspx?menuIndex=3&amp;refID=7043400&amp;Result=3","7043400")</f>
        <v>0</v>
      </c>
      <c r="B3400" t="s">
        <v>1203</v>
      </c>
      <c r="C3400" t="s">
        <v>5926</v>
      </c>
      <c r="D3400" t="s">
        <v>13011</v>
      </c>
      <c r="E3400" t="s">
        <v>16152</v>
      </c>
      <c r="F3400" t="s">
        <v>22436</v>
      </c>
      <c r="G3400" t="s">
        <v>22443</v>
      </c>
      <c r="H3400" t="s">
        <v>22452</v>
      </c>
      <c r="I3400" t="s">
        <v>6387</v>
      </c>
      <c r="J3400" t="s">
        <v>24347</v>
      </c>
      <c r="K3400" t="s">
        <v>29338</v>
      </c>
      <c r="M3400" t="s">
        <v>30851</v>
      </c>
      <c r="N3400" t="s">
        <v>32524</v>
      </c>
      <c r="O3400" t="s">
        <v>32525</v>
      </c>
      <c r="P3400">
        <v>0</v>
      </c>
      <c r="Q3400">
        <v>5</v>
      </c>
      <c r="R3400" t="s">
        <v>32529</v>
      </c>
      <c r="S3400" t="s">
        <v>32562</v>
      </c>
      <c r="T3400" t="s">
        <v>33372</v>
      </c>
      <c r="U3400" t="s">
        <v>36503</v>
      </c>
      <c r="W3400" t="s">
        <v>30851</v>
      </c>
      <c r="X3400" t="s">
        <v>32530</v>
      </c>
    </row>
    <row r="3401" spans="1:24">
      <c r="A3401">
        <f>HYPERLINK("https://www.philgeps.gov.ph/GEPSNONPILOT/Tender/SplashBidNoticeAbstractUI.aspx?menuIndex=3&amp;refID=7043437&amp;Result=3","7043437")</f>
        <v>0</v>
      </c>
      <c r="B3401" t="s">
        <v>846</v>
      </c>
      <c r="C3401" t="s">
        <v>5927</v>
      </c>
      <c r="D3401" t="s">
        <v>13017</v>
      </c>
      <c r="E3401" t="s">
        <v>16153</v>
      </c>
      <c r="F3401" t="s">
        <v>22436</v>
      </c>
      <c r="G3401" t="s">
        <v>22444</v>
      </c>
      <c r="H3401" t="s">
        <v>22454</v>
      </c>
      <c r="I3401" t="s">
        <v>7738</v>
      </c>
      <c r="J3401" t="s">
        <v>24902</v>
      </c>
      <c r="K3401" t="s">
        <v>29419</v>
      </c>
      <c r="M3401" t="s">
        <v>30452</v>
      </c>
      <c r="N3401" t="s">
        <v>32524</v>
      </c>
      <c r="O3401" t="s">
        <v>32525</v>
      </c>
      <c r="P3401">
        <v>0</v>
      </c>
      <c r="Q3401">
        <v>0</v>
      </c>
      <c r="R3401" t="s">
        <v>32529</v>
      </c>
      <c r="S3401" t="s">
        <v>32562</v>
      </c>
      <c r="T3401" t="s">
        <v>33345</v>
      </c>
      <c r="U3401" t="s">
        <v>36508</v>
      </c>
      <c r="V3401" t="s">
        <v>42757</v>
      </c>
      <c r="W3401" t="s">
        <v>30452</v>
      </c>
      <c r="X3401" t="s">
        <v>32530</v>
      </c>
    </row>
    <row r="3402" spans="1:24">
      <c r="A3402">
        <f>HYPERLINK("https://www.philgeps.gov.ph/GEPSNONPILOT/Tender/SplashBidNoticeAbstractUI.aspx?menuIndex=3&amp;refID=7043412&amp;Result=3","7043412")</f>
        <v>0</v>
      </c>
      <c r="B3402" t="s">
        <v>363</v>
      </c>
      <c r="C3402" t="s">
        <v>5928</v>
      </c>
      <c r="D3402" t="s">
        <v>13029</v>
      </c>
      <c r="E3402" t="s">
        <v>16154</v>
      </c>
      <c r="F3402" t="s">
        <v>22436</v>
      </c>
      <c r="G3402" t="s">
        <v>22444</v>
      </c>
      <c r="H3402" t="s">
        <v>22454</v>
      </c>
      <c r="I3402" t="s">
        <v>7738</v>
      </c>
      <c r="J3402" t="s">
        <v>24903</v>
      </c>
      <c r="K3402" t="s">
        <v>29344</v>
      </c>
      <c r="M3402" t="s">
        <v>30853</v>
      </c>
      <c r="N3402" t="s">
        <v>32524</v>
      </c>
      <c r="O3402" t="s">
        <v>32525</v>
      </c>
      <c r="P3402">
        <v>0</v>
      </c>
      <c r="Q3402">
        <v>1</v>
      </c>
      <c r="R3402" t="s">
        <v>32529</v>
      </c>
      <c r="S3402" t="s">
        <v>32562</v>
      </c>
      <c r="T3402" t="s">
        <v>33408</v>
      </c>
      <c r="U3402" t="s">
        <v>36509</v>
      </c>
      <c r="W3402" t="s">
        <v>30853</v>
      </c>
      <c r="X3402" t="s">
        <v>32530</v>
      </c>
    </row>
    <row r="3403" spans="1:24">
      <c r="A3403">
        <f>HYPERLINK("https://www.philgeps.gov.ph/GEPSNONPILOT/Tender/SplashBidNoticeAbstractUI.aspx?menuIndex=3&amp;refID=7042585&amp;Result=3","7042585")</f>
        <v>0</v>
      </c>
      <c r="B3403" t="s">
        <v>1198</v>
      </c>
      <c r="C3403" t="s">
        <v>5929</v>
      </c>
      <c r="D3403" t="s">
        <v>13032</v>
      </c>
      <c r="E3403" t="s">
        <v>16155</v>
      </c>
      <c r="F3403" t="s">
        <v>22436</v>
      </c>
      <c r="G3403" t="s">
        <v>22444</v>
      </c>
      <c r="H3403" t="s">
        <v>22454</v>
      </c>
      <c r="I3403" t="s">
        <v>7738</v>
      </c>
      <c r="J3403" t="s">
        <v>24904</v>
      </c>
      <c r="K3403" t="s">
        <v>29401</v>
      </c>
      <c r="M3403" t="s">
        <v>30846</v>
      </c>
      <c r="N3403" t="s">
        <v>32524</v>
      </c>
      <c r="O3403" t="s">
        <v>32525</v>
      </c>
      <c r="Q3403">
        <v>4</v>
      </c>
      <c r="R3403" t="s">
        <v>32529</v>
      </c>
      <c r="S3403" t="s">
        <v>32565</v>
      </c>
      <c r="T3403" t="s">
        <v>33234</v>
      </c>
      <c r="U3403" t="s">
        <v>36510</v>
      </c>
      <c r="W3403" t="s">
        <v>30846</v>
      </c>
      <c r="X3403" t="s">
        <v>32531</v>
      </c>
    </row>
    <row r="3404" spans="1:24">
      <c r="A3404">
        <f>HYPERLINK("https://www.philgeps.gov.ph/GEPSNONPILOT/Tender/SplashBidNoticeAbstractUI.aspx?menuIndex=3&amp;refID=7043423&amp;Result=3","7043423")</f>
        <v>0</v>
      </c>
      <c r="B3404" t="s">
        <v>1205</v>
      </c>
      <c r="C3404" t="s">
        <v>5930</v>
      </c>
      <c r="D3404" t="s">
        <v>12995</v>
      </c>
      <c r="E3404" t="s">
        <v>16156</v>
      </c>
      <c r="F3404" t="s">
        <v>22436</v>
      </c>
      <c r="G3404" t="s">
        <v>22443</v>
      </c>
      <c r="H3404" t="s">
        <v>22454</v>
      </c>
      <c r="I3404" t="s">
        <v>22501</v>
      </c>
      <c r="J3404" t="s">
        <v>24905</v>
      </c>
      <c r="K3404" t="s">
        <v>29335</v>
      </c>
      <c r="M3404" t="s">
        <v>30854</v>
      </c>
      <c r="N3404" t="s">
        <v>32524</v>
      </c>
      <c r="O3404" t="s">
        <v>32525</v>
      </c>
      <c r="P3404">
        <v>0</v>
      </c>
      <c r="Q3404">
        <v>5</v>
      </c>
      <c r="R3404" t="s">
        <v>32529</v>
      </c>
      <c r="S3404" t="s">
        <v>32562</v>
      </c>
      <c r="T3404" t="s">
        <v>33169</v>
      </c>
      <c r="U3404" t="s">
        <v>36511</v>
      </c>
      <c r="W3404" t="s">
        <v>30854</v>
      </c>
      <c r="X3404" t="s">
        <v>32530</v>
      </c>
    </row>
    <row r="3405" spans="1:24">
      <c r="A3405">
        <f>HYPERLINK("https://www.philgeps.gov.ph/GEPSNONPILOT/Tender/SplashBidNoticeAbstractUI.aspx?menuIndex=3&amp;refID=7043431&amp;Result=3","7043431")</f>
        <v>0</v>
      </c>
      <c r="B3405" t="s">
        <v>1206</v>
      </c>
      <c r="C3405" t="s">
        <v>5931</v>
      </c>
      <c r="D3405" t="s">
        <v>13014</v>
      </c>
      <c r="E3405" t="s">
        <v>16157</v>
      </c>
      <c r="F3405" t="s">
        <v>22436</v>
      </c>
      <c r="G3405" t="s">
        <v>22444</v>
      </c>
      <c r="H3405" t="s">
        <v>22454</v>
      </c>
      <c r="I3405" t="s">
        <v>7738</v>
      </c>
      <c r="J3405" t="s">
        <v>24906</v>
      </c>
      <c r="K3405" t="s">
        <v>29346</v>
      </c>
      <c r="M3405" t="s">
        <v>30855</v>
      </c>
      <c r="N3405" t="s">
        <v>32524</v>
      </c>
      <c r="O3405" t="s">
        <v>32525</v>
      </c>
      <c r="P3405">
        <v>0</v>
      </c>
      <c r="Q3405">
        <v>0</v>
      </c>
      <c r="R3405" t="s">
        <v>32529</v>
      </c>
      <c r="S3405" t="s">
        <v>32562</v>
      </c>
      <c r="T3405" t="s">
        <v>33345</v>
      </c>
      <c r="U3405" t="s">
        <v>36512</v>
      </c>
      <c r="W3405" t="s">
        <v>30855</v>
      </c>
      <c r="X3405" t="s">
        <v>32530</v>
      </c>
    </row>
    <row r="3406" spans="1:24">
      <c r="A3406">
        <f>HYPERLINK("https://www.philgeps.gov.ph/GEPSNONPILOT/Tender/SplashBidNoticeAbstractUI.aspx?menuIndex=3&amp;refID=7043415&amp;Result=3","7043415")</f>
        <v>0</v>
      </c>
      <c r="B3406" t="s">
        <v>1207</v>
      </c>
      <c r="C3406" t="s">
        <v>5932</v>
      </c>
      <c r="D3406" t="s">
        <v>13066</v>
      </c>
      <c r="E3406" t="s">
        <v>16158</v>
      </c>
      <c r="F3406" t="s">
        <v>22436</v>
      </c>
      <c r="G3406" t="s">
        <v>22444</v>
      </c>
      <c r="H3406" t="s">
        <v>22452</v>
      </c>
      <c r="I3406" t="s">
        <v>3529</v>
      </c>
      <c r="J3406" t="s">
        <v>24907</v>
      </c>
      <c r="K3406" t="s">
        <v>29338</v>
      </c>
      <c r="M3406" t="s">
        <v>30856</v>
      </c>
      <c r="N3406" t="s">
        <v>32524</v>
      </c>
      <c r="O3406" t="s">
        <v>32525</v>
      </c>
      <c r="P3406">
        <v>0</v>
      </c>
      <c r="Q3406">
        <v>0</v>
      </c>
      <c r="R3406" t="s">
        <v>32529</v>
      </c>
      <c r="S3406" t="s">
        <v>32562</v>
      </c>
      <c r="T3406" t="s">
        <v>33180</v>
      </c>
      <c r="U3406" t="s">
        <v>36513</v>
      </c>
      <c r="W3406" t="s">
        <v>30856</v>
      </c>
      <c r="X3406" t="s">
        <v>32530</v>
      </c>
    </row>
    <row r="3407" spans="1:24">
      <c r="A3407">
        <f>HYPERLINK("https://www.philgeps.gov.ph/GEPSNONPILOT/Tender/SplashBidNoticeAbstractUI.aspx?menuIndex=3&amp;refID=7043408&amp;Result=3","7043408")</f>
        <v>0</v>
      </c>
      <c r="B3407" t="s">
        <v>363</v>
      </c>
      <c r="C3407" t="s">
        <v>5933</v>
      </c>
      <c r="D3407" t="s">
        <v>13029</v>
      </c>
      <c r="E3407" t="s">
        <v>16159</v>
      </c>
      <c r="F3407" t="s">
        <v>22436</v>
      </c>
      <c r="G3407" t="s">
        <v>22444</v>
      </c>
      <c r="H3407" t="s">
        <v>22454</v>
      </c>
      <c r="I3407" t="s">
        <v>7738</v>
      </c>
      <c r="J3407" t="s">
        <v>23387</v>
      </c>
      <c r="K3407" t="s">
        <v>29344</v>
      </c>
      <c r="M3407" t="s">
        <v>30853</v>
      </c>
      <c r="N3407" t="s">
        <v>32524</v>
      </c>
      <c r="O3407" t="s">
        <v>32525</v>
      </c>
      <c r="P3407">
        <v>0</v>
      </c>
      <c r="Q3407">
        <v>2</v>
      </c>
      <c r="R3407" t="s">
        <v>32529</v>
      </c>
      <c r="S3407" t="s">
        <v>32562</v>
      </c>
      <c r="T3407" t="s">
        <v>33408</v>
      </c>
      <c r="U3407" t="s">
        <v>36514</v>
      </c>
      <c r="W3407" t="s">
        <v>30853</v>
      </c>
      <c r="X3407" t="s">
        <v>32530</v>
      </c>
    </row>
    <row r="3408" spans="1:24">
      <c r="A3408">
        <f>HYPERLINK("https://www.philgeps.gov.ph/GEPSNONPILOT/Tender/SplashBidNoticeAbstractUI.aspx?menuIndex=3&amp;refID=7042608&amp;Result=3","7042608")</f>
        <v>0</v>
      </c>
      <c r="B3408" t="s">
        <v>1198</v>
      </c>
      <c r="C3408" t="s">
        <v>5934</v>
      </c>
      <c r="D3408" t="s">
        <v>13032</v>
      </c>
      <c r="E3408" t="s">
        <v>16160</v>
      </c>
      <c r="F3408" t="s">
        <v>22436</v>
      </c>
      <c r="G3408" t="s">
        <v>22444</v>
      </c>
      <c r="H3408" t="s">
        <v>22454</v>
      </c>
      <c r="I3408" t="s">
        <v>7738</v>
      </c>
      <c r="J3408" t="s">
        <v>24891</v>
      </c>
      <c r="K3408" t="s">
        <v>29401</v>
      </c>
      <c r="M3408" t="s">
        <v>30846</v>
      </c>
      <c r="N3408" t="s">
        <v>32524</v>
      </c>
      <c r="O3408" t="s">
        <v>32525</v>
      </c>
      <c r="Q3408">
        <v>4</v>
      </c>
      <c r="R3408" t="s">
        <v>32529</v>
      </c>
      <c r="S3408" t="s">
        <v>32566</v>
      </c>
      <c r="T3408" t="s">
        <v>33234</v>
      </c>
      <c r="U3408" t="s">
        <v>36515</v>
      </c>
      <c r="W3408" t="s">
        <v>30846</v>
      </c>
      <c r="X3408" t="s">
        <v>32531</v>
      </c>
    </row>
    <row r="3409" spans="1:24">
      <c r="A3409">
        <f>HYPERLINK("https://www.philgeps.gov.ph/GEPSNONPILOT/Tender/SplashBidNoticeAbstractUI.aspx?menuIndex=3&amp;refID=7043355&amp;Result=3","7043355")</f>
        <v>0</v>
      </c>
      <c r="B3409" t="s">
        <v>1208</v>
      </c>
      <c r="C3409" t="s">
        <v>5935</v>
      </c>
      <c r="D3409" t="s">
        <v>13044</v>
      </c>
      <c r="E3409" t="s">
        <v>16161</v>
      </c>
      <c r="F3409" t="s">
        <v>22436</v>
      </c>
      <c r="G3409" t="s">
        <v>22444</v>
      </c>
      <c r="H3409" t="s">
        <v>22452</v>
      </c>
      <c r="I3409" t="s">
        <v>22469</v>
      </c>
      <c r="J3409" t="s">
        <v>22802</v>
      </c>
      <c r="K3409" t="s">
        <v>29329</v>
      </c>
      <c r="M3409" t="s">
        <v>30857</v>
      </c>
      <c r="N3409" t="s">
        <v>32524</v>
      </c>
      <c r="O3409" t="s">
        <v>32525</v>
      </c>
      <c r="P3409">
        <v>0</v>
      </c>
      <c r="Q3409">
        <v>3</v>
      </c>
      <c r="R3409" t="s">
        <v>32529</v>
      </c>
      <c r="S3409" t="s">
        <v>32562</v>
      </c>
      <c r="T3409" t="s">
        <v>33405</v>
      </c>
      <c r="U3409" t="s">
        <v>36516</v>
      </c>
      <c r="W3409" t="s">
        <v>30857</v>
      </c>
      <c r="X3409" t="s">
        <v>32530</v>
      </c>
    </row>
    <row r="3410" spans="1:24">
      <c r="A3410">
        <f>HYPERLINK("https://www.philgeps.gov.ph/GEPSNONPILOT/Tender/SplashBidNoticeAbstractUI.aspx?menuIndex=3&amp;refID=7043401&amp;Result=3","7043401")</f>
        <v>0</v>
      </c>
      <c r="B3410" t="s">
        <v>265</v>
      </c>
      <c r="C3410" t="s">
        <v>5936</v>
      </c>
      <c r="D3410" t="s">
        <v>13024</v>
      </c>
      <c r="E3410" t="s">
        <v>16162</v>
      </c>
      <c r="F3410" t="s">
        <v>22437</v>
      </c>
      <c r="G3410" t="s">
        <v>22444</v>
      </c>
      <c r="H3410" t="s">
        <v>22453</v>
      </c>
      <c r="I3410" t="s">
        <v>22537</v>
      </c>
      <c r="J3410" t="s">
        <v>23610</v>
      </c>
      <c r="K3410" t="s">
        <v>29335</v>
      </c>
      <c r="M3410" t="s">
        <v>29839</v>
      </c>
      <c r="N3410" t="s">
        <v>32524</v>
      </c>
      <c r="O3410" t="s">
        <v>32525</v>
      </c>
      <c r="P3410">
        <v>0</v>
      </c>
      <c r="Q3410">
        <v>1</v>
      </c>
      <c r="R3410" t="s">
        <v>32529</v>
      </c>
      <c r="S3410" t="s">
        <v>32562</v>
      </c>
      <c r="T3410" t="s">
        <v>33409</v>
      </c>
      <c r="U3410" t="s">
        <v>36517</v>
      </c>
      <c r="W3410" t="s">
        <v>29839</v>
      </c>
      <c r="X3410" t="s">
        <v>32530</v>
      </c>
    </row>
    <row r="3411" spans="1:24">
      <c r="A3411">
        <f>HYPERLINK("https://www.philgeps.gov.ph/GEPSNONPILOT/Tender/SplashBidNoticeAbstractUI.aspx?menuIndex=3&amp;refID=7043422&amp;Result=3","7043422")</f>
        <v>0</v>
      </c>
      <c r="B3411" t="s">
        <v>1206</v>
      </c>
      <c r="C3411" t="s">
        <v>5937</v>
      </c>
      <c r="D3411" t="s">
        <v>13014</v>
      </c>
      <c r="E3411" t="s">
        <v>16163</v>
      </c>
      <c r="F3411" t="s">
        <v>22436</v>
      </c>
      <c r="G3411" t="s">
        <v>22444</v>
      </c>
      <c r="H3411" t="s">
        <v>22454</v>
      </c>
      <c r="I3411" t="s">
        <v>7738</v>
      </c>
      <c r="J3411" t="s">
        <v>24908</v>
      </c>
      <c r="K3411" t="s">
        <v>29345</v>
      </c>
      <c r="M3411" t="s">
        <v>30855</v>
      </c>
      <c r="N3411" t="s">
        <v>32524</v>
      </c>
      <c r="O3411" t="s">
        <v>32525</v>
      </c>
      <c r="P3411">
        <v>0</v>
      </c>
      <c r="Q3411">
        <v>0</v>
      </c>
      <c r="R3411" t="s">
        <v>32529</v>
      </c>
      <c r="S3411" t="s">
        <v>32562</v>
      </c>
      <c r="T3411" t="s">
        <v>33345</v>
      </c>
      <c r="U3411" t="s">
        <v>36518</v>
      </c>
      <c r="W3411" t="s">
        <v>30855</v>
      </c>
      <c r="X3411" t="s">
        <v>32530</v>
      </c>
    </row>
    <row r="3412" spans="1:24">
      <c r="A3412">
        <f>HYPERLINK("https://www.philgeps.gov.ph/GEPSNONPILOT/Tender/SplashBidNoticeAbstractUI.aspx?menuIndex=3&amp;refID=7043407&amp;Result=3","7043407")</f>
        <v>0</v>
      </c>
      <c r="B3412" t="s">
        <v>1207</v>
      </c>
      <c r="C3412" t="s">
        <v>5938</v>
      </c>
      <c r="D3412" t="s">
        <v>13066</v>
      </c>
      <c r="E3412" t="s">
        <v>16164</v>
      </c>
      <c r="F3412" t="s">
        <v>22436</v>
      </c>
      <c r="G3412" t="s">
        <v>22444</v>
      </c>
      <c r="H3412" t="s">
        <v>22452</v>
      </c>
      <c r="I3412" t="s">
        <v>3529</v>
      </c>
      <c r="J3412" t="s">
        <v>24909</v>
      </c>
      <c r="K3412" t="s">
        <v>29338</v>
      </c>
      <c r="M3412" t="s">
        <v>30856</v>
      </c>
      <c r="N3412" t="s">
        <v>32524</v>
      </c>
      <c r="O3412" t="s">
        <v>32525</v>
      </c>
      <c r="P3412">
        <v>0</v>
      </c>
      <c r="Q3412">
        <v>0</v>
      </c>
      <c r="R3412" t="s">
        <v>32529</v>
      </c>
      <c r="S3412" t="s">
        <v>32562</v>
      </c>
      <c r="T3412" t="s">
        <v>33180</v>
      </c>
      <c r="U3412" t="s">
        <v>36519</v>
      </c>
      <c r="W3412" t="s">
        <v>30856</v>
      </c>
      <c r="X3412" t="s">
        <v>32530</v>
      </c>
    </row>
    <row r="3413" spans="1:24">
      <c r="A3413">
        <f>HYPERLINK("https://www.philgeps.gov.ph/GEPSNONPILOT/Tender/SplashBidNoticeAbstractUI.aspx?menuIndex=3&amp;refID=7043344&amp;Result=3","7043344")</f>
        <v>0</v>
      </c>
      <c r="B3413" t="s">
        <v>1204</v>
      </c>
      <c r="C3413" t="s">
        <v>5939</v>
      </c>
      <c r="D3413" t="s">
        <v>13061</v>
      </c>
      <c r="E3413" t="s">
        <v>16165</v>
      </c>
      <c r="F3413" t="s">
        <v>22436</v>
      </c>
      <c r="G3413" t="s">
        <v>22445</v>
      </c>
      <c r="H3413" t="s">
        <v>22452</v>
      </c>
      <c r="I3413" t="s">
        <v>22469</v>
      </c>
      <c r="J3413" t="s">
        <v>22874</v>
      </c>
      <c r="K3413" t="s">
        <v>29341</v>
      </c>
      <c r="M3413" t="s">
        <v>30852</v>
      </c>
      <c r="N3413" t="s">
        <v>32524</v>
      </c>
      <c r="O3413" t="s">
        <v>32525</v>
      </c>
      <c r="P3413">
        <v>0</v>
      </c>
      <c r="Q3413">
        <v>3</v>
      </c>
      <c r="R3413" t="s">
        <v>32529</v>
      </c>
      <c r="S3413" t="s">
        <v>32562</v>
      </c>
      <c r="T3413" t="s">
        <v>33229</v>
      </c>
      <c r="U3413" t="s">
        <v>36506</v>
      </c>
      <c r="V3413" t="s">
        <v>42756</v>
      </c>
      <c r="W3413" t="s">
        <v>30852</v>
      </c>
      <c r="X3413" t="s">
        <v>32530</v>
      </c>
    </row>
    <row r="3414" spans="1:24">
      <c r="A3414">
        <f>HYPERLINK("https://www.philgeps.gov.ph/GEPSNONPILOT/Tender/SplashBidNoticeAbstractUI.aspx?menuIndex=3&amp;refID=7043441&amp;Result=3","7043441")</f>
        <v>0</v>
      </c>
      <c r="B3414" t="s">
        <v>846</v>
      </c>
      <c r="C3414" t="s">
        <v>5940</v>
      </c>
      <c r="D3414" t="s">
        <v>13017</v>
      </c>
      <c r="E3414" t="s">
        <v>16166</v>
      </c>
      <c r="F3414" t="s">
        <v>22436</v>
      </c>
      <c r="G3414" t="s">
        <v>22444</v>
      </c>
      <c r="H3414" t="s">
        <v>22454</v>
      </c>
      <c r="I3414" t="s">
        <v>7738</v>
      </c>
      <c r="J3414" t="s">
        <v>24910</v>
      </c>
      <c r="K3414" t="s">
        <v>29446</v>
      </c>
      <c r="M3414" t="s">
        <v>30452</v>
      </c>
      <c r="N3414" t="s">
        <v>32524</v>
      </c>
      <c r="O3414" t="s">
        <v>32525</v>
      </c>
      <c r="P3414">
        <v>0</v>
      </c>
      <c r="Q3414">
        <v>0</v>
      </c>
      <c r="R3414" t="s">
        <v>32529</v>
      </c>
      <c r="S3414" t="s">
        <v>32562</v>
      </c>
      <c r="T3414" t="s">
        <v>33345</v>
      </c>
      <c r="U3414" t="s">
        <v>36520</v>
      </c>
      <c r="V3414" t="s">
        <v>42758</v>
      </c>
      <c r="W3414" t="s">
        <v>30452</v>
      </c>
      <c r="X3414" t="s">
        <v>32530</v>
      </c>
    </row>
    <row r="3415" spans="1:24">
      <c r="A3415">
        <f>HYPERLINK("https://www.philgeps.gov.ph/GEPSNONPILOT/Tender/SplashBidNoticeAbstractUI.aspx?menuIndex=3&amp;refID=7043343&amp;Result=3","7043343")</f>
        <v>0</v>
      </c>
      <c r="B3415" t="s">
        <v>86</v>
      </c>
      <c r="C3415" t="s">
        <v>5941</v>
      </c>
      <c r="D3415" t="s">
        <v>13021</v>
      </c>
      <c r="E3415" t="s">
        <v>16167</v>
      </c>
      <c r="F3415" t="s">
        <v>22436</v>
      </c>
      <c r="G3415" t="s">
        <v>22443</v>
      </c>
      <c r="H3415" t="s">
        <v>22452</v>
      </c>
      <c r="I3415" t="s">
        <v>22485</v>
      </c>
      <c r="J3415" t="s">
        <v>22874</v>
      </c>
      <c r="K3415" t="s">
        <v>29386</v>
      </c>
      <c r="M3415" t="s">
        <v>29658</v>
      </c>
      <c r="N3415" t="s">
        <v>32524</v>
      </c>
      <c r="O3415" t="s">
        <v>32525</v>
      </c>
      <c r="P3415">
        <v>0</v>
      </c>
      <c r="Q3415">
        <v>4</v>
      </c>
      <c r="R3415" t="s">
        <v>32529</v>
      </c>
      <c r="S3415" t="s">
        <v>32562</v>
      </c>
      <c r="T3415" t="s">
        <v>33322</v>
      </c>
      <c r="U3415" t="s">
        <v>36521</v>
      </c>
      <c r="W3415" t="s">
        <v>29658</v>
      </c>
      <c r="X3415" t="s">
        <v>32530</v>
      </c>
    </row>
    <row r="3416" spans="1:24">
      <c r="A3416">
        <f>HYPERLINK("https://www.philgeps.gov.ph/GEPSNONPILOT/Tender/SplashBidNoticeAbstractUI.aspx?menuIndex=3&amp;refID=7043442&amp;Result=3","7043442")</f>
        <v>0</v>
      </c>
      <c r="B3416" t="s">
        <v>1209</v>
      </c>
      <c r="C3416" t="s">
        <v>5942</v>
      </c>
      <c r="E3416" t="s">
        <v>16168</v>
      </c>
      <c r="F3416" t="s">
        <v>22436</v>
      </c>
      <c r="G3416" t="s">
        <v>22444</v>
      </c>
      <c r="H3416" t="s">
        <v>22452</v>
      </c>
      <c r="I3416" t="s">
        <v>22557</v>
      </c>
      <c r="J3416" t="s">
        <v>24911</v>
      </c>
      <c r="K3416" t="s">
        <v>29338</v>
      </c>
      <c r="M3416" t="s">
        <v>30858</v>
      </c>
      <c r="N3416" t="s">
        <v>32524</v>
      </c>
      <c r="O3416" t="s">
        <v>32525</v>
      </c>
      <c r="P3416">
        <v>0</v>
      </c>
      <c r="Q3416">
        <v>0</v>
      </c>
      <c r="R3416" t="s">
        <v>32529</v>
      </c>
      <c r="S3416" t="s">
        <v>32562</v>
      </c>
      <c r="T3416" t="s">
        <v>33256</v>
      </c>
      <c r="U3416" t="s">
        <v>36522</v>
      </c>
      <c r="W3416" t="s">
        <v>30858</v>
      </c>
      <c r="X3416" t="s">
        <v>32530</v>
      </c>
    </row>
    <row r="3417" spans="1:24">
      <c r="A3417">
        <f>HYPERLINK("https://www.philgeps.gov.ph/GEPSNONPILOT/Tender/SplashBidNoticeAbstractUI.aspx?menuIndex=3&amp;refID=7043342&amp;Result=3","7043342")</f>
        <v>0</v>
      </c>
      <c r="B3417" t="s">
        <v>1202</v>
      </c>
      <c r="C3417" t="s">
        <v>5943</v>
      </c>
      <c r="D3417" t="s">
        <v>13060</v>
      </c>
      <c r="E3417" t="s">
        <v>16169</v>
      </c>
      <c r="F3417" t="s">
        <v>22436</v>
      </c>
      <c r="G3417" t="s">
        <v>22444</v>
      </c>
      <c r="H3417" t="s">
        <v>22452</v>
      </c>
      <c r="I3417" t="s">
        <v>22467</v>
      </c>
      <c r="J3417" t="s">
        <v>24912</v>
      </c>
      <c r="K3417" t="s">
        <v>29362</v>
      </c>
      <c r="M3417" t="s">
        <v>30850</v>
      </c>
      <c r="N3417" t="s">
        <v>32524</v>
      </c>
      <c r="O3417" t="s">
        <v>32525</v>
      </c>
      <c r="P3417">
        <v>0</v>
      </c>
      <c r="Q3417">
        <v>0</v>
      </c>
      <c r="R3417" t="s">
        <v>32529</v>
      </c>
      <c r="S3417" t="s">
        <v>32562</v>
      </c>
      <c r="T3417" t="s">
        <v>33407</v>
      </c>
      <c r="U3417" t="s">
        <v>36523</v>
      </c>
      <c r="W3417" t="s">
        <v>30850</v>
      </c>
      <c r="X3417" t="s">
        <v>32530</v>
      </c>
    </row>
    <row r="3418" spans="1:24">
      <c r="A3418">
        <f>HYPERLINK("https://www.philgeps.gov.ph/GEPSNONPILOT/Tender/SplashBidNoticeAbstractUI.aspx?menuIndex=3&amp;refID=7043455&amp;Result=3","7043455")</f>
        <v>0</v>
      </c>
      <c r="B3418" t="s">
        <v>1206</v>
      </c>
      <c r="C3418" t="s">
        <v>5944</v>
      </c>
      <c r="D3418" t="s">
        <v>13014</v>
      </c>
      <c r="E3418" t="s">
        <v>16170</v>
      </c>
      <c r="F3418" t="s">
        <v>22436</v>
      </c>
      <c r="G3418" t="s">
        <v>22444</v>
      </c>
      <c r="H3418" t="s">
        <v>22454</v>
      </c>
      <c r="I3418" t="s">
        <v>7738</v>
      </c>
      <c r="J3418" t="s">
        <v>24913</v>
      </c>
      <c r="K3418" t="s">
        <v>29401</v>
      </c>
      <c r="M3418" t="s">
        <v>30855</v>
      </c>
      <c r="N3418" t="s">
        <v>32524</v>
      </c>
      <c r="O3418" t="s">
        <v>32525</v>
      </c>
      <c r="P3418">
        <v>0</v>
      </c>
      <c r="Q3418">
        <v>0</v>
      </c>
      <c r="R3418" t="s">
        <v>32529</v>
      </c>
      <c r="S3418" t="s">
        <v>32562</v>
      </c>
      <c r="T3418" t="s">
        <v>33297</v>
      </c>
      <c r="U3418" t="s">
        <v>36512</v>
      </c>
      <c r="W3418" t="s">
        <v>30855</v>
      </c>
      <c r="X3418" t="s">
        <v>32530</v>
      </c>
    </row>
    <row r="3419" spans="1:24">
      <c r="A3419">
        <f>HYPERLINK("https://www.philgeps.gov.ph/GEPSNONPILOT/Tender/SplashBidNoticeAbstractUI.aspx?menuIndex=3&amp;refID=7043461&amp;Result=3","7043461")</f>
        <v>0</v>
      </c>
      <c r="B3419" t="s">
        <v>1210</v>
      </c>
      <c r="C3419" t="s">
        <v>5945</v>
      </c>
      <c r="D3419" t="s">
        <v>13022</v>
      </c>
      <c r="E3419" t="s">
        <v>16171</v>
      </c>
      <c r="F3419" t="s">
        <v>22436</v>
      </c>
      <c r="G3419" t="s">
        <v>22444</v>
      </c>
      <c r="H3419" t="s">
        <v>22452</v>
      </c>
      <c r="I3419" t="s">
        <v>22499</v>
      </c>
      <c r="J3419" t="s">
        <v>22605</v>
      </c>
      <c r="K3419" t="s">
        <v>29357</v>
      </c>
      <c r="M3419" t="s">
        <v>30859</v>
      </c>
      <c r="N3419" t="s">
        <v>32524</v>
      </c>
      <c r="O3419" t="s">
        <v>32525</v>
      </c>
      <c r="P3419">
        <v>0</v>
      </c>
      <c r="Q3419">
        <v>0</v>
      </c>
      <c r="R3419" t="s">
        <v>32529</v>
      </c>
      <c r="S3419" t="s">
        <v>32562</v>
      </c>
      <c r="T3419" t="s">
        <v>33206</v>
      </c>
      <c r="U3419" t="s">
        <v>36524</v>
      </c>
      <c r="W3419" t="s">
        <v>30859</v>
      </c>
      <c r="X3419" t="s">
        <v>32530</v>
      </c>
    </row>
    <row r="3420" spans="1:24">
      <c r="A3420">
        <f>HYPERLINK("https://www.philgeps.gov.ph/GEPSNONPILOT/Tender/SplashBidNoticeAbstractUI.aspx?menuIndex=3&amp;refID=7043447&amp;Result=3","7043447")</f>
        <v>0</v>
      </c>
      <c r="B3420" t="s">
        <v>1206</v>
      </c>
      <c r="C3420" t="s">
        <v>5946</v>
      </c>
      <c r="D3420" t="s">
        <v>13014</v>
      </c>
      <c r="E3420" t="s">
        <v>16172</v>
      </c>
      <c r="F3420" t="s">
        <v>22436</v>
      </c>
      <c r="G3420" t="s">
        <v>22444</v>
      </c>
      <c r="H3420" t="s">
        <v>22454</v>
      </c>
      <c r="I3420" t="s">
        <v>7738</v>
      </c>
      <c r="J3420" t="s">
        <v>24914</v>
      </c>
      <c r="K3420" t="s">
        <v>29408</v>
      </c>
      <c r="M3420" t="s">
        <v>30855</v>
      </c>
      <c r="N3420" t="s">
        <v>32524</v>
      </c>
      <c r="O3420" t="s">
        <v>32525</v>
      </c>
      <c r="P3420">
        <v>0</v>
      </c>
      <c r="Q3420">
        <v>0</v>
      </c>
      <c r="R3420" t="s">
        <v>32529</v>
      </c>
      <c r="S3420" t="s">
        <v>32562</v>
      </c>
      <c r="T3420" t="s">
        <v>33345</v>
      </c>
      <c r="U3420" t="s">
        <v>36525</v>
      </c>
      <c r="W3420" t="s">
        <v>30855</v>
      </c>
      <c r="X3420" t="s">
        <v>32530</v>
      </c>
    </row>
    <row r="3421" spans="1:24">
      <c r="A3421">
        <f>HYPERLINK("https://www.philgeps.gov.ph/GEPSNONPILOT/Tender/SplashBidNoticeAbstractUI.aspx?menuIndex=3&amp;refID=7043341&amp;Result=3","7043341")</f>
        <v>0</v>
      </c>
      <c r="B3421" t="s">
        <v>1204</v>
      </c>
      <c r="C3421" t="s">
        <v>5947</v>
      </c>
      <c r="D3421" t="s">
        <v>13061</v>
      </c>
      <c r="E3421" t="s">
        <v>16173</v>
      </c>
      <c r="F3421" t="s">
        <v>22436</v>
      </c>
      <c r="G3421" t="s">
        <v>22443</v>
      </c>
      <c r="H3421" t="s">
        <v>22452</v>
      </c>
      <c r="I3421" t="s">
        <v>22466</v>
      </c>
      <c r="J3421" t="s">
        <v>22694</v>
      </c>
      <c r="K3421" t="s">
        <v>29337</v>
      </c>
      <c r="M3421" t="s">
        <v>30852</v>
      </c>
      <c r="N3421" t="s">
        <v>32524</v>
      </c>
      <c r="O3421" t="s">
        <v>32525</v>
      </c>
      <c r="P3421">
        <v>0</v>
      </c>
      <c r="Q3421">
        <v>8</v>
      </c>
      <c r="R3421" t="s">
        <v>32529</v>
      </c>
      <c r="S3421" t="s">
        <v>32562</v>
      </c>
      <c r="T3421" t="s">
        <v>33229</v>
      </c>
      <c r="U3421" t="s">
        <v>36506</v>
      </c>
      <c r="V3421" t="s">
        <v>42756</v>
      </c>
      <c r="W3421" t="s">
        <v>30852</v>
      </c>
      <c r="X3421" t="s">
        <v>32530</v>
      </c>
    </row>
    <row r="3422" spans="1:24">
      <c r="A3422">
        <f>HYPERLINK("https://www.philgeps.gov.ph/GEPSNONPILOT/Tender/SplashBidNoticeAbstractUI.aspx?menuIndex=3&amp;refID=7043448&amp;Result=3","7043448")</f>
        <v>0</v>
      </c>
      <c r="B3422" t="s">
        <v>1207</v>
      </c>
      <c r="C3422" t="s">
        <v>5948</v>
      </c>
      <c r="D3422" t="s">
        <v>13066</v>
      </c>
      <c r="E3422" t="s">
        <v>16174</v>
      </c>
      <c r="F3422" t="s">
        <v>22436</v>
      </c>
      <c r="G3422" t="s">
        <v>22444</v>
      </c>
      <c r="H3422" t="s">
        <v>22452</v>
      </c>
      <c r="I3422" t="s">
        <v>3529</v>
      </c>
      <c r="J3422" t="s">
        <v>24915</v>
      </c>
      <c r="K3422" t="s">
        <v>29338</v>
      </c>
      <c r="M3422" t="s">
        <v>30856</v>
      </c>
      <c r="N3422" t="s">
        <v>32524</v>
      </c>
      <c r="O3422" t="s">
        <v>32525</v>
      </c>
      <c r="P3422">
        <v>0</v>
      </c>
      <c r="Q3422">
        <v>0</v>
      </c>
      <c r="R3422" t="s">
        <v>32529</v>
      </c>
      <c r="S3422" t="s">
        <v>32562</v>
      </c>
      <c r="T3422" t="s">
        <v>33180</v>
      </c>
      <c r="U3422" t="s">
        <v>36526</v>
      </c>
      <c r="W3422" t="s">
        <v>30856</v>
      </c>
      <c r="X3422" t="s">
        <v>32530</v>
      </c>
    </row>
    <row r="3423" spans="1:24">
      <c r="A3423">
        <f>HYPERLINK("https://www.philgeps.gov.ph/GEPSNONPILOT/Tender/SplashBidNoticeAbstractUI.aspx?menuIndex=3&amp;refID=7043346&amp;Result=3","7043346")</f>
        <v>0</v>
      </c>
      <c r="B3423" t="s">
        <v>1202</v>
      </c>
      <c r="C3423" t="s">
        <v>5949</v>
      </c>
      <c r="D3423" t="s">
        <v>13060</v>
      </c>
      <c r="E3423" t="s">
        <v>16175</v>
      </c>
      <c r="F3423" t="s">
        <v>22436</v>
      </c>
      <c r="G3423" t="s">
        <v>22443</v>
      </c>
      <c r="H3423" t="s">
        <v>22452</v>
      </c>
      <c r="I3423" t="s">
        <v>3827</v>
      </c>
      <c r="J3423" t="s">
        <v>22657</v>
      </c>
      <c r="K3423" t="s">
        <v>29360</v>
      </c>
      <c r="M3423" t="s">
        <v>30850</v>
      </c>
      <c r="N3423" t="s">
        <v>32524</v>
      </c>
      <c r="O3423" t="s">
        <v>32525</v>
      </c>
      <c r="P3423">
        <v>0</v>
      </c>
      <c r="Q3423">
        <v>0</v>
      </c>
      <c r="R3423" t="s">
        <v>32529</v>
      </c>
      <c r="S3423" t="s">
        <v>32562</v>
      </c>
      <c r="T3423" t="s">
        <v>33371</v>
      </c>
      <c r="U3423" t="s">
        <v>36527</v>
      </c>
      <c r="W3423" t="s">
        <v>30850</v>
      </c>
      <c r="X3423" t="s">
        <v>32530</v>
      </c>
    </row>
    <row r="3424" spans="1:24">
      <c r="A3424">
        <f>HYPERLINK("https://www.philgeps.gov.ph/GEPSNONPILOT/Tender/SplashBidNoticeAbstractUI.aspx?menuIndex=3&amp;refID=7043503&amp;Result=3","7043503")</f>
        <v>0</v>
      </c>
      <c r="B3424" t="s">
        <v>1211</v>
      </c>
      <c r="C3424" t="s">
        <v>5950</v>
      </c>
      <c r="D3424" t="s">
        <v>13051</v>
      </c>
      <c r="E3424" t="s">
        <v>13190</v>
      </c>
      <c r="F3424" t="s">
        <v>22436</v>
      </c>
      <c r="G3424" t="s">
        <v>22444</v>
      </c>
      <c r="H3424" t="s">
        <v>22454</v>
      </c>
      <c r="I3424" t="s">
        <v>7738</v>
      </c>
      <c r="J3424" t="s">
        <v>24916</v>
      </c>
      <c r="K3424" t="s">
        <v>29337</v>
      </c>
      <c r="M3424" t="s">
        <v>30860</v>
      </c>
      <c r="N3424" t="s">
        <v>32524</v>
      </c>
      <c r="O3424" t="s">
        <v>32525</v>
      </c>
      <c r="P3424">
        <v>0</v>
      </c>
      <c r="Q3424">
        <v>0</v>
      </c>
      <c r="R3424" t="s">
        <v>32529</v>
      </c>
      <c r="S3424" t="s">
        <v>32562</v>
      </c>
      <c r="T3424" t="s">
        <v>33230</v>
      </c>
      <c r="U3424" t="s">
        <v>36528</v>
      </c>
      <c r="W3424" t="s">
        <v>30860</v>
      </c>
      <c r="X3424" t="s">
        <v>32530</v>
      </c>
    </row>
    <row r="3425" spans="1:24">
      <c r="A3425">
        <f>HYPERLINK("https://www.philgeps.gov.ph/GEPSNONPILOT/Tender/SplashBidNoticeAbstractUI.aspx?menuIndex=3&amp;refID=7043486&amp;Result=3","7043486")</f>
        <v>0</v>
      </c>
      <c r="B3425" t="s">
        <v>740</v>
      </c>
      <c r="C3425" t="s">
        <v>5951</v>
      </c>
      <c r="D3425" t="s">
        <v>13002</v>
      </c>
      <c r="E3425" t="s">
        <v>16176</v>
      </c>
      <c r="F3425" t="s">
        <v>22436</v>
      </c>
      <c r="G3425" t="s">
        <v>22444</v>
      </c>
      <c r="H3425" t="s">
        <v>22454</v>
      </c>
      <c r="I3425" t="s">
        <v>7738</v>
      </c>
      <c r="J3425" t="s">
        <v>24917</v>
      </c>
      <c r="K3425" t="s">
        <v>29333</v>
      </c>
      <c r="M3425" t="s">
        <v>30341</v>
      </c>
      <c r="N3425" t="s">
        <v>32524</v>
      </c>
      <c r="O3425" t="s">
        <v>32525</v>
      </c>
      <c r="P3425">
        <v>0</v>
      </c>
      <c r="Q3425">
        <v>0</v>
      </c>
      <c r="R3425" t="s">
        <v>32529</v>
      </c>
      <c r="S3425" t="s">
        <v>32562</v>
      </c>
      <c r="T3425" t="s">
        <v>33242</v>
      </c>
      <c r="U3425" t="s">
        <v>36529</v>
      </c>
      <c r="W3425" t="s">
        <v>30341</v>
      </c>
      <c r="X3425" t="s">
        <v>32530</v>
      </c>
    </row>
    <row r="3426" spans="1:24">
      <c r="A3426">
        <f>HYPERLINK("https://www.philgeps.gov.ph/GEPSNONPILOT/Tender/SplashBidNoticeAbstractUI.aspx?menuIndex=3&amp;refID=7043494&amp;Result=3","7043494")</f>
        <v>0</v>
      </c>
      <c r="B3426" t="s">
        <v>595</v>
      </c>
      <c r="C3426" t="s">
        <v>5952</v>
      </c>
      <c r="D3426" t="s">
        <v>12988</v>
      </c>
      <c r="E3426" t="s">
        <v>16177</v>
      </c>
      <c r="F3426" t="s">
        <v>22436</v>
      </c>
      <c r="G3426" t="s">
        <v>22444</v>
      </c>
      <c r="H3426" t="s">
        <v>22452</v>
      </c>
      <c r="I3426" t="s">
        <v>22499</v>
      </c>
      <c r="J3426" t="s">
        <v>23053</v>
      </c>
      <c r="K3426" t="s">
        <v>29336</v>
      </c>
      <c r="M3426" t="s">
        <v>30185</v>
      </c>
      <c r="N3426" t="s">
        <v>32524</v>
      </c>
      <c r="O3426" t="s">
        <v>32525</v>
      </c>
      <c r="P3426">
        <v>0</v>
      </c>
      <c r="Q3426">
        <v>1</v>
      </c>
      <c r="R3426" t="s">
        <v>32529</v>
      </c>
      <c r="S3426" t="s">
        <v>32562</v>
      </c>
      <c r="T3426" t="s">
        <v>33199</v>
      </c>
      <c r="U3426" t="s">
        <v>36530</v>
      </c>
      <c r="W3426" t="s">
        <v>30185</v>
      </c>
      <c r="X3426" t="s">
        <v>32530</v>
      </c>
    </row>
    <row r="3427" spans="1:24">
      <c r="A3427">
        <f>HYPERLINK("https://www.philgeps.gov.ph/GEPSNONPILOT/Tender/SplashBidNoticeAbstractUI.aspx?menuIndex=3&amp;refID=7043474&amp;Result=3","7043474")</f>
        <v>0</v>
      </c>
      <c r="B3427" t="s">
        <v>1212</v>
      </c>
      <c r="C3427" t="s">
        <v>5953</v>
      </c>
      <c r="D3427" t="s">
        <v>13022</v>
      </c>
      <c r="E3427" t="s">
        <v>16178</v>
      </c>
      <c r="F3427" t="s">
        <v>22436</v>
      </c>
      <c r="G3427" t="s">
        <v>22443</v>
      </c>
      <c r="H3427" t="s">
        <v>22452</v>
      </c>
      <c r="I3427" t="s">
        <v>22467</v>
      </c>
      <c r="J3427" t="s">
        <v>24918</v>
      </c>
      <c r="K3427" t="s">
        <v>29338</v>
      </c>
      <c r="M3427" t="s">
        <v>30861</v>
      </c>
      <c r="N3427" t="s">
        <v>32524</v>
      </c>
      <c r="O3427" t="s">
        <v>32525</v>
      </c>
      <c r="P3427">
        <v>0</v>
      </c>
      <c r="Q3427">
        <v>0</v>
      </c>
      <c r="R3427" t="s">
        <v>32529</v>
      </c>
      <c r="S3427" t="s">
        <v>32562</v>
      </c>
      <c r="T3427" t="s">
        <v>33238</v>
      </c>
      <c r="U3427" t="s">
        <v>36531</v>
      </c>
      <c r="W3427" t="s">
        <v>30861</v>
      </c>
      <c r="X3427" t="s">
        <v>32530</v>
      </c>
    </row>
    <row r="3428" spans="1:24">
      <c r="A3428">
        <f>HYPERLINK("https://www.philgeps.gov.ph/GEPSNONPILOT/Tender/SplashBidNoticeAbstractUI.aspx?menuIndex=3&amp;refID=7043491&amp;Result=3","7043491")</f>
        <v>0</v>
      </c>
      <c r="B3428" t="s">
        <v>1213</v>
      </c>
      <c r="C3428" t="s">
        <v>5954</v>
      </c>
      <c r="D3428" t="s">
        <v>13022</v>
      </c>
      <c r="E3428" t="s">
        <v>16179</v>
      </c>
      <c r="F3428" t="s">
        <v>22436</v>
      </c>
      <c r="G3428" t="s">
        <v>22443</v>
      </c>
      <c r="H3428" t="s">
        <v>22452</v>
      </c>
      <c r="I3428" t="s">
        <v>3529</v>
      </c>
      <c r="J3428" t="s">
        <v>23191</v>
      </c>
      <c r="K3428" t="s">
        <v>29331</v>
      </c>
      <c r="M3428" t="s">
        <v>30862</v>
      </c>
      <c r="N3428" t="s">
        <v>32524</v>
      </c>
      <c r="O3428" t="s">
        <v>32525</v>
      </c>
      <c r="P3428">
        <v>0</v>
      </c>
      <c r="Q3428">
        <v>0</v>
      </c>
      <c r="R3428" t="s">
        <v>32529</v>
      </c>
      <c r="S3428" t="s">
        <v>32562</v>
      </c>
      <c r="T3428" t="s">
        <v>33178</v>
      </c>
      <c r="U3428" t="s">
        <v>36532</v>
      </c>
      <c r="V3428" t="s">
        <v>42759</v>
      </c>
      <c r="W3428" t="s">
        <v>30862</v>
      </c>
      <c r="X3428" t="s">
        <v>32530</v>
      </c>
    </row>
    <row r="3429" spans="1:24">
      <c r="A3429">
        <f>HYPERLINK("https://www.philgeps.gov.ph/GEPSNONPILOT/Tender/SplashBidNoticeAbstractUI.aspx?menuIndex=3&amp;refID=7043479&amp;Result=3","7043479")</f>
        <v>0</v>
      </c>
      <c r="B3429" t="s">
        <v>740</v>
      </c>
      <c r="C3429" t="s">
        <v>5955</v>
      </c>
      <c r="D3429" t="s">
        <v>13002</v>
      </c>
      <c r="E3429" t="s">
        <v>16180</v>
      </c>
      <c r="F3429" t="s">
        <v>22436</v>
      </c>
      <c r="G3429" t="s">
        <v>22444</v>
      </c>
      <c r="H3429" t="s">
        <v>22454</v>
      </c>
      <c r="I3429" t="s">
        <v>7738</v>
      </c>
      <c r="J3429" t="s">
        <v>22911</v>
      </c>
      <c r="K3429" t="s">
        <v>29333</v>
      </c>
      <c r="M3429" t="s">
        <v>30341</v>
      </c>
      <c r="N3429" t="s">
        <v>32524</v>
      </c>
      <c r="O3429" t="s">
        <v>32525</v>
      </c>
      <c r="P3429">
        <v>0</v>
      </c>
      <c r="Q3429">
        <v>0</v>
      </c>
      <c r="R3429" t="s">
        <v>32529</v>
      </c>
      <c r="S3429" t="s">
        <v>32562</v>
      </c>
      <c r="T3429" t="s">
        <v>33242</v>
      </c>
      <c r="U3429" t="s">
        <v>36533</v>
      </c>
      <c r="W3429" t="s">
        <v>30341</v>
      </c>
      <c r="X3429" t="s">
        <v>32530</v>
      </c>
    </row>
    <row r="3430" spans="1:24">
      <c r="A3430">
        <f>HYPERLINK("https://www.philgeps.gov.ph/GEPSNONPILOT/Tender/SplashBidNoticeAbstractUI.aspx?menuIndex=3&amp;refID=7043470&amp;Result=3","7043470")</f>
        <v>0</v>
      </c>
      <c r="B3430" t="s">
        <v>1214</v>
      </c>
      <c r="C3430" t="s">
        <v>5956</v>
      </c>
      <c r="D3430" t="s">
        <v>13029</v>
      </c>
      <c r="E3430" t="s">
        <v>5956</v>
      </c>
      <c r="F3430" t="s">
        <v>22436</v>
      </c>
      <c r="G3430" t="s">
        <v>22444</v>
      </c>
      <c r="H3430" t="s">
        <v>22454</v>
      </c>
      <c r="I3430" t="s">
        <v>7738</v>
      </c>
      <c r="J3430" t="s">
        <v>24919</v>
      </c>
      <c r="K3430" t="s">
        <v>29344</v>
      </c>
      <c r="M3430" t="s">
        <v>30863</v>
      </c>
      <c r="N3430" t="s">
        <v>32524</v>
      </c>
      <c r="O3430" t="s">
        <v>32525</v>
      </c>
      <c r="P3430">
        <v>0</v>
      </c>
      <c r="Q3430">
        <v>2</v>
      </c>
      <c r="R3430" t="s">
        <v>32529</v>
      </c>
      <c r="S3430" t="s">
        <v>32562</v>
      </c>
      <c r="T3430" t="s">
        <v>33170</v>
      </c>
      <c r="U3430" t="s">
        <v>36534</v>
      </c>
      <c r="W3430" t="s">
        <v>30863</v>
      </c>
      <c r="X3430" t="s">
        <v>32530</v>
      </c>
    </row>
    <row r="3431" spans="1:24">
      <c r="A3431">
        <f>HYPERLINK("https://www.philgeps.gov.ph/GEPSNONPILOT/Tender/SplashBidNoticeAbstractUI.aspx?menuIndex=3&amp;refID=7043506&amp;Result=3","7043506")</f>
        <v>0</v>
      </c>
      <c r="B3431" t="s">
        <v>799</v>
      </c>
      <c r="C3431" t="s">
        <v>5957</v>
      </c>
      <c r="D3431" t="s">
        <v>12988</v>
      </c>
      <c r="E3431" t="s">
        <v>16181</v>
      </c>
      <c r="F3431" t="s">
        <v>22436</v>
      </c>
      <c r="G3431" t="s">
        <v>22445</v>
      </c>
      <c r="H3431" t="s">
        <v>22452</v>
      </c>
      <c r="I3431" t="s">
        <v>3529</v>
      </c>
      <c r="J3431" t="s">
        <v>22585</v>
      </c>
      <c r="K3431" t="s">
        <v>29337</v>
      </c>
      <c r="M3431" t="s">
        <v>30864</v>
      </c>
      <c r="N3431" t="s">
        <v>32524</v>
      </c>
      <c r="O3431" t="s">
        <v>32525</v>
      </c>
      <c r="P3431">
        <v>0</v>
      </c>
      <c r="Q3431">
        <v>8</v>
      </c>
      <c r="R3431" t="s">
        <v>32529</v>
      </c>
      <c r="S3431" t="s">
        <v>32562</v>
      </c>
      <c r="T3431" t="s">
        <v>33310</v>
      </c>
      <c r="U3431" t="s">
        <v>36535</v>
      </c>
      <c r="V3431" t="s">
        <v>42760</v>
      </c>
      <c r="W3431" t="s">
        <v>30864</v>
      </c>
      <c r="X3431" t="s">
        <v>32530</v>
      </c>
    </row>
    <row r="3432" spans="1:24">
      <c r="A3432">
        <f>HYPERLINK("https://www.philgeps.gov.ph/GEPSNONPILOT/Tender/SplashBidNoticeAbstractUI.aspx?menuIndex=3&amp;refID=7043478&amp;Result=3","7043478")</f>
        <v>0</v>
      </c>
      <c r="B3432" t="s">
        <v>595</v>
      </c>
      <c r="C3432" t="s">
        <v>5958</v>
      </c>
      <c r="D3432" t="s">
        <v>12988</v>
      </c>
      <c r="E3432" t="s">
        <v>16182</v>
      </c>
      <c r="F3432" t="s">
        <v>22436</v>
      </c>
      <c r="G3432" t="s">
        <v>22443</v>
      </c>
      <c r="H3432" t="s">
        <v>22452</v>
      </c>
      <c r="I3432" t="s">
        <v>22499</v>
      </c>
      <c r="J3432" t="s">
        <v>22692</v>
      </c>
      <c r="K3432" t="s">
        <v>29336</v>
      </c>
      <c r="M3432" t="s">
        <v>30185</v>
      </c>
      <c r="N3432" t="s">
        <v>32524</v>
      </c>
      <c r="O3432" t="s">
        <v>32525</v>
      </c>
      <c r="P3432">
        <v>0</v>
      </c>
      <c r="Q3432">
        <v>3</v>
      </c>
      <c r="R3432" t="s">
        <v>32529</v>
      </c>
      <c r="S3432" t="s">
        <v>32562</v>
      </c>
      <c r="T3432" t="s">
        <v>33197</v>
      </c>
      <c r="U3432" t="s">
        <v>36536</v>
      </c>
      <c r="W3432" t="s">
        <v>30185</v>
      </c>
      <c r="X3432" t="s">
        <v>32530</v>
      </c>
    </row>
    <row r="3433" spans="1:24">
      <c r="A3433">
        <f>HYPERLINK("https://www.philgeps.gov.ph/GEPSNONPILOT/Tender/SplashBidNoticeAbstractUI.aspx?menuIndex=3&amp;refID=7043490&amp;Result=3","7043490")</f>
        <v>0</v>
      </c>
      <c r="B3433" t="s">
        <v>1215</v>
      </c>
      <c r="C3433" t="s">
        <v>5959</v>
      </c>
      <c r="D3433" t="s">
        <v>13022</v>
      </c>
      <c r="E3433" t="s">
        <v>16183</v>
      </c>
      <c r="F3433" t="s">
        <v>22436</v>
      </c>
      <c r="G3433" t="s">
        <v>22443</v>
      </c>
      <c r="H3433" t="s">
        <v>22455</v>
      </c>
      <c r="I3433" t="s">
        <v>22455</v>
      </c>
      <c r="J3433" t="s">
        <v>23120</v>
      </c>
      <c r="K3433" t="s">
        <v>29361</v>
      </c>
      <c r="M3433" t="s">
        <v>30865</v>
      </c>
      <c r="N3433" t="s">
        <v>32524</v>
      </c>
      <c r="O3433" t="s">
        <v>32525</v>
      </c>
      <c r="P3433">
        <v>0</v>
      </c>
      <c r="Q3433">
        <v>0</v>
      </c>
      <c r="R3433" t="s">
        <v>32529</v>
      </c>
      <c r="S3433" t="s">
        <v>32562</v>
      </c>
      <c r="T3433" t="s">
        <v>33206</v>
      </c>
      <c r="U3433" t="s">
        <v>36537</v>
      </c>
      <c r="V3433" t="s">
        <v>42761</v>
      </c>
      <c r="W3433" t="s">
        <v>30865</v>
      </c>
      <c r="X3433" t="s">
        <v>32530</v>
      </c>
    </row>
    <row r="3434" spans="1:24">
      <c r="A3434">
        <f>HYPERLINK("https://www.philgeps.gov.ph/GEPSNONPILOT/Tender/SplashBidNoticeAbstractUI.aspx?menuIndex=3&amp;refID=7043472&amp;Result=3","7043472")</f>
        <v>0</v>
      </c>
      <c r="B3434" t="s">
        <v>1206</v>
      </c>
      <c r="C3434" t="s">
        <v>5960</v>
      </c>
      <c r="D3434" t="s">
        <v>13014</v>
      </c>
      <c r="E3434" t="s">
        <v>16184</v>
      </c>
      <c r="F3434" t="s">
        <v>22436</v>
      </c>
      <c r="G3434" t="s">
        <v>22446</v>
      </c>
      <c r="H3434" t="s">
        <v>22452</v>
      </c>
      <c r="I3434" t="s">
        <v>22460</v>
      </c>
      <c r="J3434" t="s">
        <v>24920</v>
      </c>
      <c r="K3434" t="s">
        <v>29336</v>
      </c>
      <c r="M3434" t="s">
        <v>30855</v>
      </c>
      <c r="N3434" t="s">
        <v>32524</v>
      </c>
      <c r="O3434" t="s">
        <v>32525</v>
      </c>
      <c r="P3434">
        <v>0</v>
      </c>
      <c r="Q3434">
        <v>3</v>
      </c>
      <c r="R3434" t="s">
        <v>32529</v>
      </c>
      <c r="S3434" t="s">
        <v>32562</v>
      </c>
      <c r="T3434" t="s">
        <v>33220</v>
      </c>
      <c r="U3434" t="s">
        <v>36538</v>
      </c>
      <c r="W3434" t="s">
        <v>30855</v>
      </c>
      <c r="X3434" t="s">
        <v>32530</v>
      </c>
    </row>
    <row r="3435" spans="1:24">
      <c r="A3435">
        <f>HYPERLINK("https://www.philgeps.gov.ph/GEPSNONPILOT/Tender/SplashBidNoticeAbstractUI.aspx?menuIndex=3&amp;refID=7043465&amp;Result=3","7043465")</f>
        <v>0</v>
      </c>
      <c r="B3435" t="s">
        <v>848</v>
      </c>
      <c r="C3435" t="s">
        <v>5961</v>
      </c>
      <c r="E3435" t="s">
        <v>16185</v>
      </c>
      <c r="F3435" t="s">
        <v>22436</v>
      </c>
      <c r="G3435" t="s">
        <v>22446</v>
      </c>
      <c r="H3435" t="s">
        <v>22452</v>
      </c>
      <c r="I3435" t="s">
        <v>3827</v>
      </c>
      <c r="J3435" t="s">
        <v>22865</v>
      </c>
      <c r="K3435" t="s">
        <v>29338</v>
      </c>
      <c r="M3435" t="s">
        <v>30866</v>
      </c>
      <c r="N3435" t="s">
        <v>32524</v>
      </c>
      <c r="O3435" t="s">
        <v>32525</v>
      </c>
      <c r="P3435">
        <v>0</v>
      </c>
      <c r="Q3435">
        <v>10</v>
      </c>
      <c r="R3435" t="s">
        <v>32529</v>
      </c>
      <c r="S3435" t="s">
        <v>32562</v>
      </c>
      <c r="T3435" t="s">
        <v>33296</v>
      </c>
      <c r="U3435" t="s">
        <v>36539</v>
      </c>
      <c r="W3435" t="s">
        <v>30866</v>
      </c>
      <c r="X3435" t="s">
        <v>32530</v>
      </c>
    </row>
    <row r="3436" spans="1:24">
      <c r="A3436">
        <f>HYPERLINK("https://www.philgeps.gov.ph/GEPSNONPILOT/Tender/SplashBidNoticeAbstractUI.aspx?menuIndex=3&amp;refID=7043482&amp;Result=3","7043482")</f>
        <v>0</v>
      </c>
      <c r="B3436" t="s">
        <v>595</v>
      </c>
      <c r="C3436" t="s">
        <v>5962</v>
      </c>
      <c r="D3436" t="s">
        <v>12988</v>
      </c>
      <c r="E3436" t="s">
        <v>16186</v>
      </c>
      <c r="F3436" t="s">
        <v>22436</v>
      </c>
      <c r="G3436" t="s">
        <v>22444</v>
      </c>
      <c r="H3436" t="s">
        <v>22452</v>
      </c>
      <c r="I3436" t="s">
        <v>3122</v>
      </c>
      <c r="J3436" t="s">
        <v>24415</v>
      </c>
      <c r="K3436" t="s">
        <v>29336</v>
      </c>
      <c r="M3436" t="s">
        <v>30185</v>
      </c>
      <c r="N3436" t="s">
        <v>32524</v>
      </c>
      <c r="O3436" t="s">
        <v>32525</v>
      </c>
      <c r="P3436">
        <v>0</v>
      </c>
      <c r="Q3436">
        <v>0</v>
      </c>
      <c r="R3436" t="s">
        <v>32529</v>
      </c>
      <c r="S3436" t="s">
        <v>32562</v>
      </c>
      <c r="T3436" t="s">
        <v>33199</v>
      </c>
      <c r="U3436" t="s">
        <v>36540</v>
      </c>
      <c r="W3436" t="s">
        <v>30185</v>
      </c>
      <c r="X3436" t="s">
        <v>32530</v>
      </c>
    </row>
    <row r="3437" spans="1:24">
      <c r="A3437">
        <f>HYPERLINK("https://www.philgeps.gov.ph/GEPSNONPILOT/Tender/SplashBidNoticeAbstractUI.aspx?menuIndex=3&amp;refID=7043504&amp;Result=3","7043504")</f>
        <v>0</v>
      </c>
      <c r="B3437" t="s">
        <v>1213</v>
      </c>
      <c r="C3437" t="s">
        <v>5963</v>
      </c>
      <c r="D3437" t="s">
        <v>13022</v>
      </c>
      <c r="E3437" t="s">
        <v>16187</v>
      </c>
      <c r="F3437" t="s">
        <v>22436</v>
      </c>
      <c r="G3437" t="s">
        <v>22443</v>
      </c>
      <c r="H3437" t="s">
        <v>22452</v>
      </c>
      <c r="I3437" t="s">
        <v>3529</v>
      </c>
      <c r="J3437" t="s">
        <v>24921</v>
      </c>
      <c r="K3437" t="s">
        <v>29331</v>
      </c>
      <c r="M3437" t="s">
        <v>30862</v>
      </c>
      <c r="N3437" t="s">
        <v>32524</v>
      </c>
      <c r="O3437" t="s">
        <v>32525</v>
      </c>
      <c r="P3437">
        <v>0</v>
      </c>
      <c r="Q3437">
        <v>0</v>
      </c>
      <c r="R3437" t="s">
        <v>32529</v>
      </c>
      <c r="S3437" t="s">
        <v>32562</v>
      </c>
      <c r="T3437" t="s">
        <v>33178</v>
      </c>
      <c r="U3437" t="s">
        <v>36541</v>
      </c>
      <c r="V3437" t="s">
        <v>42759</v>
      </c>
      <c r="W3437" t="s">
        <v>30862</v>
      </c>
      <c r="X3437" t="s">
        <v>32530</v>
      </c>
    </row>
    <row r="3438" spans="1:24">
      <c r="A3438">
        <f>HYPERLINK("https://www.philgeps.gov.ph/GEPSNONPILOT/Tender/SplashBidNoticeAbstractUI.aspx?menuIndex=3&amp;refID=7043509&amp;Result=3","7043509")</f>
        <v>0</v>
      </c>
      <c r="B3438" t="s">
        <v>799</v>
      </c>
      <c r="C3438" t="s">
        <v>5964</v>
      </c>
      <c r="D3438" t="s">
        <v>12988</v>
      </c>
      <c r="E3438" t="s">
        <v>16188</v>
      </c>
      <c r="F3438" t="s">
        <v>22436</v>
      </c>
      <c r="G3438" t="s">
        <v>22445</v>
      </c>
      <c r="H3438" t="s">
        <v>22452</v>
      </c>
      <c r="I3438" t="s">
        <v>22549</v>
      </c>
      <c r="J3438" t="s">
        <v>22747</v>
      </c>
      <c r="K3438" t="s">
        <v>29337</v>
      </c>
      <c r="M3438" t="s">
        <v>30864</v>
      </c>
      <c r="N3438" t="s">
        <v>32524</v>
      </c>
      <c r="O3438" t="s">
        <v>32525</v>
      </c>
      <c r="P3438">
        <v>0</v>
      </c>
      <c r="Q3438">
        <v>8</v>
      </c>
      <c r="R3438" t="s">
        <v>32529</v>
      </c>
      <c r="S3438" t="s">
        <v>32562</v>
      </c>
      <c r="T3438" t="s">
        <v>33310</v>
      </c>
      <c r="U3438" t="s">
        <v>36535</v>
      </c>
      <c r="V3438" t="s">
        <v>42760</v>
      </c>
      <c r="W3438" t="s">
        <v>30864</v>
      </c>
      <c r="X3438" t="s">
        <v>32530</v>
      </c>
    </row>
    <row r="3439" spans="1:24">
      <c r="A3439">
        <f>HYPERLINK("https://www.philgeps.gov.ph/GEPSNONPILOT/Tender/SplashBidNoticeAbstractUI.aspx?menuIndex=3&amp;refID=7043539&amp;Result=3","7043539")</f>
        <v>0</v>
      </c>
      <c r="B3439" t="s">
        <v>595</v>
      </c>
      <c r="C3439" t="s">
        <v>5965</v>
      </c>
      <c r="D3439" t="s">
        <v>12988</v>
      </c>
      <c r="E3439" t="s">
        <v>16189</v>
      </c>
      <c r="F3439" t="s">
        <v>22436</v>
      </c>
      <c r="G3439" t="s">
        <v>22444</v>
      </c>
      <c r="H3439" t="s">
        <v>22452</v>
      </c>
      <c r="I3439" t="s">
        <v>4688</v>
      </c>
      <c r="J3439" t="s">
        <v>22589</v>
      </c>
      <c r="K3439" t="s">
        <v>29336</v>
      </c>
      <c r="M3439" t="s">
        <v>30185</v>
      </c>
      <c r="N3439" t="s">
        <v>32524</v>
      </c>
      <c r="O3439" t="s">
        <v>32525</v>
      </c>
      <c r="P3439">
        <v>0</v>
      </c>
      <c r="Q3439">
        <v>0</v>
      </c>
      <c r="R3439" t="s">
        <v>32529</v>
      </c>
      <c r="S3439" t="s">
        <v>32562</v>
      </c>
      <c r="T3439" t="s">
        <v>33260</v>
      </c>
      <c r="U3439" t="s">
        <v>36542</v>
      </c>
      <c r="W3439" t="s">
        <v>30185</v>
      </c>
      <c r="X3439" t="s">
        <v>32530</v>
      </c>
    </row>
    <row r="3440" spans="1:24">
      <c r="A3440">
        <f>HYPERLINK("https://www.philgeps.gov.ph/GEPSNONPILOT/Tender/SplashBidNoticeAbstractUI.aspx?menuIndex=3&amp;refID=7043535&amp;Result=3","7043535")</f>
        <v>0</v>
      </c>
      <c r="B3440" t="s">
        <v>718</v>
      </c>
      <c r="C3440" t="s">
        <v>5966</v>
      </c>
      <c r="D3440" t="s">
        <v>12988</v>
      </c>
      <c r="E3440" t="s">
        <v>16190</v>
      </c>
      <c r="F3440" t="s">
        <v>22436</v>
      </c>
      <c r="G3440" t="s">
        <v>22443</v>
      </c>
      <c r="H3440" t="s">
        <v>22452</v>
      </c>
      <c r="I3440" t="s">
        <v>22501</v>
      </c>
      <c r="J3440" t="s">
        <v>22616</v>
      </c>
      <c r="K3440" t="s">
        <v>29353</v>
      </c>
      <c r="M3440" t="s">
        <v>30315</v>
      </c>
      <c r="N3440" t="s">
        <v>32524</v>
      </c>
      <c r="O3440" t="s">
        <v>32525</v>
      </c>
      <c r="P3440">
        <v>0</v>
      </c>
      <c r="Q3440">
        <v>2</v>
      </c>
      <c r="R3440" t="s">
        <v>32529</v>
      </c>
      <c r="S3440" t="s">
        <v>32562</v>
      </c>
      <c r="T3440" t="s">
        <v>33372</v>
      </c>
      <c r="U3440" t="s">
        <v>36543</v>
      </c>
      <c r="V3440" t="s">
        <v>42590</v>
      </c>
      <c r="W3440" t="s">
        <v>30315</v>
      </c>
      <c r="X3440" t="s">
        <v>32530</v>
      </c>
    </row>
    <row r="3441" spans="1:24">
      <c r="A3441">
        <f>HYPERLINK("https://www.philgeps.gov.ph/GEPSNONPILOT/Tender/SplashBidNoticeAbstractUI.aspx?menuIndex=3&amp;refID=7043516&amp;Result=3","7043516")</f>
        <v>0</v>
      </c>
      <c r="B3441" t="s">
        <v>799</v>
      </c>
      <c r="C3441" t="s">
        <v>5967</v>
      </c>
      <c r="D3441" t="s">
        <v>12988</v>
      </c>
      <c r="E3441" t="s">
        <v>16191</v>
      </c>
      <c r="F3441" t="s">
        <v>22436</v>
      </c>
      <c r="G3441" t="s">
        <v>22445</v>
      </c>
      <c r="H3441" t="s">
        <v>22452</v>
      </c>
      <c r="I3441" t="s">
        <v>3827</v>
      </c>
      <c r="J3441" t="s">
        <v>22979</v>
      </c>
      <c r="K3441" t="s">
        <v>29342</v>
      </c>
      <c r="M3441" t="s">
        <v>30864</v>
      </c>
      <c r="N3441" t="s">
        <v>32524</v>
      </c>
      <c r="O3441" t="s">
        <v>32525</v>
      </c>
      <c r="P3441">
        <v>0</v>
      </c>
      <c r="Q3441">
        <v>13</v>
      </c>
      <c r="R3441" t="s">
        <v>32529</v>
      </c>
      <c r="S3441" t="s">
        <v>32562</v>
      </c>
      <c r="T3441" t="s">
        <v>33180</v>
      </c>
      <c r="U3441" t="s">
        <v>36535</v>
      </c>
      <c r="V3441" t="s">
        <v>42762</v>
      </c>
      <c r="W3441" t="s">
        <v>30864</v>
      </c>
      <c r="X3441" t="s">
        <v>32530</v>
      </c>
    </row>
    <row r="3442" spans="1:24">
      <c r="A3442">
        <f>HYPERLINK("https://www.philgeps.gov.ph/GEPSNONPILOT/Tender/SplashBidNoticeAbstractUI.aspx?menuIndex=3&amp;refID=7043550&amp;Result=3","7043550")</f>
        <v>0</v>
      </c>
      <c r="B3442" t="s">
        <v>595</v>
      </c>
      <c r="C3442" t="s">
        <v>5968</v>
      </c>
      <c r="D3442" t="s">
        <v>12988</v>
      </c>
      <c r="E3442" t="s">
        <v>16192</v>
      </c>
      <c r="F3442" t="s">
        <v>22436</v>
      </c>
      <c r="G3442" t="s">
        <v>22444</v>
      </c>
      <c r="H3442" t="s">
        <v>22452</v>
      </c>
      <c r="I3442" t="s">
        <v>4688</v>
      </c>
      <c r="J3442" t="s">
        <v>24922</v>
      </c>
      <c r="K3442" t="s">
        <v>29336</v>
      </c>
      <c r="M3442" t="s">
        <v>30185</v>
      </c>
      <c r="N3442" t="s">
        <v>32524</v>
      </c>
      <c r="O3442" t="s">
        <v>32525</v>
      </c>
      <c r="P3442">
        <v>0</v>
      </c>
      <c r="Q3442">
        <v>1</v>
      </c>
      <c r="R3442" t="s">
        <v>32529</v>
      </c>
      <c r="S3442" t="s">
        <v>32562</v>
      </c>
      <c r="T3442" t="s">
        <v>33199</v>
      </c>
      <c r="U3442" t="s">
        <v>34848</v>
      </c>
      <c r="W3442" t="s">
        <v>30185</v>
      </c>
      <c r="X3442" t="s">
        <v>32530</v>
      </c>
    </row>
    <row r="3443" spans="1:24">
      <c r="A3443">
        <f>HYPERLINK("https://www.philgeps.gov.ph/GEPSNONPILOT/Tender/SplashBidNoticeAbstractUI.aspx?menuIndex=3&amp;refID=7043522&amp;Result=3","7043522")</f>
        <v>0</v>
      </c>
      <c r="B3443" t="s">
        <v>595</v>
      </c>
      <c r="C3443" t="s">
        <v>5969</v>
      </c>
      <c r="D3443" t="s">
        <v>12988</v>
      </c>
      <c r="E3443" t="s">
        <v>16193</v>
      </c>
      <c r="F3443" t="s">
        <v>22436</v>
      </c>
      <c r="G3443" t="s">
        <v>22444</v>
      </c>
      <c r="H3443" t="s">
        <v>22452</v>
      </c>
      <c r="I3443" t="s">
        <v>2981</v>
      </c>
      <c r="J3443" t="s">
        <v>24923</v>
      </c>
      <c r="K3443" t="s">
        <v>29336</v>
      </c>
      <c r="M3443" t="s">
        <v>30185</v>
      </c>
      <c r="N3443" t="s">
        <v>32524</v>
      </c>
      <c r="O3443" t="s">
        <v>32525</v>
      </c>
      <c r="P3443">
        <v>0</v>
      </c>
      <c r="Q3443">
        <v>0</v>
      </c>
      <c r="R3443" t="s">
        <v>32529</v>
      </c>
      <c r="S3443" t="s">
        <v>32562</v>
      </c>
      <c r="T3443" t="s">
        <v>33199</v>
      </c>
      <c r="U3443" t="s">
        <v>36544</v>
      </c>
      <c r="W3443" t="s">
        <v>30185</v>
      </c>
      <c r="X3443" t="s">
        <v>32530</v>
      </c>
    </row>
    <row r="3444" spans="1:24">
      <c r="A3444">
        <f>HYPERLINK("https://www.philgeps.gov.ph/GEPSNONPILOT/Tender/SplashBidNoticeAbstractUI.aspx?menuIndex=3&amp;refID=7043552&amp;Result=3","7043552")</f>
        <v>0</v>
      </c>
      <c r="B3444" t="s">
        <v>1216</v>
      </c>
      <c r="C3444" t="s">
        <v>5970</v>
      </c>
      <c r="D3444" t="s">
        <v>13041</v>
      </c>
      <c r="E3444" t="s">
        <v>16194</v>
      </c>
      <c r="F3444" t="s">
        <v>22436</v>
      </c>
      <c r="G3444" t="s">
        <v>22443</v>
      </c>
      <c r="H3444" t="s">
        <v>22452</v>
      </c>
      <c r="I3444" t="s">
        <v>22553</v>
      </c>
      <c r="J3444" t="s">
        <v>24924</v>
      </c>
      <c r="K3444" t="s">
        <v>29338</v>
      </c>
      <c r="M3444" t="s">
        <v>30867</v>
      </c>
      <c r="N3444" t="s">
        <v>32524</v>
      </c>
      <c r="O3444" t="s">
        <v>32525</v>
      </c>
      <c r="P3444">
        <v>0</v>
      </c>
      <c r="Q3444">
        <v>1</v>
      </c>
      <c r="R3444" t="s">
        <v>32529</v>
      </c>
      <c r="S3444" t="s">
        <v>32562</v>
      </c>
      <c r="T3444" t="s">
        <v>33153</v>
      </c>
      <c r="U3444" t="s">
        <v>36545</v>
      </c>
      <c r="W3444" t="s">
        <v>30867</v>
      </c>
      <c r="X3444" t="s">
        <v>32530</v>
      </c>
    </row>
    <row r="3445" spans="1:24">
      <c r="A3445">
        <f>HYPERLINK("https://www.philgeps.gov.ph/GEPSNONPILOT/Tender/SplashBidNoticeAbstractUI.aspx?menuIndex=3&amp;refID=7043507&amp;Result=3","7043507")</f>
        <v>0</v>
      </c>
      <c r="B3445" t="s">
        <v>1211</v>
      </c>
      <c r="C3445" t="s">
        <v>5971</v>
      </c>
      <c r="D3445" t="s">
        <v>13051</v>
      </c>
      <c r="E3445" t="s">
        <v>16195</v>
      </c>
      <c r="F3445" t="s">
        <v>22436</v>
      </c>
      <c r="G3445" t="s">
        <v>22444</v>
      </c>
      <c r="H3445" t="s">
        <v>22454</v>
      </c>
      <c r="I3445" t="s">
        <v>7738</v>
      </c>
      <c r="J3445" t="s">
        <v>24925</v>
      </c>
      <c r="K3445" t="s">
        <v>29344</v>
      </c>
      <c r="M3445" t="s">
        <v>30860</v>
      </c>
      <c r="N3445" t="s">
        <v>32524</v>
      </c>
      <c r="O3445" t="s">
        <v>32525</v>
      </c>
      <c r="P3445">
        <v>0</v>
      </c>
      <c r="Q3445">
        <v>0</v>
      </c>
      <c r="R3445" t="s">
        <v>32529</v>
      </c>
      <c r="S3445" t="s">
        <v>32562</v>
      </c>
      <c r="T3445" t="s">
        <v>33230</v>
      </c>
      <c r="U3445" t="s">
        <v>36546</v>
      </c>
      <c r="W3445" t="s">
        <v>30860</v>
      </c>
      <c r="X3445" t="s">
        <v>32530</v>
      </c>
    </row>
    <row r="3446" spans="1:24">
      <c r="A3446">
        <f>HYPERLINK("https://www.philgeps.gov.ph/GEPSNONPILOT/Tender/SplashBidNoticeAbstractUI.aspx?menuIndex=3&amp;refID=7043517&amp;Result=3","7043517")</f>
        <v>0</v>
      </c>
      <c r="B3446" t="s">
        <v>1217</v>
      </c>
      <c r="C3446" t="s">
        <v>5972</v>
      </c>
      <c r="D3446" t="s">
        <v>13060</v>
      </c>
      <c r="E3446" t="s">
        <v>16196</v>
      </c>
      <c r="F3446" t="s">
        <v>22436</v>
      </c>
      <c r="G3446" t="s">
        <v>22443</v>
      </c>
      <c r="H3446" t="s">
        <v>22452</v>
      </c>
      <c r="I3446" t="s">
        <v>22460</v>
      </c>
      <c r="J3446" t="s">
        <v>24926</v>
      </c>
      <c r="K3446" t="s">
        <v>29356</v>
      </c>
      <c r="M3446" t="s">
        <v>30868</v>
      </c>
      <c r="N3446" t="s">
        <v>32524</v>
      </c>
      <c r="O3446" t="s">
        <v>32525</v>
      </c>
      <c r="P3446">
        <v>0</v>
      </c>
      <c r="Q3446">
        <v>4</v>
      </c>
      <c r="R3446" t="s">
        <v>32529</v>
      </c>
      <c r="S3446" t="s">
        <v>32562</v>
      </c>
      <c r="T3446" t="s">
        <v>33238</v>
      </c>
      <c r="U3446" t="s">
        <v>36547</v>
      </c>
      <c r="W3446" t="s">
        <v>30868</v>
      </c>
      <c r="X3446" t="s">
        <v>32530</v>
      </c>
    </row>
    <row r="3447" spans="1:24">
      <c r="A3447">
        <f>HYPERLINK("https://www.philgeps.gov.ph/GEPSNONPILOT/Tender/SplashBidNoticeAbstractUI.aspx?menuIndex=3&amp;refID=7043520&amp;Result=3","7043520")</f>
        <v>0</v>
      </c>
      <c r="B3447" t="s">
        <v>1213</v>
      </c>
      <c r="C3447" t="s">
        <v>5973</v>
      </c>
      <c r="D3447" t="s">
        <v>13022</v>
      </c>
      <c r="E3447" t="s">
        <v>16197</v>
      </c>
      <c r="F3447" t="s">
        <v>22436</v>
      </c>
      <c r="G3447" t="s">
        <v>22443</v>
      </c>
      <c r="H3447" t="s">
        <v>22452</v>
      </c>
      <c r="I3447" t="s">
        <v>3529</v>
      </c>
      <c r="J3447" t="s">
        <v>24927</v>
      </c>
      <c r="K3447" t="s">
        <v>29331</v>
      </c>
      <c r="M3447" t="s">
        <v>30862</v>
      </c>
      <c r="N3447" t="s">
        <v>32524</v>
      </c>
      <c r="O3447" t="s">
        <v>32525</v>
      </c>
      <c r="P3447">
        <v>0</v>
      </c>
      <c r="Q3447">
        <v>0</v>
      </c>
      <c r="R3447" t="s">
        <v>32529</v>
      </c>
      <c r="S3447" t="s">
        <v>32562</v>
      </c>
      <c r="T3447" t="s">
        <v>33178</v>
      </c>
      <c r="U3447" t="s">
        <v>36548</v>
      </c>
      <c r="V3447" t="s">
        <v>42759</v>
      </c>
      <c r="W3447" t="s">
        <v>30862</v>
      </c>
      <c r="X3447" t="s">
        <v>32530</v>
      </c>
    </row>
    <row r="3448" spans="1:24">
      <c r="A3448">
        <f>HYPERLINK("https://www.philgeps.gov.ph/GEPSNONPILOT/Tender/SplashBidNoticeAbstractUI.aspx?menuIndex=3&amp;refID=7043577&amp;Result=3","7043577")</f>
        <v>0</v>
      </c>
      <c r="B3448" t="s">
        <v>1218</v>
      </c>
      <c r="C3448" t="s">
        <v>5974</v>
      </c>
      <c r="D3448" t="s">
        <v>13050</v>
      </c>
      <c r="E3448" t="s">
        <v>16198</v>
      </c>
      <c r="F3448" t="s">
        <v>22436</v>
      </c>
      <c r="G3448" t="s">
        <v>22451</v>
      </c>
      <c r="H3448" t="s">
        <v>22452</v>
      </c>
      <c r="I3448" t="s">
        <v>22478</v>
      </c>
      <c r="J3448" t="s">
        <v>22704</v>
      </c>
      <c r="K3448" t="s">
        <v>29331</v>
      </c>
      <c r="M3448" t="s">
        <v>30869</v>
      </c>
      <c r="N3448" t="s">
        <v>32524</v>
      </c>
      <c r="O3448" t="s">
        <v>32525</v>
      </c>
      <c r="P3448">
        <v>0</v>
      </c>
      <c r="Q3448">
        <v>3</v>
      </c>
      <c r="R3448" t="s">
        <v>32529</v>
      </c>
      <c r="S3448" t="s">
        <v>32562</v>
      </c>
      <c r="T3448" t="s">
        <v>33206</v>
      </c>
      <c r="U3448" t="s">
        <v>36549</v>
      </c>
      <c r="W3448" t="s">
        <v>30869</v>
      </c>
      <c r="X3448" t="s">
        <v>32530</v>
      </c>
    </row>
    <row r="3449" spans="1:24">
      <c r="A3449">
        <f>HYPERLINK("https://www.philgeps.gov.ph/GEPSNONPILOT/Tender/SplashBidNoticeAbstractUI.aspx?menuIndex=3&amp;refID=7043566&amp;Result=3","7043566")</f>
        <v>0</v>
      </c>
      <c r="B3449" t="s">
        <v>595</v>
      </c>
      <c r="C3449" t="s">
        <v>5975</v>
      </c>
      <c r="D3449" t="s">
        <v>12988</v>
      </c>
      <c r="E3449" t="s">
        <v>16199</v>
      </c>
      <c r="F3449" t="s">
        <v>22436</v>
      </c>
      <c r="G3449" t="s">
        <v>22444</v>
      </c>
      <c r="H3449" t="s">
        <v>22452</v>
      </c>
      <c r="I3449" t="s">
        <v>2981</v>
      </c>
      <c r="J3449" t="s">
        <v>24928</v>
      </c>
      <c r="K3449" t="s">
        <v>29336</v>
      </c>
      <c r="M3449" t="s">
        <v>30185</v>
      </c>
      <c r="N3449" t="s">
        <v>32524</v>
      </c>
      <c r="O3449" t="s">
        <v>32525</v>
      </c>
      <c r="P3449">
        <v>0</v>
      </c>
      <c r="Q3449">
        <v>0</v>
      </c>
      <c r="R3449" t="s">
        <v>32529</v>
      </c>
      <c r="S3449" t="s">
        <v>32562</v>
      </c>
      <c r="T3449" t="s">
        <v>33260</v>
      </c>
      <c r="U3449" t="s">
        <v>36550</v>
      </c>
      <c r="W3449" t="s">
        <v>30185</v>
      </c>
      <c r="X3449" t="s">
        <v>32530</v>
      </c>
    </row>
    <row r="3450" spans="1:24">
      <c r="A3450">
        <f>HYPERLINK("https://www.philgeps.gov.ph/GEPSNONPILOT/Tender/SplashBidNoticeAbstractUI.aspx?menuIndex=3&amp;refID=7043547&amp;Result=3","7043547")</f>
        <v>0</v>
      </c>
      <c r="B3450" t="s">
        <v>1219</v>
      </c>
      <c r="C3450" t="s">
        <v>5976</v>
      </c>
      <c r="E3450" t="s">
        <v>16200</v>
      </c>
      <c r="F3450" t="s">
        <v>22436</v>
      </c>
      <c r="G3450" t="s">
        <v>22443</v>
      </c>
      <c r="H3450" t="s">
        <v>22452</v>
      </c>
      <c r="I3450" t="s">
        <v>22483</v>
      </c>
      <c r="J3450" t="s">
        <v>23234</v>
      </c>
      <c r="K3450" t="s">
        <v>29338</v>
      </c>
      <c r="M3450" t="s">
        <v>30870</v>
      </c>
      <c r="N3450" t="s">
        <v>32524</v>
      </c>
      <c r="O3450" t="s">
        <v>32525</v>
      </c>
      <c r="P3450">
        <v>0</v>
      </c>
      <c r="Q3450">
        <v>4</v>
      </c>
      <c r="R3450" t="s">
        <v>32529</v>
      </c>
      <c r="S3450" t="s">
        <v>32562</v>
      </c>
      <c r="T3450" t="s">
        <v>33197</v>
      </c>
      <c r="U3450" t="s">
        <v>36551</v>
      </c>
      <c r="V3450" t="s">
        <v>42763</v>
      </c>
      <c r="W3450" t="s">
        <v>30870</v>
      </c>
      <c r="X3450" t="s">
        <v>32530</v>
      </c>
    </row>
    <row r="3451" spans="1:24">
      <c r="A3451">
        <f>HYPERLINK("https://www.philgeps.gov.ph/GEPSNONPILOT/Tender/SplashBidNoticeAbstractUI.aspx?menuIndex=3&amp;refID=7043582&amp;Result=3","7043582")</f>
        <v>0</v>
      </c>
      <c r="B3451" t="s">
        <v>1220</v>
      </c>
      <c r="C3451" t="s">
        <v>5977</v>
      </c>
      <c r="D3451" t="s">
        <v>12988</v>
      </c>
      <c r="E3451" t="s">
        <v>16201</v>
      </c>
      <c r="F3451" t="s">
        <v>22436</v>
      </c>
      <c r="G3451" t="s">
        <v>22443</v>
      </c>
      <c r="H3451" t="s">
        <v>22452</v>
      </c>
      <c r="I3451" t="s">
        <v>22469</v>
      </c>
      <c r="J3451" t="s">
        <v>23689</v>
      </c>
      <c r="K3451" t="s">
        <v>29352</v>
      </c>
      <c r="M3451" t="s">
        <v>30871</v>
      </c>
      <c r="N3451" t="s">
        <v>32524</v>
      </c>
      <c r="O3451" t="s">
        <v>32525</v>
      </c>
      <c r="P3451">
        <v>0</v>
      </c>
      <c r="Q3451">
        <v>7</v>
      </c>
      <c r="R3451" t="s">
        <v>32529</v>
      </c>
      <c r="S3451" t="s">
        <v>32562</v>
      </c>
      <c r="T3451" t="s">
        <v>33220</v>
      </c>
      <c r="U3451" t="s">
        <v>36552</v>
      </c>
      <c r="W3451" t="s">
        <v>30871</v>
      </c>
      <c r="X3451" t="s">
        <v>32530</v>
      </c>
    </row>
    <row r="3452" spans="1:24">
      <c r="A3452">
        <f>HYPERLINK("https://www.philgeps.gov.ph/GEPSNONPILOT/Tender/SplashBidNoticeAbstractUI.aspx?menuIndex=3&amp;refID=7043518&amp;Result=3","7043518")</f>
        <v>0</v>
      </c>
      <c r="B3452" t="s">
        <v>799</v>
      </c>
      <c r="C3452" t="s">
        <v>5978</v>
      </c>
      <c r="D3452" t="s">
        <v>12988</v>
      </c>
      <c r="E3452" t="s">
        <v>16202</v>
      </c>
      <c r="F3452" t="s">
        <v>22436</v>
      </c>
      <c r="G3452" t="s">
        <v>22445</v>
      </c>
      <c r="H3452" t="s">
        <v>22452</v>
      </c>
      <c r="I3452" t="s">
        <v>2981</v>
      </c>
      <c r="J3452" t="s">
        <v>24929</v>
      </c>
      <c r="K3452" t="s">
        <v>29341</v>
      </c>
      <c r="M3452" t="s">
        <v>30864</v>
      </c>
      <c r="N3452" t="s">
        <v>32524</v>
      </c>
      <c r="O3452" t="s">
        <v>32525</v>
      </c>
      <c r="P3452">
        <v>0</v>
      </c>
      <c r="Q3452">
        <v>0</v>
      </c>
      <c r="R3452" t="s">
        <v>32529</v>
      </c>
      <c r="S3452" t="s">
        <v>32562</v>
      </c>
      <c r="T3452" t="s">
        <v>33180</v>
      </c>
      <c r="U3452" t="s">
        <v>36535</v>
      </c>
      <c r="V3452" t="s">
        <v>42764</v>
      </c>
      <c r="W3452" t="s">
        <v>30864</v>
      </c>
      <c r="X3452" t="s">
        <v>32530</v>
      </c>
    </row>
    <row r="3453" spans="1:24">
      <c r="A3453">
        <f>HYPERLINK("https://www.philgeps.gov.ph/GEPSNONPILOT/Tender/SplashBidNoticeAbstractUI.aspx?menuIndex=3&amp;refID=7043562&amp;Result=3","7043562")</f>
        <v>0</v>
      </c>
      <c r="B3453" t="s">
        <v>595</v>
      </c>
      <c r="C3453" t="s">
        <v>5979</v>
      </c>
      <c r="D3453" t="s">
        <v>12988</v>
      </c>
      <c r="E3453" t="s">
        <v>16203</v>
      </c>
      <c r="F3453" t="s">
        <v>22436</v>
      </c>
      <c r="G3453" t="s">
        <v>22444</v>
      </c>
      <c r="H3453" t="s">
        <v>22452</v>
      </c>
      <c r="I3453" t="s">
        <v>3529</v>
      </c>
      <c r="J3453" t="s">
        <v>24930</v>
      </c>
      <c r="K3453" t="s">
        <v>29336</v>
      </c>
      <c r="M3453" t="s">
        <v>30185</v>
      </c>
      <c r="N3453" t="s">
        <v>32524</v>
      </c>
      <c r="O3453" t="s">
        <v>32525</v>
      </c>
      <c r="P3453">
        <v>0</v>
      </c>
      <c r="Q3453">
        <v>0</v>
      </c>
      <c r="R3453" t="s">
        <v>32529</v>
      </c>
      <c r="S3453" t="s">
        <v>32562</v>
      </c>
      <c r="T3453" t="s">
        <v>33199</v>
      </c>
      <c r="U3453" t="s">
        <v>34848</v>
      </c>
      <c r="W3453" t="s">
        <v>30185</v>
      </c>
      <c r="X3453" t="s">
        <v>32530</v>
      </c>
    </row>
    <row r="3454" spans="1:24">
      <c r="A3454">
        <f>HYPERLINK("https://www.philgeps.gov.ph/GEPSNONPILOT/Tender/SplashBidNoticeAbstractUI.aspx?menuIndex=3&amp;refID=7043530&amp;Result=3","7043530")</f>
        <v>0</v>
      </c>
      <c r="B3454" t="s">
        <v>1219</v>
      </c>
      <c r="C3454" t="s">
        <v>5980</v>
      </c>
      <c r="E3454" t="s">
        <v>16204</v>
      </c>
      <c r="F3454" t="s">
        <v>22436</v>
      </c>
      <c r="G3454" t="s">
        <v>22443</v>
      </c>
      <c r="H3454" t="s">
        <v>22452</v>
      </c>
      <c r="I3454" t="s">
        <v>2981</v>
      </c>
      <c r="J3454" t="s">
        <v>24931</v>
      </c>
      <c r="K3454" t="s">
        <v>29338</v>
      </c>
      <c r="M3454" t="s">
        <v>30870</v>
      </c>
      <c r="N3454" t="s">
        <v>32524</v>
      </c>
      <c r="O3454" t="s">
        <v>32525</v>
      </c>
      <c r="P3454">
        <v>0</v>
      </c>
      <c r="Q3454">
        <v>1</v>
      </c>
      <c r="R3454" t="s">
        <v>32529</v>
      </c>
      <c r="S3454" t="s">
        <v>32562</v>
      </c>
      <c r="T3454" t="s">
        <v>33197</v>
      </c>
      <c r="U3454" t="s">
        <v>36553</v>
      </c>
      <c r="V3454" t="s">
        <v>42763</v>
      </c>
      <c r="W3454" t="s">
        <v>30870</v>
      </c>
      <c r="X3454" t="s">
        <v>32530</v>
      </c>
    </row>
    <row r="3455" spans="1:24">
      <c r="A3455">
        <f>HYPERLINK("https://www.philgeps.gov.ph/GEPSNONPILOT/Tender/SplashBidNoticeAbstractUI.aspx?menuIndex=3&amp;refID=7043565&amp;Result=3","7043565")</f>
        <v>0</v>
      </c>
      <c r="B3455" t="s">
        <v>1219</v>
      </c>
      <c r="C3455" t="s">
        <v>5981</v>
      </c>
      <c r="D3455" t="s">
        <v>13050</v>
      </c>
      <c r="E3455" t="s">
        <v>16205</v>
      </c>
      <c r="F3455" t="s">
        <v>22436</v>
      </c>
      <c r="G3455" t="s">
        <v>22443</v>
      </c>
      <c r="H3455" t="s">
        <v>22452</v>
      </c>
      <c r="I3455" t="s">
        <v>22499</v>
      </c>
      <c r="J3455" t="s">
        <v>24767</v>
      </c>
      <c r="K3455" t="s">
        <v>29338</v>
      </c>
      <c r="M3455" t="s">
        <v>30870</v>
      </c>
      <c r="N3455" t="s">
        <v>32524</v>
      </c>
      <c r="O3455" t="s">
        <v>32525</v>
      </c>
      <c r="P3455">
        <v>0</v>
      </c>
      <c r="Q3455">
        <v>1</v>
      </c>
      <c r="R3455" t="s">
        <v>32529</v>
      </c>
      <c r="S3455" t="s">
        <v>32562</v>
      </c>
      <c r="T3455" t="s">
        <v>33197</v>
      </c>
      <c r="U3455" t="s">
        <v>36554</v>
      </c>
      <c r="V3455" t="s">
        <v>42763</v>
      </c>
      <c r="W3455" t="s">
        <v>30870</v>
      </c>
      <c r="X3455" t="s">
        <v>32530</v>
      </c>
    </row>
    <row r="3456" spans="1:24">
      <c r="A3456">
        <f>HYPERLINK("https://www.philgeps.gov.ph/GEPSNONPILOT/Tender/SplashBidNoticeAbstractUI.aspx?menuIndex=3&amp;refID=7043588&amp;Result=3","7043588")</f>
        <v>0</v>
      </c>
      <c r="B3456" t="s">
        <v>550</v>
      </c>
      <c r="C3456" t="s">
        <v>5982</v>
      </c>
      <c r="D3456" t="s">
        <v>12988</v>
      </c>
      <c r="E3456" t="s">
        <v>16206</v>
      </c>
      <c r="F3456" t="s">
        <v>22436</v>
      </c>
      <c r="G3456" t="s">
        <v>22443</v>
      </c>
      <c r="H3456" t="s">
        <v>22452</v>
      </c>
      <c r="I3456" t="s">
        <v>22456</v>
      </c>
      <c r="J3456" t="s">
        <v>24932</v>
      </c>
      <c r="K3456" t="s">
        <v>29338</v>
      </c>
      <c r="M3456" t="s">
        <v>30872</v>
      </c>
      <c r="N3456" t="s">
        <v>32524</v>
      </c>
      <c r="O3456" t="s">
        <v>32525</v>
      </c>
      <c r="P3456">
        <v>0</v>
      </c>
      <c r="Q3456">
        <v>3</v>
      </c>
      <c r="R3456" t="s">
        <v>32529</v>
      </c>
      <c r="S3456" t="s">
        <v>32562</v>
      </c>
      <c r="T3456" t="s">
        <v>33371</v>
      </c>
      <c r="U3456" t="s">
        <v>36555</v>
      </c>
      <c r="V3456" t="s">
        <v>42765</v>
      </c>
      <c r="W3456" t="s">
        <v>30872</v>
      </c>
      <c r="X3456" t="s">
        <v>32530</v>
      </c>
    </row>
    <row r="3457" spans="1:24">
      <c r="A3457">
        <f>HYPERLINK("https://www.philgeps.gov.ph/GEPSNONPILOT/Tender/SplashBidNoticeAbstractUI.aspx?menuIndex=3&amp;refID=7043521&amp;Result=3","7043521")</f>
        <v>0</v>
      </c>
      <c r="B3457" t="s">
        <v>1219</v>
      </c>
      <c r="C3457" t="s">
        <v>5983</v>
      </c>
      <c r="E3457" t="s">
        <v>16207</v>
      </c>
      <c r="F3457" t="s">
        <v>22436</v>
      </c>
      <c r="G3457" t="s">
        <v>22443</v>
      </c>
      <c r="H3457" t="s">
        <v>22452</v>
      </c>
      <c r="I3457" t="s">
        <v>2962</v>
      </c>
      <c r="J3457" t="s">
        <v>24933</v>
      </c>
      <c r="K3457" t="s">
        <v>29338</v>
      </c>
      <c r="M3457" t="s">
        <v>30870</v>
      </c>
      <c r="N3457" t="s">
        <v>32524</v>
      </c>
      <c r="O3457" t="s">
        <v>32525</v>
      </c>
      <c r="P3457">
        <v>0</v>
      </c>
      <c r="Q3457">
        <v>0</v>
      </c>
      <c r="R3457" t="s">
        <v>32529</v>
      </c>
      <c r="S3457" t="s">
        <v>32562</v>
      </c>
      <c r="T3457" t="s">
        <v>33197</v>
      </c>
      <c r="U3457" t="s">
        <v>36556</v>
      </c>
      <c r="V3457" t="s">
        <v>42763</v>
      </c>
      <c r="W3457" t="s">
        <v>30870</v>
      </c>
      <c r="X3457" t="s">
        <v>32530</v>
      </c>
    </row>
    <row r="3458" spans="1:24">
      <c r="A3458">
        <f>HYPERLINK("https://www.philgeps.gov.ph/GEPSNONPILOT/Tender/SplashBidNoticeAbstractUI.aspx?menuIndex=3&amp;refID=7043543&amp;Result=3","7043543")</f>
        <v>0</v>
      </c>
      <c r="B3458" t="s">
        <v>718</v>
      </c>
      <c r="C3458" t="s">
        <v>5984</v>
      </c>
      <c r="D3458" t="s">
        <v>12988</v>
      </c>
      <c r="E3458" t="s">
        <v>16208</v>
      </c>
      <c r="F3458" t="s">
        <v>22436</v>
      </c>
      <c r="G3458" t="s">
        <v>22443</v>
      </c>
      <c r="H3458" t="s">
        <v>22452</v>
      </c>
      <c r="I3458" t="s">
        <v>22501</v>
      </c>
      <c r="J3458" t="s">
        <v>22616</v>
      </c>
      <c r="K3458" t="s">
        <v>29353</v>
      </c>
      <c r="M3458" t="s">
        <v>30315</v>
      </c>
      <c r="N3458" t="s">
        <v>32524</v>
      </c>
      <c r="O3458" t="s">
        <v>32525</v>
      </c>
      <c r="P3458">
        <v>0</v>
      </c>
      <c r="Q3458">
        <v>0</v>
      </c>
      <c r="R3458" t="s">
        <v>32529</v>
      </c>
      <c r="S3458" t="s">
        <v>32562</v>
      </c>
      <c r="T3458" t="s">
        <v>33372</v>
      </c>
      <c r="U3458" t="s">
        <v>36557</v>
      </c>
      <c r="V3458" t="s">
        <v>42590</v>
      </c>
      <c r="W3458" t="s">
        <v>30315</v>
      </c>
      <c r="X3458" t="s">
        <v>32530</v>
      </c>
    </row>
    <row r="3459" spans="1:24">
      <c r="A3459">
        <f>HYPERLINK("https://www.philgeps.gov.ph/GEPSNONPILOT/Tender/SplashBidNoticeAbstractUI.aspx?menuIndex=3&amp;refID=7043586&amp;Result=3","7043586")</f>
        <v>0</v>
      </c>
      <c r="B3459" t="s">
        <v>1221</v>
      </c>
      <c r="C3459" t="s">
        <v>5985</v>
      </c>
      <c r="D3459" t="s">
        <v>12988</v>
      </c>
      <c r="E3459" t="s">
        <v>16209</v>
      </c>
      <c r="F3459" t="s">
        <v>22436</v>
      </c>
      <c r="G3459" t="s">
        <v>22444</v>
      </c>
      <c r="H3459" t="s">
        <v>22452</v>
      </c>
      <c r="I3459" t="s">
        <v>2981</v>
      </c>
      <c r="J3459" t="s">
        <v>24934</v>
      </c>
      <c r="K3459" t="s">
        <v>29331</v>
      </c>
      <c r="M3459" t="s">
        <v>30873</v>
      </c>
      <c r="N3459" t="s">
        <v>32524</v>
      </c>
      <c r="O3459" t="s">
        <v>32525</v>
      </c>
      <c r="P3459">
        <v>0</v>
      </c>
      <c r="Q3459">
        <v>5</v>
      </c>
      <c r="R3459" t="s">
        <v>32529</v>
      </c>
      <c r="S3459" t="s">
        <v>32562</v>
      </c>
      <c r="T3459" t="s">
        <v>33203</v>
      </c>
      <c r="U3459" t="s">
        <v>36558</v>
      </c>
      <c r="W3459" t="s">
        <v>30873</v>
      </c>
      <c r="X3459" t="s">
        <v>32530</v>
      </c>
    </row>
    <row r="3460" spans="1:24">
      <c r="A3460">
        <f>HYPERLINK("https://www.philgeps.gov.ph/GEPSNONPILOT/Tender/SplashBidNoticeAbstractUI.aspx?menuIndex=3&amp;refID=7043614&amp;Result=3","7043614")</f>
        <v>0</v>
      </c>
      <c r="B3460" t="s">
        <v>1222</v>
      </c>
      <c r="C3460" t="s">
        <v>5986</v>
      </c>
      <c r="D3460" t="s">
        <v>12988</v>
      </c>
      <c r="E3460" t="s">
        <v>16210</v>
      </c>
      <c r="F3460" t="s">
        <v>22436</v>
      </c>
      <c r="G3460" t="s">
        <v>22443</v>
      </c>
      <c r="H3460" t="s">
        <v>22452</v>
      </c>
      <c r="I3460" t="s">
        <v>22482</v>
      </c>
      <c r="J3460" t="s">
        <v>24935</v>
      </c>
      <c r="K3460" t="s">
        <v>29331</v>
      </c>
      <c r="M3460" t="s">
        <v>30874</v>
      </c>
      <c r="N3460" t="s">
        <v>32524</v>
      </c>
      <c r="O3460" t="s">
        <v>32525</v>
      </c>
      <c r="P3460">
        <v>0</v>
      </c>
      <c r="Q3460">
        <v>15</v>
      </c>
      <c r="R3460" t="s">
        <v>32529</v>
      </c>
      <c r="S3460" t="s">
        <v>32562</v>
      </c>
      <c r="T3460" t="s">
        <v>33210</v>
      </c>
      <c r="U3460" t="s">
        <v>36559</v>
      </c>
      <c r="V3460" t="s">
        <v>42431</v>
      </c>
      <c r="W3460" t="s">
        <v>30874</v>
      </c>
      <c r="X3460" t="s">
        <v>32530</v>
      </c>
    </row>
    <row r="3461" spans="1:24">
      <c r="A3461">
        <f>HYPERLINK("https://www.philgeps.gov.ph/GEPSNONPILOT/Tender/SplashBidNoticeAbstractUI.aspx?menuIndex=3&amp;refID=7043542&amp;Result=3","7043542")</f>
        <v>0</v>
      </c>
      <c r="B3461" t="s">
        <v>740</v>
      </c>
      <c r="C3461" t="s">
        <v>5987</v>
      </c>
      <c r="D3461" t="s">
        <v>13002</v>
      </c>
      <c r="E3461" t="s">
        <v>16211</v>
      </c>
      <c r="F3461" t="s">
        <v>22436</v>
      </c>
      <c r="G3461" t="s">
        <v>22444</v>
      </c>
      <c r="H3461" t="s">
        <v>22454</v>
      </c>
      <c r="I3461" t="s">
        <v>7738</v>
      </c>
      <c r="J3461" t="s">
        <v>22893</v>
      </c>
      <c r="K3461" t="s">
        <v>29333</v>
      </c>
      <c r="M3461" t="s">
        <v>30341</v>
      </c>
      <c r="N3461" t="s">
        <v>32524</v>
      </c>
      <c r="O3461" t="s">
        <v>32525</v>
      </c>
      <c r="P3461">
        <v>0</v>
      </c>
      <c r="Q3461">
        <v>0</v>
      </c>
      <c r="R3461" t="s">
        <v>32529</v>
      </c>
      <c r="S3461" t="s">
        <v>32562</v>
      </c>
      <c r="T3461" t="s">
        <v>33242</v>
      </c>
      <c r="U3461" t="s">
        <v>36560</v>
      </c>
      <c r="W3461" t="s">
        <v>30341</v>
      </c>
      <c r="X3461" t="s">
        <v>32530</v>
      </c>
    </row>
    <row r="3462" spans="1:24">
      <c r="A3462">
        <f>HYPERLINK("https://www.philgeps.gov.ph/GEPSNONPILOT/Tender/SplashBidNoticeAbstractUI.aspx?menuIndex=3&amp;refID=7043606&amp;Result=3","7043606")</f>
        <v>0</v>
      </c>
      <c r="B3462" t="s">
        <v>744</v>
      </c>
      <c r="C3462" t="s">
        <v>5988</v>
      </c>
      <c r="D3462" t="s">
        <v>13000</v>
      </c>
      <c r="E3462" t="s">
        <v>16212</v>
      </c>
      <c r="F3462" t="s">
        <v>22436</v>
      </c>
      <c r="G3462" t="s">
        <v>22444</v>
      </c>
      <c r="H3462" t="s">
        <v>22454</v>
      </c>
      <c r="I3462" t="s">
        <v>7738</v>
      </c>
      <c r="J3462" t="s">
        <v>24936</v>
      </c>
      <c r="K3462" t="s">
        <v>29334</v>
      </c>
      <c r="M3462" t="s">
        <v>30345</v>
      </c>
      <c r="N3462" t="s">
        <v>32524</v>
      </c>
      <c r="O3462" t="s">
        <v>32525</v>
      </c>
      <c r="P3462">
        <v>0</v>
      </c>
      <c r="Q3462">
        <v>1</v>
      </c>
      <c r="R3462" t="s">
        <v>32529</v>
      </c>
      <c r="S3462" t="s">
        <v>32562</v>
      </c>
      <c r="T3462" t="s">
        <v>33410</v>
      </c>
      <c r="U3462" t="s">
        <v>36561</v>
      </c>
      <c r="W3462" t="s">
        <v>30345</v>
      </c>
      <c r="X3462" t="s">
        <v>32530</v>
      </c>
    </row>
    <row r="3463" spans="1:24">
      <c r="A3463">
        <f>HYPERLINK("https://www.philgeps.gov.ph/GEPSNONPILOT/Tender/SplashBidNoticeAbstractUI.aspx?menuIndex=3&amp;refID=7043619&amp;Result=3","7043619")</f>
        <v>0</v>
      </c>
      <c r="B3463" t="s">
        <v>1223</v>
      </c>
      <c r="C3463" t="s">
        <v>5989</v>
      </c>
      <c r="D3463" t="s">
        <v>13007</v>
      </c>
      <c r="E3463" t="s">
        <v>16213</v>
      </c>
      <c r="F3463" t="s">
        <v>22436</v>
      </c>
      <c r="G3463" t="s">
        <v>22443</v>
      </c>
      <c r="H3463" t="s">
        <v>22452</v>
      </c>
      <c r="I3463" t="s">
        <v>3529</v>
      </c>
      <c r="J3463" t="s">
        <v>24937</v>
      </c>
      <c r="K3463" t="s">
        <v>29336</v>
      </c>
      <c r="M3463" t="s">
        <v>30875</v>
      </c>
      <c r="N3463" t="s">
        <v>32524</v>
      </c>
      <c r="O3463" t="s">
        <v>32525</v>
      </c>
      <c r="P3463">
        <v>0</v>
      </c>
      <c r="Q3463">
        <v>0</v>
      </c>
      <c r="R3463" t="s">
        <v>32529</v>
      </c>
      <c r="S3463" t="s">
        <v>32562</v>
      </c>
      <c r="T3463" t="s">
        <v>33304</v>
      </c>
      <c r="U3463" t="s">
        <v>36562</v>
      </c>
      <c r="W3463" t="s">
        <v>30875</v>
      </c>
      <c r="X3463" t="s">
        <v>32530</v>
      </c>
    </row>
    <row r="3464" spans="1:24">
      <c r="A3464">
        <f>HYPERLINK("https://www.philgeps.gov.ph/GEPSNONPILOT/Tender/SplashBidNoticeAbstractUI.aspx?menuIndex=3&amp;refID=7043597&amp;Result=3","7043597")</f>
        <v>0</v>
      </c>
      <c r="B3464" t="s">
        <v>744</v>
      </c>
      <c r="C3464" t="s">
        <v>5990</v>
      </c>
      <c r="D3464" t="s">
        <v>13000</v>
      </c>
      <c r="E3464" t="s">
        <v>14153</v>
      </c>
      <c r="F3464" t="s">
        <v>22436</v>
      </c>
      <c r="G3464" t="s">
        <v>22444</v>
      </c>
      <c r="H3464" t="s">
        <v>22454</v>
      </c>
      <c r="I3464" t="s">
        <v>7738</v>
      </c>
      <c r="J3464" t="s">
        <v>24938</v>
      </c>
      <c r="K3464" t="s">
        <v>29334</v>
      </c>
      <c r="M3464" t="s">
        <v>30345</v>
      </c>
      <c r="N3464" t="s">
        <v>32524</v>
      </c>
      <c r="O3464" t="s">
        <v>32525</v>
      </c>
      <c r="P3464">
        <v>0</v>
      </c>
      <c r="Q3464">
        <v>1</v>
      </c>
      <c r="R3464" t="s">
        <v>32529</v>
      </c>
      <c r="S3464" t="s">
        <v>32562</v>
      </c>
      <c r="T3464" t="s">
        <v>33256</v>
      </c>
      <c r="U3464" t="s">
        <v>36563</v>
      </c>
      <c r="W3464" t="s">
        <v>30345</v>
      </c>
      <c r="X3464" t="s">
        <v>32530</v>
      </c>
    </row>
    <row r="3465" spans="1:24">
      <c r="A3465">
        <f>HYPERLINK("https://www.philgeps.gov.ph/GEPSNONPILOT/Tender/SplashBidNoticeAbstractUI.aspx?menuIndex=3&amp;refID=7043613&amp;Result=3","7043613")</f>
        <v>0</v>
      </c>
      <c r="B3465" t="s">
        <v>1222</v>
      </c>
      <c r="C3465" t="s">
        <v>5991</v>
      </c>
      <c r="D3465" t="s">
        <v>12988</v>
      </c>
      <c r="E3465" t="s">
        <v>16214</v>
      </c>
      <c r="F3465" t="s">
        <v>22436</v>
      </c>
      <c r="G3465" t="s">
        <v>22443</v>
      </c>
      <c r="H3465" t="s">
        <v>22452</v>
      </c>
      <c r="I3465" t="s">
        <v>22515</v>
      </c>
      <c r="J3465" t="s">
        <v>24939</v>
      </c>
      <c r="K3465" t="s">
        <v>29331</v>
      </c>
      <c r="M3465" t="s">
        <v>30874</v>
      </c>
      <c r="N3465" t="s">
        <v>32524</v>
      </c>
      <c r="O3465" t="s">
        <v>32525</v>
      </c>
      <c r="P3465">
        <v>0</v>
      </c>
      <c r="Q3465">
        <v>2</v>
      </c>
      <c r="R3465" t="s">
        <v>32529</v>
      </c>
      <c r="S3465" t="s">
        <v>32562</v>
      </c>
      <c r="T3465" t="s">
        <v>33210</v>
      </c>
      <c r="U3465" t="s">
        <v>36564</v>
      </c>
      <c r="V3465" t="s">
        <v>42431</v>
      </c>
      <c r="W3465" t="s">
        <v>30874</v>
      </c>
      <c r="X3465" t="s">
        <v>32530</v>
      </c>
    </row>
    <row r="3466" spans="1:24">
      <c r="A3466">
        <f>HYPERLINK("https://www.philgeps.gov.ph/GEPSNONPILOT/Tender/SplashBidNoticeAbstractUI.aspx?menuIndex=3&amp;refID=7043593&amp;Result=3","7043593")</f>
        <v>0</v>
      </c>
      <c r="B3466" t="s">
        <v>1033</v>
      </c>
      <c r="C3466" t="s">
        <v>5992</v>
      </c>
      <c r="D3466" t="s">
        <v>13006</v>
      </c>
      <c r="E3466" t="s">
        <v>16215</v>
      </c>
      <c r="F3466" t="s">
        <v>22436</v>
      </c>
      <c r="G3466" t="s">
        <v>22444</v>
      </c>
      <c r="H3466" t="s">
        <v>22452</v>
      </c>
      <c r="I3466" t="s">
        <v>7738</v>
      </c>
      <c r="J3466" t="s">
        <v>24940</v>
      </c>
      <c r="K3466" t="s">
        <v>29338</v>
      </c>
      <c r="M3466" t="s">
        <v>30664</v>
      </c>
      <c r="N3466" t="s">
        <v>32524</v>
      </c>
      <c r="O3466" t="s">
        <v>32525</v>
      </c>
      <c r="P3466">
        <v>0</v>
      </c>
      <c r="Q3466">
        <v>0</v>
      </c>
      <c r="R3466" t="s">
        <v>32529</v>
      </c>
      <c r="S3466" t="s">
        <v>32562</v>
      </c>
      <c r="T3466" t="s">
        <v>33230</v>
      </c>
      <c r="U3466" t="s">
        <v>36565</v>
      </c>
      <c r="W3466" t="s">
        <v>30664</v>
      </c>
      <c r="X3466" t="s">
        <v>32530</v>
      </c>
    </row>
    <row r="3467" spans="1:24">
      <c r="A3467">
        <f>HYPERLINK("https://www.philgeps.gov.ph/GEPSNONPILOT/Tender/SplashBidNoticeAbstractUI.aspx?menuIndex=3&amp;refID=7043600&amp;Result=3","7043600")</f>
        <v>0</v>
      </c>
      <c r="B3467" t="s">
        <v>744</v>
      </c>
      <c r="C3467" t="s">
        <v>5993</v>
      </c>
      <c r="D3467" t="s">
        <v>13000</v>
      </c>
      <c r="E3467" t="s">
        <v>14494</v>
      </c>
      <c r="F3467" t="s">
        <v>22436</v>
      </c>
      <c r="G3467" t="s">
        <v>22444</v>
      </c>
      <c r="H3467" t="s">
        <v>22454</v>
      </c>
      <c r="I3467" t="s">
        <v>7738</v>
      </c>
      <c r="J3467" t="s">
        <v>24941</v>
      </c>
      <c r="K3467" t="s">
        <v>29334</v>
      </c>
      <c r="M3467" t="s">
        <v>30345</v>
      </c>
      <c r="N3467" t="s">
        <v>32524</v>
      </c>
      <c r="O3467" t="s">
        <v>32525</v>
      </c>
      <c r="P3467">
        <v>0</v>
      </c>
      <c r="Q3467">
        <v>0</v>
      </c>
      <c r="R3467" t="s">
        <v>32529</v>
      </c>
      <c r="S3467" t="s">
        <v>32562</v>
      </c>
      <c r="T3467" t="s">
        <v>33256</v>
      </c>
      <c r="U3467" t="s">
        <v>36566</v>
      </c>
      <c r="W3467" t="s">
        <v>30345</v>
      </c>
      <c r="X3467" t="s">
        <v>32530</v>
      </c>
    </row>
    <row r="3468" spans="1:24">
      <c r="A3468">
        <f>HYPERLINK("https://www.philgeps.gov.ph/GEPSNONPILOT/Tender/SplashBidNoticeAbstractUI.aspx?menuIndex=3&amp;refID=7043621&amp;Result=3","7043621")</f>
        <v>0</v>
      </c>
      <c r="B3468" t="s">
        <v>1224</v>
      </c>
      <c r="C3468" t="s">
        <v>5994</v>
      </c>
      <c r="D3468" t="s">
        <v>13031</v>
      </c>
      <c r="E3468" t="s">
        <v>16216</v>
      </c>
      <c r="F3468" t="s">
        <v>22436</v>
      </c>
      <c r="G3468" t="s">
        <v>22444</v>
      </c>
      <c r="H3468" t="s">
        <v>22452</v>
      </c>
      <c r="I3468" t="s">
        <v>22493</v>
      </c>
      <c r="J3468" t="s">
        <v>24942</v>
      </c>
      <c r="K3468" t="s">
        <v>29357</v>
      </c>
      <c r="M3468" t="s">
        <v>30876</v>
      </c>
      <c r="N3468" t="s">
        <v>32524</v>
      </c>
      <c r="O3468" t="s">
        <v>32525</v>
      </c>
      <c r="P3468">
        <v>0</v>
      </c>
      <c r="Q3468">
        <v>0</v>
      </c>
      <c r="R3468" t="s">
        <v>32529</v>
      </c>
      <c r="S3468" t="s">
        <v>32562</v>
      </c>
      <c r="T3468" t="s">
        <v>33411</v>
      </c>
      <c r="U3468" t="s">
        <v>36567</v>
      </c>
      <c r="V3468" t="s">
        <v>42428</v>
      </c>
      <c r="W3468" t="s">
        <v>30876</v>
      </c>
      <c r="X3468" t="s">
        <v>32530</v>
      </c>
    </row>
    <row r="3469" spans="1:24">
      <c r="A3469">
        <f>HYPERLINK("https://www.philgeps.gov.ph/GEPSNONPILOT/Tender/SplashBidNoticeAbstractUI.aspx?menuIndex=3&amp;refID=7043591&amp;Result=3","7043591")</f>
        <v>0</v>
      </c>
      <c r="B3469" t="s">
        <v>1195</v>
      </c>
      <c r="C3469" t="s">
        <v>5995</v>
      </c>
      <c r="D3469" t="s">
        <v>13017</v>
      </c>
      <c r="E3469" t="s">
        <v>16217</v>
      </c>
      <c r="F3469" t="s">
        <v>22436</v>
      </c>
      <c r="G3469" t="s">
        <v>22444</v>
      </c>
      <c r="H3469" t="s">
        <v>22454</v>
      </c>
      <c r="I3469" t="s">
        <v>7738</v>
      </c>
      <c r="J3469" t="s">
        <v>24943</v>
      </c>
      <c r="K3469" t="s">
        <v>29329</v>
      </c>
      <c r="M3469" t="s">
        <v>30842</v>
      </c>
      <c r="N3469" t="s">
        <v>32524</v>
      </c>
      <c r="O3469" t="s">
        <v>32525</v>
      </c>
      <c r="P3469">
        <v>0</v>
      </c>
      <c r="Q3469">
        <v>1</v>
      </c>
      <c r="R3469" t="s">
        <v>32529</v>
      </c>
      <c r="S3469" t="s">
        <v>32562</v>
      </c>
      <c r="T3469" t="s">
        <v>33235</v>
      </c>
      <c r="U3469" t="s">
        <v>36568</v>
      </c>
      <c r="V3469" t="s">
        <v>42766</v>
      </c>
      <c r="W3469" t="s">
        <v>30842</v>
      </c>
      <c r="X3469" t="s">
        <v>32530</v>
      </c>
    </row>
    <row r="3470" spans="1:24">
      <c r="A3470">
        <f>HYPERLINK("https://www.philgeps.gov.ph/GEPSNONPILOT/Tender/SplashBidNoticeAbstractUI.aspx?menuIndex=3&amp;refID=7043598&amp;Result=3","7043598")</f>
        <v>0</v>
      </c>
      <c r="B3470" t="s">
        <v>744</v>
      </c>
      <c r="C3470" t="s">
        <v>5996</v>
      </c>
      <c r="D3470" t="s">
        <v>13000</v>
      </c>
      <c r="E3470" t="s">
        <v>14137</v>
      </c>
      <c r="F3470" t="s">
        <v>22436</v>
      </c>
      <c r="G3470" t="s">
        <v>22444</v>
      </c>
      <c r="H3470" t="s">
        <v>22454</v>
      </c>
      <c r="I3470" t="s">
        <v>7738</v>
      </c>
      <c r="J3470" t="s">
        <v>24944</v>
      </c>
      <c r="K3470" t="s">
        <v>29333</v>
      </c>
      <c r="M3470" t="s">
        <v>30345</v>
      </c>
      <c r="N3470" t="s">
        <v>32524</v>
      </c>
      <c r="O3470" t="s">
        <v>32525</v>
      </c>
      <c r="P3470">
        <v>0</v>
      </c>
      <c r="Q3470">
        <v>1</v>
      </c>
      <c r="R3470" t="s">
        <v>32529</v>
      </c>
      <c r="S3470" t="s">
        <v>32562</v>
      </c>
      <c r="T3470" t="s">
        <v>33256</v>
      </c>
      <c r="U3470" t="s">
        <v>36569</v>
      </c>
      <c r="W3470" t="s">
        <v>30345</v>
      </c>
      <c r="X3470" t="s">
        <v>32530</v>
      </c>
    </row>
    <row r="3471" spans="1:24">
      <c r="A3471">
        <f>HYPERLINK("https://www.philgeps.gov.ph/GEPSNONPILOT/Tender/SplashBidNoticeAbstractUI.aspx?menuIndex=3&amp;refID=7043625&amp;Result=3","7043625")</f>
        <v>0</v>
      </c>
      <c r="B3471" t="s">
        <v>1225</v>
      </c>
      <c r="C3471" t="s">
        <v>5997</v>
      </c>
      <c r="D3471" t="s">
        <v>12999</v>
      </c>
      <c r="E3471" t="s">
        <v>13368</v>
      </c>
      <c r="F3471" t="s">
        <v>22436</v>
      </c>
      <c r="G3471" t="s">
        <v>22444</v>
      </c>
      <c r="H3471" t="s">
        <v>22454</v>
      </c>
      <c r="I3471" t="s">
        <v>7738</v>
      </c>
      <c r="J3471" t="s">
        <v>24945</v>
      </c>
      <c r="K3471" t="s">
        <v>29335</v>
      </c>
      <c r="M3471" t="s">
        <v>30877</v>
      </c>
      <c r="N3471" t="s">
        <v>32524</v>
      </c>
      <c r="O3471" t="s">
        <v>32525</v>
      </c>
      <c r="P3471">
        <v>0</v>
      </c>
      <c r="Q3471">
        <v>0</v>
      </c>
      <c r="R3471" t="s">
        <v>32529</v>
      </c>
      <c r="S3471" t="s">
        <v>32562</v>
      </c>
      <c r="T3471" t="s">
        <v>33235</v>
      </c>
      <c r="U3471" t="s">
        <v>36570</v>
      </c>
      <c r="W3471" t="s">
        <v>30877</v>
      </c>
      <c r="X3471" t="s">
        <v>32530</v>
      </c>
    </row>
    <row r="3472" spans="1:24">
      <c r="A3472">
        <f>HYPERLINK("https://www.philgeps.gov.ph/GEPSNONPILOT/Tender/SplashBidNoticeAbstractUI.aspx?menuIndex=3&amp;refID=7043607&amp;Result=3","7043607")</f>
        <v>0</v>
      </c>
      <c r="B3472" t="s">
        <v>725</v>
      </c>
      <c r="C3472" t="s">
        <v>5998</v>
      </c>
      <c r="D3472" t="s">
        <v>13062</v>
      </c>
      <c r="E3472" t="s">
        <v>16218</v>
      </c>
      <c r="F3472" t="s">
        <v>22436</v>
      </c>
      <c r="G3472" t="s">
        <v>22444</v>
      </c>
      <c r="H3472" t="s">
        <v>22452</v>
      </c>
      <c r="I3472" t="s">
        <v>22518</v>
      </c>
      <c r="J3472" t="s">
        <v>22624</v>
      </c>
      <c r="K3472" t="s">
        <v>29335</v>
      </c>
      <c r="M3472" t="s">
        <v>30323</v>
      </c>
      <c r="N3472" t="s">
        <v>32524</v>
      </c>
      <c r="O3472" t="s">
        <v>32525</v>
      </c>
      <c r="P3472">
        <v>0</v>
      </c>
      <c r="Q3472">
        <v>12</v>
      </c>
      <c r="R3472" t="s">
        <v>32529</v>
      </c>
      <c r="S3472" t="s">
        <v>32562</v>
      </c>
      <c r="T3472" t="s">
        <v>33212</v>
      </c>
      <c r="U3472" t="s">
        <v>36571</v>
      </c>
      <c r="W3472" t="s">
        <v>30323</v>
      </c>
      <c r="X3472" t="s">
        <v>32530</v>
      </c>
    </row>
    <row r="3473" spans="1:24">
      <c r="A3473">
        <f>HYPERLINK("https://www.philgeps.gov.ph/GEPSNONPILOT/Tender/SplashBidNoticeAbstractUI.aspx?menuIndex=3&amp;refID=7043590&amp;Result=3","7043590")</f>
        <v>0</v>
      </c>
      <c r="B3473" t="s">
        <v>1226</v>
      </c>
      <c r="C3473" t="s">
        <v>5985</v>
      </c>
      <c r="D3473" t="s">
        <v>12988</v>
      </c>
      <c r="E3473" t="s">
        <v>16219</v>
      </c>
      <c r="F3473" t="s">
        <v>22436</v>
      </c>
      <c r="G3473" t="s">
        <v>22444</v>
      </c>
      <c r="H3473" t="s">
        <v>22452</v>
      </c>
      <c r="I3473" t="s">
        <v>2981</v>
      </c>
      <c r="J3473" t="s">
        <v>24946</v>
      </c>
      <c r="K3473" t="s">
        <v>29331</v>
      </c>
      <c r="M3473" t="s">
        <v>30878</v>
      </c>
      <c r="N3473" t="s">
        <v>32524</v>
      </c>
      <c r="O3473" t="s">
        <v>32525</v>
      </c>
      <c r="P3473">
        <v>0</v>
      </c>
      <c r="Q3473">
        <v>0</v>
      </c>
      <c r="R3473" t="s">
        <v>32529</v>
      </c>
      <c r="S3473" t="s">
        <v>32562</v>
      </c>
      <c r="T3473" t="s">
        <v>33203</v>
      </c>
      <c r="U3473" t="s">
        <v>36572</v>
      </c>
      <c r="W3473" t="s">
        <v>30878</v>
      </c>
      <c r="X3473" t="s">
        <v>32530</v>
      </c>
    </row>
    <row r="3474" spans="1:24">
      <c r="A3474">
        <f>HYPERLINK("https://www.philgeps.gov.ph/GEPSNONPILOT/Tender/SplashBidNoticeAbstractUI.aspx?menuIndex=3&amp;refID=7043623&amp;Result=3","7043623")</f>
        <v>0</v>
      </c>
      <c r="B3474" t="s">
        <v>1224</v>
      </c>
      <c r="C3474" t="s">
        <v>5999</v>
      </c>
      <c r="D3474" t="s">
        <v>13031</v>
      </c>
      <c r="E3474" t="s">
        <v>16220</v>
      </c>
      <c r="F3474" t="s">
        <v>22436</v>
      </c>
      <c r="G3474" t="s">
        <v>22444</v>
      </c>
      <c r="H3474" t="s">
        <v>22452</v>
      </c>
      <c r="I3474" t="s">
        <v>22519</v>
      </c>
      <c r="J3474" t="s">
        <v>24947</v>
      </c>
      <c r="K3474" t="s">
        <v>29356</v>
      </c>
      <c r="M3474" t="s">
        <v>30876</v>
      </c>
      <c r="N3474" t="s">
        <v>32524</v>
      </c>
      <c r="O3474" t="s">
        <v>32525</v>
      </c>
      <c r="P3474">
        <v>0</v>
      </c>
      <c r="Q3474">
        <v>0</v>
      </c>
      <c r="R3474" t="s">
        <v>32529</v>
      </c>
      <c r="S3474" t="s">
        <v>32562</v>
      </c>
      <c r="T3474" t="s">
        <v>33411</v>
      </c>
      <c r="U3474" t="s">
        <v>36573</v>
      </c>
      <c r="V3474" t="s">
        <v>42428</v>
      </c>
      <c r="W3474" t="s">
        <v>30876</v>
      </c>
      <c r="X3474" t="s">
        <v>32530</v>
      </c>
    </row>
    <row r="3475" spans="1:24">
      <c r="A3475">
        <f>HYPERLINK("https://www.philgeps.gov.ph/GEPSNONPILOT/Tender/SplashBidNoticeAbstractUI.aspx?menuIndex=3&amp;refID=7043601&amp;Result=3","7043601")</f>
        <v>0</v>
      </c>
      <c r="B3475" t="s">
        <v>1223</v>
      </c>
      <c r="C3475" t="s">
        <v>6000</v>
      </c>
      <c r="D3475" t="s">
        <v>13007</v>
      </c>
      <c r="E3475" t="s">
        <v>13760</v>
      </c>
      <c r="F3475" t="s">
        <v>22436</v>
      </c>
      <c r="G3475" t="s">
        <v>22443</v>
      </c>
      <c r="H3475" t="s">
        <v>22452</v>
      </c>
      <c r="I3475" t="s">
        <v>3529</v>
      </c>
      <c r="J3475" t="s">
        <v>24948</v>
      </c>
      <c r="K3475" t="s">
        <v>29336</v>
      </c>
      <c r="M3475" t="s">
        <v>30875</v>
      </c>
      <c r="N3475" t="s">
        <v>32524</v>
      </c>
      <c r="O3475" t="s">
        <v>32525</v>
      </c>
      <c r="P3475">
        <v>0</v>
      </c>
      <c r="Q3475">
        <v>0</v>
      </c>
      <c r="R3475" t="s">
        <v>32529</v>
      </c>
      <c r="S3475" t="s">
        <v>32562</v>
      </c>
      <c r="T3475" t="s">
        <v>33304</v>
      </c>
      <c r="U3475" t="s">
        <v>36574</v>
      </c>
      <c r="W3475" t="s">
        <v>30875</v>
      </c>
      <c r="X3475" t="s">
        <v>32530</v>
      </c>
    </row>
    <row r="3476" spans="1:24">
      <c r="A3476">
        <f>HYPERLINK("https://www.philgeps.gov.ph/GEPSNONPILOT/Tender/SplashBidNoticeAbstractUI.aspx?menuIndex=3&amp;refID=7043624&amp;Result=3","7043624")</f>
        <v>0</v>
      </c>
      <c r="B3476" t="s">
        <v>1227</v>
      </c>
      <c r="C3476" t="s">
        <v>6001</v>
      </c>
      <c r="D3476" t="s">
        <v>13026</v>
      </c>
      <c r="E3476" t="s">
        <v>16221</v>
      </c>
      <c r="F3476" t="s">
        <v>22436</v>
      </c>
      <c r="G3476" t="s">
        <v>22446</v>
      </c>
      <c r="H3476" t="s">
        <v>22454</v>
      </c>
      <c r="I3476" t="s">
        <v>3529</v>
      </c>
      <c r="J3476" t="s">
        <v>24949</v>
      </c>
      <c r="K3476" t="s">
        <v>29331</v>
      </c>
      <c r="M3476" t="s">
        <v>30879</v>
      </c>
      <c r="N3476" t="s">
        <v>32524</v>
      </c>
      <c r="O3476" t="s">
        <v>32525</v>
      </c>
      <c r="P3476">
        <v>0</v>
      </c>
      <c r="Q3476">
        <v>1</v>
      </c>
      <c r="R3476" t="s">
        <v>32529</v>
      </c>
      <c r="S3476" t="s">
        <v>32562</v>
      </c>
      <c r="T3476" t="s">
        <v>33154</v>
      </c>
      <c r="U3476" t="s">
        <v>36575</v>
      </c>
      <c r="W3476" t="s">
        <v>30879</v>
      </c>
      <c r="X3476" t="s">
        <v>32530</v>
      </c>
    </row>
    <row r="3477" spans="1:24">
      <c r="A3477">
        <f>HYPERLINK("https://www.philgeps.gov.ph/GEPSNONPILOT/Tender/SplashBidNoticeAbstractUI.aspx?menuIndex=3&amp;refID=7043626&amp;Result=3","7043626")</f>
        <v>0</v>
      </c>
      <c r="B3477" t="s">
        <v>1224</v>
      </c>
      <c r="C3477" t="s">
        <v>6002</v>
      </c>
      <c r="D3477" t="s">
        <v>13031</v>
      </c>
      <c r="E3477" t="s">
        <v>16222</v>
      </c>
      <c r="F3477" t="s">
        <v>22436</v>
      </c>
      <c r="G3477" t="s">
        <v>22444</v>
      </c>
      <c r="H3477" t="s">
        <v>22452</v>
      </c>
      <c r="I3477" t="s">
        <v>22493</v>
      </c>
      <c r="J3477" t="s">
        <v>24950</v>
      </c>
      <c r="K3477" t="s">
        <v>29336</v>
      </c>
      <c r="M3477" t="s">
        <v>30876</v>
      </c>
      <c r="N3477" t="s">
        <v>32524</v>
      </c>
      <c r="O3477" t="s">
        <v>32525</v>
      </c>
      <c r="P3477">
        <v>0</v>
      </c>
      <c r="Q3477">
        <v>0</v>
      </c>
      <c r="R3477" t="s">
        <v>32529</v>
      </c>
      <c r="S3477" t="s">
        <v>32562</v>
      </c>
      <c r="T3477" t="s">
        <v>33411</v>
      </c>
      <c r="U3477" t="s">
        <v>36576</v>
      </c>
      <c r="V3477" t="s">
        <v>42428</v>
      </c>
      <c r="W3477" t="s">
        <v>30876</v>
      </c>
      <c r="X3477" t="s">
        <v>32530</v>
      </c>
    </row>
    <row r="3478" spans="1:24">
      <c r="A3478">
        <f>HYPERLINK("https://www.philgeps.gov.ph/GEPSNONPILOT/Tender/SplashBidNoticeAbstractUI.aspx?menuIndex=3&amp;refID=7043622&amp;Result=3","7043622")</f>
        <v>0</v>
      </c>
      <c r="B3478" t="s">
        <v>1228</v>
      </c>
      <c r="C3478" t="s">
        <v>6003</v>
      </c>
      <c r="D3478" t="s">
        <v>13026</v>
      </c>
      <c r="E3478" t="s">
        <v>16223</v>
      </c>
      <c r="F3478" t="s">
        <v>22436</v>
      </c>
      <c r="G3478" t="s">
        <v>22443</v>
      </c>
      <c r="H3478" t="s">
        <v>22454</v>
      </c>
      <c r="I3478" t="s">
        <v>3529</v>
      </c>
      <c r="J3478" t="s">
        <v>24951</v>
      </c>
      <c r="K3478" t="s">
        <v>29341</v>
      </c>
      <c r="M3478" t="s">
        <v>30880</v>
      </c>
      <c r="N3478" t="s">
        <v>32524</v>
      </c>
      <c r="O3478" t="s">
        <v>32525</v>
      </c>
      <c r="P3478">
        <v>0</v>
      </c>
      <c r="Q3478">
        <v>1</v>
      </c>
      <c r="R3478" t="s">
        <v>32529</v>
      </c>
      <c r="S3478" t="s">
        <v>32562</v>
      </c>
      <c r="T3478" t="s">
        <v>33196</v>
      </c>
      <c r="U3478" t="s">
        <v>36577</v>
      </c>
      <c r="W3478" t="s">
        <v>30880</v>
      </c>
      <c r="X3478" t="s">
        <v>32530</v>
      </c>
    </row>
    <row r="3479" spans="1:24">
      <c r="A3479">
        <f>HYPERLINK("https://www.philgeps.gov.ph/GEPSNONPILOT/Tender/SplashBidNoticeAbstractUI.aspx?menuIndex=3&amp;refID=7043643&amp;Result=3","7043643")</f>
        <v>0</v>
      </c>
      <c r="B3479" t="s">
        <v>1229</v>
      </c>
      <c r="C3479" t="s">
        <v>6004</v>
      </c>
      <c r="D3479" t="s">
        <v>13026</v>
      </c>
      <c r="E3479" t="s">
        <v>16224</v>
      </c>
      <c r="F3479" t="s">
        <v>22436</v>
      </c>
      <c r="G3479" t="s">
        <v>22443</v>
      </c>
      <c r="H3479" t="s">
        <v>22452</v>
      </c>
      <c r="I3479" t="s">
        <v>22476</v>
      </c>
      <c r="J3479" t="s">
        <v>22675</v>
      </c>
      <c r="K3479" t="s">
        <v>29337</v>
      </c>
      <c r="M3479" t="s">
        <v>30881</v>
      </c>
      <c r="N3479" t="s">
        <v>32524</v>
      </c>
      <c r="O3479" t="s">
        <v>32525</v>
      </c>
      <c r="P3479">
        <v>0</v>
      </c>
      <c r="Q3479">
        <v>2</v>
      </c>
      <c r="R3479" t="s">
        <v>32529</v>
      </c>
      <c r="S3479" t="s">
        <v>32562</v>
      </c>
      <c r="T3479" t="s">
        <v>33220</v>
      </c>
      <c r="U3479" t="s">
        <v>36578</v>
      </c>
      <c r="V3479" t="s">
        <v>42767</v>
      </c>
      <c r="W3479" t="s">
        <v>30881</v>
      </c>
      <c r="X3479" t="s">
        <v>32530</v>
      </c>
    </row>
    <row r="3480" spans="1:24">
      <c r="A3480">
        <f>HYPERLINK("https://www.philgeps.gov.ph/GEPSNONPILOT/Tender/SplashBidNoticeAbstractUI.aspx?menuIndex=3&amp;refID=7043641&amp;Result=3","7043641")</f>
        <v>0</v>
      </c>
      <c r="B3480" t="s">
        <v>1223</v>
      </c>
      <c r="C3480" t="s">
        <v>6005</v>
      </c>
      <c r="D3480" t="s">
        <v>13007</v>
      </c>
      <c r="E3480" t="s">
        <v>16225</v>
      </c>
      <c r="F3480" t="s">
        <v>22436</v>
      </c>
      <c r="G3480" t="s">
        <v>22443</v>
      </c>
      <c r="H3480" t="s">
        <v>22452</v>
      </c>
      <c r="I3480" t="s">
        <v>3529</v>
      </c>
      <c r="J3480" t="s">
        <v>24952</v>
      </c>
      <c r="K3480" t="s">
        <v>29336</v>
      </c>
      <c r="M3480" t="s">
        <v>30875</v>
      </c>
      <c r="N3480" t="s">
        <v>32524</v>
      </c>
      <c r="O3480" t="s">
        <v>32525</v>
      </c>
      <c r="P3480">
        <v>0</v>
      </c>
      <c r="Q3480">
        <v>0</v>
      </c>
      <c r="R3480" t="s">
        <v>32529</v>
      </c>
      <c r="S3480" t="s">
        <v>32562</v>
      </c>
      <c r="T3480" t="s">
        <v>33304</v>
      </c>
      <c r="U3480" t="s">
        <v>36579</v>
      </c>
      <c r="W3480" t="s">
        <v>30875</v>
      </c>
      <c r="X3480" t="s">
        <v>32530</v>
      </c>
    </row>
    <row r="3481" spans="1:24">
      <c r="A3481">
        <f>HYPERLINK("https://www.philgeps.gov.ph/GEPSNONPILOT/Tender/SplashBidNoticeAbstractUI.aspx?menuIndex=3&amp;refID=7043639&amp;Result=3","7043639")</f>
        <v>0</v>
      </c>
      <c r="B3481" t="s">
        <v>1229</v>
      </c>
      <c r="C3481" t="s">
        <v>6006</v>
      </c>
      <c r="D3481" t="s">
        <v>13026</v>
      </c>
      <c r="E3481" t="s">
        <v>16226</v>
      </c>
      <c r="F3481" t="s">
        <v>22436</v>
      </c>
      <c r="G3481" t="s">
        <v>22443</v>
      </c>
      <c r="H3481" t="s">
        <v>22452</v>
      </c>
      <c r="I3481" t="s">
        <v>2962</v>
      </c>
      <c r="J3481" t="s">
        <v>24953</v>
      </c>
      <c r="K3481" t="s">
        <v>29336</v>
      </c>
      <c r="M3481" t="s">
        <v>30881</v>
      </c>
      <c r="N3481" t="s">
        <v>32524</v>
      </c>
      <c r="O3481" t="s">
        <v>32525</v>
      </c>
      <c r="P3481">
        <v>0</v>
      </c>
      <c r="Q3481">
        <v>0</v>
      </c>
      <c r="R3481" t="s">
        <v>32529</v>
      </c>
      <c r="S3481" t="s">
        <v>32562</v>
      </c>
      <c r="T3481" t="s">
        <v>33220</v>
      </c>
      <c r="U3481" t="s">
        <v>36580</v>
      </c>
      <c r="W3481" t="s">
        <v>30881</v>
      </c>
      <c r="X3481" t="s">
        <v>32530</v>
      </c>
    </row>
    <row r="3482" spans="1:24">
      <c r="A3482">
        <f>HYPERLINK("https://www.philgeps.gov.ph/GEPSNONPILOT/Tender/SplashBidNoticeAbstractUI.aspx?menuIndex=3&amp;refID=7043651&amp;Result=3","7043651")</f>
        <v>0</v>
      </c>
      <c r="B3482" t="s">
        <v>1230</v>
      </c>
      <c r="C3482" t="s">
        <v>6007</v>
      </c>
      <c r="D3482" t="s">
        <v>12999</v>
      </c>
      <c r="E3482" t="s">
        <v>13503</v>
      </c>
      <c r="F3482" t="s">
        <v>22436</v>
      </c>
      <c r="G3482" t="s">
        <v>22444</v>
      </c>
      <c r="H3482" t="s">
        <v>22452</v>
      </c>
      <c r="I3482" t="s">
        <v>5194</v>
      </c>
      <c r="J3482" t="s">
        <v>24954</v>
      </c>
      <c r="K3482" t="s">
        <v>29333</v>
      </c>
      <c r="M3482" t="s">
        <v>30882</v>
      </c>
      <c r="N3482" t="s">
        <v>32524</v>
      </c>
      <c r="O3482" t="s">
        <v>32525</v>
      </c>
      <c r="P3482">
        <v>0</v>
      </c>
      <c r="Q3482">
        <v>1</v>
      </c>
      <c r="R3482" t="s">
        <v>32529</v>
      </c>
      <c r="S3482" t="s">
        <v>32562</v>
      </c>
      <c r="T3482" t="s">
        <v>33235</v>
      </c>
      <c r="U3482" t="s">
        <v>36570</v>
      </c>
      <c r="V3482" t="s">
        <v>42768</v>
      </c>
      <c r="W3482" t="s">
        <v>30882</v>
      </c>
      <c r="X3482" t="s">
        <v>32530</v>
      </c>
    </row>
    <row r="3483" spans="1:24">
      <c r="A3483">
        <f>HYPERLINK("https://www.philgeps.gov.ph/GEPSNONPILOT/Tender/SplashBidNoticeAbstractUI.aspx?menuIndex=3&amp;refID=7043636&amp;Result=3","7043636")</f>
        <v>0</v>
      </c>
      <c r="B3483" t="s">
        <v>1231</v>
      </c>
      <c r="C3483" t="s">
        <v>6008</v>
      </c>
      <c r="D3483" t="s">
        <v>12999</v>
      </c>
      <c r="E3483" t="s">
        <v>16227</v>
      </c>
      <c r="F3483" t="s">
        <v>22436</v>
      </c>
      <c r="G3483" t="s">
        <v>22444</v>
      </c>
      <c r="H3483" t="s">
        <v>22454</v>
      </c>
      <c r="I3483" t="s">
        <v>7738</v>
      </c>
      <c r="J3483" t="s">
        <v>22971</v>
      </c>
      <c r="K3483" t="s">
        <v>29334</v>
      </c>
      <c r="M3483" t="s">
        <v>30883</v>
      </c>
      <c r="N3483" t="s">
        <v>32524</v>
      </c>
      <c r="O3483" t="s">
        <v>32525</v>
      </c>
      <c r="P3483">
        <v>0</v>
      </c>
      <c r="Q3483">
        <v>0</v>
      </c>
      <c r="R3483" t="s">
        <v>32529</v>
      </c>
      <c r="S3483" t="s">
        <v>32562</v>
      </c>
      <c r="T3483" t="s">
        <v>33389</v>
      </c>
      <c r="U3483" t="s">
        <v>36581</v>
      </c>
      <c r="W3483" t="s">
        <v>30883</v>
      </c>
      <c r="X3483" t="s">
        <v>32530</v>
      </c>
    </row>
    <row r="3484" spans="1:24">
      <c r="A3484">
        <f>HYPERLINK("https://www.philgeps.gov.ph/GEPSNONPILOT/Tender/SplashBidNoticeAbstractUI.aspx?menuIndex=3&amp;refID=7043637&amp;Result=3","7043637")</f>
        <v>0</v>
      </c>
      <c r="B3484" t="s">
        <v>913</v>
      </c>
      <c r="C3484" t="s">
        <v>6009</v>
      </c>
      <c r="D3484" t="s">
        <v>13026</v>
      </c>
      <c r="E3484" t="s">
        <v>16228</v>
      </c>
      <c r="F3484" t="s">
        <v>22436</v>
      </c>
      <c r="G3484" t="s">
        <v>22446</v>
      </c>
      <c r="H3484" t="s">
        <v>22452</v>
      </c>
      <c r="I3484" t="s">
        <v>3529</v>
      </c>
      <c r="J3484" t="s">
        <v>24242</v>
      </c>
      <c r="K3484" t="s">
        <v>29336</v>
      </c>
      <c r="M3484" t="s">
        <v>30527</v>
      </c>
      <c r="N3484" t="s">
        <v>32524</v>
      </c>
      <c r="O3484" t="s">
        <v>32525</v>
      </c>
      <c r="P3484">
        <v>0</v>
      </c>
      <c r="Q3484">
        <v>0</v>
      </c>
      <c r="R3484" t="s">
        <v>32529</v>
      </c>
      <c r="S3484" t="s">
        <v>32562</v>
      </c>
      <c r="T3484" t="s">
        <v>33339</v>
      </c>
      <c r="U3484" t="s">
        <v>36582</v>
      </c>
      <c r="W3484" t="s">
        <v>30527</v>
      </c>
      <c r="X3484" t="s">
        <v>32530</v>
      </c>
    </row>
    <row r="3485" spans="1:24">
      <c r="A3485">
        <f>HYPERLINK("https://www.philgeps.gov.ph/GEPSNONPILOT/Tender/SplashBidNoticeAbstractUI.aspx?menuIndex=3&amp;refID=7043642&amp;Result=3","7043642")</f>
        <v>0</v>
      </c>
      <c r="B3485" t="s">
        <v>1231</v>
      </c>
      <c r="C3485" t="s">
        <v>6010</v>
      </c>
      <c r="D3485" t="s">
        <v>12999</v>
      </c>
      <c r="E3485" t="s">
        <v>16229</v>
      </c>
      <c r="F3485" t="s">
        <v>22436</v>
      </c>
      <c r="G3485" t="s">
        <v>22444</v>
      </c>
      <c r="H3485" t="s">
        <v>22454</v>
      </c>
      <c r="I3485" t="s">
        <v>7738</v>
      </c>
      <c r="J3485" t="s">
        <v>22971</v>
      </c>
      <c r="K3485" t="s">
        <v>29334</v>
      </c>
      <c r="M3485" t="s">
        <v>30883</v>
      </c>
      <c r="N3485" t="s">
        <v>32524</v>
      </c>
      <c r="O3485" t="s">
        <v>32525</v>
      </c>
      <c r="P3485">
        <v>0</v>
      </c>
      <c r="Q3485">
        <v>0</v>
      </c>
      <c r="R3485" t="s">
        <v>32529</v>
      </c>
      <c r="S3485" t="s">
        <v>32562</v>
      </c>
      <c r="T3485" t="s">
        <v>33389</v>
      </c>
      <c r="U3485" t="s">
        <v>36581</v>
      </c>
      <c r="W3485" t="s">
        <v>30883</v>
      </c>
      <c r="X3485" t="s">
        <v>32530</v>
      </c>
    </row>
    <row r="3486" spans="1:24">
      <c r="A3486">
        <f>HYPERLINK("https://www.philgeps.gov.ph/GEPSNONPILOT/Tender/SplashBidNoticeAbstractUI.aspx?menuIndex=3&amp;refID=7043638&amp;Result=3","7043638")</f>
        <v>0</v>
      </c>
      <c r="B3486" t="s">
        <v>913</v>
      </c>
      <c r="C3486" t="s">
        <v>6011</v>
      </c>
      <c r="D3486" t="s">
        <v>13026</v>
      </c>
      <c r="E3486" t="s">
        <v>16230</v>
      </c>
      <c r="F3486" t="s">
        <v>22436</v>
      </c>
      <c r="G3486" t="s">
        <v>22446</v>
      </c>
      <c r="H3486" t="s">
        <v>22452</v>
      </c>
      <c r="I3486" t="s">
        <v>3529</v>
      </c>
      <c r="J3486" t="s">
        <v>24955</v>
      </c>
      <c r="K3486" t="s">
        <v>29336</v>
      </c>
      <c r="M3486" t="s">
        <v>30527</v>
      </c>
      <c r="N3486" t="s">
        <v>32524</v>
      </c>
      <c r="O3486" t="s">
        <v>32525</v>
      </c>
      <c r="P3486">
        <v>0</v>
      </c>
      <c r="Q3486">
        <v>0</v>
      </c>
      <c r="R3486" t="s">
        <v>32529</v>
      </c>
      <c r="S3486" t="s">
        <v>32562</v>
      </c>
      <c r="T3486" t="s">
        <v>33339</v>
      </c>
      <c r="U3486" t="s">
        <v>36583</v>
      </c>
      <c r="W3486" t="s">
        <v>30527</v>
      </c>
      <c r="X3486" t="s">
        <v>32530</v>
      </c>
    </row>
    <row r="3487" spans="1:24">
      <c r="A3487">
        <f>HYPERLINK("https://www.philgeps.gov.ph/GEPSNONPILOT/Tender/SplashBidNoticeAbstractUI.aspx?menuIndex=3&amp;refID=7043652&amp;Result=3","7043652")</f>
        <v>0</v>
      </c>
      <c r="B3487" t="s">
        <v>1223</v>
      </c>
      <c r="C3487" t="s">
        <v>6012</v>
      </c>
      <c r="D3487" t="s">
        <v>13007</v>
      </c>
      <c r="E3487" t="s">
        <v>16231</v>
      </c>
      <c r="F3487" t="s">
        <v>22436</v>
      </c>
      <c r="G3487" t="s">
        <v>22443</v>
      </c>
      <c r="H3487" t="s">
        <v>22452</v>
      </c>
      <c r="I3487" t="s">
        <v>3529</v>
      </c>
      <c r="J3487" t="s">
        <v>24956</v>
      </c>
      <c r="K3487" t="s">
        <v>29336</v>
      </c>
      <c r="M3487" t="s">
        <v>30875</v>
      </c>
      <c r="N3487" t="s">
        <v>32524</v>
      </c>
      <c r="O3487" t="s">
        <v>32525</v>
      </c>
      <c r="P3487">
        <v>0</v>
      </c>
      <c r="Q3487">
        <v>0</v>
      </c>
      <c r="R3487" t="s">
        <v>32529</v>
      </c>
      <c r="S3487" t="s">
        <v>32562</v>
      </c>
      <c r="T3487" t="s">
        <v>33304</v>
      </c>
      <c r="U3487" t="s">
        <v>36584</v>
      </c>
      <c r="W3487" t="s">
        <v>30875</v>
      </c>
      <c r="X3487" t="s">
        <v>32530</v>
      </c>
    </row>
    <row r="3488" spans="1:24">
      <c r="A3488">
        <f>HYPERLINK("https://www.philgeps.gov.ph/GEPSNONPILOT/Tender/SplashBidNoticeAbstractUI.aspx?menuIndex=3&amp;refID=7043664&amp;Result=3","7043664")</f>
        <v>0</v>
      </c>
      <c r="B3488" t="s">
        <v>1223</v>
      </c>
      <c r="C3488" t="s">
        <v>6013</v>
      </c>
      <c r="D3488" t="s">
        <v>13007</v>
      </c>
      <c r="E3488" t="s">
        <v>13483</v>
      </c>
      <c r="F3488" t="s">
        <v>22436</v>
      </c>
      <c r="G3488" t="s">
        <v>22443</v>
      </c>
      <c r="H3488" t="s">
        <v>22452</v>
      </c>
      <c r="I3488" t="s">
        <v>2981</v>
      </c>
      <c r="J3488" t="s">
        <v>23191</v>
      </c>
      <c r="K3488" t="s">
        <v>29336</v>
      </c>
      <c r="M3488" t="s">
        <v>30875</v>
      </c>
      <c r="N3488" t="s">
        <v>32524</v>
      </c>
      <c r="O3488" t="s">
        <v>32525</v>
      </c>
      <c r="P3488">
        <v>0</v>
      </c>
      <c r="Q3488">
        <v>2</v>
      </c>
      <c r="R3488" t="s">
        <v>32529</v>
      </c>
      <c r="S3488" t="s">
        <v>32562</v>
      </c>
      <c r="T3488" t="s">
        <v>33304</v>
      </c>
      <c r="U3488" t="s">
        <v>36585</v>
      </c>
      <c r="W3488" t="s">
        <v>30875</v>
      </c>
      <c r="X3488" t="s">
        <v>32530</v>
      </c>
    </row>
    <row r="3489" spans="1:24">
      <c r="A3489">
        <f>HYPERLINK("https://www.philgeps.gov.ph/GEPSNONPILOT/Tender/SplashBidNoticeAbstractUI.aspx?menuIndex=3&amp;refID=7043630&amp;Result=3","7043630")</f>
        <v>0</v>
      </c>
      <c r="B3489" t="s">
        <v>1224</v>
      </c>
      <c r="C3489" t="s">
        <v>6014</v>
      </c>
      <c r="D3489" t="s">
        <v>13031</v>
      </c>
      <c r="E3489" t="s">
        <v>16232</v>
      </c>
      <c r="F3489" t="s">
        <v>22436</v>
      </c>
      <c r="G3489" t="s">
        <v>22444</v>
      </c>
      <c r="H3489" t="s">
        <v>22452</v>
      </c>
      <c r="I3489" t="s">
        <v>22493</v>
      </c>
      <c r="J3489" t="s">
        <v>24957</v>
      </c>
      <c r="K3489" t="s">
        <v>29336</v>
      </c>
      <c r="M3489" t="s">
        <v>30876</v>
      </c>
      <c r="N3489" t="s">
        <v>32524</v>
      </c>
      <c r="O3489" t="s">
        <v>32525</v>
      </c>
      <c r="P3489">
        <v>0</v>
      </c>
      <c r="Q3489">
        <v>1</v>
      </c>
      <c r="R3489" t="s">
        <v>32529</v>
      </c>
      <c r="S3489" t="s">
        <v>32562</v>
      </c>
      <c r="T3489" t="s">
        <v>33411</v>
      </c>
      <c r="U3489" t="s">
        <v>36586</v>
      </c>
      <c r="V3489" t="s">
        <v>42428</v>
      </c>
      <c r="W3489" t="s">
        <v>30876</v>
      </c>
      <c r="X3489" t="s">
        <v>32530</v>
      </c>
    </row>
    <row r="3490" spans="1:24">
      <c r="A3490">
        <f>HYPERLINK("https://www.philgeps.gov.ph/GEPSNONPILOT/Tender/SplashBidNoticeAbstractUI.aspx?menuIndex=3&amp;refID=7043661&amp;Result=3","7043661")</f>
        <v>0</v>
      </c>
      <c r="B3490" t="s">
        <v>1223</v>
      </c>
      <c r="C3490" t="s">
        <v>6015</v>
      </c>
      <c r="D3490" t="s">
        <v>13007</v>
      </c>
      <c r="E3490" t="s">
        <v>14968</v>
      </c>
      <c r="F3490" t="s">
        <v>22436</v>
      </c>
      <c r="G3490" t="s">
        <v>22443</v>
      </c>
      <c r="H3490" t="s">
        <v>22452</v>
      </c>
      <c r="I3490" t="s">
        <v>22494</v>
      </c>
      <c r="J3490" t="s">
        <v>24958</v>
      </c>
      <c r="K3490" t="s">
        <v>29336</v>
      </c>
      <c r="M3490" t="s">
        <v>30875</v>
      </c>
      <c r="N3490" t="s">
        <v>32524</v>
      </c>
      <c r="O3490" t="s">
        <v>32525</v>
      </c>
      <c r="P3490">
        <v>0</v>
      </c>
      <c r="Q3490">
        <v>1</v>
      </c>
      <c r="R3490" t="s">
        <v>32529</v>
      </c>
      <c r="S3490" t="s">
        <v>32562</v>
      </c>
      <c r="T3490" t="s">
        <v>33304</v>
      </c>
      <c r="U3490" t="s">
        <v>36587</v>
      </c>
      <c r="W3490" t="s">
        <v>30875</v>
      </c>
      <c r="X3490" t="s">
        <v>32530</v>
      </c>
    </row>
    <row r="3491" spans="1:24">
      <c r="A3491">
        <f>HYPERLINK("https://www.philgeps.gov.ph/GEPSNONPILOT/Tender/SplashBidNoticeAbstractUI.aspx?menuIndex=3&amp;refID=7043654&amp;Result=3","7043654")</f>
        <v>0</v>
      </c>
      <c r="B3491" t="s">
        <v>1232</v>
      </c>
      <c r="C3491" t="s">
        <v>6016</v>
      </c>
      <c r="D3491" t="s">
        <v>13022</v>
      </c>
      <c r="E3491" t="s">
        <v>14134</v>
      </c>
      <c r="F3491" t="s">
        <v>22436</v>
      </c>
      <c r="G3491" t="s">
        <v>22444</v>
      </c>
      <c r="H3491" t="s">
        <v>22454</v>
      </c>
      <c r="I3491" t="s">
        <v>7738</v>
      </c>
      <c r="J3491" t="s">
        <v>24959</v>
      </c>
      <c r="K3491" t="s">
        <v>29346</v>
      </c>
      <c r="M3491" t="s">
        <v>30884</v>
      </c>
      <c r="N3491" t="s">
        <v>32524</v>
      </c>
      <c r="O3491" t="s">
        <v>32525</v>
      </c>
      <c r="P3491">
        <v>0</v>
      </c>
      <c r="Q3491">
        <v>0</v>
      </c>
      <c r="R3491" t="s">
        <v>32529</v>
      </c>
      <c r="S3491" t="s">
        <v>32562</v>
      </c>
      <c r="T3491" t="s">
        <v>33170</v>
      </c>
      <c r="U3491" t="s">
        <v>36588</v>
      </c>
      <c r="W3491" t="s">
        <v>30884</v>
      </c>
      <c r="X3491" t="s">
        <v>32530</v>
      </c>
    </row>
    <row r="3492" spans="1:24">
      <c r="A3492">
        <f>HYPERLINK("https://www.philgeps.gov.ph/GEPSNONPILOT/Tender/SplashBidNoticeAbstractUI.aspx?menuIndex=3&amp;refID=7043631&amp;Result=3","7043631")</f>
        <v>0</v>
      </c>
      <c r="B3492" t="s">
        <v>1231</v>
      </c>
      <c r="C3492" t="s">
        <v>6017</v>
      </c>
      <c r="D3492" t="s">
        <v>12999</v>
      </c>
      <c r="E3492" t="s">
        <v>16233</v>
      </c>
      <c r="F3492" t="s">
        <v>22436</v>
      </c>
      <c r="G3492" t="s">
        <v>22444</v>
      </c>
      <c r="H3492" t="s">
        <v>22454</v>
      </c>
      <c r="I3492" t="s">
        <v>7738</v>
      </c>
      <c r="J3492" t="s">
        <v>22971</v>
      </c>
      <c r="K3492" t="s">
        <v>29334</v>
      </c>
      <c r="M3492" t="s">
        <v>30883</v>
      </c>
      <c r="N3492" t="s">
        <v>32524</v>
      </c>
      <c r="O3492" t="s">
        <v>32525</v>
      </c>
      <c r="P3492">
        <v>0</v>
      </c>
      <c r="Q3492">
        <v>0</v>
      </c>
      <c r="R3492" t="s">
        <v>32529</v>
      </c>
      <c r="S3492" t="s">
        <v>32562</v>
      </c>
      <c r="T3492" t="s">
        <v>33389</v>
      </c>
      <c r="U3492" t="s">
        <v>36581</v>
      </c>
      <c r="W3492" t="s">
        <v>30883</v>
      </c>
      <c r="X3492" t="s">
        <v>32530</v>
      </c>
    </row>
    <row r="3493" spans="1:24">
      <c r="A3493">
        <f>HYPERLINK("https://www.philgeps.gov.ph/GEPSNONPILOT/Tender/SplashBidNoticeAbstractUI.aspx?menuIndex=3&amp;refID=7043667&amp;Result=3","7043667")</f>
        <v>0</v>
      </c>
      <c r="B3493" t="s">
        <v>1233</v>
      </c>
      <c r="C3493" t="s">
        <v>6018</v>
      </c>
      <c r="D3493" t="s">
        <v>13033</v>
      </c>
      <c r="E3493" t="s">
        <v>16234</v>
      </c>
      <c r="F3493" t="s">
        <v>22436</v>
      </c>
      <c r="G3493" t="s">
        <v>22443</v>
      </c>
      <c r="H3493" t="s">
        <v>22452</v>
      </c>
      <c r="I3493" t="s">
        <v>12358</v>
      </c>
      <c r="J3493" t="s">
        <v>24960</v>
      </c>
      <c r="K3493" t="s">
        <v>29342</v>
      </c>
      <c r="M3493" t="s">
        <v>30885</v>
      </c>
      <c r="N3493" t="s">
        <v>32524</v>
      </c>
      <c r="O3493" t="s">
        <v>32525</v>
      </c>
      <c r="P3493">
        <v>0</v>
      </c>
      <c r="Q3493">
        <v>1</v>
      </c>
      <c r="R3493" t="s">
        <v>32529</v>
      </c>
      <c r="S3493" t="s">
        <v>32562</v>
      </c>
      <c r="T3493" t="s">
        <v>33220</v>
      </c>
      <c r="U3493" t="s">
        <v>36589</v>
      </c>
      <c r="W3493" t="s">
        <v>43710</v>
      </c>
      <c r="X3493" t="s">
        <v>32530</v>
      </c>
    </row>
    <row r="3494" spans="1:24">
      <c r="A3494">
        <f>HYPERLINK("https://www.philgeps.gov.ph/GEPSNONPILOT/Tender/SplashBidNoticeAbstractUI.aspx?menuIndex=3&amp;refID=7043659&amp;Result=3","7043659")</f>
        <v>0</v>
      </c>
      <c r="B3494" t="s">
        <v>1223</v>
      </c>
      <c r="C3494" t="s">
        <v>6019</v>
      </c>
      <c r="D3494" t="s">
        <v>13007</v>
      </c>
      <c r="E3494" t="s">
        <v>15687</v>
      </c>
      <c r="F3494" t="s">
        <v>22436</v>
      </c>
      <c r="G3494" t="s">
        <v>22443</v>
      </c>
      <c r="H3494" t="s">
        <v>22452</v>
      </c>
      <c r="I3494" t="s">
        <v>22456</v>
      </c>
      <c r="J3494" t="s">
        <v>22986</v>
      </c>
      <c r="K3494" t="s">
        <v>29336</v>
      </c>
      <c r="M3494" t="s">
        <v>30875</v>
      </c>
      <c r="N3494" t="s">
        <v>32524</v>
      </c>
      <c r="O3494" t="s">
        <v>32525</v>
      </c>
      <c r="P3494">
        <v>0</v>
      </c>
      <c r="Q3494">
        <v>2</v>
      </c>
      <c r="R3494" t="s">
        <v>32529</v>
      </c>
      <c r="S3494" t="s">
        <v>32562</v>
      </c>
      <c r="T3494" t="s">
        <v>33304</v>
      </c>
      <c r="U3494" t="s">
        <v>36590</v>
      </c>
      <c r="W3494" t="s">
        <v>30875</v>
      </c>
      <c r="X3494" t="s">
        <v>32530</v>
      </c>
    </row>
    <row r="3495" spans="1:24">
      <c r="A3495">
        <f>HYPERLINK("https://www.philgeps.gov.ph/GEPSNONPILOT/Tender/SplashBidNoticeAbstractUI.aspx?menuIndex=3&amp;refID=7043662&amp;Result=3","7043662")</f>
        <v>0</v>
      </c>
      <c r="B3495" t="s">
        <v>1234</v>
      </c>
      <c r="C3495" t="s">
        <v>6020</v>
      </c>
      <c r="E3495" t="s">
        <v>16235</v>
      </c>
      <c r="F3495" t="s">
        <v>22436</v>
      </c>
      <c r="G3495" t="s">
        <v>22443</v>
      </c>
      <c r="H3495" t="s">
        <v>22452</v>
      </c>
      <c r="I3495" t="s">
        <v>22466</v>
      </c>
      <c r="J3495" t="s">
        <v>24961</v>
      </c>
      <c r="K3495" t="s">
        <v>29341</v>
      </c>
      <c r="M3495" t="s">
        <v>30886</v>
      </c>
      <c r="N3495" t="s">
        <v>32524</v>
      </c>
      <c r="O3495" t="s">
        <v>32525</v>
      </c>
      <c r="Q3495">
        <v>16</v>
      </c>
      <c r="R3495" t="s">
        <v>32529</v>
      </c>
      <c r="S3495" t="s">
        <v>32567</v>
      </c>
      <c r="T3495" t="s">
        <v>33252</v>
      </c>
      <c r="U3495" t="s">
        <v>36591</v>
      </c>
      <c r="W3495" t="s">
        <v>30886</v>
      </c>
      <c r="X3495" t="s">
        <v>32530</v>
      </c>
    </row>
    <row r="3496" spans="1:24">
      <c r="A3496">
        <f>HYPERLINK("https://www.philgeps.gov.ph/GEPSNONPILOT/Tender/SplashBidNoticeAbstractUI.aspx?menuIndex=3&amp;refID=7043649&amp;Result=3","7043649")</f>
        <v>0</v>
      </c>
      <c r="B3496" t="s">
        <v>1232</v>
      </c>
      <c r="C3496" t="s">
        <v>6021</v>
      </c>
      <c r="D3496" t="s">
        <v>13022</v>
      </c>
      <c r="E3496" t="s">
        <v>16236</v>
      </c>
      <c r="F3496" t="s">
        <v>22436</v>
      </c>
      <c r="G3496" t="s">
        <v>22444</v>
      </c>
      <c r="H3496" t="s">
        <v>22454</v>
      </c>
      <c r="I3496" t="s">
        <v>7738</v>
      </c>
      <c r="J3496" t="s">
        <v>24962</v>
      </c>
      <c r="K3496" t="s">
        <v>29345</v>
      </c>
      <c r="M3496" t="s">
        <v>30884</v>
      </c>
      <c r="N3496" t="s">
        <v>32524</v>
      </c>
      <c r="O3496" t="s">
        <v>32525</v>
      </c>
      <c r="P3496">
        <v>0</v>
      </c>
      <c r="Q3496">
        <v>0</v>
      </c>
      <c r="R3496" t="s">
        <v>32529</v>
      </c>
      <c r="S3496" t="s">
        <v>32562</v>
      </c>
      <c r="T3496" t="s">
        <v>33170</v>
      </c>
      <c r="U3496" t="s">
        <v>36592</v>
      </c>
      <c r="W3496" t="s">
        <v>30884</v>
      </c>
      <c r="X3496" t="s">
        <v>32530</v>
      </c>
    </row>
    <row r="3497" spans="1:24">
      <c r="A3497">
        <f>HYPERLINK("https://www.philgeps.gov.ph/GEPSNONPILOT/Tender/SplashBidNoticeAbstractUI.aspx?menuIndex=3&amp;refID=6999030&amp;Result=3","6999030")</f>
        <v>0</v>
      </c>
      <c r="B3497" t="s">
        <v>1235</v>
      </c>
      <c r="C3497" t="s">
        <v>6022</v>
      </c>
      <c r="D3497" t="s">
        <v>13011</v>
      </c>
      <c r="E3497" t="s">
        <v>16237</v>
      </c>
      <c r="F3497" t="s">
        <v>22436</v>
      </c>
      <c r="G3497" t="s">
        <v>22443</v>
      </c>
      <c r="H3497" t="s">
        <v>22452</v>
      </c>
      <c r="I3497" t="s">
        <v>3027</v>
      </c>
      <c r="J3497" t="s">
        <v>24963</v>
      </c>
      <c r="K3497" t="s">
        <v>29341</v>
      </c>
      <c r="M3497" t="s">
        <v>30887</v>
      </c>
      <c r="N3497" t="s">
        <v>32524</v>
      </c>
      <c r="O3497" t="s">
        <v>32525</v>
      </c>
      <c r="P3497">
        <v>0</v>
      </c>
      <c r="Q3497">
        <v>2</v>
      </c>
      <c r="R3497" t="s">
        <v>32530</v>
      </c>
      <c r="S3497" t="s">
        <v>32568</v>
      </c>
      <c r="T3497" t="s">
        <v>33323</v>
      </c>
      <c r="U3497" t="s">
        <v>36593</v>
      </c>
      <c r="W3497" t="s">
        <v>30887</v>
      </c>
      <c r="X3497" t="s">
        <v>43785</v>
      </c>
    </row>
    <row r="3498" spans="1:24">
      <c r="A3498">
        <f>HYPERLINK("https://www.philgeps.gov.ph/GEPSNONPILOT/Tender/SplashBidNoticeAbstractUI.aspx?menuIndex=3&amp;refID=6999393&amp;Result=3","6999393")</f>
        <v>0</v>
      </c>
      <c r="B3498" t="s">
        <v>1236</v>
      </c>
      <c r="C3498" t="s">
        <v>6023</v>
      </c>
      <c r="E3498" t="s">
        <v>16238</v>
      </c>
      <c r="F3498" t="s">
        <v>22436</v>
      </c>
      <c r="G3498" t="s">
        <v>22444</v>
      </c>
      <c r="H3498" t="s">
        <v>22452</v>
      </c>
      <c r="I3498" t="s">
        <v>22474</v>
      </c>
      <c r="J3498" t="s">
        <v>24964</v>
      </c>
      <c r="K3498" t="s">
        <v>29344</v>
      </c>
      <c r="M3498" t="s">
        <v>30888</v>
      </c>
      <c r="N3498" t="s">
        <v>32524</v>
      </c>
      <c r="O3498" t="s">
        <v>32525</v>
      </c>
      <c r="P3498">
        <v>0</v>
      </c>
      <c r="Q3498">
        <v>14</v>
      </c>
      <c r="R3498" t="s">
        <v>32530</v>
      </c>
      <c r="S3498" t="s">
        <v>32568</v>
      </c>
      <c r="T3498" t="s">
        <v>33405</v>
      </c>
      <c r="U3498" t="s">
        <v>36594</v>
      </c>
      <c r="V3498" t="s">
        <v>42769</v>
      </c>
      <c r="W3498" t="s">
        <v>30888</v>
      </c>
      <c r="X3498" t="s">
        <v>43786</v>
      </c>
    </row>
    <row r="3499" spans="1:24">
      <c r="A3499">
        <f>HYPERLINK("https://www.philgeps.gov.ph/GEPSNONPILOT/Tender/SplashBidNoticeAbstractUI.aspx?menuIndex=3&amp;refID=7043653&amp;Result=3","7043653")</f>
        <v>0</v>
      </c>
      <c r="B3499" t="s">
        <v>1054</v>
      </c>
      <c r="C3499" t="s">
        <v>6024</v>
      </c>
      <c r="D3499" t="s">
        <v>13060</v>
      </c>
      <c r="E3499" t="s">
        <v>16239</v>
      </c>
      <c r="F3499" t="s">
        <v>22436</v>
      </c>
      <c r="G3499" t="s">
        <v>22446</v>
      </c>
      <c r="H3499" t="s">
        <v>22453</v>
      </c>
      <c r="I3499" t="s">
        <v>3529</v>
      </c>
      <c r="J3499" t="s">
        <v>24965</v>
      </c>
      <c r="K3499" t="s">
        <v>29336</v>
      </c>
      <c r="M3499" t="s">
        <v>30687</v>
      </c>
      <c r="N3499" t="s">
        <v>32524</v>
      </c>
      <c r="O3499" t="s">
        <v>32525</v>
      </c>
      <c r="P3499">
        <v>0</v>
      </c>
      <c r="Q3499">
        <v>0</v>
      </c>
      <c r="R3499" t="s">
        <v>32529</v>
      </c>
      <c r="S3499" t="s">
        <v>32562</v>
      </c>
      <c r="T3499" t="s">
        <v>33167</v>
      </c>
      <c r="U3499" t="s">
        <v>36595</v>
      </c>
      <c r="W3499" t="s">
        <v>30687</v>
      </c>
      <c r="X3499" t="s">
        <v>32530</v>
      </c>
    </row>
    <row r="3500" spans="1:24">
      <c r="A3500">
        <f>HYPERLINK("https://www.philgeps.gov.ph/GEPSNONPILOT/Tender/SplashBidNoticeAbstractUI.aspx?menuIndex=3&amp;refID=6944470&amp;Result=3","6944470")</f>
        <v>0</v>
      </c>
      <c r="B3500" t="s">
        <v>1237</v>
      </c>
      <c r="C3500" t="s">
        <v>6025</v>
      </c>
      <c r="D3500" t="s">
        <v>12991</v>
      </c>
      <c r="E3500" t="s">
        <v>15101</v>
      </c>
      <c r="F3500" t="s">
        <v>22436</v>
      </c>
      <c r="G3500" t="s">
        <v>22444</v>
      </c>
      <c r="H3500" t="s">
        <v>22454</v>
      </c>
      <c r="I3500" t="s">
        <v>3529</v>
      </c>
      <c r="J3500" t="s">
        <v>22692</v>
      </c>
      <c r="K3500" t="s">
        <v>29357</v>
      </c>
      <c r="M3500" t="s">
        <v>30889</v>
      </c>
      <c r="N3500" t="s">
        <v>32524</v>
      </c>
      <c r="O3500" t="s">
        <v>32525</v>
      </c>
      <c r="P3500">
        <v>0</v>
      </c>
      <c r="Q3500">
        <v>0</v>
      </c>
      <c r="R3500" t="s">
        <v>32530</v>
      </c>
      <c r="S3500" t="s">
        <v>32568</v>
      </c>
      <c r="T3500" t="s">
        <v>33154</v>
      </c>
      <c r="U3500" t="s">
        <v>36596</v>
      </c>
      <c r="W3500" t="s">
        <v>30889</v>
      </c>
      <c r="X3500" t="s">
        <v>43787</v>
      </c>
    </row>
    <row r="3501" spans="1:24">
      <c r="A3501">
        <f>HYPERLINK("https://www.philgeps.gov.ph/GEPSNONPILOT/Tender/SplashBidNoticeAbstractUI.aspx?menuIndex=3&amp;refID=6999061&amp;Result=3","6999061")</f>
        <v>0</v>
      </c>
      <c r="B3501" t="s">
        <v>1235</v>
      </c>
      <c r="C3501" t="s">
        <v>6026</v>
      </c>
      <c r="D3501" t="s">
        <v>13011</v>
      </c>
      <c r="E3501" t="s">
        <v>16240</v>
      </c>
      <c r="F3501" t="s">
        <v>22436</v>
      </c>
      <c r="G3501" t="s">
        <v>22443</v>
      </c>
      <c r="H3501" t="s">
        <v>22452</v>
      </c>
      <c r="I3501" t="s">
        <v>3027</v>
      </c>
      <c r="J3501" t="s">
        <v>23188</v>
      </c>
      <c r="K3501" t="s">
        <v>29424</v>
      </c>
      <c r="M3501" t="s">
        <v>30887</v>
      </c>
      <c r="N3501" t="s">
        <v>32524</v>
      </c>
      <c r="O3501" t="s">
        <v>32525</v>
      </c>
      <c r="P3501">
        <v>0</v>
      </c>
      <c r="Q3501">
        <v>1</v>
      </c>
      <c r="R3501" t="s">
        <v>32530</v>
      </c>
      <c r="S3501" t="s">
        <v>32568</v>
      </c>
      <c r="T3501" t="s">
        <v>33323</v>
      </c>
      <c r="U3501" t="s">
        <v>36597</v>
      </c>
      <c r="W3501" t="s">
        <v>30887</v>
      </c>
      <c r="X3501" t="s">
        <v>43785</v>
      </c>
    </row>
    <row r="3502" spans="1:24">
      <c r="A3502">
        <f>HYPERLINK("https://www.philgeps.gov.ph/GEPSNONPILOT/Tender/SplashBidNoticeAbstractUI.aspx?menuIndex=3&amp;refID=6999043&amp;Result=3","6999043")</f>
        <v>0</v>
      </c>
      <c r="B3502" t="s">
        <v>1235</v>
      </c>
      <c r="C3502" t="s">
        <v>6027</v>
      </c>
      <c r="D3502" t="s">
        <v>13011</v>
      </c>
      <c r="E3502" t="s">
        <v>16241</v>
      </c>
      <c r="F3502" t="s">
        <v>22436</v>
      </c>
      <c r="G3502" t="s">
        <v>22445</v>
      </c>
      <c r="H3502" t="s">
        <v>22452</v>
      </c>
      <c r="I3502" t="s">
        <v>3840</v>
      </c>
      <c r="J3502" t="s">
        <v>24966</v>
      </c>
      <c r="K3502" t="s">
        <v>29352</v>
      </c>
      <c r="M3502" t="s">
        <v>30887</v>
      </c>
      <c r="N3502" t="s">
        <v>32524</v>
      </c>
      <c r="O3502" t="s">
        <v>32525</v>
      </c>
      <c r="P3502">
        <v>0</v>
      </c>
      <c r="Q3502">
        <v>4</v>
      </c>
      <c r="R3502" t="s">
        <v>32530</v>
      </c>
      <c r="S3502" t="s">
        <v>32568</v>
      </c>
      <c r="T3502" t="s">
        <v>33323</v>
      </c>
      <c r="U3502" t="s">
        <v>36598</v>
      </c>
      <c r="W3502" t="s">
        <v>30887</v>
      </c>
      <c r="X3502" t="s">
        <v>43785</v>
      </c>
    </row>
    <row r="3503" spans="1:24">
      <c r="A3503">
        <f>HYPERLINK("https://www.philgeps.gov.ph/GEPSNONPILOT/Tender/SplashBidNoticeAbstractUI.aspx?menuIndex=3&amp;refID=7043650&amp;Result=3","7043650")</f>
        <v>0</v>
      </c>
      <c r="B3503" t="s">
        <v>1054</v>
      </c>
      <c r="C3503" t="s">
        <v>6028</v>
      </c>
      <c r="D3503" t="s">
        <v>13060</v>
      </c>
      <c r="E3503" t="s">
        <v>16242</v>
      </c>
      <c r="F3503" t="s">
        <v>22436</v>
      </c>
      <c r="G3503" t="s">
        <v>22446</v>
      </c>
      <c r="H3503" t="s">
        <v>22453</v>
      </c>
      <c r="I3503" t="s">
        <v>3529</v>
      </c>
      <c r="J3503" t="s">
        <v>24967</v>
      </c>
      <c r="K3503" t="s">
        <v>29336</v>
      </c>
      <c r="M3503" t="s">
        <v>30687</v>
      </c>
      <c r="N3503" t="s">
        <v>32524</v>
      </c>
      <c r="O3503" t="s">
        <v>32525</v>
      </c>
      <c r="P3503">
        <v>0</v>
      </c>
      <c r="Q3503">
        <v>0</v>
      </c>
      <c r="R3503" t="s">
        <v>32529</v>
      </c>
      <c r="S3503" t="s">
        <v>32562</v>
      </c>
      <c r="T3503" t="s">
        <v>33161</v>
      </c>
      <c r="U3503" t="s">
        <v>36595</v>
      </c>
      <c r="W3503" t="s">
        <v>30687</v>
      </c>
      <c r="X3503" t="s">
        <v>32530</v>
      </c>
    </row>
    <row r="3504" spans="1:24">
      <c r="A3504">
        <f>HYPERLINK("https://www.philgeps.gov.ph/GEPSNONPILOT/Tender/SplashBidNoticeAbstractUI.aspx?menuIndex=3&amp;refID=6937760&amp;Result=3","6937760")</f>
        <v>0</v>
      </c>
      <c r="B3504" t="s">
        <v>1238</v>
      </c>
      <c r="C3504" t="s">
        <v>6029</v>
      </c>
      <c r="D3504" t="s">
        <v>13064</v>
      </c>
      <c r="E3504" t="s">
        <v>16243</v>
      </c>
      <c r="F3504" t="s">
        <v>22436</v>
      </c>
      <c r="G3504" t="s">
        <v>22443</v>
      </c>
      <c r="H3504" t="s">
        <v>22452</v>
      </c>
      <c r="I3504" t="s">
        <v>22502</v>
      </c>
      <c r="J3504" t="s">
        <v>24968</v>
      </c>
      <c r="K3504" t="s">
        <v>29338</v>
      </c>
      <c r="M3504" t="s">
        <v>30890</v>
      </c>
      <c r="N3504" t="s">
        <v>32524</v>
      </c>
      <c r="O3504" t="s">
        <v>32525</v>
      </c>
      <c r="P3504">
        <v>0</v>
      </c>
      <c r="Q3504">
        <v>6</v>
      </c>
      <c r="R3504" t="s">
        <v>32530</v>
      </c>
      <c r="S3504" t="s">
        <v>32568</v>
      </c>
      <c r="T3504" t="s">
        <v>33372</v>
      </c>
      <c r="U3504" t="s">
        <v>36599</v>
      </c>
      <c r="W3504" t="s">
        <v>30890</v>
      </c>
      <c r="X3504" t="s">
        <v>43777</v>
      </c>
    </row>
    <row r="3505" spans="1:24">
      <c r="A3505">
        <f>HYPERLINK("https://www.philgeps.gov.ph/GEPSNONPILOT/Tender/SplashBidNoticeAbstractUI.aspx?menuIndex=3&amp;refID=6937456&amp;Result=3","6937456")</f>
        <v>0</v>
      </c>
      <c r="B3505" t="s">
        <v>1239</v>
      </c>
      <c r="C3505" t="s">
        <v>6030</v>
      </c>
      <c r="D3505" t="s">
        <v>13041</v>
      </c>
      <c r="E3505" t="s">
        <v>16244</v>
      </c>
      <c r="F3505" t="s">
        <v>22436</v>
      </c>
      <c r="G3505" t="s">
        <v>22444</v>
      </c>
      <c r="H3505" t="s">
        <v>22454</v>
      </c>
      <c r="I3505" t="s">
        <v>7738</v>
      </c>
      <c r="J3505" t="s">
        <v>22654</v>
      </c>
      <c r="K3505" t="s">
        <v>29335</v>
      </c>
      <c r="M3505" t="s">
        <v>30891</v>
      </c>
      <c r="N3505" t="s">
        <v>32524</v>
      </c>
      <c r="O3505" t="s">
        <v>32525</v>
      </c>
      <c r="P3505">
        <v>0</v>
      </c>
      <c r="Q3505">
        <v>1</v>
      </c>
      <c r="R3505" t="s">
        <v>32530</v>
      </c>
      <c r="S3505" t="s">
        <v>32568</v>
      </c>
      <c r="T3505" t="s">
        <v>33332</v>
      </c>
      <c r="U3505" t="s">
        <v>36600</v>
      </c>
      <c r="W3505" t="s">
        <v>30891</v>
      </c>
      <c r="X3505" t="s">
        <v>43777</v>
      </c>
    </row>
    <row r="3506" spans="1:24">
      <c r="A3506">
        <f>HYPERLINK("https://www.philgeps.gov.ph/GEPSNONPILOT/Tender/SplashBidNoticeAbstractUI.aspx?menuIndex=3&amp;refID=7043672&amp;Result=3","7043672")</f>
        <v>0</v>
      </c>
      <c r="B3506" t="s">
        <v>1240</v>
      </c>
      <c r="C3506" t="s">
        <v>6031</v>
      </c>
      <c r="D3506" t="s">
        <v>13007</v>
      </c>
      <c r="E3506" t="s">
        <v>13529</v>
      </c>
      <c r="F3506" t="s">
        <v>22436</v>
      </c>
      <c r="G3506" t="s">
        <v>22443</v>
      </c>
      <c r="H3506" t="s">
        <v>22452</v>
      </c>
      <c r="I3506" t="s">
        <v>3529</v>
      </c>
      <c r="J3506" t="s">
        <v>23745</v>
      </c>
      <c r="K3506" t="s">
        <v>29336</v>
      </c>
      <c r="M3506" t="s">
        <v>30892</v>
      </c>
      <c r="N3506" t="s">
        <v>32524</v>
      </c>
      <c r="O3506" t="s">
        <v>32525</v>
      </c>
      <c r="P3506">
        <v>0</v>
      </c>
      <c r="Q3506">
        <v>1</v>
      </c>
      <c r="R3506" t="s">
        <v>32529</v>
      </c>
      <c r="S3506" t="s">
        <v>32562</v>
      </c>
      <c r="T3506" t="s">
        <v>33304</v>
      </c>
      <c r="U3506" t="s">
        <v>36601</v>
      </c>
      <c r="W3506" t="s">
        <v>30892</v>
      </c>
      <c r="X3506" t="s">
        <v>32530</v>
      </c>
    </row>
    <row r="3507" spans="1:24">
      <c r="A3507">
        <f>HYPERLINK("https://www.philgeps.gov.ph/GEPSNONPILOT/Tender/SplashBidNoticeAbstractUI.aspx?menuIndex=3&amp;refID=7043679&amp;Result=3","7043679")</f>
        <v>0</v>
      </c>
      <c r="B3507" t="s">
        <v>1241</v>
      </c>
      <c r="C3507" t="s">
        <v>6032</v>
      </c>
      <c r="D3507" t="s">
        <v>12988</v>
      </c>
      <c r="E3507" t="s">
        <v>16245</v>
      </c>
      <c r="F3507" t="s">
        <v>22436</v>
      </c>
      <c r="G3507" t="s">
        <v>22446</v>
      </c>
      <c r="H3507" t="s">
        <v>22452</v>
      </c>
      <c r="I3507" t="s">
        <v>22469</v>
      </c>
      <c r="J3507" t="s">
        <v>23226</v>
      </c>
      <c r="K3507" t="s">
        <v>29335</v>
      </c>
      <c r="M3507" t="s">
        <v>30893</v>
      </c>
      <c r="N3507" t="s">
        <v>32524</v>
      </c>
      <c r="O3507" t="s">
        <v>32525</v>
      </c>
      <c r="P3507">
        <v>0</v>
      </c>
      <c r="Q3507">
        <v>10</v>
      </c>
      <c r="R3507" t="s">
        <v>32529</v>
      </c>
      <c r="S3507" t="s">
        <v>32562</v>
      </c>
      <c r="T3507" t="s">
        <v>33392</v>
      </c>
      <c r="U3507" t="s">
        <v>36602</v>
      </c>
      <c r="W3507" t="s">
        <v>30893</v>
      </c>
      <c r="X3507" t="s">
        <v>32530</v>
      </c>
    </row>
    <row r="3508" spans="1:24">
      <c r="A3508">
        <f>HYPERLINK("https://www.philgeps.gov.ph/GEPSNONPILOT/Tender/SplashBidNoticeAbstractUI.aspx?menuIndex=3&amp;refID=7025740&amp;Result=3","7025740")</f>
        <v>0</v>
      </c>
      <c r="B3508" t="s">
        <v>1242</v>
      </c>
      <c r="C3508" t="s">
        <v>3463</v>
      </c>
      <c r="D3508" t="s">
        <v>13033</v>
      </c>
      <c r="E3508" t="s">
        <v>16246</v>
      </c>
      <c r="F3508" t="s">
        <v>22436</v>
      </c>
      <c r="G3508" t="s">
        <v>22444</v>
      </c>
      <c r="H3508" t="s">
        <v>22454</v>
      </c>
      <c r="I3508" t="s">
        <v>7738</v>
      </c>
      <c r="J3508" t="s">
        <v>22605</v>
      </c>
      <c r="K3508" t="s">
        <v>29383</v>
      </c>
      <c r="M3508" t="s">
        <v>30894</v>
      </c>
      <c r="N3508" t="s">
        <v>32524</v>
      </c>
      <c r="O3508" t="s">
        <v>32525</v>
      </c>
      <c r="P3508">
        <v>0</v>
      </c>
      <c r="Q3508">
        <v>0</v>
      </c>
      <c r="R3508" t="s">
        <v>32530</v>
      </c>
      <c r="S3508" t="s">
        <v>32568</v>
      </c>
      <c r="T3508" t="s">
        <v>33167</v>
      </c>
      <c r="U3508" t="s">
        <v>36603</v>
      </c>
      <c r="W3508" t="s">
        <v>30894</v>
      </c>
      <c r="X3508" t="s">
        <v>32539</v>
      </c>
    </row>
    <row r="3509" spans="1:24">
      <c r="A3509">
        <f>HYPERLINK("https://www.philgeps.gov.ph/GEPSNONPILOT/Tender/SplashBidNoticeAbstractUI.aspx?menuIndex=3&amp;refID=6989265&amp;Result=3","6989265")</f>
        <v>0</v>
      </c>
      <c r="B3509" t="s">
        <v>1243</v>
      </c>
      <c r="C3509" t="s">
        <v>6033</v>
      </c>
      <c r="D3509" t="s">
        <v>12994</v>
      </c>
      <c r="E3509" t="s">
        <v>16247</v>
      </c>
      <c r="F3509" t="s">
        <v>22436</v>
      </c>
      <c r="G3509" t="s">
        <v>22444</v>
      </c>
      <c r="H3509" t="s">
        <v>22452</v>
      </c>
      <c r="I3509" t="s">
        <v>22463</v>
      </c>
      <c r="J3509" t="s">
        <v>24969</v>
      </c>
      <c r="K3509" t="s">
        <v>29341</v>
      </c>
      <c r="M3509" t="s">
        <v>30895</v>
      </c>
      <c r="N3509" t="s">
        <v>32524</v>
      </c>
      <c r="O3509" t="s">
        <v>32525</v>
      </c>
      <c r="P3509">
        <v>0</v>
      </c>
      <c r="Q3509">
        <v>23</v>
      </c>
      <c r="R3509" t="s">
        <v>32530</v>
      </c>
      <c r="S3509" t="s">
        <v>32568</v>
      </c>
      <c r="T3509" t="s">
        <v>33158</v>
      </c>
      <c r="U3509" t="s">
        <v>36604</v>
      </c>
      <c r="W3509" t="s">
        <v>30895</v>
      </c>
      <c r="X3509" t="s">
        <v>43788</v>
      </c>
    </row>
    <row r="3510" spans="1:24">
      <c r="A3510">
        <f>HYPERLINK("https://www.philgeps.gov.ph/GEPSNONPILOT/Tender/SplashBidNoticeAbstractUI.aspx?menuIndex=3&amp;refID=7021927-2&amp;Result=3","7021927-2")</f>
        <v>0</v>
      </c>
      <c r="B3510" t="s">
        <v>1244</v>
      </c>
      <c r="C3510" t="s">
        <v>6034</v>
      </c>
      <c r="E3510" t="s">
        <v>16248</v>
      </c>
      <c r="F3510" t="s">
        <v>22436</v>
      </c>
      <c r="G3510" t="s">
        <v>22444</v>
      </c>
      <c r="H3510" t="s">
        <v>22455</v>
      </c>
      <c r="I3510" t="s">
        <v>22455</v>
      </c>
      <c r="J3510" t="s">
        <v>24970</v>
      </c>
      <c r="K3510" t="s">
        <v>29338</v>
      </c>
      <c r="M3510" t="s">
        <v>30896</v>
      </c>
      <c r="N3510" t="s">
        <v>32524</v>
      </c>
      <c r="O3510" t="s">
        <v>32525</v>
      </c>
      <c r="P3510">
        <v>0</v>
      </c>
      <c r="Q3510">
        <v>0</v>
      </c>
      <c r="R3510" t="s">
        <v>32530</v>
      </c>
      <c r="S3510" t="s">
        <v>32568</v>
      </c>
      <c r="T3510" t="s">
        <v>33249</v>
      </c>
      <c r="U3510" t="s">
        <v>36605</v>
      </c>
      <c r="V3510" t="s">
        <v>42770</v>
      </c>
      <c r="W3510" t="s">
        <v>30896</v>
      </c>
      <c r="X3510" t="s">
        <v>32531</v>
      </c>
    </row>
    <row r="3511" spans="1:24">
      <c r="A3511">
        <f>HYPERLINK("https://www.philgeps.gov.ph/GEPSNONPILOT/Tender/SplashBidNoticeAbstractUI.aspx?menuIndex=3&amp;refID=7021908-2&amp;Result=3","7021908-2")</f>
        <v>0</v>
      </c>
      <c r="B3511" t="s">
        <v>1244</v>
      </c>
      <c r="C3511" t="s">
        <v>6035</v>
      </c>
      <c r="E3511" t="s">
        <v>16249</v>
      </c>
      <c r="F3511" t="s">
        <v>22436</v>
      </c>
      <c r="G3511" t="s">
        <v>22444</v>
      </c>
      <c r="H3511" t="s">
        <v>22455</v>
      </c>
      <c r="I3511" t="s">
        <v>22455</v>
      </c>
      <c r="J3511" t="s">
        <v>24971</v>
      </c>
      <c r="K3511" t="s">
        <v>29338</v>
      </c>
      <c r="M3511" t="s">
        <v>30896</v>
      </c>
      <c r="N3511" t="s">
        <v>32524</v>
      </c>
      <c r="O3511" t="s">
        <v>32525</v>
      </c>
      <c r="P3511">
        <v>0</v>
      </c>
      <c r="Q3511">
        <v>0</v>
      </c>
      <c r="R3511" t="s">
        <v>32530</v>
      </c>
      <c r="S3511" t="s">
        <v>32568</v>
      </c>
      <c r="T3511" t="s">
        <v>33249</v>
      </c>
      <c r="U3511" t="s">
        <v>36606</v>
      </c>
      <c r="V3511" t="s">
        <v>42771</v>
      </c>
      <c r="W3511" t="s">
        <v>30896</v>
      </c>
      <c r="X3511" t="s">
        <v>32531</v>
      </c>
    </row>
    <row r="3512" spans="1:24">
      <c r="A3512">
        <f>HYPERLINK("https://www.philgeps.gov.ph/GEPSNONPILOT/Tender/SplashBidNoticeAbstractUI.aspx?menuIndex=3&amp;refID=7025837&amp;Result=3","7025837")</f>
        <v>0</v>
      </c>
      <c r="B3512" t="s">
        <v>1245</v>
      </c>
      <c r="C3512" t="s">
        <v>6036</v>
      </c>
      <c r="D3512" t="s">
        <v>13033</v>
      </c>
      <c r="E3512" t="s">
        <v>16250</v>
      </c>
      <c r="F3512" t="s">
        <v>22436</v>
      </c>
      <c r="G3512" t="s">
        <v>22444</v>
      </c>
      <c r="H3512" t="s">
        <v>22454</v>
      </c>
      <c r="I3512" t="s">
        <v>7738</v>
      </c>
      <c r="J3512" t="s">
        <v>22588</v>
      </c>
      <c r="K3512" t="s">
        <v>29357</v>
      </c>
      <c r="M3512" t="s">
        <v>30897</v>
      </c>
      <c r="N3512" t="s">
        <v>32524</v>
      </c>
      <c r="O3512" t="s">
        <v>32525</v>
      </c>
      <c r="P3512">
        <v>0</v>
      </c>
      <c r="Q3512">
        <v>0</v>
      </c>
      <c r="R3512" t="s">
        <v>32530</v>
      </c>
      <c r="S3512" t="s">
        <v>32568</v>
      </c>
      <c r="T3512" t="s">
        <v>33167</v>
      </c>
      <c r="U3512" t="s">
        <v>36607</v>
      </c>
      <c r="W3512" t="s">
        <v>30897</v>
      </c>
      <c r="X3512" t="s">
        <v>32539</v>
      </c>
    </row>
    <row r="3513" spans="1:24">
      <c r="A3513">
        <f>HYPERLINK("https://www.philgeps.gov.ph/GEPSNONPILOT/Tender/SplashBidNoticeAbstractUI.aspx?menuIndex=3&amp;refID=7024405&amp;Result=3","7024405")</f>
        <v>0</v>
      </c>
      <c r="B3513" t="s">
        <v>1245</v>
      </c>
      <c r="C3513" t="s">
        <v>6036</v>
      </c>
      <c r="D3513" t="s">
        <v>13033</v>
      </c>
      <c r="E3513" t="s">
        <v>16251</v>
      </c>
      <c r="F3513" t="s">
        <v>22436</v>
      </c>
      <c r="G3513" t="s">
        <v>22444</v>
      </c>
      <c r="H3513" t="s">
        <v>22454</v>
      </c>
      <c r="I3513" t="s">
        <v>7738</v>
      </c>
      <c r="J3513" t="s">
        <v>22640</v>
      </c>
      <c r="K3513" t="s">
        <v>29341</v>
      </c>
      <c r="M3513" t="s">
        <v>30897</v>
      </c>
      <c r="N3513" t="s">
        <v>32524</v>
      </c>
      <c r="O3513" t="s">
        <v>32525</v>
      </c>
      <c r="P3513">
        <v>0</v>
      </c>
      <c r="Q3513">
        <v>0</v>
      </c>
      <c r="R3513" t="s">
        <v>32530</v>
      </c>
      <c r="S3513" t="s">
        <v>32568</v>
      </c>
      <c r="T3513" t="s">
        <v>33167</v>
      </c>
      <c r="U3513" t="s">
        <v>36608</v>
      </c>
      <c r="W3513" t="s">
        <v>30897</v>
      </c>
      <c r="X3513" t="s">
        <v>32539</v>
      </c>
    </row>
    <row r="3514" spans="1:24">
      <c r="A3514">
        <f>HYPERLINK("https://www.philgeps.gov.ph/GEPSNONPILOT/Tender/SplashBidNoticeAbstractUI.aspx?menuIndex=3&amp;refID=7025927&amp;Result=3","7025927")</f>
        <v>0</v>
      </c>
      <c r="B3514" t="s">
        <v>1246</v>
      </c>
      <c r="C3514" t="s">
        <v>6036</v>
      </c>
      <c r="D3514" t="s">
        <v>13033</v>
      </c>
      <c r="E3514" t="s">
        <v>16252</v>
      </c>
      <c r="F3514" t="s">
        <v>22436</v>
      </c>
      <c r="G3514" t="s">
        <v>22444</v>
      </c>
      <c r="H3514" t="s">
        <v>22454</v>
      </c>
      <c r="I3514" t="s">
        <v>7738</v>
      </c>
      <c r="J3514" t="s">
        <v>22654</v>
      </c>
      <c r="K3514" t="s">
        <v>29424</v>
      </c>
      <c r="M3514" t="s">
        <v>30898</v>
      </c>
      <c r="N3514" t="s">
        <v>32524</v>
      </c>
      <c r="O3514" t="s">
        <v>32525</v>
      </c>
      <c r="P3514">
        <v>0</v>
      </c>
      <c r="Q3514">
        <v>0</v>
      </c>
      <c r="R3514" t="s">
        <v>32530</v>
      </c>
      <c r="S3514" t="s">
        <v>32568</v>
      </c>
      <c r="T3514" t="s">
        <v>33167</v>
      </c>
      <c r="U3514" t="s">
        <v>36609</v>
      </c>
      <c r="W3514" t="s">
        <v>30898</v>
      </c>
      <c r="X3514" t="s">
        <v>32539</v>
      </c>
    </row>
    <row r="3515" spans="1:24">
      <c r="A3515">
        <f>HYPERLINK("https://www.philgeps.gov.ph/GEPSNONPILOT/Tender/SplashBidNoticeAbstractUI.aspx?menuIndex=3&amp;refID=7028954&amp;Result=3","7028954")</f>
        <v>0</v>
      </c>
      <c r="B3515" t="s">
        <v>1247</v>
      </c>
      <c r="C3515" t="s">
        <v>6037</v>
      </c>
      <c r="D3515" t="s">
        <v>13013</v>
      </c>
      <c r="E3515" t="s">
        <v>16253</v>
      </c>
      <c r="F3515" t="s">
        <v>22436</v>
      </c>
      <c r="G3515" t="s">
        <v>22444</v>
      </c>
      <c r="H3515" t="s">
        <v>22452</v>
      </c>
      <c r="I3515" t="s">
        <v>3122</v>
      </c>
      <c r="J3515" t="s">
        <v>24972</v>
      </c>
      <c r="K3515" t="s">
        <v>29341</v>
      </c>
      <c r="M3515" t="s">
        <v>30899</v>
      </c>
      <c r="N3515" t="s">
        <v>32524</v>
      </c>
      <c r="O3515" t="s">
        <v>32525</v>
      </c>
      <c r="P3515">
        <v>0</v>
      </c>
      <c r="Q3515">
        <v>2</v>
      </c>
      <c r="R3515" t="s">
        <v>32530</v>
      </c>
      <c r="S3515" t="s">
        <v>32568</v>
      </c>
      <c r="T3515" t="s">
        <v>33212</v>
      </c>
      <c r="U3515" t="s">
        <v>36610</v>
      </c>
      <c r="W3515" t="s">
        <v>30899</v>
      </c>
      <c r="X3515" t="s">
        <v>32538</v>
      </c>
    </row>
    <row r="3516" spans="1:24">
      <c r="A3516">
        <f>HYPERLINK("https://www.philgeps.gov.ph/GEPSNONPILOT/Tender/SplashBidNoticeAbstractUI.aspx?menuIndex=3&amp;refID=7028084&amp;Result=3","7028084")</f>
        <v>0</v>
      </c>
      <c r="B3516" t="s">
        <v>1248</v>
      </c>
      <c r="C3516" t="s">
        <v>6038</v>
      </c>
      <c r="D3516" t="s">
        <v>13007</v>
      </c>
      <c r="E3516" t="s">
        <v>15768</v>
      </c>
      <c r="F3516" t="s">
        <v>22437</v>
      </c>
      <c r="G3516" t="s">
        <v>22446</v>
      </c>
      <c r="H3516" t="s">
        <v>22452</v>
      </c>
      <c r="I3516" t="s">
        <v>22465</v>
      </c>
      <c r="J3516" t="s">
        <v>24973</v>
      </c>
      <c r="K3516" t="s">
        <v>29356</v>
      </c>
      <c r="M3516" t="s">
        <v>30900</v>
      </c>
      <c r="N3516" t="s">
        <v>32524</v>
      </c>
      <c r="O3516" t="s">
        <v>32525</v>
      </c>
      <c r="P3516">
        <v>0</v>
      </c>
      <c r="Q3516">
        <v>0</v>
      </c>
      <c r="R3516" t="s">
        <v>32530</v>
      </c>
      <c r="S3516" t="s">
        <v>32568</v>
      </c>
      <c r="T3516" t="s">
        <v>33322</v>
      </c>
      <c r="U3516" t="s">
        <v>36611</v>
      </c>
      <c r="W3516" t="s">
        <v>30900</v>
      </c>
      <c r="X3516" t="s">
        <v>32538</v>
      </c>
    </row>
    <row r="3517" spans="1:24">
      <c r="A3517">
        <f>HYPERLINK("https://www.philgeps.gov.ph/GEPSNONPILOT/Tender/SplashBidNoticeAbstractUI.aspx?menuIndex=3&amp;refID=7013221-2&amp;Result=3","7013221-2")</f>
        <v>0</v>
      </c>
      <c r="B3517" t="s">
        <v>1249</v>
      </c>
      <c r="C3517" t="s">
        <v>6039</v>
      </c>
      <c r="D3517" t="s">
        <v>13032</v>
      </c>
      <c r="E3517" t="s">
        <v>16254</v>
      </c>
      <c r="F3517" t="s">
        <v>22436</v>
      </c>
      <c r="G3517" t="s">
        <v>22444</v>
      </c>
      <c r="H3517" t="s">
        <v>22455</v>
      </c>
      <c r="I3517" t="s">
        <v>22455</v>
      </c>
      <c r="J3517" t="s">
        <v>22669</v>
      </c>
      <c r="K3517" t="s">
        <v>29331</v>
      </c>
      <c r="M3517" t="s">
        <v>30901</v>
      </c>
      <c r="N3517" t="s">
        <v>32524</v>
      </c>
      <c r="O3517" t="s">
        <v>32525</v>
      </c>
      <c r="P3517">
        <v>0</v>
      </c>
      <c r="Q3517">
        <v>0</v>
      </c>
      <c r="R3517" t="s">
        <v>32530</v>
      </c>
      <c r="S3517" t="s">
        <v>32568</v>
      </c>
      <c r="T3517" t="s">
        <v>33160</v>
      </c>
      <c r="U3517" t="s">
        <v>36612</v>
      </c>
      <c r="W3517" t="s">
        <v>30901</v>
      </c>
      <c r="X3517" t="s">
        <v>32531</v>
      </c>
    </row>
    <row r="3518" spans="1:24">
      <c r="A3518">
        <f>HYPERLINK("https://www.philgeps.gov.ph/GEPSNONPILOT/Tender/SplashBidNoticeAbstractUI.aspx?menuIndex=3&amp;refID=7009914&amp;Result=3","7009914")</f>
        <v>0</v>
      </c>
      <c r="B3518" t="s">
        <v>1250</v>
      </c>
      <c r="C3518" t="s">
        <v>6040</v>
      </c>
      <c r="D3518" t="s">
        <v>13006</v>
      </c>
      <c r="E3518" t="s">
        <v>14594</v>
      </c>
      <c r="F3518" t="s">
        <v>22436</v>
      </c>
      <c r="G3518" t="s">
        <v>22444</v>
      </c>
      <c r="H3518" t="s">
        <v>22452</v>
      </c>
      <c r="I3518" t="s">
        <v>22456</v>
      </c>
      <c r="J3518" t="s">
        <v>24974</v>
      </c>
      <c r="K3518" t="s">
        <v>29335</v>
      </c>
      <c r="M3518" t="s">
        <v>30902</v>
      </c>
      <c r="N3518" t="s">
        <v>32524</v>
      </c>
      <c r="O3518" t="s">
        <v>32525</v>
      </c>
      <c r="P3518">
        <v>0</v>
      </c>
      <c r="Q3518">
        <v>2</v>
      </c>
      <c r="R3518" t="s">
        <v>32530</v>
      </c>
      <c r="S3518" t="s">
        <v>32568</v>
      </c>
      <c r="T3518" t="s">
        <v>33301</v>
      </c>
      <c r="U3518" t="s">
        <v>36613</v>
      </c>
      <c r="W3518" t="s">
        <v>30902</v>
      </c>
      <c r="X3518" t="s">
        <v>43778</v>
      </c>
    </row>
    <row r="3519" spans="1:24">
      <c r="A3519">
        <f>HYPERLINK("https://www.philgeps.gov.ph/GEPSNONPILOT/Tender/SplashBidNoticeAbstractUI.aspx?menuIndex=3&amp;refID=7014755-2&amp;Result=3","7014755-2")</f>
        <v>0</v>
      </c>
      <c r="B3519" t="s">
        <v>202</v>
      </c>
      <c r="C3519" t="s">
        <v>6041</v>
      </c>
      <c r="D3519" t="s">
        <v>13019</v>
      </c>
      <c r="E3519" t="s">
        <v>16255</v>
      </c>
      <c r="F3519" t="s">
        <v>22436</v>
      </c>
      <c r="G3519" t="s">
        <v>22444</v>
      </c>
      <c r="H3519" t="s">
        <v>22455</v>
      </c>
      <c r="I3519" t="s">
        <v>22455</v>
      </c>
      <c r="J3519" t="s">
        <v>24975</v>
      </c>
      <c r="K3519" t="s">
        <v>29423</v>
      </c>
      <c r="M3519" t="s">
        <v>30903</v>
      </c>
      <c r="N3519" t="s">
        <v>32524</v>
      </c>
      <c r="O3519" t="s">
        <v>32525</v>
      </c>
      <c r="P3519">
        <v>0</v>
      </c>
      <c r="Q3519">
        <v>0</v>
      </c>
      <c r="R3519" t="s">
        <v>32530</v>
      </c>
      <c r="S3519" t="s">
        <v>32568</v>
      </c>
      <c r="T3519" t="s">
        <v>33171</v>
      </c>
      <c r="U3519" t="s">
        <v>36614</v>
      </c>
      <c r="W3519" t="s">
        <v>30903</v>
      </c>
      <c r="X3519" t="s">
        <v>32531</v>
      </c>
    </row>
    <row r="3520" spans="1:24">
      <c r="A3520">
        <f>HYPERLINK("https://www.philgeps.gov.ph/GEPSNONPILOT/Tender/SplashBidNoticeAbstractUI.aspx?menuIndex=3&amp;refID=7036449&amp;Result=3","7036449")</f>
        <v>0</v>
      </c>
      <c r="B3520" t="s">
        <v>1251</v>
      </c>
      <c r="C3520" t="s">
        <v>6042</v>
      </c>
      <c r="E3520" t="s">
        <v>16256</v>
      </c>
      <c r="F3520" t="s">
        <v>22436</v>
      </c>
      <c r="G3520" t="s">
        <v>22443</v>
      </c>
      <c r="H3520" t="s">
        <v>22452</v>
      </c>
      <c r="I3520" t="s">
        <v>4170</v>
      </c>
      <c r="J3520" t="s">
        <v>22856</v>
      </c>
      <c r="K3520" t="s">
        <v>29338</v>
      </c>
      <c r="M3520" t="s">
        <v>30904</v>
      </c>
      <c r="N3520" t="s">
        <v>32524</v>
      </c>
      <c r="O3520" t="s">
        <v>32525</v>
      </c>
      <c r="P3520">
        <v>0</v>
      </c>
      <c r="Q3520">
        <v>0</v>
      </c>
      <c r="R3520" t="s">
        <v>32530</v>
      </c>
      <c r="S3520" t="s">
        <v>32568</v>
      </c>
      <c r="T3520" t="s">
        <v>33238</v>
      </c>
      <c r="U3520" t="s">
        <v>36615</v>
      </c>
      <c r="W3520" t="s">
        <v>30904</v>
      </c>
      <c r="X3520" t="s">
        <v>32533</v>
      </c>
    </row>
    <row r="3521" spans="1:24">
      <c r="A3521">
        <f>HYPERLINK("https://www.philgeps.gov.ph/GEPSNONPILOT/Tender/SplashBidNoticeAbstractUI.aspx?menuIndex=3&amp;refID=7034720&amp;Result=3","7034720")</f>
        <v>0</v>
      </c>
      <c r="B3521" t="s">
        <v>1252</v>
      </c>
      <c r="C3521" t="s">
        <v>6043</v>
      </c>
      <c r="D3521" t="s">
        <v>13006</v>
      </c>
      <c r="E3521" t="s">
        <v>13182</v>
      </c>
      <c r="F3521" t="s">
        <v>22436</v>
      </c>
      <c r="G3521" t="s">
        <v>22444</v>
      </c>
      <c r="H3521" t="s">
        <v>22454</v>
      </c>
      <c r="I3521" t="s">
        <v>6387</v>
      </c>
      <c r="J3521" t="s">
        <v>22640</v>
      </c>
      <c r="K3521" t="s">
        <v>29335</v>
      </c>
      <c r="M3521" t="s">
        <v>30905</v>
      </c>
      <c r="N3521" t="s">
        <v>32524</v>
      </c>
      <c r="O3521" t="s">
        <v>32525</v>
      </c>
      <c r="P3521">
        <v>0</v>
      </c>
      <c r="Q3521">
        <v>0</v>
      </c>
      <c r="R3521" t="s">
        <v>32530</v>
      </c>
      <c r="S3521" t="s">
        <v>32568</v>
      </c>
      <c r="T3521" t="s">
        <v>33192</v>
      </c>
      <c r="U3521" t="s">
        <v>36616</v>
      </c>
      <c r="W3521" t="s">
        <v>30905</v>
      </c>
      <c r="X3521" t="s">
        <v>32534</v>
      </c>
    </row>
    <row r="3522" spans="1:24">
      <c r="A3522">
        <f>HYPERLINK("https://www.philgeps.gov.ph/GEPSNONPILOT/Tender/SplashBidNoticeAbstractUI.aspx?menuIndex=3&amp;refID=7029879&amp;Result=3","7029879")</f>
        <v>0</v>
      </c>
      <c r="B3522" t="s">
        <v>1253</v>
      </c>
      <c r="C3522" t="s">
        <v>3827</v>
      </c>
      <c r="D3522" t="s">
        <v>13073</v>
      </c>
      <c r="E3522" t="s">
        <v>15038</v>
      </c>
      <c r="F3522" t="s">
        <v>22436</v>
      </c>
      <c r="G3522" t="s">
        <v>22446</v>
      </c>
      <c r="H3522" t="s">
        <v>22452</v>
      </c>
      <c r="I3522" t="s">
        <v>3827</v>
      </c>
      <c r="J3522" t="s">
        <v>24976</v>
      </c>
      <c r="K3522" t="s">
        <v>29331</v>
      </c>
      <c r="M3522" t="s">
        <v>30906</v>
      </c>
      <c r="N3522" t="s">
        <v>32524</v>
      </c>
      <c r="O3522" t="s">
        <v>32525</v>
      </c>
      <c r="P3522">
        <v>0</v>
      </c>
      <c r="Q3522">
        <v>0</v>
      </c>
      <c r="R3522" t="s">
        <v>32530</v>
      </c>
      <c r="S3522" t="s">
        <v>32568</v>
      </c>
      <c r="T3522" t="s">
        <v>33154</v>
      </c>
      <c r="U3522" t="s">
        <v>36617</v>
      </c>
      <c r="W3522" t="s">
        <v>30906</v>
      </c>
      <c r="X3522" t="s">
        <v>32537</v>
      </c>
    </row>
    <row r="3523" spans="1:24">
      <c r="A3523">
        <f>HYPERLINK("https://www.philgeps.gov.ph/GEPSNONPILOT/Tender/SplashBidNoticeAbstractUI.aspx?menuIndex=3&amp;refID=7031553&amp;Result=3","7031553")</f>
        <v>0</v>
      </c>
      <c r="B3523" t="s">
        <v>793</v>
      </c>
      <c r="C3523" t="s">
        <v>6044</v>
      </c>
      <c r="D3523" t="s">
        <v>13006</v>
      </c>
      <c r="E3523" t="s">
        <v>16257</v>
      </c>
      <c r="F3523" t="s">
        <v>22436</v>
      </c>
      <c r="G3523" t="s">
        <v>22446</v>
      </c>
      <c r="H3523" t="s">
        <v>22452</v>
      </c>
      <c r="I3523" t="s">
        <v>22476</v>
      </c>
      <c r="J3523" t="s">
        <v>23434</v>
      </c>
      <c r="K3523" t="s">
        <v>29336</v>
      </c>
      <c r="M3523" t="s">
        <v>30394</v>
      </c>
      <c r="N3523" t="s">
        <v>32524</v>
      </c>
      <c r="O3523" t="s">
        <v>32525</v>
      </c>
      <c r="P3523">
        <v>0</v>
      </c>
      <c r="Q3523">
        <v>0</v>
      </c>
      <c r="R3523" t="s">
        <v>32530</v>
      </c>
      <c r="S3523" t="s">
        <v>32568</v>
      </c>
      <c r="T3523" t="s">
        <v>33185</v>
      </c>
      <c r="U3523" t="s">
        <v>36618</v>
      </c>
      <c r="W3523" t="s">
        <v>30394</v>
      </c>
      <c r="X3523" t="s">
        <v>32537</v>
      </c>
    </row>
    <row r="3524" spans="1:24">
      <c r="A3524">
        <f>HYPERLINK("https://www.philgeps.gov.ph/GEPSNONPILOT/Tender/SplashBidNoticeAbstractUI.aspx?menuIndex=3&amp;refID=7034423&amp;Result=3","7034423")</f>
        <v>0</v>
      </c>
      <c r="B3524" t="s">
        <v>946</v>
      </c>
      <c r="C3524" t="s">
        <v>6045</v>
      </c>
      <c r="D3524" t="s">
        <v>13060</v>
      </c>
      <c r="E3524" t="s">
        <v>16258</v>
      </c>
      <c r="F3524" t="s">
        <v>22436</v>
      </c>
      <c r="G3524" t="s">
        <v>22444</v>
      </c>
      <c r="H3524" t="s">
        <v>22454</v>
      </c>
      <c r="I3524" t="s">
        <v>7738</v>
      </c>
      <c r="J3524" t="s">
        <v>24876</v>
      </c>
      <c r="K3524" t="s">
        <v>29344</v>
      </c>
      <c r="M3524" t="s">
        <v>30560</v>
      </c>
      <c r="N3524" t="s">
        <v>32524</v>
      </c>
      <c r="O3524" t="s">
        <v>32525</v>
      </c>
      <c r="P3524">
        <v>0</v>
      </c>
      <c r="Q3524">
        <v>0</v>
      </c>
      <c r="R3524" t="s">
        <v>32530</v>
      </c>
      <c r="S3524" t="s">
        <v>32568</v>
      </c>
      <c r="T3524" t="s">
        <v>33253</v>
      </c>
      <c r="U3524" t="s">
        <v>36619</v>
      </c>
      <c r="V3524" t="s">
        <v>42772</v>
      </c>
      <c r="W3524" t="s">
        <v>30560</v>
      </c>
      <c r="X3524" t="s">
        <v>32534</v>
      </c>
    </row>
    <row r="3525" spans="1:24">
      <c r="A3525">
        <f>HYPERLINK("https://www.philgeps.gov.ph/GEPSNONPILOT/Tender/SplashBidNoticeAbstractUI.aspx?menuIndex=3&amp;refID=7036597&amp;Result=3","7036597")</f>
        <v>0</v>
      </c>
      <c r="B3525" t="s">
        <v>1254</v>
      </c>
      <c r="C3525" t="s">
        <v>6046</v>
      </c>
      <c r="D3525" t="s">
        <v>12988</v>
      </c>
      <c r="E3525" t="s">
        <v>16259</v>
      </c>
      <c r="F3525" t="s">
        <v>22436</v>
      </c>
      <c r="G3525" t="s">
        <v>22446</v>
      </c>
      <c r="H3525" t="s">
        <v>22452</v>
      </c>
      <c r="I3525" t="s">
        <v>22466</v>
      </c>
      <c r="J3525" t="s">
        <v>22583</v>
      </c>
      <c r="K3525" t="s">
        <v>29336</v>
      </c>
      <c r="M3525" t="s">
        <v>30907</v>
      </c>
      <c r="N3525" t="s">
        <v>32524</v>
      </c>
      <c r="O3525" t="s">
        <v>32525</v>
      </c>
      <c r="P3525">
        <v>0</v>
      </c>
      <c r="Q3525">
        <v>2</v>
      </c>
      <c r="R3525" t="s">
        <v>32530</v>
      </c>
      <c r="S3525" t="s">
        <v>32568</v>
      </c>
      <c r="T3525" t="s">
        <v>33412</v>
      </c>
      <c r="U3525" t="s">
        <v>36620</v>
      </c>
      <c r="W3525" t="s">
        <v>43711</v>
      </c>
      <c r="X3525" t="s">
        <v>32533</v>
      </c>
    </row>
    <row r="3526" spans="1:24">
      <c r="A3526">
        <f>HYPERLINK("https://www.philgeps.gov.ph/GEPSNONPILOT/Tender/SplashBidNoticeAbstractUI.aspx?menuIndex=3&amp;refID=7029933&amp;Result=3","7029933")</f>
        <v>0</v>
      </c>
      <c r="B3526" t="s">
        <v>1255</v>
      </c>
      <c r="C3526" t="s">
        <v>6047</v>
      </c>
      <c r="D3526" t="s">
        <v>13004</v>
      </c>
      <c r="E3526" t="s">
        <v>16260</v>
      </c>
      <c r="F3526" t="s">
        <v>22436</v>
      </c>
      <c r="G3526" t="s">
        <v>22443</v>
      </c>
      <c r="H3526" t="s">
        <v>22452</v>
      </c>
      <c r="I3526" t="s">
        <v>22463</v>
      </c>
      <c r="J3526" t="s">
        <v>23120</v>
      </c>
      <c r="K3526" t="s">
        <v>29341</v>
      </c>
      <c r="M3526" t="s">
        <v>30908</v>
      </c>
      <c r="N3526" t="s">
        <v>32524</v>
      </c>
      <c r="O3526" t="s">
        <v>32525</v>
      </c>
      <c r="P3526">
        <v>0</v>
      </c>
      <c r="Q3526">
        <v>2</v>
      </c>
      <c r="R3526" t="s">
        <v>32530</v>
      </c>
      <c r="S3526" t="s">
        <v>32568</v>
      </c>
      <c r="T3526" t="s">
        <v>33238</v>
      </c>
      <c r="U3526" t="s">
        <v>36621</v>
      </c>
      <c r="W3526" t="s">
        <v>30908</v>
      </c>
      <c r="X3526" t="s">
        <v>32537</v>
      </c>
    </row>
    <row r="3527" spans="1:24">
      <c r="A3527">
        <f>HYPERLINK("https://www.philgeps.gov.ph/GEPSNONPILOT/Tender/SplashBidNoticeAbstractUI.aspx?menuIndex=3&amp;refID=7038904&amp;Result=3","7038904")</f>
        <v>0</v>
      </c>
      <c r="B3527" t="s">
        <v>1256</v>
      </c>
      <c r="C3527" t="s">
        <v>6048</v>
      </c>
      <c r="D3527" t="s">
        <v>13042</v>
      </c>
      <c r="E3527" t="s">
        <v>16261</v>
      </c>
      <c r="F3527" t="s">
        <v>22436</v>
      </c>
      <c r="G3527" t="s">
        <v>22446</v>
      </c>
      <c r="H3527" t="s">
        <v>22452</v>
      </c>
      <c r="I3527" t="s">
        <v>5194</v>
      </c>
      <c r="J3527" t="s">
        <v>24977</v>
      </c>
      <c r="K3527" t="s">
        <v>29335</v>
      </c>
      <c r="M3527" t="s">
        <v>30909</v>
      </c>
      <c r="N3527" t="s">
        <v>32524</v>
      </c>
      <c r="O3527" t="s">
        <v>32525</v>
      </c>
      <c r="P3527">
        <v>0</v>
      </c>
      <c r="Q3527">
        <v>8</v>
      </c>
      <c r="R3527" t="s">
        <v>32530</v>
      </c>
      <c r="S3527" t="s">
        <v>32568</v>
      </c>
      <c r="T3527" t="s">
        <v>33183</v>
      </c>
      <c r="U3527" t="s">
        <v>36622</v>
      </c>
      <c r="W3527" t="s">
        <v>30909</v>
      </c>
      <c r="X3527" t="s">
        <v>32532</v>
      </c>
    </row>
    <row r="3528" spans="1:24">
      <c r="A3528">
        <f>HYPERLINK("https://www.philgeps.gov.ph/GEPSNONPILOT/Tender/SplashBidNoticeAbstractUI.aspx?menuIndex=3&amp;refID=7029460&amp;Result=3","7029460")</f>
        <v>0</v>
      </c>
      <c r="B3528" t="s">
        <v>1257</v>
      </c>
      <c r="C3528" t="s">
        <v>6049</v>
      </c>
      <c r="D3528" t="s">
        <v>13023</v>
      </c>
      <c r="E3528" t="s">
        <v>16262</v>
      </c>
      <c r="F3528" t="s">
        <v>22436</v>
      </c>
      <c r="G3528" t="s">
        <v>22444</v>
      </c>
      <c r="H3528" t="s">
        <v>22454</v>
      </c>
      <c r="I3528" t="s">
        <v>7738</v>
      </c>
      <c r="J3528" t="s">
        <v>22779</v>
      </c>
      <c r="K3528" t="s">
        <v>29337</v>
      </c>
      <c r="M3528" t="s">
        <v>30910</v>
      </c>
      <c r="N3528" t="s">
        <v>32524</v>
      </c>
      <c r="O3528" t="s">
        <v>32525</v>
      </c>
      <c r="P3528">
        <v>0</v>
      </c>
      <c r="Q3528">
        <v>0</v>
      </c>
      <c r="R3528" t="s">
        <v>32530</v>
      </c>
      <c r="S3528" t="s">
        <v>32568</v>
      </c>
      <c r="T3528" t="s">
        <v>33203</v>
      </c>
      <c r="U3528" t="s">
        <v>36623</v>
      </c>
      <c r="V3528" t="s">
        <v>42773</v>
      </c>
      <c r="W3528" t="s">
        <v>30910</v>
      </c>
      <c r="X3528" t="s">
        <v>32538</v>
      </c>
    </row>
    <row r="3529" spans="1:24">
      <c r="A3529">
        <f>HYPERLINK("https://www.philgeps.gov.ph/GEPSNONPILOT/Tender/SplashBidNoticeAbstractUI.aspx?menuIndex=3&amp;refID=7036788&amp;Result=3","7036788")</f>
        <v>0</v>
      </c>
      <c r="B3529" t="s">
        <v>1254</v>
      </c>
      <c r="C3529" t="s">
        <v>6050</v>
      </c>
      <c r="D3529" t="s">
        <v>12988</v>
      </c>
      <c r="E3529" t="s">
        <v>16263</v>
      </c>
      <c r="F3529" t="s">
        <v>22436</v>
      </c>
      <c r="G3529" t="s">
        <v>22446</v>
      </c>
      <c r="H3529" t="s">
        <v>22452</v>
      </c>
      <c r="I3529" t="s">
        <v>22465</v>
      </c>
      <c r="J3529" t="s">
        <v>23359</v>
      </c>
      <c r="K3529" t="s">
        <v>29336</v>
      </c>
      <c r="M3529" t="s">
        <v>30907</v>
      </c>
      <c r="N3529" t="s">
        <v>32524</v>
      </c>
      <c r="O3529" t="s">
        <v>32525</v>
      </c>
      <c r="P3529">
        <v>0</v>
      </c>
      <c r="Q3529">
        <v>1</v>
      </c>
      <c r="R3529" t="s">
        <v>32530</v>
      </c>
      <c r="S3529" t="s">
        <v>32568</v>
      </c>
      <c r="T3529" t="s">
        <v>33413</v>
      </c>
      <c r="U3529" t="s">
        <v>36624</v>
      </c>
      <c r="W3529" t="s">
        <v>43711</v>
      </c>
      <c r="X3529" t="s">
        <v>32533</v>
      </c>
    </row>
    <row r="3530" spans="1:24">
      <c r="A3530">
        <f>HYPERLINK("https://www.philgeps.gov.ph/GEPSNONPILOT/Tender/SplashBidNoticeAbstractUI.aspx?menuIndex=3&amp;refID=7038422&amp;Result=3","7038422")</f>
        <v>0</v>
      </c>
      <c r="B3530" t="s">
        <v>1258</v>
      </c>
      <c r="C3530" t="s">
        <v>6051</v>
      </c>
      <c r="D3530" t="s">
        <v>12999</v>
      </c>
      <c r="E3530" t="s">
        <v>16264</v>
      </c>
      <c r="F3530" t="s">
        <v>22436</v>
      </c>
      <c r="G3530" t="s">
        <v>22444</v>
      </c>
      <c r="H3530" t="s">
        <v>22452</v>
      </c>
      <c r="I3530" t="s">
        <v>22474</v>
      </c>
      <c r="J3530" t="s">
        <v>22989</v>
      </c>
      <c r="K3530" t="s">
        <v>29331</v>
      </c>
      <c r="M3530" t="s">
        <v>30911</v>
      </c>
      <c r="N3530" t="s">
        <v>32524</v>
      </c>
      <c r="O3530" t="s">
        <v>32525</v>
      </c>
      <c r="P3530">
        <v>0</v>
      </c>
      <c r="Q3530">
        <v>0</v>
      </c>
      <c r="R3530" t="s">
        <v>32530</v>
      </c>
      <c r="S3530" t="s">
        <v>32568</v>
      </c>
      <c r="T3530" t="s">
        <v>33414</v>
      </c>
      <c r="U3530" t="s">
        <v>36625</v>
      </c>
      <c r="W3530" t="s">
        <v>30911</v>
      </c>
      <c r="X3530" t="s">
        <v>32532</v>
      </c>
    </row>
    <row r="3531" spans="1:24">
      <c r="A3531">
        <f>HYPERLINK("https://www.philgeps.gov.ph/GEPSNONPILOT/Tender/SplashBidNoticeAbstractUI.aspx?menuIndex=3&amp;refID=7028999&amp;Result=3","7028999")</f>
        <v>0</v>
      </c>
      <c r="B3531" t="s">
        <v>1248</v>
      </c>
      <c r="C3531" t="s">
        <v>6052</v>
      </c>
      <c r="D3531" t="s">
        <v>13007</v>
      </c>
      <c r="E3531" t="s">
        <v>13956</v>
      </c>
      <c r="F3531" t="s">
        <v>22437</v>
      </c>
      <c r="G3531" t="s">
        <v>22446</v>
      </c>
      <c r="H3531" t="s">
        <v>22452</v>
      </c>
      <c r="I3531" t="s">
        <v>22465</v>
      </c>
      <c r="J3531" t="s">
        <v>24978</v>
      </c>
      <c r="K3531" t="s">
        <v>29356</v>
      </c>
      <c r="M3531" t="s">
        <v>30900</v>
      </c>
      <c r="N3531" t="s">
        <v>32524</v>
      </c>
      <c r="O3531" t="s">
        <v>32525</v>
      </c>
      <c r="P3531">
        <v>0</v>
      </c>
      <c r="Q3531">
        <v>0</v>
      </c>
      <c r="R3531" t="s">
        <v>32530</v>
      </c>
      <c r="S3531" t="s">
        <v>32568</v>
      </c>
      <c r="T3531" t="s">
        <v>33322</v>
      </c>
      <c r="U3531" t="s">
        <v>36626</v>
      </c>
      <c r="W3531" t="s">
        <v>30900</v>
      </c>
      <c r="X3531" t="s">
        <v>32538</v>
      </c>
    </row>
    <row r="3532" spans="1:24">
      <c r="A3532">
        <f>HYPERLINK("https://www.philgeps.gov.ph/GEPSNONPILOT/Tender/SplashBidNoticeAbstractUI.aspx?menuIndex=3&amp;refID=7038359&amp;Result=3","7038359")</f>
        <v>0</v>
      </c>
      <c r="B3532" t="s">
        <v>1259</v>
      </c>
      <c r="C3532" t="s">
        <v>6051</v>
      </c>
      <c r="D3532" t="s">
        <v>12999</v>
      </c>
      <c r="E3532" t="s">
        <v>16264</v>
      </c>
      <c r="F3532" t="s">
        <v>22436</v>
      </c>
      <c r="G3532" t="s">
        <v>22444</v>
      </c>
      <c r="H3532" t="s">
        <v>22452</v>
      </c>
      <c r="I3532" t="s">
        <v>22474</v>
      </c>
      <c r="J3532" t="s">
        <v>24979</v>
      </c>
      <c r="K3532" t="s">
        <v>29331</v>
      </c>
      <c r="M3532" t="s">
        <v>30912</v>
      </c>
      <c r="N3532" t="s">
        <v>32524</v>
      </c>
      <c r="O3532" t="s">
        <v>32525</v>
      </c>
      <c r="P3532">
        <v>0</v>
      </c>
      <c r="Q3532">
        <v>0</v>
      </c>
      <c r="R3532" t="s">
        <v>32530</v>
      </c>
      <c r="S3532" t="s">
        <v>32568</v>
      </c>
      <c r="T3532" t="s">
        <v>33414</v>
      </c>
      <c r="U3532" t="s">
        <v>36627</v>
      </c>
      <c r="W3532" t="s">
        <v>30912</v>
      </c>
      <c r="X3532" t="s">
        <v>32532</v>
      </c>
    </row>
    <row r="3533" spans="1:24">
      <c r="A3533">
        <f>HYPERLINK("https://www.philgeps.gov.ph/GEPSNONPILOT/Tender/SplashBidNoticeAbstractUI.aspx?menuIndex=3&amp;refID=7038755&amp;Result=3","7038755")</f>
        <v>0</v>
      </c>
      <c r="B3533" t="s">
        <v>1237</v>
      </c>
      <c r="C3533" t="s">
        <v>6053</v>
      </c>
      <c r="D3533" t="s">
        <v>12991</v>
      </c>
      <c r="E3533" t="s">
        <v>13367</v>
      </c>
      <c r="F3533" t="s">
        <v>22436</v>
      </c>
      <c r="G3533" t="s">
        <v>22444</v>
      </c>
      <c r="H3533" t="s">
        <v>22454</v>
      </c>
      <c r="I3533" t="s">
        <v>3529</v>
      </c>
      <c r="J3533" t="s">
        <v>24980</v>
      </c>
      <c r="K3533" t="s">
        <v>29357</v>
      </c>
      <c r="M3533" t="s">
        <v>30889</v>
      </c>
      <c r="N3533" t="s">
        <v>32524</v>
      </c>
      <c r="O3533" t="s">
        <v>32525</v>
      </c>
      <c r="P3533">
        <v>0</v>
      </c>
      <c r="Q3533">
        <v>2</v>
      </c>
      <c r="R3533" t="s">
        <v>32530</v>
      </c>
      <c r="S3533" t="s">
        <v>32568</v>
      </c>
      <c r="T3533" t="s">
        <v>33154</v>
      </c>
      <c r="U3533" t="s">
        <v>36628</v>
      </c>
      <c r="W3533" t="s">
        <v>30889</v>
      </c>
      <c r="X3533" t="s">
        <v>32532</v>
      </c>
    </row>
    <row r="3534" spans="1:24">
      <c r="A3534">
        <f>HYPERLINK("https://www.philgeps.gov.ph/GEPSNONPILOT/Tender/SplashBidNoticeAbstractUI.aspx?menuIndex=3&amp;refID=7036478&amp;Result=3","7036478")</f>
        <v>0</v>
      </c>
      <c r="B3534" t="s">
        <v>1251</v>
      </c>
      <c r="C3534" t="s">
        <v>6054</v>
      </c>
      <c r="E3534" t="s">
        <v>16265</v>
      </c>
      <c r="F3534" t="s">
        <v>22436</v>
      </c>
      <c r="G3534" t="s">
        <v>22443</v>
      </c>
      <c r="H3534" t="s">
        <v>22452</v>
      </c>
      <c r="I3534" t="s">
        <v>22466</v>
      </c>
      <c r="J3534" t="s">
        <v>24981</v>
      </c>
      <c r="K3534" t="s">
        <v>29338</v>
      </c>
      <c r="M3534" t="s">
        <v>30904</v>
      </c>
      <c r="N3534" t="s">
        <v>32524</v>
      </c>
      <c r="O3534" t="s">
        <v>32525</v>
      </c>
      <c r="P3534">
        <v>0</v>
      </c>
      <c r="Q3534">
        <v>1</v>
      </c>
      <c r="R3534" t="s">
        <v>32530</v>
      </c>
      <c r="S3534" t="s">
        <v>32568</v>
      </c>
      <c r="T3534" t="s">
        <v>33238</v>
      </c>
      <c r="U3534" t="s">
        <v>36629</v>
      </c>
      <c r="W3534" t="s">
        <v>30904</v>
      </c>
      <c r="X3534" t="s">
        <v>32533</v>
      </c>
    </row>
    <row r="3535" spans="1:24">
      <c r="A3535">
        <f>HYPERLINK("https://www.philgeps.gov.ph/GEPSNONPILOT/Tender/SplashBidNoticeAbstractUI.aspx?menuIndex=3&amp;refID=7036978&amp;Result=3","7036978")</f>
        <v>0</v>
      </c>
      <c r="B3535" t="s">
        <v>1260</v>
      </c>
      <c r="C3535" t="s">
        <v>6055</v>
      </c>
      <c r="D3535" t="s">
        <v>13017</v>
      </c>
      <c r="E3535" t="s">
        <v>16266</v>
      </c>
      <c r="F3535" t="s">
        <v>22436</v>
      </c>
      <c r="G3535" t="s">
        <v>22446</v>
      </c>
      <c r="H3535" t="s">
        <v>22452</v>
      </c>
      <c r="I3535" t="s">
        <v>22456</v>
      </c>
      <c r="J3535" t="s">
        <v>22657</v>
      </c>
      <c r="K3535" t="s">
        <v>29331</v>
      </c>
      <c r="M3535" t="s">
        <v>30913</v>
      </c>
      <c r="N3535" t="s">
        <v>32524</v>
      </c>
      <c r="O3535" t="s">
        <v>32525</v>
      </c>
      <c r="P3535">
        <v>0</v>
      </c>
      <c r="Q3535">
        <v>1</v>
      </c>
      <c r="R3535" t="s">
        <v>32530</v>
      </c>
      <c r="S3535" t="s">
        <v>32568</v>
      </c>
      <c r="T3535" t="s">
        <v>33314</v>
      </c>
      <c r="U3535" t="s">
        <v>36630</v>
      </c>
      <c r="W3535" t="s">
        <v>30913</v>
      </c>
      <c r="X3535" t="s">
        <v>32533</v>
      </c>
    </row>
    <row r="3536" spans="1:24">
      <c r="A3536">
        <f>HYPERLINK("https://www.philgeps.gov.ph/GEPSNONPILOT/Tender/SplashBidNoticeAbstractUI.aspx?menuIndex=3&amp;refID=7037598&amp;Result=3","7037598")</f>
        <v>0</v>
      </c>
      <c r="B3536" t="s">
        <v>1261</v>
      </c>
      <c r="C3536" t="s">
        <v>6056</v>
      </c>
      <c r="D3536" t="s">
        <v>13042</v>
      </c>
      <c r="E3536" t="s">
        <v>16267</v>
      </c>
      <c r="F3536" t="s">
        <v>22436</v>
      </c>
      <c r="G3536" t="s">
        <v>22444</v>
      </c>
      <c r="H3536" t="s">
        <v>22454</v>
      </c>
      <c r="I3536" t="s">
        <v>7738</v>
      </c>
      <c r="J3536" t="s">
        <v>23399</v>
      </c>
      <c r="K3536" t="s">
        <v>29447</v>
      </c>
      <c r="M3536" t="s">
        <v>30914</v>
      </c>
      <c r="N3536" t="s">
        <v>32524</v>
      </c>
      <c r="O3536" t="s">
        <v>32525</v>
      </c>
      <c r="P3536">
        <v>0</v>
      </c>
      <c r="Q3536">
        <v>0</v>
      </c>
      <c r="R3536" t="s">
        <v>32530</v>
      </c>
      <c r="S3536" t="s">
        <v>32568</v>
      </c>
      <c r="T3536" t="s">
        <v>33415</v>
      </c>
      <c r="U3536" t="s">
        <v>36631</v>
      </c>
      <c r="W3536" t="s">
        <v>30914</v>
      </c>
      <c r="X3536" t="s">
        <v>32533</v>
      </c>
    </row>
    <row r="3537" spans="1:24">
      <c r="A3537">
        <f>HYPERLINK("https://www.philgeps.gov.ph/GEPSNONPILOT/Tender/SplashBidNoticeAbstractUI.aspx?menuIndex=3&amp;refID=7037528&amp;Result=3","7037528")</f>
        <v>0</v>
      </c>
      <c r="B3537" t="s">
        <v>1262</v>
      </c>
      <c r="C3537" t="s">
        <v>6057</v>
      </c>
      <c r="D3537" t="s">
        <v>13032</v>
      </c>
      <c r="E3537" t="s">
        <v>16268</v>
      </c>
      <c r="F3537" t="s">
        <v>22436</v>
      </c>
      <c r="G3537" t="s">
        <v>22444</v>
      </c>
      <c r="H3537" t="s">
        <v>22454</v>
      </c>
      <c r="I3537" t="s">
        <v>7738</v>
      </c>
      <c r="J3537" t="s">
        <v>24982</v>
      </c>
      <c r="K3537" t="s">
        <v>29337</v>
      </c>
      <c r="M3537" t="s">
        <v>30915</v>
      </c>
      <c r="N3537" t="s">
        <v>32524</v>
      </c>
      <c r="O3537" t="s">
        <v>32525</v>
      </c>
      <c r="P3537">
        <v>0</v>
      </c>
      <c r="Q3537">
        <v>2</v>
      </c>
      <c r="R3537" t="s">
        <v>32530</v>
      </c>
      <c r="S3537" t="s">
        <v>32568</v>
      </c>
      <c r="T3537" t="s">
        <v>33197</v>
      </c>
      <c r="U3537" t="s">
        <v>36632</v>
      </c>
      <c r="W3537" t="s">
        <v>30915</v>
      </c>
      <c r="X3537" t="s">
        <v>32533</v>
      </c>
    </row>
    <row r="3538" spans="1:24">
      <c r="A3538">
        <f>HYPERLINK("https://www.philgeps.gov.ph/GEPSNONPILOT/Tender/SplashBidNoticeAbstractUI.aspx?menuIndex=3&amp;refID=7039027&amp;Result=3","7039027")</f>
        <v>0</v>
      </c>
      <c r="B3538" t="s">
        <v>1263</v>
      </c>
      <c r="C3538" t="s">
        <v>6058</v>
      </c>
      <c r="D3538" t="s">
        <v>13057</v>
      </c>
      <c r="E3538" t="s">
        <v>16269</v>
      </c>
      <c r="F3538" t="s">
        <v>22436</v>
      </c>
      <c r="G3538" t="s">
        <v>22444</v>
      </c>
      <c r="H3538" t="s">
        <v>22454</v>
      </c>
      <c r="I3538" t="s">
        <v>7738</v>
      </c>
      <c r="J3538" t="s">
        <v>24983</v>
      </c>
      <c r="K3538" t="s">
        <v>29335</v>
      </c>
      <c r="M3538" t="s">
        <v>30916</v>
      </c>
      <c r="N3538" t="s">
        <v>32524</v>
      </c>
      <c r="O3538" t="s">
        <v>32525</v>
      </c>
      <c r="P3538">
        <v>0</v>
      </c>
      <c r="Q3538">
        <v>0</v>
      </c>
      <c r="R3538" t="s">
        <v>32530</v>
      </c>
      <c r="S3538" t="s">
        <v>32568</v>
      </c>
      <c r="T3538" t="s">
        <v>33345</v>
      </c>
      <c r="U3538" t="s">
        <v>36633</v>
      </c>
      <c r="V3538" t="s">
        <v>42774</v>
      </c>
      <c r="W3538" t="s">
        <v>30916</v>
      </c>
      <c r="X3538" t="s">
        <v>32532</v>
      </c>
    </row>
    <row r="3539" spans="1:24">
      <c r="A3539">
        <f>HYPERLINK("https://www.philgeps.gov.ph/GEPSNONPILOT/Tender/SplashBidNoticeAbstractUI.aspx?menuIndex=3&amp;refID=7039602&amp;Result=3","7039602")</f>
        <v>0</v>
      </c>
      <c r="B3539" t="s">
        <v>345</v>
      </c>
      <c r="C3539" t="s">
        <v>6059</v>
      </c>
      <c r="D3539" t="s">
        <v>13024</v>
      </c>
      <c r="E3539" t="s">
        <v>16270</v>
      </c>
      <c r="F3539" t="s">
        <v>22436</v>
      </c>
      <c r="G3539" t="s">
        <v>22444</v>
      </c>
      <c r="H3539" t="s">
        <v>22452</v>
      </c>
      <c r="I3539" t="s">
        <v>3827</v>
      </c>
      <c r="J3539" t="s">
        <v>24984</v>
      </c>
      <c r="K3539" t="s">
        <v>29335</v>
      </c>
      <c r="M3539" t="s">
        <v>29921</v>
      </c>
      <c r="N3539" t="s">
        <v>32524</v>
      </c>
      <c r="O3539" t="s">
        <v>32525</v>
      </c>
      <c r="P3539">
        <v>0</v>
      </c>
      <c r="Q3539">
        <v>3</v>
      </c>
      <c r="R3539" t="s">
        <v>32530</v>
      </c>
      <c r="S3539" t="s">
        <v>32568</v>
      </c>
      <c r="T3539" t="s">
        <v>33170</v>
      </c>
      <c r="U3539" t="s">
        <v>36634</v>
      </c>
      <c r="W3539" t="s">
        <v>29921</v>
      </c>
      <c r="X3539" t="s">
        <v>32532</v>
      </c>
    </row>
    <row r="3540" spans="1:24">
      <c r="A3540">
        <f>HYPERLINK("https://www.philgeps.gov.ph/GEPSNONPILOT/Tender/SplashBidNoticeAbstractUI.aspx?menuIndex=3&amp;refID=7040033&amp;Result=3","7040033")</f>
        <v>0</v>
      </c>
      <c r="B3540" t="s">
        <v>436</v>
      </c>
      <c r="C3540" t="s">
        <v>6060</v>
      </c>
      <c r="D3540" t="s">
        <v>13022</v>
      </c>
      <c r="E3540" t="s">
        <v>16271</v>
      </c>
      <c r="F3540" t="s">
        <v>22436</v>
      </c>
      <c r="G3540" t="s">
        <v>22444</v>
      </c>
      <c r="H3540" t="s">
        <v>22452</v>
      </c>
      <c r="I3540" t="s">
        <v>22502</v>
      </c>
      <c r="J3540" t="s">
        <v>24985</v>
      </c>
      <c r="K3540" t="s">
        <v>29335</v>
      </c>
      <c r="M3540" t="s">
        <v>30017</v>
      </c>
      <c r="N3540" t="s">
        <v>32524</v>
      </c>
      <c r="O3540" t="s">
        <v>32525</v>
      </c>
      <c r="P3540">
        <v>0</v>
      </c>
      <c r="Q3540">
        <v>22</v>
      </c>
      <c r="R3540" t="s">
        <v>32530</v>
      </c>
      <c r="S3540" t="s">
        <v>32568</v>
      </c>
      <c r="T3540" t="s">
        <v>33291</v>
      </c>
      <c r="U3540" t="s">
        <v>34495</v>
      </c>
      <c r="W3540" t="s">
        <v>30017</v>
      </c>
      <c r="X3540" t="s">
        <v>32532</v>
      </c>
    </row>
    <row r="3541" spans="1:24">
      <c r="A3541">
        <f>HYPERLINK("https://www.philgeps.gov.ph/GEPSNONPILOT/Tender/SplashBidNoticeAbstractUI.aspx?menuIndex=3&amp;refID=7039976&amp;Result=3","7039976")</f>
        <v>0</v>
      </c>
      <c r="B3541" t="s">
        <v>345</v>
      </c>
      <c r="C3541" t="s">
        <v>6061</v>
      </c>
      <c r="D3541" t="s">
        <v>13024</v>
      </c>
      <c r="E3541" t="s">
        <v>16272</v>
      </c>
      <c r="F3541" t="s">
        <v>22436</v>
      </c>
      <c r="G3541" t="s">
        <v>22444</v>
      </c>
      <c r="H3541" t="s">
        <v>22452</v>
      </c>
      <c r="I3541" t="s">
        <v>22463</v>
      </c>
      <c r="J3541" t="s">
        <v>24986</v>
      </c>
      <c r="K3541" t="s">
        <v>29335</v>
      </c>
      <c r="M3541" t="s">
        <v>29921</v>
      </c>
      <c r="N3541" t="s">
        <v>32524</v>
      </c>
      <c r="O3541" t="s">
        <v>32525</v>
      </c>
      <c r="P3541">
        <v>0</v>
      </c>
      <c r="Q3541">
        <v>1</v>
      </c>
      <c r="R3541" t="s">
        <v>32530</v>
      </c>
      <c r="S3541" t="s">
        <v>32568</v>
      </c>
      <c r="T3541" t="s">
        <v>33203</v>
      </c>
      <c r="U3541" t="s">
        <v>36635</v>
      </c>
      <c r="W3541" t="s">
        <v>29921</v>
      </c>
      <c r="X3541" t="s">
        <v>32532</v>
      </c>
    </row>
    <row r="3542" spans="1:24">
      <c r="A3542">
        <f>HYPERLINK("https://www.philgeps.gov.ph/GEPSNONPILOT/Tender/SplashBidNoticeAbstractUI.aspx?menuIndex=3&amp;refID=7039112&amp;Result=3","7039112")</f>
        <v>0</v>
      </c>
      <c r="B3542" t="s">
        <v>1264</v>
      </c>
      <c r="C3542" t="s">
        <v>6062</v>
      </c>
      <c r="D3542" t="s">
        <v>12991</v>
      </c>
      <c r="E3542" t="s">
        <v>16273</v>
      </c>
      <c r="F3542" t="s">
        <v>22436</v>
      </c>
      <c r="G3542" t="s">
        <v>22444</v>
      </c>
      <c r="H3542" t="s">
        <v>22454</v>
      </c>
      <c r="I3542" t="s">
        <v>7738</v>
      </c>
      <c r="J3542" t="s">
        <v>22960</v>
      </c>
      <c r="K3542" t="s">
        <v>29344</v>
      </c>
      <c r="M3542" t="s">
        <v>30917</v>
      </c>
      <c r="N3542" t="s">
        <v>32524</v>
      </c>
      <c r="O3542" t="s">
        <v>32525</v>
      </c>
      <c r="P3542">
        <v>0</v>
      </c>
      <c r="Q3542">
        <v>5</v>
      </c>
      <c r="R3542" t="s">
        <v>32530</v>
      </c>
      <c r="S3542" t="s">
        <v>32568</v>
      </c>
      <c r="T3542" t="s">
        <v>33165</v>
      </c>
      <c r="U3542" t="s">
        <v>36636</v>
      </c>
      <c r="W3542" t="s">
        <v>43712</v>
      </c>
      <c r="X3542" t="s">
        <v>32532</v>
      </c>
    </row>
    <row r="3543" spans="1:24">
      <c r="A3543">
        <f>HYPERLINK("https://www.philgeps.gov.ph/GEPSNONPILOT/Tender/SplashBidNoticeAbstractUI.aspx?menuIndex=3&amp;refID=7039846&amp;Result=3","7039846")</f>
        <v>0</v>
      </c>
      <c r="B3543" t="s">
        <v>345</v>
      </c>
      <c r="C3543" t="s">
        <v>6059</v>
      </c>
      <c r="D3543" t="s">
        <v>13024</v>
      </c>
      <c r="E3543" t="s">
        <v>16274</v>
      </c>
      <c r="F3543" t="s">
        <v>22436</v>
      </c>
      <c r="G3543" t="s">
        <v>22444</v>
      </c>
      <c r="H3543" t="s">
        <v>22452</v>
      </c>
      <c r="I3543" t="s">
        <v>3827</v>
      </c>
      <c r="J3543" t="s">
        <v>24987</v>
      </c>
      <c r="K3543" t="s">
        <v>29335</v>
      </c>
      <c r="M3543" t="s">
        <v>29921</v>
      </c>
      <c r="N3543" t="s">
        <v>32524</v>
      </c>
      <c r="O3543" t="s">
        <v>32525</v>
      </c>
      <c r="P3543">
        <v>0</v>
      </c>
      <c r="Q3543">
        <v>3</v>
      </c>
      <c r="R3543" t="s">
        <v>32530</v>
      </c>
      <c r="S3543" t="s">
        <v>32568</v>
      </c>
      <c r="T3543" t="s">
        <v>33170</v>
      </c>
      <c r="U3543" t="s">
        <v>36637</v>
      </c>
      <c r="W3543" t="s">
        <v>29921</v>
      </c>
      <c r="X3543" t="s">
        <v>32532</v>
      </c>
    </row>
    <row r="3544" spans="1:24">
      <c r="A3544">
        <f>HYPERLINK("https://www.philgeps.gov.ph/GEPSNONPILOT/Tender/SplashBidNoticeAbstractUI.aspx?menuIndex=3&amp;refID=7040105&amp;Result=3","7040105")</f>
        <v>0</v>
      </c>
      <c r="B3544" t="s">
        <v>436</v>
      </c>
      <c r="C3544" t="s">
        <v>6063</v>
      </c>
      <c r="D3544" t="s">
        <v>13022</v>
      </c>
      <c r="E3544" t="s">
        <v>16275</v>
      </c>
      <c r="F3544" t="s">
        <v>22436</v>
      </c>
      <c r="G3544" t="s">
        <v>22444</v>
      </c>
      <c r="H3544" t="s">
        <v>22452</v>
      </c>
      <c r="I3544" t="s">
        <v>3381</v>
      </c>
      <c r="J3544" t="s">
        <v>22587</v>
      </c>
      <c r="K3544" t="s">
        <v>29335</v>
      </c>
      <c r="M3544" t="s">
        <v>30017</v>
      </c>
      <c r="N3544" t="s">
        <v>32524</v>
      </c>
      <c r="O3544" t="s">
        <v>32525</v>
      </c>
      <c r="P3544">
        <v>0</v>
      </c>
      <c r="Q3544">
        <v>5</v>
      </c>
      <c r="R3544" t="s">
        <v>32530</v>
      </c>
      <c r="S3544" t="s">
        <v>32568</v>
      </c>
      <c r="T3544" t="s">
        <v>33291</v>
      </c>
      <c r="U3544" t="s">
        <v>34495</v>
      </c>
      <c r="W3544" t="s">
        <v>30017</v>
      </c>
      <c r="X3544" t="s">
        <v>32532</v>
      </c>
    </row>
    <row r="3545" spans="1:24">
      <c r="A3545">
        <f>HYPERLINK("https://www.philgeps.gov.ph/GEPSNONPILOT/Tender/SplashBidNoticeAbstractUI.aspx?menuIndex=3&amp;refID=7040454&amp;Result=3","7040454")</f>
        <v>0</v>
      </c>
      <c r="B3545" t="s">
        <v>1265</v>
      </c>
      <c r="C3545" t="s">
        <v>6064</v>
      </c>
      <c r="D3545" t="s">
        <v>13000</v>
      </c>
      <c r="E3545" t="s">
        <v>16276</v>
      </c>
      <c r="F3545" t="s">
        <v>22436</v>
      </c>
      <c r="G3545" t="s">
        <v>22444</v>
      </c>
      <c r="H3545" t="s">
        <v>22452</v>
      </c>
      <c r="I3545" t="s">
        <v>3529</v>
      </c>
      <c r="J3545" t="s">
        <v>24988</v>
      </c>
      <c r="K3545" t="s">
        <v>29338</v>
      </c>
      <c r="M3545" t="s">
        <v>30918</v>
      </c>
      <c r="N3545" t="s">
        <v>32524</v>
      </c>
      <c r="O3545" t="s">
        <v>32525</v>
      </c>
      <c r="P3545">
        <v>0</v>
      </c>
      <c r="Q3545">
        <v>0</v>
      </c>
      <c r="R3545" t="s">
        <v>32530</v>
      </c>
      <c r="S3545" t="s">
        <v>32568</v>
      </c>
      <c r="T3545" t="s">
        <v>33237</v>
      </c>
      <c r="U3545" t="s">
        <v>36638</v>
      </c>
      <c r="W3545" t="s">
        <v>30918</v>
      </c>
      <c r="X3545" t="s">
        <v>32532</v>
      </c>
    </row>
    <row r="3546" spans="1:24">
      <c r="A3546">
        <f>HYPERLINK("https://www.philgeps.gov.ph/GEPSNONPILOT/Tender/SplashBidNoticeAbstractUI.aspx?menuIndex=3&amp;refID=7039183&amp;Result=3","7039183")</f>
        <v>0</v>
      </c>
      <c r="B3546" t="s">
        <v>946</v>
      </c>
      <c r="C3546" t="s">
        <v>6065</v>
      </c>
      <c r="D3546" t="s">
        <v>13060</v>
      </c>
      <c r="E3546" t="s">
        <v>16277</v>
      </c>
      <c r="F3546" t="s">
        <v>22436</v>
      </c>
      <c r="G3546" t="s">
        <v>22444</v>
      </c>
      <c r="H3546" t="s">
        <v>22452</v>
      </c>
      <c r="I3546" t="s">
        <v>22467</v>
      </c>
      <c r="J3546" t="s">
        <v>24989</v>
      </c>
      <c r="K3546" t="s">
        <v>29337</v>
      </c>
      <c r="M3546" t="s">
        <v>30560</v>
      </c>
      <c r="N3546" t="s">
        <v>32524</v>
      </c>
      <c r="O3546" t="s">
        <v>32525</v>
      </c>
      <c r="P3546">
        <v>0</v>
      </c>
      <c r="Q3546">
        <v>0</v>
      </c>
      <c r="R3546" t="s">
        <v>32530</v>
      </c>
      <c r="S3546" t="s">
        <v>32568</v>
      </c>
      <c r="T3546" t="s">
        <v>33253</v>
      </c>
      <c r="U3546" t="s">
        <v>36639</v>
      </c>
      <c r="W3546" t="s">
        <v>30560</v>
      </c>
      <c r="X3546" t="s">
        <v>32532</v>
      </c>
    </row>
    <row r="3547" spans="1:24">
      <c r="A3547">
        <f>HYPERLINK("https://www.philgeps.gov.ph/GEPSNONPILOT/Tender/SplashBidNoticeAbstractUI.aspx?menuIndex=3&amp;refID=7040420&amp;Result=3","7040420")</f>
        <v>0</v>
      </c>
      <c r="B3547" t="s">
        <v>1265</v>
      </c>
      <c r="C3547" t="s">
        <v>6066</v>
      </c>
      <c r="D3547" t="s">
        <v>13000</v>
      </c>
      <c r="E3547" t="s">
        <v>16278</v>
      </c>
      <c r="F3547" t="s">
        <v>22436</v>
      </c>
      <c r="G3547" t="s">
        <v>22444</v>
      </c>
      <c r="H3547" t="s">
        <v>22454</v>
      </c>
      <c r="I3547" t="s">
        <v>7738</v>
      </c>
      <c r="J3547" t="s">
        <v>24990</v>
      </c>
      <c r="K3547" t="s">
        <v>29338</v>
      </c>
      <c r="M3547" t="s">
        <v>30918</v>
      </c>
      <c r="N3547" t="s">
        <v>32524</v>
      </c>
      <c r="O3547" t="s">
        <v>32525</v>
      </c>
      <c r="P3547">
        <v>0</v>
      </c>
      <c r="Q3547">
        <v>1</v>
      </c>
      <c r="R3547" t="s">
        <v>32530</v>
      </c>
      <c r="S3547" t="s">
        <v>32568</v>
      </c>
      <c r="T3547" t="s">
        <v>33237</v>
      </c>
      <c r="U3547" t="s">
        <v>36640</v>
      </c>
      <c r="W3547" t="s">
        <v>30918</v>
      </c>
      <c r="X3547" t="s">
        <v>32532</v>
      </c>
    </row>
    <row r="3548" spans="1:24">
      <c r="A3548">
        <f>HYPERLINK("https://www.philgeps.gov.ph/GEPSNONPILOT/Tender/SplashBidNoticeAbstractUI.aspx?menuIndex=3&amp;refID=7039497&amp;Result=3","7039497")</f>
        <v>0</v>
      </c>
      <c r="B3548" t="s">
        <v>345</v>
      </c>
      <c r="C3548" t="s">
        <v>6067</v>
      </c>
      <c r="D3548" t="s">
        <v>13024</v>
      </c>
      <c r="E3548" t="s">
        <v>16279</v>
      </c>
      <c r="F3548" t="s">
        <v>22436</v>
      </c>
      <c r="G3548" t="s">
        <v>22444</v>
      </c>
      <c r="H3548" t="s">
        <v>22452</v>
      </c>
      <c r="I3548" t="s">
        <v>3122</v>
      </c>
      <c r="J3548" t="s">
        <v>22802</v>
      </c>
      <c r="K3548" t="s">
        <v>29335</v>
      </c>
      <c r="M3548" t="s">
        <v>29921</v>
      </c>
      <c r="N3548" t="s">
        <v>32524</v>
      </c>
      <c r="O3548" t="s">
        <v>32525</v>
      </c>
      <c r="P3548">
        <v>0</v>
      </c>
      <c r="Q3548">
        <v>0</v>
      </c>
      <c r="R3548" t="s">
        <v>32530</v>
      </c>
      <c r="S3548" t="s">
        <v>32568</v>
      </c>
      <c r="T3548" t="s">
        <v>33203</v>
      </c>
      <c r="U3548" t="s">
        <v>36641</v>
      </c>
      <c r="W3548" t="s">
        <v>29921</v>
      </c>
      <c r="X3548" t="s">
        <v>32532</v>
      </c>
    </row>
    <row r="3549" spans="1:24">
      <c r="A3549">
        <f>HYPERLINK("https://www.philgeps.gov.ph/GEPSNONPILOT/Tender/SplashBidNoticeAbstractUI.aspx?menuIndex=3&amp;refID=7040449&amp;Result=3","7040449")</f>
        <v>0</v>
      </c>
      <c r="B3549" t="s">
        <v>1266</v>
      </c>
      <c r="C3549" t="s">
        <v>6068</v>
      </c>
      <c r="D3549" t="s">
        <v>13006</v>
      </c>
      <c r="E3549" t="s">
        <v>6068</v>
      </c>
      <c r="F3549" t="s">
        <v>22436</v>
      </c>
      <c r="G3549" t="s">
        <v>22446</v>
      </c>
      <c r="H3549" t="s">
        <v>22452</v>
      </c>
      <c r="I3549" t="s">
        <v>22468</v>
      </c>
      <c r="J3549" t="s">
        <v>24991</v>
      </c>
      <c r="K3549" t="s">
        <v>29368</v>
      </c>
      <c r="M3549" t="s">
        <v>30919</v>
      </c>
      <c r="N3549" t="s">
        <v>32524</v>
      </c>
      <c r="O3549" t="s">
        <v>32525</v>
      </c>
      <c r="P3549">
        <v>0</v>
      </c>
      <c r="Q3549">
        <v>1</v>
      </c>
      <c r="R3549" t="s">
        <v>32530</v>
      </c>
      <c r="S3549" t="s">
        <v>32568</v>
      </c>
      <c r="T3549" t="s">
        <v>33185</v>
      </c>
      <c r="U3549" t="s">
        <v>36642</v>
      </c>
      <c r="W3549" t="s">
        <v>30919</v>
      </c>
      <c r="X3549" t="s">
        <v>32532</v>
      </c>
    </row>
    <row r="3550" spans="1:24">
      <c r="A3550">
        <f>HYPERLINK("https://www.philgeps.gov.ph/GEPSNONPILOT/Tender/SplashBidNoticeAbstractUI.aspx?menuIndex=3&amp;refID=7040434&amp;Result=3","7040434")</f>
        <v>0</v>
      </c>
      <c r="B3550" t="s">
        <v>1265</v>
      </c>
      <c r="C3550" t="s">
        <v>6069</v>
      </c>
      <c r="D3550" t="s">
        <v>13000</v>
      </c>
      <c r="E3550" t="s">
        <v>16280</v>
      </c>
      <c r="F3550" t="s">
        <v>22436</v>
      </c>
      <c r="G3550" t="s">
        <v>22444</v>
      </c>
      <c r="H3550" t="s">
        <v>22454</v>
      </c>
      <c r="I3550" t="s">
        <v>7738</v>
      </c>
      <c r="J3550" t="s">
        <v>22634</v>
      </c>
      <c r="K3550" t="s">
        <v>29338</v>
      </c>
      <c r="M3550" t="s">
        <v>30918</v>
      </c>
      <c r="N3550" t="s">
        <v>32524</v>
      </c>
      <c r="O3550" t="s">
        <v>32525</v>
      </c>
      <c r="P3550">
        <v>0</v>
      </c>
      <c r="Q3550">
        <v>1</v>
      </c>
      <c r="R3550" t="s">
        <v>32530</v>
      </c>
      <c r="S3550" t="s">
        <v>32568</v>
      </c>
      <c r="T3550" t="s">
        <v>33237</v>
      </c>
      <c r="U3550" t="s">
        <v>36643</v>
      </c>
      <c r="W3550" t="s">
        <v>30918</v>
      </c>
      <c r="X3550" t="s">
        <v>32532</v>
      </c>
    </row>
    <row r="3551" spans="1:24">
      <c r="A3551">
        <f>HYPERLINK("https://www.philgeps.gov.ph/GEPSNONPILOT/Tender/SplashBidNoticeAbstractUI.aspx?menuIndex=3&amp;refID=7039322&amp;Result=3","7039322")</f>
        <v>0</v>
      </c>
      <c r="B3551" t="s">
        <v>1267</v>
      </c>
      <c r="C3551" t="s">
        <v>6070</v>
      </c>
      <c r="D3551" t="s">
        <v>13031</v>
      </c>
      <c r="E3551" t="s">
        <v>16281</v>
      </c>
      <c r="F3551" t="s">
        <v>22438</v>
      </c>
      <c r="G3551" t="s">
        <v>22446</v>
      </c>
      <c r="H3551" t="s">
        <v>22452</v>
      </c>
      <c r="I3551" t="s">
        <v>12358</v>
      </c>
      <c r="J3551" t="s">
        <v>24992</v>
      </c>
      <c r="K3551" t="s">
        <v>29371</v>
      </c>
      <c r="M3551" t="s">
        <v>30920</v>
      </c>
      <c r="N3551" t="s">
        <v>32524</v>
      </c>
      <c r="O3551" t="s">
        <v>32525</v>
      </c>
      <c r="P3551">
        <v>0</v>
      </c>
      <c r="Q3551">
        <v>1</v>
      </c>
      <c r="R3551" t="s">
        <v>32530</v>
      </c>
      <c r="S3551" t="s">
        <v>32568</v>
      </c>
      <c r="T3551" t="s">
        <v>33161</v>
      </c>
      <c r="U3551" t="s">
        <v>36644</v>
      </c>
      <c r="W3551" t="s">
        <v>30920</v>
      </c>
      <c r="X3551" t="s">
        <v>32532</v>
      </c>
    </row>
    <row r="3552" spans="1:24">
      <c r="A3552">
        <f>HYPERLINK("https://www.philgeps.gov.ph/GEPSNONPILOT/Tender/SplashBidNoticeAbstractUI.aspx?menuIndex=3&amp;refID=7040178&amp;Result=3","7040178")</f>
        <v>0</v>
      </c>
      <c r="B3552" t="s">
        <v>1268</v>
      </c>
      <c r="C3552" t="s">
        <v>6071</v>
      </c>
      <c r="D3552" t="s">
        <v>13012</v>
      </c>
      <c r="E3552" t="s">
        <v>16282</v>
      </c>
      <c r="F3552" t="s">
        <v>22436</v>
      </c>
      <c r="G3552" t="s">
        <v>22444</v>
      </c>
      <c r="H3552" t="s">
        <v>22454</v>
      </c>
      <c r="I3552" t="s">
        <v>22471</v>
      </c>
      <c r="J3552" t="s">
        <v>24993</v>
      </c>
      <c r="K3552" t="s">
        <v>29344</v>
      </c>
      <c r="M3552" t="s">
        <v>30921</v>
      </c>
      <c r="N3552" t="s">
        <v>32524</v>
      </c>
      <c r="O3552" t="s">
        <v>32525</v>
      </c>
      <c r="P3552">
        <v>0</v>
      </c>
      <c r="Q3552">
        <v>1</v>
      </c>
      <c r="R3552" t="s">
        <v>32530</v>
      </c>
      <c r="S3552" t="s">
        <v>32568</v>
      </c>
      <c r="T3552" t="s">
        <v>33248</v>
      </c>
      <c r="U3552" t="s">
        <v>36645</v>
      </c>
      <c r="V3552" t="s">
        <v>42775</v>
      </c>
      <c r="W3552" t="s">
        <v>30921</v>
      </c>
      <c r="X3552" t="s">
        <v>32532</v>
      </c>
    </row>
    <row r="3553" spans="1:24">
      <c r="A3553">
        <f>HYPERLINK("https://www.philgeps.gov.ph/GEPSNONPILOT/Tender/SplashBidNoticeAbstractUI.aspx?menuIndex=3&amp;refID=7040358&amp;Result=3","7040358")</f>
        <v>0</v>
      </c>
      <c r="B3553" t="s">
        <v>1265</v>
      </c>
      <c r="C3553" t="s">
        <v>6072</v>
      </c>
      <c r="D3553" t="s">
        <v>13000</v>
      </c>
      <c r="E3553" t="s">
        <v>16283</v>
      </c>
      <c r="F3553" t="s">
        <v>22436</v>
      </c>
      <c r="G3553" t="s">
        <v>22444</v>
      </c>
      <c r="H3553" t="s">
        <v>22454</v>
      </c>
      <c r="I3553" t="s">
        <v>7738</v>
      </c>
      <c r="J3553" t="s">
        <v>24994</v>
      </c>
      <c r="K3553" t="s">
        <v>29338</v>
      </c>
      <c r="M3553" t="s">
        <v>30918</v>
      </c>
      <c r="N3553" t="s">
        <v>32524</v>
      </c>
      <c r="O3553" t="s">
        <v>32525</v>
      </c>
      <c r="P3553">
        <v>0</v>
      </c>
      <c r="Q3553">
        <v>2</v>
      </c>
      <c r="R3553" t="s">
        <v>32530</v>
      </c>
      <c r="S3553" t="s">
        <v>32568</v>
      </c>
      <c r="T3553" t="s">
        <v>33237</v>
      </c>
      <c r="U3553" t="s">
        <v>36646</v>
      </c>
      <c r="W3553" t="s">
        <v>30918</v>
      </c>
      <c r="X3553" t="s">
        <v>32532</v>
      </c>
    </row>
    <row r="3554" spans="1:24">
      <c r="A3554">
        <f>HYPERLINK("https://www.philgeps.gov.ph/GEPSNONPILOT/Tender/SplashBidNoticeAbstractUI.aspx?menuIndex=3&amp;refID=7040131&amp;Result=3","7040131")</f>
        <v>0</v>
      </c>
      <c r="B3554" t="s">
        <v>1269</v>
      </c>
      <c r="C3554" t="s">
        <v>6073</v>
      </c>
      <c r="D3554" t="s">
        <v>13000</v>
      </c>
      <c r="E3554" t="s">
        <v>16284</v>
      </c>
      <c r="F3554" t="s">
        <v>22436</v>
      </c>
      <c r="G3554" t="s">
        <v>22444</v>
      </c>
      <c r="H3554" t="s">
        <v>22454</v>
      </c>
      <c r="I3554" t="s">
        <v>7738</v>
      </c>
      <c r="J3554" t="s">
        <v>24995</v>
      </c>
      <c r="K3554" t="s">
        <v>29412</v>
      </c>
      <c r="M3554" t="s">
        <v>30922</v>
      </c>
      <c r="N3554" t="s">
        <v>32524</v>
      </c>
      <c r="O3554" t="s">
        <v>32525</v>
      </c>
      <c r="P3554">
        <v>0</v>
      </c>
      <c r="Q3554">
        <v>3</v>
      </c>
      <c r="R3554" t="s">
        <v>32530</v>
      </c>
      <c r="S3554" t="s">
        <v>32568</v>
      </c>
      <c r="T3554" t="s">
        <v>33405</v>
      </c>
      <c r="U3554" t="s">
        <v>36647</v>
      </c>
      <c r="V3554" t="s">
        <v>42776</v>
      </c>
      <c r="W3554" t="s">
        <v>30922</v>
      </c>
      <c r="X3554" t="s">
        <v>32532</v>
      </c>
    </row>
    <row r="3555" spans="1:24">
      <c r="A3555">
        <f>HYPERLINK("https://www.philgeps.gov.ph/GEPSNONPILOT/Tender/SplashBidNoticeAbstractUI.aspx?menuIndex=3&amp;refID=7039398&amp;Result=3","7039398")</f>
        <v>0</v>
      </c>
      <c r="B3555" t="s">
        <v>194</v>
      </c>
      <c r="C3555" t="s">
        <v>6074</v>
      </c>
      <c r="D3555" t="s">
        <v>13031</v>
      </c>
      <c r="E3555" t="s">
        <v>16285</v>
      </c>
      <c r="F3555" t="s">
        <v>22436</v>
      </c>
      <c r="G3555" t="s">
        <v>22443</v>
      </c>
      <c r="H3555" t="s">
        <v>22452</v>
      </c>
      <c r="I3555" t="s">
        <v>22460</v>
      </c>
      <c r="J3555" t="s">
        <v>24996</v>
      </c>
      <c r="K3555" t="s">
        <v>29338</v>
      </c>
      <c r="M3555" t="s">
        <v>29767</v>
      </c>
      <c r="N3555" t="s">
        <v>32524</v>
      </c>
      <c r="O3555" t="s">
        <v>32525</v>
      </c>
      <c r="P3555">
        <v>0</v>
      </c>
      <c r="Q3555">
        <v>1</v>
      </c>
      <c r="R3555" t="s">
        <v>32530</v>
      </c>
      <c r="S3555" t="s">
        <v>32568</v>
      </c>
      <c r="T3555" t="s">
        <v>33416</v>
      </c>
      <c r="U3555" t="s">
        <v>36648</v>
      </c>
      <c r="W3555" t="s">
        <v>29767</v>
      </c>
      <c r="X3555" t="s">
        <v>32532</v>
      </c>
    </row>
    <row r="3556" spans="1:24">
      <c r="A3556">
        <f>HYPERLINK("https://www.philgeps.gov.ph/GEPSNONPILOT/Tender/SplashBidNoticeAbstractUI.aspx?menuIndex=3&amp;refID=7040398&amp;Result=3","7040398")</f>
        <v>0</v>
      </c>
      <c r="B3556" t="s">
        <v>1265</v>
      </c>
      <c r="C3556" t="s">
        <v>6075</v>
      </c>
      <c r="D3556" t="s">
        <v>13000</v>
      </c>
      <c r="E3556" t="s">
        <v>16286</v>
      </c>
      <c r="F3556" t="s">
        <v>22436</v>
      </c>
      <c r="G3556" t="s">
        <v>22444</v>
      </c>
      <c r="H3556" t="s">
        <v>22454</v>
      </c>
      <c r="I3556" t="s">
        <v>7738</v>
      </c>
      <c r="J3556" t="s">
        <v>24997</v>
      </c>
      <c r="K3556" t="s">
        <v>29338</v>
      </c>
      <c r="M3556" t="s">
        <v>30918</v>
      </c>
      <c r="N3556" t="s">
        <v>32524</v>
      </c>
      <c r="O3556" t="s">
        <v>32525</v>
      </c>
      <c r="P3556">
        <v>0</v>
      </c>
      <c r="Q3556">
        <v>1</v>
      </c>
      <c r="R3556" t="s">
        <v>32530</v>
      </c>
      <c r="S3556" t="s">
        <v>32568</v>
      </c>
      <c r="T3556" t="s">
        <v>33237</v>
      </c>
      <c r="U3556" t="s">
        <v>36649</v>
      </c>
      <c r="W3556" t="s">
        <v>30918</v>
      </c>
      <c r="X3556" t="s">
        <v>32532</v>
      </c>
    </row>
    <row r="3557" spans="1:24">
      <c r="A3557">
        <f>HYPERLINK("https://www.philgeps.gov.ph/GEPSNONPILOT/Tender/SplashBidNoticeAbstractUI.aspx?menuIndex=3&amp;refID=7040313&amp;Result=3","7040313")</f>
        <v>0</v>
      </c>
      <c r="B3557" t="s">
        <v>1270</v>
      </c>
      <c r="C3557" t="s">
        <v>6076</v>
      </c>
      <c r="D3557" t="s">
        <v>13035</v>
      </c>
      <c r="E3557" t="s">
        <v>16287</v>
      </c>
      <c r="F3557" t="s">
        <v>22436</v>
      </c>
      <c r="G3557" t="s">
        <v>22444</v>
      </c>
      <c r="H3557" t="s">
        <v>22452</v>
      </c>
      <c r="I3557" t="s">
        <v>3529</v>
      </c>
      <c r="J3557" t="s">
        <v>24998</v>
      </c>
      <c r="K3557" t="s">
        <v>29331</v>
      </c>
      <c r="M3557" t="s">
        <v>30923</v>
      </c>
      <c r="N3557" t="s">
        <v>32524</v>
      </c>
      <c r="O3557" t="s">
        <v>32525</v>
      </c>
      <c r="P3557">
        <v>0</v>
      </c>
      <c r="Q3557">
        <v>0</v>
      </c>
      <c r="R3557" t="s">
        <v>32530</v>
      </c>
      <c r="S3557" t="s">
        <v>32568</v>
      </c>
      <c r="T3557" t="s">
        <v>33293</v>
      </c>
      <c r="U3557" t="s">
        <v>36650</v>
      </c>
      <c r="W3557" t="s">
        <v>30923</v>
      </c>
      <c r="X3557" t="s">
        <v>32532</v>
      </c>
    </row>
    <row r="3558" spans="1:24">
      <c r="A3558">
        <f>HYPERLINK("https://www.philgeps.gov.ph/GEPSNONPILOT/Tender/SplashBidNoticeAbstractUI.aspx?menuIndex=3&amp;refID=7040456&amp;Result=3","7040456")</f>
        <v>0</v>
      </c>
      <c r="B3558" t="s">
        <v>1271</v>
      </c>
      <c r="C3558" t="s">
        <v>6077</v>
      </c>
      <c r="E3558" t="s">
        <v>16288</v>
      </c>
      <c r="F3558" t="s">
        <v>22436</v>
      </c>
      <c r="G3558" t="s">
        <v>22444</v>
      </c>
      <c r="H3558" t="s">
        <v>22452</v>
      </c>
      <c r="I3558" t="s">
        <v>3529</v>
      </c>
      <c r="J3558" t="s">
        <v>22838</v>
      </c>
      <c r="K3558" t="s">
        <v>29341</v>
      </c>
      <c r="M3558" t="s">
        <v>30924</v>
      </c>
      <c r="N3558" t="s">
        <v>32524</v>
      </c>
      <c r="O3558" t="s">
        <v>32525</v>
      </c>
      <c r="P3558">
        <v>0</v>
      </c>
      <c r="Q3558">
        <v>0</v>
      </c>
      <c r="R3558" t="s">
        <v>32530</v>
      </c>
      <c r="S3558" t="s">
        <v>32568</v>
      </c>
      <c r="T3558" t="s">
        <v>33417</v>
      </c>
      <c r="U3558" t="s">
        <v>36651</v>
      </c>
      <c r="W3558" t="s">
        <v>30924</v>
      </c>
      <c r="X3558" t="s">
        <v>32532</v>
      </c>
    </row>
    <row r="3559" spans="1:24">
      <c r="A3559">
        <f>HYPERLINK("https://www.philgeps.gov.ph/GEPSNONPILOT/Tender/SplashBidNoticeAbstractUI.aspx?menuIndex=3&amp;refID=7040946&amp;Result=3","7040946")</f>
        <v>0</v>
      </c>
      <c r="B3559" t="s">
        <v>1272</v>
      </c>
      <c r="C3559" t="s">
        <v>6078</v>
      </c>
      <c r="D3559" t="s">
        <v>13018</v>
      </c>
      <c r="E3559" t="s">
        <v>16289</v>
      </c>
      <c r="F3559" t="s">
        <v>22436</v>
      </c>
      <c r="G3559" t="s">
        <v>22444</v>
      </c>
      <c r="H3559" t="s">
        <v>22452</v>
      </c>
      <c r="I3559" t="s">
        <v>22474</v>
      </c>
      <c r="J3559" t="s">
        <v>22703</v>
      </c>
      <c r="K3559" t="s">
        <v>29341</v>
      </c>
      <c r="M3559" t="s">
        <v>30925</v>
      </c>
      <c r="N3559" t="s">
        <v>32524</v>
      </c>
      <c r="O3559" t="s">
        <v>32525</v>
      </c>
      <c r="P3559">
        <v>0</v>
      </c>
      <c r="Q3559">
        <v>1</v>
      </c>
      <c r="R3559" t="s">
        <v>32530</v>
      </c>
      <c r="S3559" t="s">
        <v>32568</v>
      </c>
      <c r="T3559" t="s">
        <v>33216</v>
      </c>
      <c r="U3559" t="s">
        <v>36652</v>
      </c>
      <c r="V3559" t="s">
        <v>42777</v>
      </c>
      <c r="W3559" t="s">
        <v>30925</v>
      </c>
      <c r="X3559" t="s">
        <v>32532</v>
      </c>
    </row>
    <row r="3560" spans="1:24">
      <c r="A3560">
        <f>HYPERLINK("https://www.philgeps.gov.ph/GEPSNONPILOT/Tender/SplashBidNoticeAbstractUI.aspx?menuIndex=3&amp;refID=7040507&amp;Result=3","7040507")</f>
        <v>0</v>
      </c>
      <c r="B3560" t="s">
        <v>1271</v>
      </c>
      <c r="C3560" t="s">
        <v>6079</v>
      </c>
      <c r="E3560" t="s">
        <v>16290</v>
      </c>
      <c r="F3560" t="s">
        <v>22436</v>
      </c>
      <c r="G3560" t="s">
        <v>22444</v>
      </c>
      <c r="H3560" t="s">
        <v>22452</v>
      </c>
      <c r="I3560" t="s">
        <v>3529</v>
      </c>
      <c r="J3560" t="s">
        <v>24999</v>
      </c>
      <c r="K3560" t="s">
        <v>29341</v>
      </c>
      <c r="M3560" t="s">
        <v>30924</v>
      </c>
      <c r="N3560" t="s">
        <v>32524</v>
      </c>
      <c r="O3560" t="s">
        <v>32525</v>
      </c>
      <c r="P3560">
        <v>0</v>
      </c>
      <c r="Q3560">
        <v>1</v>
      </c>
      <c r="R3560" t="s">
        <v>32530</v>
      </c>
      <c r="S3560" t="s">
        <v>32568</v>
      </c>
      <c r="T3560" t="s">
        <v>33417</v>
      </c>
      <c r="U3560" t="s">
        <v>36651</v>
      </c>
      <c r="W3560" t="s">
        <v>30924</v>
      </c>
      <c r="X3560" t="s">
        <v>32532</v>
      </c>
    </row>
    <row r="3561" spans="1:24">
      <c r="A3561">
        <f>HYPERLINK("https://www.philgeps.gov.ph/GEPSNONPILOT/Tender/SplashBidNoticeAbstractUI.aspx?menuIndex=3&amp;refID=7040675&amp;Result=3","7040675")</f>
        <v>0</v>
      </c>
      <c r="B3561" t="s">
        <v>1273</v>
      </c>
      <c r="C3561" t="s">
        <v>6080</v>
      </c>
      <c r="D3561" t="s">
        <v>13006</v>
      </c>
      <c r="E3561" t="s">
        <v>16291</v>
      </c>
      <c r="F3561" t="s">
        <v>22436</v>
      </c>
      <c r="G3561" t="s">
        <v>22444</v>
      </c>
      <c r="H3561" t="s">
        <v>22452</v>
      </c>
      <c r="I3561" t="s">
        <v>3529</v>
      </c>
      <c r="J3561" t="s">
        <v>25000</v>
      </c>
      <c r="K3561" t="s">
        <v>29330</v>
      </c>
      <c r="M3561" t="s">
        <v>30926</v>
      </c>
      <c r="N3561" t="s">
        <v>32524</v>
      </c>
      <c r="O3561" t="s">
        <v>32525</v>
      </c>
      <c r="P3561">
        <v>0</v>
      </c>
      <c r="Q3561">
        <v>0</v>
      </c>
      <c r="R3561" t="s">
        <v>32530</v>
      </c>
      <c r="S3561" t="s">
        <v>32568</v>
      </c>
      <c r="T3561" t="s">
        <v>33418</v>
      </c>
      <c r="U3561" t="s">
        <v>36653</v>
      </c>
      <c r="W3561" t="s">
        <v>30926</v>
      </c>
      <c r="X3561" t="s">
        <v>32532</v>
      </c>
    </row>
    <row r="3562" spans="1:24">
      <c r="A3562">
        <f>HYPERLINK("https://www.philgeps.gov.ph/GEPSNONPILOT/Tender/SplashBidNoticeAbstractUI.aspx?menuIndex=3&amp;refID=7040496&amp;Result=3","7040496")</f>
        <v>0</v>
      </c>
      <c r="B3562" t="s">
        <v>1274</v>
      </c>
      <c r="C3562" t="s">
        <v>6081</v>
      </c>
      <c r="D3562" t="s">
        <v>13041</v>
      </c>
      <c r="E3562" t="s">
        <v>16292</v>
      </c>
      <c r="F3562" t="s">
        <v>22436</v>
      </c>
      <c r="G3562" t="s">
        <v>22444</v>
      </c>
      <c r="H3562" t="s">
        <v>22452</v>
      </c>
      <c r="I3562" t="s">
        <v>22484</v>
      </c>
      <c r="J3562" t="s">
        <v>23093</v>
      </c>
      <c r="K3562" t="s">
        <v>29341</v>
      </c>
      <c r="M3562" t="s">
        <v>30927</v>
      </c>
      <c r="N3562" t="s">
        <v>32524</v>
      </c>
      <c r="O3562" t="s">
        <v>32525</v>
      </c>
      <c r="P3562">
        <v>0</v>
      </c>
      <c r="Q3562">
        <v>8</v>
      </c>
      <c r="R3562" t="s">
        <v>32530</v>
      </c>
      <c r="S3562" t="s">
        <v>32568</v>
      </c>
      <c r="T3562" t="s">
        <v>33354</v>
      </c>
      <c r="U3562" t="s">
        <v>36654</v>
      </c>
      <c r="W3562" t="s">
        <v>30927</v>
      </c>
      <c r="X3562" t="s">
        <v>32532</v>
      </c>
    </row>
    <row r="3563" spans="1:24">
      <c r="A3563">
        <f>HYPERLINK("https://www.philgeps.gov.ph/GEPSNONPILOT/Tender/SplashBidNoticeAbstractUI.aspx?menuIndex=3&amp;refID=7040484&amp;Result=3","7040484")</f>
        <v>0</v>
      </c>
      <c r="B3563" t="s">
        <v>1265</v>
      </c>
      <c r="C3563" t="s">
        <v>6082</v>
      </c>
      <c r="D3563" t="s">
        <v>13000</v>
      </c>
      <c r="E3563" t="s">
        <v>16293</v>
      </c>
      <c r="F3563" t="s">
        <v>22436</v>
      </c>
      <c r="G3563" t="s">
        <v>22444</v>
      </c>
      <c r="H3563" t="s">
        <v>22452</v>
      </c>
      <c r="I3563" t="s">
        <v>3529</v>
      </c>
      <c r="J3563" t="s">
        <v>25001</v>
      </c>
      <c r="K3563" t="s">
        <v>29338</v>
      </c>
      <c r="M3563" t="s">
        <v>30918</v>
      </c>
      <c r="N3563" t="s">
        <v>32524</v>
      </c>
      <c r="O3563" t="s">
        <v>32525</v>
      </c>
      <c r="P3563">
        <v>0</v>
      </c>
      <c r="Q3563">
        <v>0</v>
      </c>
      <c r="R3563" t="s">
        <v>32530</v>
      </c>
      <c r="S3563" t="s">
        <v>32568</v>
      </c>
      <c r="T3563" t="s">
        <v>33237</v>
      </c>
      <c r="U3563" t="s">
        <v>36655</v>
      </c>
      <c r="W3563" t="s">
        <v>30918</v>
      </c>
      <c r="X3563" t="s">
        <v>32532</v>
      </c>
    </row>
    <row r="3564" spans="1:24">
      <c r="A3564">
        <f>HYPERLINK("https://www.philgeps.gov.ph/GEPSNONPILOT/Tender/SplashBidNoticeAbstractUI.aspx?menuIndex=3&amp;refID=7040971&amp;Result=3","7040971")</f>
        <v>0</v>
      </c>
      <c r="B3564" t="s">
        <v>1275</v>
      </c>
      <c r="C3564" t="s">
        <v>6083</v>
      </c>
      <c r="D3564" t="s">
        <v>13050</v>
      </c>
      <c r="E3564" t="s">
        <v>16294</v>
      </c>
      <c r="F3564" t="s">
        <v>22436</v>
      </c>
      <c r="G3564" t="s">
        <v>22444</v>
      </c>
      <c r="H3564" t="s">
        <v>22452</v>
      </c>
      <c r="I3564" t="s">
        <v>22558</v>
      </c>
      <c r="J3564" t="s">
        <v>25002</v>
      </c>
      <c r="K3564" t="s">
        <v>29336</v>
      </c>
      <c r="M3564" t="s">
        <v>30928</v>
      </c>
      <c r="N3564" t="s">
        <v>32524</v>
      </c>
      <c r="O3564" t="s">
        <v>32525</v>
      </c>
      <c r="P3564">
        <v>0</v>
      </c>
      <c r="Q3564">
        <v>3</v>
      </c>
      <c r="R3564" t="s">
        <v>32530</v>
      </c>
      <c r="S3564" t="s">
        <v>32568</v>
      </c>
      <c r="T3564" t="s">
        <v>33154</v>
      </c>
      <c r="U3564" t="s">
        <v>36656</v>
      </c>
      <c r="W3564" t="s">
        <v>30928</v>
      </c>
      <c r="X3564" t="s">
        <v>32531</v>
      </c>
    </row>
    <row r="3565" spans="1:24">
      <c r="A3565">
        <f>HYPERLINK("https://www.philgeps.gov.ph/GEPSNONPILOT/Tender/SplashBidNoticeAbstractUI.aspx?menuIndex=3&amp;refID=7040499&amp;Result=3","7040499")</f>
        <v>0</v>
      </c>
      <c r="B3565" t="s">
        <v>1265</v>
      </c>
      <c r="C3565" t="s">
        <v>6084</v>
      </c>
      <c r="D3565" t="s">
        <v>13000</v>
      </c>
      <c r="E3565" t="s">
        <v>16295</v>
      </c>
      <c r="F3565" t="s">
        <v>22436</v>
      </c>
      <c r="G3565" t="s">
        <v>22444</v>
      </c>
      <c r="H3565" t="s">
        <v>22452</v>
      </c>
      <c r="I3565" t="s">
        <v>3529</v>
      </c>
      <c r="J3565" t="s">
        <v>25003</v>
      </c>
      <c r="K3565" t="s">
        <v>29338</v>
      </c>
      <c r="M3565" t="s">
        <v>30918</v>
      </c>
      <c r="N3565" t="s">
        <v>32524</v>
      </c>
      <c r="O3565" t="s">
        <v>32525</v>
      </c>
      <c r="P3565">
        <v>0</v>
      </c>
      <c r="Q3565">
        <v>0</v>
      </c>
      <c r="R3565" t="s">
        <v>32530</v>
      </c>
      <c r="S3565" t="s">
        <v>32568</v>
      </c>
      <c r="T3565" t="s">
        <v>33237</v>
      </c>
      <c r="U3565" t="s">
        <v>36657</v>
      </c>
      <c r="W3565" t="s">
        <v>30918</v>
      </c>
      <c r="X3565" t="s">
        <v>32532</v>
      </c>
    </row>
    <row r="3566" spans="1:24">
      <c r="A3566">
        <f>HYPERLINK("https://www.philgeps.gov.ph/GEPSNONPILOT/Tender/SplashBidNoticeAbstractUI.aspx?menuIndex=3&amp;refID=7040969&amp;Result=3","7040969")</f>
        <v>0</v>
      </c>
      <c r="B3566" t="s">
        <v>1275</v>
      </c>
      <c r="C3566" t="s">
        <v>6085</v>
      </c>
      <c r="D3566" t="s">
        <v>13050</v>
      </c>
      <c r="E3566" t="s">
        <v>16294</v>
      </c>
      <c r="F3566" t="s">
        <v>22436</v>
      </c>
      <c r="G3566" t="s">
        <v>22444</v>
      </c>
      <c r="H3566" t="s">
        <v>22452</v>
      </c>
      <c r="I3566" t="s">
        <v>2981</v>
      </c>
      <c r="J3566" t="s">
        <v>25004</v>
      </c>
      <c r="K3566" t="s">
        <v>29336</v>
      </c>
      <c r="M3566" t="s">
        <v>30928</v>
      </c>
      <c r="N3566" t="s">
        <v>32524</v>
      </c>
      <c r="O3566" t="s">
        <v>32525</v>
      </c>
      <c r="P3566">
        <v>0</v>
      </c>
      <c r="Q3566">
        <v>3</v>
      </c>
      <c r="R3566" t="s">
        <v>32530</v>
      </c>
      <c r="S3566" t="s">
        <v>32568</v>
      </c>
      <c r="T3566" t="s">
        <v>33154</v>
      </c>
      <c r="U3566" t="s">
        <v>36658</v>
      </c>
      <c r="W3566" t="s">
        <v>30928</v>
      </c>
      <c r="X3566" t="s">
        <v>32531</v>
      </c>
    </row>
    <row r="3567" spans="1:24">
      <c r="A3567">
        <f>HYPERLINK("https://www.philgeps.gov.ph/GEPSNONPILOT/Tender/SplashBidNoticeAbstractUI.aspx?menuIndex=3&amp;refID=7040984&amp;Result=3","7040984")</f>
        <v>0</v>
      </c>
      <c r="B3567" t="s">
        <v>1276</v>
      </c>
      <c r="C3567" t="s">
        <v>6086</v>
      </c>
      <c r="D3567" t="s">
        <v>12994</v>
      </c>
      <c r="E3567" t="s">
        <v>13137</v>
      </c>
      <c r="F3567" t="s">
        <v>22436</v>
      </c>
      <c r="G3567" t="s">
        <v>22444</v>
      </c>
      <c r="H3567" t="s">
        <v>22454</v>
      </c>
      <c r="I3567" t="s">
        <v>7738</v>
      </c>
      <c r="J3567" t="s">
        <v>22605</v>
      </c>
      <c r="K3567" t="s">
        <v>29388</v>
      </c>
      <c r="M3567" t="s">
        <v>30929</v>
      </c>
      <c r="N3567" t="s">
        <v>32524</v>
      </c>
      <c r="O3567" t="s">
        <v>32525</v>
      </c>
      <c r="P3567">
        <v>0</v>
      </c>
      <c r="Q3567">
        <v>0</v>
      </c>
      <c r="R3567" t="s">
        <v>32530</v>
      </c>
      <c r="S3567" t="s">
        <v>32568</v>
      </c>
      <c r="T3567" t="s">
        <v>33154</v>
      </c>
      <c r="U3567" t="s">
        <v>36659</v>
      </c>
      <c r="V3567" t="s">
        <v>42778</v>
      </c>
      <c r="W3567" t="s">
        <v>30929</v>
      </c>
      <c r="X3567" t="s">
        <v>32531</v>
      </c>
    </row>
    <row r="3568" spans="1:24">
      <c r="A3568">
        <f>HYPERLINK("https://www.philgeps.gov.ph/GEPSNONPILOT/Tender/SplashBidNoticeAbstractUI.aspx?menuIndex=3&amp;refID=7040481&amp;Result=3","7040481")</f>
        <v>0</v>
      </c>
      <c r="B3568" t="s">
        <v>1271</v>
      </c>
      <c r="C3568" t="s">
        <v>6087</v>
      </c>
      <c r="E3568" t="s">
        <v>16296</v>
      </c>
      <c r="F3568" t="s">
        <v>22436</v>
      </c>
      <c r="G3568" t="s">
        <v>22444</v>
      </c>
      <c r="H3568" t="s">
        <v>22452</v>
      </c>
      <c r="I3568" t="s">
        <v>3529</v>
      </c>
      <c r="J3568" t="s">
        <v>24627</v>
      </c>
      <c r="K3568" t="s">
        <v>29341</v>
      </c>
      <c r="M3568" t="s">
        <v>30924</v>
      </c>
      <c r="N3568" t="s">
        <v>32524</v>
      </c>
      <c r="O3568" t="s">
        <v>32525</v>
      </c>
      <c r="P3568">
        <v>0</v>
      </c>
      <c r="Q3568">
        <v>0</v>
      </c>
      <c r="R3568" t="s">
        <v>32530</v>
      </c>
      <c r="S3568" t="s">
        <v>32568</v>
      </c>
      <c r="T3568" t="s">
        <v>33417</v>
      </c>
      <c r="U3568" t="s">
        <v>36651</v>
      </c>
      <c r="W3568" t="s">
        <v>30924</v>
      </c>
      <c r="X3568" t="s">
        <v>32532</v>
      </c>
    </row>
    <row r="3569" spans="1:24">
      <c r="A3569">
        <f>HYPERLINK("https://www.philgeps.gov.ph/GEPSNONPILOT/Tender/SplashBidNoticeAbstractUI.aspx?menuIndex=3&amp;refID=7040974&amp;Result=3","7040974")</f>
        <v>0</v>
      </c>
      <c r="B3569" t="s">
        <v>1277</v>
      </c>
      <c r="C3569" t="s">
        <v>6088</v>
      </c>
      <c r="D3569" t="s">
        <v>12994</v>
      </c>
      <c r="E3569" t="s">
        <v>16297</v>
      </c>
      <c r="F3569" t="s">
        <v>22436</v>
      </c>
      <c r="G3569" t="s">
        <v>22444</v>
      </c>
      <c r="H3569" t="s">
        <v>22454</v>
      </c>
      <c r="I3569" t="s">
        <v>7738</v>
      </c>
      <c r="J3569" t="s">
        <v>25005</v>
      </c>
      <c r="K3569" t="s">
        <v>29388</v>
      </c>
      <c r="M3569" t="s">
        <v>30930</v>
      </c>
      <c r="N3569" t="s">
        <v>32524</v>
      </c>
      <c r="O3569" t="s">
        <v>32525</v>
      </c>
      <c r="P3569">
        <v>0</v>
      </c>
      <c r="Q3569">
        <v>0</v>
      </c>
      <c r="R3569" t="s">
        <v>32530</v>
      </c>
      <c r="S3569" t="s">
        <v>32568</v>
      </c>
      <c r="T3569" t="s">
        <v>33154</v>
      </c>
      <c r="U3569" t="s">
        <v>36660</v>
      </c>
      <c r="V3569" t="s">
        <v>42778</v>
      </c>
      <c r="W3569" t="s">
        <v>30930</v>
      </c>
      <c r="X3569" t="s">
        <v>32531</v>
      </c>
    </row>
    <row r="3570" spans="1:24">
      <c r="A3570">
        <f>HYPERLINK("https://www.philgeps.gov.ph/GEPSNONPILOT/Tender/SplashBidNoticeAbstractUI.aspx?menuIndex=3&amp;refID=7040966&amp;Result=3","7040966")</f>
        <v>0</v>
      </c>
      <c r="B3570" t="s">
        <v>1275</v>
      </c>
      <c r="C3570" t="s">
        <v>6089</v>
      </c>
      <c r="D3570" t="s">
        <v>13050</v>
      </c>
      <c r="E3570" t="s">
        <v>16294</v>
      </c>
      <c r="F3570" t="s">
        <v>22436</v>
      </c>
      <c r="G3570" t="s">
        <v>22444</v>
      </c>
      <c r="H3570" t="s">
        <v>22452</v>
      </c>
      <c r="I3570" t="s">
        <v>22527</v>
      </c>
      <c r="J3570" t="s">
        <v>25006</v>
      </c>
      <c r="K3570" t="s">
        <v>29336</v>
      </c>
      <c r="M3570" t="s">
        <v>30928</v>
      </c>
      <c r="N3570" t="s">
        <v>32524</v>
      </c>
      <c r="O3570" t="s">
        <v>32525</v>
      </c>
      <c r="P3570">
        <v>0</v>
      </c>
      <c r="Q3570">
        <v>1</v>
      </c>
      <c r="R3570" t="s">
        <v>32530</v>
      </c>
      <c r="S3570" t="s">
        <v>32568</v>
      </c>
      <c r="T3570" t="s">
        <v>33169</v>
      </c>
      <c r="U3570" t="s">
        <v>36661</v>
      </c>
      <c r="W3570" t="s">
        <v>30928</v>
      </c>
      <c r="X3570" t="s">
        <v>32531</v>
      </c>
    </row>
    <row r="3571" spans="1:24">
      <c r="A3571">
        <f>HYPERLINK("https://www.philgeps.gov.ph/GEPSNONPILOT/Tender/SplashBidNoticeAbstractUI.aspx?menuIndex=3&amp;refID=7040973&amp;Result=3","7040973")</f>
        <v>0</v>
      </c>
      <c r="B3571" t="s">
        <v>1275</v>
      </c>
      <c r="C3571" t="s">
        <v>6090</v>
      </c>
      <c r="D3571" t="s">
        <v>13050</v>
      </c>
      <c r="E3571" t="s">
        <v>16294</v>
      </c>
      <c r="F3571" t="s">
        <v>22436</v>
      </c>
      <c r="G3571" t="s">
        <v>22444</v>
      </c>
      <c r="H3571" t="s">
        <v>22452</v>
      </c>
      <c r="I3571" t="s">
        <v>22558</v>
      </c>
      <c r="J3571" t="s">
        <v>25007</v>
      </c>
      <c r="K3571" t="s">
        <v>29336</v>
      </c>
      <c r="M3571" t="s">
        <v>30928</v>
      </c>
      <c r="N3571" t="s">
        <v>32524</v>
      </c>
      <c r="O3571" t="s">
        <v>32525</v>
      </c>
      <c r="P3571">
        <v>0</v>
      </c>
      <c r="Q3571">
        <v>1</v>
      </c>
      <c r="R3571" t="s">
        <v>32530</v>
      </c>
      <c r="S3571" t="s">
        <v>32568</v>
      </c>
      <c r="T3571" t="s">
        <v>33154</v>
      </c>
      <c r="U3571" t="s">
        <v>36662</v>
      </c>
      <c r="W3571" t="s">
        <v>30928</v>
      </c>
      <c r="X3571" t="s">
        <v>32531</v>
      </c>
    </row>
    <row r="3572" spans="1:24">
      <c r="A3572">
        <f>HYPERLINK("https://www.philgeps.gov.ph/GEPSNONPILOT/Tender/SplashBidNoticeAbstractUI.aspx?menuIndex=3&amp;refID=7040986&amp;Result=3","7040986")</f>
        <v>0</v>
      </c>
      <c r="B3572" t="s">
        <v>1276</v>
      </c>
      <c r="C3572" t="s">
        <v>6091</v>
      </c>
      <c r="D3572" t="s">
        <v>12994</v>
      </c>
      <c r="E3572" t="s">
        <v>13165</v>
      </c>
      <c r="F3572" t="s">
        <v>22436</v>
      </c>
      <c r="G3572" t="s">
        <v>22444</v>
      </c>
      <c r="H3572" t="s">
        <v>22454</v>
      </c>
      <c r="I3572" t="s">
        <v>7738</v>
      </c>
      <c r="J3572" t="s">
        <v>22605</v>
      </c>
      <c r="K3572" t="s">
        <v>29388</v>
      </c>
      <c r="M3572" t="s">
        <v>30929</v>
      </c>
      <c r="N3572" t="s">
        <v>32524</v>
      </c>
      <c r="O3572" t="s">
        <v>32525</v>
      </c>
      <c r="P3572">
        <v>0</v>
      </c>
      <c r="Q3572">
        <v>0</v>
      </c>
      <c r="R3572" t="s">
        <v>32530</v>
      </c>
      <c r="S3572" t="s">
        <v>32568</v>
      </c>
      <c r="T3572" t="s">
        <v>33154</v>
      </c>
      <c r="U3572" t="s">
        <v>36663</v>
      </c>
      <c r="V3572" t="s">
        <v>42778</v>
      </c>
      <c r="W3572" t="s">
        <v>30929</v>
      </c>
      <c r="X3572" t="s">
        <v>32531</v>
      </c>
    </row>
    <row r="3573" spans="1:24">
      <c r="A3573">
        <f>HYPERLINK("https://www.philgeps.gov.ph/GEPSNONPILOT/Tender/SplashBidNoticeAbstractUI.aspx?menuIndex=3&amp;refID=7040967&amp;Result=3","7040967")</f>
        <v>0</v>
      </c>
      <c r="B3573" t="s">
        <v>1275</v>
      </c>
      <c r="C3573" t="s">
        <v>6092</v>
      </c>
      <c r="D3573" t="s">
        <v>13050</v>
      </c>
      <c r="E3573" t="s">
        <v>16294</v>
      </c>
      <c r="F3573" t="s">
        <v>22436</v>
      </c>
      <c r="G3573" t="s">
        <v>22444</v>
      </c>
      <c r="H3573" t="s">
        <v>22452</v>
      </c>
      <c r="I3573" t="s">
        <v>2981</v>
      </c>
      <c r="J3573" t="s">
        <v>25008</v>
      </c>
      <c r="K3573" t="s">
        <v>29336</v>
      </c>
      <c r="M3573" t="s">
        <v>30928</v>
      </c>
      <c r="N3573" t="s">
        <v>32524</v>
      </c>
      <c r="O3573" t="s">
        <v>32525</v>
      </c>
      <c r="P3573">
        <v>0</v>
      </c>
      <c r="Q3573">
        <v>1</v>
      </c>
      <c r="R3573" t="s">
        <v>32530</v>
      </c>
      <c r="S3573" t="s">
        <v>32568</v>
      </c>
      <c r="T3573" t="s">
        <v>33154</v>
      </c>
      <c r="U3573" t="s">
        <v>36664</v>
      </c>
      <c r="W3573" t="s">
        <v>30928</v>
      </c>
      <c r="X3573" t="s">
        <v>32531</v>
      </c>
    </row>
    <row r="3574" spans="1:24">
      <c r="A3574">
        <f>HYPERLINK("https://www.philgeps.gov.ph/GEPSNONPILOT/Tender/SplashBidNoticeAbstractUI.aspx?menuIndex=3&amp;refID=7040972&amp;Result=3","7040972")</f>
        <v>0</v>
      </c>
      <c r="B3574" t="s">
        <v>1275</v>
      </c>
      <c r="C3574" t="s">
        <v>6093</v>
      </c>
      <c r="D3574" t="s">
        <v>13050</v>
      </c>
      <c r="E3574" t="s">
        <v>16294</v>
      </c>
      <c r="F3574" t="s">
        <v>22436</v>
      </c>
      <c r="G3574" t="s">
        <v>22444</v>
      </c>
      <c r="H3574" t="s">
        <v>22452</v>
      </c>
      <c r="I3574" t="s">
        <v>22558</v>
      </c>
      <c r="J3574" t="s">
        <v>25009</v>
      </c>
      <c r="K3574" t="s">
        <v>29336</v>
      </c>
      <c r="M3574" t="s">
        <v>30928</v>
      </c>
      <c r="N3574" t="s">
        <v>32524</v>
      </c>
      <c r="O3574" t="s">
        <v>32525</v>
      </c>
      <c r="P3574">
        <v>0</v>
      </c>
      <c r="Q3574">
        <v>2</v>
      </c>
      <c r="R3574" t="s">
        <v>32530</v>
      </c>
      <c r="S3574" t="s">
        <v>32568</v>
      </c>
      <c r="T3574" t="s">
        <v>33154</v>
      </c>
      <c r="U3574" t="s">
        <v>36665</v>
      </c>
      <c r="W3574" t="s">
        <v>30928</v>
      </c>
      <c r="X3574" t="s">
        <v>32531</v>
      </c>
    </row>
    <row r="3575" spans="1:24">
      <c r="A3575">
        <f>HYPERLINK("https://www.philgeps.gov.ph/GEPSNONPILOT/Tender/SplashBidNoticeAbstractUI.aspx?menuIndex=3&amp;refID=7040968&amp;Result=3","7040968")</f>
        <v>0</v>
      </c>
      <c r="B3575" t="s">
        <v>1278</v>
      </c>
      <c r="C3575" t="s">
        <v>6094</v>
      </c>
      <c r="D3575" t="s">
        <v>12988</v>
      </c>
      <c r="E3575" t="s">
        <v>16298</v>
      </c>
      <c r="F3575" t="s">
        <v>22436</v>
      </c>
      <c r="G3575" t="s">
        <v>22446</v>
      </c>
      <c r="H3575" t="s">
        <v>22452</v>
      </c>
      <c r="I3575" t="s">
        <v>12358</v>
      </c>
      <c r="J3575" t="s">
        <v>22692</v>
      </c>
      <c r="K3575" t="s">
        <v>29341</v>
      </c>
      <c r="M3575" t="s">
        <v>30931</v>
      </c>
      <c r="N3575" t="s">
        <v>32524</v>
      </c>
      <c r="O3575" t="s">
        <v>32525</v>
      </c>
      <c r="P3575">
        <v>0</v>
      </c>
      <c r="Q3575">
        <v>1</v>
      </c>
      <c r="R3575" t="s">
        <v>32530</v>
      </c>
      <c r="S3575" t="s">
        <v>32568</v>
      </c>
      <c r="T3575" t="s">
        <v>33419</v>
      </c>
      <c r="U3575" t="s">
        <v>36666</v>
      </c>
      <c r="W3575" t="s">
        <v>43713</v>
      </c>
      <c r="X3575" t="s">
        <v>32531</v>
      </c>
    </row>
    <row r="3576" spans="1:24">
      <c r="A3576">
        <f>HYPERLINK("https://www.philgeps.gov.ph/GEPSNONPILOT/Tender/SplashBidNoticeAbstractUI.aspx?menuIndex=3&amp;refID=7041017&amp;Result=3","7041017")</f>
        <v>0</v>
      </c>
      <c r="B3576" t="s">
        <v>269</v>
      </c>
      <c r="C3576" t="s">
        <v>6095</v>
      </c>
      <c r="D3576" t="s">
        <v>13004</v>
      </c>
      <c r="E3576" t="s">
        <v>16299</v>
      </c>
      <c r="F3576" t="s">
        <v>22436</v>
      </c>
      <c r="G3576" t="s">
        <v>22444</v>
      </c>
      <c r="H3576" t="s">
        <v>22452</v>
      </c>
      <c r="I3576" t="s">
        <v>4688</v>
      </c>
      <c r="J3576" t="s">
        <v>22802</v>
      </c>
      <c r="K3576" t="s">
        <v>29335</v>
      </c>
      <c r="M3576" t="s">
        <v>29843</v>
      </c>
      <c r="N3576" t="s">
        <v>32524</v>
      </c>
      <c r="O3576" t="s">
        <v>32525</v>
      </c>
      <c r="P3576">
        <v>0</v>
      </c>
      <c r="Q3576">
        <v>2</v>
      </c>
      <c r="R3576" t="s">
        <v>32530</v>
      </c>
      <c r="S3576" t="s">
        <v>32568</v>
      </c>
      <c r="T3576" t="s">
        <v>33161</v>
      </c>
      <c r="U3576" t="s">
        <v>36667</v>
      </c>
      <c r="V3576" t="s">
        <v>42483</v>
      </c>
      <c r="W3576" t="s">
        <v>29843</v>
      </c>
      <c r="X3576" t="s">
        <v>32531</v>
      </c>
    </row>
    <row r="3577" spans="1:24">
      <c r="A3577">
        <f>HYPERLINK("https://www.philgeps.gov.ph/GEPSNONPILOT/Tender/SplashBidNoticeAbstractUI.aspx?menuIndex=3&amp;refID=7041015&amp;Result=3","7041015")</f>
        <v>0</v>
      </c>
      <c r="B3577" t="s">
        <v>1279</v>
      </c>
      <c r="C3577" t="s">
        <v>6096</v>
      </c>
      <c r="D3577" t="s">
        <v>13014</v>
      </c>
      <c r="E3577" t="s">
        <v>6096</v>
      </c>
      <c r="F3577" t="s">
        <v>22436</v>
      </c>
      <c r="G3577" t="s">
        <v>22444</v>
      </c>
      <c r="H3577" t="s">
        <v>22452</v>
      </c>
      <c r="I3577" t="s">
        <v>22474</v>
      </c>
      <c r="J3577" t="s">
        <v>25010</v>
      </c>
      <c r="K3577" t="s">
        <v>29341</v>
      </c>
      <c r="M3577" t="s">
        <v>30932</v>
      </c>
      <c r="N3577" t="s">
        <v>32524</v>
      </c>
      <c r="O3577" t="s">
        <v>32525</v>
      </c>
      <c r="P3577">
        <v>0</v>
      </c>
      <c r="Q3577">
        <v>0</v>
      </c>
      <c r="R3577" t="s">
        <v>32530</v>
      </c>
      <c r="S3577" t="s">
        <v>32568</v>
      </c>
      <c r="T3577" t="s">
        <v>33234</v>
      </c>
      <c r="U3577" t="s">
        <v>36668</v>
      </c>
      <c r="W3577" t="s">
        <v>30932</v>
      </c>
      <c r="X3577" t="s">
        <v>32531</v>
      </c>
    </row>
    <row r="3578" spans="1:24">
      <c r="A3578">
        <f>HYPERLINK("https://www.philgeps.gov.ph/GEPSNONPILOT/Tender/SplashBidNoticeAbstractUI.aspx?menuIndex=3&amp;refID=7040983&amp;Result=3","7040983")</f>
        <v>0</v>
      </c>
      <c r="B3578" t="s">
        <v>1280</v>
      </c>
      <c r="C3578" t="s">
        <v>6097</v>
      </c>
      <c r="D3578" t="s">
        <v>12994</v>
      </c>
      <c r="E3578" t="s">
        <v>13137</v>
      </c>
      <c r="F3578" t="s">
        <v>22436</v>
      </c>
      <c r="G3578" t="s">
        <v>22444</v>
      </c>
      <c r="H3578" t="s">
        <v>22454</v>
      </c>
      <c r="I3578" t="s">
        <v>7738</v>
      </c>
      <c r="J3578" t="s">
        <v>22640</v>
      </c>
      <c r="K3578" t="s">
        <v>29388</v>
      </c>
      <c r="M3578" t="s">
        <v>30933</v>
      </c>
      <c r="N3578" t="s">
        <v>32524</v>
      </c>
      <c r="O3578" t="s">
        <v>32525</v>
      </c>
      <c r="P3578">
        <v>0</v>
      </c>
      <c r="Q3578">
        <v>0</v>
      </c>
      <c r="R3578" t="s">
        <v>32530</v>
      </c>
      <c r="S3578" t="s">
        <v>32568</v>
      </c>
      <c r="T3578" t="s">
        <v>33154</v>
      </c>
      <c r="U3578" t="s">
        <v>36669</v>
      </c>
      <c r="V3578" t="s">
        <v>42779</v>
      </c>
      <c r="W3578" t="s">
        <v>30933</v>
      </c>
      <c r="X3578" t="s">
        <v>32531</v>
      </c>
    </row>
    <row r="3579" spans="1:24">
      <c r="A3579">
        <f>HYPERLINK("https://www.philgeps.gov.ph/GEPSNONPILOT/Tender/SplashBidNoticeAbstractUI.aspx?menuIndex=3&amp;refID=7040985&amp;Result=3","7040985")</f>
        <v>0</v>
      </c>
      <c r="B3579" t="s">
        <v>1281</v>
      </c>
      <c r="C3579" t="s">
        <v>6098</v>
      </c>
      <c r="D3579" t="s">
        <v>13010</v>
      </c>
      <c r="E3579" t="s">
        <v>13137</v>
      </c>
      <c r="F3579" t="s">
        <v>22436</v>
      </c>
      <c r="G3579" t="s">
        <v>22443</v>
      </c>
      <c r="H3579" t="s">
        <v>22452</v>
      </c>
      <c r="I3579" t="s">
        <v>5194</v>
      </c>
      <c r="J3579" t="s">
        <v>25011</v>
      </c>
      <c r="K3579" t="s">
        <v>29330</v>
      </c>
      <c r="M3579" t="s">
        <v>30934</v>
      </c>
      <c r="N3579" t="s">
        <v>32524</v>
      </c>
      <c r="O3579" t="s">
        <v>32525</v>
      </c>
      <c r="P3579">
        <v>0</v>
      </c>
      <c r="Q3579">
        <v>0</v>
      </c>
      <c r="R3579" t="s">
        <v>32530</v>
      </c>
      <c r="S3579" t="s">
        <v>32568</v>
      </c>
      <c r="T3579" t="s">
        <v>33220</v>
      </c>
      <c r="U3579" t="s">
        <v>36670</v>
      </c>
      <c r="W3579" t="s">
        <v>30934</v>
      </c>
      <c r="X3579" t="s">
        <v>32531</v>
      </c>
    </row>
    <row r="3580" spans="1:24">
      <c r="A3580">
        <f>HYPERLINK("https://www.philgeps.gov.ph/GEPSNONPILOT/Tender/SplashBidNoticeAbstractUI.aspx?menuIndex=3&amp;refID=7041012&amp;Result=3","7041012")</f>
        <v>0</v>
      </c>
      <c r="B3580" t="s">
        <v>1282</v>
      </c>
      <c r="C3580" t="s">
        <v>6099</v>
      </c>
      <c r="D3580" t="s">
        <v>13045</v>
      </c>
      <c r="E3580" t="s">
        <v>16300</v>
      </c>
      <c r="F3580" t="s">
        <v>22436</v>
      </c>
      <c r="G3580" t="s">
        <v>22443</v>
      </c>
      <c r="H3580" t="s">
        <v>22452</v>
      </c>
      <c r="I3580" t="s">
        <v>3827</v>
      </c>
      <c r="J3580" t="s">
        <v>23941</v>
      </c>
      <c r="K3580" t="s">
        <v>29338</v>
      </c>
      <c r="M3580" t="s">
        <v>30935</v>
      </c>
      <c r="N3580" t="s">
        <v>32524</v>
      </c>
      <c r="O3580" t="s">
        <v>32525</v>
      </c>
      <c r="P3580">
        <v>0</v>
      </c>
      <c r="Q3580">
        <v>0</v>
      </c>
      <c r="R3580" t="s">
        <v>32530</v>
      </c>
      <c r="S3580" t="s">
        <v>32568</v>
      </c>
      <c r="T3580" t="s">
        <v>33185</v>
      </c>
      <c r="U3580" t="s">
        <v>36671</v>
      </c>
      <c r="W3580" t="s">
        <v>30935</v>
      </c>
      <c r="X3580" t="s">
        <v>32531</v>
      </c>
    </row>
    <row r="3581" spans="1:24">
      <c r="A3581">
        <f>HYPERLINK("https://www.philgeps.gov.ph/GEPSNONPILOT/Tender/SplashBidNoticeAbstractUI.aspx?menuIndex=3&amp;refID=7040980&amp;Result=3","7040980")</f>
        <v>0</v>
      </c>
      <c r="B3581" t="s">
        <v>1283</v>
      </c>
      <c r="C3581" t="s">
        <v>6100</v>
      </c>
      <c r="D3581" t="s">
        <v>13057</v>
      </c>
      <c r="E3581" t="s">
        <v>16301</v>
      </c>
      <c r="F3581" t="s">
        <v>22436</v>
      </c>
      <c r="G3581" t="s">
        <v>22444</v>
      </c>
      <c r="H3581" t="s">
        <v>22452</v>
      </c>
      <c r="I3581" t="s">
        <v>2993</v>
      </c>
      <c r="J3581" t="s">
        <v>22836</v>
      </c>
      <c r="K3581" t="s">
        <v>29341</v>
      </c>
      <c r="M3581" t="s">
        <v>30936</v>
      </c>
      <c r="N3581" t="s">
        <v>32524</v>
      </c>
      <c r="O3581" t="s">
        <v>32525</v>
      </c>
      <c r="P3581">
        <v>0</v>
      </c>
      <c r="Q3581">
        <v>0</v>
      </c>
      <c r="R3581" t="s">
        <v>32530</v>
      </c>
      <c r="S3581" t="s">
        <v>32568</v>
      </c>
      <c r="T3581" t="s">
        <v>33212</v>
      </c>
      <c r="U3581" t="s">
        <v>36672</v>
      </c>
      <c r="W3581" t="s">
        <v>30936</v>
      </c>
      <c r="X3581" t="s">
        <v>32531</v>
      </c>
    </row>
    <row r="3582" spans="1:24">
      <c r="A3582">
        <f>HYPERLINK("https://www.philgeps.gov.ph/GEPSNONPILOT/Tender/SplashBidNoticeAbstractUI.aspx?menuIndex=3&amp;refID=7040536&amp;Result=3","7040536")</f>
        <v>0</v>
      </c>
      <c r="B3582" t="s">
        <v>1274</v>
      </c>
      <c r="C3582" t="s">
        <v>6101</v>
      </c>
      <c r="D3582" t="s">
        <v>13041</v>
      </c>
      <c r="E3582" t="s">
        <v>16302</v>
      </c>
      <c r="F3582" t="s">
        <v>22436</v>
      </c>
      <c r="G3582" t="s">
        <v>22444</v>
      </c>
      <c r="H3582" t="s">
        <v>22452</v>
      </c>
      <c r="I3582" t="s">
        <v>22463</v>
      </c>
      <c r="J3582" t="s">
        <v>22779</v>
      </c>
      <c r="K3582" t="s">
        <v>29341</v>
      </c>
      <c r="M3582" t="s">
        <v>30927</v>
      </c>
      <c r="N3582" t="s">
        <v>32524</v>
      </c>
      <c r="O3582" t="s">
        <v>32525</v>
      </c>
      <c r="P3582">
        <v>0</v>
      </c>
      <c r="Q3582">
        <v>6</v>
      </c>
      <c r="R3582" t="s">
        <v>32530</v>
      </c>
      <c r="S3582" t="s">
        <v>32568</v>
      </c>
      <c r="T3582" t="s">
        <v>33357</v>
      </c>
      <c r="U3582" t="s">
        <v>36673</v>
      </c>
      <c r="W3582" t="s">
        <v>30927</v>
      </c>
      <c r="X3582" t="s">
        <v>32532</v>
      </c>
    </row>
    <row r="3583" spans="1:24">
      <c r="A3583">
        <f>HYPERLINK("https://www.philgeps.gov.ph/GEPSNONPILOT/Tender/SplashBidNoticeAbstractUI.aspx?menuIndex=3&amp;refID=7041016&amp;Result=3","7041016")</f>
        <v>0</v>
      </c>
      <c r="B3583" t="s">
        <v>1284</v>
      </c>
      <c r="C3583" t="s">
        <v>6102</v>
      </c>
      <c r="D3583" t="s">
        <v>13019</v>
      </c>
      <c r="E3583" t="s">
        <v>16303</v>
      </c>
      <c r="F3583" t="s">
        <v>22436</v>
      </c>
      <c r="G3583" t="s">
        <v>22444</v>
      </c>
      <c r="H3583" t="s">
        <v>22454</v>
      </c>
      <c r="I3583" t="s">
        <v>7738</v>
      </c>
      <c r="J3583" t="s">
        <v>25012</v>
      </c>
      <c r="K3583" t="s">
        <v>29338</v>
      </c>
      <c r="M3583" t="s">
        <v>30937</v>
      </c>
      <c r="N3583" t="s">
        <v>32524</v>
      </c>
      <c r="O3583" t="s">
        <v>32525</v>
      </c>
      <c r="P3583">
        <v>0</v>
      </c>
      <c r="Q3583">
        <v>0</v>
      </c>
      <c r="R3583" t="s">
        <v>32530</v>
      </c>
      <c r="S3583" t="s">
        <v>32568</v>
      </c>
      <c r="T3583" t="s">
        <v>33154</v>
      </c>
      <c r="U3583" t="s">
        <v>36674</v>
      </c>
      <c r="W3583" t="s">
        <v>30937</v>
      </c>
      <c r="X3583" t="s">
        <v>32531</v>
      </c>
    </row>
    <row r="3584" spans="1:24">
      <c r="A3584">
        <f>HYPERLINK("https://www.philgeps.gov.ph/GEPSNONPILOT/Tender/SplashBidNoticeAbstractUI.aspx?menuIndex=3&amp;refID=7041009&amp;Result=3","7041009")</f>
        <v>0</v>
      </c>
      <c r="B3584" t="s">
        <v>67</v>
      </c>
      <c r="C3584" t="s">
        <v>6103</v>
      </c>
      <c r="D3584" t="s">
        <v>12990</v>
      </c>
      <c r="E3584" t="s">
        <v>16304</v>
      </c>
      <c r="F3584" t="s">
        <v>22436</v>
      </c>
      <c r="G3584" t="s">
        <v>22444</v>
      </c>
      <c r="H3584" t="s">
        <v>22454</v>
      </c>
      <c r="I3584" t="s">
        <v>7738</v>
      </c>
      <c r="J3584" t="s">
        <v>25013</v>
      </c>
      <c r="K3584" t="s">
        <v>29333</v>
      </c>
      <c r="M3584" t="s">
        <v>30938</v>
      </c>
      <c r="N3584" t="s">
        <v>32524</v>
      </c>
      <c r="O3584" t="s">
        <v>32525</v>
      </c>
      <c r="P3584">
        <v>0</v>
      </c>
      <c r="Q3584">
        <v>0</v>
      </c>
      <c r="R3584" t="s">
        <v>32530</v>
      </c>
      <c r="S3584" t="s">
        <v>32568</v>
      </c>
      <c r="T3584" t="s">
        <v>33194</v>
      </c>
      <c r="U3584" t="s">
        <v>36675</v>
      </c>
      <c r="W3584" t="s">
        <v>30938</v>
      </c>
      <c r="X3584" t="s">
        <v>32531</v>
      </c>
    </row>
    <row r="3585" spans="1:24">
      <c r="A3585">
        <f>HYPERLINK("https://www.philgeps.gov.ph/GEPSNONPILOT/Tender/SplashBidNoticeAbstractUI.aspx?menuIndex=3&amp;refID=7041003&amp;Result=3","7041003")</f>
        <v>0</v>
      </c>
      <c r="B3585" t="s">
        <v>1285</v>
      </c>
      <c r="C3585" t="s">
        <v>6104</v>
      </c>
      <c r="E3585" t="s">
        <v>16305</v>
      </c>
      <c r="F3585" t="s">
        <v>22436</v>
      </c>
      <c r="G3585" t="s">
        <v>22444</v>
      </c>
      <c r="H3585" t="s">
        <v>22452</v>
      </c>
      <c r="I3585" t="s">
        <v>7738</v>
      </c>
      <c r="J3585" t="s">
        <v>25014</v>
      </c>
      <c r="K3585" t="s">
        <v>29338</v>
      </c>
      <c r="M3585" t="s">
        <v>30939</v>
      </c>
      <c r="N3585" t="s">
        <v>32524</v>
      </c>
      <c r="O3585" t="s">
        <v>32525</v>
      </c>
      <c r="P3585">
        <v>0</v>
      </c>
      <c r="Q3585">
        <v>0</v>
      </c>
      <c r="R3585" t="s">
        <v>32530</v>
      </c>
      <c r="S3585" t="s">
        <v>32568</v>
      </c>
      <c r="T3585" t="s">
        <v>33181</v>
      </c>
      <c r="U3585" t="s">
        <v>36676</v>
      </c>
      <c r="W3585" t="s">
        <v>30939</v>
      </c>
      <c r="X3585" t="s">
        <v>32531</v>
      </c>
    </row>
    <row r="3586" spans="1:24">
      <c r="A3586">
        <f>HYPERLINK("https://www.philgeps.gov.ph/GEPSNONPILOT/Tender/SplashBidNoticeAbstractUI.aspx?menuIndex=3&amp;refID=7041025&amp;Result=3","7041025")</f>
        <v>0</v>
      </c>
      <c r="B3586" t="s">
        <v>1282</v>
      </c>
      <c r="C3586" t="s">
        <v>6099</v>
      </c>
      <c r="D3586" t="s">
        <v>13045</v>
      </c>
      <c r="E3586" t="s">
        <v>16306</v>
      </c>
      <c r="F3586" t="s">
        <v>22436</v>
      </c>
      <c r="G3586" t="s">
        <v>22443</v>
      </c>
      <c r="H3586" t="s">
        <v>22452</v>
      </c>
      <c r="I3586" t="s">
        <v>22493</v>
      </c>
      <c r="J3586" t="s">
        <v>22640</v>
      </c>
      <c r="K3586" t="s">
        <v>29338</v>
      </c>
      <c r="M3586" t="s">
        <v>30935</v>
      </c>
      <c r="N3586" t="s">
        <v>32524</v>
      </c>
      <c r="O3586" t="s">
        <v>32525</v>
      </c>
      <c r="P3586">
        <v>0</v>
      </c>
      <c r="Q3586">
        <v>1</v>
      </c>
      <c r="R3586" t="s">
        <v>32530</v>
      </c>
      <c r="S3586" t="s">
        <v>32568</v>
      </c>
      <c r="T3586" t="s">
        <v>33185</v>
      </c>
      <c r="U3586" t="s">
        <v>36677</v>
      </c>
      <c r="W3586" t="s">
        <v>30935</v>
      </c>
      <c r="X3586" t="s">
        <v>32531</v>
      </c>
    </row>
    <row r="3587" spans="1:24">
      <c r="A3587">
        <f>HYPERLINK("https://www.philgeps.gov.ph/GEPSNONPILOT/Tender/SplashBidNoticeAbstractUI.aspx?menuIndex=3&amp;refID=7041018&amp;Result=3","7041018")</f>
        <v>0</v>
      </c>
      <c r="B3587" t="s">
        <v>1286</v>
      </c>
      <c r="C3587" t="s">
        <v>6105</v>
      </c>
      <c r="D3587" t="s">
        <v>13011</v>
      </c>
      <c r="E3587" t="s">
        <v>16307</v>
      </c>
      <c r="F3587" t="s">
        <v>22436</v>
      </c>
      <c r="G3587" t="s">
        <v>22444</v>
      </c>
      <c r="H3587" t="s">
        <v>22452</v>
      </c>
      <c r="I3587" t="s">
        <v>22559</v>
      </c>
      <c r="J3587" t="s">
        <v>24356</v>
      </c>
      <c r="K3587" t="s">
        <v>29335</v>
      </c>
      <c r="M3587" t="s">
        <v>30940</v>
      </c>
      <c r="N3587" t="s">
        <v>32524</v>
      </c>
      <c r="O3587" t="s">
        <v>32525</v>
      </c>
      <c r="P3587">
        <v>0</v>
      </c>
      <c r="Q3587">
        <v>2</v>
      </c>
      <c r="R3587" t="s">
        <v>32530</v>
      </c>
      <c r="S3587" t="s">
        <v>32568</v>
      </c>
      <c r="T3587" t="s">
        <v>33169</v>
      </c>
      <c r="U3587" t="s">
        <v>36678</v>
      </c>
      <c r="W3587" t="s">
        <v>30940</v>
      </c>
      <c r="X3587" t="s">
        <v>32531</v>
      </c>
    </row>
    <row r="3588" spans="1:24">
      <c r="A3588">
        <f>HYPERLINK("https://www.philgeps.gov.ph/GEPSNONPILOT/Tender/SplashBidNoticeAbstractUI.aspx?menuIndex=3&amp;refID=7041024&amp;Result=3","7041024")</f>
        <v>0</v>
      </c>
      <c r="B3588" t="s">
        <v>1284</v>
      </c>
      <c r="C3588" t="s">
        <v>5992</v>
      </c>
      <c r="D3588" t="s">
        <v>13019</v>
      </c>
      <c r="E3588" t="s">
        <v>16308</v>
      </c>
      <c r="F3588" t="s">
        <v>22436</v>
      </c>
      <c r="G3588" t="s">
        <v>22444</v>
      </c>
      <c r="H3588" t="s">
        <v>22454</v>
      </c>
      <c r="I3588" t="s">
        <v>7738</v>
      </c>
      <c r="J3588" t="s">
        <v>25015</v>
      </c>
      <c r="K3588" t="s">
        <v>29338</v>
      </c>
      <c r="M3588" t="s">
        <v>30937</v>
      </c>
      <c r="N3588" t="s">
        <v>32524</v>
      </c>
      <c r="O3588" t="s">
        <v>32525</v>
      </c>
      <c r="P3588">
        <v>0</v>
      </c>
      <c r="Q3588">
        <v>0</v>
      </c>
      <c r="R3588" t="s">
        <v>32530</v>
      </c>
      <c r="S3588" t="s">
        <v>32568</v>
      </c>
      <c r="T3588" t="s">
        <v>33154</v>
      </c>
      <c r="U3588" t="s">
        <v>36679</v>
      </c>
      <c r="W3588" t="s">
        <v>30937</v>
      </c>
      <c r="X3588" t="s">
        <v>32531</v>
      </c>
    </row>
    <row r="3589" spans="1:24">
      <c r="A3589">
        <f>HYPERLINK("https://www.philgeps.gov.ph/GEPSNONPILOT/Tender/SplashBidNoticeAbstractUI.aspx?menuIndex=3&amp;refID=7041002&amp;Result=3","7041002")</f>
        <v>0</v>
      </c>
      <c r="B3589" t="s">
        <v>1287</v>
      </c>
      <c r="C3589" t="s">
        <v>6106</v>
      </c>
      <c r="D3589" t="s">
        <v>13073</v>
      </c>
      <c r="E3589" t="s">
        <v>13137</v>
      </c>
      <c r="F3589" t="s">
        <v>22436</v>
      </c>
      <c r="G3589" t="s">
        <v>22446</v>
      </c>
      <c r="H3589" t="s">
        <v>22452</v>
      </c>
      <c r="I3589" t="s">
        <v>6421</v>
      </c>
      <c r="J3589" t="s">
        <v>22657</v>
      </c>
      <c r="K3589" t="s">
        <v>29331</v>
      </c>
      <c r="M3589" t="s">
        <v>30941</v>
      </c>
      <c r="N3589" t="s">
        <v>32524</v>
      </c>
      <c r="O3589" t="s">
        <v>32525</v>
      </c>
      <c r="P3589">
        <v>0</v>
      </c>
      <c r="Q3589">
        <v>0</v>
      </c>
      <c r="R3589" t="s">
        <v>32530</v>
      </c>
      <c r="S3589" t="s">
        <v>32568</v>
      </c>
      <c r="T3589" t="s">
        <v>33169</v>
      </c>
      <c r="U3589" t="s">
        <v>36680</v>
      </c>
      <c r="W3589" t="s">
        <v>30941</v>
      </c>
      <c r="X3589" t="s">
        <v>32531</v>
      </c>
    </row>
    <row r="3590" spans="1:24">
      <c r="A3590">
        <f>HYPERLINK("https://www.philgeps.gov.ph/GEPSNONPILOT/Tender/SplashBidNoticeAbstractUI.aspx?menuIndex=3&amp;refID=7041011&amp;Result=3","7041011")</f>
        <v>0</v>
      </c>
      <c r="B3590" t="s">
        <v>1279</v>
      </c>
      <c r="C3590" t="s">
        <v>6096</v>
      </c>
      <c r="D3590" t="s">
        <v>13014</v>
      </c>
      <c r="E3590" t="s">
        <v>6096</v>
      </c>
      <c r="F3590" t="s">
        <v>22436</v>
      </c>
      <c r="G3590" t="s">
        <v>22444</v>
      </c>
      <c r="H3590" t="s">
        <v>22452</v>
      </c>
      <c r="I3590" t="s">
        <v>22474</v>
      </c>
      <c r="J3590" t="s">
        <v>25016</v>
      </c>
      <c r="K3590" t="s">
        <v>29341</v>
      </c>
      <c r="M3590" t="s">
        <v>30932</v>
      </c>
      <c r="N3590" t="s">
        <v>32524</v>
      </c>
      <c r="O3590" t="s">
        <v>32525</v>
      </c>
      <c r="P3590">
        <v>0</v>
      </c>
      <c r="Q3590">
        <v>0</v>
      </c>
      <c r="R3590" t="s">
        <v>32530</v>
      </c>
      <c r="S3590" t="s">
        <v>32568</v>
      </c>
      <c r="T3590" t="s">
        <v>33234</v>
      </c>
      <c r="U3590" t="s">
        <v>36668</v>
      </c>
      <c r="W3590" t="s">
        <v>30932</v>
      </c>
      <c r="X3590" t="s">
        <v>32531</v>
      </c>
    </row>
    <row r="3591" spans="1:24">
      <c r="A3591">
        <f>HYPERLINK("https://www.philgeps.gov.ph/GEPSNONPILOT/Tender/SplashBidNoticeAbstractUI.aspx?menuIndex=3&amp;refID=7041022&amp;Result=3","7041022")</f>
        <v>0</v>
      </c>
      <c r="B3591" t="s">
        <v>1288</v>
      </c>
      <c r="C3591" t="s">
        <v>6107</v>
      </c>
      <c r="D3591" t="s">
        <v>13010</v>
      </c>
      <c r="E3591" t="s">
        <v>16309</v>
      </c>
      <c r="F3591" t="s">
        <v>22436</v>
      </c>
      <c r="G3591" t="s">
        <v>22445</v>
      </c>
      <c r="H3591" t="s">
        <v>22452</v>
      </c>
      <c r="I3591" t="s">
        <v>2981</v>
      </c>
      <c r="J3591" t="s">
        <v>25017</v>
      </c>
      <c r="K3591" t="s">
        <v>29335</v>
      </c>
      <c r="M3591" t="s">
        <v>30942</v>
      </c>
      <c r="N3591" t="s">
        <v>32524</v>
      </c>
      <c r="O3591" t="s">
        <v>32525</v>
      </c>
      <c r="P3591">
        <v>0</v>
      </c>
      <c r="Q3591">
        <v>7</v>
      </c>
      <c r="R3591" t="s">
        <v>32530</v>
      </c>
      <c r="S3591" t="s">
        <v>32568</v>
      </c>
      <c r="T3591" t="s">
        <v>33215</v>
      </c>
      <c r="U3591" t="s">
        <v>36681</v>
      </c>
      <c r="V3591" t="s">
        <v>42780</v>
      </c>
      <c r="W3591" t="s">
        <v>30942</v>
      </c>
      <c r="X3591" t="s">
        <v>32531</v>
      </c>
    </row>
    <row r="3592" spans="1:24">
      <c r="A3592">
        <f>HYPERLINK("https://www.philgeps.gov.ph/GEPSNONPILOT/Tender/SplashBidNoticeAbstractUI.aspx?menuIndex=3&amp;refID=7041001&amp;Result=3","7041001")</f>
        <v>0</v>
      </c>
      <c r="B3592" t="s">
        <v>1289</v>
      </c>
      <c r="C3592" t="s">
        <v>6108</v>
      </c>
      <c r="E3592" t="s">
        <v>16310</v>
      </c>
      <c r="F3592" t="s">
        <v>22436</v>
      </c>
      <c r="G3592" t="s">
        <v>22443</v>
      </c>
      <c r="H3592" t="s">
        <v>22452</v>
      </c>
      <c r="I3592" t="s">
        <v>22529</v>
      </c>
      <c r="J3592" t="s">
        <v>25018</v>
      </c>
      <c r="K3592" t="s">
        <v>29341</v>
      </c>
      <c r="M3592" t="s">
        <v>30943</v>
      </c>
      <c r="N3592" t="s">
        <v>32524</v>
      </c>
      <c r="O3592" t="s">
        <v>32525</v>
      </c>
      <c r="P3592">
        <v>0</v>
      </c>
      <c r="Q3592">
        <v>4</v>
      </c>
      <c r="R3592" t="s">
        <v>32530</v>
      </c>
      <c r="S3592" t="s">
        <v>32568</v>
      </c>
      <c r="T3592" t="s">
        <v>33238</v>
      </c>
      <c r="U3592" t="s">
        <v>36682</v>
      </c>
      <c r="W3592" t="s">
        <v>30943</v>
      </c>
      <c r="X3592" t="s">
        <v>32531</v>
      </c>
    </row>
    <row r="3593" spans="1:24">
      <c r="A3593">
        <f>HYPERLINK("https://www.philgeps.gov.ph/GEPSNONPILOT/Tender/SplashBidNoticeAbstractUI.aspx?menuIndex=3&amp;refID=7040998&amp;Result=3","7040998")</f>
        <v>0</v>
      </c>
      <c r="B3593" t="s">
        <v>1290</v>
      </c>
      <c r="C3593" t="s">
        <v>6109</v>
      </c>
      <c r="D3593" t="s">
        <v>13044</v>
      </c>
      <c r="E3593" t="s">
        <v>14018</v>
      </c>
      <c r="F3593" t="s">
        <v>22437</v>
      </c>
      <c r="G3593" t="s">
        <v>22445</v>
      </c>
      <c r="H3593" t="s">
        <v>22452</v>
      </c>
      <c r="I3593" t="s">
        <v>22499</v>
      </c>
      <c r="J3593" t="s">
        <v>25019</v>
      </c>
      <c r="K3593" t="s">
        <v>29356</v>
      </c>
      <c r="M3593" t="s">
        <v>30944</v>
      </c>
      <c r="N3593" t="s">
        <v>32524</v>
      </c>
      <c r="O3593" t="s">
        <v>32525</v>
      </c>
      <c r="P3593">
        <v>0</v>
      </c>
      <c r="Q3593">
        <v>1</v>
      </c>
      <c r="R3593" t="s">
        <v>32530</v>
      </c>
      <c r="S3593" t="s">
        <v>32568</v>
      </c>
      <c r="T3593" t="s">
        <v>33167</v>
      </c>
      <c r="U3593" t="s">
        <v>36683</v>
      </c>
      <c r="V3593" t="s">
        <v>42781</v>
      </c>
      <c r="W3593" t="s">
        <v>30944</v>
      </c>
      <c r="X3593" t="s">
        <v>32531</v>
      </c>
    </row>
    <row r="3594" spans="1:24">
      <c r="A3594">
        <f>HYPERLINK("https://www.philgeps.gov.ph/GEPSNONPILOT/Tender/SplashBidNoticeAbstractUI.aspx?menuIndex=3&amp;refID=7040997&amp;Result=3","7040997")</f>
        <v>0</v>
      </c>
      <c r="B3594" t="s">
        <v>1291</v>
      </c>
      <c r="C3594" t="s">
        <v>6110</v>
      </c>
      <c r="D3594" t="s">
        <v>13026</v>
      </c>
      <c r="E3594" t="s">
        <v>16311</v>
      </c>
      <c r="F3594" t="s">
        <v>22436</v>
      </c>
      <c r="G3594" t="s">
        <v>22443</v>
      </c>
      <c r="H3594" t="s">
        <v>22452</v>
      </c>
      <c r="I3594" t="s">
        <v>22495</v>
      </c>
      <c r="J3594" t="s">
        <v>25020</v>
      </c>
      <c r="K3594" t="s">
        <v>29335</v>
      </c>
      <c r="M3594" t="s">
        <v>30945</v>
      </c>
      <c r="N3594" t="s">
        <v>32524</v>
      </c>
      <c r="O3594" t="s">
        <v>32525</v>
      </c>
      <c r="P3594">
        <v>0</v>
      </c>
      <c r="Q3594">
        <v>2</v>
      </c>
      <c r="R3594" t="s">
        <v>32530</v>
      </c>
      <c r="S3594" t="s">
        <v>32568</v>
      </c>
      <c r="T3594" t="s">
        <v>33169</v>
      </c>
      <c r="U3594" t="s">
        <v>36684</v>
      </c>
      <c r="W3594" t="s">
        <v>30945</v>
      </c>
      <c r="X3594" t="s">
        <v>32531</v>
      </c>
    </row>
    <row r="3595" spans="1:24">
      <c r="A3595">
        <f>HYPERLINK("https://www.philgeps.gov.ph/GEPSNONPILOT/Tender/SplashBidNoticeAbstractUI.aspx?menuIndex=3&amp;refID=7041000&amp;Result=3","7041000")</f>
        <v>0</v>
      </c>
      <c r="B3595" t="s">
        <v>67</v>
      </c>
      <c r="C3595" t="s">
        <v>6111</v>
      </c>
      <c r="D3595" t="s">
        <v>12990</v>
      </c>
      <c r="E3595" t="s">
        <v>16312</v>
      </c>
      <c r="F3595" t="s">
        <v>22436</v>
      </c>
      <c r="G3595" t="s">
        <v>22444</v>
      </c>
      <c r="H3595" t="s">
        <v>22454</v>
      </c>
      <c r="I3595" t="s">
        <v>7738</v>
      </c>
      <c r="J3595" t="s">
        <v>25021</v>
      </c>
      <c r="K3595" t="s">
        <v>29335</v>
      </c>
      <c r="M3595" t="s">
        <v>30938</v>
      </c>
      <c r="N3595" t="s">
        <v>32524</v>
      </c>
      <c r="O3595" t="s">
        <v>32525</v>
      </c>
      <c r="P3595">
        <v>0</v>
      </c>
      <c r="Q3595">
        <v>0</v>
      </c>
      <c r="R3595" t="s">
        <v>32530</v>
      </c>
      <c r="S3595" t="s">
        <v>32568</v>
      </c>
      <c r="T3595" t="s">
        <v>33194</v>
      </c>
      <c r="U3595" t="s">
        <v>36685</v>
      </c>
      <c r="W3595" t="s">
        <v>30938</v>
      </c>
      <c r="X3595" t="s">
        <v>32531</v>
      </c>
    </row>
    <row r="3596" spans="1:24">
      <c r="A3596">
        <f>HYPERLINK("https://www.philgeps.gov.ph/GEPSNONPILOT/Tender/SplashBidNoticeAbstractUI.aspx?menuIndex=3&amp;refID=7041029&amp;Result=3","7041029")</f>
        <v>0</v>
      </c>
      <c r="B3596" t="s">
        <v>1292</v>
      </c>
      <c r="C3596" t="s">
        <v>6112</v>
      </c>
      <c r="D3596" t="s">
        <v>12999</v>
      </c>
      <c r="E3596" t="s">
        <v>16313</v>
      </c>
      <c r="F3596" t="s">
        <v>22436</v>
      </c>
      <c r="G3596" t="s">
        <v>22444</v>
      </c>
      <c r="H3596" t="s">
        <v>22452</v>
      </c>
      <c r="I3596" t="s">
        <v>22512</v>
      </c>
      <c r="J3596" t="s">
        <v>22585</v>
      </c>
      <c r="K3596" t="s">
        <v>29336</v>
      </c>
      <c r="M3596" t="s">
        <v>30946</v>
      </c>
      <c r="N3596" t="s">
        <v>32524</v>
      </c>
      <c r="O3596" t="s">
        <v>32525</v>
      </c>
      <c r="P3596">
        <v>0</v>
      </c>
      <c r="Q3596">
        <v>0</v>
      </c>
      <c r="R3596" t="s">
        <v>32530</v>
      </c>
      <c r="S3596" t="s">
        <v>32568</v>
      </c>
      <c r="T3596" t="s">
        <v>33154</v>
      </c>
      <c r="U3596" t="s">
        <v>36686</v>
      </c>
      <c r="W3596" t="s">
        <v>30946</v>
      </c>
      <c r="X3596" t="s">
        <v>32531</v>
      </c>
    </row>
    <row r="3597" spans="1:24">
      <c r="A3597">
        <f>HYPERLINK("https://www.philgeps.gov.ph/GEPSNONPILOT/Tender/SplashBidNoticeAbstractUI.aspx?menuIndex=3&amp;refID=7041005&amp;Result=3","7041005")</f>
        <v>0</v>
      </c>
      <c r="B3597" t="s">
        <v>67</v>
      </c>
      <c r="C3597" t="s">
        <v>6113</v>
      </c>
      <c r="D3597" t="s">
        <v>12990</v>
      </c>
      <c r="E3597" t="s">
        <v>16314</v>
      </c>
      <c r="F3597" t="s">
        <v>22436</v>
      </c>
      <c r="G3597" t="s">
        <v>22444</v>
      </c>
      <c r="H3597" t="s">
        <v>22454</v>
      </c>
      <c r="I3597" t="s">
        <v>7738</v>
      </c>
      <c r="J3597" t="s">
        <v>25022</v>
      </c>
      <c r="K3597" t="s">
        <v>29335</v>
      </c>
      <c r="M3597" t="s">
        <v>30938</v>
      </c>
      <c r="N3597" t="s">
        <v>32524</v>
      </c>
      <c r="O3597" t="s">
        <v>32525</v>
      </c>
      <c r="P3597">
        <v>0</v>
      </c>
      <c r="Q3597">
        <v>0</v>
      </c>
      <c r="R3597" t="s">
        <v>32530</v>
      </c>
      <c r="S3597" t="s">
        <v>32568</v>
      </c>
      <c r="T3597" t="s">
        <v>33194</v>
      </c>
      <c r="U3597" t="s">
        <v>36687</v>
      </c>
      <c r="W3597" t="s">
        <v>30938</v>
      </c>
      <c r="X3597" t="s">
        <v>32531</v>
      </c>
    </row>
    <row r="3598" spans="1:24">
      <c r="A3598">
        <f>HYPERLINK("https://www.philgeps.gov.ph/GEPSNONPILOT/Tender/SplashBidNoticeAbstractUI.aspx?menuIndex=3&amp;refID=7041021&amp;Result=3","7041021")</f>
        <v>0</v>
      </c>
      <c r="B3598" t="s">
        <v>1293</v>
      </c>
      <c r="C3598" t="s">
        <v>6114</v>
      </c>
      <c r="D3598" t="s">
        <v>13032</v>
      </c>
      <c r="E3598" t="s">
        <v>16315</v>
      </c>
      <c r="F3598" t="s">
        <v>22436</v>
      </c>
      <c r="G3598" t="s">
        <v>22446</v>
      </c>
      <c r="H3598" t="s">
        <v>22452</v>
      </c>
      <c r="I3598" t="s">
        <v>3529</v>
      </c>
      <c r="J3598" t="s">
        <v>25023</v>
      </c>
      <c r="K3598" t="s">
        <v>29336</v>
      </c>
      <c r="M3598" t="s">
        <v>30947</v>
      </c>
      <c r="N3598" t="s">
        <v>32524</v>
      </c>
      <c r="O3598" t="s">
        <v>32525</v>
      </c>
      <c r="P3598">
        <v>0</v>
      </c>
      <c r="Q3598">
        <v>0</v>
      </c>
      <c r="R3598" t="s">
        <v>32530</v>
      </c>
      <c r="S3598" t="s">
        <v>32568</v>
      </c>
      <c r="T3598" t="s">
        <v>33213</v>
      </c>
      <c r="U3598" t="s">
        <v>36688</v>
      </c>
      <c r="W3598" t="s">
        <v>30947</v>
      </c>
      <c r="X3598" t="s">
        <v>32531</v>
      </c>
    </row>
    <row r="3599" spans="1:24">
      <c r="A3599">
        <f>HYPERLINK("https://www.philgeps.gov.ph/GEPSNONPILOT/Tender/SplashBidNoticeAbstractUI.aspx?menuIndex=3&amp;refID=7041069&amp;Result=3","7041069")</f>
        <v>0</v>
      </c>
      <c r="B3599" t="s">
        <v>1294</v>
      </c>
      <c r="C3599" t="s">
        <v>6115</v>
      </c>
      <c r="D3599" t="s">
        <v>12996</v>
      </c>
      <c r="E3599" t="s">
        <v>14196</v>
      </c>
      <c r="F3599" t="s">
        <v>22436</v>
      </c>
      <c r="G3599" t="s">
        <v>22444</v>
      </c>
      <c r="H3599" t="s">
        <v>22452</v>
      </c>
      <c r="I3599" t="s">
        <v>2981</v>
      </c>
      <c r="J3599" t="s">
        <v>22788</v>
      </c>
      <c r="K3599" t="s">
        <v>29341</v>
      </c>
      <c r="M3599" t="s">
        <v>30948</v>
      </c>
      <c r="N3599" t="s">
        <v>32524</v>
      </c>
      <c r="O3599" t="s">
        <v>32525</v>
      </c>
      <c r="P3599">
        <v>0</v>
      </c>
      <c r="Q3599">
        <v>2</v>
      </c>
      <c r="R3599" t="s">
        <v>32530</v>
      </c>
      <c r="S3599" t="s">
        <v>32568</v>
      </c>
      <c r="T3599" t="s">
        <v>33167</v>
      </c>
      <c r="U3599" t="s">
        <v>36689</v>
      </c>
      <c r="W3599" t="s">
        <v>30948</v>
      </c>
      <c r="X3599" t="s">
        <v>32531</v>
      </c>
    </row>
    <row r="3600" spans="1:24">
      <c r="A3600">
        <f>HYPERLINK("https://www.philgeps.gov.ph/GEPSNONPILOT/Tender/SplashBidNoticeAbstractUI.aspx?menuIndex=3&amp;refID=7041053&amp;Result=3","7041053")</f>
        <v>0</v>
      </c>
      <c r="B3600" t="s">
        <v>1295</v>
      </c>
      <c r="C3600" t="s">
        <v>6116</v>
      </c>
      <c r="D3600" t="s">
        <v>13041</v>
      </c>
      <c r="E3600" t="s">
        <v>16316</v>
      </c>
      <c r="F3600" t="s">
        <v>22436</v>
      </c>
      <c r="G3600" t="s">
        <v>22444</v>
      </c>
      <c r="H3600" t="s">
        <v>22452</v>
      </c>
      <c r="I3600" t="s">
        <v>12358</v>
      </c>
      <c r="J3600" t="s">
        <v>24387</v>
      </c>
      <c r="K3600" t="s">
        <v>29335</v>
      </c>
      <c r="M3600" t="s">
        <v>30949</v>
      </c>
      <c r="N3600" t="s">
        <v>32524</v>
      </c>
      <c r="O3600" t="s">
        <v>32525</v>
      </c>
      <c r="P3600">
        <v>0</v>
      </c>
      <c r="Q3600">
        <v>2</v>
      </c>
      <c r="R3600" t="s">
        <v>32530</v>
      </c>
      <c r="S3600" t="s">
        <v>32568</v>
      </c>
      <c r="T3600" t="s">
        <v>33181</v>
      </c>
      <c r="U3600" t="s">
        <v>36690</v>
      </c>
      <c r="V3600" t="s">
        <v>42782</v>
      </c>
      <c r="W3600" t="s">
        <v>30949</v>
      </c>
      <c r="X3600" t="s">
        <v>32531</v>
      </c>
    </row>
    <row r="3601" spans="1:24">
      <c r="A3601">
        <f>HYPERLINK("https://www.philgeps.gov.ph/GEPSNONPILOT/Tender/SplashBidNoticeAbstractUI.aspx?menuIndex=3&amp;refID=7041044&amp;Result=3","7041044")</f>
        <v>0</v>
      </c>
      <c r="B3601" t="s">
        <v>108</v>
      </c>
      <c r="C3601" t="s">
        <v>6117</v>
      </c>
      <c r="D3601" t="s">
        <v>13007</v>
      </c>
      <c r="E3601" t="s">
        <v>16317</v>
      </c>
      <c r="F3601" t="s">
        <v>22436</v>
      </c>
      <c r="G3601" t="s">
        <v>22443</v>
      </c>
      <c r="H3601" t="s">
        <v>22452</v>
      </c>
      <c r="I3601" t="s">
        <v>22518</v>
      </c>
      <c r="J3601" t="s">
        <v>22874</v>
      </c>
      <c r="K3601" t="s">
        <v>29335</v>
      </c>
      <c r="M3601" t="s">
        <v>29680</v>
      </c>
      <c r="N3601" t="s">
        <v>32524</v>
      </c>
      <c r="O3601" t="s">
        <v>32525</v>
      </c>
      <c r="P3601">
        <v>0</v>
      </c>
      <c r="Q3601">
        <v>0</v>
      </c>
      <c r="R3601" t="s">
        <v>32530</v>
      </c>
      <c r="S3601" t="s">
        <v>32568</v>
      </c>
      <c r="T3601" t="s">
        <v>33296</v>
      </c>
      <c r="U3601" t="s">
        <v>36691</v>
      </c>
      <c r="W3601" t="s">
        <v>29680</v>
      </c>
      <c r="X3601" t="s">
        <v>32531</v>
      </c>
    </row>
    <row r="3602" spans="1:24">
      <c r="A3602">
        <f>HYPERLINK("https://www.philgeps.gov.ph/GEPSNONPILOT/Tender/SplashBidNoticeAbstractUI.aspx?menuIndex=3&amp;refID=7041055&amp;Result=3","7041055")</f>
        <v>0</v>
      </c>
      <c r="B3602" t="s">
        <v>1285</v>
      </c>
      <c r="C3602" t="s">
        <v>5997</v>
      </c>
      <c r="E3602" t="s">
        <v>16318</v>
      </c>
      <c r="F3602" t="s">
        <v>22436</v>
      </c>
      <c r="G3602" t="s">
        <v>22444</v>
      </c>
      <c r="H3602" t="s">
        <v>22452</v>
      </c>
      <c r="I3602" t="s">
        <v>7738</v>
      </c>
      <c r="J3602" t="s">
        <v>25024</v>
      </c>
      <c r="K3602" t="s">
        <v>29338</v>
      </c>
      <c r="M3602" t="s">
        <v>30939</v>
      </c>
      <c r="N3602" t="s">
        <v>32524</v>
      </c>
      <c r="O3602" t="s">
        <v>32525</v>
      </c>
      <c r="P3602">
        <v>0</v>
      </c>
      <c r="Q3602">
        <v>0</v>
      </c>
      <c r="R3602" t="s">
        <v>32530</v>
      </c>
      <c r="S3602" t="s">
        <v>32568</v>
      </c>
      <c r="T3602" t="s">
        <v>33243</v>
      </c>
      <c r="U3602" t="s">
        <v>36676</v>
      </c>
      <c r="W3602" t="s">
        <v>30939</v>
      </c>
      <c r="X3602" t="s">
        <v>32531</v>
      </c>
    </row>
    <row r="3603" spans="1:24">
      <c r="A3603">
        <f>HYPERLINK("https://www.philgeps.gov.ph/GEPSNONPILOT/Tender/SplashBidNoticeAbstractUI.aspx?menuIndex=3&amp;refID=7041042&amp;Result=3","7041042")</f>
        <v>0</v>
      </c>
      <c r="B3603" t="s">
        <v>592</v>
      </c>
      <c r="C3603" t="s">
        <v>6118</v>
      </c>
      <c r="D3603" t="s">
        <v>12988</v>
      </c>
      <c r="E3603" t="s">
        <v>16319</v>
      </c>
      <c r="F3603" t="s">
        <v>22436</v>
      </c>
      <c r="G3603" t="s">
        <v>22443</v>
      </c>
      <c r="H3603" t="s">
        <v>22452</v>
      </c>
      <c r="I3603" t="s">
        <v>22505</v>
      </c>
      <c r="J3603" t="s">
        <v>22692</v>
      </c>
      <c r="K3603" t="s">
        <v>29357</v>
      </c>
      <c r="M3603" t="s">
        <v>30182</v>
      </c>
      <c r="N3603" t="s">
        <v>32524</v>
      </c>
      <c r="O3603" t="s">
        <v>32525</v>
      </c>
      <c r="P3603">
        <v>0</v>
      </c>
      <c r="Q3603">
        <v>6</v>
      </c>
      <c r="R3603" t="s">
        <v>32530</v>
      </c>
      <c r="S3603" t="s">
        <v>32568</v>
      </c>
      <c r="T3603" t="s">
        <v>33154</v>
      </c>
      <c r="U3603" t="s">
        <v>36692</v>
      </c>
      <c r="V3603" t="s">
        <v>42559</v>
      </c>
      <c r="W3603" t="s">
        <v>30182</v>
      </c>
      <c r="X3603" t="s">
        <v>32531</v>
      </c>
    </row>
    <row r="3604" spans="1:24">
      <c r="A3604">
        <f>HYPERLINK("https://www.philgeps.gov.ph/GEPSNONPILOT/Tender/SplashBidNoticeAbstractUI.aspx?menuIndex=3&amp;refID=7041049&amp;Result=3","7041049")</f>
        <v>0</v>
      </c>
      <c r="B3604" t="s">
        <v>293</v>
      </c>
      <c r="C3604" t="s">
        <v>6119</v>
      </c>
      <c r="D3604" t="s">
        <v>13046</v>
      </c>
      <c r="E3604" t="s">
        <v>16320</v>
      </c>
      <c r="F3604" t="s">
        <v>22436</v>
      </c>
      <c r="G3604" t="s">
        <v>22443</v>
      </c>
      <c r="H3604" t="s">
        <v>22452</v>
      </c>
      <c r="I3604" t="s">
        <v>3827</v>
      </c>
      <c r="J3604" t="s">
        <v>22712</v>
      </c>
      <c r="K3604" t="s">
        <v>29341</v>
      </c>
      <c r="M3604" t="s">
        <v>29867</v>
      </c>
      <c r="N3604" t="s">
        <v>32524</v>
      </c>
      <c r="O3604" t="s">
        <v>32525</v>
      </c>
      <c r="P3604">
        <v>0</v>
      </c>
      <c r="Q3604">
        <v>0</v>
      </c>
      <c r="R3604" t="s">
        <v>32530</v>
      </c>
      <c r="S3604" t="s">
        <v>32568</v>
      </c>
      <c r="T3604" t="s">
        <v>33310</v>
      </c>
      <c r="U3604" t="s">
        <v>36693</v>
      </c>
      <c r="W3604" t="s">
        <v>29867</v>
      </c>
      <c r="X3604" t="s">
        <v>32531</v>
      </c>
    </row>
    <row r="3605" spans="1:24">
      <c r="A3605">
        <f>HYPERLINK("https://www.philgeps.gov.ph/GEPSNONPILOT/Tender/SplashBidNoticeAbstractUI.aspx?menuIndex=3&amp;refID=7041041&amp;Result=3","7041041")</f>
        <v>0</v>
      </c>
      <c r="B3605" t="s">
        <v>139</v>
      </c>
      <c r="C3605" t="s">
        <v>6120</v>
      </c>
      <c r="D3605" t="s">
        <v>13018</v>
      </c>
      <c r="E3605" t="s">
        <v>16321</v>
      </c>
      <c r="F3605" t="s">
        <v>22436</v>
      </c>
      <c r="G3605" t="s">
        <v>22444</v>
      </c>
      <c r="H3605" t="s">
        <v>22452</v>
      </c>
      <c r="I3605" t="s">
        <v>3122</v>
      </c>
      <c r="J3605" t="s">
        <v>25025</v>
      </c>
      <c r="K3605" t="s">
        <v>29329</v>
      </c>
      <c r="M3605" t="s">
        <v>29711</v>
      </c>
      <c r="N3605" t="s">
        <v>32524</v>
      </c>
      <c r="O3605" t="s">
        <v>32525</v>
      </c>
      <c r="P3605">
        <v>0</v>
      </c>
      <c r="Q3605">
        <v>0</v>
      </c>
      <c r="R3605" t="s">
        <v>32530</v>
      </c>
      <c r="S3605" t="s">
        <v>32568</v>
      </c>
      <c r="T3605" t="s">
        <v>33420</v>
      </c>
      <c r="U3605" t="s">
        <v>36694</v>
      </c>
      <c r="W3605" t="s">
        <v>29711</v>
      </c>
      <c r="X3605" t="s">
        <v>32531</v>
      </c>
    </row>
    <row r="3606" spans="1:24">
      <c r="A3606">
        <f>HYPERLINK("https://www.philgeps.gov.ph/GEPSNONPILOT/Tender/SplashBidNoticeAbstractUI.aspx?menuIndex=3&amp;refID=7041033&amp;Result=3","7041033")</f>
        <v>0</v>
      </c>
      <c r="B3606" t="s">
        <v>367</v>
      </c>
      <c r="C3606" t="s">
        <v>6121</v>
      </c>
      <c r="D3606" t="s">
        <v>12988</v>
      </c>
      <c r="E3606" t="s">
        <v>16322</v>
      </c>
      <c r="F3606" t="s">
        <v>22436</v>
      </c>
      <c r="G3606" t="s">
        <v>22443</v>
      </c>
      <c r="H3606" t="s">
        <v>22452</v>
      </c>
      <c r="I3606" t="s">
        <v>5194</v>
      </c>
      <c r="J3606" t="s">
        <v>25026</v>
      </c>
      <c r="K3606" t="s">
        <v>29336</v>
      </c>
      <c r="M3606" t="s">
        <v>29945</v>
      </c>
      <c r="N3606" t="s">
        <v>32524</v>
      </c>
      <c r="O3606" t="s">
        <v>32525</v>
      </c>
      <c r="P3606">
        <v>0</v>
      </c>
      <c r="Q3606">
        <v>1</v>
      </c>
      <c r="R3606" t="s">
        <v>32530</v>
      </c>
      <c r="S3606" t="s">
        <v>32568</v>
      </c>
      <c r="T3606" t="s">
        <v>33209</v>
      </c>
      <c r="U3606" t="s">
        <v>36695</v>
      </c>
      <c r="V3606" t="s">
        <v>42501</v>
      </c>
      <c r="W3606" t="s">
        <v>29945</v>
      </c>
      <c r="X3606" t="s">
        <v>32531</v>
      </c>
    </row>
    <row r="3607" spans="1:24">
      <c r="A3607">
        <f>HYPERLINK("https://www.philgeps.gov.ph/GEPSNONPILOT/Tender/SplashBidNoticeAbstractUI.aspx?menuIndex=3&amp;refID=7041071&amp;Result=3","7041071")</f>
        <v>0</v>
      </c>
      <c r="B3607" t="s">
        <v>139</v>
      </c>
      <c r="C3607" t="s">
        <v>6122</v>
      </c>
      <c r="D3607" t="s">
        <v>13018</v>
      </c>
      <c r="E3607" t="s">
        <v>16323</v>
      </c>
      <c r="F3607" t="s">
        <v>22436</v>
      </c>
      <c r="G3607" t="s">
        <v>22444</v>
      </c>
      <c r="H3607" t="s">
        <v>22452</v>
      </c>
      <c r="I3607" t="s">
        <v>22473</v>
      </c>
      <c r="J3607" t="s">
        <v>22640</v>
      </c>
      <c r="K3607" t="s">
        <v>29329</v>
      </c>
      <c r="M3607" t="s">
        <v>29711</v>
      </c>
      <c r="N3607" t="s">
        <v>32524</v>
      </c>
      <c r="O3607" t="s">
        <v>32525</v>
      </c>
      <c r="P3607">
        <v>0</v>
      </c>
      <c r="Q3607">
        <v>1</v>
      </c>
      <c r="R3607" t="s">
        <v>32530</v>
      </c>
      <c r="S3607" t="s">
        <v>32568</v>
      </c>
      <c r="T3607" t="s">
        <v>33420</v>
      </c>
      <c r="U3607" t="s">
        <v>36696</v>
      </c>
      <c r="W3607" t="s">
        <v>29711</v>
      </c>
      <c r="X3607" t="s">
        <v>32531</v>
      </c>
    </row>
    <row r="3608" spans="1:24">
      <c r="A3608">
        <f>HYPERLINK("https://www.philgeps.gov.ph/GEPSNONPILOT/Tender/SplashBidNoticeAbstractUI.aspx?menuIndex=3&amp;refID=7041038&amp;Result=3","7041038")</f>
        <v>0</v>
      </c>
      <c r="B3608" t="s">
        <v>1296</v>
      </c>
      <c r="C3608" t="s">
        <v>6123</v>
      </c>
      <c r="D3608" t="s">
        <v>13022</v>
      </c>
      <c r="E3608" t="s">
        <v>16324</v>
      </c>
      <c r="F3608" t="s">
        <v>22436</v>
      </c>
      <c r="G3608" t="s">
        <v>22443</v>
      </c>
      <c r="H3608" t="s">
        <v>22452</v>
      </c>
      <c r="I3608" t="s">
        <v>3122</v>
      </c>
      <c r="J3608" t="s">
        <v>25027</v>
      </c>
      <c r="K3608" t="s">
        <v>29336</v>
      </c>
      <c r="L3608" t="s">
        <v>1296</v>
      </c>
      <c r="M3608" t="s">
        <v>30950</v>
      </c>
      <c r="N3608" t="s">
        <v>32524</v>
      </c>
      <c r="O3608" t="s">
        <v>32525</v>
      </c>
      <c r="P3608">
        <v>0</v>
      </c>
      <c r="Q3608">
        <v>1</v>
      </c>
      <c r="R3608" t="s">
        <v>32530</v>
      </c>
      <c r="S3608" t="s">
        <v>32568</v>
      </c>
      <c r="T3608" t="s">
        <v>33215</v>
      </c>
      <c r="U3608" t="s">
        <v>36697</v>
      </c>
      <c r="W3608" t="s">
        <v>30950</v>
      </c>
      <c r="X3608" t="s">
        <v>32531</v>
      </c>
    </row>
    <row r="3609" spans="1:24">
      <c r="A3609">
        <f>HYPERLINK("https://www.philgeps.gov.ph/GEPSNONPILOT/Tender/SplashBidNoticeAbstractUI.aspx?menuIndex=3&amp;refID=7041089&amp;Result=3","7041089")</f>
        <v>0</v>
      </c>
      <c r="B3609" t="s">
        <v>1297</v>
      </c>
      <c r="C3609" t="s">
        <v>6124</v>
      </c>
      <c r="E3609" t="s">
        <v>16325</v>
      </c>
      <c r="F3609" t="s">
        <v>22436</v>
      </c>
      <c r="G3609" t="s">
        <v>22444</v>
      </c>
      <c r="H3609" t="s">
        <v>22452</v>
      </c>
      <c r="I3609" t="s">
        <v>7738</v>
      </c>
      <c r="J3609" t="s">
        <v>25028</v>
      </c>
      <c r="K3609" t="s">
        <v>29338</v>
      </c>
      <c r="M3609" t="s">
        <v>30951</v>
      </c>
      <c r="N3609" t="s">
        <v>32524</v>
      </c>
      <c r="O3609" t="s">
        <v>32525</v>
      </c>
      <c r="P3609">
        <v>0</v>
      </c>
      <c r="Q3609">
        <v>8</v>
      </c>
      <c r="R3609" t="s">
        <v>32530</v>
      </c>
      <c r="S3609" t="s">
        <v>32568</v>
      </c>
      <c r="T3609" t="s">
        <v>33320</v>
      </c>
      <c r="U3609" t="s">
        <v>36698</v>
      </c>
      <c r="W3609" t="s">
        <v>30951</v>
      </c>
      <c r="X3609" t="s">
        <v>32531</v>
      </c>
    </row>
    <row r="3610" spans="1:24">
      <c r="A3610">
        <f>HYPERLINK("https://www.philgeps.gov.ph/GEPSNONPILOT/Tender/SplashBidNoticeAbstractUI.aspx?menuIndex=3&amp;refID=7041093&amp;Result=3","7041093")</f>
        <v>0</v>
      </c>
      <c r="B3610" t="s">
        <v>125</v>
      </c>
      <c r="C3610" t="s">
        <v>6125</v>
      </c>
      <c r="D3610" t="s">
        <v>13035</v>
      </c>
      <c r="E3610" t="s">
        <v>16326</v>
      </c>
      <c r="F3610" t="s">
        <v>22436</v>
      </c>
      <c r="G3610" t="s">
        <v>22443</v>
      </c>
      <c r="H3610" t="s">
        <v>22452</v>
      </c>
      <c r="I3610" t="s">
        <v>22461</v>
      </c>
      <c r="J3610" t="s">
        <v>25029</v>
      </c>
      <c r="K3610" t="s">
        <v>29338</v>
      </c>
      <c r="M3610" t="s">
        <v>29697</v>
      </c>
      <c r="N3610" t="s">
        <v>32524</v>
      </c>
      <c r="O3610" t="s">
        <v>32525</v>
      </c>
      <c r="P3610">
        <v>0</v>
      </c>
      <c r="Q3610">
        <v>2</v>
      </c>
      <c r="R3610" t="s">
        <v>32530</v>
      </c>
      <c r="S3610" t="s">
        <v>32568</v>
      </c>
      <c r="T3610" t="s">
        <v>33181</v>
      </c>
      <c r="U3610" t="s">
        <v>36699</v>
      </c>
      <c r="W3610" t="s">
        <v>29697</v>
      </c>
      <c r="X3610" t="s">
        <v>32531</v>
      </c>
    </row>
    <row r="3611" spans="1:24">
      <c r="A3611">
        <f>HYPERLINK("https://www.philgeps.gov.ph/GEPSNONPILOT/Tender/SplashBidNoticeAbstractUI.aspx?menuIndex=3&amp;refID=7041080&amp;Result=3","7041080")</f>
        <v>0</v>
      </c>
      <c r="B3611" t="s">
        <v>60</v>
      </c>
      <c r="C3611" t="s">
        <v>6126</v>
      </c>
      <c r="D3611" t="s">
        <v>13015</v>
      </c>
      <c r="E3611" t="s">
        <v>16327</v>
      </c>
      <c r="F3611" t="s">
        <v>22436</v>
      </c>
      <c r="G3611" t="s">
        <v>22445</v>
      </c>
      <c r="H3611" t="s">
        <v>22452</v>
      </c>
      <c r="I3611" t="s">
        <v>22471</v>
      </c>
      <c r="J3611" t="s">
        <v>25030</v>
      </c>
      <c r="K3611" t="s">
        <v>29335</v>
      </c>
      <c r="M3611" t="s">
        <v>29632</v>
      </c>
      <c r="N3611" t="s">
        <v>32524</v>
      </c>
      <c r="O3611" t="s">
        <v>32525</v>
      </c>
      <c r="P3611">
        <v>0</v>
      </c>
      <c r="Q3611">
        <v>9</v>
      </c>
      <c r="R3611" t="s">
        <v>32530</v>
      </c>
      <c r="S3611" t="s">
        <v>32568</v>
      </c>
      <c r="T3611" t="s">
        <v>33213</v>
      </c>
      <c r="U3611" t="s">
        <v>36700</v>
      </c>
      <c r="V3611" t="s">
        <v>42431</v>
      </c>
      <c r="W3611" t="s">
        <v>29632</v>
      </c>
      <c r="X3611" t="s">
        <v>32531</v>
      </c>
    </row>
    <row r="3612" spans="1:24">
      <c r="A3612">
        <f>HYPERLINK("https://www.philgeps.gov.ph/GEPSNONPILOT/Tender/SplashBidNoticeAbstractUI.aspx?menuIndex=3&amp;refID=7041048&amp;Result=3","7041048")</f>
        <v>0</v>
      </c>
      <c r="B3612" t="s">
        <v>1298</v>
      </c>
      <c r="C3612" t="s">
        <v>6115</v>
      </c>
      <c r="D3612" t="s">
        <v>12996</v>
      </c>
      <c r="E3612" t="s">
        <v>14196</v>
      </c>
      <c r="F3612" t="s">
        <v>22436</v>
      </c>
      <c r="G3612" t="s">
        <v>22444</v>
      </c>
      <c r="H3612" t="s">
        <v>22452</v>
      </c>
      <c r="I3612" t="s">
        <v>2981</v>
      </c>
      <c r="J3612" t="s">
        <v>23200</v>
      </c>
      <c r="K3612" t="s">
        <v>29341</v>
      </c>
      <c r="M3612" t="s">
        <v>30952</v>
      </c>
      <c r="N3612" t="s">
        <v>32524</v>
      </c>
      <c r="O3612" t="s">
        <v>32525</v>
      </c>
      <c r="P3612">
        <v>0</v>
      </c>
      <c r="Q3612">
        <v>1</v>
      </c>
      <c r="R3612" t="s">
        <v>32530</v>
      </c>
      <c r="S3612" t="s">
        <v>32568</v>
      </c>
      <c r="T3612" t="s">
        <v>33167</v>
      </c>
      <c r="U3612" t="s">
        <v>36701</v>
      </c>
      <c r="W3612" t="s">
        <v>30952</v>
      </c>
      <c r="X3612" t="s">
        <v>32531</v>
      </c>
    </row>
    <row r="3613" spans="1:24">
      <c r="A3613">
        <f>HYPERLINK("https://www.philgeps.gov.ph/GEPSNONPILOT/Tender/SplashBidNoticeAbstractUI.aspx?menuIndex=3&amp;refID=7041083&amp;Result=3","7041083")</f>
        <v>0</v>
      </c>
      <c r="B3613" t="s">
        <v>513</v>
      </c>
      <c r="C3613" t="s">
        <v>6127</v>
      </c>
      <c r="D3613" t="s">
        <v>13055</v>
      </c>
      <c r="E3613" t="s">
        <v>6127</v>
      </c>
      <c r="F3613" t="s">
        <v>22436</v>
      </c>
      <c r="G3613" t="s">
        <v>22446</v>
      </c>
      <c r="H3613" t="s">
        <v>22452</v>
      </c>
      <c r="I3613" t="s">
        <v>3827</v>
      </c>
      <c r="J3613" t="s">
        <v>25031</v>
      </c>
      <c r="K3613" t="s">
        <v>29341</v>
      </c>
      <c r="L3613" t="s">
        <v>513</v>
      </c>
      <c r="M3613" t="s">
        <v>30097</v>
      </c>
      <c r="N3613" t="s">
        <v>32524</v>
      </c>
      <c r="O3613" t="s">
        <v>32525</v>
      </c>
      <c r="P3613">
        <v>0</v>
      </c>
      <c r="Q3613">
        <v>1</v>
      </c>
      <c r="R3613" t="s">
        <v>32530</v>
      </c>
      <c r="S3613" t="s">
        <v>32568</v>
      </c>
      <c r="T3613" t="s">
        <v>33304</v>
      </c>
      <c r="U3613" t="s">
        <v>36702</v>
      </c>
      <c r="W3613" t="s">
        <v>30097</v>
      </c>
      <c r="X3613" t="s">
        <v>32531</v>
      </c>
    </row>
    <row r="3614" spans="1:24">
      <c r="A3614">
        <f>HYPERLINK("https://www.philgeps.gov.ph/GEPSNONPILOT/Tender/SplashBidNoticeAbstractUI.aspx?menuIndex=3&amp;refID=7041077&amp;Result=3","7041077")</f>
        <v>0</v>
      </c>
      <c r="B3614" t="s">
        <v>1291</v>
      </c>
      <c r="C3614" t="s">
        <v>6128</v>
      </c>
      <c r="D3614" t="s">
        <v>13026</v>
      </c>
      <c r="E3614" t="s">
        <v>16328</v>
      </c>
      <c r="F3614" t="s">
        <v>22436</v>
      </c>
      <c r="G3614" t="s">
        <v>22443</v>
      </c>
      <c r="H3614" t="s">
        <v>22452</v>
      </c>
      <c r="I3614" t="s">
        <v>22461</v>
      </c>
      <c r="J3614" t="s">
        <v>25032</v>
      </c>
      <c r="K3614" t="s">
        <v>29335</v>
      </c>
      <c r="M3614" t="s">
        <v>30945</v>
      </c>
      <c r="N3614" t="s">
        <v>32524</v>
      </c>
      <c r="O3614" t="s">
        <v>32525</v>
      </c>
      <c r="P3614">
        <v>0</v>
      </c>
      <c r="Q3614">
        <v>3</v>
      </c>
      <c r="R3614" t="s">
        <v>32530</v>
      </c>
      <c r="S3614" t="s">
        <v>32568</v>
      </c>
      <c r="T3614" t="s">
        <v>33169</v>
      </c>
      <c r="U3614" t="s">
        <v>36703</v>
      </c>
      <c r="W3614" t="s">
        <v>30945</v>
      </c>
      <c r="X3614" t="s">
        <v>32531</v>
      </c>
    </row>
    <row r="3615" spans="1:24">
      <c r="A3615">
        <f>HYPERLINK("https://www.philgeps.gov.ph/GEPSNONPILOT/Tender/SplashBidNoticeAbstractUI.aspx?menuIndex=3&amp;refID=7041081&amp;Result=3","7041081")</f>
        <v>0</v>
      </c>
      <c r="B3615" t="s">
        <v>1299</v>
      </c>
      <c r="C3615" t="s">
        <v>6129</v>
      </c>
      <c r="D3615" t="s">
        <v>13036</v>
      </c>
      <c r="E3615" t="s">
        <v>16329</v>
      </c>
      <c r="F3615" t="s">
        <v>22436</v>
      </c>
      <c r="G3615" t="s">
        <v>22446</v>
      </c>
      <c r="H3615" t="s">
        <v>22452</v>
      </c>
      <c r="I3615" t="s">
        <v>22467</v>
      </c>
      <c r="J3615" t="s">
        <v>22640</v>
      </c>
      <c r="K3615" t="s">
        <v>29335</v>
      </c>
      <c r="M3615" t="s">
        <v>30953</v>
      </c>
      <c r="N3615" t="s">
        <v>32524</v>
      </c>
      <c r="O3615" t="s">
        <v>32525</v>
      </c>
      <c r="P3615">
        <v>0</v>
      </c>
      <c r="Q3615">
        <v>0</v>
      </c>
      <c r="R3615" t="s">
        <v>32530</v>
      </c>
      <c r="S3615" t="s">
        <v>32568</v>
      </c>
      <c r="T3615" t="s">
        <v>33367</v>
      </c>
      <c r="U3615" t="s">
        <v>36704</v>
      </c>
      <c r="W3615" t="s">
        <v>30953</v>
      </c>
      <c r="X3615" t="s">
        <v>32531</v>
      </c>
    </row>
    <row r="3616" spans="1:24">
      <c r="A3616">
        <f>HYPERLINK("https://www.philgeps.gov.ph/GEPSNONPILOT/Tender/SplashBidNoticeAbstractUI.aspx?menuIndex=3&amp;refID=7041087&amp;Result=3","7041087")</f>
        <v>0</v>
      </c>
      <c r="B3616" t="s">
        <v>1300</v>
      </c>
      <c r="C3616" t="s">
        <v>6130</v>
      </c>
      <c r="D3616" t="s">
        <v>12996</v>
      </c>
      <c r="E3616" t="s">
        <v>16330</v>
      </c>
      <c r="F3616" t="s">
        <v>22436</v>
      </c>
      <c r="G3616" t="s">
        <v>22444</v>
      </c>
      <c r="H3616" t="s">
        <v>22452</v>
      </c>
      <c r="I3616" t="s">
        <v>3529</v>
      </c>
      <c r="J3616" t="s">
        <v>25033</v>
      </c>
      <c r="K3616" t="s">
        <v>29341</v>
      </c>
      <c r="M3616" t="s">
        <v>30954</v>
      </c>
      <c r="N3616" t="s">
        <v>32524</v>
      </c>
      <c r="O3616" t="s">
        <v>32525</v>
      </c>
      <c r="P3616">
        <v>0</v>
      </c>
      <c r="Q3616">
        <v>0</v>
      </c>
      <c r="R3616" t="s">
        <v>32530</v>
      </c>
      <c r="S3616" t="s">
        <v>32568</v>
      </c>
      <c r="T3616" t="s">
        <v>33167</v>
      </c>
      <c r="U3616" t="s">
        <v>36705</v>
      </c>
      <c r="W3616" t="s">
        <v>30954</v>
      </c>
      <c r="X3616" t="s">
        <v>32531</v>
      </c>
    </row>
    <row r="3617" spans="1:24">
      <c r="A3617">
        <f>HYPERLINK("https://www.philgeps.gov.ph/GEPSNONPILOT/Tender/SplashBidNoticeAbstractUI.aspx?menuIndex=3&amp;refID=7041090&amp;Result=3","7041090")</f>
        <v>0</v>
      </c>
      <c r="B3617" t="s">
        <v>67</v>
      </c>
      <c r="C3617" t="s">
        <v>6131</v>
      </c>
      <c r="D3617" t="s">
        <v>12990</v>
      </c>
      <c r="E3617" t="s">
        <v>16331</v>
      </c>
      <c r="F3617" t="s">
        <v>22436</v>
      </c>
      <c r="G3617" t="s">
        <v>22444</v>
      </c>
      <c r="H3617" t="s">
        <v>22454</v>
      </c>
      <c r="I3617" t="s">
        <v>7738</v>
      </c>
      <c r="J3617" t="s">
        <v>25034</v>
      </c>
      <c r="K3617" t="s">
        <v>29335</v>
      </c>
      <c r="M3617" t="s">
        <v>30938</v>
      </c>
      <c r="N3617" t="s">
        <v>32524</v>
      </c>
      <c r="O3617" t="s">
        <v>32525</v>
      </c>
      <c r="P3617">
        <v>0</v>
      </c>
      <c r="Q3617">
        <v>0</v>
      </c>
      <c r="R3617" t="s">
        <v>32530</v>
      </c>
      <c r="S3617" t="s">
        <v>32568</v>
      </c>
      <c r="T3617" t="s">
        <v>33194</v>
      </c>
      <c r="U3617" t="s">
        <v>36706</v>
      </c>
      <c r="W3617" t="s">
        <v>30938</v>
      </c>
      <c r="X3617" t="s">
        <v>32531</v>
      </c>
    </row>
    <row r="3618" spans="1:24">
      <c r="A3618">
        <f>HYPERLINK("https://www.philgeps.gov.ph/GEPSNONPILOT/Tender/SplashBidNoticeAbstractUI.aspx?menuIndex=3&amp;refID=7041101&amp;Result=3","7041101")</f>
        <v>0</v>
      </c>
      <c r="B3618" t="s">
        <v>308</v>
      </c>
      <c r="C3618" t="s">
        <v>6132</v>
      </c>
      <c r="D3618" t="s">
        <v>12999</v>
      </c>
      <c r="E3618" t="s">
        <v>16332</v>
      </c>
      <c r="F3618" t="s">
        <v>22436</v>
      </c>
      <c r="G3618" t="s">
        <v>22443</v>
      </c>
      <c r="H3618" t="s">
        <v>22452</v>
      </c>
      <c r="I3618" t="s">
        <v>22471</v>
      </c>
      <c r="J3618" t="s">
        <v>25035</v>
      </c>
      <c r="K3618" t="s">
        <v>29335</v>
      </c>
      <c r="M3618" t="s">
        <v>29882</v>
      </c>
      <c r="N3618" t="s">
        <v>32524</v>
      </c>
      <c r="O3618" t="s">
        <v>32525</v>
      </c>
      <c r="P3618">
        <v>0</v>
      </c>
      <c r="Q3618">
        <v>5</v>
      </c>
      <c r="R3618" t="s">
        <v>32530</v>
      </c>
      <c r="S3618" t="s">
        <v>32568</v>
      </c>
      <c r="T3618" t="s">
        <v>33270</v>
      </c>
      <c r="U3618" t="s">
        <v>36707</v>
      </c>
      <c r="W3618" t="s">
        <v>29882</v>
      </c>
      <c r="X3618" t="s">
        <v>32531</v>
      </c>
    </row>
    <row r="3619" spans="1:24">
      <c r="A3619">
        <f>HYPERLINK("https://www.philgeps.gov.ph/GEPSNONPILOT/Tender/SplashBidNoticeAbstractUI.aspx?menuIndex=3&amp;refID=7041113&amp;Result=3","7041113")</f>
        <v>0</v>
      </c>
      <c r="B3619" t="s">
        <v>1282</v>
      </c>
      <c r="C3619" t="s">
        <v>6099</v>
      </c>
      <c r="D3619" t="s">
        <v>13045</v>
      </c>
      <c r="E3619" t="s">
        <v>16333</v>
      </c>
      <c r="F3619" t="s">
        <v>22437</v>
      </c>
      <c r="G3619" t="s">
        <v>22443</v>
      </c>
      <c r="H3619" t="s">
        <v>22452</v>
      </c>
      <c r="I3619" t="s">
        <v>22460</v>
      </c>
      <c r="J3619" t="s">
        <v>25036</v>
      </c>
      <c r="K3619" t="s">
        <v>29338</v>
      </c>
      <c r="M3619" t="s">
        <v>30935</v>
      </c>
      <c r="N3619" t="s">
        <v>32524</v>
      </c>
      <c r="O3619" t="s">
        <v>32525</v>
      </c>
      <c r="P3619">
        <v>0</v>
      </c>
      <c r="Q3619">
        <v>1</v>
      </c>
      <c r="R3619" t="s">
        <v>32530</v>
      </c>
      <c r="S3619" t="s">
        <v>32568</v>
      </c>
      <c r="T3619" t="s">
        <v>33154</v>
      </c>
      <c r="U3619" t="s">
        <v>36708</v>
      </c>
      <c r="W3619" t="s">
        <v>30935</v>
      </c>
      <c r="X3619" t="s">
        <v>32531</v>
      </c>
    </row>
    <row r="3620" spans="1:24">
      <c r="A3620">
        <f>HYPERLINK("https://www.philgeps.gov.ph/GEPSNONPILOT/Tender/SplashBidNoticeAbstractUI.aspx?menuIndex=3&amp;refID=7041122&amp;Result=3","7041122")</f>
        <v>0</v>
      </c>
      <c r="B3620" t="s">
        <v>1301</v>
      </c>
      <c r="C3620" t="s">
        <v>6133</v>
      </c>
      <c r="D3620" t="s">
        <v>13023</v>
      </c>
      <c r="E3620" t="s">
        <v>16334</v>
      </c>
      <c r="F3620" t="s">
        <v>22436</v>
      </c>
      <c r="G3620" t="s">
        <v>22443</v>
      </c>
      <c r="H3620" t="s">
        <v>22452</v>
      </c>
      <c r="I3620" t="s">
        <v>22465</v>
      </c>
      <c r="J3620" t="s">
        <v>25037</v>
      </c>
      <c r="K3620" t="s">
        <v>29335</v>
      </c>
      <c r="M3620" t="s">
        <v>30955</v>
      </c>
      <c r="N3620" t="s">
        <v>32524</v>
      </c>
      <c r="O3620" t="s">
        <v>32525</v>
      </c>
      <c r="P3620">
        <v>0</v>
      </c>
      <c r="Q3620">
        <v>2</v>
      </c>
      <c r="R3620" t="s">
        <v>32530</v>
      </c>
      <c r="S3620" t="s">
        <v>32568</v>
      </c>
      <c r="T3620" t="s">
        <v>33338</v>
      </c>
      <c r="U3620" t="s">
        <v>36709</v>
      </c>
      <c r="W3620" t="s">
        <v>30955</v>
      </c>
      <c r="X3620" t="s">
        <v>32531</v>
      </c>
    </row>
    <row r="3621" spans="1:24">
      <c r="A3621">
        <f>HYPERLINK("https://www.philgeps.gov.ph/GEPSNONPILOT/Tender/SplashBidNoticeAbstractUI.aspx?menuIndex=3&amp;refID=7041104&amp;Result=3","7041104")</f>
        <v>0</v>
      </c>
      <c r="B3621" t="s">
        <v>592</v>
      </c>
      <c r="C3621" t="s">
        <v>6134</v>
      </c>
      <c r="D3621" t="s">
        <v>12988</v>
      </c>
      <c r="E3621" t="s">
        <v>16335</v>
      </c>
      <c r="F3621" t="s">
        <v>22436</v>
      </c>
      <c r="G3621" t="s">
        <v>22443</v>
      </c>
      <c r="H3621" t="s">
        <v>22452</v>
      </c>
      <c r="I3621" t="s">
        <v>22482</v>
      </c>
      <c r="J3621" t="s">
        <v>25038</v>
      </c>
      <c r="K3621" t="s">
        <v>29357</v>
      </c>
      <c r="M3621" t="s">
        <v>30182</v>
      </c>
      <c r="N3621" t="s">
        <v>32524</v>
      </c>
      <c r="O3621" t="s">
        <v>32525</v>
      </c>
      <c r="P3621">
        <v>0</v>
      </c>
      <c r="Q3621">
        <v>6</v>
      </c>
      <c r="R3621" t="s">
        <v>32530</v>
      </c>
      <c r="S3621" t="s">
        <v>32568</v>
      </c>
      <c r="T3621" t="s">
        <v>33185</v>
      </c>
      <c r="U3621" t="s">
        <v>36710</v>
      </c>
      <c r="V3621" t="s">
        <v>42559</v>
      </c>
      <c r="W3621" t="s">
        <v>30182</v>
      </c>
      <c r="X3621" t="s">
        <v>32531</v>
      </c>
    </row>
    <row r="3622" spans="1:24">
      <c r="A3622">
        <f>HYPERLINK("https://www.philgeps.gov.ph/GEPSNONPILOT/Tender/SplashBidNoticeAbstractUI.aspx?menuIndex=3&amp;refID=7041121&amp;Result=3","7041121")</f>
        <v>0</v>
      </c>
      <c r="B3622" t="s">
        <v>962</v>
      </c>
      <c r="C3622" t="s">
        <v>6135</v>
      </c>
      <c r="D3622" t="s">
        <v>13008</v>
      </c>
      <c r="E3622" t="s">
        <v>16336</v>
      </c>
      <c r="F3622" t="s">
        <v>22436</v>
      </c>
      <c r="G3622" t="s">
        <v>22444</v>
      </c>
      <c r="H3622" t="s">
        <v>22454</v>
      </c>
      <c r="I3622" t="s">
        <v>7738</v>
      </c>
      <c r="J3622" t="s">
        <v>22674</v>
      </c>
      <c r="K3622" t="s">
        <v>29329</v>
      </c>
      <c r="M3622" t="s">
        <v>30578</v>
      </c>
      <c r="N3622" t="s">
        <v>32524</v>
      </c>
      <c r="O3622" t="s">
        <v>32525</v>
      </c>
      <c r="P3622">
        <v>0</v>
      </c>
      <c r="Q3622">
        <v>0</v>
      </c>
      <c r="R3622" t="s">
        <v>32530</v>
      </c>
      <c r="S3622" t="s">
        <v>32568</v>
      </c>
      <c r="T3622" t="s">
        <v>33180</v>
      </c>
      <c r="U3622" t="s">
        <v>36711</v>
      </c>
      <c r="W3622" t="s">
        <v>30578</v>
      </c>
      <c r="X3622" t="s">
        <v>32531</v>
      </c>
    </row>
    <row r="3623" spans="1:24">
      <c r="A3623">
        <f>HYPERLINK("https://www.philgeps.gov.ph/GEPSNONPILOT/Tender/SplashBidNoticeAbstractUI.aspx?menuIndex=3&amp;refID=7041145&amp;Result=3","7041145")</f>
        <v>0</v>
      </c>
      <c r="B3623" t="s">
        <v>1270</v>
      </c>
      <c r="C3623" t="s">
        <v>6136</v>
      </c>
      <c r="D3623" t="s">
        <v>13035</v>
      </c>
      <c r="E3623" t="s">
        <v>16337</v>
      </c>
      <c r="F3623" t="s">
        <v>22436</v>
      </c>
      <c r="G3623" t="s">
        <v>22444</v>
      </c>
      <c r="H3623" t="s">
        <v>22452</v>
      </c>
      <c r="I3623" t="s">
        <v>22460</v>
      </c>
      <c r="J3623" t="s">
        <v>25039</v>
      </c>
      <c r="K3623" t="s">
        <v>29331</v>
      </c>
      <c r="M3623" t="s">
        <v>30923</v>
      </c>
      <c r="N3623" t="s">
        <v>32524</v>
      </c>
      <c r="O3623" t="s">
        <v>32525</v>
      </c>
      <c r="P3623">
        <v>0</v>
      </c>
      <c r="Q3623">
        <v>0</v>
      </c>
      <c r="R3623" t="s">
        <v>32530</v>
      </c>
      <c r="S3623" t="s">
        <v>32568</v>
      </c>
      <c r="T3623" t="s">
        <v>33293</v>
      </c>
      <c r="U3623" t="s">
        <v>36712</v>
      </c>
      <c r="W3623" t="s">
        <v>30923</v>
      </c>
      <c r="X3623" t="s">
        <v>32531</v>
      </c>
    </row>
    <row r="3624" spans="1:24">
      <c r="A3624">
        <f>HYPERLINK("https://www.philgeps.gov.ph/GEPSNONPILOT/Tender/SplashBidNoticeAbstractUI.aspx?menuIndex=3&amp;refID=7041142&amp;Result=3","7041142")</f>
        <v>0</v>
      </c>
      <c r="B3624" t="s">
        <v>1301</v>
      </c>
      <c r="C3624" t="s">
        <v>6133</v>
      </c>
      <c r="D3624" t="s">
        <v>13023</v>
      </c>
      <c r="E3624" t="s">
        <v>16338</v>
      </c>
      <c r="F3624" t="s">
        <v>22436</v>
      </c>
      <c r="G3624" t="s">
        <v>22443</v>
      </c>
      <c r="H3624" t="s">
        <v>22452</v>
      </c>
      <c r="I3624" t="s">
        <v>22465</v>
      </c>
      <c r="J3624" t="s">
        <v>25040</v>
      </c>
      <c r="K3624" t="s">
        <v>29335</v>
      </c>
      <c r="M3624" t="s">
        <v>30955</v>
      </c>
      <c r="N3624" t="s">
        <v>32524</v>
      </c>
      <c r="O3624" t="s">
        <v>32525</v>
      </c>
      <c r="P3624">
        <v>0</v>
      </c>
      <c r="Q3624">
        <v>2</v>
      </c>
      <c r="R3624" t="s">
        <v>32530</v>
      </c>
      <c r="S3624" t="s">
        <v>32568</v>
      </c>
      <c r="T3624" t="s">
        <v>33421</v>
      </c>
      <c r="U3624" t="s">
        <v>36713</v>
      </c>
      <c r="W3624" t="s">
        <v>30955</v>
      </c>
      <c r="X3624" t="s">
        <v>32531</v>
      </c>
    </row>
    <row r="3625" spans="1:24">
      <c r="A3625">
        <f>HYPERLINK("https://www.philgeps.gov.ph/GEPSNONPILOT/Tender/SplashBidNoticeAbstractUI.aspx?menuIndex=3&amp;refID=7041108&amp;Result=3","7041108")</f>
        <v>0</v>
      </c>
      <c r="B3625" t="s">
        <v>1295</v>
      </c>
      <c r="C3625" t="s">
        <v>6137</v>
      </c>
      <c r="D3625" t="s">
        <v>13041</v>
      </c>
      <c r="E3625" t="s">
        <v>16339</v>
      </c>
      <c r="F3625" t="s">
        <v>22436</v>
      </c>
      <c r="G3625" t="s">
        <v>22444</v>
      </c>
      <c r="H3625" t="s">
        <v>22452</v>
      </c>
      <c r="I3625" t="s">
        <v>12358</v>
      </c>
      <c r="J3625" t="s">
        <v>22617</v>
      </c>
      <c r="K3625" t="s">
        <v>29335</v>
      </c>
      <c r="M3625" t="s">
        <v>30949</v>
      </c>
      <c r="N3625" t="s">
        <v>32524</v>
      </c>
      <c r="O3625" t="s">
        <v>32525</v>
      </c>
      <c r="P3625">
        <v>0</v>
      </c>
      <c r="Q3625">
        <v>1</v>
      </c>
      <c r="R3625" t="s">
        <v>32530</v>
      </c>
      <c r="S3625" t="s">
        <v>32568</v>
      </c>
      <c r="T3625" t="s">
        <v>33181</v>
      </c>
      <c r="U3625" t="s">
        <v>36714</v>
      </c>
      <c r="V3625" t="s">
        <v>42782</v>
      </c>
      <c r="W3625" t="s">
        <v>30949</v>
      </c>
      <c r="X3625" t="s">
        <v>32531</v>
      </c>
    </row>
    <row r="3626" spans="1:24">
      <c r="A3626">
        <f>HYPERLINK("https://www.philgeps.gov.ph/GEPSNONPILOT/Tender/SplashBidNoticeAbstractUI.aspx?menuIndex=3&amp;refID=7041155&amp;Result=3","7041155")</f>
        <v>0</v>
      </c>
      <c r="B3626" t="s">
        <v>560</v>
      </c>
      <c r="C3626" t="s">
        <v>6138</v>
      </c>
      <c r="D3626" t="s">
        <v>13002</v>
      </c>
      <c r="E3626" t="s">
        <v>16340</v>
      </c>
      <c r="F3626" t="s">
        <v>22436</v>
      </c>
      <c r="G3626" t="s">
        <v>22446</v>
      </c>
      <c r="H3626" t="s">
        <v>22452</v>
      </c>
      <c r="I3626" t="s">
        <v>22471</v>
      </c>
      <c r="J3626" t="s">
        <v>25041</v>
      </c>
      <c r="K3626" t="s">
        <v>29335</v>
      </c>
      <c r="M3626" t="s">
        <v>30148</v>
      </c>
      <c r="N3626" t="s">
        <v>32524</v>
      </c>
      <c r="O3626" t="s">
        <v>32525</v>
      </c>
      <c r="P3626">
        <v>0</v>
      </c>
      <c r="Q3626">
        <v>11</v>
      </c>
      <c r="R3626" t="s">
        <v>32530</v>
      </c>
      <c r="S3626" t="s">
        <v>32568</v>
      </c>
      <c r="T3626" t="s">
        <v>33230</v>
      </c>
      <c r="U3626" t="s">
        <v>36715</v>
      </c>
      <c r="W3626" t="s">
        <v>30148</v>
      </c>
      <c r="X3626" t="s">
        <v>32531</v>
      </c>
    </row>
    <row r="3627" spans="1:24">
      <c r="A3627">
        <f>HYPERLINK("https://www.philgeps.gov.ph/GEPSNONPILOT/Tender/SplashBidNoticeAbstractUI.aspx?menuIndex=3&amp;refID=7041131&amp;Result=3","7041131")</f>
        <v>0</v>
      </c>
      <c r="B3627" t="s">
        <v>1302</v>
      </c>
      <c r="C3627" t="s">
        <v>6139</v>
      </c>
      <c r="D3627" t="s">
        <v>13010</v>
      </c>
      <c r="E3627" t="s">
        <v>16341</v>
      </c>
      <c r="F3627" t="s">
        <v>22436</v>
      </c>
      <c r="G3627" t="s">
        <v>22444</v>
      </c>
      <c r="H3627" t="s">
        <v>22454</v>
      </c>
      <c r="I3627" t="s">
        <v>7738</v>
      </c>
      <c r="J3627" t="s">
        <v>23316</v>
      </c>
      <c r="K3627" t="s">
        <v>29388</v>
      </c>
      <c r="M3627" t="s">
        <v>30956</v>
      </c>
      <c r="N3627" t="s">
        <v>32524</v>
      </c>
      <c r="O3627" t="s">
        <v>32525</v>
      </c>
      <c r="P3627">
        <v>0</v>
      </c>
      <c r="Q3627">
        <v>1</v>
      </c>
      <c r="R3627" t="s">
        <v>32530</v>
      </c>
      <c r="S3627" t="s">
        <v>32568</v>
      </c>
      <c r="T3627" t="s">
        <v>33422</v>
      </c>
      <c r="U3627" t="s">
        <v>36716</v>
      </c>
      <c r="W3627" t="s">
        <v>30956</v>
      </c>
      <c r="X3627" t="s">
        <v>32531</v>
      </c>
    </row>
    <row r="3628" spans="1:24">
      <c r="A3628">
        <f>HYPERLINK("https://www.philgeps.gov.ph/GEPSNONPILOT/Tender/SplashBidNoticeAbstractUI.aspx?menuIndex=3&amp;refID=7041119&amp;Result=3","7041119")</f>
        <v>0</v>
      </c>
      <c r="B3628" t="s">
        <v>193</v>
      </c>
      <c r="C3628" t="s">
        <v>6140</v>
      </c>
      <c r="D3628" t="s">
        <v>13015</v>
      </c>
      <c r="E3628" t="s">
        <v>16342</v>
      </c>
      <c r="F3628" t="s">
        <v>22436</v>
      </c>
      <c r="G3628" t="s">
        <v>22443</v>
      </c>
      <c r="H3628" t="s">
        <v>22452</v>
      </c>
      <c r="I3628" t="s">
        <v>22467</v>
      </c>
      <c r="J3628" t="s">
        <v>25042</v>
      </c>
      <c r="K3628" t="s">
        <v>29331</v>
      </c>
      <c r="M3628" t="s">
        <v>29766</v>
      </c>
      <c r="N3628" t="s">
        <v>32524</v>
      </c>
      <c r="O3628" t="s">
        <v>32525</v>
      </c>
      <c r="P3628">
        <v>0</v>
      </c>
      <c r="Q3628">
        <v>0</v>
      </c>
      <c r="R3628" t="s">
        <v>32530</v>
      </c>
      <c r="S3628" t="s">
        <v>32568</v>
      </c>
      <c r="T3628" t="s">
        <v>33220</v>
      </c>
      <c r="U3628" t="s">
        <v>33982</v>
      </c>
      <c r="V3628" t="s">
        <v>42783</v>
      </c>
      <c r="W3628" t="s">
        <v>29766</v>
      </c>
      <c r="X3628" t="s">
        <v>32531</v>
      </c>
    </row>
    <row r="3629" spans="1:24">
      <c r="A3629">
        <f>HYPERLINK("https://www.philgeps.gov.ph/GEPSNONPILOT/Tender/SplashBidNoticeAbstractUI.aspx?menuIndex=3&amp;refID=7041106&amp;Result=3","7041106")</f>
        <v>0</v>
      </c>
      <c r="B3629" t="s">
        <v>293</v>
      </c>
      <c r="C3629" t="s">
        <v>6141</v>
      </c>
      <c r="D3629" t="s">
        <v>13046</v>
      </c>
      <c r="E3629" t="s">
        <v>16343</v>
      </c>
      <c r="F3629" t="s">
        <v>22436</v>
      </c>
      <c r="G3629" t="s">
        <v>22443</v>
      </c>
      <c r="H3629" t="s">
        <v>22452</v>
      </c>
      <c r="I3629" t="s">
        <v>22476</v>
      </c>
      <c r="J3629" t="s">
        <v>23878</v>
      </c>
      <c r="K3629" t="s">
        <v>29341</v>
      </c>
      <c r="M3629" t="s">
        <v>29867</v>
      </c>
      <c r="N3629" t="s">
        <v>32524</v>
      </c>
      <c r="O3629" t="s">
        <v>32525</v>
      </c>
      <c r="P3629">
        <v>0</v>
      </c>
      <c r="Q3629">
        <v>0</v>
      </c>
      <c r="R3629" t="s">
        <v>32530</v>
      </c>
      <c r="S3629" t="s">
        <v>32568</v>
      </c>
      <c r="T3629" t="s">
        <v>33310</v>
      </c>
      <c r="U3629" t="s">
        <v>36717</v>
      </c>
      <c r="W3629" t="s">
        <v>29867</v>
      </c>
      <c r="X3629" t="s">
        <v>32531</v>
      </c>
    </row>
    <row r="3630" spans="1:24">
      <c r="A3630">
        <f>HYPERLINK("https://www.philgeps.gov.ph/GEPSNONPILOT/Tender/SplashBidNoticeAbstractUI.aspx?menuIndex=3&amp;refID=7041179&amp;Result=3","7041179")</f>
        <v>0</v>
      </c>
      <c r="B3630" t="s">
        <v>1303</v>
      </c>
      <c r="C3630" t="s">
        <v>6142</v>
      </c>
      <c r="D3630" t="s">
        <v>13021</v>
      </c>
      <c r="E3630" t="s">
        <v>16344</v>
      </c>
      <c r="F3630" t="s">
        <v>22436</v>
      </c>
      <c r="G3630" t="s">
        <v>22444</v>
      </c>
      <c r="H3630" t="s">
        <v>22452</v>
      </c>
      <c r="I3630" t="s">
        <v>22460</v>
      </c>
      <c r="J3630" t="s">
        <v>25043</v>
      </c>
      <c r="K3630" t="s">
        <v>29333</v>
      </c>
      <c r="M3630" t="s">
        <v>30957</v>
      </c>
      <c r="N3630" t="s">
        <v>32524</v>
      </c>
      <c r="O3630" t="s">
        <v>32525</v>
      </c>
      <c r="P3630">
        <v>0</v>
      </c>
      <c r="Q3630">
        <v>1</v>
      </c>
      <c r="R3630" t="s">
        <v>32530</v>
      </c>
      <c r="S3630" t="s">
        <v>32568</v>
      </c>
      <c r="T3630" t="s">
        <v>33167</v>
      </c>
      <c r="U3630" t="s">
        <v>36718</v>
      </c>
      <c r="V3630" t="s">
        <v>42784</v>
      </c>
      <c r="W3630" t="s">
        <v>30957</v>
      </c>
      <c r="X3630" t="s">
        <v>32531</v>
      </c>
    </row>
    <row r="3631" spans="1:24">
      <c r="A3631">
        <f>HYPERLINK("https://www.philgeps.gov.ph/GEPSNONPILOT/Tender/SplashBidNoticeAbstractUI.aspx?menuIndex=3&amp;refID=7041184&amp;Result=3","7041184")</f>
        <v>0</v>
      </c>
      <c r="B3631" t="s">
        <v>1304</v>
      </c>
      <c r="C3631" t="s">
        <v>6143</v>
      </c>
      <c r="D3631" t="s">
        <v>13042</v>
      </c>
      <c r="E3631" t="s">
        <v>16345</v>
      </c>
      <c r="F3631" t="s">
        <v>22436</v>
      </c>
      <c r="G3631" t="s">
        <v>22443</v>
      </c>
      <c r="H3631" t="s">
        <v>22452</v>
      </c>
      <c r="I3631" t="s">
        <v>3827</v>
      </c>
      <c r="J3631" t="s">
        <v>24752</v>
      </c>
      <c r="K3631" t="s">
        <v>29336</v>
      </c>
      <c r="M3631" t="s">
        <v>30958</v>
      </c>
      <c r="N3631" t="s">
        <v>32524</v>
      </c>
      <c r="O3631" t="s">
        <v>32525</v>
      </c>
      <c r="P3631">
        <v>0</v>
      </c>
      <c r="Q3631">
        <v>2</v>
      </c>
      <c r="R3631" t="s">
        <v>32530</v>
      </c>
      <c r="S3631" t="s">
        <v>32568</v>
      </c>
      <c r="T3631" t="s">
        <v>33197</v>
      </c>
      <c r="U3631" t="s">
        <v>36719</v>
      </c>
      <c r="W3631" t="s">
        <v>30958</v>
      </c>
      <c r="X3631" t="s">
        <v>32531</v>
      </c>
    </row>
    <row r="3632" spans="1:24">
      <c r="A3632">
        <f>HYPERLINK("https://www.philgeps.gov.ph/GEPSNONPILOT/Tender/SplashBidNoticeAbstractUI.aspx?menuIndex=3&amp;refID=7041168&amp;Result=3","7041168")</f>
        <v>0</v>
      </c>
      <c r="B3632" t="s">
        <v>1305</v>
      </c>
      <c r="C3632" t="s">
        <v>6144</v>
      </c>
      <c r="D3632" t="s">
        <v>12995</v>
      </c>
      <c r="E3632" t="s">
        <v>16346</v>
      </c>
      <c r="F3632" t="s">
        <v>22436</v>
      </c>
      <c r="G3632" t="s">
        <v>22444</v>
      </c>
      <c r="H3632" t="s">
        <v>22454</v>
      </c>
      <c r="I3632" t="s">
        <v>7738</v>
      </c>
      <c r="J3632" t="s">
        <v>22877</v>
      </c>
      <c r="K3632" t="s">
        <v>29338</v>
      </c>
      <c r="M3632" t="s">
        <v>30959</v>
      </c>
      <c r="N3632" t="s">
        <v>32524</v>
      </c>
      <c r="O3632" t="s">
        <v>32525</v>
      </c>
      <c r="P3632">
        <v>0</v>
      </c>
      <c r="Q3632">
        <v>1</v>
      </c>
      <c r="R3632" t="s">
        <v>32530</v>
      </c>
      <c r="S3632" t="s">
        <v>32568</v>
      </c>
      <c r="T3632" t="s">
        <v>33169</v>
      </c>
      <c r="U3632" t="s">
        <v>36720</v>
      </c>
      <c r="W3632" t="s">
        <v>30959</v>
      </c>
      <c r="X3632" t="s">
        <v>32531</v>
      </c>
    </row>
    <row r="3633" spans="1:24">
      <c r="A3633">
        <f>HYPERLINK("https://www.philgeps.gov.ph/GEPSNONPILOT/Tender/SplashBidNoticeAbstractUI.aspx?menuIndex=3&amp;refID=7041165&amp;Result=3","7041165")</f>
        <v>0</v>
      </c>
      <c r="B3633" t="s">
        <v>1304</v>
      </c>
      <c r="C3633" t="s">
        <v>6145</v>
      </c>
      <c r="D3633" t="s">
        <v>13042</v>
      </c>
      <c r="E3633" t="s">
        <v>16347</v>
      </c>
      <c r="F3633" t="s">
        <v>22436</v>
      </c>
      <c r="G3633" t="s">
        <v>22443</v>
      </c>
      <c r="H3633" t="s">
        <v>22452</v>
      </c>
      <c r="I3633" t="s">
        <v>22519</v>
      </c>
      <c r="J3633" t="s">
        <v>25044</v>
      </c>
      <c r="K3633" t="s">
        <v>29336</v>
      </c>
      <c r="M3633" t="s">
        <v>30958</v>
      </c>
      <c r="N3633" t="s">
        <v>32524</v>
      </c>
      <c r="O3633" t="s">
        <v>32525</v>
      </c>
      <c r="P3633">
        <v>0</v>
      </c>
      <c r="Q3633">
        <v>0</v>
      </c>
      <c r="R3633" t="s">
        <v>32530</v>
      </c>
      <c r="S3633" t="s">
        <v>32568</v>
      </c>
      <c r="T3633" t="s">
        <v>33197</v>
      </c>
      <c r="U3633" t="s">
        <v>36721</v>
      </c>
      <c r="W3633" t="s">
        <v>30958</v>
      </c>
      <c r="X3633" t="s">
        <v>32531</v>
      </c>
    </row>
    <row r="3634" spans="1:24">
      <c r="A3634">
        <f>HYPERLINK("https://www.philgeps.gov.ph/GEPSNONPILOT/Tender/SplashBidNoticeAbstractUI.aspx?menuIndex=3&amp;refID=7041150&amp;Result=3","7041150")</f>
        <v>0</v>
      </c>
      <c r="B3634" t="s">
        <v>1306</v>
      </c>
      <c r="C3634" t="s">
        <v>6146</v>
      </c>
      <c r="D3634" t="s">
        <v>12999</v>
      </c>
      <c r="E3634" t="s">
        <v>13487</v>
      </c>
      <c r="F3634" t="s">
        <v>22436</v>
      </c>
      <c r="G3634" t="s">
        <v>22444</v>
      </c>
      <c r="H3634" t="s">
        <v>22454</v>
      </c>
      <c r="I3634" t="s">
        <v>7738</v>
      </c>
      <c r="J3634" t="s">
        <v>25045</v>
      </c>
      <c r="K3634" t="s">
        <v>29335</v>
      </c>
      <c r="M3634" t="s">
        <v>30960</v>
      </c>
      <c r="N3634" t="s">
        <v>32524</v>
      </c>
      <c r="O3634" t="s">
        <v>32525</v>
      </c>
      <c r="P3634">
        <v>0</v>
      </c>
      <c r="Q3634">
        <v>0</v>
      </c>
      <c r="R3634" t="s">
        <v>32530</v>
      </c>
      <c r="S3634" t="s">
        <v>32568</v>
      </c>
      <c r="T3634" t="s">
        <v>33211</v>
      </c>
      <c r="U3634" t="s">
        <v>36722</v>
      </c>
      <c r="W3634" t="s">
        <v>30960</v>
      </c>
      <c r="X3634" t="s">
        <v>32531</v>
      </c>
    </row>
    <row r="3635" spans="1:24">
      <c r="A3635">
        <f>HYPERLINK("https://www.philgeps.gov.ph/GEPSNONPILOT/Tender/SplashBidNoticeAbstractUI.aspx?menuIndex=3&amp;refID=7041178&amp;Result=3","7041178")</f>
        <v>0</v>
      </c>
      <c r="B3635" t="s">
        <v>1304</v>
      </c>
      <c r="C3635" t="s">
        <v>6147</v>
      </c>
      <c r="D3635" t="s">
        <v>13042</v>
      </c>
      <c r="E3635" t="s">
        <v>16348</v>
      </c>
      <c r="F3635" t="s">
        <v>22436</v>
      </c>
      <c r="G3635" t="s">
        <v>22443</v>
      </c>
      <c r="H3635" t="s">
        <v>22453</v>
      </c>
      <c r="I3635" t="s">
        <v>2962</v>
      </c>
      <c r="J3635" t="s">
        <v>22747</v>
      </c>
      <c r="K3635" t="s">
        <v>29336</v>
      </c>
      <c r="M3635" t="s">
        <v>30958</v>
      </c>
      <c r="N3635" t="s">
        <v>32524</v>
      </c>
      <c r="O3635" t="s">
        <v>32525</v>
      </c>
      <c r="P3635">
        <v>0</v>
      </c>
      <c r="Q3635">
        <v>0</v>
      </c>
      <c r="R3635" t="s">
        <v>32530</v>
      </c>
      <c r="S3635" t="s">
        <v>32568</v>
      </c>
      <c r="T3635" t="s">
        <v>33197</v>
      </c>
      <c r="U3635" t="s">
        <v>36723</v>
      </c>
      <c r="W3635" t="s">
        <v>30958</v>
      </c>
      <c r="X3635" t="s">
        <v>32531</v>
      </c>
    </row>
    <row r="3636" spans="1:24">
      <c r="A3636">
        <f>HYPERLINK("https://www.philgeps.gov.ph/GEPSNONPILOT/Tender/SplashBidNoticeAbstractUI.aspx?menuIndex=3&amp;refID=7041192&amp;Result=3","7041192")</f>
        <v>0</v>
      </c>
      <c r="B3636" t="s">
        <v>1304</v>
      </c>
      <c r="C3636" t="s">
        <v>6148</v>
      </c>
      <c r="D3636" t="s">
        <v>13042</v>
      </c>
      <c r="E3636" t="s">
        <v>16349</v>
      </c>
      <c r="F3636" t="s">
        <v>22436</v>
      </c>
      <c r="G3636" t="s">
        <v>22443</v>
      </c>
      <c r="H3636" t="s">
        <v>22452</v>
      </c>
      <c r="I3636" t="s">
        <v>3840</v>
      </c>
      <c r="J3636" t="s">
        <v>25046</v>
      </c>
      <c r="K3636" t="s">
        <v>29336</v>
      </c>
      <c r="M3636" t="s">
        <v>30958</v>
      </c>
      <c r="N3636" t="s">
        <v>32524</v>
      </c>
      <c r="O3636" t="s">
        <v>32525</v>
      </c>
      <c r="P3636">
        <v>0</v>
      </c>
      <c r="Q3636">
        <v>3</v>
      </c>
      <c r="R3636" t="s">
        <v>32530</v>
      </c>
      <c r="S3636" t="s">
        <v>32568</v>
      </c>
      <c r="T3636" t="s">
        <v>33197</v>
      </c>
      <c r="U3636" t="s">
        <v>36724</v>
      </c>
      <c r="W3636" t="s">
        <v>30958</v>
      </c>
      <c r="X3636" t="s">
        <v>32531</v>
      </c>
    </row>
    <row r="3637" spans="1:24">
      <c r="A3637">
        <f>HYPERLINK("https://www.philgeps.gov.ph/GEPSNONPILOT/Tender/SplashBidNoticeAbstractUI.aspx?menuIndex=3&amp;refID=7041185&amp;Result=3","7041185")</f>
        <v>0</v>
      </c>
      <c r="B3637" t="s">
        <v>808</v>
      </c>
      <c r="C3637" t="s">
        <v>6149</v>
      </c>
      <c r="D3637" t="s">
        <v>13068</v>
      </c>
      <c r="E3637" t="s">
        <v>16350</v>
      </c>
      <c r="F3637" t="s">
        <v>22436</v>
      </c>
      <c r="G3637" t="s">
        <v>22443</v>
      </c>
      <c r="H3637" t="s">
        <v>22452</v>
      </c>
      <c r="I3637" t="s">
        <v>22486</v>
      </c>
      <c r="J3637" t="s">
        <v>23404</v>
      </c>
      <c r="K3637" t="s">
        <v>29337</v>
      </c>
      <c r="M3637" t="s">
        <v>30411</v>
      </c>
      <c r="N3637" t="s">
        <v>32524</v>
      </c>
      <c r="O3637" t="s">
        <v>32525</v>
      </c>
      <c r="P3637">
        <v>0</v>
      </c>
      <c r="Q3637">
        <v>0</v>
      </c>
      <c r="R3637" t="s">
        <v>32530</v>
      </c>
      <c r="S3637" t="s">
        <v>32568</v>
      </c>
      <c r="T3637" t="s">
        <v>33323</v>
      </c>
      <c r="U3637" t="s">
        <v>36725</v>
      </c>
      <c r="W3637" t="s">
        <v>30411</v>
      </c>
      <c r="X3637" t="s">
        <v>32531</v>
      </c>
    </row>
    <row r="3638" spans="1:24">
      <c r="A3638">
        <f>HYPERLINK("https://www.philgeps.gov.ph/GEPSNONPILOT/Tender/SplashBidNoticeAbstractUI.aspx?menuIndex=3&amp;refID=7041172&amp;Result=3","7041172")</f>
        <v>0</v>
      </c>
      <c r="B3638" t="s">
        <v>1307</v>
      </c>
      <c r="C3638" t="s">
        <v>6150</v>
      </c>
      <c r="E3638" t="s">
        <v>16351</v>
      </c>
      <c r="F3638" t="s">
        <v>22436</v>
      </c>
      <c r="G3638" t="s">
        <v>22444</v>
      </c>
      <c r="H3638" t="s">
        <v>22452</v>
      </c>
      <c r="I3638" t="s">
        <v>6387</v>
      </c>
      <c r="J3638" t="s">
        <v>25047</v>
      </c>
      <c r="K3638" t="s">
        <v>29338</v>
      </c>
      <c r="M3638" t="s">
        <v>30961</v>
      </c>
      <c r="N3638" t="s">
        <v>32524</v>
      </c>
      <c r="O3638" t="s">
        <v>32525</v>
      </c>
      <c r="P3638">
        <v>0</v>
      </c>
      <c r="Q3638">
        <v>0</v>
      </c>
      <c r="R3638" t="s">
        <v>32530</v>
      </c>
      <c r="S3638" t="s">
        <v>32568</v>
      </c>
      <c r="T3638" t="s">
        <v>33249</v>
      </c>
      <c r="U3638" t="s">
        <v>36726</v>
      </c>
      <c r="W3638" t="s">
        <v>30961</v>
      </c>
      <c r="X3638" t="s">
        <v>32531</v>
      </c>
    </row>
    <row r="3639" spans="1:24">
      <c r="A3639">
        <f>HYPERLINK("https://www.philgeps.gov.ph/GEPSNONPILOT/Tender/SplashBidNoticeAbstractUI.aspx?menuIndex=3&amp;refID=7041208&amp;Result=3","7041208")</f>
        <v>0</v>
      </c>
      <c r="B3639" t="s">
        <v>1304</v>
      </c>
      <c r="C3639" t="s">
        <v>6151</v>
      </c>
      <c r="D3639" t="s">
        <v>13042</v>
      </c>
      <c r="E3639" t="s">
        <v>16352</v>
      </c>
      <c r="F3639" t="s">
        <v>22436</v>
      </c>
      <c r="G3639" t="s">
        <v>22443</v>
      </c>
      <c r="H3639" t="s">
        <v>22452</v>
      </c>
      <c r="I3639" t="s">
        <v>22466</v>
      </c>
      <c r="J3639" t="s">
        <v>22788</v>
      </c>
      <c r="K3639" t="s">
        <v>29336</v>
      </c>
      <c r="M3639" t="s">
        <v>30958</v>
      </c>
      <c r="N3639" t="s">
        <v>32524</v>
      </c>
      <c r="O3639" t="s">
        <v>32525</v>
      </c>
      <c r="P3639">
        <v>0</v>
      </c>
      <c r="Q3639">
        <v>6</v>
      </c>
      <c r="R3639" t="s">
        <v>32530</v>
      </c>
      <c r="S3639" t="s">
        <v>32568</v>
      </c>
      <c r="T3639" t="s">
        <v>33197</v>
      </c>
      <c r="U3639" t="s">
        <v>36727</v>
      </c>
      <c r="W3639" t="s">
        <v>30958</v>
      </c>
      <c r="X3639" t="s">
        <v>32531</v>
      </c>
    </row>
    <row r="3640" spans="1:24">
      <c r="A3640">
        <f>HYPERLINK("https://www.philgeps.gov.ph/GEPSNONPILOT/Tender/SplashBidNoticeAbstractUI.aspx?menuIndex=3&amp;refID=7041200&amp;Result=3","7041200")</f>
        <v>0</v>
      </c>
      <c r="B3640" t="s">
        <v>1304</v>
      </c>
      <c r="C3640" t="s">
        <v>6152</v>
      </c>
      <c r="D3640" t="s">
        <v>13042</v>
      </c>
      <c r="E3640" t="s">
        <v>16353</v>
      </c>
      <c r="F3640" t="s">
        <v>22436</v>
      </c>
      <c r="G3640" t="s">
        <v>22443</v>
      </c>
      <c r="H3640" t="s">
        <v>22452</v>
      </c>
      <c r="I3640" t="s">
        <v>5194</v>
      </c>
      <c r="J3640" t="s">
        <v>25048</v>
      </c>
      <c r="K3640" t="s">
        <v>29336</v>
      </c>
      <c r="M3640" t="s">
        <v>30958</v>
      </c>
      <c r="N3640" t="s">
        <v>32524</v>
      </c>
      <c r="O3640" t="s">
        <v>32525</v>
      </c>
      <c r="P3640">
        <v>0</v>
      </c>
      <c r="Q3640">
        <v>3</v>
      </c>
      <c r="R3640" t="s">
        <v>32530</v>
      </c>
      <c r="S3640" t="s">
        <v>32568</v>
      </c>
      <c r="T3640" t="s">
        <v>33197</v>
      </c>
      <c r="U3640" t="s">
        <v>36728</v>
      </c>
      <c r="W3640" t="s">
        <v>30958</v>
      </c>
      <c r="X3640" t="s">
        <v>32531</v>
      </c>
    </row>
    <row r="3641" spans="1:24">
      <c r="A3641">
        <f>HYPERLINK("https://www.philgeps.gov.ph/GEPSNONPILOT/Tender/SplashBidNoticeAbstractUI.aspx?menuIndex=3&amp;refID=7041189&amp;Result=3","7041189")</f>
        <v>0</v>
      </c>
      <c r="B3641" t="s">
        <v>1308</v>
      </c>
      <c r="C3641" t="s">
        <v>6153</v>
      </c>
      <c r="D3641" t="s">
        <v>13010</v>
      </c>
      <c r="E3641" t="s">
        <v>16354</v>
      </c>
      <c r="F3641" t="s">
        <v>22436</v>
      </c>
      <c r="G3641" t="s">
        <v>22444</v>
      </c>
      <c r="H3641" t="s">
        <v>22454</v>
      </c>
      <c r="I3641" t="s">
        <v>7738</v>
      </c>
      <c r="J3641" t="s">
        <v>22669</v>
      </c>
      <c r="K3641" t="s">
        <v>29344</v>
      </c>
      <c r="M3641" t="s">
        <v>30962</v>
      </c>
      <c r="N3641" t="s">
        <v>32524</v>
      </c>
      <c r="O3641" t="s">
        <v>32525</v>
      </c>
      <c r="P3641">
        <v>0</v>
      </c>
      <c r="Q3641">
        <v>1</v>
      </c>
      <c r="R3641" t="s">
        <v>32530</v>
      </c>
      <c r="S3641" t="s">
        <v>32568</v>
      </c>
      <c r="T3641" t="s">
        <v>33190</v>
      </c>
      <c r="U3641" t="s">
        <v>36729</v>
      </c>
      <c r="V3641" t="s">
        <v>42785</v>
      </c>
      <c r="W3641" t="s">
        <v>30962</v>
      </c>
      <c r="X3641" t="s">
        <v>32531</v>
      </c>
    </row>
    <row r="3642" spans="1:24">
      <c r="A3642">
        <f>HYPERLINK("https://www.philgeps.gov.ph/GEPSNONPILOT/Tender/SplashBidNoticeAbstractUI.aspx?menuIndex=3&amp;refID=7041207&amp;Result=3","7041207")</f>
        <v>0</v>
      </c>
      <c r="B3642" t="s">
        <v>1303</v>
      </c>
      <c r="C3642" t="s">
        <v>6154</v>
      </c>
      <c r="D3642" t="s">
        <v>13021</v>
      </c>
      <c r="E3642" t="s">
        <v>16355</v>
      </c>
      <c r="F3642" t="s">
        <v>22436</v>
      </c>
      <c r="G3642" t="s">
        <v>22444</v>
      </c>
      <c r="H3642" t="s">
        <v>22452</v>
      </c>
      <c r="I3642" t="s">
        <v>3827</v>
      </c>
      <c r="J3642" t="s">
        <v>25049</v>
      </c>
      <c r="K3642" t="s">
        <v>29333</v>
      </c>
      <c r="M3642" t="s">
        <v>30957</v>
      </c>
      <c r="N3642" t="s">
        <v>32524</v>
      </c>
      <c r="O3642" t="s">
        <v>32525</v>
      </c>
      <c r="P3642">
        <v>0</v>
      </c>
      <c r="Q3642">
        <v>1</v>
      </c>
      <c r="R3642" t="s">
        <v>32530</v>
      </c>
      <c r="S3642" t="s">
        <v>32568</v>
      </c>
      <c r="T3642" t="s">
        <v>33167</v>
      </c>
      <c r="U3642" t="s">
        <v>36718</v>
      </c>
      <c r="V3642" t="s">
        <v>42784</v>
      </c>
      <c r="W3642" t="s">
        <v>30957</v>
      </c>
      <c r="X3642" t="s">
        <v>32531</v>
      </c>
    </row>
    <row r="3643" spans="1:24">
      <c r="A3643">
        <f>HYPERLINK("https://www.philgeps.gov.ph/GEPSNONPILOT/Tender/SplashBidNoticeAbstractUI.aspx?menuIndex=3&amp;refID=7041199&amp;Result=3","7041199")</f>
        <v>0</v>
      </c>
      <c r="B3643" t="s">
        <v>1309</v>
      </c>
      <c r="C3643" t="s">
        <v>6155</v>
      </c>
      <c r="E3643" t="s">
        <v>16356</v>
      </c>
      <c r="F3643" t="s">
        <v>22437</v>
      </c>
      <c r="G3643" t="s">
        <v>22443</v>
      </c>
      <c r="H3643" t="s">
        <v>22452</v>
      </c>
      <c r="I3643" t="s">
        <v>22457</v>
      </c>
      <c r="J3643" t="s">
        <v>22692</v>
      </c>
      <c r="K3643" t="s">
        <v>29338</v>
      </c>
      <c r="M3643" t="s">
        <v>30963</v>
      </c>
      <c r="N3643" t="s">
        <v>32524</v>
      </c>
      <c r="O3643" t="s">
        <v>32525</v>
      </c>
      <c r="P3643">
        <v>0</v>
      </c>
      <c r="Q3643">
        <v>0</v>
      </c>
      <c r="R3643" t="s">
        <v>32530</v>
      </c>
      <c r="S3643" t="s">
        <v>32568</v>
      </c>
      <c r="T3643" t="s">
        <v>33154</v>
      </c>
      <c r="U3643" t="s">
        <v>36730</v>
      </c>
      <c r="W3643" t="s">
        <v>30963</v>
      </c>
      <c r="X3643" t="s">
        <v>32531</v>
      </c>
    </row>
    <row r="3644" spans="1:24">
      <c r="A3644">
        <f>HYPERLINK("https://www.philgeps.gov.ph/GEPSNONPILOT/Tender/SplashBidNoticeAbstractUI.aspx?menuIndex=3&amp;refID=7041217&amp;Result=3","7041217")</f>
        <v>0</v>
      </c>
      <c r="B3644" t="s">
        <v>1310</v>
      </c>
      <c r="C3644" t="s">
        <v>6156</v>
      </c>
      <c r="D3644" t="s">
        <v>12998</v>
      </c>
      <c r="E3644" t="s">
        <v>16357</v>
      </c>
      <c r="F3644" t="s">
        <v>22436</v>
      </c>
      <c r="G3644" t="s">
        <v>22443</v>
      </c>
      <c r="H3644" t="s">
        <v>22452</v>
      </c>
      <c r="I3644" t="s">
        <v>22489</v>
      </c>
      <c r="J3644" t="s">
        <v>25050</v>
      </c>
      <c r="K3644" t="s">
        <v>29338</v>
      </c>
      <c r="M3644" t="s">
        <v>30964</v>
      </c>
      <c r="N3644" t="s">
        <v>32524</v>
      </c>
      <c r="O3644" t="s">
        <v>32525</v>
      </c>
      <c r="P3644">
        <v>0</v>
      </c>
      <c r="Q3644">
        <v>5</v>
      </c>
      <c r="R3644" t="s">
        <v>32530</v>
      </c>
      <c r="S3644" t="s">
        <v>32568</v>
      </c>
      <c r="T3644" t="s">
        <v>33185</v>
      </c>
      <c r="U3644" t="s">
        <v>36731</v>
      </c>
      <c r="W3644" t="s">
        <v>30964</v>
      </c>
      <c r="X3644" t="s">
        <v>32531</v>
      </c>
    </row>
    <row r="3645" spans="1:24">
      <c r="A3645">
        <f>HYPERLINK("https://www.philgeps.gov.ph/GEPSNONPILOT/Tender/SplashBidNoticeAbstractUI.aspx?menuIndex=3&amp;refID=7041206&amp;Result=3","7041206")</f>
        <v>0</v>
      </c>
      <c r="B3645" t="s">
        <v>1311</v>
      </c>
      <c r="C3645" t="s">
        <v>6157</v>
      </c>
      <c r="D3645" t="s">
        <v>13039</v>
      </c>
      <c r="E3645" t="s">
        <v>16358</v>
      </c>
      <c r="F3645" t="s">
        <v>22437</v>
      </c>
      <c r="G3645" t="s">
        <v>22444</v>
      </c>
      <c r="H3645" t="s">
        <v>22452</v>
      </c>
      <c r="I3645" t="s">
        <v>3529</v>
      </c>
      <c r="J3645" t="s">
        <v>25051</v>
      </c>
      <c r="K3645" t="s">
        <v>29333</v>
      </c>
      <c r="M3645" t="s">
        <v>30965</v>
      </c>
      <c r="N3645" t="s">
        <v>32524</v>
      </c>
      <c r="O3645" t="s">
        <v>32525</v>
      </c>
      <c r="P3645">
        <v>0</v>
      </c>
      <c r="Q3645">
        <v>0</v>
      </c>
      <c r="R3645" t="s">
        <v>32530</v>
      </c>
      <c r="S3645" t="s">
        <v>32568</v>
      </c>
      <c r="T3645" t="s">
        <v>33324</v>
      </c>
      <c r="U3645" t="s">
        <v>36732</v>
      </c>
      <c r="W3645" t="s">
        <v>30965</v>
      </c>
      <c r="X3645" t="s">
        <v>32531</v>
      </c>
    </row>
    <row r="3646" spans="1:24">
      <c r="A3646">
        <f>HYPERLINK("https://www.philgeps.gov.ph/GEPSNONPILOT/Tender/SplashBidNoticeAbstractUI.aspx?menuIndex=3&amp;refID=7041126&amp;Result=3","7041126")</f>
        <v>0</v>
      </c>
      <c r="B3646" t="s">
        <v>1312</v>
      </c>
      <c r="C3646" t="s">
        <v>6158</v>
      </c>
      <c r="D3646" t="s">
        <v>13034</v>
      </c>
      <c r="E3646" t="s">
        <v>14828</v>
      </c>
      <c r="F3646" t="s">
        <v>22436</v>
      </c>
      <c r="G3646" t="s">
        <v>22443</v>
      </c>
      <c r="H3646" t="s">
        <v>22452</v>
      </c>
      <c r="I3646" t="s">
        <v>22457</v>
      </c>
      <c r="J3646" t="s">
        <v>23226</v>
      </c>
      <c r="K3646" t="s">
        <v>29341</v>
      </c>
      <c r="M3646" t="s">
        <v>30966</v>
      </c>
      <c r="N3646" t="s">
        <v>32524</v>
      </c>
      <c r="O3646" t="s">
        <v>32525</v>
      </c>
      <c r="P3646">
        <v>0</v>
      </c>
      <c r="Q3646">
        <v>1</v>
      </c>
      <c r="R3646" t="s">
        <v>32530</v>
      </c>
      <c r="S3646" t="s">
        <v>32568</v>
      </c>
      <c r="T3646" t="s">
        <v>33238</v>
      </c>
      <c r="U3646" t="s">
        <v>34464</v>
      </c>
      <c r="W3646" t="s">
        <v>30966</v>
      </c>
      <c r="X3646" t="s">
        <v>32531</v>
      </c>
    </row>
    <row r="3647" spans="1:24">
      <c r="A3647">
        <f>HYPERLINK("https://www.philgeps.gov.ph/GEPSNONPILOT/Tender/SplashBidNoticeAbstractUI.aspx?menuIndex=3&amp;refID=7041204&amp;Result=3","7041204")</f>
        <v>0</v>
      </c>
      <c r="B3647" t="s">
        <v>1274</v>
      </c>
      <c r="C3647" t="s">
        <v>6159</v>
      </c>
      <c r="D3647" t="s">
        <v>13041</v>
      </c>
      <c r="E3647" t="s">
        <v>16359</v>
      </c>
      <c r="F3647" t="s">
        <v>22436</v>
      </c>
      <c r="G3647" t="s">
        <v>22443</v>
      </c>
      <c r="H3647" t="s">
        <v>22452</v>
      </c>
      <c r="I3647" t="s">
        <v>22463</v>
      </c>
      <c r="J3647" t="s">
        <v>22692</v>
      </c>
      <c r="K3647" t="s">
        <v>29331</v>
      </c>
      <c r="M3647" t="s">
        <v>30927</v>
      </c>
      <c r="N3647" t="s">
        <v>32524</v>
      </c>
      <c r="O3647" t="s">
        <v>32525</v>
      </c>
      <c r="P3647">
        <v>0</v>
      </c>
      <c r="Q3647">
        <v>2</v>
      </c>
      <c r="R3647" t="s">
        <v>32530</v>
      </c>
      <c r="S3647" t="s">
        <v>32568</v>
      </c>
      <c r="T3647" t="s">
        <v>33238</v>
      </c>
      <c r="U3647" t="s">
        <v>36733</v>
      </c>
      <c r="V3647" t="s">
        <v>42786</v>
      </c>
      <c r="W3647" t="s">
        <v>30927</v>
      </c>
      <c r="X3647" t="s">
        <v>32531</v>
      </c>
    </row>
    <row r="3648" spans="1:24">
      <c r="A3648">
        <f>HYPERLINK("https://www.philgeps.gov.ph/GEPSNONPILOT/Tender/SplashBidNoticeAbstractUI.aspx?menuIndex=3&amp;refID=7041219&amp;Result=3","7041219")</f>
        <v>0</v>
      </c>
      <c r="B3648" t="s">
        <v>732</v>
      </c>
      <c r="C3648" t="s">
        <v>6160</v>
      </c>
      <c r="D3648" t="s">
        <v>13045</v>
      </c>
      <c r="E3648" t="s">
        <v>16360</v>
      </c>
      <c r="F3648" t="s">
        <v>22436</v>
      </c>
      <c r="G3648" t="s">
        <v>22444</v>
      </c>
      <c r="H3648" t="s">
        <v>22452</v>
      </c>
      <c r="I3648" t="s">
        <v>22461</v>
      </c>
      <c r="J3648" t="s">
        <v>22911</v>
      </c>
      <c r="K3648" t="s">
        <v>29335</v>
      </c>
      <c r="M3648" t="s">
        <v>30330</v>
      </c>
      <c r="N3648" t="s">
        <v>32524</v>
      </c>
      <c r="O3648" t="s">
        <v>32525</v>
      </c>
      <c r="P3648">
        <v>0</v>
      </c>
      <c r="Q3648">
        <v>0</v>
      </c>
      <c r="R3648" t="s">
        <v>32530</v>
      </c>
      <c r="S3648" t="s">
        <v>32568</v>
      </c>
      <c r="T3648" t="s">
        <v>33405</v>
      </c>
      <c r="U3648" t="s">
        <v>36734</v>
      </c>
      <c r="V3648" t="s">
        <v>42787</v>
      </c>
      <c r="W3648" t="s">
        <v>30330</v>
      </c>
      <c r="X3648" t="s">
        <v>32531</v>
      </c>
    </row>
    <row r="3649" spans="1:24">
      <c r="A3649">
        <f>HYPERLINK("https://www.philgeps.gov.ph/GEPSNONPILOT/Tender/SplashBidNoticeAbstractUI.aspx?menuIndex=3&amp;refID=7041220&amp;Result=3","7041220")</f>
        <v>0</v>
      </c>
      <c r="B3649" t="s">
        <v>1313</v>
      </c>
      <c r="C3649" t="s">
        <v>6161</v>
      </c>
      <c r="D3649" t="s">
        <v>13024</v>
      </c>
      <c r="E3649" t="s">
        <v>16361</v>
      </c>
      <c r="F3649" t="s">
        <v>22436</v>
      </c>
      <c r="G3649" t="s">
        <v>22444</v>
      </c>
      <c r="H3649" t="s">
        <v>22452</v>
      </c>
      <c r="I3649" t="s">
        <v>3529</v>
      </c>
      <c r="J3649" t="s">
        <v>25052</v>
      </c>
      <c r="K3649" t="s">
        <v>29341</v>
      </c>
      <c r="M3649" t="s">
        <v>30967</v>
      </c>
      <c r="N3649" t="s">
        <v>32524</v>
      </c>
      <c r="O3649" t="s">
        <v>32525</v>
      </c>
      <c r="P3649">
        <v>0</v>
      </c>
      <c r="Q3649">
        <v>0</v>
      </c>
      <c r="R3649" t="s">
        <v>32530</v>
      </c>
      <c r="S3649" t="s">
        <v>32568</v>
      </c>
      <c r="T3649" t="s">
        <v>33167</v>
      </c>
      <c r="U3649" t="s">
        <v>36735</v>
      </c>
      <c r="W3649" t="s">
        <v>30967</v>
      </c>
      <c r="X3649" t="s">
        <v>32531</v>
      </c>
    </row>
    <row r="3650" spans="1:24">
      <c r="A3650">
        <f>HYPERLINK("https://www.philgeps.gov.ph/GEPSNONPILOT/Tender/SplashBidNoticeAbstractUI.aspx?menuIndex=3&amp;refID=7041223&amp;Result=3","7041223")</f>
        <v>0</v>
      </c>
      <c r="B3650" t="s">
        <v>1314</v>
      </c>
      <c r="C3650" t="s">
        <v>6162</v>
      </c>
      <c r="D3650" t="s">
        <v>13011</v>
      </c>
      <c r="E3650" t="s">
        <v>16362</v>
      </c>
      <c r="F3650" t="s">
        <v>22436</v>
      </c>
      <c r="G3650" t="s">
        <v>22443</v>
      </c>
      <c r="H3650" t="s">
        <v>22452</v>
      </c>
      <c r="I3650" t="s">
        <v>12358</v>
      </c>
      <c r="J3650" t="s">
        <v>25053</v>
      </c>
      <c r="K3650" t="s">
        <v>29336</v>
      </c>
      <c r="M3650" t="s">
        <v>30968</v>
      </c>
      <c r="N3650" t="s">
        <v>32524</v>
      </c>
      <c r="O3650" t="s">
        <v>32525</v>
      </c>
      <c r="P3650">
        <v>0</v>
      </c>
      <c r="Q3650">
        <v>0</v>
      </c>
      <c r="R3650" t="s">
        <v>32530</v>
      </c>
      <c r="S3650" t="s">
        <v>32568</v>
      </c>
      <c r="T3650" t="s">
        <v>33167</v>
      </c>
      <c r="U3650" t="s">
        <v>36736</v>
      </c>
      <c r="W3650" t="s">
        <v>30968</v>
      </c>
      <c r="X3650" t="s">
        <v>32531</v>
      </c>
    </row>
    <row r="3651" spans="1:24">
      <c r="A3651">
        <f>HYPERLINK("https://www.philgeps.gov.ph/GEPSNONPILOT/Tender/SplashBidNoticeAbstractUI.aspx?menuIndex=3&amp;refID=7041212&amp;Result=3","7041212")</f>
        <v>0</v>
      </c>
      <c r="B3651" t="s">
        <v>765</v>
      </c>
      <c r="C3651" t="s">
        <v>6163</v>
      </c>
      <c r="D3651" t="s">
        <v>13034</v>
      </c>
      <c r="E3651" t="s">
        <v>16363</v>
      </c>
      <c r="F3651" t="s">
        <v>22436</v>
      </c>
      <c r="G3651" t="s">
        <v>22444</v>
      </c>
      <c r="H3651" t="s">
        <v>22452</v>
      </c>
      <c r="I3651" t="s">
        <v>3529</v>
      </c>
      <c r="J3651" t="s">
        <v>25054</v>
      </c>
      <c r="K3651" t="s">
        <v>29337</v>
      </c>
      <c r="M3651" t="s">
        <v>30366</v>
      </c>
      <c r="N3651" t="s">
        <v>32524</v>
      </c>
      <c r="O3651" t="s">
        <v>32525</v>
      </c>
      <c r="P3651">
        <v>0</v>
      </c>
      <c r="Q3651">
        <v>0</v>
      </c>
      <c r="R3651" t="s">
        <v>32530</v>
      </c>
      <c r="S3651" t="s">
        <v>32568</v>
      </c>
      <c r="T3651" t="s">
        <v>33407</v>
      </c>
      <c r="U3651" t="s">
        <v>36737</v>
      </c>
      <c r="V3651" t="s">
        <v>42788</v>
      </c>
      <c r="W3651" t="s">
        <v>30366</v>
      </c>
      <c r="X3651" t="s">
        <v>32531</v>
      </c>
    </row>
    <row r="3652" spans="1:24">
      <c r="A3652">
        <f>HYPERLINK("https://www.philgeps.gov.ph/GEPSNONPILOT/Tender/SplashBidNoticeAbstractUI.aspx?menuIndex=3&amp;refID=7041211&amp;Result=3","7041211")</f>
        <v>0</v>
      </c>
      <c r="B3652" t="s">
        <v>1270</v>
      </c>
      <c r="C3652" t="s">
        <v>6164</v>
      </c>
      <c r="D3652" t="s">
        <v>13035</v>
      </c>
      <c r="E3652" t="s">
        <v>16364</v>
      </c>
      <c r="F3652" t="s">
        <v>22436</v>
      </c>
      <c r="G3652" t="s">
        <v>22444</v>
      </c>
      <c r="H3652" t="s">
        <v>22452</v>
      </c>
      <c r="I3652" t="s">
        <v>22460</v>
      </c>
      <c r="J3652" t="s">
        <v>25055</v>
      </c>
      <c r="K3652" t="s">
        <v>29331</v>
      </c>
      <c r="M3652" t="s">
        <v>30923</v>
      </c>
      <c r="N3652" t="s">
        <v>32524</v>
      </c>
      <c r="O3652" t="s">
        <v>32525</v>
      </c>
      <c r="P3652">
        <v>0</v>
      </c>
      <c r="Q3652">
        <v>0</v>
      </c>
      <c r="R3652" t="s">
        <v>32530</v>
      </c>
      <c r="S3652" t="s">
        <v>32568</v>
      </c>
      <c r="T3652" t="s">
        <v>33293</v>
      </c>
      <c r="U3652" t="s">
        <v>36738</v>
      </c>
      <c r="W3652" t="s">
        <v>30923</v>
      </c>
      <c r="X3652" t="s">
        <v>32531</v>
      </c>
    </row>
    <row r="3653" spans="1:24">
      <c r="A3653">
        <f>HYPERLINK("https://www.philgeps.gov.ph/GEPSNONPILOT/Tender/SplashBidNoticeAbstractUI.aspx?menuIndex=3&amp;refID=7041240&amp;Result=3","7041240")</f>
        <v>0</v>
      </c>
      <c r="B3653" t="s">
        <v>1315</v>
      </c>
      <c r="C3653" t="s">
        <v>6165</v>
      </c>
      <c r="D3653" t="s">
        <v>13056</v>
      </c>
      <c r="E3653" t="s">
        <v>16365</v>
      </c>
      <c r="F3653" t="s">
        <v>22436</v>
      </c>
      <c r="G3653" t="s">
        <v>22443</v>
      </c>
      <c r="H3653" t="s">
        <v>22452</v>
      </c>
      <c r="I3653" t="s">
        <v>22476</v>
      </c>
      <c r="J3653" t="s">
        <v>22851</v>
      </c>
      <c r="K3653" t="s">
        <v>29336</v>
      </c>
      <c r="M3653" t="s">
        <v>30969</v>
      </c>
      <c r="N3653" t="s">
        <v>32524</v>
      </c>
      <c r="O3653" t="s">
        <v>32525</v>
      </c>
      <c r="P3653">
        <v>0</v>
      </c>
      <c r="Q3653">
        <v>0</v>
      </c>
      <c r="R3653" t="s">
        <v>32530</v>
      </c>
      <c r="S3653" t="s">
        <v>32568</v>
      </c>
      <c r="T3653" t="s">
        <v>33169</v>
      </c>
      <c r="U3653" t="s">
        <v>36739</v>
      </c>
      <c r="V3653" t="s">
        <v>42789</v>
      </c>
      <c r="W3653" t="s">
        <v>30969</v>
      </c>
      <c r="X3653" t="s">
        <v>32531</v>
      </c>
    </row>
    <row r="3654" spans="1:24">
      <c r="A3654">
        <f>HYPERLINK("https://www.philgeps.gov.ph/GEPSNONPILOT/Tender/SplashBidNoticeAbstractUI.aspx?menuIndex=3&amp;refID=7041235&amp;Result=3","7041235")</f>
        <v>0</v>
      </c>
      <c r="B3654" t="s">
        <v>1316</v>
      </c>
      <c r="C3654" t="s">
        <v>6166</v>
      </c>
      <c r="D3654" t="s">
        <v>13013</v>
      </c>
      <c r="E3654" t="s">
        <v>16366</v>
      </c>
      <c r="F3654" t="s">
        <v>22438</v>
      </c>
      <c r="G3654" t="s">
        <v>22446</v>
      </c>
      <c r="H3654" t="s">
        <v>22452</v>
      </c>
      <c r="I3654" t="s">
        <v>2962</v>
      </c>
      <c r="J3654" t="s">
        <v>25056</v>
      </c>
      <c r="K3654" t="s">
        <v>29341</v>
      </c>
      <c r="M3654" t="s">
        <v>30970</v>
      </c>
      <c r="N3654" t="s">
        <v>32524</v>
      </c>
      <c r="O3654" t="s">
        <v>32525</v>
      </c>
      <c r="P3654">
        <v>0</v>
      </c>
      <c r="Q3654">
        <v>0</v>
      </c>
      <c r="R3654" t="s">
        <v>32530</v>
      </c>
      <c r="S3654" t="s">
        <v>32568</v>
      </c>
      <c r="T3654" t="s">
        <v>33209</v>
      </c>
      <c r="U3654" t="s">
        <v>36740</v>
      </c>
      <c r="W3654" t="s">
        <v>30970</v>
      </c>
      <c r="X3654" t="s">
        <v>32531</v>
      </c>
    </row>
    <row r="3655" spans="1:24">
      <c r="A3655">
        <f>HYPERLINK("https://www.philgeps.gov.ph/GEPSNONPILOT/Tender/SplashBidNoticeAbstractUI.aspx?menuIndex=3&amp;refID=7041229&amp;Result=3","7041229")</f>
        <v>0</v>
      </c>
      <c r="B3655" t="s">
        <v>1317</v>
      </c>
      <c r="C3655" t="s">
        <v>6167</v>
      </c>
      <c r="D3655" t="s">
        <v>12995</v>
      </c>
      <c r="E3655" t="s">
        <v>16367</v>
      </c>
      <c r="F3655" t="s">
        <v>22436</v>
      </c>
      <c r="G3655" t="s">
        <v>22443</v>
      </c>
      <c r="H3655" t="s">
        <v>22452</v>
      </c>
      <c r="I3655" t="s">
        <v>22463</v>
      </c>
      <c r="J3655" t="s">
        <v>25057</v>
      </c>
      <c r="K3655" t="s">
        <v>29335</v>
      </c>
      <c r="M3655" t="s">
        <v>30971</v>
      </c>
      <c r="N3655" t="s">
        <v>32524</v>
      </c>
      <c r="O3655" t="s">
        <v>32525</v>
      </c>
      <c r="P3655">
        <v>0</v>
      </c>
      <c r="Q3655">
        <v>1</v>
      </c>
      <c r="R3655" t="s">
        <v>32530</v>
      </c>
      <c r="S3655" t="s">
        <v>32568</v>
      </c>
      <c r="T3655" t="s">
        <v>33270</v>
      </c>
      <c r="U3655" t="s">
        <v>36741</v>
      </c>
      <c r="W3655" t="s">
        <v>30971</v>
      </c>
      <c r="X3655" t="s">
        <v>32531</v>
      </c>
    </row>
    <row r="3656" spans="1:24">
      <c r="A3656">
        <f>HYPERLINK("https://www.philgeps.gov.ph/GEPSNONPILOT/Tender/SplashBidNoticeAbstractUI.aspx?menuIndex=3&amp;refID=7041231&amp;Result=3","7041231")</f>
        <v>0</v>
      </c>
      <c r="B3656" t="s">
        <v>1303</v>
      </c>
      <c r="C3656" t="s">
        <v>6168</v>
      </c>
      <c r="D3656" t="s">
        <v>13021</v>
      </c>
      <c r="E3656" t="s">
        <v>16368</v>
      </c>
      <c r="F3656" t="s">
        <v>22436</v>
      </c>
      <c r="G3656" t="s">
        <v>22444</v>
      </c>
      <c r="H3656" t="s">
        <v>22452</v>
      </c>
      <c r="I3656" t="s">
        <v>22474</v>
      </c>
      <c r="J3656" t="s">
        <v>22779</v>
      </c>
      <c r="K3656" t="s">
        <v>29333</v>
      </c>
      <c r="M3656" t="s">
        <v>30957</v>
      </c>
      <c r="N3656" t="s">
        <v>32524</v>
      </c>
      <c r="O3656" t="s">
        <v>32525</v>
      </c>
      <c r="P3656">
        <v>0</v>
      </c>
      <c r="Q3656">
        <v>1</v>
      </c>
      <c r="R3656" t="s">
        <v>32530</v>
      </c>
      <c r="S3656" t="s">
        <v>32568</v>
      </c>
      <c r="T3656" t="s">
        <v>33167</v>
      </c>
      <c r="U3656" t="s">
        <v>36718</v>
      </c>
      <c r="V3656" t="s">
        <v>42784</v>
      </c>
      <c r="W3656" t="s">
        <v>30957</v>
      </c>
      <c r="X3656" t="s">
        <v>32531</v>
      </c>
    </row>
    <row r="3657" spans="1:24">
      <c r="A3657">
        <f>HYPERLINK("https://www.philgeps.gov.ph/GEPSNONPILOT/Tender/SplashBidNoticeAbstractUI.aspx?menuIndex=3&amp;refID=7041234&amp;Result=3","7041234")</f>
        <v>0</v>
      </c>
      <c r="B3657" t="s">
        <v>835</v>
      </c>
      <c r="C3657" t="s">
        <v>6169</v>
      </c>
      <c r="D3657" t="s">
        <v>13067</v>
      </c>
      <c r="E3657" t="s">
        <v>16369</v>
      </c>
      <c r="F3657" t="s">
        <v>22436</v>
      </c>
      <c r="G3657" t="s">
        <v>22444</v>
      </c>
      <c r="H3657" t="s">
        <v>22452</v>
      </c>
      <c r="I3657" t="s">
        <v>22467</v>
      </c>
      <c r="J3657" t="s">
        <v>25058</v>
      </c>
      <c r="K3657" t="s">
        <v>29335</v>
      </c>
      <c r="M3657" t="s">
        <v>30441</v>
      </c>
      <c r="N3657" t="s">
        <v>32524</v>
      </c>
      <c r="O3657" t="s">
        <v>32525</v>
      </c>
      <c r="P3657">
        <v>0</v>
      </c>
      <c r="Q3657">
        <v>0</v>
      </c>
      <c r="R3657" t="s">
        <v>32530</v>
      </c>
      <c r="S3657" t="s">
        <v>32568</v>
      </c>
      <c r="T3657" t="s">
        <v>33283</v>
      </c>
      <c r="U3657" t="s">
        <v>36742</v>
      </c>
      <c r="W3657" t="s">
        <v>30441</v>
      </c>
      <c r="X3657" t="s">
        <v>32531</v>
      </c>
    </row>
    <row r="3658" spans="1:24">
      <c r="A3658">
        <f>HYPERLINK("https://www.philgeps.gov.ph/GEPSNONPILOT/Tender/SplashBidNoticeAbstractUI.aspx?menuIndex=3&amp;refID=7041245&amp;Result=3","7041245")</f>
        <v>0</v>
      </c>
      <c r="B3658" t="s">
        <v>1310</v>
      </c>
      <c r="C3658" t="s">
        <v>3827</v>
      </c>
      <c r="D3658" t="s">
        <v>12998</v>
      </c>
      <c r="E3658" t="s">
        <v>16370</v>
      </c>
      <c r="F3658" t="s">
        <v>22436</v>
      </c>
      <c r="G3658" t="s">
        <v>22443</v>
      </c>
      <c r="H3658" t="s">
        <v>22452</v>
      </c>
      <c r="I3658" t="s">
        <v>3827</v>
      </c>
      <c r="J3658" t="s">
        <v>23096</v>
      </c>
      <c r="K3658" t="s">
        <v>29338</v>
      </c>
      <c r="M3658" t="s">
        <v>30964</v>
      </c>
      <c r="N3658" t="s">
        <v>32524</v>
      </c>
      <c r="O3658" t="s">
        <v>32525</v>
      </c>
      <c r="P3658">
        <v>0</v>
      </c>
      <c r="Q3658">
        <v>2</v>
      </c>
      <c r="R3658" t="s">
        <v>32530</v>
      </c>
      <c r="S3658" t="s">
        <v>32568</v>
      </c>
      <c r="T3658" t="s">
        <v>33185</v>
      </c>
      <c r="U3658" t="s">
        <v>36743</v>
      </c>
      <c r="W3658" t="s">
        <v>30964</v>
      </c>
      <c r="X3658" t="s">
        <v>32531</v>
      </c>
    </row>
    <row r="3659" spans="1:24">
      <c r="A3659">
        <f>HYPERLINK("https://www.philgeps.gov.ph/GEPSNONPILOT/Tender/SplashBidNoticeAbstractUI.aspx?menuIndex=3&amp;refID=7041255&amp;Result=3","7041255")</f>
        <v>0</v>
      </c>
      <c r="B3659" t="s">
        <v>1318</v>
      </c>
      <c r="C3659" t="s">
        <v>6170</v>
      </c>
      <c r="D3659" t="s">
        <v>13001</v>
      </c>
      <c r="E3659" t="s">
        <v>16371</v>
      </c>
      <c r="F3659" t="s">
        <v>22436</v>
      </c>
      <c r="G3659" t="s">
        <v>22444</v>
      </c>
      <c r="H3659" t="s">
        <v>22454</v>
      </c>
      <c r="I3659" t="s">
        <v>7738</v>
      </c>
      <c r="J3659" t="s">
        <v>22806</v>
      </c>
      <c r="K3659" t="s">
        <v>29329</v>
      </c>
      <c r="M3659" t="s">
        <v>30972</v>
      </c>
      <c r="N3659" t="s">
        <v>32524</v>
      </c>
      <c r="O3659" t="s">
        <v>32525</v>
      </c>
      <c r="P3659">
        <v>0</v>
      </c>
      <c r="Q3659">
        <v>2</v>
      </c>
      <c r="R3659" t="s">
        <v>32530</v>
      </c>
      <c r="S3659" t="s">
        <v>32568</v>
      </c>
      <c r="T3659" t="s">
        <v>33262</v>
      </c>
      <c r="U3659" t="s">
        <v>36744</v>
      </c>
      <c r="W3659" t="s">
        <v>30972</v>
      </c>
      <c r="X3659" t="s">
        <v>32531</v>
      </c>
    </row>
    <row r="3660" spans="1:24">
      <c r="A3660">
        <f>HYPERLINK("https://www.philgeps.gov.ph/GEPSNONPILOT/Tender/SplashBidNoticeAbstractUI.aspx?menuIndex=3&amp;refID=7041261&amp;Result=3","7041261")</f>
        <v>0</v>
      </c>
      <c r="B3660" t="s">
        <v>1121</v>
      </c>
      <c r="C3660" t="s">
        <v>6171</v>
      </c>
      <c r="D3660" t="s">
        <v>13038</v>
      </c>
      <c r="E3660" t="s">
        <v>16372</v>
      </c>
      <c r="F3660" t="s">
        <v>22436</v>
      </c>
      <c r="G3660" t="s">
        <v>22443</v>
      </c>
      <c r="H3660" t="s">
        <v>22452</v>
      </c>
      <c r="I3660" t="s">
        <v>22475</v>
      </c>
      <c r="J3660" t="s">
        <v>25059</v>
      </c>
      <c r="K3660" t="s">
        <v>29371</v>
      </c>
      <c r="M3660" t="s">
        <v>30759</v>
      </c>
      <c r="N3660" t="s">
        <v>32524</v>
      </c>
      <c r="O3660" t="s">
        <v>32525</v>
      </c>
      <c r="P3660">
        <v>0</v>
      </c>
      <c r="Q3660">
        <v>0</v>
      </c>
      <c r="R3660" t="s">
        <v>32530</v>
      </c>
      <c r="S3660" t="s">
        <v>32568</v>
      </c>
      <c r="T3660" t="s">
        <v>33310</v>
      </c>
      <c r="U3660" t="s">
        <v>36745</v>
      </c>
      <c r="W3660" t="s">
        <v>30759</v>
      </c>
      <c r="X3660" t="s">
        <v>32531</v>
      </c>
    </row>
    <row r="3661" spans="1:24">
      <c r="A3661">
        <f>HYPERLINK("https://www.philgeps.gov.ph/GEPSNONPILOT/Tender/SplashBidNoticeAbstractUI.aspx?menuIndex=3&amp;refID=7041259&amp;Result=3","7041259")</f>
        <v>0</v>
      </c>
      <c r="B3661" t="s">
        <v>1303</v>
      </c>
      <c r="C3661" t="s">
        <v>6172</v>
      </c>
      <c r="D3661" t="s">
        <v>13021</v>
      </c>
      <c r="E3661" t="s">
        <v>16373</v>
      </c>
      <c r="F3661" t="s">
        <v>22436</v>
      </c>
      <c r="G3661" t="s">
        <v>22444</v>
      </c>
      <c r="H3661" t="s">
        <v>22452</v>
      </c>
      <c r="I3661" t="s">
        <v>22474</v>
      </c>
      <c r="J3661" t="s">
        <v>25060</v>
      </c>
      <c r="K3661" t="s">
        <v>29333</v>
      </c>
      <c r="M3661" t="s">
        <v>30957</v>
      </c>
      <c r="N3661" t="s">
        <v>32524</v>
      </c>
      <c r="O3661" t="s">
        <v>32525</v>
      </c>
      <c r="P3661">
        <v>0</v>
      </c>
      <c r="Q3661">
        <v>0</v>
      </c>
      <c r="R3661" t="s">
        <v>32530</v>
      </c>
      <c r="S3661" t="s">
        <v>32568</v>
      </c>
      <c r="T3661" t="s">
        <v>33167</v>
      </c>
      <c r="U3661" t="s">
        <v>36718</v>
      </c>
      <c r="V3661" t="s">
        <v>42784</v>
      </c>
      <c r="W3661" t="s">
        <v>30957</v>
      </c>
      <c r="X3661" t="s">
        <v>32531</v>
      </c>
    </row>
    <row r="3662" spans="1:24">
      <c r="A3662">
        <f>HYPERLINK("https://www.philgeps.gov.ph/GEPSNONPILOT/Tender/SplashBidNoticeAbstractUI.aspx?menuIndex=3&amp;refID=7041260&amp;Result=3","7041260")</f>
        <v>0</v>
      </c>
      <c r="B3662" t="s">
        <v>1317</v>
      </c>
      <c r="C3662" t="s">
        <v>6173</v>
      </c>
      <c r="D3662" t="s">
        <v>12995</v>
      </c>
      <c r="E3662" t="s">
        <v>16374</v>
      </c>
      <c r="F3662" t="s">
        <v>22436</v>
      </c>
      <c r="G3662" t="s">
        <v>22443</v>
      </c>
      <c r="H3662" t="s">
        <v>22452</v>
      </c>
      <c r="I3662" t="s">
        <v>22472</v>
      </c>
      <c r="J3662" t="s">
        <v>23434</v>
      </c>
      <c r="K3662" t="s">
        <v>29335</v>
      </c>
      <c r="M3662" t="s">
        <v>30971</v>
      </c>
      <c r="N3662" t="s">
        <v>32524</v>
      </c>
      <c r="O3662" t="s">
        <v>32525</v>
      </c>
      <c r="P3662">
        <v>0</v>
      </c>
      <c r="Q3662">
        <v>3</v>
      </c>
      <c r="R3662" t="s">
        <v>32530</v>
      </c>
      <c r="S3662" t="s">
        <v>32568</v>
      </c>
      <c r="T3662" t="s">
        <v>33270</v>
      </c>
      <c r="U3662" t="s">
        <v>36741</v>
      </c>
      <c r="W3662" t="s">
        <v>30971</v>
      </c>
      <c r="X3662" t="s">
        <v>32531</v>
      </c>
    </row>
    <row r="3663" spans="1:24">
      <c r="A3663">
        <f>HYPERLINK("https://www.philgeps.gov.ph/GEPSNONPILOT/Tender/SplashBidNoticeAbstractUI.aspx?menuIndex=3&amp;refID=7041275&amp;Result=3","7041275")</f>
        <v>0</v>
      </c>
      <c r="B3663" t="s">
        <v>1319</v>
      </c>
      <c r="C3663" t="s">
        <v>6174</v>
      </c>
      <c r="D3663" t="s">
        <v>12998</v>
      </c>
      <c r="E3663" t="s">
        <v>16375</v>
      </c>
      <c r="F3663" t="s">
        <v>22436</v>
      </c>
      <c r="G3663" t="s">
        <v>22444</v>
      </c>
      <c r="H3663" t="s">
        <v>22452</v>
      </c>
      <c r="I3663" t="s">
        <v>6421</v>
      </c>
      <c r="J3663" t="s">
        <v>25061</v>
      </c>
      <c r="K3663" t="s">
        <v>29336</v>
      </c>
      <c r="M3663" t="s">
        <v>30973</v>
      </c>
      <c r="N3663" t="s">
        <v>32524</v>
      </c>
      <c r="O3663" t="s">
        <v>32525</v>
      </c>
      <c r="P3663">
        <v>0</v>
      </c>
      <c r="Q3663">
        <v>1</v>
      </c>
      <c r="R3663" t="s">
        <v>32530</v>
      </c>
      <c r="S3663" t="s">
        <v>32568</v>
      </c>
      <c r="T3663" t="s">
        <v>33154</v>
      </c>
      <c r="U3663" t="s">
        <v>36746</v>
      </c>
      <c r="W3663" t="s">
        <v>30973</v>
      </c>
      <c r="X3663" t="s">
        <v>32531</v>
      </c>
    </row>
    <row r="3664" spans="1:24">
      <c r="A3664">
        <f>HYPERLINK("https://www.philgeps.gov.ph/GEPSNONPILOT/Tender/SplashBidNoticeAbstractUI.aspx?menuIndex=3&amp;refID=7041282&amp;Result=3","7041282")</f>
        <v>0</v>
      </c>
      <c r="B3664" t="s">
        <v>1314</v>
      </c>
      <c r="C3664" t="s">
        <v>6175</v>
      </c>
      <c r="D3664" t="s">
        <v>13011</v>
      </c>
      <c r="E3664" t="s">
        <v>16376</v>
      </c>
      <c r="F3664" t="s">
        <v>22436</v>
      </c>
      <c r="G3664" t="s">
        <v>22443</v>
      </c>
      <c r="H3664" t="s">
        <v>22452</v>
      </c>
      <c r="I3664" t="s">
        <v>22463</v>
      </c>
      <c r="J3664" t="s">
        <v>25062</v>
      </c>
      <c r="K3664" t="s">
        <v>29336</v>
      </c>
      <c r="M3664" t="s">
        <v>30968</v>
      </c>
      <c r="N3664" t="s">
        <v>32524</v>
      </c>
      <c r="O3664" t="s">
        <v>32525</v>
      </c>
      <c r="P3664">
        <v>0</v>
      </c>
      <c r="Q3664">
        <v>0</v>
      </c>
      <c r="R3664" t="s">
        <v>32530</v>
      </c>
      <c r="S3664" t="s">
        <v>32568</v>
      </c>
      <c r="T3664" t="s">
        <v>33167</v>
      </c>
      <c r="U3664" t="s">
        <v>36747</v>
      </c>
      <c r="W3664" t="s">
        <v>30968</v>
      </c>
      <c r="X3664" t="s">
        <v>32531</v>
      </c>
    </row>
    <row r="3665" spans="1:24">
      <c r="A3665">
        <f>HYPERLINK("https://www.philgeps.gov.ph/GEPSNONPILOT/Tender/SplashBidNoticeAbstractUI.aspx?menuIndex=3&amp;refID=7041270&amp;Result=3","7041270")</f>
        <v>0</v>
      </c>
      <c r="B3665" t="s">
        <v>1317</v>
      </c>
      <c r="C3665" t="s">
        <v>6176</v>
      </c>
      <c r="D3665" t="s">
        <v>12995</v>
      </c>
      <c r="E3665" t="s">
        <v>16377</v>
      </c>
      <c r="F3665" t="s">
        <v>22436</v>
      </c>
      <c r="G3665" t="s">
        <v>22443</v>
      </c>
      <c r="H3665" t="s">
        <v>22452</v>
      </c>
      <c r="I3665" t="s">
        <v>22463</v>
      </c>
      <c r="J3665" t="s">
        <v>25063</v>
      </c>
      <c r="K3665" t="s">
        <v>29335</v>
      </c>
      <c r="M3665" t="s">
        <v>30971</v>
      </c>
      <c r="N3665" t="s">
        <v>32524</v>
      </c>
      <c r="O3665" t="s">
        <v>32525</v>
      </c>
      <c r="P3665">
        <v>0</v>
      </c>
      <c r="Q3665">
        <v>3</v>
      </c>
      <c r="R3665" t="s">
        <v>32530</v>
      </c>
      <c r="S3665" t="s">
        <v>32568</v>
      </c>
      <c r="T3665" t="s">
        <v>33270</v>
      </c>
      <c r="U3665" t="s">
        <v>36741</v>
      </c>
      <c r="W3665" t="s">
        <v>30971</v>
      </c>
      <c r="X3665" t="s">
        <v>32531</v>
      </c>
    </row>
    <row r="3666" spans="1:24">
      <c r="A3666">
        <f>HYPERLINK("https://www.philgeps.gov.ph/GEPSNONPILOT/Tender/SplashBidNoticeAbstractUI.aspx?menuIndex=3&amp;refID=7041279&amp;Result=3","7041279")</f>
        <v>0</v>
      </c>
      <c r="B3666" t="s">
        <v>1320</v>
      </c>
      <c r="C3666" t="s">
        <v>6177</v>
      </c>
      <c r="D3666" t="s">
        <v>13025</v>
      </c>
      <c r="E3666" t="s">
        <v>16378</v>
      </c>
      <c r="F3666" t="s">
        <v>22436</v>
      </c>
      <c r="G3666" t="s">
        <v>22444</v>
      </c>
      <c r="H3666" t="s">
        <v>22454</v>
      </c>
      <c r="I3666" t="s">
        <v>7738</v>
      </c>
      <c r="J3666" t="s">
        <v>22970</v>
      </c>
      <c r="K3666" t="s">
        <v>29334</v>
      </c>
      <c r="M3666" t="s">
        <v>30974</v>
      </c>
      <c r="N3666" t="s">
        <v>32524</v>
      </c>
      <c r="O3666" t="s">
        <v>32525</v>
      </c>
      <c r="P3666">
        <v>0</v>
      </c>
      <c r="Q3666">
        <v>0</v>
      </c>
      <c r="R3666" t="s">
        <v>32530</v>
      </c>
      <c r="S3666" t="s">
        <v>32568</v>
      </c>
      <c r="T3666" t="s">
        <v>33423</v>
      </c>
      <c r="U3666" t="s">
        <v>36748</v>
      </c>
      <c r="V3666" t="s">
        <v>42790</v>
      </c>
      <c r="W3666" t="s">
        <v>30974</v>
      </c>
      <c r="X3666" t="s">
        <v>32531</v>
      </c>
    </row>
    <row r="3667" spans="1:24">
      <c r="A3667">
        <f>HYPERLINK("https://www.philgeps.gov.ph/GEPSNONPILOT/Tender/SplashBidNoticeAbstractUI.aspx?menuIndex=3&amp;refID=7041247&amp;Result=3","7041247")</f>
        <v>0</v>
      </c>
      <c r="B3667" t="s">
        <v>765</v>
      </c>
      <c r="C3667" t="s">
        <v>6178</v>
      </c>
      <c r="D3667" t="s">
        <v>13034</v>
      </c>
      <c r="E3667" t="s">
        <v>16379</v>
      </c>
      <c r="F3667" t="s">
        <v>22436</v>
      </c>
      <c r="G3667" t="s">
        <v>22444</v>
      </c>
      <c r="H3667" t="s">
        <v>22452</v>
      </c>
      <c r="I3667" t="s">
        <v>3529</v>
      </c>
      <c r="J3667" t="s">
        <v>25064</v>
      </c>
      <c r="K3667" t="s">
        <v>29337</v>
      </c>
      <c r="M3667" t="s">
        <v>30366</v>
      </c>
      <c r="N3667" t="s">
        <v>32524</v>
      </c>
      <c r="O3667" t="s">
        <v>32525</v>
      </c>
      <c r="P3667">
        <v>0</v>
      </c>
      <c r="Q3667">
        <v>0</v>
      </c>
      <c r="R3667" t="s">
        <v>32530</v>
      </c>
      <c r="S3667" t="s">
        <v>32568</v>
      </c>
      <c r="T3667" t="s">
        <v>33407</v>
      </c>
      <c r="U3667" t="s">
        <v>36749</v>
      </c>
      <c r="V3667" t="s">
        <v>42788</v>
      </c>
      <c r="W3667" t="s">
        <v>30366</v>
      </c>
      <c r="X3667" t="s">
        <v>32531</v>
      </c>
    </row>
    <row r="3668" spans="1:24">
      <c r="A3668">
        <f>HYPERLINK("https://www.philgeps.gov.ph/GEPSNONPILOT/Tender/SplashBidNoticeAbstractUI.aspx?menuIndex=3&amp;refID=7041269&amp;Result=3","7041269")</f>
        <v>0</v>
      </c>
      <c r="B3668" t="s">
        <v>528</v>
      </c>
      <c r="C3668" t="s">
        <v>6179</v>
      </c>
      <c r="D3668" t="s">
        <v>13041</v>
      </c>
      <c r="E3668" t="s">
        <v>16380</v>
      </c>
      <c r="F3668" t="s">
        <v>22436</v>
      </c>
      <c r="G3668" t="s">
        <v>22443</v>
      </c>
      <c r="H3668" t="s">
        <v>22452</v>
      </c>
      <c r="I3668" t="s">
        <v>3358</v>
      </c>
      <c r="J3668" t="s">
        <v>25065</v>
      </c>
      <c r="K3668" t="s">
        <v>29330</v>
      </c>
      <c r="M3668" t="s">
        <v>30975</v>
      </c>
      <c r="N3668" t="s">
        <v>32524</v>
      </c>
      <c r="O3668" t="s">
        <v>32525</v>
      </c>
      <c r="P3668">
        <v>0</v>
      </c>
      <c r="Q3668">
        <v>0</v>
      </c>
      <c r="R3668" t="s">
        <v>32530</v>
      </c>
      <c r="S3668" t="s">
        <v>32568</v>
      </c>
      <c r="T3668" t="s">
        <v>33292</v>
      </c>
      <c r="U3668" t="s">
        <v>36750</v>
      </c>
      <c r="W3668" t="s">
        <v>43714</v>
      </c>
      <c r="X3668" t="s">
        <v>32531</v>
      </c>
    </row>
    <row r="3669" spans="1:24">
      <c r="A3669">
        <f>HYPERLINK("https://www.philgeps.gov.ph/GEPSNONPILOT/Tender/SplashBidNoticeAbstractUI.aspx?menuIndex=3&amp;refID=7041264&amp;Result=3","7041264")</f>
        <v>0</v>
      </c>
      <c r="B3669" t="s">
        <v>732</v>
      </c>
      <c r="C3669" t="s">
        <v>6180</v>
      </c>
      <c r="D3669" t="s">
        <v>13045</v>
      </c>
      <c r="E3669" t="s">
        <v>16381</v>
      </c>
      <c r="F3669" t="s">
        <v>22436</v>
      </c>
      <c r="G3669" t="s">
        <v>22444</v>
      </c>
      <c r="H3669" t="s">
        <v>22452</v>
      </c>
      <c r="I3669" t="s">
        <v>2993</v>
      </c>
      <c r="J3669" t="s">
        <v>25066</v>
      </c>
      <c r="K3669" t="s">
        <v>29335</v>
      </c>
      <c r="M3669" t="s">
        <v>30330</v>
      </c>
      <c r="N3669" t="s">
        <v>32524</v>
      </c>
      <c r="O3669" t="s">
        <v>32525</v>
      </c>
      <c r="P3669">
        <v>0</v>
      </c>
      <c r="Q3669">
        <v>2</v>
      </c>
      <c r="R3669" t="s">
        <v>32530</v>
      </c>
      <c r="S3669" t="s">
        <v>32568</v>
      </c>
      <c r="T3669" t="s">
        <v>33405</v>
      </c>
      <c r="U3669" t="s">
        <v>36734</v>
      </c>
      <c r="V3669" t="s">
        <v>42787</v>
      </c>
      <c r="W3669" t="s">
        <v>30330</v>
      </c>
      <c r="X3669" t="s">
        <v>32531</v>
      </c>
    </row>
    <row r="3670" spans="1:24">
      <c r="A3670">
        <f>HYPERLINK("https://www.philgeps.gov.ph/GEPSNONPILOT/Tender/SplashBidNoticeAbstractUI.aspx?menuIndex=3&amp;refID=7041280&amp;Result=3","7041280")</f>
        <v>0</v>
      </c>
      <c r="B3670" t="s">
        <v>512</v>
      </c>
      <c r="C3670" t="s">
        <v>6181</v>
      </c>
      <c r="D3670" t="s">
        <v>12995</v>
      </c>
      <c r="E3670" t="s">
        <v>16382</v>
      </c>
      <c r="F3670" t="s">
        <v>22436</v>
      </c>
      <c r="G3670" t="s">
        <v>22443</v>
      </c>
      <c r="H3670" t="s">
        <v>22452</v>
      </c>
      <c r="I3670" t="s">
        <v>22506</v>
      </c>
      <c r="J3670" t="s">
        <v>25067</v>
      </c>
      <c r="K3670" t="s">
        <v>29336</v>
      </c>
      <c r="M3670" t="s">
        <v>30096</v>
      </c>
      <c r="N3670" t="s">
        <v>32524</v>
      </c>
      <c r="O3670" t="s">
        <v>32525</v>
      </c>
      <c r="P3670">
        <v>0</v>
      </c>
      <c r="Q3670">
        <v>4</v>
      </c>
      <c r="R3670" t="s">
        <v>32530</v>
      </c>
      <c r="S3670" t="s">
        <v>32568</v>
      </c>
      <c r="T3670" t="s">
        <v>33167</v>
      </c>
      <c r="U3670" t="s">
        <v>34661</v>
      </c>
      <c r="W3670" t="s">
        <v>30096</v>
      </c>
      <c r="X3670" t="s">
        <v>32531</v>
      </c>
    </row>
    <row r="3671" spans="1:24">
      <c r="A3671">
        <f>HYPERLINK("https://www.philgeps.gov.ph/GEPSNONPILOT/Tender/SplashBidNoticeAbstractUI.aspx?menuIndex=3&amp;refID=7041274&amp;Result=3","7041274")</f>
        <v>0</v>
      </c>
      <c r="B3671" t="s">
        <v>756</v>
      </c>
      <c r="C3671" t="s">
        <v>6182</v>
      </c>
      <c r="D3671" t="s">
        <v>12996</v>
      </c>
      <c r="E3671" t="s">
        <v>16383</v>
      </c>
      <c r="F3671" t="s">
        <v>22436</v>
      </c>
      <c r="G3671" t="s">
        <v>22447</v>
      </c>
      <c r="H3671" t="s">
        <v>22452</v>
      </c>
      <c r="I3671" t="s">
        <v>22540</v>
      </c>
      <c r="J3671" t="s">
        <v>22824</v>
      </c>
      <c r="K3671" t="s">
        <v>29341</v>
      </c>
      <c r="M3671" t="s">
        <v>30357</v>
      </c>
      <c r="N3671" t="s">
        <v>32524</v>
      </c>
      <c r="O3671" t="s">
        <v>32525</v>
      </c>
      <c r="P3671">
        <v>0</v>
      </c>
      <c r="Q3671">
        <v>1</v>
      </c>
      <c r="R3671" t="s">
        <v>32530</v>
      </c>
      <c r="S3671" t="s">
        <v>32568</v>
      </c>
      <c r="T3671" t="s">
        <v>33310</v>
      </c>
      <c r="U3671" t="s">
        <v>36751</v>
      </c>
      <c r="W3671" t="s">
        <v>30357</v>
      </c>
      <c r="X3671" t="s">
        <v>32531</v>
      </c>
    </row>
    <row r="3672" spans="1:24">
      <c r="A3672">
        <f>HYPERLINK("https://www.philgeps.gov.ph/GEPSNONPILOT/Tender/SplashBidNoticeAbstractUI.aspx?menuIndex=3&amp;refID=7041258&amp;Result=3","7041258")</f>
        <v>0</v>
      </c>
      <c r="B3672" t="s">
        <v>1321</v>
      </c>
      <c r="C3672" t="s">
        <v>6183</v>
      </c>
      <c r="D3672" t="s">
        <v>12988</v>
      </c>
      <c r="E3672" t="s">
        <v>16384</v>
      </c>
      <c r="F3672" t="s">
        <v>22442</v>
      </c>
      <c r="G3672" t="s">
        <v>22443</v>
      </c>
      <c r="H3672" t="s">
        <v>22452</v>
      </c>
      <c r="I3672" t="s">
        <v>22476</v>
      </c>
      <c r="J3672" t="s">
        <v>22654</v>
      </c>
      <c r="K3672" t="s">
        <v>29336</v>
      </c>
      <c r="M3672" t="s">
        <v>30976</v>
      </c>
      <c r="N3672" t="s">
        <v>32524</v>
      </c>
      <c r="O3672" t="s">
        <v>32525</v>
      </c>
      <c r="P3672">
        <v>0</v>
      </c>
      <c r="Q3672">
        <v>14</v>
      </c>
      <c r="R3672" t="s">
        <v>32530</v>
      </c>
      <c r="S3672" t="s">
        <v>32568</v>
      </c>
      <c r="T3672" t="s">
        <v>33342</v>
      </c>
      <c r="U3672" t="s">
        <v>36752</v>
      </c>
      <c r="V3672" t="s">
        <v>42791</v>
      </c>
      <c r="W3672" t="s">
        <v>30976</v>
      </c>
      <c r="X3672" t="s">
        <v>32531</v>
      </c>
    </row>
    <row r="3673" spans="1:24">
      <c r="A3673">
        <f>HYPERLINK("https://www.philgeps.gov.ph/GEPSNONPILOT/Tender/SplashBidNoticeAbstractUI.aspx?menuIndex=3&amp;refID=7041288&amp;Result=3","7041288")</f>
        <v>0</v>
      </c>
      <c r="B3673" t="s">
        <v>1308</v>
      </c>
      <c r="C3673" t="s">
        <v>6184</v>
      </c>
      <c r="D3673" t="s">
        <v>13010</v>
      </c>
      <c r="E3673" t="s">
        <v>16354</v>
      </c>
      <c r="F3673" t="s">
        <v>22436</v>
      </c>
      <c r="G3673" t="s">
        <v>22444</v>
      </c>
      <c r="H3673" t="s">
        <v>22454</v>
      </c>
      <c r="I3673" t="s">
        <v>7738</v>
      </c>
      <c r="J3673" t="s">
        <v>22788</v>
      </c>
      <c r="K3673" t="s">
        <v>29335</v>
      </c>
      <c r="M3673" t="s">
        <v>30962</v>
      </c>
      <c r="N3673" t="s">
        <v>32524</v>
      </c>
      <c r="O3673" t="s">
        <v>32525</v>
      </c>
      <c r="P3673">
        <v>0</v>
      </c>
      <c r="Q3673">
        <v>0</v>
      </c>
      <c r="R3673" t="s">
        <v>32530</v>
      </c>
      <c r="S3673" t="s">
        <v>32568</v>
      </c>
      <c r="T3673" t="s">
        <v>33190</v>
      </c>
      <c r="U3673" t="s">
        <v>36753</v>
      </c>
      <c r="V3673" t="s">
        <v>42792</v>
      </c>
      <c r="W3673" t="s">
        <v>30962</v>
      </c>
      <c r="X3673" t="s">
        <v>32531</v>
      </c>
    </row>
    <row r="3674" spans="1:24">
      <c r="A3674">
        <f>HYPERLINK("https://www.philgeps.gov.ph/GEPSNONPILOT/Tender/SplashBidNoticeAbstractUI.aspx?menuIndex=3&amp;refID=7041291&amp;Result=3","7041291")</f>
        <v>0</v>
      </c>
      <c r="B3674" t="s">
        <v>1322</v>
      </c>
      <c r="C3674" t="s">
        <v>6185</v>
      </c>
      <c r="D3674" t="s">
        <v>13007</v>
      </c>
      <c r="E3674" t="s">
        <v>16385</v>
      </c>
      <c r="F3674" t="s">
        <v>22436</v>
      </c>
      <c r="G3674" t="s">
        <v>22444</v>
      </c>
      <c r="H3674" t="s">
        <v>22452</v>
      </c>
      <c r="I3674" t="s">
        <v>3827</v>
      </c>
      <c r="J3674" t="s">
        <v>22960</v>
      </c>
      <c r="K3674" t="s">
        <v>29335</v>
      </c>
      <c r="M3674" t="s">
        <v>30977</v>
      </c>
      <c r="N3674" t="s">
        <v>32524</v>
      </c>
      <c r="O3674" t="s">
        <v>32525</v>
      </c>
      <c r="P3674">
        <v>0</v>
      </c>
      <c r="Q3674">
        <v>8</v>
      </c>
      <c r="R3674" t="s">
        <v>32530</v>
      </c>
      <c r="S3674" t="s">
        <v>32568</v>
      </c>
      <c r="T3674" t="s">
        <v>33354</v>
      </c>
      <c r="U3674" t="s">
        <v>36754</v>
      </c>
      <c r="W3674" t="s">
        <v>30977</v>
      </c>
      <c r="X3674" t="s">
        <v>32531</v>
      </c>
    </row>
    <row r="3675" spans="1:24">
      <c r="A3675">
        <f>HYPERLINK("https://www.philgeps.gov.ph/GEPSNONPILOT/Tender/SplashBidNoticeAbstractUI.aspx?menuIndex=3&amp;refID=7041283&amp;Result=3","7041283")</f>
        <v>0</v>
      </c>
      <c r="B3675" t="s">
        <v>765</v>
      </c>
      <c r="C3675" t="s">
        <v>6186</v>
      </c>
      <c r="D3675" t="s">
        <v>13034</v>
      </c>
      <c r="E3675" t="s">
        <v>16386</v>
      </c>
      <c r="F3675" t="s">
        <v>22436</v>
      </c>
      <c r="G3675" t="s">
        <v>22444</v>
      </c>
      <c r="H3675" t="s">
        <v>22452</v>
      </c>
      <c r="I3675" t="s">
        <v>3529</v>
      </c>
      <c r="J3675" t="s">
        <v>25068</v>
      </c>
      <c r="K3675" t="s">
        <v>29337</v>
      </c>
      <c r="M3675" t="s">
        <v>30366</v>
      </c>
      <c r="N3675" t="s">
        <v>32524</v>
      </c>
      <c r="O3675" t="s">
        <v>32525</v>
      </c>
      <c r="P3675">
        <v>0</v>
      </c>
      <c r="Q3675">
        <v>0</v>
      </c>
      <c r="R3675" t="s">
        <v>32530</v>
      </c>
      <c r="S3675" t="s">
        <v>32568</v>
      </c>
      <c r="T3675" t="s">
        <v>33407</v>
      </c>
      <c r="U3675" t="s">
        <v>36755</v>
      </c>
      <c r="V3675" t="s">
        <v>42788</v>
      </c>
      <c r="W3675" t="s">
        <v>30366</v>
      </c>
      <c r="X3675" t="s">
        <v>32531</v>
      </c>
    </row>
    <row r="3676" spans="1:24">
      <c r="A3676">
        <f>HYPERLINK("https://www.philgeps.gov.ph/GEPSNONPILOT/Tender/SplashBidNoticeAbstractUI.aspx?menuIndex=3&amp;refID=7041290&amp;Result=3","7041290")</f>
        <v>0</v>
      </c>
      <c r="B3676" t="s">
        <v>1317</v>
      </c>
      <c r="C3676" t="s">
        <v>6187</v>
      </c>
      <c r="D3676" t="s">
        <v>12995</v>
      </c>
      <c r="E3676" t="s">
        <v>16387</v>
      </c>
      <c r="F3676" t="s">
        <v>22436</v>
      </c>
      <c r="G3676" t="s">
        <v>22443</v>
      </c>
      <c r="H3676" t="s">
        <v>22452</v>
      </c>
      <c r="I3676" t="s">
        <v>22463</v>
      </c>
      <c r="J3676" t="s">
        <v>24963</v>
      </c>
      <c r="K3676" t="s">
        <v>29335</v>
      </c>
      <c r="M3676" t="s">
        <v>30971</v>
      </c>
      <c r="N3676" t="s">
        <v>32524</v>
      </c>
      <c r="O3676" t="s">
        <v>32525</v>
      </c>
      <c r="P3676">
        <v>0</v>
      </c>
      <c r="Q3676">
        <v>0</v>
      </c>
      <c r="R3676" t="s">
        <v>32530</v>
      </c>
      <c r="S3676" t="s">
        <v>32568</v>
      </c>
      <c r="T3676" t="s">
        <v>33270</v>
      </c>
      <c r="U3676" t="s">
        <v>36741</v>
      </c>
      <c r="W3676" t="s">
        <v>30971</v>
      </c>
      <c r="X3676" t="s">
        <v>32531</v>
      </c>
    </row>
    <row r="3677" spans="1:24">
      <c r="A3677">
        <f>HYPERLINK("https://www.philgeps.gov.ph/GEPSNONPILOT/Tender/SplashBidNoticeAbstractUI.aspx?menuIndex=3&amp;refID=7041284&amp;Result=3","7041284")</f>
        <v>0</v>
      </c>
      <c r="B3677" t="s">
        <v>1323</v>
      </c>
      <c r="C3677" t="s">
        <v>6188</v>
      </c>
      <c r="E3677" t="s">
        <v>16388</v>
      </c>
      <c r="F3677" t="s">
        <v>22436</v>
      </c>
      <c r="G3677" t="s">
        <v>22444</v>
      </c>
      <c r="H3677" t="s">
        <v>22453</v>
      </c>
      <c r="I3677" t="s">
        <v>22457</v>
      </c>
      <c r="J3677" t="s">
        <v>25069</v>
      </c>
      <c r="K3677" t="s">
        <v>29353</v>
      </c>
      <c r="M3677" t="s">
        <v>30978</v>
      </c>
      <c r="N3677" t="s">
        <v>32524</v>
      </c>
      <c r="O3677" t="s">
        <v>32525</v>
      </c>
      <c r="P3677">
        <v>0</v>
      </c>
      <c r="Q3677">
        <v>1</v>
      </c>
      <c r="R3677" t="s">
        <v>32530</v>
      </c>
      <c r="S3677" t="s">
        <v>32568</v>
      </c>
      <c r="T3677" t="s">
        <v>33424</v>
      </c>
      <c r="U3677" t="s">
        <v>36756</v>
      </c>
      <c r="W3677" t="s">
        <v>30978</v>
      </c>
      <c r="X3677" t="s">
        <v>32531</v>
      </c>
    </row>
    <row r="3678" spans="1:24">
      <c r="A3678">
        <f>HYPERLINK("https://www.philgeps.gov.ph/GEPSNONPILOT/Tender/SplashBidNoticeAbstractUI.aspx?menuIndex=3&amp;refID=7041292&amp;Result=3","7041292")</f>
        <v>0</v>
      </c>
      <c r="B3678" t="s">
        <v>732</v>
      </c>
      <c r="C3678" t="s">
        <v>6189</v>
      </c>
      <c r="D3678" t="s">
        <v>13045</v>
      </c>
      <c r="E3678" t="s">
        <v>16389</v>
      </c>
      <c r="F3678" t="s">
        <v>22436</v>
      </c>
      <c r="G3678" t="s">
        <v>22444</v>
      </c>
      <c r="H3678" t="s">
        <v>22452</v>
      </c>
      <c r="I3678" t="s">
        <v>3027</v>
      </c>
      <c r="J3678" t="s">
        <v>24887</v>
      </c>
      <c r="K3678" t="s">
        <v>29335</v>
      </c>
      <c r="M3678" t="s">
        <v>30330</v>
      </c>
      <c r="N3678" t="s">
        <v>32524</v>
      </c>
      <c r="O3678" t="s">
        <v>32525</v>
      </c>
      <c r="P3678">
        <v>0</v>
      </c>
      <c r="Q3678">
        <v>1</v>
      </c>
      <c r="R3678" t="s">
        <v>32530</v>
      </c>
      <c r="S3678" t="s">
        <v>32568</v>
      </c>
      <c r="T3678" t="s">
        <v>33405</v>
      </c>
      <c r="U3678" t="s">
        <v>36734</v>
      </c>
      <c r="W3678" t="s">
        <v>30330</v>
      </c>
      <c r="X3678" t="s">
        <v>32531</v>
      </c>
    </row>
    <row r="3679" spans="1:24">
      <c r="A3679">
        <f>HYPERLINK("https://www.philgeps.gov.ph/GEPSNONPILOT/Tender/SplashBidNoticeAbstractUI.aspx?menuIndex=3&amp;refID=7041311&amp;Result=3","7041311")</f>
        <v>0</v>
      </c>
      <c r="B3679" t="s">
        <v>732</v>
      </c>
      <c r="C3679" t="s">
        <v>6190</v>
      </c>
      <c r="D3679" t="s">
        <v>13045</v>
      </c>
      <c r="E3679" t="s">
        <v>16390</v>
      </c>
      <c r="F3679" t="s">
        <v>22436</v>
      </c>
      <c r="G3679" t="s">
        <v>22444</v>
      </c>
      <c r="H3679" t="s">
        <v>22452</v>
      </c>
      <c r="I3679" t="s">
        <v>3027</v>
      </c>
      <c r="J3679" t="s">
        <v>22779</v>
      </c>
      <c r="K3679" t="s">
        <v>29335</v>
      </c>
      <c r="M3679" t="s">
        <v>30330</v>
      </c>
      <c r="N3679" t="s">
        <v>32524</v>
      </c>
      <c r="O3679" t="s">
        <v>32525</v>
      </c>
      <c r="P3679">
        <v>0</v>
      </c>
      <c r="Q3679">
        <v>1</v>
      </c>
      <c r="R3679" t="s">
        <v>32530</v>
      </c>
      <c r="S3679" t="s">
        <v>32568</v>
      </c>
      <c r="T3679" t="s">
        <v>33405</v>
      </c>
      <c r="U3679" t="s">
        <v>36734</v>
      </c>
      <c r="W3679" t="s">
        <v>30330</v>
      </c>
      <c r="X3679" t="s">
        <v>32531</v>
      </c>
    </row>
    <row r="3680" spans="1:24">
      <c r="A3680">
        <f>HYPERLINK("https://www.philgeps.gov.ph/GEPSNONPILOT/Tender/SplashBidNoticeAbstractUI.aspx?menuIndex=3&amp;refID=7041298&amp;Result=3","7041298")</f>
        <v>0</v>
      </c>
      <c r="B3680" t="s">
        <v>1303</v>
      </c>
      <c r="C3680" t="s">
        <v>6191</v>
      </c>
      <c r="D3680" t="s">
        <v>13021</v>
      </c>
      <c r="E3680" t="s">
        <v>16391</v>
      </c>
      <c r="F3680" t="s">
        <v>22436</v>
      </c>
      <c r="G3680" t="s">
        <v>22444</v>
      </c>
      <c r="H3680" t="s">
        <v>22452</v>
      </c>
      <c r="I3680" t="s">
        <v>22479</v>
      </c>
      <c r="J3680" t="s">
        <v>22640</v>
      </c>
      <c r="K3680" t="s">
        <v>29333</v>
      </c>
      <c r="M3680" t="s">
        <v>30957</v>
      </c>
      <c r="N3680" t="s">
        <v>32524</v>
      </c>
      <c r="O3680" t="s">
        <v>32525</v>
      </c>
      <c r="P3680">
        <v>0</v>
      </c>
      <c r="Q3680">
        <v>0</v>
      </c>
      <c r="R3680" t="s">
        <v>32530</v>
      </c>
      <c r="S3680" t="s">
        <v>32568</v>
      </c>
      <c r="T3680" t="s">
        <v>33167</v>
      </c>
      <c r="U3680" t="s">
        <v>36718</v>
      </c>
      <c r="V3680" t="s">
        <v>42784</v>
      </c>
      <c r="W3680" t="s">
        <v>30957</v>
      </c>
      <c r="X3680" t="s">
        <v>32531</v>
      </c>
    </row>
    <row r="3681" spans="1:24">
      <c r="A3681">
        <f>HYPERLINK("https://www.philgeps.gov.ph/GEPSNONPILOT/Tender/SplashBidNoticeAbstractUI.aspx?menuIndex=3&amp;refID=7041301&amp;Result=3","7041301")</f>
        <v>0</v>
      </c>
      <c r="B3681" t="s">
        <v>1121</v>
      </c>
      <c r="C3681" t="s">
        <v>6192</v>
      </c>
      <c r="D3681" t="s">
        <v>13038</v>
      </c>
      <c r="E3681" t="s">
        <v>16392</v>
      </c>
      <c r="F3681" t="s">
        <v>22436</v>
      </c>
      <c r="G3681" t="s">
        <v>22443</v>
      </c>
      <c r="H3681" t="s">
        <v>22452</v>
      </c>
      <c r="I3681" t="s">
        <v>5194</v>
      </c>
      <c r="J3681" t="s">
        <v>22710</v>
      </c>
      <c r="K3681" t="s">
        <v>29335</v>
      </c>
      <c r="M3681" t="s">
        <v>30759</v>
      </c>
      <c r="N3681" t="s">
        <v>32524</v>
      </c>
      <c r="O3681" t="s">
        <v>32525</v>
      </c>
      <c r="P3681">
        <v>0</v>
      </c>
      <c r="Q3681">
        <v>4</v>
      </c>
      <c r="R3681" t="s">
        <v>32530</v>
      </c>
      <c r="S3681" t="s">
        <v>32568</v>
      </c>
      <c r="T3681" t="s">
        <v>33310</v>
      </c>
      <c r="U3681" t="s">
        <v>36757</v>
      </c>
      <c r="W3681" t="s">
        <v>30759</v>
      </c>
      <c r="X3681" t="s">
        <v>32531</v>
      </c>
    </row>
    <row r="3682" spans="1:24">
      <c r="A3682">
        <f>HYPERLINK("https://www.philgeps.gov.ph/GEPSNONPILOT/Tender/SplashBidNoticeAbstractUI.aspx?menuIndex=3&amp;refID=7041339&amp;Result=3","7041339")</f>
        <v>0</v>
      </c>
      <c r="B3682" t="s">
        <v>1270</v>
      </c>
      <c r="C3682" t="s">
        <v>6193</v>
      </c>
      <c r="D3682" t="s">
        <v>13035</v>
      </c>
      <c r="E3682" t="s">
        <v>16393</v>
      </c>
      <c r="F3682" t="s">
        <v>22436</v>
      </c>
      <c r="G3682" t="s">
        <v>22444</v>
      </c>
      <c r="H3682" t="s">
        <v>22452</v>
      </c>
      <c r="I3682" t="s">
        <v>22460</v>
      </c>
      <c r="J3682" t="s">
        <v>23630</v>
      </c>
      <c r="K3682" t="s">
        <v>29331</v>
      </c>
      <c r="M3682" t="s">
        <v>30923</v>
      </c>
      <c r="N3682" t="s">
        <v>32524</v>
      </c>
      <c r="O3682" t="s">
        <v>32525</v>
      </c>
      <c r="P3682">
        <v>0</v>
      </c>
      <c r="Q3682">
        <v>0</v>
      </c>
      <c r="R3682" t="s">
        <v>32530</v>
      </c>
      <c r="S3682" t="s">
        <v>32568</v>
      </c>
      <c r="T3682" t="s">
        <v>33293</v>
      </c>
      <c r="U3682" t="s">
        <v>36758</v>
      </c>
      <c r="W3682" t="s">
        <v>30923</v>
      </c>
      <c r="X3682" t="s">
        <v>32531</v>
      </c>
    </row>
    <row r="3683" spans="1:24">
      <c r="A3683">
        <f>HYPERLINK("https://www.philgeps.gov.ph/GEPSNONPILOT/Tender/SplashBidNoticeAbstractUI.aspx?menuIndex=3&amp;refID=7041295&amp;Result=3","7041295")</f>
        <v>0</v>
      </c>
      <c r="B3683" t="s">
        <v>269</v>
      </c>
      <c r="C3683" t="s">
        <v>6194</v>
      </c>
      <c r="D3683" t="s">
        <v>13004</v>
      </c>
      <c r="E3683" t="s">
        <v>16394</v>
      </c>
      <c r="F3683" t="s">
        <v>22436</v>
      </c>
      <c r="G3683" t="s">
        <v>22444</v>
      </c>
      <c r="H3683" t="s">
        <v>22452</v>
      </c>
      <c r="I3683" t="s">
        <v>22467</v>
      </c>
      <c r="J3683" t="s">
        <v>23854</v>
      </c>
      <c r="K3683" t="s">
        <v>29335</v>
      </c>
      <c r="M3683" t="s">
        <v>29843</v>
      </c>
      <c r="N3683" t="s">
        <v>32524</v>
      </c>
      <c r="O3683" t="s">
        <v>32525</v>
      </c>
      <c r="P3683">
        <v>0</v>
      </c>
      <c r="Q3683">
        <v>0</v>
      </c>
      <c r="R3683" t="s">
        <v>32530</v>
      </c>
      <c r="S3683" t="s">
        <v>32568</v>
      </c>
      <c r="T3683" t="s">
        <v>33161</v>
      </c>
      <c r="U3683" t="s">
        <v>36759</v>
      </c>
      <c r="V3683" t="s">
        <v>42793</v>
      </c>
      <c r="W3683" t="s">
        <v>29843</v>
      </c>
      <c r="X3683" t="s">
        <v>32531</v>
      </c>
    </row>
    <row r="3684" spans="1:24">
      <c r="A3684">
        <f>HYPERLINK("https://www.philgeps.gov.ph/GEPSNONPILOT/Tender/SplashBidNoticeAbstractUI.aspx?menuIndex=3&amp;refID=7041333&amp;Result=3","7041333")</f>
        <v>0</v>
      </c>
      <c r="B3684" t="s">
        <v>1324</v>
      </c>
      <c r="C3684" t="s">
        <v>6195</v>
      </c>
      <c r="D3684" t="s">
        <v>13010</v>
      </c>
      <c r="E3684" t="s">
        <v>13182</v>
      </c>
      <c r="F3684" t="s">
        <v>22436</v>
      </c>
      <c r="G3684" t="s">
        <v>22444</v>
      </c>
      <c r="H3684" t="s">
        <v>22452</v>
      </c>
      <c r="I3684" t="s">
        <v>22474</v>
      </c>
      <c r="J3684" t="s">
        <v>25070</v>
      </c>
      <c r="K3684" t="s">
        <v>29341</v>
      </c>
      <c r="M3684" t="s">
        <v>30979</v>
      </c>
      <c r="N3684" t="s">
        <v>32524</v>
      </c>
      <c r="O3684" t="s">
        <v>32525</v>
      </c>
      <c r="P3684">
        <v>0</v>
      </c>
      <c r="Q3684">
        <v>1</v>
      </c>
      <c r="R3684" t="s">
        <v>32530</v>
      </c>
      <c r="S3684" t="s">
        <v>32568</v>
      </c>
      <c r="T3684" t="s">
        <v>33184</v>
      </c>
      <c r="U3684" t="s">
        <v>36760</v>
      </c>
      <c r="W3684" t="s">
        <v>43715</v>
      </c>
      <c r="X3684" t="s">
        <v>32531</v>
      </c>
    </row>
    <row r="3685" spans="1:24">
      <c r="A3685">
        <f>HYPERLINK("https://www.philgeps.gov.ph/GEPSNONPILOT/Tender/SplashBidNoticeAbstractUI.aspx?menuIndex=3&amp;refID=7041306&amp;Result=3","7041306")</f>
        <v>0</v>
      </c>
      <c r="B3685" t="s">
        <v>1200</v>
      </c>
      <c r="C3685" t="s">
        <v>6196</v>
      </c>
      <c r="D3685" t="s">
        <v>13000</v>
      </c>
      <c r="E3685" t="s">
        <v>16395</v>
      </c>
      <c r="F3685" t="s">
        <v>22436</v>
      </c>
      <c r="G3685" t="s">
        <v>22443</v>
      </c>
      <c r="H3685" t="s">
        <v>22452</v>
      </c>
      <c r="I3685" t="s">
        <v>22485</v>
      </c>
      <c r="J3685" t="s">
        <v>23029</v>
      </c>
      <c r="K3685" t="s">
        <v>29341</v>
      </c>
      <c r="M3685" t="s">
        <v>30848</v>
      </c>
      <c r="N3685" t="s">
        <v>32524</v>
      </c>
      <c r="O3685" t="s">
        <v>32525</v>
      </c>
      <c r="P3685">
        <v>0</v>
      </c>
      <c r="Q3685">
        <v>5</v>
      </c>
      <c r="R3685" t="s">
        <v>32530</v>
      </c>
      <c r="S3685" t="s">
        <v>32568</v>
      </c>
      <c r="T3685" t="s">
        <v>33406</v>
      </c>
      <c r="U3685" t="s">
        <v>36761</v>
      </c>
      <c r="V3685" t="s">
        <v>42794</v>
      </c>
      <c r="W3685" t="s">
        <v>30848</v>
      </c>
      <c r="X3685" t="s">
        <v>32531</v>
      </c>
    </row>
    <row r="3686" spans="1:24">
      <c r="A3686">
        <f>HYPERLINK("https://www.philgeps.gov.ph/GEPSNONPILOT/Tender/SplashBidNoticeAbstractUI.aspx?menuIndex=3&amp;refID=7041330&amp;Result=3","7041330")</f>
        <v>0</v>
      </c>
      <c r="B3686" t="s">
        <v>254</v>
      </c>
      <c r="C3686" t="s">
        <v>6197</v>
      </c>
      <c r="D3686" t="s">
        <v>13048</v>
      </c>
      <c r="E3686" t="s">
        <v>16396</v>
      </c>
      <c r="F3686" t="s">
        <v>22436</v>
      </c>
      <c r="G3686" t="s">
        <v>22444</v>
      </c>
      <c r="H3686" t="s">
        <v>22454</v>
      </c>
      <c r="I3686" t="s">
        <v>7738</v>
      </c>
      <c r="J3686" t="s">
        <v>25071</v>
      </c>
      <c r="K3686" t="s">
        <v>29448</v>
      </c>
      <c r="M3686" t="s">
        <v>29828</v>
      </c>
      <c r="N3686" t="s">
        <v>32524</v>
      </c>
      <c r="O3686" t="s">
        <v>32525</v>
      </c>
      <c r="P3686">
        <v>0</v>
      </c>
      <c r="Q3686">
        <v>1</v>
      </c>
      <c r="R3686" t="s">
        <v>32530</v>
      </c>
      <c r="S3686" t="s">
        <v>32568</v>
      </c>
      <c r="T3686" t="s">
        <v>33212</v>
      </c>
      <c r="U3686" t="s">
        <v>36762</v>
      </c>
      <c r="W3686" t="s">
        <v>29828</v>
      </c>
      <c r="X3686" t="s">
        <v>32531</v>
      </c>
    </row>
    <row r="3687" spans="1:24">
      <c r="A3687">
        <f>HYPERLINK("https://www.philgeps.gov.ph/GEPSNONPILOT/Tender/SplashBidNoticeAbstractUI.aspx?menuIndex=3&amp;refID=7041303&amp;Result=3","7041303")</f>
        <v>0</v>
      </c>
      <c r="B3687" t="s">
        <v>1325</v>
      </c>
      <c r="C3687" t="s">
        <v>6198</v>
      </c>
      <c r="E3687" t="s">
        <v>16397</v>
      </c>
      <c r="F3687" t="s">
        <v>22436</v>
      </c>
      <c r="G3687" t="s">
        <v>22446</v>
      </c>
      <c r="H3687" t="s">
        <v>22452</v>
      </c>
      <c r="I3687" t="s">
        <v>22463</v>
      </c>
      <c r="J3687" t="s">
        <v>25072</v>
      </c>
      <c r="K3687" t="s">
        <v>29338</v>
      </c>
      <c r="M3687" t="s">
        <v>30980</v>
      </c>
      <c r="N3687" t="s">
        <v>32524</v>
      </c>
      <c r="O3687" t="s">
        <v>32525</v>
      </c>
      <c r="P3687">
        <v>0</v>
      </c>
      <c r="Q3687">
        <v>13</v>
      </c>
      <c r="R3687" t="s">
        <v>32530</v>
      </c>
      <c r="S3687" t="s">
        <v>32568</v>
      </c>
      <c r="T3687" t="s">
        <v>33304</v>
      </c>
      <c r="U3687" t="s">
        <v>36763</v>
      </c>
      <c r="W3687" t="s">
        <v>30980</v>
      </c>
      <c r="X3687" t="s">
        <v>32531</v>
      </c>
    </row>
    <row r="3688" spans="1:24">
      <c r="A3688">
        <f>HYPERLINK("https://www.philgeps.gov.ph/GEPSNONPILOT/Tender/SplashBidNoticeAbstractUI.aspx?menuIndex=3&amp;refID=7041329&amp;Result=3","7041329")</f>
        <v>0</v>
      </c>
      <c r="B3688" t="s">
        <v>1326</v>
      </c>
      <c r="C3688" t="s">
        <v>6199</v>
      </c>
      <c r="D3688" t="s">
        <v>12994</v>
      </c>
      <c r="E3688" t="s">
        <v>16398</v>
      </c>
      <c r="F3688" t="s">
        <v>22436</v>
      </c>
      <c r="G3688" t="s">
        <v>22444</v>
      </c>
      <c r="H3688" t="s">
        <v>22452</v>
      </c>
      <c r="I3688" t="s">
        <v>22465</v>
      </c>
      <c r="J3688" t="s">
        <v>25073</v>
      </c>
      <c r="K3688" t="s">
        <v>29331</v>
      </c>
      <c r="M3688" t="s">
        <v>30981</v>
      </c>
      <c r="N3688" t="s">
        <v>32524</v>
      </c>
      <c r="O3688" t="s">
        <v>32525</v>
      </c>
      <c r="P3688">
        <v>0</v>
      </c>
      <c r="Q3688">
        <v>0</v>
      </c>
      <c r="R3688" t="s">
        <v>32530</v>
      </c>
      <c r="S3688" t="s">
        <v>32568</v>
      </c>
      <c r="T3688" t="s">
        <v>33169</v>
      </c>
      <c r="U3688" t="s">
        <v>36764</v>
      </c>
      <c r="V3688" t="s">
        <v>42795</v>
      </c>
      <c r="W3688" t="s">
        <v>30981</v>
      </c>
      <c r="X3688" t="s">
        <v>32531</v>
      </c>
    </row>
    <row r="3689" spans="1:24">
      <c r="A3689">
        <f>HYPERLINK("https://www.philgeps.gov.ph/GEPSNONPILOT/Tender/SplashBidNoticeAbstractUI.aspx?menuIndex=3&amp;refID=7041341&amp;Result=3","7041341")</f>
        <v>0</v>
      </c>
      <c r="B3689" t="s">
        <v>1327</v>
      </c>
      <c r="C3689" t="s">
        <v>6200</v>
      </c>
      <c r="D3689" t="s">
        <v>13045</v>
      </c>
      <c r="E3689" t="s">
        <v>16399</v>
      </c>
      <c r="F3689" t="s">
        <v>22436</v>
      </c>
      <c r="G3689" t="s">
        <v>22444</v>
      </c>
      <c r="H3689" t="s">
        <v>22452</v>
      </c>
      <c r="I3689" t="s">
        <v>2962</v>
      </c>
      <c r="J3689" t="s">
        <v>25074</v>
      </c>
      <c r="K3689" t="s">
        <v>29341</v>
      </c>
      <c r="M3689" t="s">
        <v>30982</v>
      </c>
      <c r="N3689" t="s">
        <v>32524</v>
      </c>
      <c r="O3689" t="s">
        <v>32525</v>
      </c>
      <c r="P3689">
        <v>0</v>
      </c>
      <c r="Q3689">
        <v>1</v>
      </c>
      <c r="R3689" t="s">
        <v>32530</v>
      </c>
      <c r="S3689" t="s">
        <v>32568</v>
      </c>
      <c r="T3689" t="s">
        <v>33423</v>
      </c>
      <c r="U3689" t="s">
        <v>36765</v>
      </c>
      <c r="V3689" t="s">
        <v>42796</v>
      </c>
      <c r="W3689" t="s">
        <v>30982</v>
      </c>
      <c r="X3689" t="s">
        <v>32531</v>
      </c>
    </row>
    <row r="3690" spans="1:24">
      <c r="A3690">
        <f>HYPERLINK("https://www.philgeps.gov.ph/GEPSNONPILOT/Tender/SplashBidNoticeAbstractUI.aspx?menuIndex=3&amp;refID=7041312&amp;Result=3","7041312")</f>
        <v>0</v>
      </c>
      <c r="B3690" t="s">
        <v>1328</v>
      </c>
      <c r="C3690" t="s">
        <v>6201</v>
      </c>
      <c r="D3690" t="s">
        <v>12996</v>
      </c>
      <c r="E3690" t="s">
        <v>16400</v>
      </c>
      <c r="F3690" t="s">
        <v>22436</v>
      </c>
      <c r="G3690" t="s">
        <v>22444</v>
      </c>
      <c r="H3690" t="s">
        <v>22452</v>
      </c>
      <c r="I3690" t="s">
        <v>6421</v>
      </c>
      <c r="J3690" t="s">
        <v>23434</v>
      </c>
      <c r="K3690" t="s">
        <v>29341</v>
      </c>
      <c r="M3690" t="s">
        <v>30983</v>
      </c>
      <c r="N3690" t="s">
        <v>32524</v>
      </c>
      <c r="O3690" t="s">
        <v>32525</v>
      </c>
      <c r="P3690">
        <v>0</v>
      </c>
      <c r="Q3690">
        <v>2</v>
      </c>
      <c r="R3690" t="s">
        <v>32530</v>
      </c>
      <c r="S3690" t="s">
        <v>32568</v>
      </c>
      <c r="T3690" t="s">
        <v>33202</v>
      </c>
      <c r="U3690" t="s">
        <v>36766</v>
      </c>
      <c r="V3690" t="s">
        <v>42797</v>
      </c>
      <c r="W3690" t="s">
        <v>30983</v>
      </c>
      <c r="X3690" t="s">
        <v>32531</v>
      </c>
    </row>
    <row r="3691" spans="1:24">
      <c r="A3691">
        <f>HYPERLINK("https://www.philgeps.gov.ph/GEPSNONPILOT/Tender/SplashBidNoticeAbstractUI.aspx?menuIndex=3&amp;refID=7041326&amp;Result=3","7041326")</f>
        <v>0</v>
      </c>
      <c r="B3691" t="s">
        <v>1323</v>
      </c>
      <c r="C3691" t="s">
        <v>6202</v>
      </c>
      <c r="E3691" t="s">
        <v>16401</v>
      </c>
      <c r="F3691" t="s">
        <v>22436</v>
      </c>
      <c r="G3691" t="s">
        <v>22444</v>
      </c>
      <c r="H3691" t="s">
        <v>22452</v>
      </c>
      <c r="I3691" t="s">
        <v>22488</v>
      </c>
      <c r="J3691" t="s">
        <v>23185</v>
      </c>
      <c r="K3691" t="s">
        <v>29338</v>
      </c>
      <c r="M3691" t="s">
        <v>30978</v>
      </c>
      <c r="N3691" t="s">
        <v>32524</v>
      </c>
      <c r="O3691" t="s">
        <v>32525</v>
      </c>
      <c r="P3691">
        <v>0</v>
      </c>
      <c r="Q3691">
        <v>0</v>
      </c>
      <c r="R3691" t="s">
        <v>32530</v>
      </c>
      <c r="S3691" t="s">
        <v>32568</v>
      </c>
      <c r="T3691" t="s">
        <v>33424</v>
      </c>
      <c r="U3691" t="s">
        <v>36767</v>
      </c>
      <c r="W3691" t="s">
        <v>30978</v>
      </c>
      <c r="X3691" t="s">
        <v>32531</v>
      </c>
    </row>
    <row r="3692" spans="1:24">
      <c r="A3692">
        <f>HYPERLINK("https://www.philgeps.gov.ph/GEPSNONPILOT/Tender/SplashBidNoticeAbstractUI.aspx?menuIndex=3&amp;refID=7041322&amp;Result=3","7041322")</f>
        <v>0</v>
      </c>
      <c r="B3692" t="s">
        <v>1322</v>
      </c>
      <c r="C3692" t="s">
        <v>6203</v>
      </c>
      <c r="D3692" t="s">
        <v>13007</v>
      </c>
      <c r="E3692" t="s">
        <v>16402</v>
      </c>
      <c r="F3692" t="s">
        <v>22436</v>
      </c>
      <c r="G3692" t="s">
        <v>22444</v>
      </c>
      <c r="H3692" t="s">
        <v>22452</v>
      </c>
      <c r="I3692" t="s">
        <v>22474</v>
      </c>
      <c r="J3692" t="s">
        <v>25075</v>
      </c>
      <c r="K3692" t="s">
        <v>29335</v>
      </c>
      <c r="M3692" t="s">
        <v>30977</v>
      </c>
      <c r="N3692" t="s">
        <v>32524</v>
      </c>
      <c r="O3692" t="s">
        <v>32525</v>
      </c>
      <c r="P3692">
        <v>0</v>
      </c>
      <c r="Q3692">
        <v>3</v>
      </c>
      <c r="R3692" t="s">
        <v>32530</v>
      </c>
      <c r="S3692" t="s">
        <v>32568</v>
      </c>
      <c r="T3692" t="s">
        <v>33354</v>
      </c>
      <c r="U3692" t="s">
        <v>36768</v>
      </c>
      <c r="W3692" t="s">
        <v>30977</v>
      </c>
      <c r="X3692" t="s">
        <v>32531</v>
      </c>
    </row>
    <row r="3693" spans="1:24">
      <c r="A3693">
        <f>HYPERLINK("https://www.philgeps.gov.ph/GEPSNONPILOT/Tender/SplashBidNoticeAbstractUI.aspx?menuIndex=3&amp;refID=7041307&amp;Result=3","7041307")</f>
        <v>0</v>
      </c>
      <c r="B3693" t="s">
        <v>765</v>
      </c>
      <c r="C3693" t="s">
        <v>6204</v>
      </c>
      <c r="D3693" t="s">
        <v>13034</v>
      </c>
      <c r="E3693" t="s">
        <v>16403</v>
      </c>
      <c r="F3693" t="s">
        <v>22436</v>
      </c>
      <c r="G3693" t="s">
        <v>22444</v>
      </c>
      <c r="H3693" t="s">
        <v>22452</v>
      </c>
      <c r="I3693" t="s">
        <v>3529</v>
      </c>
      <c r="J3693" t="s">
        <v>25076</v>
      </c>
      <c r="K3693" t="s">
        <v>29337</v>
      </c>
      <c r="M3693" t="s">
        <v>30366</v>
      </c>
      <c r="N3693" t="s">
        <v>32524</v>
      </c>
      <c r="O3693" t="s">
        <v>32525</v>
      </c>
      <c r="P3693">
        <v>0</v>
      </c>
      <c r="Q3693">
        <v>0</v>
      </c>
      <c r="R3693" t="s">
        <v>32530</v>
      </c>
      <c r="S3693" t="s">
        <v>32568</v>
      </c>
      <c r="T3693" t="s">
        <v>33407</v>
      </c>
      <c r="U3693" t="s">
        <v>36769</v>
      </c>
      <c r="V3693" t="s">
        <v>42788</v>
      </c>
      <c r="W3693" t="s">
        <v>30366</v>
      </c>
      <c r="X3693" t="s">
        <v>32531</v>
      </c>
    </row>
    <row r="3694" spans="1:24">
      <c r="A3694">
        <f>HYPERLINK("https://www.philgeps.gov.ph/GEPSNONPILOT/Tender/SplashBidNoticeAbstractUI.aspx?menuIndex=3&amp;refID=7041344&amp;Result=3","7041344")</f>
        <v>0</v>
      </c>
      <c r="B3694" t="s">
        <v>1323</v>
      </c>
      <c r="C3694" t="s">
        <v>6205</v>
      </c>
      <c r="E3694" t="s">
        <v>16404</v>
      </c>
      <c r="F3694" t="s">
        <v>22436</v>
      </c>
      <c r="G3694" t="s">
        <v>22444</v>
      </c>
      <c r="H3694" t="s">
        <v>22452</v>
      </c>
      <c r="I3694" t="s">
        <v>22479</v>
      </c>
      <c r="J3694" t="s">
        <v>25077</v>
      </c>
      <c r="K3694" t="s">
        <v>29338</v>
      </c>
      <c r="M3694" t="s">
        <v>30978</v>
      </c>
      <c r="N3694" t="s">
        <v>32524</v>
      </c>
      <c r="O3694" t="s">
        <v>32525</v>
      </c>
      <c r="P3694">
        <v>0</v>
      </c>
      <c r="Q3694">
        <v>1</v>
      </c>
      <c r="R3694" t="s">
        <v>32530</v>
      </c>
      <c r="S3694" t="s">
        <v>32568</v>
      </c>
      <c r="T3694" t="s">
        <v>33424</v>
      </c>
      <c r="U3694" t="s">
        <v>36767</v>
      </c>
      <c r="W3694" t="s">
        <v>30978</v>
      </c>
      <c r="X3694" t="s">
        <v>32531</v>
      </c>
    </row>
    <row r="3695" spans="1:24">
      <c r="A3695">
        <f>HYPERLINK("https://www.philgeps.gov.ph/GEPSNONPILOT/Tender/SplashBidNoticeAbstractUI.aspx?menuIndex=3&amp;refID=7041302&amp;Result=3","7041302")</f>
        <v>0</v>
      </c>
      <c r="B3695" t="s">
        <v>1323</v>
      </c>
      <c r="C3695" t="s">
        <v>6206</v>
      </c>
      <c r="E3695" t="s">
        <v>16405</v>
      </c>
      <c r="F3695" t="s">
        <v>22436</v>
      </c>
      <c r="G3695" t="s">
        <v>22444</v>
      </c>
      <c r="H3695" t="s">
        <v>22452</v>
      </c>
      <c r="I3695" t="s">
        <v>3358</v>
      </c>
      <c r="J3695" t="s">
        <v>25078</v>
      </c>
      <c r="K3695" t="s">
        <v>29338</v>
      </c>
      <c r="M3695" t="s">
        <v>30978</v>
      </c>
      <c r="N3695" t="s">
        <v>32524</v>
      </c>
      <c r="O3695" t="s">
        <v>32525</v>
      </c>
      <c r="P3695">
        <v>0</v>
      </c>
      <c r="Q3695">
        <v>0</v>
      </c>
      <c r="R3695" t="s">
        <v>32530</v>
      </c>
      <c r="S3695" t="s">
        <v>32568</v>
      </c>
      <c r="T3695" t="s">
        <v>33424</v>
      </c>
      <c r="U3695" t="s">
        <v>36767</v>
      </c>
      <c r="W3695" t="s">
        <v>30978</v>
      </c>
      <c r="X3695" t="s">
        <v>32531</v>
      </c>
    </row>
    <row r="3696" spans="1:24">
      <c r="A3696">
        <f>HYPERLINK("https://www.philgeps.gov.ph/GEPSNONPILOT/Tender/SplashBidNoticeAbstractUI.aspx?menuIndex=3&amp;refID=7041347&amp;Result=3","7041347")</f>
        <v>0</v>
      </c>
      <c r="B3696" t="s">
        <v>1329</v>
      </c>
      <c r="C3696" t="s">
        <v>6207</v>
      </c>
      <c r="D3696" t="s">
        <v>13060</v>
      </c>
      <c r="E3696" t="s">
        <v>16406</v>
      </c>
      <c r="F3696" t="s">
        <v>22436</v>
      </c>
      <c r="G3696" t="s">
        <v>22444</v>
      </c>
      <c r="H3696" t="s">
        <v>22452</v>
      </c>
      <c r="I3696" t="s">
        <v>22474</v>
      </c>
      <c r="J3696" t="s">
        <v>22669</v>
      </c>
      <c r="K3696" t="s">
        <v>29341</v>
      </c>
      <c r="M3696" t="s">
        <v>30984</v>
      </c>
      <c r="N3696" t="s">
        <v>32524</v>
      </c>
      <c r="O3696" t="s">
        <v>32525</v>
      </c>
      <c r="P3696">
        <v>0</v>
      </c>
      <c r="Q3696">
        <v>4</v>
      </c>
      <c r="R3696" t="s">
        <v>32530</v>
      </c>
      <c r="S3696" t="s">
        <v>32568</v>
      </c>
      <c r="T3696" t="s">
        <v>33405</v>
      </c>
      <c r="U3696" t="s">
        <v>36770</v>
      </c>
      <c r="W3696" t="s">
        <v>30984</v>
      </c>
      <c r="X3696" t="s">
        <v>32531</v>
      </c>
    </row>
    <row r="3697" spans="1:24">
      <c r="A3697">
        <f>HYPERLINK("https://www.philgeps.gov.ph/GEPSNONPILOT/Tender/SplashBidNoticeAbstractUI.aspx?menuIndex=3&amp;refID=7041316&amp;Result=3","7041316")</f>
        <v>0</v>
      </c>
      <c r="B3697" t="s">
        <v>1121</v>
      </c>
      <c r="C3697" t="s">
        <v>6208</v>
      </c>
      <c r="D3697" t="s">
        <v>13038</v>
      </c>
      <c r="E3697" t="s">
        <v>16407</v>
      </c>
      <c r="F3697" t="s">
        <v>22436</v>
      </c>
      <c r="G3697" t="s">
        <v>22443</v>
      </c>
      <c r="H3697" t="s">
        <v>22452</v>
      </c>
      <c r="I3697" t="s">
        <v>12358</v>
      </c>
      <c r="J3697" t="s">
        <v>25079</v>
      </c>
      <c r="K3697" t="s">
        <v>29335</v>
      </c>
      <c r="M3697" t="s">
        <v>30759</v>
      </c>
      <c r="N3697" t="s">
        <v>32524</v>
      </c>
      <c r="O3697" t="s">
        <v>32525</v>
      </c>
      <c r="P3697">
        <v>0</v>
      </c>
      <c r="Q3697">
        <v>1</v>
      </c>
      <c r="R3697" t="s">
        <v>32530</v>
      </c>
      <c r="S3697" t="s">
        <v>32568</v>
      </c>
      <c r="T3697" t="s">
        <v>33310</v>
      </c>
      <c r="U3697" t="s">
        <v>36771</v>
      </c>
      <c r="W3697" t="s">
        <v>30759</v>
      </c>
      <c r="X3697" t="s">
        <v>32531</v>
      </c>
    </row>
    <row r="3698" spans="1:24">
      <c r="A3698">
        <f>HYPERLINK("https://www.philgeps.gov.ph/GEPSNONPILOT/Tender/SplashBidNoticeAbstractUI.aspx?menuIndex=3&amp;refID=7041377&amp;Result=3","7041377")</f>
        <v>0</v>
      </c>
      <c r="B3698" t="s">
        <v>1329</v>
      </c>
      <c r="C3698" t="s">
        <v>6209</v>
      </c>
      <c r="D3698" t="s">
        <v>13060</v>
      </c>
      <c r="E3698" t="s">
        <v>16408</v>
      </c>
      <c r="F3698" t="s">
        <v>22436</v>
      </c>
      <c r="G3698" t="s">
        <v>22444</v>
      </c>
      <c r="H3698" t="s">
        <v>22452</v>
      </c>
      <c r="I3698" t="s">
        <v>22474</v>
      </c>
      <c r="J3698" t="s">
        <v>22669</v>
      </c>
      <c r="K3698" t="s">
        <v>29341</v>
      </c>
      <c r="M3698" t="s">
        <v>30984</v>
      </c>
      <c r="N3698" t="s">
        <v>32524</v>
      </c>
      <c r="O3698" t="s">
        <v>32525</v>
      </c>
      <c r="P3698">
        <v>0</v>
      </c>
      <c r="Q3698">
        <v>4</v>
      </c>
      <c r="R3698" t="s">
        <v>32530</v>
      </c>
      <c r="S3698" t="s">
        <v>32568</v>
      </c>
      <c r="T3698" t="s">
        <v>33405</v>
      </c>
      <c r="U3698" t="s">
        <v>36770</v>
      </c>
      <c r="W3698" t="s">
        <v>30984</v>
      </c>
      <c r="X3698" t="s">
        <v>32531</v>
      </c>
    </row>
    <row r="3699" spans="1:24">
      <c r="A3699">
        <f>HYPERLINK("https://www.philgeps.gov.ph/GEPSNONPILOT/Tender/SplashBidNoticeAbstractUI.aspx?menuIndex=3&amp;refID=7041373&amp;Result=3","7041373")</f>
        <v>0</v>
      </c>
      <c r="B3699" t="s">
        <v>1330</v>
      </c>
      <c r="C3699" t="s">
        <v>6210</v>
      </c>
      <c r="D3699" t="s">
        <v>13006</v>
      </c>
      <c r="E3699" t="s">
        <v>13182</v>
      </c>
      <c r="F3699" t="s">
        <v>22436</v>
      </c>
      <c r="G3699" t="s">
        <v>22444</v>
      </c>
      <c r="H3699" t="s">
        <v>22454</v>
      </c>
      <c r="I3699" t="s">
        <v>7738</v>
      </c>
      <c r="J3699" t="s">
        <v>22588</v>
      </c>
      <c r="K3699" t="s">
        <v>29333</v>
      </c>
      <c r="M3699" t="s">
        <v>30985</v>
      </c>
      <c r="N3699" t="s">
        <v>32524</v>
      </c>
      <c r="O3699" t="s">
        <v>32525</v>
      </c>
      <c r="P3699">
        <v>0</v>
      </c>
      <c r="Q3699">
        <v>0</v>
      </c>
      <c r="R3699" t="s">
        <v>32530</v>
      </c>
      <c r="S3699" t="s">
        <v>32568</v>
      </c>
      <c r="T3699" t="s">
        <v>33215</v>
      </c>
      <c r="U3699" t="s">
        <v>36772</v>
      </c>
      <c r="W3699" t="s">
        <v>30985</v>
      </c>
      <c r="X3699" t="s">
        <v>32531</v>
      </c>
    </row>
    <row r="3700" spans="1:24">
      <c r="A3700">
        <f>HYPERLINK("https://www.philgeps.gov.ph/GEPSNONPILOT/Tender/SplashBidNoticeAbstractUI.aspx?menuIndex=3&amp;refID=7041351&amp;Result=3","7041351")</f>
        <v>0</v>
      </c>
      <c r="B3700" t="s">
        <v>627</v>
      </c>
      <c r="C3700" t="s">
        <v>6211</v>
      </c>
      <c r="D3700" t="s">
        <v>13041</v>
      </c>
      <c r="E3700" t="s">
        <v>13178</v>
      </c>
      <c r="F3700" t="s">
        <v>22436</v>
      </c>
      <c r="G3700" t="s">
        <v>22443</v>
      </c>
      <c r="H3700" t="s">
        <v>22452</v>
      </c>
      <c r="I3700" t="s">
        <v>3529</v>
      </c>
      <c r="J3700" t="s">
        <v>25080</v>
      </c>
      <c r="K3700" t="s">
        <v>29335</v>
      </c>
      <c r="M3700" t="s">
        <v>30218</v>
      </c>
      <c r="N3700" t="s">
        <v>32524</v>
      </c>
      <c r="O3700" t="s">
        <v>32525</v>
      </c>
      <c r="P3700">
        <v>0</v>
      </c>
      <c r="Q3700">
        <v>1</v>
      </c>
      <c r="R3700" t="s">
        <v>32530</v>
      </c>
      <c r="S3700" t="s">
        <v>32568</v>
      </c>
      <c r="T3700" t="s">
        <v>33169</v>
      </c>
      <c r="U3700" t="s">
        <v>36773</v>
      </c>
      <c r="W3700" t="s">
        <v>30218</v>
      </c>
      <c r="X3700" t="s">
        <v>32531</v>
      </c>
    </row>
    <row r="3701" spans="1:24">
      <c r="A3701">
        <f>HYPERLINK("https://www.philgeps.gov.ph/GEPSNONPILOT/Tender/SplashBidNoticeAbstractUI.aspx?menuIndex=3&amp;refID=7041371&amp;Result=3","7041371")</f>
        <v>0</v>
      </c>
      <c r="B3701" t="s">
        <v>1121</v>
      </c>
      <c r="C3701" t="s">
        <v>6212</v>
      </c>
      <c r="D3701" t="s">
        <v>13038</v>
      </c>
      <c r="E3701" t="s">
        <v>16409</v>
      </c>
      <c r="F3701" t="s">
        <v>22436</v>
      </c>
      <c r="G3701" t="s">
        <v>22443</v>
      </c>
      <c r="H3701" t="s">
        <v>22455</v>
      </c>
      <c r="I3701" t="s">
        <v>22455</v>
      </c>
      <c r="J3701" t="s">
        <v>25081</v>
      </c>
      <c r="K3701" t="s">
        <v>29371</v>
      </c>
      <c r="M3701" t="s">
        <v>30759</v>
      </c>
      <c r="N3701" t="s">
        <v>32524</v>
      </c>
      <c r="O3701" t="s">
        <v>32525</v>
      </c>
      <c r="P3701">
        <v>0</v>
      </c>
      <c r="Q3701">
        <v>0</v>
      </c>
      <c r="R3701" t="s">
        <v>32530</v>
      </c>
      <c r="S3701" t="s">
        <v>32568</v>
      </c>
      <c r="T3701" t="s">
        <v>33310</v>
      </c>
      <c r="U3701" t="s">
        <v>36774</v>
      </c>
      <c r="W3701" t="s">
        <v>30759</v>
      </c>
      <c r="X3701" t="s">
        <v>32531</v>
      </c>
    </row>
    <row r="3702" spans="1:24">
      <c r="A3702">
        <f>HYPERLINK("https://www.philgeps.gov.ph/GEPSNONPILOT/Tender/SplashBidNoticeAbstractUI.aspx?menuIndex=3&amp;refID=7041331&amp;Result=3","7041331")</f>
        <v>0</v>
      </c>
      <c r="B3702" t="s">
        <v>1331</v>
      </c>
      <c r="C3702" t="s">
        <v>6213</v>
      </c>
      <c r="D3702" t="s">
        <v>13035</v>
      </c>
      <c r="E3702" t="s">
        <v>16410</v>
      </c>
      <c r="F3702" t="s">
        <v>22436</v>
      </c>
      <c r="G3702" t="s">
        <v>22444</v>
      </c>
      <c r="H3702" t="s">
        <v>22452</v>
      </c>
      <c r="I3702" t="s">
        <v>6387</v>
      </c>
      <c r="J3702" t="s">
        <v>22911</v>
      </c>
      <c r="K3702" t="s">
        <v>29335</v>
      </c>
      <c r="M3702" t="s">
        <v>30986</v>
      </c>
      <c r="N3702" t="s">
        <v>32524</v>
      </c>
      <c r="O3702" t="s">
        <v>32525</v>
      </c>
      <c r="P3702">
        <v>0</v>
      </c>
      <c r="Q3702">
        <v>0</v>
      </c>
      <c r="R3702" t="s">
        <v>32530</v>
      </c>
      <c r="S3702" t="s">
        <v>32568</v>
      </c>
      <c r="T3702" t="s">
        <v>33154</v>
      </c>
      <c r="U3702" t="s">
        <v>36775</v>
      </c>
      <c r="V3702" t="s">
        <v>42798</v>
      </c>
      <c r="W3702" t="s">
        <v>30986</v>
      </c>
      <c r="X3702" t="s">
        <v>32531</v>
      </c>
    </row>
    <row r="3703" spans="1:24">
      <c r="A3703">
        <f>HYPERLINK("https://www.philgeps.gov.ph/GEPSNONPILOT/Tender/SplashBidNoticeAbstractUI.aspx?menuIndex=3&amp;refID=7041372&amp;Result=3","7041372")</f>
        <v>0</v>
      </c>
      <c r="B3703" t="s">
        <v>1332</v>
      </c>
      <c r="C3703" t="s">
        <v>6214</v>
      </c>
      <c r="D3703" t="s">
        <v>13037</v>
      </c>
      <c r="E3703" t="s">
        <v>14979</v>
      </c>
      <c r="F3703" t="s">
        <v>22436</v>
      </c>
      <c r="G3703" t="s">
        <v>22444</v>
      </c>
      <c r="H3703" t="s">
        <v>22452</v>
      </c>
      <c r="I3703" t="s">
        <v>3529</v>
      </c>
      <c r="J3703" t="s">
        <v>24189</v>
      </c>
      <c r="K3703" t="s">
        <v>29338</v>
      </c>
      <c r="M3703" t="s">
        <v>30987</v>
      </c>
      <c r="N3703" t="s">
        <v>32524</v>
      </c>
      <c r="O3703" t="s">
        <v>32525</v>
      </c>
      <c r="P3703">
        <v>0</v>
      </c>
      <c r="Q3703">
        <v>0</v>
      </c>
      <c r="R3703" t="s">
        <v>32530</v>
      </c>
      <c r="S3703" t="s">
        <v>32568</v>
      </c>
      <c r="T3703" t="s">
        <v>33397</v>
      </c>
      <c r="U3703" t="s">
        <v>36776</v>
      </c>
      <c r="W3703" t="s">
        <v>30987</v>
      </c>
      <c r="X3703" t="s">
        <v>32531</v>
      </c>
    </row>
    <row r="3704" spans="1:24">
      <c r="A3704">
        <f>HYPERLINK("https://www.philgeps.gov.ph/GEPSNONPILOT/Tender/SplashBidNoticeAbstractUI.aspx?menuIndex=3&amp;refID=7041370&amp;Result=3","7041370")</f>
        <v>0</v>
      </c>
      <c r="B3704" t="s">
        <v>633</v>
      </c>
      <c r="C3704" t="s">
        <v>6215</v>
      </c>
      <c r="D3704" t="s">
        <v>12988</v>
      </c>
      <c r="E3704" t="s">
        <v>16411</v>
      </c>
      <c r="F3704" t="s">
        <v>22436</v>
      </c>
      <c r="G3704" t="s">
        <v>22443</v>
      </c>
      <c r="H3704" t="s">
        <v>22452</v>
      </c>
      <c r="I3704" t="s">
        <v>22519</v>
      </c>
      <c r="J3704" t="s">
        <v>22989</v>
      </c>
      <c r="K3704" t="s">
        <v>29338</v>
      </c>
      <c r="M3704" t="s">
        <v>30224</v>
      </c>
      <c r="N3704" t="s">
        <v>32524</v>
      </c>
      <c r="O3704" t="s">
        <v>32525</v>
      </c>
      <c r="P3704">
        <v>0</v>
      </c>
      <c r="Q3704">
        <v>2</v>
      </c>
      <c r="R3704" t="s">
        <v>32530</v>
      </c>
      <c r="S3704" t="s">
        <v>32568</v>
      </c>
      <c r="T3704" t="s">
        <v>33371</v>
      </c>
      <c r="U3704" t="s">
        <v>34945</v>
      </c>
      <c r="W3704" t="s">
        <v>30224</v>
      </c>
      <c r="X3704" t="s">
        <v>32531</v>
      </c>
    </row>
    <row r="3705" spans="1:24">
      <c r="A3705">
        <f>HYPERLINK("https://www.philgeps.gov.ph/GEPSNONPILOT/Tender/SplashBidNoticeAbstractUI.aspx?menuIndex=3&amp;refID=7041338&amp;Result=3","7041338")</f>
        <v>0</v>
      </c>
      <c r="B3705" t="s">
        <v>513</v>
      </c>
      <c r="C3705" t="s">
        <v>6216</v>
      </c>
      <c r="D3705" t="s">
        <v>13055</v>
      </c>
      <c r="E3705" t="s">
        <v>6216</v>
      </c>
      <c r="F3705" t="s">
        <v>22436</v>
      </c>
      <c r="G3705" t="s">
        <v>22446</v>
      </c>
      <c r="H3705" t="s">
        <v>22452</v>
      </c>
      <c r="I3705" t="s">
        <v>3827</v>
      </c>
      <c r="J3705" t="s">
        <v>22640</v>
      </c>
      <c r="K3705" t="s">
        <v>29341</v>
      </c>
      <c r="L3705" t="s">
        <v>513</v>
      </c>
      <c r="M3705" t="s">
        <v>30097</v>
      </c>
      <c r="N3705" t="s">
        <v>32524</v>
      </c>
      <c r="O3705" t="s">
        <v>32525</v>
      </c>
      <c r="P3705">
        <v>0</v>
      </c>
      <c r="Q3705">
        <v>0</v>
      </c>
      <c r="R3705" t="s">
        <v>32530</v>
      </c>
      <c r="S3705" t="s">
        <v>32568</v>
      </c>
      <c r="T3705" t="s">
        <v>33425</v>
      </c>
      <c r="U3705" t="s">
        <v>36777</v>
      </c>
      <c r="W3705" t="s">
        <v>30097</v>
      </c>
      <c r="X3705" t="s">
        <v>32531</v>
      </c>
    </row>
    <row r="3706" spans="1:24">
      <c r="A3706">
        <f>HYPERLINK("https://www.philgeps.gov.ph/GEPSNONPILOT/Tender/SplashBidNoticeAbstractUI.aspx?menuIndex=3&amp;refID=7041356&amp;Result=3","7041356")</f>
        <v>0</v>
      </c>
      <c r="B3706" t="s">
        <v>1291</v>
      </c>
      <c r="C3706" t="s">
        <v>6217</v>
      </c>
      <c r="D3706" t="s">
        <v>13026</v>
      </c>
      <c r="E3706" t="s">
        <v>16412</v>
      </c>
      <c r="F3706" t="s">
        <v>22436</v>
      </c>
      <c r="G3706" t="s">
        <v>22443</v>
      </c>
      <c r="H3706" t="s">
        <v>22452</v>
      </c>
      <c r="I3706" t="s">
        <v>22488</v>
      </c>
      <c r="J3706" t="s">
        <v>22788</v>
      </c>
      <c r="K3706" t="s">
        <v>29335</v>
      </c>
      <c r="M3706" t="s">
        <v>30945</v>
      </c>
      <c r="N3706" t="s">
        <v>32524</v>
      </c>
      <c r="O3706" t="s">
        <v>32525</v>
      </c>
      <c r="P3706">
        <v>0</v>
      </c>
      <c r="Q3706">
        <v>1</v>
      </c>
      <c r="R3706" t="s">
        <v>32530</v>
      </c>
      <c r="S3706" t="s">
        <v>32568</v>
      </c>
      <c r="T3706" t="s">
        <v>33169</v>
      </c>
      <c r="U3706" t="s">
        <v>36778</v>
      </c>
      <c r="W3706" t="s">
        <v>30945</v>
      </c>
      <c r="X3706" t="s">
        <v>32531</v>
      </c>
    </row>
    <row r="3707" spans="1:24">
      <c r="A3707">
        <f>HYPERLINK("https://www.philgeps.gov.ph/GEPSNONPILOT/Tender/SplashBidNoticeAbstractUI.aspx?menuIndex=3&amp;refID=7041379&amp;Result=3","7041379")</f>
        <v>0</v>
      </c>
      <c r="B3707" t="s">
        <v>1333</v>
      </c>
      <c r="C3707" t="s">
        <v>6218</v>
      </c>
      <c r="D3707" t="s">
        <v>13009</v>
      </c>
      <c r="E3707" t="s">
        <v>16413</v>
      </c>
      <c r="F3707" t="s">
        <v>22436</v>
      </c>
      <c r="G3707" t="s">
        <v>22444</v>
      </c>
      <c r="H3707" t="s">
        <v>22452</v>
      </c>
      <c r="I3707" t="s">
        <v>22474</v>
      </c>
      <c r="J3707" t="s">
        <v>22943</v>
      </c>
      <c r="K3707" t="s">
        <v>29335</v>
      </c>
      <c r="M3707" t="s">
        <v>30988</v>
      </c>
      <c r="N3707" t="s">
        <v>32524</v>
      </c>
      <c r="O3707" t="s">
        <v>32525</v>
      </c>
      <c r="P3707">
        <v>0</v>
      </c>
      <c r="Q3707">
        <v>6</v>
      </c>
      <c r="R3707" t="s">
        <v>32530</v>
      </c>
      <c r="S3707" t="s">
        <v>32568</v>
      </c>
      <c r="T3707" t="s">
        <v>33426</v>
      </c>
      <c r="U3707" t="s">
        <v>36779</v>
      </c>
      <c r="W3707" t="s">
        <v>30988</v>
      </c>
      <c r="X3707" t="s">
        <v>32531</v>
      </c>
    </row>
    <row r="3708" spans="1:24">
      <c r="A3708">
        <f>HYPERLINK("https://www.philgeps.gov.ph/GEPSNONPILOT/Tender/SplashBidNoticeAbstractUI.aspx?menuIndex=3&amp;refID=7041388&amp;Result=3","7041388")</f>
        <v>0</v>
      </c>
      <c r="B3708" t="s">
        <v>1322</v>
      </c>
      <c r="C3708" t="s">
        <v>6219</v>
      </c>
      <c r="D3708" t="s">
        <v>13007</v>
      </c>
      <c r="E3708" t="s">
        <v>16414</v>
      </c>
      <c r="F3708" t="s">
        <v>22436</v>
      </c>
      <c r="G3708" t="s">
        <v>22444</v>
      </c>
      <c r="H3708" t="s">
        <v>22452</v>
      </c>
      <c r="I3708" t="s">
        <v>22474</v>
      </c>
      <c r="J3708" t="s">
        <v>22634</v>
      </c>
      <c r="K3708" t="s">
        <v>29335</v>
      </c>
      <c r="M3708" t="s">
        <v>30977</v>
      </c>
      <c r="N3708" t="s">
        <v>32524</v>
      </c>
      <c r="O3708" t="s">
        <v>32525</v>
      </c>
      <c r="P3708">
        <v>0</v>
      </c>
      <c r="Q3708">
        <v>6</v>
      </c>
      <c r="R3708" t="s">
        <v>32530</v>
      </c>
      <c r="S3708" t="s">
        <v>32568</v>
      </c>
      <c r="T3708" t="s">
        <v>33354</v>
      </c>
      <c r="U3708" t="s">
        <v>36780</v>
      </c>
      <c r="W3708" t="s">
        <v>30977</v>
      </c>
      <c r="X3708" t="s">
        <v>32531</v>
      </c>
    </row>
    <row r="3709" spans="1:24">
      <c r="A3709">
        <f>HYPERLINK("https://www.philgeps.gov.ph/GEPSNONPILOT/Tender/SplashBidNoticeAbstractUI.aspx?menuIndex=3&amp;refID=7041355&amp;Result=3","7041355")</f>
        <v>0</v>
      </c>
      <c r="B3709" t="s">
        <v>1314</v>
      </c>
      <c r="C3709" t="s">
        <v>6220</v>
      </c>
      <c r="D3709" t="s">
        <v>13011</v>
      </c>
      <c r="E3709" t="s">
        <v>16415</v>
      </c>
      <c r="F3709" t="s">
        <v>22436</v>
      </c>
      <c r="G3709" t="s">
        <v>22444</v>
      </c>
      <c r="H3709" t="s">
        <v>22452</v>
      </c>
      <c r="I3709" t="s">
        <v>22456</v>
      </c>
      <c r="J3709" t="s">
        <v>25082</v>
      </c>
      <c r="K3709" t="s">
        <v>29336</v>
      </c>
      <c r="M3709" t="s">
        <v>30968</v>
      </c>
      <c r="N3709" t="s">
        <v>32524</v>
      </c>
      <c r="O3709" t="s">
        <v>32525</v>
      </c>
      <c r="Q3709">
        <v>2</v>
      </c>
      <c r="R3709" t="s">
        <v>32530</v>
      </c>
      <c r="S3709" t="s">
        <v>32569</v>
      </c>
      <c r="T3709" t="s">
        <v>33167</v>
      </c>
      <c r="U3709" t="s">
        <v>36781</v>
      </c>
      <c r="V3709" t="s">
        <v>42799</v>
      </c>
      <c r="W3709" t="s">
        <v>30968</v>
      </c>
      <c r="X3709" t="s">
        <v>32531</v>
      </c>
    </row>
    <row r="3710" spans="1:24">
      <c r="A3710">
        <f>HYPERLINK("https://www.philgeps.gov.ph/GEPSNONPILOT/Tender/SplashBidNoticeAbstractUI.aspx?menuIndex=3&amp;refID=7041354&amp;Result=3","7041354")</f>
        <v>0</v>
      </c>
      <c r="B3710" t="s">
        <v>1322</v>
      </c>
      <c r="C3710" t="s">
        <v>6221</v>
      </c>
      <c r="D3710" t="s">
        <v>13007</v>
      </c>
      <c r="E3710" t="s">
        <v>16416</v>
      </c>
      <c r="F3710" t="s">
        <v>22436</v>
      </c>
      <c r="G3710" t="s">
        <v>22444</v>
      </c>
      <c r="H3710" t="s">
        <v>22452</v>
      </c>
      <c r="I3710" t="s">
        <v>22474</v>
      </c>
      <c r="J3710" t="s">
        <v>22877</v>
      </c>
      <c r="K3710" t="s">
        <v>29335</v>
      </c>
      <c r="M3710" t="s">
        <v>30977</v>
      </c>
      <c r="N3710" t="s">
        <v>32524</v>
      </c>
      <c r="O3710" t="s">
        <v>32525</v>
      </c>
      <c r="P3710">
        <v>0</v>
      </c>
      <c r="Q3710">
        <v>2</v>
      </c>
      <c r="R3710" t="s">
        <v>32530</v>
      </c>
      <c r="S3710" t="s">
        <v>32568</v>
      </c>
      <c r="T3710" t="s">
        <v>33354</v>
      </c>
      <c r="U3710" t="s">
        <v>36782</v>
      </c>
      <c r="W3710" t="s">
        <v>30977</v>
      </c>
      <c r="X3710" t="s">
        <v>32531</v>
      </c>
    </row>
    <row r="3711" spans="1:24">
      <c r="A3711">
        <f>HYPERLINK("https://www.philgeps.gov.ph/GEPSNONPILOT/Tender/SplashBidNoticeAbstractUI.aspx?menuIndex=3&amp;refID=7041352&amp;Result=3","7041352")</f>
        <v>0</v>
      </c>
      <c r="B3711" t="s">
        <v>732</v>
      </c>
      <c r="C3711" t="s">
        <v>6222</v>
      </c>
      <c r="D3711" t="s">
        <v>13045</v>
      </c>
      <c r="E3711" t="s">
        <v>16417</v>
      </c>
      <c r="F3711" t="s">
        <v>22436</v>
      </c>
      <c r="G3711" t="s">
        <v>22444</v>
      </c>
      <c r="H3711" t="s">
        <v>22454</v>
      </c>
      <c r="I3711" t="s">
        <v>7738</v>
      </c>
      <c r="J3711" t="s">
        <v>25083</v>
      </c>
      <c r="K3711" t="s">
        <v>29335</v>
      </c>
      <c r="M3711" t="s">
        <v>30330</v>
      </c>
      <c r="N3711" t="s">
        <v>32524</v>
      </c>
      <c r="O3711" t="s">
        <v>32525</v>
      </c>
      <c r="P3711">
        <v>0</v>
      </c>
      <c r="Q3711">
        <v>0</v>
      </c>
      <c r="R3711" t="s">
        <v>32530</v>
      </c>
      <c r="S3711" t="s">
        <v>32568</v>
      </c>
      <c r="T3711" t="s">
        <v>33405</v>
      </c>
      <c r="U3711" t="s">
        <v>36734</v>
      </c>
      <c r="W3711" t="s">
        <v>30330</v>
      </c>
      <c r="X3711" t="s">
        <v>32531</v>
      </c>
    </row>
    <row r="3712" spans="1:24">
      <c r="A3712">
        <f>HYPERLINK("https://www.philgeps.gov.ph/GEPSNONPILOT/Tender/SplashBidNoticeAbstractUI.aspx?menuIndex=3&amp;refID=7041384&amp;Result=3","7041384")</f>
        <v>0</v>
      </c>
      <c r="B3712" t="s">
        <v>1334</v>
      </c>
      <c r="C3712" t="s">
        <v>6223</v>
      </c>
      <c r="D3712" t="s">
        <v>13056</v>
      </c>
      <c r="E3712" t="s">
        <v>16418</v>
      </c>
      <c r="F3712" t="s">
        <v>22436</v>
      </c>
      <c r="G3712" t="s">
        <v>22444</v>
      </c>
      <c r="H3712" t="s">
        <v>22454</v>
      </c>
      <c r="I3712" t="s">
        <v>22526</v>
      </c>
      <c r="J3712" t="s">
        <v>25084</v>
      </c>
      <c r="K3712" t="s">
        <v>29362</v>
      </c>
      <c r="M3712" t="s">
        <v>30989</v>
      </c>
      <c r="N3712" t="s">
        <v>32524</v>
      </c>
      <c r="O3712" t="s">
        <v>32525</v>
      </c>
      <c r="P3712">
        <v>0</v>
      </c>
      <c r="Q3712">
        <v>0</v>
      </c>
      <c r="R3712" t="s">
        <v>32530</v>
      </c>
      <c r="S3712" t="s">
        <v>32568</v>
      </c>
      <c r="T3712" t="s">
        <v>33167</v>
      </c>
      <c r="U3712" t="s">
        <v>36783</v>
      </c>
      <c r="V3712" t="s">
        <v>42800</v>
      </c>
      <c r="W3712" t="s">
        <v>30989</v>
      </c>
      <c r="X3712" t="s">
        <v>32531</v>
      </c>
    </row>
    <row r="3713" spans="1:24">
      <c r="A3713">
        <f>HYPERLINK("https://www.philgeps.gov.ph/GEPSNONPILOT/Tender/SplashBidNoticeAbstractUI.aspx?menuIndex=3&amp;refID=7041403&amp;Result=3","7041403")</f>
        <v>0</v>
      </c>
      <c r="B3713" t="s">
        <v>1335</v>
      </c>
      <c r="C3713" t="s">
        <v>6224</v>
      </c>
      <c r="D3713" t="s">
        <v>12988</v>
      </c>
      <c r="E3713" t="s">
        <v>16419</v>
      </c>
      <c r="F3713" t="s">
        <v>22436</v>
      </c>
      <c r="G3713" t="s">
        <v>22443</v>
      </c>
      <c r="H3713" t="s">
        <v>22452</v>
      </c>
      <c r="I3713" t="s">
        <v>3529</v>
      </c>
      <c r="J3713" t="s">
        <v>22956</v>
      </c>
      <c r="K3713" t="s">
        <v>29357</v>
      </c>
      <c r="M3713" t="s">
        <v>30990</v>
      </c>
      <c r="N3713" t="s">
        <v>32524</v>
      </c>
      <c r="O3713" t="s">
        <v>32525</v>
      </c>
      <c r="P3713">
        <v>0</v>
      </c>
      <c r="Q3713">
        <v>2</v>
      </c>
      <c r="R3713" t="s">
        <v>32530</v>
      </c>
      <c r="S3713" t="s">
        <v>32568</v>
      </c>
      <c r="T3713" t="s">
        <v>33215</v>
      </c>
      <c r="U3713" t="s">
        <v>36784</v>
      </c>
      <c r="W3713" t="s">
        <v>30990</v>
      </c>
      <c r="X3713" t="s">
        <v>32531</v>
      </c>
    </row>
    <row r="3714" spans="1:24">
      <c r="A3714">
        <f>HYPERLINK("https://www.philgeps.gov.ph/GEPSNONPILOT/Tender/SplashBidNoticeAbstractUI.aspx?menuIndex=3&amp;refID=7041365&amp;Result=3","7041365")</f>
        <v>0</v>
      </c>
      <c r="B3714" t="s">
        <v>1336</v>
      </c>
      <c r="C3714" t="s">
        <v>6225</v>
      </c>
      <c r="D3714" t="s">
        <v>13021</v>
      </c>
      <c r="E3714" t="s">
        <v>14018</v>
      </c>
      <c r="F3714" t="s">
        <v>22436</v>
      </c>
      <c r="G3714" t="s">
        <v>22444</v>
      </c>
      <c r="H3714" t="s">
        <v>22452</v>
      </c>
      <c r="I3714" t="s">
        <v>3529</v>
      </c>
      <c r="J3714" t="s">
        <v>25085</v>
      </c>
      <c r="K3714" t="s">
        <v>29341</v>
      </c>
      <c r="M3714" t="s">
        <v>30991</v>
      </c>
      <c r="N3714" t="s">
        <v>32524</v>
      </c>
      <c r="O3714" t="s">
        <v>32525</v>
      </c>
      <c r="P3714">
        <v>0</v>
      </c>
      <c r="Q3714">
        <v>1</v>
      </c>
      <c r="R3714" t="s">
        <v>32530</v>
      </c>
      <c r="S3714" t="s">
        <v>32568</v>
      </c>
      <c r="T3714" t="s">
        <v>33170</v>
      </c>
      <c r="U3714" t="s">
        <v>36785</v>
      </c>
      <c r="W3714" t="s">
        <v>30991</v>
      </c>
      <c r="X3714" t="s">
        <v>32531</v>
      </c>
    </row>
    <row r="3715" spans="1:24">
      <c r="A3715">
        <f>HYPERLINK("https://www.philgeps.gov.ph/GEPSNONPILOT/Tender/SplashBidNoticeAbstractUI.aspx?menuIndex=3&amp;refID=7041383&amp;Result=3","7041383")</f>
        <v>0</v>
      </c>
      <c r="B3715" t="s">
        <v>1337</v>
      </c>
      <c r="C3715" t="s">
        <v>6226</v>
      </c>
      <c r="D3715" t="s">
        <v>13042</v>
      </c>
      <c r="E3715" t="s">
        <v>16420</v>
      </c>
      <c r="F3715" t="s">
        <v>22436</v>
      </c>
      <c r="G3715" t="s">
        <v>22444</v>
      </c>
      <c r="H3715" t="s">
        <v>22452</v>
      </c>
      <c r="I3715" t="s">
        <v>3529</v>
      </c>
      <c r="J3715" t="s">
        <v>25086</v>
      </c>
      <c r="K3715" t="s">
        <v>29335</v>
      </c>
      <c r="M3715" t="s">
        <v>30992</v>
      </c>
      <c r="N3715" t="s">
        <v>32524</v>
      </c>
      <c r="O3715" t="s">
        <v>32525</v>
      </c>
      <c r="P3715">
        <v>0</v>
      </c>
      <c r="Q3715">
        <v>1</v>
      </c>
      <c r="R3715" t="s">
        <v>32530</v>
      </c>
      <c r="S3715" t="s">
        <v>32568</v>
      </c>
      <c r="T3715" t="s">
        <v>33212</v>
      </c>
      <c r="U3715" t="s">
        <v>36786</v>
      </c>
      <c r="W3715" t="s">
        <v>30992</v>
      </c>
      <c r="X3715" t="s">
        <v>32531</v>
      </c>
    </row>
    <row r="3716" spans="1:24">
      <c r="A3716">
        <f>HYPERLINK("https://www.philgeps.gov.ph/GEPSNONPILOT/Tender/SplashBidNoticeAbstractUI.aspx?menuIndex=3&amp;refID=7041398&amp;Result=3","7041398")</f>
        <v>0</v>
      </c>
      <c r="B3716" t="s">
        <v>1336</v>
      </c>
      <c r="C3716" t="s">
        <v>6227</v>
      </c>
      <c r="D3716" t="s">
        <v>13021</v>
      </c>
      <c r="E3716" t="s">
        <v>13668</v>
      </c>
      <c r="F3716" t="s">
        <v>22436</v>
      </c>
      <c r="G3716" t="s">
        <v>22444</v>
      </c>
      <c r="H3716" t="s">
        <v>22452</v>
      </c>
      <c r="I3716" t="s">
        <v>3529</v>
      </c>
      <c r="J3716" t="s">
        <v>25087</v>
      </c>
      <c r="K3716" t="s">
        <v>29341</v>
      </c>
      <c r="M3716" t="s">
        <v>30991</v>
      </c>
      <c r="N3716" t="s">
        <v>32524</v>
      </c>
      <c r="O3716" t="s">
        <v>32525</v>
      </c>
      <c r="P3716">
        <v>0</v>
      </c>
      <c r="Q3716">
        <v>1</v>
      </c>
      <c r="R3716" t="s">
        <v>32530</v>
      </c>
      <c r="S3716" t="s">
        <v>32568</v>
      </c>
      <c r="T3716" t="s">
        <v>33170</v>
      </c>
      <c r="U3716" t="s">
        <v>36787</v>
      </c>
      <c r="W3716" t="s">
        <v>30991</v>
      </c>
      <c r="X3716" t="s">
        <v>32531</v>
      </c>
    </row>
    <row r="3717" spans="1:24">
      <c r="A3717">
        <f>HYPERLINK("https://www.philgeps.gov.ph/GEPSNONPILOT/Tender/SplashBidNoticeAbstractUI.aspx?menuIndex=3&amp;refID=7041389&amp;Result=3","7041389")</f>
        <v>0</v>
      </c>
      <c r="B3717" t="s">
        <v>528</v>
      </c>
      <c r="C3717" t="s">
        <v>6228</v>
      </c>
      <c r="D3717" t="s">
        <v>13041</v>
      </c>
      <c r="E3717" t="s">
        <v>16421</v>
      </c>
      <c r="F3717" t="s">
        <v>22436</v>
      </c>
      <c r="G3717" t="s">
        <v>22443</v>
      </c>
      <c r="H3717" t="s">
        <v>22452</v>
      </c>
      <c r="I3717" t="s">
        <v>22461</v>
      </c>
      <c r="J3717" t="s">
        <v>25088</v>
      </c>
      <c r="K3717" t="s">
        <v>29330</v>
      </c>
      <c r="M3717" t="s">
        <v>30975</v>
      </c>
      <c r="N3717" t="s">
        <v>32524</v>
      </c>
      <c r="O3717" t="s">
        <v>32525</v>
      </c>
      <c r="P3717">
        <v>0</v>
      </c>
      <c r="Q3717">
        <v>3</v>
      </c>
      <c r="R3717" t="s">
        <v>32530</v>
      </c>
      <c r="S3717" t="s">
        <v>32568</v>
      </c>
      <c r="T3717" t="s">
        <v>33292</v>
      </c>
      <c r="U3717" t="s">
        <v>36788</v>
      </c>
      <c r="W3717" t="s">
        <v>43714</v>
      </c>
      <c r="X3717" t="s">
        <v>32531</v>
      </c>
    </row>
    <row r="3718" spans="1:24">
      <c r="A3718">
        <f>HYPERLINK("https://www.philgeps.gov.ph/GEPSNONPILOT/Tender/SplashBidNoticeAbstractUI.aspx?menuIndex=3&amp;refID=7041367&amp;Result=3","7041367")</f>
        <v>0</v>
      </c>
      <c r="B3718" t="s">
        <v>1322</v>
      </c>
      <c r="C3718" t="s">
        <v>6229</v>
      </c>
      <c r="D3718" t="s">
        <v>13007</v>
      </c>
      <c r="E3718" t="s">
        <v>16422</v>
      </c>
      <c r="F3718" t="s">
        <v>22436</v>
      </c>
      <c r="G3718" t="s">
        <v>22444</v>
      </c>
      <c r="H3718" t="s">
        <v>22452</v>
      </c>
      <c r="I3718" t="s">
        <v>22474</v>
      </c>
      <c r="J3718" t="s">
        <v>22779</v>
      </c>
      <c r="K3718" t="s">
        <v>29335</v>
      </c>
      <c r="M3718" t="s">
        <v>30977</v>
      </c>
      <c r="N3718" t="s">
        <v>32524</v>
      </c>
      <c r="O3718" t="s">
        <v>32525</v>
      </c>
      <c r="P3718">
        <v>0</v>
      </c>
      <c r="Q3718">
        <v>2</v>
      </c>
      <c r="R3718" t="s">
        <v>32530</v>
      </c>
      <c r="S3718" t="s">
        <v>32568</v>
      </c>
      <c r="T3718" t="s">
        <v>33354</v>
      </c>
      <c r="U3718" t="s">
        <v>36789</v>
      </c>
      <c r="W3718" t="s">
        <v>30977</v>
      </c>
      <c r="X3718" t="s">
        <v>32531</v>
      </c>
    </row>
    <row r="3719" spans="1:24">
      <c r="A3719">
        <f>HYPERLINK("https://www.philgeps.gov.ph/GEPSNONPILOT/Tender/SplashBidNoticeAbstractUI.aspx?menuIndex=3&amp;refID=7041441&amp;Result=3","7041441")</f>
        <v>0</v>
      </c>
      <c r="B3719" t="s">
        <v>720</v>
      </c>
      <c r="C3719" t="s">
        <v>6230</v>
      </c>
      <c r="D3719" t="s">
        <v>13058</v>
      </c>
      <c r="E3719" t="s">
        <v>16423</v>
      </c>
      <c r="F3719" t="s">
        <v>22436</v>
      </c>
      <c r="G3719" t="s">
        <v>22444</v>
      </c>
      <c r="H3719" t="s">
        <v>22452</v>
      </c>
      <c r="I3719" t="s">
        <v>22479</v>
      </c>
      <c r="J3719" t="s">
        <v>22605</v>
      </c>
      <c r="K3719" t="s">
        <v>29336</v>
      </c>
      <c r="M3719" t="s">
        <v>30317</v>
      </c>
      <c r="N3719" t="s">
        <v>32524</v>
      </c>
      <c r="O3719" t="s">
        <v>32525</v>
      </c>
      <c r="P3719">
        <v>0</v>
      </c>
      <c r="Q3719">
        <v>0</v>
      </c>
      <c r="R3719" t="s">
        <v>32530</v>
      </c>
      <c r="S3719" t="s">
        <v>32568</v>
      </c>
      <c r="T3719" t="s">
        <v>33180</v>
      </c>
      <c r="U3719" t="s">
        <v>36790</v>
      </c>
      <c r="V3719" t="s">
        <v>42801</v>
      </c>
      <c r="W3719" t="s">
        <v>30317</v>
      </c>
      <c r="X3719" t="s">
        <v>32531</v>
      </c>
    </row>
    <row r="3720" spans="1:24">
      <c r="A3720">
        <f>HYPERLINK("https://www.philgeps.gov.ph/GEPSNONPILOT/Tender/SplashBidNoticeAbstractUI.aspx?menuIndex=3&amp;refID=7041402&amp;Result=3","7041402")</f>
        <v>0</v>
      </c>
      <c r="B3720" t="s">
        <v>1330</v>
      </c>
      <c r="C3720" t="s">
        <v>6231</v>
      </c>
      <c r="D3720" t="s">
        <v>13006</v>
      </c>
      <c r="E3720" t="s">
        <v>13318</v>
      </c>
      <c r="F3720" t="s">
        <v>22436</v>
      </c>
      <c r="G3720" t="s">
        <v>22444</v>
      </c>
      <c r="H3720" t="s">
        <v>22454</v>
      </c>
      <c r="I3720" t="s">
        <v>7738</v>
      </c>
      <c r="J3720" t="s">
        <v>25089</v>
      </c>
      <c r="K3720" t="s">
        <v>29333</v>
      </c>
      <c r="M3720" t="s">
        <v>30985</v>
      </c>
      <c r="N3720" t="s">
        <v>32524</v>
      </c>
      <c r="O3720" t="s">
        <v>32525</v>
      </c>
      <c r="P3720">
        <v>0</v>
      </c>
      <c r="Q3720">
        <v>0</v>
      </c>
      <c r="R3720" t="s">
        <v>32530</v>
      </c>
      <c r="S3720" t="s">
        <v>32568</v>
      </c>
      <c r="T3720" t="s">
        <v>33221</v>
      </c>
      <c r="U3720" t="s">
        <v>36791</v>
      </c>
      <c r="W3720" t="s">
        <v>30985</v>
      </c>
      <c r="X3720" t="s">
        <v>32531</v>
      </c>
    </row>
    <row r="3721" spans="1:24">
      <c r="A3721">
        <f>HYPERLINK("https://www.philgeps.gov.ph/GEPSNONPILOT/Tender/SplashBidNoticeAbstractUI.aspx?menuIndex=3&amp;refID=7041395&amp;Result=3","7041395")</f>
        <v>0</v>
      </c>
      <c r="B3721" t="s">
        <v>1121</v>
      </c>
      <c r="C3721" t="s">
        <v>6232</v>
      </c>
      <c r="D3721" t="s">
        <v>13038</v>
      </c>
      <c r="E3721" t="s">
        <v>16424</v>
      </c>
      <c r="F3721" t="s">
        <v>22436</v>
      </c>
      <c r="G3721" t="s">
        <v>22443</v>
      </c>
      <c r="H3721" t="s">
        <v>22452</v>
      </c>
      <c r="I3721" t="s">
        <v>22479</v>
      </c>
      <c r="J3721" t="s">
        <v>22605</v>
      </c>
      <c r="K3721" t="s">
        <v>29335</v>
      </c>
      <c r="M3721" t="s">
        <v>30759</v>
      </c>
      <c r="N3721" t="s">
        <v>32524</v>
      </c>
      <c r="O3721" t="s">
        <v>32525</v>
      </c>
      <c r="P3721">
        <v>0</v>
      </c>
      <c r="Q3721">
        <v>3</v>
      </c>
      <c r="R3721" t="s">
        <v>32530</v>
      </c>
      <c r="S3721" t="s">
        <v>32568</v>
      </c>
      <c r="T3721" t="s">
        <v>33310</v>
      </c>
      <c r="U3721" t="s">
        <v>36792</v>
      </c>
      <c r="W3721" t="s">
        <v>30759</v>
      </c>
      <c r="X3721" t="s">
        <v>32531</v>
      </c>
    </row>
    <row r="3722" spans="1:24">
      <c r="A3722">
        <f>HYPERLINK("https://www.philgeps.gov.ph/GEPSNONPILOT/Tender/SplashBidNoticeAbstractUI.aspx?menuIndex=3&amp;refID=7041435&amp;Result=3","7041435")</f>
        <v>0</v>
      </c>
      <c r="B3722" t="s">
        <v>494</v>
      </c>
      <c r="C3722" t="s">
        <v>6233</v>
      </c>
      <c r="D3722" t="s">
        <v>12994</v>
      </c>
      <c r="E3722" t="s">
        <v>16425</v>
      </c>
      <c r="F3722" t="s">
        <v>22436</v>
      </c>
      <c r="G3722" t="s">
        <v>22444</v>
      </c>
      <c r="H3722" t="s">
        <v>22454</v>
      </c>
      <c r="I3722" t="s">
        <v>7738</v>
      </c>
      <c r="J3722" t="s">
        <v>25090</v>
      </c>
      <c r="K3722" t="s">
        <v>29338</v>
      </c>
      <c r="M3722" t="s">
        <v>30078</v>
      </c>
      <c r="N3722" t="s">
        <v>32524</v>
      </c>
      <c r="O3722" t="s">
        <v>32525</v>
      </c>
      <c r="P3722">
        <v>0</v>
      </c>
      <c r="Q3722">
        <v>2</v>
      </c>
      <c r="R3722" t="s">
        <v>32530</v>
      </c>
      <c r="S3722" t="s">
        <v>32568</v>
      </c>
      <c r="T3722" t="s">
        <v>33187</v>
      </c>
      <c r="U3722" t="s">
        <v>36793</v>
      </c>
      <c r="W3722" t="s">
        <v>30078</v>
      </c>
      <c r="X3722" t="s">
        <v>32531</v>
      </c>
    </row>
    <row r="3723" spans="1:24">
      <c r="A3723">
        <f>HYPERLINK("https://www.philgeps.gov.ph/GEPSNONPILOT/Tender/SplashBidNoticeAbstractUI.aspx?menuIndex=3&amp;refID=7041368&amp;Result=3","7041368")</f>
        <v>0</v>
      </c>
      <c r="B3723" t="s">
        <v>1329</v>
      </c>
      <c r="C3723" t="s">
        <v>6234</v>
      </c>
      <c r="D3723" t="s">
        <v>13060</v>
      </c>
      <c r="E3723" t="s">
        <v>16426</v>
      </c>
      <c r="F3723" t="s">
        <v>22436</v>
      </c>
      <c r="G3723" t="s">
        <v>22444</v>
      </c>
      <c r="H3723" t="s">
        <v>22452</v>
      </c>
      <c r="I3723" t="s">
        <v>22474</v>
      </c>
      <c r="J3723" t="s">
        <v>22669</v>
      </c>
      <c r="K3723" t="s">
        <v>29341</v>
      </c>
      <c r="M3723" t="s">
        <v>30984</v>
      </c>
      <c r="N3723" t="s">
        <v>32524</v>
      </c>
      <c r="O3723" t="s">
        <v>32525</v>
      </c>
      <c r="P3723">
        <v>0</v>
      </c>
      <c r="Q3723">
        <v>7</v>
      </c>
      <c r="R3723" t="s">
        <v>32530</v>
      </c>
      <c r="S3723" t="s">
        <v>32568</v>
      </c>
      <c r="T3723" t="s">
        <v>33405</v>
      </c>
      <c r="U3723" t="s">
        <v>36770</v>
      </c>
      <c r="W3723" t="s">
        <v>30984</v>
      </c>
      <c r="X3723" t="s">
        <v>32531</v>
      </c>
    </row>
    <row r="3724" spans="1:24">
      <c r="A3724">
        <f>HYPERLINK("https://www.philgeps.gov.ph/GEPSNONPILOT/Tender/SplashBidNoticeAbstractUI.aspx?menuIndex=3&amp;refID=7041438&amp;Result=3","7041438")</f>
        <v>0</v>
      </c>
      <c r="B3724" t="s">
        <v>1338</v>
      </c>
      <c r="C3724" t="s">
        <v>6235</v>
      </c>
      <c r="D3724" t="s">
        <v>13046</v>
      </c>
      <c r="E3724" t="s">
        <v>16427</v>
      </c>
      <c r="F3724" t="s">
        <v>22436</v>
      </c>
      <c r="G3724" t="s">
        <v>22443</v>
      </c>
      <c r="H3724" t="s">
        <v>22452</v>
      </c>
      <c r="I3724" t="s">
        <v>22456</v>
      </c>
      <c r="J3724" t="s">
        <v>25091</v>
      </c>
      <c r="K3724" t="s">
        <v>29335</v>
      </c>
      <c r="M3724" t="s">
        <v>30993</v>
      </c>
      <c r="N3724" t="s">
        <v>32524</v>
      </c>
      <c r="O3724" t="s">
        <v>32525</v>
      </c>
      <c r="P3724">
        <v>0</v>
      </c>
      <c r="Q3724">
        <v>8</v>
      </c>
      <c r="R3724" t="s">
        <v>32530</v>
      </c>
      <c r="S3724" t="s">
        <v>32568</v>
      </c>
      <c r="T3724" t="s">
        <v>33323</v>
      </c>
      <c r="U3724" t="s">
        <v>36794</v>
      </c>
      <c r="V3724" t="s">
        <v>42802</v>
      </c>
      <c r="W3724" t="s">
        <v>30993</v>
      </c>
      <c r="X3724" t="s">
        <v>32531</v>
      </c>
    </row>
    <row r="3725" spans="1:24">
      <c r="A3725">
        <f>HYPERLINK("https://www.philgeps.gov.ph/GEPSNONPILOT/Tender/SplashBidNoticeAbstractUI.aspx?menuIndex=3&amp;refID=7041430&amp;Result=3","7041430")</f>
        <v>0</v>
      </c>
      <c r="B3725" t="s">
        <v>1339</v>
      </c>
      <c r="C3725" t="s">
        <v>6236</v>
      </c>
      <c r="D3725" t="s">
        <v>13050</v>
      </c>
      <c r="E3725" t="s">
        <v>16428</v>
      </c>
      <c r="F3725" t="s">
        <v>22436</v>
      </c>
      <c r="G3725" t="s">
        <v>22443</v>
      </c>
      <c r="H3725" t="s">
        <v>22452</v>
      </c>
      <c r="I3725" t="s">
        <v>6236</v>
      </c>
      <c r="J3725" t="s">
        <v>22694</v>
      </c>
      <c r="K3725" t="s">
        <v>29336</v>
      </c>
      <c r="M3725" t="s">
        <v>30994</v>
      </c>
      <c r="N3725" t="s">
        <v>32524</v>
      </c>
      <c r="O3725" t="s">
        <v>32525</v>
      </c>
      <c r="P3725">
        <v>0</v>
      </c>
      <c r="Q3725">
        <v>0</v>
      </c>
      <c r="R3725" t="s">
        <v>32530</v>
      </c>
      <c r="S3725" t="s">
        <v>32568</v>
      </c>
      <c r="T3725" t="s">
        <v>33372</v>
      </c>
      <c r="U3725" t="s">
        <v>36795</v>
      </c>
      <c r="W3725" t="s">
        <v>30994</v>
      </c>
      <c r="X3725" t="s">
        <v>32531</v>
      </c>
    </row>
    <row r="3726" spans="1:24">
      <c r="A3726">
        <f>HYPERLINK("https://www.philgeps.gov.ph/GEPSNONPILOT/Tender/SplashBidNoticeAbstractUI.aspx?menuIndex=3&amp;refID=7041374&amp;Result=3","7041374")</f>
        <v>0</v>
      </c>
      <c r="B3726" t="s">
        <v>1320</v>
      </c>
      <c r="C3726" t="s">
        <v>6237</v>
      </c>
      <c r="D3726" t="s">
        <v>13025</v>
      </c>
      <c r="E3726" t="s">
        <v>16429</v>
      </c>
      <c r="F3726" t="s">
        <v>22436</v>
      </c>
      <c r="G3726" t="s">
        <v>22444</v>
      </c>
      <c r="H3726" t="s">
        <v>22452</v>
      </c>
      <c r="I3726" t="s">
        <v>6421</v>
      </c>
      <c r="J3726" t="s">
        <v>25092</v>
      </c>
      <c r="K3726" t="s">
        <v>29336</v>
      </c>
      <c r="M3726" t="s">
        <v>30974</v>
      </c>
      <c r="N3726" t="s">
        <v>32524</v>
      </c>
      <c r="O3726" t="s">
        <v>32525</v>
      </c>
      <c r="P3726">
        <v>0</v>
      </c>
      <c r="Q3726">
        <v>1</v>
      </c>
      <c r="R3726" t="s">
        <v>32530</v>
      </c>
      <c r="S3726" t="s">
        <v>32568</v>
      </c>
      <c r="T3726" t="s">
        <v>33197</v>
      </c>
      <c r="U3726" t="s">
        <v>36796</v>
      </c>
      <c r="V3726" t="s">
        <v>42790</v>
      </c>
      <c r="W3726" t="s">
        <v>30974</v>
      </c>
      <c r="X3726" t="s">
        <v>32531</v>
      </c>
    </row>
    <row r="3727" spans="1:24">
      <c r="A3727">
        <f>HYPERLINK("https://www.philgeps.gov.ph/GEPSNONPILOT/Tender/SplashBidNoticeAbstractUI.aspx?menuIndex=3&amp;refID=7041423&amp;Result=3","7041423")</f>
        <v>0</v>
      </c>
      <c r="B3727" t="s">
        <v>1121</v>
      </c>
      <c r="C3727" t="s">
        <v>6238</v>
      </c>
      <c r="D3727" t="s">
        <v>13038</v>
      </c>
      <c r="E3727" t="s">
        <v>16430</v>
      </c>
      <c r="F3727" t="s">
        <v>22436</v>
      </c>
      <c r="G3727" t="s">
        <v>22443</v>
      </c>
      <c r="H3727" t="s">
        <v>22452</v>
      </c>
      <c r="I3727" t="s">
        <v>22461</v>
      </c>
      <c r="J3727" t="s">
        <v>25093</v>
      </c>
      <c r="K3727" t="s">
        <v>29335</v>
      </c>
      <c r="M3727" t="s">
        <v>30759</v>
      </c>
      <c r="N3727" t="s">
        <v>32524</v>
      </c>
      <c r="O3727" t="s">
        <v>32525</v>
      </c>
      <c r="P3727">
        <v>0</v>
      </c>
      <c r="Q3727">
        <v>0</v>
      </c>
      <c r="R3727" t="s">
        <v>32530</v>
      </c>
      <c r="S3727" t="s">
        <v>32568</v>
      </c>
      <c r="T3727" t="s">
        <v>33310</v>
      </c>
      <c r="U3727" t="s">
        <v>36797</v>
      </c>
      <c r="W3727" t="s">
        <v>30759</v>
      </c>
      <c r="X3727" t="s">
        <v>32531</v>
      </c>
    </row>
    <row r="3728" spans="1:24">
      <c r="A3728">
        <f>HYPERLINK("https://www.philgeps.gov.ph/GEPSNONPILOT/Tender/SplashBidNoticeAbstractUI.aspx?menuIndex=3&amp;refID=7041421&amp;Result=3","7041421")</f>
        <v>0</v>
      </c>
      <c r="B3728" t="s">
        <v>1340</v>
      </c>
      <c r="C3728" t="s">
        <v>6239</v>
      </c>
      <c r="D3728" t="s">
        <v>12994</v>
      </c>
      <c r="E3728" t="s">
        <v>16398</v>
      </c>
      <c r="F3728" t="s">
        <v>22436</v>
      </c>
      <c r="G3728" t="s">
        <v>22446</v>
      </c>
      <c r="H3728" t="s">
        <v>22452</v>
      </c>
      <c r="I3728" t="s">
        <v>22465</v>
      </c>
      <c r="J3728" t="s">
        <v>25094</v>
      </c>
      <c r="K3728" t="s">
        <v>29331</v>
      </c>
      <c r="M3728" t="s">
        <v>30995</v>
      </c>
      <c r="N3728" t="s">
        <v>32524</v>
      </c>
      <c r="O3728" t="s">
        <v>32525</v>
      </c>
      <c r="P3728">
        <v>0</v>
      </c>
      <c r="Q3728">
        <v>0</v>
      </c>
      <c r="R3728" t="s">
        <v>32530</v>
      </c>
      <c r="S3728" t="s">
        <v>32568</v>
      </c>
      <c r="T3728" t="s">
        <v>33228</v>
      </c>
      <c r="U3728" t="s">
        <v>36798</v>
      </c>
      <c r="W3728" t="s">
        <v>30995</v>
      </c>
      <c r="X3728" t="s">
        <v>32531</v>
      </c>
    </row>
    <row r="3729" spans="1:24">
      <c r="A3729">
        <f>HYPERLINK("https://www.philgeps.gov.ph/GEPSNONPILOT/Tender/SplashBidNoticeAbstractUI.aspx?menuIndex=3&amp;refID=7041411&amp;Result=3","7041411")</f>
        <v>0</v>
      </c>
      <c r="B3729" t="s">
        <v>1121</v>
      </c>
      <c r="C3729" t="s">
        <v>6240</v>
      </c>
      <c r="D3729" t="s">
        <v>13038</v>
      </c>
      <c r="E3729" t="s">
        <v>16431</v>
      </c>
      <c r="F3729" t="s">
        <v>22436</v>
      </c>
      <c r="G3729" t="s">
        <v>22443</v>
      </c>
      <c r="H3729" t="s">
        <v>22452</v>
      </c>
      <c r="I3729" t="s">
        <v>2981</v>
      </c>
      <c r="J3729" t="s">
        <v>25095</v>
      </c>
      <c r="K3729" t="s">
        <v>29335</v>
      </c>
      <c r="M3729" t="s">
        <v>30759</v>
      </c>
      <c r="N3729" t="s">
        <v>32524</v>
      </c>
      <c r="O3729" t="s">
        <v>32525</v>
      </c>
      <c r="P3729">
        <v>0</v>
      </c>
      <c r="Q3729">
        <v>1</v>
      </c>
      <c r="R3729" t="s">
        <v>32530</v>
      </c>
      <c r="S3729" t="s">
        <v>32568</v>
      </c>
      <c r="T3729" t="s">
        <v>33310</v>
      </c>
      <c r="U3729" t="s">
        <v>36799</v>
      </c>
      <c r="W3729" t="s">
        <v>30759</v>
      </c>
      <c r="X3729" t="s">
        <v>32531</v>
      </c>
    </row>
    <row r="3730" spans="1:24">
      <c r="A3730">
        <f>HYPERLINK("https://www.philgeps.gov.ph/GEPSNONPILOT/Tender/SplashBidNoticeAbstractUI.aspx?menuIndex=3&amp;refID=7041418&amp;Result=3","7041418")</f>
        <v>0</v>
      </c>
      <c r="B3730" t="s">
        <v>732</v>
      </c>
      <c r="C3730" t="s">
        <v>6241</v>
      </c>
      <c r="D3730" t="s">
        <v>13045</v>
      </c>
      <c r="E3730" t="s">
        <v>16432</v>
      </c>
      <c r="F3730" t="s">
        <v>22436</v>
      </c>
      <c r="G3730" t="s">
        <v>22444</v>
      </c>
      <c r="H3730" t="s">
        <v>22454</v>
      </c>
      <c r="I3730" t="s">
        <v>7738</v>
      </c>
      <c r="J3730" t="s">
        <v>25096</v>
      </c>
      <c r="K3730" t="s">
        <v>29335</v>
      </c>
      <c r="M3730" t="s">
        <v>30330</v>
      </c>
      <c r="N3730" t="s">
        <v>32524</v>
      </c>
      <c r="O3730" t="s">
        <v>32525</v>
      </c>
      <c r="P3730">
        <v>0</v>
      </c>
      <c r="Q3730">
        <v>0</v>
      </c>
      <c r="R3730" t="s">
        <v>32530</v>
      </c>
      <c r="S3730" t="s">
        <v>32568</v>
      </c>
      <c r="T3730" t="s">
        <v>33405</v>
      </c>
      <c r="U3730" t="s">
        <v>36734</v>
      </c>
      <c r="W3730" t="s">
        <v>30330</v>
      </c>
      <c r="X3730" t="s">
        <v>32531</v>
      </c>
    </row>
    <row r="3731" spans="1:24">
      <c r="A3731">
        <f>HYPERLINK("https://www.philgeps.gov.ph/GEPSNONPILOT/Tender/SplashBidNoticeAbstractUI.aspx?menuIndex=3&amp;refID=7041420&amp;Result=3","7041420")</f>
        <v>0</v>
      </c>
      <c r="B3731" t="s">
        <v>1341</v>
      </c>
      <c r="C3731" t="s">
        <v>6242</v>
      </c>
      <c r="D3731" t="s">
        <v>13040</v>
      </c>
      <c r="E3731" t="s">
        <v>16433</v>
      </c>
      <c r="F3731" t="s">
        <v>22436</v>
      </c>
      <c r="G3731" t="s">
        <v>22443</v>
      </c>
      <c r="H3731" t="s">
        <v>22452</v>
      </c>
      <c r="I3731" t="s">
        <v>22484</v>
      </c>
      <c r="J3731" t="s">
        <v>22878</v>
      </c>
      <c r="K3731" t="s">
        <v>29368</v>
      </c>
      <c r="M3731" t="s">
        <v>30996</v>
      </c>
      <c r="N3731" t="s">
        <v>32524</v>
      </c>
      <c r="O3731" t="s">
        <v>32525</v>
      </c>
      <c r="P3731">
        <v>0</v>
      </c>
      <c r="Q3731">
        <v>3</v>
      </c>
      <c r="R3731" t="s">
        <v>32530</v>
      </c>
      <c r="S3731" t="s">
        <v>32568</v>
      </c>
      <c r="T3731" t="s">
        <v>33185</v>
      </c>
      <c r="U3731" t="s">
        <v>36800</v>
      </c>
      <c r="W3731" t="s">
        <v>30996</v>
      </c>
      <c r="X3731" t="s">
        <v>32531</v>
      </c>
    </row>
    <row r="3732" spans="1:24">
      <c r="A3732">
        <f>HYPERLINK("https://www.philgeps.gov.ph/GEPSNONPILOT/Tender/SplashBidNoticeAbstractUI.aspx?menuIndex=3&amp;refID=7041419&amp;Result=3","7041419")</f>
        <v>0</v>
      </c>
      <c r="B3732" t="s">
        <v>627</v>
      </c>
      <c r="C3732" t="s">
        <v>6243</v>
      </c>
      <c r="D3732" t="s">
        <v>13041</v>
      </c>
      <c r="E3732" t="s">
        <v>13219</v>
      </c>
      <c r="F3732" t="s">
        <v>22436</v>
      </c>
      <c r="G3732" t="s">
        <v>22443</v>
      </c>
      <c r="H3732" t="s">
        <v>22452</v>
      </c>
      <c r="I3732" t="s">
        <v>3529</v>
      </c>
      <c r="J3732" t="s">
        <v>25097</v>
      </c>
      <c r="K3732" t="s">
        <v>29358</v>
      </c>
      <c r="M3732" t="s">
        <v>30218</v>
      </c>
      <c r="N3732" t="s">
        <v>32524</v>
      </c>
      <c r="O3732" t="s">
        <v>32525</v>
      </c>
      <c r="P3732">
        <v>0</v>
      </c>
      <c r="Q3732">
        <v>1</v>
      </c>
      <c r="R3732" t="s">
        <v>32530</v>
      </c>
      <c r="S3732" t="s">
        <v>32568</v>
      </c>
      <c r="T3732" t="s">
        <v>33169</v>
      </c>
      <c r="U3732" t="s">
        <v>36801</v>
      </c>
      <c r="W3732" t="s">
        <v>30218</v>
      </c>
      <c r="X3732" t="s">
        <v>32531</v>
      </c>
    </row>
    <row r="3733" spans="1:24">
      <c r="A3733">
        <f>HYPERLINK("https://www.philgeps.gov.ph/GEPSNONPILOT/Tender/SplashBidNoticeAbstractUI.aspx?menuIndex=3&amp;refID=7041442&amp;Result=3","7041442")</f>
        <v>0</v>
      </c>
      <c r="B3733" t="s">
        <v>1341</v>
      </c>
      <c r="C3733" t="s">
        <v>6244</v>
      </c>
      <c r="D3733" t="s">
        <v>13040</v>
      </c>
      <c r="E3733" t="s">
        <v>16433</v>
      </c>
      <c r="F3733" t="s">
        <v>22436</v>
      </c>
      <c r="G3733" t="s">
        <v>22443</v>
      </c>
      <c r="H3733" t="s">
        <v>22452</v>
      </c>
      <c r="I3733" t="s">
        <v>6421</v>
      </c>
      <c r="J3733" t="s">
        <v>25098</v>
      </c>
      <c r="K3733" t="s">
        <v>29368</v>
      </c>
      <c r="M3733" t="s">
        <v>30996</v>
      </c>
      <c r="N3733" t="s">
        <v>32524</v>
      </c>
      <c r="O3733" t="s">
        <v>32525</v>
      </c>
      <c r="P3733">
        <v>0</v>
      </c>
      <c r="Q3733">
        <v>1</v>
      </c>
      <c r="R3733" t="s">
        <v>32530</v>
      </c>
      <c r="S3733" t="s">
        <v>32568</v>
      </c>
      <c r="T3733" t="s">
        <v>33185</v>
      </c>
      <c r="U3733" t="s">
        <v>36802</v>
      </c>
      <c r="W3733" t="s">
        <v>30996</v>
      </c>
      <c r="X3733" t="s">
        <v>32531</v>
      </c>
    </row>
    <row r="3734" spans="1:24">
      <c r="A3734">
        <f>HYPERLINK("https://www.philgeps.gov.ph/GEPSNONPILOT/Tender/SplashBidNoticeAbstractUI.aspx?menuIndex=3&amp;refID=7041409&amp;Result=3","7041409")</f>
        <v>0</v>
      </c>
      <c r="B3734" t="s">
        <v>1329</v>
      </c>
      <c r="C3734" t="s">
        <v>6245</v>
      </c>
      <c r="D3734" t="s">
        <v>13060</v>
      </c>
      <c r="E3734" t="s">
        <v>16434</v>
      </c>
      <c r="F3734" t="s">
        <v>22436</v>
      </c>
      <c r="G3734" t="s">
        <v>22444</v>
      </c>
      <c r="H3734" t="s">
        <v>22454</v>
      </c>
      <c r="I3734" t="s">
        <v>22504</v>
      </c>
      <c r="J3734" t="s">
        <v>22587</v>
      </c>
      <c r="K3734" t="s">
        <v>29344</v>
      </c>
      <c r="M3734" t="s">
        <v>30984</v>
      </c>
      <c r="N3734" t="s">
        <v>32524</v>
      </c>
      <c r="O3734" t="s">
        <v>32525</v>
      </c>
      <c r="P3734">
        <v>0</v>
      </c>
      <c r="Q3734">
        <v>3</v>
      </c>
      <c r="R3734" t="s">
        <v>32530</v>
      </c>
      <c r="S3734" t="s">
        <v>32568</v>
      </c>
      <c r="T3734" t="s">
        <v>33297</v>
      </c>
      <c r="U3734" t="s">
        <v>36803</v>
      </c>
      <c r="W3734" t="s">
        <v>30984</v>
      </c>
      <c r="X3734" t="s">
        <v>32531</v>
      </c>
    </row>
    <row r="3735" spans="1:24">
      <c r="A3735">
        <f>HYPERLINK("https://www.philgeps.gov.ph/GEPSNONPILOT/Tender/SplashBidNoticeAbstractUI.aspx?menuIndex=3&amp;refID=7041454&amp;Result=3","7041454")</f>
        <v>0</v>
      </c>
      <c r="B3735" t="s">
        <v>732</v>
      </c>
      <c r="C3735" t="s">
        <v>6246</v>
      </c>
      <c r="D3735" t="s">
        <v>13045</v>
      </c>
      <c r="E3735" t="s">
        <v>16435</v>
      </c>
      <c r="F3735" t="s">
        <v>22436</v>
      </c>
      <c r="G3735" t="s">
        <v>22444</v>
      </c>
      <c r="H3735" t="s">
        <v>22452</v>
      </c>
      <c r="I3735" t="s">
        <v>12358</v>
      </c>
      <c r="J3735" t="s">
        <v>22703</v>
      </c>
      <c r="K3735" t="s">
        <v>29335</v>
      </c>
      <c r="M3735" t="s">
        <v>30330</v>
      </c>
      <c r="N3735" t="s">
        <v>32524</v>
      </c>
      <c r="O3735" t="s">
        <v>32525</v>
      </c>
      <c r="P3735">
        <v>0</v>
      </c>
      <c r="Q3735">
        <v>5</v>
      </c>
      <c r="R3735" t="s">
        <v>32530</v>
      </c>
      <c r="S3735" t="s">
        <v>32568</v>
      </c>
      <c r="T3735" t="s">
        <v>33405</v>
      </c>
      <c r="U3735" t="s">
        <v>36734</v>
      </c>
      <c r="W3735" t="s">
        <v>30330</v>
      </c>
      <c r="X3735" t="s">
        <v>32531</v>
      </c>
    </row>
    <row r="3736" spans="1:24">
      <c r="A3736">
        <f>HYPERLINK("https://www.philgeps.gov.ph/GEPSNONPILOT/Tender/SplashBidNoticeAbstractUI.aspx?menuIndex=3&amp;refID=7041451&amp;Result=3","7041451")</f>
        <v>0</v>
      </c>
      <c r="B3736" t="s">
        <v>1121</v>
      </c>
      <c r="C3736" t="s">
        <v>6247</v>
      </c>
      <c r="D3736" t="s">
        <v>13038</v>
      </c>
      <c r="E3736" t="s">
        <v>16436</v>
      </c>
      <c r="F3736" t="s">
        <v>22436</v>
      </c>
      <c r="G3736" t="s">
        <v>22443</v>
      </c>
      <c r="H3736" t="s">
        <v>22452</v>
      </c>
      <c r="I3736" t="s">
        <v>22461</v>
      </c>
      <c r="J3736" t="s">
        <v>24082</v>
      </c>
      <c r="K3736" t="s">
        <v>29335</v>
      </c>
      <c r="M3736" t="s">
        <v>30759</v>
      </c>
      <c r="N3736" t="s">
        <v>32524</v>
      </c>
      <c r="O3736" t="s">
        <v>32525</v>
      </c>
      <c r="P3736">
        <v>0</v>
      </c>
      <c r="Q3736">
        <v>1</v>
      </c>
      <c r="R3736" t="s">
        <v>32530</v>
      </c>
      <c r="S3736" t="s">
        <v>32568</v>
      </c>
      <c r="T3736" t="s">
        <v>33310</v>
      </c>
      <c r="U3736" t="s">
        <v>36804</v>
      </c>
      <c r="W3736" t="s">
        <v>30759</v>
      </c>
      <c r="X3736" t="s">
        <v>32531</v>
      </c>
    </row>
    <row r="3737" spans="1:24">
      <c r="A3737">
        <f>HYPERLINK("https://www.philgeps.gov.ph/GEPSNONPILOT/Tender/SplashBidNoticeAbstractUI.aspx?menuIndex=3&amp;refID=7041450&amp;Result=3","7041450")</f>
        <v>0</v>
      </c>
      <c r="B3737" t="s">
        <v>1342</v>
      </c>
      <c r="C3737" t="s">
        <v>6248</v>
      </c>
      <c r="D3737" t="s">
        <v>13011</v>
      </c>
      <c r="E3737" t="s">
        <v>16437</v>
      </c>
      <c r="F3737" t="s">
        <v>22436</v>
      </c>
      <c r="G3737" t="s">
        <v>22443</v>
      </c>
      <c r="H3737" t="s">
        <v>22452</v>
      </c>
      <c r="I3737" t="s">
        <v>22489</v>
      </c>
      <c r="J3737" t="s">
        <v>25099</v>
      </c>
      <c r="K3737" t="s">
        <v>29338</v>
      </c>
      <c r="M3737" t="s">
        <v>30997</v>
      </c>
      <c r="N3737" t="s">
        <v>32524</v>
      </c>
      <c r="O3737" t="s">
        <v>32525</v>
      </c>
      <c r="P3737">
        <v>0</v>
      </c>
      <c r="Q3737">
        <v>8</v>
      </c>
      <c r="R3737" t="s">
        <v>32530</v>
      </c>
      <c r="S3737" t="s">
        <v>32568</v>
      </c>
      <c r="T3737" t="s">
        <v>33220</v>
      </c>
      <c r="U3737" t="s">
        <v>36805</v>
      </c>
      <c r="W3737" t="s">
        <v>30997</v>
      </c>
      <c r="X3737" t="s">
        <v>32531</v>
      </c>
    </row>
    <row r="3738" spans="1:24">
      <c r="A3738">
        <f>HYPERLINK("https://www.philgeps.gov.ph/GEPSNONPILOT/Tender/SplashBidNoticeAbstractUI.aspx?menuIndex=3&amp;refID=7041404&amp;Result=3","7041404")</f>
        <v>0</v>
      </c>
      <c r="B3738" t="s">
        <v>1341</v>
      </c>
      <c r="C3738" t="s">
        <v>6249</v>
      </c>
      <c r="D3738" t="s">
        <v>13040</v>
      </c>
      <c r="E3738" t="s">
        <v>16433</v>
      </c>
      <c r="F3738" t="s">
        <v>22436</v>
      </c>
      <c r="G3738" t="s">
        <v>22443</v>
      </c>
      <c r="H3738" t="s">
        <v>22452</v>
      </c>
      <c r="I3738" t="s">
        <v>22469</v>
      </c>
      <c r="J3738" t="s">
        <v>22797</v>
      </c>
      <c r="K3738" t="s">
        <v>29356</v>
      </c>
      <c r="M3738" t="s">
        <v>30996</v>
      </c>
      <c r="N3738" t="s">
        <v>32524</v>
      </c>
      <c r="O3738" t="s">
        <v>32525</v>
      </c>
      <c r="P3738">
        <v>0</v>
      </c>
      <c r="Q3738">
        <v>0</v>
      </c>
      <c r="R3738" t="s">
        <v>32530</v>
      </c>
      <c r="S3738" t="s">
        <v>32568</v>
      </c>
      <c r="T3738" t="s">
        <v>33185</v>
      </c>
      <c r="U3738" t="s">
        <v>36806</v>
      </c>
      <c r="W3738" t="s">
        <v>30996</v>
      </c>
      <c r="X3738" t="s">
        <v>32531</v>
      </c>
    </row>
    <row r="3739" spans="1:24">
      <c r="A3739">
        <f>HYPERLINK("https://www.philgeps.gov.ph/GEPSNONPILOT/Tender/SplashBidNoticeAbstractUI.aspx?menuIndex=3&amp;refID=7041447&amp;Result=3","7041447")</f>
        <v>0</v>
      </c>
      <c r="B3739" t="s">
        <v>1343</v>
      </c>
      <c r="C3739" t="s">
        <v>6250</v>
      </c>
      <c r="D3739" t="s">
        <v>13000</v>
      </c>
      <c r="E3739" t="s">
        <v>16225</v>
      </c>
      <c r="F3739" t="s">
        <v>22436</v>
      </c>
      <c r="G3739" t="s">
        <v>22444</v>
      </c>
      <c r="H3739" t="s">
        <v>22454</v>
      </c>
      <c r="I3739" t="s">
        <v>7738</v>
      </c>
      <c r="J3739" t="s">
        <v>22893</v>
      </c>
      <c r="K3739" t="s">
        <v>29338</v>
      </c>
      <c r="M3739" t="s">
        <v>30998</v>
      </c>
      <c r="N3739" t="s">
        <v>32524</v>
      </c>
      <c r="O3739" t="s">
        <v>32525</v>
      </c>
      <c r="P3739">
        <v>0</v>
      </c>
      <c r="Q3739">
        <v>0</v>
      </c>
      <c r="R3739" t="s">
        <v>32530</v>
      </c>
      <c r="S3739" t="s">
        <v>32568</v>
      </c>
      <c r="T3739" t="s">
        <v>33154</v>
      </c>
      <c r="U3739" t="s">
        <v>36807</v>
      </c>
      <c r="W3739" t="s">
        <v>30998</v>
      </c>
      <c r="X3739" t="s">
        <v>32531</v>
      </c>
    </row>
    <row r="3740" spans="1:24">
      <c r="A3740">
        <f>HYPERLINK("https://www.philgeps.gov.ph/GEPSNONPILOT/Tender/SplashBidNoticeAbstractUI.aspx?menuIndex=3&amp;refID=7041453&amp;Result=3","7041453")</f>
        <v>0</v>
      </c>
      <c r="B3740" t="s">
        <v>350</v>
      </c>
      <c r="C3740" t="s">
        <v>6251</v>
      </c>
      <c r="D3740" t="s">
        <v>13031</v>
      </c>
      <c r="E3740" t="s">
        <v>16438</v>
      </c>
      <c r="F3740" t="s">
        <v>22436</v>
      </c>
      <c r="G3740" t="s">
        <v>22446</v>
      </c>
      <c r="H3740" t="s">
        <v>22452</v>
      </c>
      <c r="I3740" t="s">
        <v>5194</v>
      </c>
      <c r="J3740" t="s">
        <v>25100</v>
      </c>
      <c r="K3740" t="s">
        <v>29335</v>
      </c>
      <c r="M3740" t="s">
        <v>29927</v>
      </c>
      <c r="N3740" t="s">
        <v>32524</v>
      </c>
      <c r="O3740" t="s">
        <v>32525</v>
      </c>
      <c r="P3740">
        <v>0</v>
      </c>
      <c r="Q3740">
        <v>4</v>
      </c>
      <c r="R3740" t="s">
        <v>32530</v>
      </c>
      <c r="S3740" t="s">
        <v>32568</v>
      </c>
      <c r="T3740" t="s">
        <v>33209</v>
      </c>
      <c r="U3740" t="s">
        <v>34315</v>
      </c>
      <c r="W3740" t="s">
        <v>29927</v>
      </c>
      <c r="X3740" t="s">
        <v>32531</v>
      </c>
    </row>
    <row r="3741" spans="1:24">
      <c r="A3741">
        <f>HYPERLINK("https://www.philgeps.gov.ph/GEPSNONPILOT/Tender/SplashBidNoticeAbstractUI.aspx?menuIndex=3&amp;refID=7041448&amp;Result=3","7041448")</f>
        <v>0</v>
      </c>
      <c r="B3741" t="s">
        <v>1334</v>
      </c>
      <c r="C3741" t="s">
        <v>6252</v>
      </c>
      <c r="D3741" t="s">
        <v>13056</v>
      </c>
      <c r="E3741" t="s">
        <v>16439</v>
      </c>
      <c r="F3741" t="s">
        <v>22436</v>
      </c>
      <c r="G3741" t="s">
        <v>22444</v>
      </c>
      <c r="H3741" t="s">
        <v>22454</v>
      </c>
      <c r="I3741" t="s">
        <v>22526</v>
      </c>
      <c r="J3741" t="s">
        <v>25084</v>
      </c>
      <c r="K3741" t="s">
        <v>29362</v>
      </c>
      <c r="M3741" t="s">
        <v>30989</v>
      </c>
      <c r="N3741" t="s">
        <v>32524</v>
      </c>
      <c r="O3741" t="s">
        <v>32525</v>
      </c>
      <c r="P3741">
        <v>0</v>
      </c>
      <c r="Q3741">
        <v>0</v>
      </c>
      <c r="R3741" t="s">
        <v>32530</v>
      </c>
      <c r="S3741" t="s">
        <v>32568</v>
      </c>
      <c r="T3741" t="s">
        <v>33167</v>
      </c>
      <c r="U3741" t="s">
        <v>36783</v>
      </c>
      <c r="V3741" t="s">
        <v>42803</v>
      </c>
      <c r="W3741" t="s">
        <v>30989</v>
      </c>
      <c r="X3741" t="s">
        <v>32531</v>
      </c>
    </row>
    <row r="3742" spans="1:24">
      <c r="A3742">
        <f>HYPERLINK("https://www.philgeps.gov.ph/GEPSNONPILOT/Tender/SplashBidNoticeAbstractUI.aspx?menuIndex=3&amp;refID=7041466&amp;Result=3","7041466")</f>
        <v>0</v>
      </c>
      <c r="B3742" t="s">
        <v>1344</v>
      </c>
      <c r="C3742" t="s">
        <v>6253</v>
      </c>
      <c r="D3742" t="s">
        <v>13006</v>
      </c>
      <c r="E3742" t="s">
        <v>16440</v>
      </c>
      <c r="F3742" t="s">
        <v>22436</v>
      </c>
      <c r="G3742" t="s">
        <v>22444</v>
      </c>
      <c r="H3742" t="s">
        <v>22452</v>
      </c>
      <c r="I3742" t="s">
        <v>3529</v>
      </c>
      <c r="J3742" t="s">
        <v>22785</v>
      </c>
      <c r="K3742" t="s">
        <v>29341</v>
      </c>
      <c r="M3742" t="s">
        <v>30999</v>
      </c>
      <c r="N3742" t="s">
        <v>32524</v>
      </c>
      <c r="O3742" t="s">
        <v>32525</v>
      </c>
      <c r="Q3742">
        <v>1</v>
      </c>
      <c r="R3742" t="s">
        <v>32530</v>
      </c>
      <c r="S3742" t="s">
        <v>32570</v>
      </c>
      <c r="T3742" t="s">
        <v>33161</v>
      </c>
      <c r="U3742" t="s">
        <v>36808</v>
      </c>
      <c r="W3742" t="s">
        <v>30999</v>
      </c>
      <c r="X3742" t="s">
        <v>32531</v>
      </c>
    </row>
    <row r="3743" spans="1:24">
      <c r="A3743">
        <f>HYPERLINK("https://www.philgeps.gov.ph/GEPSNONPILOT/Tender/SplashBidNoticeAbstractUI.aspx?menuIndex=3&amp;refID=7041444&amp;Result=3","7041444")</f>
        <v>0</v>
      </c>
      <c r="B3743" t="s">
        <v>1121</v>
      </c>
      <c r="C3743" t="s">
        <v>6254</v>
      </c>
      <c r="D3743" t="s">
        <v>13038</v>
      </c>
      <c r="E3743" t="s">
        <v>16441</v>
      </c>
      <c r="F3743" t="s">
        <v>22436</v>
      </c>
      <c r="G3743" t="s">
        <v>22443</v>
      </c>
      <c r="H3743" t="s">
        <v>22452</v>
      </c>
      <c r="I3743" t="s">
        <v>22461</v>
      </c>
      <c r="J3743" t="s">
        <v>22724</v>
      </c>
      <c r="K3743" t="s">
        <v>29335</v>
      </c>
      <c r="M3743" t="s">
        <v>30759</v>
      </c>
      <c r="N3743" t="s">
        <v>32524</v>
      </c>
      <c r="O3743" t="s">
        <v>32525</v>
      </c>
      <c r="P3743">
        <v>0</v>
      </c>
      <c r="Q3743">
        <v>0</v>
      </c>
      <c r="R3743" t="s">
        <v>32530</v>
      </c>
      <c r="S3743" t="s">
        <v>32568</v>
      </c>
      <c r="T3743" t="s">
        <v>33310</v>
      </c>
      <c r="U3743" t="s">
        <v>36809</v>
      </c>
      <c r="W3743" t="s">
        <v>30759</v>
      </c>
      <c r="X3743" t="s">
        <v>32531</v>
      </c>
    </row>
    <row r="3744" spans="1:24">
      <c r="A3744">
        <f>HYPERLINK("https://www.philgeps.gov.ph/GEPSNONPILOT/Tender/SplashBidNoticeAbstractUI.aspx?menuIndex=3&amp;refID=7041476&amp;Result=3","7041476")</f>
        <v>0</v>
      </c>
      <c r="B3744" t="s">
        <v>1343</v>
      </c>
      <c r="C3744" t="s">
        <v>6255</v>
      </c>
      <c r="D3744" t="s">
        <v>13000</v>
      </c>
      <c r="E3744" t="s">
        <v>16442</v>
      </c>
      <c r="F3744" t="s">
        <v>22436</v>
      </c>
      <c r="G3744" t="s">
        <v>22444</v>
      </c>
      <c r="H3744" t="s">
        <v>22454</v>
      </c>
      <c r="I3744" t="s">
        <v>7738</v>
      </c>
      <c r="J3744" t="s">
        <v>22893</v>
      </c>
      <c r="K3744" t="s">
        <v>29338</v>
      </c>
      <c r="M3744" t="s">
        <v>30998</v>
      </c>
      <c r="N3744" t="s">
        <v>32524</v>
      </c>
      <c r="O3744" t="s">
        <v>32525</v>
      </c>
      <c r="P3744">
        <v>0</v>
      </c>
      <c r="Q3744">
        <v>0</v>
      </c>
      <c r="R3744" t="s">
        <v>32530</v>
      </c>
      <c r="S3744" t="s">
        <v>32568</v>
      </c>
      <c r="T3744" t="s">
        <v>33154</v>
      </c>
      <c r="U3744" t="s">
        <v>36810</v>
      </c>
      <c r="W3744" t="s">
        <v>30998</v>
      </c>
      <c r="X3744" t="s">
        <v>32531</v>
      </c>
    </row>
    <row r="3745" spans="1:24">
      <c r="A3745">
        <f>HYPERLINK("https://www.philgeps.gov.ph/GEPSNONPILOT/Tender/SplashBidNoticeAbstractUI.aspx?menuIndex=3&amp;refID=7041415&amp;Result=3","7041415")</f>
        <v>0</v>
      </c>
      <c r="B3745" t="s">
        <v>1345</v>
      </c>
      <c r="C3745" t="s">
        <v>6256</v>
      </c>
      <c r="D3745" t="s">
        <v>13004</v>
      </c>
      <c r="E3745" t="s">
        <v>16443</v>
      </c>
      <c r="F3745" t="s">
        <v>22436</v>
      </c>
      <c r="G3745" t="s">
        <v>22443</v>
      </c>
      <c r="H3745" t="s">
        <v>22452</v>
      </c>
      <c r="I3745" t="s">
        <v>22469</v>
      </c>
      <c r="J3745" t="s">
        <v>23327</v>
      </c>
      <c r="K3745" t="s">
        <v>29336</v>
      </c>
      <c r="M3745" t="s">
        <v>31000</v>
      </c>
      <c r="N3745" t="s">
        <v>32524</v>
      </c>
      <c r="O3745" t="s">
        <v>32525</v>
      </c>
      <c r="P3745">
        <v>0</v>
      </c>
      <c r="Q3745">
        <v>7</v>
      </c>
      <c r="R3745" t="s">
        <v>32530</v>
      </c>
      <c r="S3745" t="s">
        <v>32568</v>
      </c>
      <c r="T3745" t="s">
        <v>33322</v>
      </c>
      <c r="U3745" t="s">
        <v>36811</v>
      </c>
      <c r="W3745" t="s">
        <v>31000</v>
      </c>
      <c r="X3745" t="s">
        <v>32531</v>
      </c>
    </row>
    <row r="3746" spans="1:24">
      <c r="A3746">
        <f>HYPERLINK("https://www.philgeps.gov.ph/GEPSNONPILOT/Tender/SplashBidNoticeAbstractUI.aspx?menuIndex=3&amp;refID=7041481&amp;Result=3","7041481")</f>
        <v>0</v>
      </c>
      <c r="B3746" t="s">
        <v>1121</v>
      </c>
      <c r="C3746" t="s">
        <v>6257</v>
      </c>
      <c r="D3746" t="s">
        <v>13038</v>
      </c>
      <c r="E3746" t="s">
        <v>16444</v>
      </c>
      <c r="F3746" t="s">
        <v>22436</v>
      </c>
      <c r="G3746" t="s">
        <v>22443</v>
      </c>
      <c r="H3746" t="s">
        <v>22452</v>
      </c>
      <c r="I3746" t="s">
        <v>22461</v>
      </c>
      <c r="J3746" t="s">
        <v>25101</v>
      </c>
      <c r="K3746" t="s">
        <v>29337</v>
      </c>
      <c r="M3746" t="s">
        <v>30759</v>
      </c>
      <c r="N3746" t="s">
        <v>32524</v>
      </c>
      <c r="O3746" t="s">
        <v>32525</v>
      </c>
      <c r="P3746">
        <v>0</v>
      </c>
      <c r="Q3746">
        <v>0</v>
      </c>
      <c r="R3746" t="s">
        <v>32530</v>
      </c>
      <c r="S3746" t="s">
        <v>32568</v>
      </c>
      <c r="T3746" t="s">
        <v>33310</v>
      </c>
      <c r="U3746" t="s">
        <v>36812</v>
      </c>
      <c r="W3746" t="s">
        <v>30759</v>
      </c>
      <c r="X3746" t="s">
        <v>32531</v>
      </c>
    </row>
    <row r="3747" spans="1:24">
      <c r="A3747">
        <f>HYPERLINK("https://www.philgeps.gov.ph/GEPSNONPILOT/Tender/SplashBidNoticeAbstractUI.aspx?menuIndex=3&amp;refID=7041432&amp;Result=3","7041432")</f>
        <v>0</v>
      </c>
      <c r="B3747" t="s">
        <v>1342</v>
      </c>
      <c r="C3747" t="s">
        <v>6258</v>
      </c>
      <c r="D3747" t="s">
        <v>13011</v>
      </c>
      <c r="E3747" t="s">
        <v>16445</v>
      </c>
      <c r="F3747" t="s">
        <v>22436</v>
      </c>
      <c r="G3747" t="s">
        <v>22445</v>
      </c>
      <c r="H3747" t="s">
        <v>22452</v>
      </c>
      <c r="I3747" t="s">
        <v>22502</v>
      </c>
      <c r="J3747" t="s">
        <v>24222</v>
      </c>
      <c r="K3747" t="s">
        <v>29338</v>
      </c>
      <c r="M3747" t="s">
        <v>30997</v>
      </c>
      <c r="N3747" t="s">
        <v>32524</v>
      </c>
      <c r="O3747" t="s">
        <v>32525</v>
      </c>
      <c r="P3747">
        <v>0</v>
      </c>
      <c r="Q3747">
        <v>21</v>
      </c>
      <c r="R3747" t="s">
        <v>32530</v>
      </c>
      <c r="S3747" t="s">
        <v>32568</v>
      </c>
      <c r="T3747" t="s">
        <v>33220</v>
      </c>
      <c r="U3747" t="s">
        <v>36805</v>
      </c>
      <c r="W3747" t="s">
        <v>30997</v>
      </c>
      <c r="X3747" t="s">
        <v>32531</v>
      </c>
    </row>
    <row r="3748" spans="1:24">
      <c r="A3748">
        <f>HYPERLINK("https://www.philgeps.gov.ph/GEPSNONPILOT/Tender/SplashBidNoticeAbstractUI.aspx?menuIndex=3&amp;refID=7041465&amp;Result=3","7041465")</f>
        <v>0</v>
      </c>
      <c r="B3748" t="s">
        <v>1346</v>
      </c>
      <c r="C3748" t="s">
        <v>6259</v>
      </c>
      <c r="D3748" t="s">
        <v>13059</v>
      </c>
      <c r="E3748" t="s">
        <v>16446</v>
      </c>
      <c r="F3748" t="s">
        <v>22436</v>
      </c>
      <c r="G3748" t="s">
        <v>22444</v>
      </c>
      <c r="H3748" t="s">
        <v>22454</v>
      </c>
      <c r="I3748" t="s">
        <v>7738</v>
      </c>
      <c r="J3748" t="s">
        <v>25102</v>
      </c>
      <c r="K3748" t="s">
        <v>29335</v>
      </c>
      <c r="M3748" t="s">
        <v>31001</v>
      </c>
      <c r="N3748" t="s">
        <v>32524</v>
      </c>
      <c r="O3748" t="s">
        <v>32525</v>
      </c>
      <c r="P3748">
        <v>0</v>
      </c>
      <c r="Q3748">
        <v>0</v>
      </c>
      <c r="R3748" t="s">
        <v>32530</v>
      </c>
      <c r="S3748" t="s">
        <v>32568</v>
      </c>
      <c r="T3748" t="s">
        <v>33154</v>
      </c>
      <c r="U3748" t="s">
        <v>36813</v>
      </c>
      <c r="W3748" t="s">
        <v>31001</v>
      </c>
      <c r="X3748" t="s">
        <v>32531</v>
      </c>
    </row>
    <row r="3749" spans="1:24">
      <c r="A3749">
        <f>HYPERLINK("https://www.philgeps.gov.ph/GEPSNONPILOT/Tender/SplashBidNoticeAbstractUI.aspx?menuIndex=3&amp;refID=7041480&amp;Result=3","7041480")</f>
        <v>0</v>
      </c>
      <c r="B3749" t="s">
        <v>1347</v>
      </c>
      <c r="C3749" t="s">
        <v>6260</v>
      </c>
      <c r="D3749" t="s">
        <v>12993</v>
      </c>
      <c r="E3749" t="s">
        <v>16447</v>
      </c>
      <c r="F3749" t="s">
        <v>22436</v>
      </c>
      <c r="G3749" t="s">
        <v>22443</v>
      </c>
      <c r="H3749" t="s">
        <v>22453</v>
      </c>
      <c r="I3749" t="s">
        <v>4170</v>
      </c>
      <c r="J3749" t="s">
        <v>24800</v>
      </c>
      <c r="K3749" t="s">
        <v>29371</v>
      </c>
      <c r="M3749" t="s">
        <v>31002</v>
      </c>
      <c r="N3749" t="s">
        <v>32524</v>
      </c>
      <c r="O3749" t="s">
        <v>32525</v>
      </c>
      <c r="P3749">
        <v>0</v>
      </c>
      <c r="Q3749">
        <v>4</v>
      </c>
      <c r="R3749" t="s">
        <v>32530</v>
      </c>
      <c r="S3749" t="s">
        <v>32568</v>
      </c>
      <c r="T3749" t="s">
        <v>33427</v>
      </c>
      <c r="U3749" t="s">
        <v>36814</v>
      </c>
      <c r="V3749" t="s">
        <v>42804</v>
      </c>
      <c r="W3749" t="s">
        <v>31002</v>
      </c>
      <c r="X3749" t="s">
        <v>32531</v>
      </c>
    </row>
    <row r="3750" spans="1:24">
      <c r="A3750">
        <f>HYPERLINK("https://www.philgeps.gov.ph/GEPSNONPILOT/Tender/SplashBidNoticeAbstractUI.aspx?menuIndex=3&amp;refID=7041428&amp;Result=3","7041428")</f>
        <v>0</v>
      </c>
      <c r="B3750" t="s">
        <v>1329</v>
      </c>
      <c r="C3750" t="s">
        <v>6261</v>
      </c>
      <c r="D3750" t="s">
        <v>13060</v>
      </c>
      <c r="E3750" t="s">
        <v>16448</v>
      </c>
      <c r="F3750" t="s">
        <v>22436</v>
      </c>
      <c r="G3750" t="s">
        <v>22444</v>
      </c>
      <c r="H3750" t="s">
        <v>22454</v>
      </c>
      <c r="I3750" t="s">
        <v>7738</v>
      </c>
      <c r="J3750" t="s">
        <v>24096</v>
      </c>
      <c r="K3750" t="s">
        <v>29368</v>
      </c>
      <c r="M3750" t="s">
        <v>30984</v>
      </c>
      <c r="N3750" t="s">
        <v>32524</v>
      </c>
      <c r="O3750" t="s">
        <v>32525</v>
      </c>
      <c r="P3750">
        <v>0</v>
      </c>
      <c r="Q3750">
        <v>0</v>
      </c>
      <c r="R3750" t="s">
        <v>32530</v>
      </c>
      <c r="S3750" t="s">
        <v>32568</v>
      </c>
      <c r="T3750" t="s">
        <v>33405</v>
      </c>
      <c r="U3750" t="s">
        <v>36803</v>
      </c>
      <c r="W3750" t="s">
        <v>30984</v>
      </c>
      <c r="X3750" t="s">
        <v>32531</v>
      </c>
    </row>
    <row r="3751" spans="1:24">
      <c r="A3751">
        <f>HYPERLINK("https://www.philgeps.gov.ph/GEPSNONPILOT/Tender/SplashBidNoticeAbstractUI.aspx?menuIndex=3&amp;refID=7041477&amp;Result=3","7041477")</f>
        <v>0</v>
      </c>
      <c r="B3751" t="s">
        <v>1335</v>
      </c>
      <c r="C3751" t="s">
        <v>6262</v>
      </c>
      <c r="D3751" t="s">
        <v>12988</v>
      </c>
      <c r="E3751" t="s">
        <v>16449</v>
      </c>
      <c r="F3751" t="s">
        <v>22436</v>
      </c>
      <c r="G3751" t="s">
        <v>22443</v>
      </c>
      <c r="H3751" t="s">
        <v>22452</v>
      </c>
      <c r="I3751" t="s">
        <v>3529</v>
      </c>
      <c r="J3751" t="s">
        <v>23029</v>
      </c>
      <c r="K3751" t="s">
        <v>29357</v>
      </c>
      <c r="M3751" t="s">
        <v>30990</v>
      </c>
      <c r="N3751" t="s">
        <v>32524</v>
      </c>
      <c r="O3751" t="s">
        <v>32525</v>
      </c>
      <c r="P3751">
        <v>0</v>
      </c>
      <c r="Q3751">
        <v>3</v>
      </c>
      <c r="R3751" t="s">
        <v>32530</v>
      </c>
      <c r="S3751" t="s">
        <v>32568</v>
      </c>
      <c r="T3751" t="s">
        <v>33215</v>
      </c>
      <c r="U3751" t="s">
        <v>36815</v>
      </c>
      <c r="W3751" t="s">
        <v>30990</v>
      </c>
      <c r="X3751" t="s">
        <v>32531</v>
      </c>
    </row>
    <row r="3752" spans="1:24">
      <c r="A3752">
        <f>HYPERLINK("https://www.philgeps.gov.ph/GEPSNONPILOT/Tender/SplashBidNoticeAbstractUI.aspx?menuIndex=3&amp;refID=7041456&amp;Result=3","7041456")</f>
        <v>0</v>
      </c>
      <c r="B3752" t="s">
        <v>1348</v>
      </c>
      <c r="C3752" t="s">
        <v>6263</v>
      </c>
      <c r="D3752" t="s">
        <v>13006</v>
      </c>
      <c r="E3752" t="s">
        <v>13131</v>
      </c>
      <c r="F3752" t="s">
        <v>22436</v>
      </c>
      <c r="G3752" t="s">
        <v>22444</v>
      </c>
      <c r="H3752" t="s">
        <v>22454</v>
      </c>
      <c r="I3752" t="s">
        <v>7738</v>
      </c>
      <c r="J3752" t="s">
        <v>22640</v>
      </c>
      <c r="K3752" t="s">
        <v>29333</v>
      </c>
      <c r="M3752" t="s">
        <v>31003</v>
      </c>
      <c r="N3752" t="s">
        <v>32524</v>
      </c>
      <c r="O3752" t="s">
        <v>32525</v>
      </c>
      <c r="P3752">
        <v>0</v>
      </c>
      <c r="Q3752">
        <v>0</v>
      </c>
      <c r="R3752" t="s">
        <v>32530</v>
      </c>
      <c r="S3752" t="s">
        <v>32568</v>
      </c>
      <c r="T3752" t="s">
        <v>33215</v>
      </c>
      <c r="U3752" t="s">
        <v>36816</v>
      </c>
      <c r="W3752" t="s">
        <v>31003</v>
      </c>
      <c r="X3752" t="s">
        <v>32531</v>
      </c>
    </row>
    <row r="3753" spans="1:24">
      <c r="A3753">
        <f>HYPERLINK("https://www.philgeps.gov.ph/GEPSNONPILOT/Tender/SplashBidNoticeAbstractUI.aspx?menuIndex=3&amp;refID=7041471&amp;Result=3","7041471")</f>
        <v>0</v>
      </c>
      <c r="B3753" t="s">
        <v>494</v>
      </c>
      <c r="C3753" t="s">
        <v>6264</v>
      </c>
      <c r="D3753" t="s">
        <v>13066</v>
      </c>
      <c r="E3753" t="s">
        <v>16450</v>
      </c>
      <c r="F3753" t="s">
        <v>22436</v>
      </c>
      <c r="G3753" t="s">
        <v>22444</v>
      </c>
      <c r="H3753" t="s">
        <v>22452</v>
      </c>
      <c r="I3753" t="s">
        <v>2981</v>
      </c>
      <c r="J3753" t="s">
        <v>25103</v>
      </c>
      <c r="K3753" t="s">
        <v>29338</v>
      </c>
      <c r="M3753" t="s">
        <v>30078</v>
      </c>
      <c r="N3753" t="s">
        <v>32524</v>
      </c>
      <c r="O3753" t="s">
        <v>32525</v>
      </c>
      <c r="P3753">
        <v>0</v>
      </c>
      <c r="Q3753">
        <v>0</v>
      </c>
      <c r="R3753" t="s">
        <v>32530</v>
      </c>
      <c r="S3753" t="s">
        <v>32568</v>
      </c>
      <c r="T3753" t="s">
        <v>33187</v>
      </c>
      <c r="U3753" t="s">
        <v>36817</v>
      </c>
      <c r="W3753" t="s">
        <v>30078</v>
      </c>
      <c r="X3753" t="s">
        <v>32531</v>
      </c>
    </row>
    <row r="3754" spans="1:24">
      <c r="A3754">
        <f>HYPERLINK("https://www.philgeps.gov.ph/GEPSNONPILOT/Tender/SplashBidNoticeAbstractUI.aspx?menuIndex=3&amp;refID=7041490&amp;Result=3","7041490")</f>
        <v>0</v>
      </c>
      <c r="B3754" t="s">
        <v>1288</v>
      </c>
      <c r="C3754" t="s">
        <v>6265</v>
      </c>
      <c r="D3754" t="s">
        <v>13010</v>
      </c>
      <c r="E3754" t="s">
        <v>16451</v>
      </c>
      <c r="F3754" t="s">
        <v>22436</v>
      </c>
      <c r="G3754" t="s">
        <v>22445</v>
      </c>
      <c r="H3754" t="s">
        <v>22452</v>
      </c>
      <c r="I3754" t="s">
        <v>22510</v>
      </c>
      <c r="J3754" t="s">
        <v>25104</v>
      </c>
      <c r="K3754" t="s">
        <v>29335</v>
      </c>
      <c r="M3754" t="s">
        <v>30942</v>
      </c>
      <c r="N3754" t="s">
        <v>32524</v>
      </c>
      <c r="O3754" t="s">
        <v>32525</v>
      </c>
      <c r="P3754">
        <v>0</v>
      </c>
      <c r="Q3754">
        <v>3</v>
      </c>
      <c r="R3754" t="s">
        <v>32530</v>
      </c>
      <c r="S3754" t="s">
        <v>32568</v>
      </c>
      <c r="T3754" t="s">
        <v>33215</v>
      </c>
      <c r="U3754" t="s">
        <v>36818</v>
      </c>
      <c r="V3754" t="s">
        <v>42780</v>
      </c>
      <c r="W3754" t="s">
        <v>30942</v>
      </c>
      <c r="X3754" t="s">
        <v>32531</v>
      </c>
    </row>
    <row r="3755" spans="1:24">
      <c r="A3755">
        <f>HYPERLINK("https://www.philgeps.gov.ph/GEPSNONPILOT/Tender/SplashBidNoticeAbstractUI.aspx?menuIndex=3&amp;refID=7041462&amp;Result=3","7041462")</f>
        <v>0</v>
      </c>
      <c r="B3755" t="s">
        <v>1121</v>
      </c>
      <c r="C3755" t="s">
        <v>6266</v>
      </c>
      <c r="D3755" t="s">
        <v>13038</v>
      </c>
      <c r="E3755" t="s">
        <v>16452</v>
      </c>
      <c r="F3755" t="s">
        <v>22436</v>
      </c>
      <c r="G3755" t="s">
        <v>22443</v>
      </c>
      <c r="H3755" t="s">
        <v>22452</v>
      </c>
      <c r="I3755" t="s">
        <v>22456</v>
      </c>
      <c r="J3755" t="s">
        <v>23921</v>
      </c>
      <c r="K3755" t="s">
        <v>29335</v>
      </c>
      <c r="M3755" t="s">
        <v>30759</v>
      </c>
      <c r="N3755" t="s">
        <v>32524</v>
      </c>
      <c r="O3755" t="s">
        <v>32525</v>
      </c>
      <c r="P3755">
        <v>0</v>
      </c>
      <c r="Q3755">
        <v>0</v>
      </c>
      <c r="R3755" t="s">
        <v>32530</v>
      </c>
      <c r="S3755" t="s">
        <v>32568</v>
      </c>
      <c r="T3755" t="s">
        <v>33310</v>
      </c>
      <c r="U3755" t="s">
        <v>36819</v>
      </c>
      <c r="W3755" t="s">
        <v>30759</v>
      </c>
      <c r="X3755" t="s">
        <v>32531</v>
      </c>
    </row>
    <row r="3756" spans="1:24">
      <c r="A3756">
        <f>HYPERLINK("https://www.philgeps.gov.ph/GEPSNONPILOT/Tender/SplashBidNoticeAbstractUI.aspx?menuIndex=3&amp;refID=7041494&amp;Result=3","7041494")</f>
        <v>0</v>
      </c>
      <c r="B3756" t="s">
        <v>627</v>
      </c>
      <c r="C3756" t="s">
        <v>6267</v>
      </c>
      <c r="D3756" t="s">
        <v>13041</v>
      </c>
      <c r="E3756" t="s">
        <v>13223</v>
      </c>
      <c r="F3756" t="s">
        <v>22436</v>
      </c>
      <c r="G3756" t="s">
        <v>22443</v>
      </c>
      <c r="H3756" t="s">
        <v>22452</v>
      </c>
      <c r="I3756" t="s">
        <v>3529</v>
      </c>
      <c r="J3756" t="s">
        <v>25105</v>
      </c>
      <c r="K3756" t="s">
        <v>29358</v>
      </c>
      <c r="M3756" t="s">
        <v>30218</v>
      </c>
      <c r="N3756" t="s">
        <v>32524</v>
      </c>
      <c r="O3756" t="s">
        <v>32525</v>
      </c>
      <c r="P3756">
        <v>0</v>
      </c>
      <c r="Q3756">
        <v>1</v>
      </c>
      <c r="R3756" t="s">
        <v>32530</v>
      </c>
      <c r="S3756" t="s">
        <v>32568</v>
      </c>
      <c r="T3756" t="s">
        <v>33209</v>
      </c>
      <c r="U3756" t="s">
        <v>36820</v>
      </c>
      <c r="W3756" t="s">
        <v>30218</v>
      </c>
      <c r="X3756" t="s">
        <v>32531</v>
      </c>
    </row>
    <row r="3757" spans="1:24">
      <c r="A3757">
        <f>HYPERLINK("https://www.philgeps.gov.ph/GEPSNONPILOT/Tender/SplashBidNoticeAbstractUI.aspx?menuIndex=3&amp;refID=7041457&amp;Result=3","7041457")</f>
        <v>0</v>
      </c>
      <c r="B3757" t="s">
        <v>1341</v>
      </c>
      <c r="C3757" t="s">
        <v>6268</v>
      </c>
      <c r="E3757" t="s">
        <v>16433</v>
      </c>
      <c r="F3757" t="s">
        <v>22436</v>
      </c>
      <c r="G3757" t="s">
        <v>22443</v>
      </c>
      <c r="H3757" t="s">
        <v>22452</v>
      </c>
      <c r="I3757" t="s">
        <v>22484</v>
      </c>
      <c r="J3757" t="s">
        <v>23036</v>
      </c>
      <c r="K3757" t="s">
        <v>29356</v>
      </c>
      <c r="M3757" t="s">
        <v>30996</v>
      </c>
      <c r="N3757" t="s">
        <v>32524</v>
      </c>
      <c r="O3757" t="s">
        <v>32525</v>
      </c>
      <c r="P3757">
        <v>0</v>
      </c>
      <c r="Q3757">
        <v>1</v>
      </c>
      <c r="R3757" t="s">
        <v>32530</v>
      </c>
      <c r="S3757" t="s">
        <v>32568</v>
      </c>
      <c r="T3757" t="s">
        <v>33185</v>
      </c>
      <c r="U3757" t="s">
        <v>36821</v>
      </c>
      <c r="W3757" t="s">
        <v>30996</v>
      </c>
      <c r="X3757" t="s">
        <v>32531</v>
      </c>
    </row>
    <row r="3758" spans="1:24">
      <c r="A3758">
        <f>HYPERLINK("https://www.philgeps.gov.ph/GEPSNONPILOT/Tender/SplashBidNoticeAbstractUI.aspx?menuIndex=3&amp;refID=7041472&amp;Result=3","7041472")</f>
        <v>0</v>
      </c>
      <c r="B3758" t="s">
        <v>1288</v>
      </c>
      <c r="C3758" t="s">
        <v>6269</v>
      </c>
      <c r="D3758" t="s">
        <v>13010</v>
      </c>
      <c r="E3758" t="s">
        <v>16453</v>
      </c>
      <c r="F3758" t="s">
        <v>22436</v>
      </c>
      <c r="G3758" t="s">
        <v>22443</v>
      </c>
      <c r="H3758" t="s">
        <v>22452</v>
      </c>
      <c r="I3758" t="s">
        <v>22549</v>
      </c>
      <c r="J3758" t="s">
        <v>22806</v>
      </c>
      <c r="K3758" t="s">
        <v>29335</v>
      </c>
      <c r="M3758" t="s">
        <v>30942</v>
      </c>
      <c r="N3758" t="s">
        <v>32524</v>
      </c>
      <c r="O3758" t="s">
        <v>32525</v>
      </c>
      <c r="P3758">
        <v>0</v>
      </c>
      <c r="Q3758">
        <v>0</v>
      </c>
      <c r="R3758" t="s">
        <v>32530</v>
      </c>
      <c r="S3758" t="s">
        <v>32568</v>
      </c>
      <c r="T3758" t="s">
        <v>33215</v>
      </c>
      <c r="U3758" t="s">
        <v>36822</v>
      </c>
      <c r="V3758" t="s">
        <v>42780</v>
      </c>
      <c r="W3758" t="s">
        <v>30942</v>
      </c>
      <c r="X3758" t="s">
        <v>32531</v>
      </c>
    </row>
    <row r="3759" spans="1:24">
      <c r="A3759">
        <f>HYPERLINK("https://www.philgeps.gov.ph/GEPSNONPILOT/Tender/SplashBidNoticeAbstractUI.aspx?menuIndex=3&amp;refID=7041530&amp;Result=3","7041530")</f>
        <v>0</v>
      </c>
      <c r="B3759" t="s">
        <v>1288</v>
      </c>
      <c r="C3759" t="s">
        <v>6270</v>
      </c>
      <c r="D3759" t="s">
        <v>13010</v>
      </c>
      <c r="E3759" t="s">
        <v>16454</v>
      </c>
      <c r="F3759" t="s">
        <v>22436</v>
      </c>
      <c r="G3759" t="s">
        <v>22443</v>
      </c>
      <c r="H3759" t="s">
        <v>22452</v>
      </c>
      <c r="I3759" t="s">
        <v>22501</v>
      </c>
      <c r="J3759" t="s">
        <v>22893</v>
      </c>
      <c r="K3759" t="s">
        <v>29335</v>
      </c>
      <c r="M3759" t="s">
        <v>30942</v>
      </c>
      <c r="N3759" t="s">
        <v>32524</v>
      </c>
      <c r="O3759" t="s">
        <v>32525</v>
      </c>
      <c r="P3759">
        <v>0</v>
      </c>
      <c r="Q3759">
        <v>0</v>
      </c>
      <c r="R3759" t="s">
        <v>32530</v>
      </c>
      <c r="S3759" t="s">
        <v>32568</v>
      </c>
      <c r="T3759" t="s">
        <v>33215</v>
      </c>
      <c r="U3759" t="s">
        <v>36823</v>
      </c>
      <c r="V3759" t="s">
        <v>42780</v>
      </c>
      <c r="W3759" t="s">
        <v>30942</v>
      </c>
      <c r="X3759" t="s">
        <v>32531</v>
      </c>
    </row>
    <row r="3760" spans="1:24">
      <c r="A3760">
        <f>HYPERLINK("https://www.philgeps.gov.ph/GEPSNONPILOT/Tender/SplashBidNoticeAbstractUI.aspx?menuIndex=3&amp;refID=7041526&amp;Result=3","7041526")</f>
        <v>0</v>
      </c>
      <c r="B3760" t="s">
        <v>1288</v>
      </c>
      <c r="C3760" t="s">
        <v>6271</v>
      </c>
      <c r="D3760" t="s">
        <v>13010</v>
      </c>
      <c r="E3760" t="s">
        <v>16455</v>
      </c>
      <c r="F3760" t="s">
        <v>22436</v>
      </c>
      <c r="G3760" t="s">
        <v>22445</v>
      </c>
      <c r="H3760" t="s">
        <v>22452</v>
      </c>
      <c r="I3760" t="s">
        <v>22467</v>
      </c>
      <c r="J3760" t="s">
        <v>25106</v>
      </c>
      <c r="K3760" t="s">
        <v>29335</v>
      </c>
      <c r="M3760" t="s">
        <v>30942</v>
      </c>
      <c r="N3760" t="s">
        <v>32524</v>
      </c>
      <c r="O3760" t="s">
        <v>32525</v>
      </c>
      <c r="P3760">
        <v>0</v>
      </c>
      <c r="Q3760">
        <v>2</v>
      </c>
      <c r="R3760" t="s">
        <v>32530</v>
      </c>
      <c r="S3760" t="s">
        <v>32568</v>
      </c>
      <c r="T3760" t="s">
        <v>33215</v>
      </c>
      <c r="U3760" t="s">
        <v>36824</v>
      </c>
      <c r="V3760" t="s">
        <v>42780</v>
      </c>
      <c r="W3760" t="s">
        <v>30942</v>
      </c>
      <c r="X3760" t="s">
        <v>32531</v>
      </c>
    </row>
    <row r="3761" spans="1:24">
      <c r="A3761">
        <f>HYPERLINK("https://www.philgeps.gov.ph/GEPSNONPILOT/Tender/SplashBidNoticeAbstractUI.aspx?menuIndex=3&amp;refID=7041519&amp;Result=3","7041519")</f>
        <v>0</v>
      </c>
      <c r="B3761" t="s">
        <v>1349</v>
      </c>
      <c r="C3761" t="s">
        <v>6272</v>
      </c>
      <c r="D3761" t="s">
        <v>13038</v>
      </c>
      <c r="E3761" t="s">
        <v>16456</v>
      </c>
      <c r="F3761" t="s">
        <v>22436</v>
      </c>
      <c r="G3761" t="s">
        <v>22446</v>
      </c>
      <c r="H3761" t="s">
        <v>22452</v>
      </c>
      <c r="I3761" t="s">
        <v>22462</v>
      </c>
      <c r="J3761" t="s">
        <v>22874</v>
      </c>
      <c r="K3761" t="s">
        <v>29340</v>
      </c>
      <c r="M3761" t="s">
        <v>31004</v>
      </c>
      <c r="N3761" t="s">
        <v>32524</v>
      </c>
      <c r="O3761" t="s">
        <v>32525</v>
      </c>
      <c r="P3761">
        <v>0</v>
      </c>
      <c r="Q3761">
        <v>0</v>
      </c>
      <c r="R3761" t="s">
        <v>32530</v>
      </c>
      <c r="S3761" t="s">
        <v>32568</v>
      </c>
      <c r="T3761" t="s">
        <v>33296</v>
      </c>
      <c r="U3761" t="s">
        <v>36825</v>
      </c>
      <c r="V3761" t="s">
        <v>42805</v>
      </c>
      <c r="W3761" t="s">
        <v>31004</v>
      </c>
      <c r="X3761" t="s">
        <v>32531</v>
      </c>
    </row>
    <row r="3762" spans="1:24">
      <c r="A3762">
        <f>HYPERLINK("https://www.philgeps.gov.ph/GEPSNONPILOT/Tender/SplashBidNoticeAbstractUI.aspx?menuIndex=3&amp;refID=7041532&amp;Result=3","7041532")</f>
        <v>0</v>
      </c>
      <c r="B3762" t="s">
        <v>487</v>
      </c>
      <c r="C3762" t="s">
        <v>6273</v>
      </c>
      <c r="D3762" t="s">
        <v>13039</v>
      </c>
      <c r="E3762" t="s">
        <v>16457</v>
      </c>
      <c r="F3762" t="s">
        <v>22436</v>
      </c>
      <c r="G3762" t="s">
        <v>22444</v>
      </c>
      <c r="H3762" t="s">
        <v>22452</v>
      </c>
      <c r="I3762" t="s">
        <v>22474</v>
      </c>
      <c r="J3762" t="s">
        <v>25107</v>
      </c>
      <c r="K3762" t="s">
        <v>29335</v>
      </c>
      <c r="M3762" t="s">
        <v>30071</v>
      </c>
      <c r="N3762" t="s">
        <v>32524</v>
      </c>
      <c r="O3762" t="s">
        <v>32525</v>
      </c>
      <c r="P3762">
        <v>0</v>
      </c>
      <c r="Q3762">
        <v>3</v>
      </c>
      <c r="R3762" t="s">
        <v>32530</v>
      </c>
      <c r="S3762" t="s">
        <v>32568</v>
      </c>
      <c r="T3762" t="s">
        <v>33345</v>
      </c>
      <c r="U3762" t="s">
        <v>36826</v>
      </c>
      <c r="V3762" t="s">
        <v>42461</v>
      </c>
      <c r="W3762" t="s">
        <v>30071</v>
      </c>
      <c r="X3762" t="s">
        <v>32531</v>
      </c>
    </row>
    <row r="3763" spans="1:24">
      <c r="A3763">
        <f>HYPERLINK("https://www.philgeps.gov.ph/GEPSNONPILOT/Tender/SplashBidNoticeAbstractUI.aspx?menuIndex=3&amp;refID=7041523&amp;Result=3","7041523")</f>
        <v>0</v>
      </c>
      <c r="B3763" t="s">
        <v>350</v>
      </c>
      <c r="C3763" t="s">
        <v>6274</v>
      </c>
      <c r="D3763" t="s">
        <v>13031</v>
      </c>
      <c r="E3763" t="s">
        <v>16458</v>
      </c>
      <c r="F3763" t="s">
        <v>22436</v>
      </c>
      <c r="G3763" t="s">
        <v>22446</v>
      </c>
      <c r="H3763" t="s">
        <v>22452</v>
      </c>
      <c r="I3763" t="s">
        <v>5194</v>
      </c>
      <c r="J3763" t="s">
        <v>25108</v>
      </c>
      <c r="K3763" t="s">
        <v>29335</v>
      </c>
      <c r="M3763" t="s">
        <v>29927</v>
      </c>
      <c r="N3763" t="s">
        <v>32524</v>
      </c>
      <c r="O3763" t="s">
        <v>32525</v>
      </c>
      <c r="P3763">
        <v>0</v>
      </c>
      <c r="Q3763">
        <v>4</v>
      </c>
      <c r="R3763" t="s">
        <v>32530</v>
      </c>
      <c r="S3763" t="s">
        <v>32568</v>
      </c>
      <c r="T3763" t="s">
        <v>33209</v>
      </c>
      <c r="U3763" t="s">
        <v>34315</v>
      </c>
      <c r="W3763" t="s">
        <v>29927</v>
      </c>
      <c r="X3763" t="s">
        <v>32531</v>
      </c>
    </row>
    <row r="3764" spans="1:24">
      <c r="A3764">
        <f>HYPERLINK("https://www.philgeps.gov.ph/GEPSNONPILOT/Tender/SplashBidNoticeAbstractUI.aspx?menuIndex=3&amp;refID=7041514&amp;Result=3","7041514")</f>
        <v>0</v>
      </c>
      <c r="B3764" t="s">
        <v>1288</v>
      </c>
      <c r="C3764" t="s">
        <v>6275</v>
      </c>
      <c r="D3764" t="s">
        <v>13010</v>
      </c>
      <c r="E3764" t="s">
        <v>16459</v>
      </c>
      <c r="F3764" t="s">
        <v>22436</v>
      </c>
      <c r="G3764" t="s">
        <v>22443</v>
      </c>
      <c r="H3764" t="s">
        <v>22452</v>
      </c>
      <c r="I3764" t="s">
        <v>22509</v>
      </c>
      <c r="J3764" t="s">
        <v>24080</v>
      </c>
      <c r="K3764" t="s">
        <v>29335</v>
      </c>
      <c r="M3764" t="s">
        <v>30942</v>
      </c>
      <c r="N3764" t="s">
        <v>32524</v>
      </c>
      <c r="O3764" t="s">
        <v>32525</v>
      </c>
      <c r="P3764">
        <v>0</v>
      </c>
      <c r="Q3764">
        <v>1</v>
      </c>
      <c r="R3764" t="s">
        <v>32530</v>
      </c>
      <c r="S3764" t="s">
        <v>32568</v>
      </c>
      <c r="T3764" t="s">
        <v>33215</v>
      </c>
      <c r="U3764" t="s">
        <v>36827</v>
      </c>
      <c r="V3764" t="s">
        <v>42780</v>
      </c>
      <c r="W3764" t="s">
        <v>30942</v>
      </c>
      <c r="X3764" t="s">
        <v>32531</v>
      </c>
    </row>
    <row r="3765" spans="1:24">
      <c r="A3765">
        <f>HYPERLINK("https://www.philgeps.gov.ph/GEPSNONPILOT/Tender/SplashBidNoticeAbstractUI.aspx?menuIndex=3&amp;refID=7041500&amp;Result=3","7041500")</f>
        <v>0</v>
      </c>
      <c r="B3765" t="s">
        <v>1288</v>
      </c>
      <c r="C3765" t="s">
        <v>6276</v>
      </c>
      <c r="D3765" t="s">
        <v>13010</v>
      </c>
      <c r="E3765" t="s">
        <v>16460</v>
      </c>
      <c r="F3765" t="s">
        <v>22436</v>
      </c>
      <c r="G3765" t="s">
        <v>22443</v>
      </c>
      <c r="H3765" t="s">
        <v>22452</v>
      </c>
      <c r="I3765" t="s">
        <v>22501</v>
      </c>
      <c r="J3765" t="s">
        <v>22893</v>
      </c>
      <c r="K3765" t="s">
        <v>29335</v>
      </c>
      <c r="M3765" t="s">
        <v>30942</v>
      </c>
      <c r="N3765" t="s">
        <v>32524</v>
      </c>
      <c r="O3765" t="s">
        <v>32525</v>
      </c>
      <c r="P3765">
        <v>0</v>
      </c>
      <c r="Q3765">
        <v>0</v>
      </c>
      <c r="R3765" t="s">
        <v>32530</v>
      </c>
      <c r="S3765" t="s">
        <v>32568</v>
      </c>
      <c r="T3765" t="s">
        <v>33215</v>
      </c>
      <c r="U3765" t="s">
        <v>36828</v>
      </c>
      <c r="V3765" t="s">
        <v>42780</v>
      </c>
      <c r="W3765" t="s">
        <v>30942</v>
      </c>
      <c r="X3765" t="s">
        <v>32531</v>
      </c>
    </row>
    <row r="3766" spans="1:24">
      <c r="A3766">
        <f>HYPERLINK("https://www.philgeps.gov.ph/GEPSNONPILOT/Tender/SplashBidNoticeAbstractUI.aspx?menuIndex=3&amp;refID=7041513&amp;Result=3","7041513")</f>
        <v>0</v>
      </c>
      <c r="B3766" t="s">
        <v>621</v>
      </c>
      <c r="C3766" t="s">
        <v>6277</v>
      </c>
      <c r="D3766" t="s">
        <v>12988</v>
      </c>
      <c r="E3766" t="s">
        <v>16461</v>
      </c>
      <c r="F3766" t="s">
        <v>22436</v>
      </c>
      <c r="G3766" t="s">
        <v>22443</v>
      </c>
      <c r="H3766" t="s">
        <v>22452</v>
      </c>
      <c r="I3766" t="s">
        <v>22476</v>
      </c>
      <c r="J3766" t="s">
        <v>25109</v>
      </c>
      <c r="K3766" t="s">
        <v>29341</v>
      </c>
      <c r="M3766" t="s">
        <v>31005</v>
      </c>
      <c r="N3766" t="s">
        <v>32524</v>
      </c>
      <c r="O3766" t="s">
        <v>32525</v>
      </c>
      <c r="P3766">
        <v>0</v>
      </c>
      <c r="Q3766">
        <v>4</v>
      </c>
      <c r="R3766" t="s">
        <v>32530</v>
      </c>
      <c r="S3766" t="s">
        <v>32568</v>
      </c>
      <c r="T3766" t="s">
        <v>33169</v>
      </c>
      <c r="U3766" t="s">
        <v>36829</v>
      </c>
      <c r="W3766" t="s">
        <v>31005</v>
      </c>
      <c r="X3766" t="s">
        <v>32531</v>
      </c>
    </row>
    <row r="3767" spans="1:24">
      <c r="A3767">
        <f>HYPERLINK("https://www.philgeps.gov.ph/GEPSNONPILOT/Tender/SplashBidNoticeAbstractUI.aspx?menuIndex=3&amp;refID=7041507&amp;Result=3","7041507")</f>
        <v>0</v>
      </c>
      <c r="B3767" t="s">
        <v>1348</v>
      </c>
      <c r="C3767" t="s">
        <v>6278</v>
      </c>
      <c r="D3767" t="s">
        <v>13006</v>
      </c>
      <c r="E3767" t="s">
        <v>14095</v>
      </c>
      <c r="F3767" t="s">
        <v>22436</v>
      </c>
      <c r="G3767" t="s">
        <v>22444</v>
      </c>
      <c r="H3767" t="s">
        <v>22454</v>
      </c>
      <c r="I3767" t="s">
        <v>7738</v>
      </c>
      <c r="J3767" t="s">
        <v>23093</v>
      </c>
      <c r="K3767" t="s">
        <v>29333</v>
      </c>
      <c r="M3767" t="s">
        <v>31003</v>
      </c>
      <c r="N3767" t="s">
        <v>32524</v>
      </c>
      <c r="O3767" t="s">
        <v>32525</v>
      </c>
      <c r="P3767">
        <v>0</v>
      </c>
      <c r="Q3767">
        <v>0</v>
      </c>
      <c r="R3767" t="s">
        <v>32530</v>
      </c>
      <c r="S3767" t="s">
        <v>32568</v>
      </c>
      <c r="T3767" t="s">
        <v>33221</v>
      </c>
      <c r="U3767" t="s">
        <v>36830</v>
      </c>
      <c r="W3767" t="s">
        <v>31003</v>
      </c>
      <c r="X3767" t="s">
        <v>32531</v>
      </c>
    </row>
    <row r="3768" spans="1:24">
      <c r="A3768">
        <f>HYPERLINK("https://www.philgeps.gov.ph/GEPSNONPILOT/Tender/SplashBidNoticeAbstractUI.aspx?menuIndex=3&amp;refID=7041521&amp;Result=3","7041521")</f>
        <v>0</v>
      </c>
      <c r="B3768" t="s">
        <v>1343</v>
      </c>
      <c r="C3768" t="s">
        <v>6279</v>
      </c>
      <c r="D3768" t="s">
        <v>13000</v>
      </c>
      <c r="E3768" t="s">
        <v>16462</v>
      </c>
      <c r="F3768" t="s">
        <v>22436</v>
      </c>
      <c r="G3768" t="s">
        <v>22444</v>
      </c>
      <c r="H3768" t="s">
        <v>22454</v>
      </c>
      <c r="I3768" t="s">
        <v>7738</v>
      </c>
      <c r="J3768" t="s">
        <v>23350</v>
      </c>
      <c r="K3768" t="s">
        <v>29338</v>
      </c>
      <c r="M3768" t="s">
        <v>30998</v>
      </c>
      <c r="N3768" t="s">
        <v>32524</v>
      </c>
      <c r="O3768" t="s">
        <v>32525</v>
      </c>
      <c r="P3768">
        <v>0</v>
      </c>
      <c r="Q3768">
        <v>0</v>
      </c>
      <c r="R3768" t="s">
        <v>32530</v>
      </c>
      <c r="S3768" t="s">
        <v>32568</v>
      </c>
      <c r="T3768" t="s">
        <v>33154</v>
      </c>
      <c r="U3768" t="s">
        <v>36831</v>
      </c>
      <c r="W3768" t="s">
        <v>30998</v>
      </c>
      <c r="X3768" t="s">
        <v>32531</v>
      </c>
    </row>
    <row r="3769" spans="1:24">
      <c r="A3769">
        <f>HYPERLINK("https://www.philgeps.gov.ph/GEPSNONPILOT/Tender/SplashBidNoticeAbstractUI.aspx?menuIndex=3&amp;refID=7041537&amp;Result=3","7041537")</f>
        <v>0</v>
      </c>
      <c r="B3769" t="s">
        <v>1288</v>
      </c>
      <c r="C3769" t="s">
        <v>6280</v>
      </c>
      <c r="D3769" t="s">
        <v>13010</v>
      </c>
      <c r="E3769" t="s">
        <v>16463</v>
      </c>
      <c r="F3769" t="s">
        <v>22436</v>
      </c>
      <c r="G3769" t="s">
        <v>22445</v>
      </c>
      <c r="H3769" t="s">
        <v>22452</v>
      </c>
      <c r="I3769" t="s">
        <v>22467</v>
      </c>
      <c r="J3769" t="s">
        <v>22739</v>
      </c>
      <c r="K3769" t="s">
        <v>29335</v>
      </c>
      <c r="M3769" t="s">
        <v>30942</v>
      </c>
      <c r="N3769" t="s">
        <v>32524</v>
      </c>
      <c r="O3769" t="s">
        <v>32525</v>
      </c>
      <c r="P3769">
        <v>0</v>
      </c>
      <c r="Q3769">
        <v>0</v>
      </c>
      <c r="R3769" t="s">
        <v>32530</v>
      </c>
      <c r="S3769" t="s">
        <v>32568</v>
      </c>
      <c r="T3769" t="s">
        <v>33215</v>
      </c>
      <c r="U3769" t="s">
        <v>36832</v>
      </c>
      <c r="V3769" t="s">
        <v>42780</v>
      </c>
      <c r="W3769" t="s">
        <v>30942</v>
      </c>
      <c r="X3769" t="s">
        <v>32531</v>
      </c>
    </row>
    <row r="3770" spans="1:24">
      <c r="A3770">
        <f>HYPERLINK("https://www.philgeps.gov.ph/GEPSNONPILOT/Tender/SplashBidNoticeAbstractUI.aspx?menuIndex=3&amp;refID=7041540&amp;Result=3","7041540")</f>
        <v>0</v>
      </c>
      <c r="B3770" t="s">
        <v>1350</v>
      </c>
      <c r="C3770" t="s">
        <v>6281</v>
      </c>
      <c r="D3770" t="s">
        <v>13013</v>
      </c>
      <c r="E3770" t="s">
        <v>16464</v>
      </c>
      <c r="F3770" t="s">
        <v>22436</v>
      </c>
      <c r="G3770" t="s">
        <v>22446</v>
      </c>
      <c r="H3770" t="s">
        <v>22452</v>
      </c>
      <c r="I3770" t="s">
        <v>22456</v>
      </c>
      <c r="J3770" t="s">
        <v>25110</v>
      </c>
      <c r="K3770" t="s">
        <v>29335</v>
      </c>
      <c r="M3770" t="s">
        <v>31006</v>
      </c>
      <c r="N3770" t="s">
        <v>32524</v>
      </c>
      <c r="O3770" t="s">
        <v>32525</v>
      </c>
      <c r="P3770">
        <v>0</v>
      </c>
      <c r="Q3770">
        <v>2</v>
      </c>
      <c r="R3770" t="s">
        <v>32530</v>
      </c>
      <c r="S3770" t="s">
        <v>32568</v>
      </c>
      <c r="T3770" t="s">
        <v>33197</v>
      </c>
      <c r="U3770" t="s">
        <v>36833</v>
      </c>
      <c r="W3770" t="s">
        <v>31006</v>
      </c>
      <c r="X3770" t="s">
        <v>32531</v>
      </c>
    </row>
    <row r="3771" spans="1:24">
      <c r="A3771">
        <f>HYPERLINK("https://www.philgeps.gov.ph/GEPSNONPILOT/Tender/SplashBidNoticeAbstractUI.aspx?menuIndex=3&amp;refID=7041550&amp;Result=3","7041550")</f>
        <v>0</v>
      </c>
      <c r="B3771" t="s">
        <v>1351</v>
      </c>
      <c r="C3771" t="s">
        <v>6282</v>
      </c>
      <c r="D3771" t="s">
        <v>12995</v>
      </c>
      <c r="E3771" t="s">
        <v>14018</v>
      </c>
      <c r="F3771" t="s">
        <v>22436</v>
      </c>
      <c r="G3771" t="s">
        <v>22444</v>
      </c>
      <c r="H3771" t="s">
        <v>22452</v>
      </c>
      <c r="I3771" t="s">
        <v>2981</v>
      </c>
      <c r="J3771" t="s">
        <v>22806</v>
      </c>
      <c r="K3771" t="s">
        <v>29368</v>
      </c>
      <c r="M3771" t="s">
        <v>31007</v>
      </c>
      <c r="N3771" t="s">
        <v>32524</v>
      </c>
      <c r="O3771" t="s">
        <v>32525</v>
      </c>
      <c r="P3771">
        <v>0</v>
      </c>
      <c r="Q3771">
        <v>3</v>
      </c>
      <c r="R3771" t="s">
        <v>32530</v>
      </c>
      <c r="S3771" t="s">
        <v>32568</v>
      </c>
      <c r="T3771" t="s">
        <v>33428</v>
      </c>
      <c r="U3771" t="s">
        <v>36834</v>
      </c>
      <c r="W3771" t="s">
        <v>31007</v>
      </c>
      <c r="X3771" t="s">
        <v>32531</v>
      </c>
    </row>
    <row r="3772" spans="1:24">
      <c r="A3772">
        <f>HYPERLINK("https://www.philgeps.gov.ph/GEPSNONPILOT/Tender/SplashBidNoticeAbstractUI.aspx?menuIndex=3&amp;refID=7041546&amp;Result=3","7041546")</f>
        <v>0</v>
      </c>
      <c r="B3772" t="s">
        <v>1352</v>
      </c>
      <c r="C3772" t="s">
        <v>6283</v>
      </c>
      <c r="E3772" t="s">
        <v>16465</v>
      </c>
      <c r="F3772" t="s">
        <v>22436</v>
      </c>
      <c r="G3772" t="s">
        <v>22447</v>
      </c>
      <c r="H3772" t="s">
        <v>22452</v>
      </c>
      <c r="I3772" t="s">
        <v>22560</v>
      </c>
      <c r="J3772" t="s">
        <v>25111</v>
      </c>
      <c r="K3772" t="s">
        <v>29338</v>
      </c>
      <c r="M3772" t="s">
        <v>31008</v>
      </c>
      <c r="N3772" t="s">
        <v>32524</v>
      </c>
      <c r="O3772" t="s">
        <v>32525</v>
      </c>
      <c r="P3772">
        <v>0</v>
      </c>
      <c r="Q3772">
        <v>4</v>
      </c>
      <c r="R3772" t="s">
        <v>32530</v>
      </c>
      <c r="S3772" t="s">
        <v>32568</v>
      </c>
      <c r="T3772" t="s">
        <v>33244</v>
      </c>
      <c r="U3772" t="s">
        <v>36835</v>
      </c>
      <c r="W3772" t="s">
        <v>31008</v>
      </c>
      <c r="X3772" t="s">
        <v>32531</v>
      </c>
    </row>
    <row r="3773" spans="1:24">
      <c r="A3773">
        <f>HYPERLINK("https://www.philgeps.gov.ph/GEPSNONPILOT/Tender/SplashBidNoticeAbstractUI.aspx?menuIndex=3&amp;refID=7041496&amp;Result=3","7041496")</f>
        <v>0</v>
      </c>
      <c r="B3773" t="s">
        <v>1121</v>
      </c>
      <c r="C3773" t="s">
        <v>6284</v>
      </c>
      <c r="D3773" t="s">
        <v>13038</v>
      </c>
      <c r="E3773" t="s">
        <v>16466</v>
      </c>
      <c r="F3773" t="s">
        <v>22436</v>
      </c>
      <c r="G3773" t="s">
        <v>22443</v>
      </c>
      <c r="H3773" t="s">
        <v>22452</v>
      </c>
      <c r="I3773" t="s">
        <v>22502</v>
      </c>
      <c r="J3773" t="s">
        <v>25112</v>
      </c>
      <c r="K3773" t="s">
        <v>29335</v>
      </c>
      <c r="M3773" t="s">
        <v>30759</v>
      </c>
      <c r="N3773" t="s">
        <v>32524</v>
      </c>
      <c r="O3773" t="s">
        <v>32525</v>
      </c>
      <c r="P3773">
        <v>0</v>
      </c>
      <c r="Q3773">
        <v>2</v>
      </c>
      <c r="R3773" t="s">
        <v>32530</v>
      </c>
      <c r="S3773" t="s">
        <v>32568</v>
      </c>
      <c r="T3773" t="s">
        <v>33310</v>
      </c>
      <c r="U3773" t="s">
        <v>36836</v>
      </c>
      <c r="W3773" t="s">
        <v>30759</v>
      </c>
      <c r="X3773" t="s">
        <v>32531</v>
      </c>
    </row>
    <row r="3774" spans="1:24">
      <c r="A3774">
        <f>HYPERLINK("https://www.philgeps.gov.ph/GEPSNONPILOT/Tender/SplashBidNoticeAbstractUI.aspx?menuIndex=3&amp;refID=7041516&amp;Result=3","7041516")</f>
        <v>0</v>
      </c>
      <c r="B3774" t="s">
        <v>494</v>
      </c>
      <c r="C3774" t="s">
        <v>6285</v>
      </c>
      <c r="D3774" t="s">
        <v>13066</v>
      </c>
      <c r="E3774" t="s">
        <v>14143</v>
      </c>
      <c r="F3774" t="s">
        <v>22436</v>
      </c>
      <c r="G3774" t="s">
        <v>22444</v>
      </c>
      <c r="H3774" t="s">
        <v>22452</v>
      </c>
      <c r="I3774" t="s">
        <v>2981</v>
      </c>
      <c r="J3774" t="s">
        <v>25113</v>
      </c>
      <c r="K3774" t="s">
        <v>29338</v>
      </c>
      <c r="M3774" t="s">
        <v>30078</v>
      </c>
      <c r="N3774" t="s">
        <v>32524</v>
      </c>
      <c r="O3774" t="s">
        <v>32525</v>
      </c>
      <c r="P3774">
        <v>0</v>
      </c>
      <c r="Q3774">
        <v>0</v>
      </c>
      <c r="R3774" t="s">
        <v>32530</v>
      </c>
      <c r="S3774" t="s">
        <v>32568</v>
      </c>
      <c r="T3774" t="s">
        <v>33187</v>
      </c>
      <c r="U3774" t="s">
        <v>36837</v>
      </c>
      <c r="W3774" t="s">
        <v>30078</v>
      </c>
      <c r="X3774" t="s">
        <v>32531</v>
      </c>
    </row>
    <row r="3775" spans="1:24">
      <c r="A3775">
        <f>HYPERLINK("https://www.philgeps.gov.ph/GEPSNONPILOT/Tender/SplashBidNoticeAbstractUI.aspx?menuIndex=3&amp;refID=7041544&amp;Result=3","7041544")</f>
        <v>0</v>
      </c>
      <c r="B3775" t="s">
        <v>1288</v>
      </c>
      <c r="C3775" t="s">
        <v>6286</v>
      </c>
      <c r="D3775" t="s">
        <v>13010</v>
      </c>
      <c r="E3775" t="s">
        <v>16467</v>
      </c>
      <c r="F3775" t="s">
        <v>22436</v>
      </c>
      <c r="G3775" t="s">
        <v>22445</v>
      </c>
      <c r="H3775" t="s">
        <v>22452</v>
      </c>
      <c r="I3775" t="s">
        <v>22510</v>
      </c>
      <c r="J3775" t="s">
        <v>22788</v>
      </c>
      <c r="K3775" t="s">
        <v>29335</v>
      </c>
      <c r="M3775" t="s">
        <v>30942</v>
      </c>
      <c r="N3775" t="s">
        <v>32524</v>
      </c>
      <c r="O3775" t="s">
        <v>32525</v>
      </c>
      <c r="P3775">
        <v>0</v>
      </c>
      <c r="Q3775">
        <v>2</v>
      </c>
      <c r="R3775" t="s">
        <v>32530</v>
      </c>
      <c r="S3775" t="s">
        <v>32568</v>
      </c>
      <c r="T3775" t="s">
        <v>33215</v>
      </c>
      <c r="U3775" t="s">
        <v>36838</v>
      </c>
      <c r="V3775" t="s">
        <v>42780</v>
      </c>
      <c r="W3775" t="s">
        <v>30942</v>
      </c>
      <c r="X3775" t="s">
        <v>32531</v>
      </c>
    </row>
    <row r="3776" spans="1:24">
      <c r="A3776">
        <f>HYPERLINK("https://www.philgeps.gov.ph/GEPSNONPILOT/Tender/SplashBidNoticeAbstractUI.aspx?menuIndex=3&amp;refID=7041542&amp;Result=3","7041542")</f>
        <v>0</v>
      </c>
      <c r="B3776" t="s">
        <v>293</v>
      </c>
      <c r="C3776" t="s">
        <v>6287</v>
      </c>
      <c r="D3776" t="s">
        <v>13046</v>
      </c>
      <c r="E3776" t="s">
        <v>16468</v>
      </c>
      <c r="F3776" t="s">
        <v>22436</v>
      </c>
      <c r="G3776" t="s">
        <v>22443</v>
      </c>
      <c r="H3776" t="s">
        <v>22452</v>
      </c>
      <c r="I3776" t="s">
        <v>22467</v>
      </c>
      <c r="J3776" t="s">
        <v>25114</v>
      </c>
      <c r="K3776" t="s">
        <v>29341</v>
      </c>
      <c r="M3776" t="s">
        <v>29867</v>
      </c>
      <c r="N3776" t="s">
        <v>32524</v>
      </c>
      <c r="O3776" t="s">
        <v>32525</v>
      </c>
      <c r="P3776">
        <v>0</v>
      </c>
      <c r="Q3776">
        <v>0</v>
      </c>
      <c r="R3776" t="s">
        <v>32530</v>
      </c>
      <c r="S3776" t="s">
        <v>32568</v>
      </c>
      <c r="T3776" t="s">
        <v>33310</v>
      </c>
      <c r="U3776" t="s">
        <v>36839</v>
      </c>
      <c r="V3776" t="s">
        <v>42806</v>
      </c>
      <c r="W3776" t="s">
        <v>29867</v>
      </c>
      <c r="X3776" t="s">
        <v>32531</v>
      </c>
    </row>
    <row r="3777" spans="1:24">
      <c r="A3777">
        <f>HYPERLINK("https://www.philgeps.gov.ph/GEPSNONPILOT/Tender/SplashBidNoticeAbstractUI.aspx?menuIndex=3&amp;refID=7041541&amp;Result=3","7041541")</f>
        <v>0</v>
      </c>
      <c r="B3777" t="s">
        <v>1353</v>
      </c>
      <c r="C3777" t="s">
        <v>6288</v>
      </c>
      <c r="D3777" t="s">
        <v>13031</v>
      </c>
      <c r="E3777" t="s">
        <v>16469</v>
      </c>
      <c r="F3777" t="s">
        <v>22437</v>
      </c>
      <c r="G3777" t="s">
        <v>22443</v>
      </c>
      <c r="H3777" t="s">
        <v>22454</v>
      </c>
      <c r="I3777" t="s">
        <v>22501</v>
      </c>
      <c r="J3777" t="s">
        <v>22616</v>
      </c>
      <c r="K3777" t="s">
        <v>29338</v>
      </c>
      <c r="M3777" t="s">
        <v>31009</v>
      </c>
      <c r="N3777" t="s">
        <v>32524</v>
      </c>
      <c r="O3777" t="s">
        <v>32525</v>
      </c>
      <c r="P3777">
        <v>0</v>
      </c>
      <c r="Q3777">
        <v>0</v>
      </c>
      <c r="R3777" t="s">
        <v>32530</v>
      </c>
      <c r="S3777" t="s">
        <v>32568</v>
      </c>
      <c r="T3777" t="s">
        <v>33154</v>
      </c>
      <c r="U3777" t="s">
        <v>36840</v>
      </c>
      <c r="W3777" t="s">
        <v>31009</v>
      </c>
      <c r="X3777" t="s">
        <v>32531</v>
      </c>
    </row>
    <row r="3778" spans="1:24">
      <c r="A3778">
        <f>HYPERLINK("https://www.philgeps.gov.ph/GEPSNONPILOT/Tender/SplashBidNoticeAbstractUI.aspx?menuIndex=3&amp;refID=7041555&amp;Result=3","7041555")</f>
        <v>0</v>
      </c>
      <c r="B3778" t="s">
        <v>350</v>
      </c>
      <c r="C3778" t="s">
        <v>6289</v>
      </c>
      <c r="D3778" t="s">
        <v>13031</v>
      </c>
      <c r="E3778" t="s">
        <v>16470</v>
      </c>
      <c r="F3778" t="s">
        <v>22436</v>
      </c>
      <c r="G3778" t="s">
        <v>22446</v>
      </c>
      <c r="H3778" t="s">
        <v>22452</v>
      </c>
      <c r="I3778" t="s">
        <v>22471</v>
      </c>
      <c r="J3778" t="s">
        <v>25115</v>
      </c>
      <c r="K3778" t="s">
        <v>29329</v>
      </c>
      <c r="M3778" t="s">
        <v>29927</v>
      </c>
      <c r="N3778" t="s">
        <v>32524</v>
      </c>
      <c r="O3778" t="s">
        <v>32525</v>
      </c>
      <c r="P3778">
        <v>0</v>
      </c>
      <c r="Q3778">
        <v>6</v>
      </c>
      <c r="R3778" t="s">
        <v>32530</v>
      </c>
      <c r="S3778" t="s">
        <v>32568</v>
      </c>
      <c r="T3778" t="s">
        <v>33209</v>
      </c>
      <c r="U3778" t="s">
        <v>34315</v>
      </c>
      <c r="W3778" t="s">
        <v>29927</v>
      </c>
      <c r="X3778" t="s">
        <v>32531</v>
      </c>
    </row>
    <row r="3779" spans="1:24">
      <c r="A3779">
        <f>HYPERLINK("https://www.philgeps.gov.ph/GEPSNONPILOT/Tender/SplashBidNoticeAbstractUI.aspx?menuIndex=3&amp;refID=7041573&amp;Result=3","7041573")</f>
        <v>0</v>
      </c>
      <c r="B3779" t="s">
        <v>1328</v>
      </c>
      <c r="C3779" t="s">
        <v>6290</v>
      </c>
      <c r="D3779" t="s">
        <v>12996</v>
      </c>
      <c r="E3779" t="s">
        <v>16471</v>
      </c>
      <c r="F3779" t="s">
        <v>22436</v>
      </c>
      <c r="G3779" t="s">
        <v>22444</v>
      </c>
      <c r="H3779" t="s">
        <v>22452</v>
      </c>
      <c r="I3779" t="s">
        <v>5194</v>
      </c>
      <c r="J3779" t="s">
        <v>22616</v>
      </c>
      <c r="K3779" t="s">
        <v>29341</v>
      </c>
      <c r="M3779" t="s">
        <v>30983</v>
      </c>
      <c r="N3779" t="s">
        <v>32524</v>
      </c>
      <c r="O3779" t="s">
        <v>32525</v>
      </c>
      <c r="P3779">
        <v>0</v>
      </c>
      <c r="Q3779">
        <v>4</v>
      </c>
      <c r="R3779" t="s">
        <v>32530</v>
      </c>
      <c r="S3779" t="s">
        <v>32568</v>
      </c>
      <c r="T3779" t="s">
        <v>33202</v>
      </c>
      <c r="U3779" t="s">
        <v>36841</v>
      </c>
      <c r="V3779" t="s">
        <v>42807</v>
      </c>
      <c r="W3779" t="s">
        <v>30983</v>
      </c>
      <c r="X3779" t="s">
        <v>32531</v>
      </c>
    </row>
    <row r="3780" spans="1:24">
      <c r="A3780">
        <f>HYPERLINK("https://www.philgeps.gov.ph/GEPSNONPILOT/Tender/SplashBidNoticeAbstractUI.aspx?menuIndex=3&amp;refID=7041575&amp;Result=3","7041575")</f>
        <v>0</v>
      </c>
      <c r="B3780" t="s">
        <v>356</v>
      </c>
      <c r="C3780" t="s">
        <v>6291</v>
      </c>
      <c r="D3780" t="s">
        <v>12993</v>
      </c>
      <c r="E3780" t="s">
        <v>16472</v>
      </c>
      <c r="F3780" t="s">
        <v>22436</v>
      </c>
      <c r="G3780" t="s">
        <v>22443</v>
      </c>
      <c r="H3780" t="s">
        <v>22452</v>
      </c>
      <c r="I3780" t="s">
        <v>22488</v>
      </c>
      <c r="J3780" t="s">
        <v>25116</v>
      </c>
      <c r="K3780" t="s">
        <v>29336</v>
      </c>
      <c r="M3780" t="s">
        <v>30143</v>
      </c>
      <c r="N3780" t="s">
        <v>32524</v>
      </c>
      <c r="O3780" t="s">
        <v>32525</v>
      </c>
      <c r="P3780">
        <v>0</v>
      </c>
      <c r="Q3780">
        <v>1</v>
      </c>
      <c r="R3780" t="s">
        <v>32530</v>
      </c>
      <c r="S3780" t="s">
        <v>32568</v>
      </c>
      <c r="T3780" t="s">
        <v>33209</v>
      </c>
      <c r="U3780" t="s">
        <v>36842</v>
      </c>
      <c r="W3780" t="s">
        <v>30143</v>
      </c>
      <c r="X3780" t="s">
        <v>32531</v>
      </c>
    </row>
    <row r="3781" spans="1:24">
      <c r="A3781">
        <f>HYPERLINK("https://www.philgeps.gov.ph/GEPSNONPILOT/Tender/SplashBidNoticeAbstractUI.aspx?menuIndex=3&amp;refID=7041563&amp;Result=3","7041563")</f>
        <v>0</v>
      </c>
      <c r="B3781" t="s">
        <v>760</v>
      </c>
      <c r="C3781" t="s">
        <v>6292</v>
      </c>
      <c r="D3781" t="s">
        <v>13051</v>
      </c>
      <c r="E3781" t="s">
        <v>16473</v>
      </c>
      <c r="F3781" t="s">
        <v>22436</v>
      </c>
      <c r="G3781" t="s">
        <v>22444</v>
      </c>
      <c r="H3781" t="s">
        <v>22454</v>
      </c>
      <c r="I3781" t="s">
        <v>7738</v>
      </c>
      <c r="J3781" t="s">
        <v>25117</v>
      </c>
      <c r="K3781" t="s">
        <v>29334</v>
      </c>
      <c r="M3781" t="s">
        <v>30361</v>
      </c>
      <c r="N3781" t="s">
        <v>32524</v>
      </c>
      <c r="O3781" t="s">
        <v>32525</v>
      </c>
      <c r="P3781">
        <v>0</v>
      </c>
      <c r="Q3781">
        <v>0</v>
      </c>
      <c r="R3781" t="s">
        <v>32530</v>
      </c>
      <c r="S3781" t="s">
        <v>32568</v>
      </c>
      <c r="T3781" t="s">
        <v>33423</v>
      </c>
      <c r="U3781" t="s">
        <v>36843</v>
      </c>
      <c r="W3781" t="s">
        <v>30361</v>
      </c>
      <c r="X3781" t="s">
        <v>32531</v>
      </c>
    </row>
    <row r="3782" spans="1:24">
      <c r="A3782">
        <f>HYPERLINK("https://www.philgeps.gov.ph/GEPSNONPILOT/Tender/SplashBidNoticeAbstractUI.aspx?menuIndex=3&amp;refID=7041564&amp;Result=3","7041564")</f>
        <v>0</v>
      </c>
      <c r="B3782" t="s">
        <v>1354</v>
      </c>
      <c r="C3782" t="s">
        <v>6293</v>
      </c>
      <c r="D3782" t="s">
        <v>12998</v>
      </c>
      <c r="E3782" t="s">
        <v>16474</v>
      </c>
      <c r="F3782" t="s">
        <v>22436</v>
      </c>
      <c r="G3782" t="s">
        <v>22444</v>
      </c>
      <c r="H3782" t="s">
        <v>22454</v>
      </c>
      <c r="I3782" t="s">
        <v>7738</v>
      </c>
      <c r="J3782" t="s">
        <v>22875</v>
      </c>
      <c r="K3782" t="s">
        <v>29427</v>
      </c>
      <c r="M3782" t="s">
        <v>31010</v>
      </c>
      <c r="N3782" t="s">
        <v>32524</v>
      </c>
      <c r="O3782" t="s">
        <v>32525</v>
      </c>
      <c r="P3782">
        <v>0</v>
      </c>
      <c r="Q3782">
        <v>0</v>
      </c>
      <c r="R3782" t="s">
        <v>32530</v>
      </c>
      <c r="S3782" t="s">
        <v>32568</v>
      </c>
      <c r="T3782" t="s">
        <v>33215</v>
      </c>
      <c r="U3782" t="s">
        <v>36844</v>
      </c>
      <c r="W3782" t="s">
        <v>31010</v>
      </c>
      <c r="X3782" t="s">
        <v>32531</v>
      </c>
    </row>
    <row r="3783" spans="1:24">
      <c r="A3783">
        <f>HYPERLINK("https://www.philgeps.gov.ph/GEPSNONPILOT/Tender/SplashBidNoticeAbstractUI.aspx?menuIndex=3&amp;refID=7041572&amp;Result=3","7041572")</f>
        <v>0</v>
      </c>
      <c r="B3783" t="s">
        <v>1262</v>
      </c>
      <c r="C3783" t="s">
        <v>6294</v>
      </c>
      <c r="D3783" t="s">
        <v>13032</v>
      </c>
      <c r="E3783" t="s">
        <v>13367</v>
      </c>
      <c r="F3783" t="s">
        <v>22436</v>
      </c>
      <c r="G3783" t="s">
        <v>22444</v>
      </c>
      <c r="H3783" t="s">
        <v>22454</v>
      </c>
      <c r="I3783" t="s">
        <v>7738</v>
      </c>
      <c r="J3783" t="s">
        <v>25118</v>
      </c>
      <c r="K3783" t="s">
        <v>29334</v>
      </c>
      <c r="M3783" t="s">
        <v>30915</v>
      </c>
      <c r="N3783" t="s">
        <v>32524</v>
      </c>
      <c r="O3783" t="s">
        <v>32525</v>
      </c>
      <c r="P3783">
        <v>0</v>
      </c>
      <c r="Q3783">
        <v>2</v>
      </c>
      <c r="R3783" t="s">
        <v>32530</v>
      </c>
      <c r="S3783" t="s">
        <v>32568</v>
      </c>
      <c r="T3783" t="s">
        <v>33422</v>
      </c>
      <c r="U3783" t="s">
        <v>36845</v>
      </c>
      <c r="W3783" t="s">
        <v>30915</v>
      </c>
      <c r="X3783" t="s">
        <v>32531</v>
      </c>
    </row>
    <row r="3784" spans="1:24">
      <c r="A3784">
        <f>HYPERLINK("https://www.philgeps.gov.ph/GEPSNONPILOT/Tender/SplashBidNoticeAbstractUI.aspx?menuIndex=3&amp;refID=7041562&amp;Result=3","7041562")</f>
        <v>0</v>
      </c>
      <c r="B3784" t="s">
        <v>1355</v>
      </c>
      <c r="C3784" t="s">
        <v>6295</v>
      </c>
      <c r="D3784" t="s">
        <v>12999</v>
      </c>
      <c r="E3784" t="s">
        <v>13668</v>
      </c>
      <c r="F3784" t="s">
        <v>22436</v>
      </c>
      <c r="G3784" t="s">
        <v>22443</v>
      </c>
      <c r="H3784" t="s">
        <v>22452</v>
      </c>
      <c r="I3784" t="s">
        <v>5194</v>
      </c>
      <c r="J3784" t="s">
        <v>25119</v>
      </c>
      <c r="K3784" t="s">
        <v>29338</v>
      </c>
      <c r="M3784" t="s">
        <v>31011</v>
      </c>
      <c r="N3784" t="s">
        <v>32524</v>
      </c>
      <c r="O3784" t="s">
        <v>32525</v>
      </c>
      <c r="P3784">
        <v>0</v>
      </c>
      <c r="Q3784">
        <v>0</v>
      </c>
      <c r="R3784" t="s">
        <v>32530</v>
      </c>
      <c r="S3784" t="s">
        <v>32568</v>
      </c>
      <c r="T3784" t="s">
        <v>33372</v>
      </c>
      <c r="U3784" t="s">
        <v>36846</v>
      </c>
      <c r="W3784" t="s">
        <v>31011</v>
      </c>
      <c r="X3784" t="s">
        <v>32531</v>
      </c>
    </row>
    <row r="3785" spans="1:24">
      <c r="A3785">
        <f>HYPERLINK("https://www.philgeps.gov.ph/GEPSNONPILOT/Tender/SplashBidNoticeAbstractUI.aspx?menuIndex=3&amp;refID=7041561&amp;Result=3","7041561")</f>
        <v>0</v>
      </c>
      <c r="B3785" t="s">
        <v>1349</v>
      </c>
      <c r="C3785" t="s">
        <v>6296</v>
      </c>
      <c r="D3785" t="s">
        <v>13038</v>
      </c>
      <c r="E3785" t="s">
        <v>16475</v>
      </c>
      <c r="F3785" t="s">
        <v>22436</v>
      </c>
      <c r="G3785" t="s">
        <v>22446</v>
      </c>
      <c r="H3785" t="s">
        <v>22452</v>
      </c>
      <c r="I3785" t="s">
        <v>22470</v>
      </c>
      <c r="J3785" t="s">
        <v>24402</v>
      </c>
      <c r="K3785" t="s">
        <v>29340</v>
      </c>
      <c r="M3785" t="s">
        <v>31004</v>
      </c>
      <c r="N3785" t="s">
        <v>32524</v>
      </c>
      <c r="O3785" t="s">
        <v>32525</v>
      </c>
      <c r="P3785">
        <v>0</v>
      </c>
      <c r="Q3785">
        <v>3</v>
      </c>
      <c r="R3785" t="s">
        <v>32530</v>
      </c>
      <c r="S3785" t="s">
        <v>32568</v>
      </c>
      <c r="T3785" t="s">
        <v>33296</v>
      </c>
      <c r="U3785" t="s">
        <v>36847</v>
      </c>
      <c r="V3785" t="s">
        <v>42808</v>
      </c>
      <c r="W3785" t="s">
        <v>31004</v>
      </c>
      <c r="X3785" t="s">
        <v>32531</v>
      </c>
    </row>
    <row r="3786" spans="1:24">
      <c r="A3786">
        <f>HYPERLINK("https://www.philgeps.gov.ph/GEPSNONPILOT/Tender/SplashBidNoticeAbstractUI.aspx?menuIndex=3&amp;refID=7041603&amp;Result=3","7041603")</f>
        <v>0</v>
      </c>
      <c r="B3786" t="s">
        <v>1356</v>
      </c>
      <c r="C3786" t="s">
        <v>6297</v>
      </c>
      <c r="D3786" t="s">
        <v>13019</v>
      </c>
      <c r="E3786" t="s">
        <v>16476</v>
      </c>
      <c r="F3786" t="s">
        <v>22436</v>
      </c>
      <c r="G3786" t="s">
        <v>22443</v>
      </c>
      <c r="H3786" t="s">
        <v>22455</v>
      </c>
      <c r="I3786" t="s">
        <v>22455</v>
      </c>
      <c r="J3786" t="s">
        <v>23243</v>
      </c>
      <c r="K3786" t="s">
        <v>29337</v>
      </c>
      <c r="M3786" t="s">
        <v>31012</v>
      </c>
      <c r="N3786" t="s">
        <v>32524</v>
      </c>
      <c r="O3786" t="s">
        <v>32525</v>
      </c>
      <c r="P3786">
        <v>0</v>
      </c>
      <c r="Q3786">
        <v>0</v>
      </c>
      <c r="R3786" t="s">
        <v>32530</v>
      </c>
      <c r="S3786" t="s">
        <v>32568</v>
      </c>
      <c r="T3786" t="s">
        <v>33180</v>
      </c>
      <c r="U3786" t="s">
        <v>36848</v>
      </c>
      <c r="V3786" t="s">
        <v>42809</v>
      </c>
      <c r="W3786" t="s">
        <v>31012</v>
      </c>
      <c r="X3786" t="s">
        <v>32531</v>
      </c>
    </row>
    <row r="3787" spans="1:24">
      <c r="A3787">
        <f>HYPERLINK("https://www.philgeps.gov.ph/GEPSNONPILOT/Tender/SplashBidNoticeAbstractUI.aspx?menuIndex=3&amp;refID=7041591&amp;Result=3","7041591")</f>
        <v>0</v>
      </c>
      <c r="B3787" t="s">
        <v>1357</v>
      </c>
      <c r="C3787" t="s">
        <v>6298</v>
      </c>
      <c r="D3787" t="s">
        <v>13011</v>
      </c>
      <c r="E3787" t="s">
        <v>16477</v>
      </c>
      <c r="F3787" t="s">
        <v>22436</v>
      </c>
      <c r="G3787" t="s">
        <v>22450</v>
      </c>
      <c r="H3787" t="s">
        <v>22454</v>
      </c>
      <c r="I3787" t="s">
        <v>22526</v>
      </c>
      <c r="J3787" t="s">
        <v>22901</v>
      </c>
      <c r="K3787" t="s">
        <v>29344</v>
      </c>
      <c r="M3787" t="s">
        <v>31013</v>
      </c>
      <c r="N3787" t="s">
        <v>32524</v>
      </c>
      <c r="O3787" t="s">
        <v>32525</v>
      </c>
      <c r="P3787">
        <v>0</v>
      </c>
      <c r="Q3787">
        <v>0</v>
      </c>
      <c r="R3787" t="s">
        <v>32530</v>
      </c>
      <c r="S3787" t="s">
        <v>32568</v>
      </c>
      <c r="T3787" t="s">
        <v>33385</v>
      </c>
      <c r="U3787" t="s">
        <v>36849</v>
      </c>
      <c r="V3787" t="s">
        <v>42810</v>
      </c>
      <c r="W3787" t="s">
        <v>31013</v>
      </c>
      <c r="X3787" t="s">
        <v>32531</v>
      </c>
    </row>
    <row r="3788" spans="1:24">
      <c r="A3788">
        <f>HYPERLINK("https://www.philgeps.gov.ph/GEPSNONPILOT/Tender/SplashBidNoticeAbstractUI.aspx?menuIndex=3&amp;refID=7041571&amp;Result=3","7041571")</f>
        <v>0</v>
      </c>
      <c r="B3788" t="s">
        <v>1358</v>
      </c>
      <c r="C3788" t="s">
        <v>6299</v>
      </c>
      <c r="D3788" t="s">
        <v>13041</v>
      </c>
      <c r="E3788" t="s">
        <v>16478</v>
      </c>
      <c r="F3788" t="s">
        <v>22436</v>
      </c>
      <c r="G3788" t="s">
        <v>22444</v>
      </c>
      <c r="H3788" t="s">
        <v>22454</v>
      </c>
      <c r="I3788" t="s">
        <v>7738</v>
      </c>
      <c r="J3788" t="s">
        <v>25120</v>
      </c>
      <c r="K3788" t="s">
        <v>29338</v>
      </c>
      <c r="M3788" t="s">
        <v>31014</v>
      </c>
      <c r="N3788" t="s">
        <v>32524</v>
      </c>
      <c r="O3788" t="s">
        <v>32525</v>
      </c>
      <c r="P3788">
        <v>0</v>
      </c>
      <c r="Q3788">
        <v>0</v>
      </c>
      <c r="R3788" t="s">
        <v>32530</v>
      </c>
      <c r="S3788" t="s">
        <v>32568</v>
      </c>
      <c r="T3788" t="s">
        <v>33175</v>
      </c>
      <c r="U3788" t="s">
        <v>36850</v>
      </c>
      <c r="W3788" t="s">
        <v>31014</v>
      </c>
      <c r="X3788" t="s">
        <v>32531</v>
      </c>
    </row>
    <row r="3789" spans="1:24">
      <c r="A3789">
        <f>HYPERLINK("https://www.philgeps.gov.ph/GEPSNONPILOT/Tender/SplashBidNoticeAbstractUI.aspx?menuIndex=3&amp;refID=7041559&amp;Result=3","7041559")</f>
        <v>0</v>
      </c>
      <c r="B3789" t="s">
        <v>1313</v>
      </c>
      <c r="C3789" t="s">
        <v>6300</v>
      </c>
      <c r="D3789" t="s">
        <v>13024</v>
      </c>
      <c r="E3789" t="s">
        <v>16479</v>
      </c>
      <c r="F3789" t="s">
        <v>22436</v>
      </c>
      <c r="G3789" t="s">
        <v>22444</v>
      </c>
      <c r="H3789" t="s">
        <v>22452</v>
      </c>
      <c r="I3789" t="s">
        <v>3529</v>
      </c>
      <c r="J3789" t="s">
        <v>25121</v>
      </c>
      <c r="K3789" t="s">
        <v>29341</v>
      </c>
      <c r="M3789" t="s">
        <v>30967</v>
      </c>
      <c r="N3789" t="s">
        <v>32524</v>
      </c>
      <c r="O3789" t="s">
        <v>32525</v>
      </c>
      <c r="P3789">
        <v>0</v>
      </c>
      <c r="Q3789">
        <v>0</v>
      </c>
      <c r="R3789" t="s">
        <v>32530</v>
      </c>
      <c r="S3789" t="s">
        <v>32568</v>
      </c>
      <c r="T3789" t="s">
        <v>33167</v>
      </c>
      <c r="U3789" t="s">
        <v>36851</v>
      </c>
      <c r="W3789" t="s">
        <v>30967</v>
      </c>
      <c r="X3789" t="s">
        <v>32531</v>
      </c>
    </row>
    <row r="3790" spans="1:24">
      <c r="A3790">
        <f>HYPERLINK("https://www.philgeps.gov.ph/GEPSNONPILOT/Tender/SplashBidNoticeAbstractUI.aspx?menuIndex=3&amp;refID=7041566&amp;Result=3","7041566")</f>
        <v>0</v>
      </c>
      <c r="B3790" t="s">
        <v>1359</v>
      </c>
      <c r="C3790" t="s">
        <v>6301</v>
      </c>
      <c r="D3790" t="s">
        <v>12998</v>
      </c>
      <c r="E3790" t="s">
        <v>16480</v>
      </c>
      <c r="F3790" t="s">
        <v>22436</v>
      </c>
      <c r="G3790" t="s">
        <v>22444</v>
      </c>
      <c r="H3790" t="s">
        <v>22454</v>
      </c>
      <c r="I3790" t="s">
        <v>7738</v>
      </c>
      <c r="J3790" t="s">
        <v>25122</v>
      </c>
      <c r="K3790" t="s">
        <v>29427</v>
      </c>
      <c r="M3790" t="s">
        <v>31015</v>
      </c>
      <c r="N3790" t="s">
        <v>32524</v>
      </c>
      <c r="O3790" t="s">
        <v>32525</v>
      </c>
      <c r="P3790">
        <v>0</v>
      </c>
      <c r="Q3790">
        <v>0</v>
      </c>
      <c r="R3790" t="s">
        <v>32530</v>
      </c>
      <c r="S3790" t="s">
        <v>32568</v>
      </c>
      <c r="T3790" t="s">
        <v>33154</v>
      </c>
      <c r="U3790" t="s">
        <v>36852</v>
      </c>
      <c r="W3790" t="s">
        <v>31015</v>
      </c>
      <c r="X3790" t="s">
        <v>32531</v>
      </c>
    </row>
    <row r="3791" spans="1:24">
      <c r="A3791">
        <f>HYPERLINK("https://www.philgeps.gov.ph/GEPSNONPILOT/Tender/SplashBidNoticeAbstractUI.aspx?menuIndex=3&amp;refID=7041581&amp;Result=3","7041581")</f>
        <v>0</v>
      </c>
      <c r="B3791" t="s">
        <v>462</v>
      </c>
      <c r="C3791" t="s">
        <v>6302</v>
      </c>
      <c r="D3791" t="s">
        <v>12988</v>
      </c>
      <c r="E3791" t="s">
        <v>16481</v>
      </c>
      <c r="F3791" t="s">
        <v>22436</v>
      </c>
      <c r="G3791" t="s">
        <v>22445</v>
      </c>
      <c r="H3791" t="s">
        <v>22452</v>
      </c>
      <c r="I3791" t="s">
        <v>3827</v>
      </c>
      <c r="J3791" t="s">
        <v>22667</v>
      </c>
      <c r="K3791" t="s">
        <v>29336</v>
      </c>
      <c r="M3791" t="s">
        <v>30044</v>
      </c>
      <c r="N3791" t="s">
        <v>32524</v>
      </c>
      <c r="O3791" t="s">
        <v>32525</v>
      </c>
      <c r="P3791">
        <v>0</v>
      </c>
      <c r="Q3791">
        <v>3</v>
      </c>
      <c r="R3791" t="s">
        <v>32530</v>
      </c>
      <c r="S3791" t="s">
        <v>32568</v>
      </c>
      <c r="T3791" t="s">
        <v>33310</v>
      </c>
      <c r="U3791" t="s">
        <v>36853</v>
      </c>
      <c r="W3791" t="s">
        <v>43683</v>
      </c>
      <c r="X3791" t="s">
        <v>32531</v>
      </c>
    </row>
    <row r="3792" spans="1:24">
      <c r="A3792">
        <f>HYPERLINK("https://www.philgeps.gov.ph/GEPSNONPILOT/Tender/SplashBidNoticeAbstractUI.aspx?menuIndex=3&amp;refID=7041598&amp;Result=3","7041598")</f>
        <v>0</v>
      </c>
      <c r="B3792" t="s">
        <v>1360</v>
      </c>
      <c r="C3792" t="s">
        <v>6303</v>
      </c>
      <c r="D3792" t="s">
        <v>13023</v>
      </c>
      <c r="E3792" t="s">
        <v>16482</v>
      </c>
      <c r="F3792" t="s">
        <v>22436</v>
      </c>
      <c r="G3792" t="s">
        <v>22443</v>
      </c>
      <c r="H3792" t="s">
        <v>22452</v>
      </c>
      <c r="I3792" t="s">
        <v>22465</v>
      </c>
      <c r="J3792" t="s">
        <v>25123</v>
      </c>
      <c r="K3792" t="s">
        <v>29338</v>
      </c>
      <c r="M3792" t="s">
        <v>31016</v>
      </c>
      <c r="N3792" t="s">
        <v>32524</v>
      </c>
      <c r="O3792" t="s">
        <v>32525</v>
      </c>
      <c r="P3792">
        <v>0</v>
      </c>
      <c r="Q3792">
        <v>5</v>
      </c>
      <c r="R3792" t="s">
        <v>32530</v>
      </c>
      <c r="S3792" t="s">
        <v>32568</v>
      </c>
      <c r="T3792" t="s">
        <v>33230</v>
      </c>
      <c r="U3792" t="s">
        <v>36854</v>
      </c>
      <c r="V3792" t="s">
        <v>42811</v>
      </c>
      <c r="W3792" t="s">
        <v>31016</v>
      </c>
      <c r="X3792" t="s">
        <v>32531</v>
      </c>
    </row>
    <row r="3793" spans="1:24">
      <c r="A3793">
        <f>HYPERLINK("https://www.philgeps.gov.ph/GEPSNONPILOT/Tender/SplashBidNoticeAbstractUI.aspx?menuIndex=3&amp;refID=7041578&amp;Result=3","7041578")</f>
        <v>0</v>
      </c>
      <c r="B3793" t="s">
        <v>350</v>
      </c>
      <c r="C3793" t="s">
        <v>6304</v>
      </c>
      <c r="D3793" t="s">
        <v>13031</v>
      </c>
      <c r="E3793" t="s">
        <v>16483</v>
      </c>
      <c r="F3793" t="s">
        <v>22436</v>
      </c>
      <c r="G3793" t="s">
        <v>22446</v>
      </c>
      <c r="H3793" t="s">
        <v>22452</v>
      </c>
      <c r="I3793" t="s">
        <v>22465</v>
      </c>
      <c r="J3793" t="s">
        <v>22640</v>
      </c>
      <c r="K3793" t="s">
        <v>29338</v>
      </c>
      <c r="M3793" t="s">
        <v>29927</v>
      </c>
      <c r="N3793" t="s">
        <v>32524</v>
      </c>
      <c r="O3793" t="s">
        <v>32525</v>
      </c>
      <c r="P3793">
        <v>0</v>
      </c>
      <c r="Q3793">
        <v>3</v>
      </c>
      <c r="R3793" t="s">
        <v>32530</v>
      </c>
      <c r="S3793" t="s">
        <v>32568</v>
      </c>
      <c r="T3793" t="s">
        <v>33209</v>
      </c>
      <c r="U3793" t="s">
        <v>34315</v>
      </c>
      <c r="W3793" t="s">
        <v>29927</v>
      </c>
      <c r="X3793" t="s">
        <v>32531</v>
      </c>
    </row>
    <row r="3794" spans="1:24">
      <c r="A3794">
        <f>HYPERLINK("https://www.philgeps.gov.ph/GEPSNONPILOT/Tender/SplashBidNoticeAbstractUI.aspx?menuIndex=3&amp;refID=7041605&amp;Result=3","7041605")</f>
        <v>0</v>
      </c>
      <c r="B3794" t="s">
        <v>1107</v>
      </c>
      <c r="C3794" t="s">
        <v>6305</v>
      </c>
      <c r="D3794" t="s">
        <v>13035</v>
      </c>
      <c r="E3794" t="s">
        <v>16484</v>
      </c>
      <c r="F3794" t="s">
        <v>22436</v>
      </c>
      <c r="G3794" t="s">
        <v>22444</v>
      </c>
      <c r="H3794" t="s">
        <v>22452</v>
      </c>
      <c r="I3794" t="s">
        <v>3529</v>
      </c>
      <c r="J3794" t="s">
        <v>22704</v>
      </c>
      <c r="K3794" t="s">
        <v>29331</v>
      </c>
      <c r="M3794" t="s">
        <v>30743</v>
      </c>
      <c r="N3794" t="s">
        <v>32524</v>
      </c>
      <c r="O3794" t="s">
        <v>32525</v>
      </c>
      <c r="P3794">
        <v>0</v>
      </c>
      <c r="Q3794">
        <v>0</v>
      </c>
      <c r="R3794" t="s">
        <v>32530</v>
      </c>
      <c r="S3794" t="s">
        <v>32568</v>
      </c>
      <c r="T3794" t="s">
        <v>33183</v>
      </c>
      <c r="U3794" t="s">
        <v>36855</v>
      </c>
      <c r="V3794" t="s">
        <v>42812</v>
      </c>
      <c r="W3794" t="s">
        <v>30743</v>
      </c>
      <c r="X3794" t="s">
        <v>32531</v>
      </c>
    </row>
    <row r="3795" spans="1:24">
      <c r="A3795">
        <f>HYPERLINK("https://www.philgeps.gov.ph/GEPSNONPILOT/Tender/SplashBidNoticeAbstractUI.aspx?menuIndex=3&amp;refID=7041582&amp;Result=3","7041582")</f>
        <v>0</v>
      </c>
      <c r="B3795" t="s">
        <v>293</v>
      </c>
      <c r="C3795" t="s">
        <v>6306</v>
      </c>
      <c r="D3795" t="s">
        <v>13046</v>
      </c>
      <c r="E3795" t="s">
        <v>16485</v>
      </c>
      <c r="F3795" t="s">
        <v>22436</v>
      </c>
      <c r="G3795" t="s">
        <v>22443</v>
      </c>
      <c r="H3795" t="s">
        <v>22452</v>
      </c>
      <c r="I3795" t="s">
        <v>22474</v>
      </c>
      <c r="J3795" t="s">
        <v>22800</v>
      </c>
      <c r="K3795" t="s">
        <v>29341</v>
      </c>
      <c r="M3795" t="s">
        <v>29867</v>
      </c>
      <c r="N3795" t="s">
        <v>32524</v>
      </c>
      <c r="O3795" t="s">
        <v>32525</v>
      </c>
      <c r="P3795">
        <v>0</v>
      </c>
      <c r="Q3795">
        <v>0</v>
      </c>
      <c r="R3795" t="s">
        <v>32530</v>
      </c>
      <c r="S3795" t="s">
        <v>32568</v>
      </c>
      <c r="T3795" t="s">
        <v>33310</v>
      </c>
      <c r="U3795" t="s">
        <v>36856</v>
      </c>
      <c r="W3795" t="s">
        <v>29867</v>
      </c>
      <c r="X3795" t="s">
        <v>32531</v>
      </c>
    </row>
    <row r="3796" spans="1:24">
      <c r="A3796">
        <f>HYPERLINK("https://www.philgeps.gov.ph/GEPSNONPILOT/Tender/SplashBidNoticeAbstractUI.aspx?menuIndex=3&amp;refID=7041594&amp;Result=3","7041594")</f>
        <v>0</v>
      </c>
      <c r="B3796" t="s">
        <v>1361</v>
      </c>
      <c r="C3796" t="s">
        <v>6307</v>
      </c>
      <c r="D3796" t="s">
        <v>12991</v>
      </c>
      <c r="E3796" t="s">
        <v>13874</v>
      </c>
      <c r="F3796" t="s">
        <v>22436</v>
      </c>
      <c r="G3796" t="s">
        <v>22448</v>
      </c>
      <c r="H3796" t="s">
        <v>22452</v>
      </c>
      <c r="I3796" t="s">
        <v>22471</v>
      </c>
      <c r="J3796" t="s">
        <v>22692</v>
      </c>
      <c r="K3796" t="s">
        <v>29336</v>
      </c>
      <c r="M3796" t="s">
        <v>31017</v>
      </c>
      <c r="N3796" t="s">
        <v>32524</v>
      </c>
      <c r="O3796" t="s">
        <v>32525</v>
      </c>
      <c r="P3796">
        <v>0</v>
      </c>
      <c r="Q3796">
        <v>0</v>
      </c>
      <c r="R3796" t="s">
        <v>32530</v>
      </c>
      <c r="S3796" t="s">
        <v>32568</v>
      </c>
      <c r="T3796" t="s">
        <v>33185</v>
      </c>
      <c r="U3796" t="s">
        <v>36857</v>
      </c>
      <c r="W3796" t="s">
        <v>31017</v>
      </c>
      <c r="X3796" t="s">
        <v>32531</v>
      </c>
    </row>
    <row r="3797" spans="1:24">
      <c r="A3797">
        <f>HYPERLINK("https://www.philgeps.gov.ph/GEPSNONPILOT/Tender/SplashBidNoticeAbstractUI.aspx?menuIndex=3&amp;refID=7041586&amp;Result=3","7041586")</f>
        <v>0</v>
      </c>
      <c r="B3797" t="s">
        <v>1362</v>
      </c>
      <c r="C3797" t="s">
        <v>6308</v>
      </c>
      <c r="D3797" t="s">
        <v>13027</v>
      </c>
      <c r="E3797" t="s">
        <v>16486</v>
      </c>
      <c r="F3797" t="s">
        <v>22436</v>
      </c>
      <c r="G3797" t="s">
        <v>22444</v>
      </c>
      <c r="H3797" t="s">
        <v>22452</v>
      </c>
      <c r="I3797" t="s">
        <v>3529</v>
      </c>
      <c r="J3797" t="s">
        <v>25124</v>
      </c>
      <c r="K3797" t="s">
        <v>29333</v>
      </c>
      <c r="M3797" t="s">
        <v>31018</v>
      </c>
      <c r="N3797" t="s">
        <v>32524</v>
      </c>
      <c r="O3797" t="s">
        <v>32525</v>
      </c>
      <c r="P3797">
        <v>0</v>
      </c>
      <c r="Q3797">
        <v>0</v>
      </c>
      <c r="R3797" t="s">
        <v>32530</v>
      </c>
      <c r="S3797" t="s">
        <v>32568</v>
      </c>
      <c r="T3797" t="s">
        <v>33167</v>
      </c>
      <c r="U3797" t="s">
        <v>36858</v>
      </c>
      <c r="W3797" t="s">
        <v>31018</v>
      </c>
      <c r="X3797" t="s">
        <v>32531</v>
      </c>
    </row>
    <row r="3798" spans="1:24">
      <c r="A3798">
        <f>HYPERLINK("https://www.philgeps.gov.ph/GEPSNONPILOT/Tender/SplashBidNoticeAbstractUI.aspx?menuIndex=3&amp;refID=7041606&amp;Result=3","7041606")</f>
        <v>0</v>
      </c>
      <c r="B3798" t="s">
        <v>1363</v>
      </c>
      <c r="C3798" t="s">
        <v>6309</v>
      </c>
      <c r="D3798" t="s">
        <v>13015</v>
      </c>
      <c r="E3798" t="s">
        <v>16487</v>
      </c>
      <c r="F3798" t="s">
        <v>22436</v>
      </c>
      <c r="G3798" t="s">
        <v>22446</v>
      </c>
      <c r="H3798" t="s">
        <v>22452</v>
      </c>
      <c r="I3798" t="s">
        <v>22472</v>
      </c>
      <c r="J3798" t="s">
        <v>22654</v>
      </c>
      <c r="K3798" t="s">
        <v>29358</v>
      </c>
      <c r="M3798" t="s">
        <v>31019</v>
      </c>
      <c r="N3798" t="s">
        <v>32524</v>
      </c>
      <c r="O3798" t="s">
        <v>32525</v>
      </c>
      <c r="P3798">
        <v>0</v>
      </c>
      <c r="Q3798">
        <v>2</v>
      </c>
      <c r="R3798" t="s">
        <v>32530</v>
      </c>
      <c r="S3798" t="s">
        <v>32568</v>
      </c>
      <c r="T3798" t="s">
        <v>33351</v>
      </c>
      <c r="U3798" t="s">
        <v>36859</v>
      </c>
      <c r="W3798" t="s">
        <v>31019</v>
      </c>
      <c r="X3798" t="s">
        <v>32531</v>
      </c>
    </row>
    <row r="3799" spans="1:24">
      <c r="A3799">
        <f>HYPERLINK("https://www.philgeps.gov.ph/GEPSNONPILOT/Tender/SplashBidNoticeAbstractUI.aspx?menuIndex=3&amp;refID=7041636&amp;Result=3","7041636")</f>
        <v>0</v>
      </c>
      <c r="B3799" t="s">
        <v>1364</v>
      </c>
      <c r="C3799" t="s">
        <v>6310</v>
      </c>
      <c r="D3799" t="s">
        <v>13032</v>
      </c>
      <c r="E3799" t="s">
        <v>16488</v>
      </c>
      <c r="F3799" t="s">
        <v>22436</v>
      </c>
      <c r="G3799" t="s">
        <v>22444</v>
      </c>
      <c r="H3799" t="s">
        <v>22452</v>
      </c>
      <c r="I3799" t="s">
        <v>2962</v>
      </c>
      <c r="J3799" t="s">
        <v>25125</v>
      </c>
      <c r="K3799" t="s">
        <v>29333</v>
      </c>
      <c r="M3799" t="s">
        <v>31020</v>
      </c>
      <c r="N3799" t="s">
        <v>32524</v>
      </c>
      <c r="O3799" t="s">
        <v>32525</v>
      </c>
      <c r="P3799">
        <v>0</v>
      </c>
      <c r="Q3799">
        <v>1</v>
      </c>
      <c r="R3799" t="s">
        <v>32530</v>
      </c>
      <c r="S3799" t="s">
        <v>32568</v>
      </c>
      <c r="T3799" t="s">
        <v>33429</v>
      </c>
      <c r="U3799" t="s">
        <v>36860</v>
      </c>
      <c r="W3799" t="s">
        <v>31020</v>
      </c>
      <c r="X3799" t="s">
        <v>32531</v>
      </c>
    </row>
    <row r="3800" spans="1:24">
      <c r="A3800">
        <f>HYPERLINK("https://www.philgeps.gov.ph/GEPSNONPILOT/Tender/SplashBidNoticeAbstractUI.aspx?menuIndex=3&amp;refID=7041596&amp;Result=3","7041596")</f>
        <v>0</v>
      </c>
      <c r="B3800" t="s">
        <v>1365</v>
      </c>
      <c r="C3800" t="s">
        <v>6311</v>
      </c>
      <c r="D3800" t="s">
        <v>12998</v>
      </c>
      <c r="E3800" t="s">
        <v>16489</v>
      </c>
      <c r="F3800" t="s">
        <v>22436</v>
      </c>
      <c r="G3800" t="s">
        <v>22444</v>
      </c>
      <c r="H3800" t="s">
        <v>22454</v>
      </c>
      <c r="I3800" t="s">
        <v>7738</v>
      </c>
      <c r="J3800" t="s">
        <v>25126</v>
      </c>
      <c r="K3800" t="s">
        <v>29341</v>
      </c>
      <c r="M3800" t="s">
        <v>31021</v>
      </c>
      <c r="N3800" t="s">
        <v>32524</v>
      </c>
      <c r="O3800" t="s">
        <v>32525</v>
      </c>
      <c r="P3800">
        <v>0</v>
      </c>
      <c r="Q3800">
        <v>0</v>
      </c>
      <c r="R3800" t="s">
        <v>32530</v>
      </c>
      <c r="S3800" t="s">
        <v>32568</v>
      </c>
      <c r="T3800" t="s">
        <v>33154</v>
      </c>
      <c r="U3800" t="s">
        <v>36861</v>
      </c>
      <c r="W3800" t="s">
        <v>31021</v>
      </c>
      <c r="X3800" t="s">
        <v>32531</v>
      </c>
    </row>
    <row r="3801" spans="1:24">
      <c r="A3801">
        <f>HYPERLINK("https://www.philgeps.gov.ph/GEPSNONPILOT/Tender/SplashBidNoticeAbstractUI.aspx?menuIndex=3&amp;refID=7041632&amp;Result=3","7041632")</f>
        <v>0</v>
      </c>
      <c r="B3801" t="s">
        <v>1366</v>
      </c>
      <c r="C3801" t="s">
        <v>6312</v>
      </c>
      <c r="D3801" t="s">
        <v>13039</v>
      </c>
      <c r="E3801" t="s">
        <v>16490</v>
      </c>
      <c r="F3801" t="s">
        <v>22436</v>
      </c>
      <c r="G3801" t="s">
        <v>22444</v>
      </c>
      <c r="H3801" t="s">
        <v>22452</v>
      </c>
      <c r="I3801" t="s">
        <v>22472</v>
      </c>
      <c r="J3801" t="s">
        <v>25127</v>
      </c>
      <c r="K3801" t="s">
        <v>29335</v>
      </c>
      <c r="M3801" t="s">
        <v>31022</v>
      </c>
      <c r="N3801" t="s">
        <v>32524</v>
      </c>
      <c r="O3801" t="s">
        <v>32525</v>
      </c>
      <c r="P3801">
        <v>0</v>
      </c>
      <c r="Q3801">
        <v>2</v>
      </c>
      <c r="R3801" t="s">
        <v>32530</v>
      </c>
      <c r="S3801" t="s">
        <v>32568</v>
      </c>
      <c r="T3801" t="s">
        <v>33430</v>
      </c>
      <c r="U3801" t="s">
        <v>36862</v>
      </c>
      <c r="V3801" t="s">
        <v>42813</v>
      </c>
      <c r="W3801" t="s">
        <v>31022</v>
      </c>
      <c r="X3801" t="s">
        <v>32531</v>
      </c>
    </row>
    <row r="3802" spans="1:24">
      <c r="A3802">
        <f>HYPERLINK("https://www.philgeps.gov.ph/GEPSNONPILOT/Tender/SplashBidNoticeAbstractUI.aspx?menuIndex=3&amp;refID=7041622&amp;Result=3","7041622")</f>
        <v>0</v>
      </c>
      <c r="B3802" t="s">
        <v>1367</v>
      </c>
      <c r="C3802" t="s">
        <v>6313</v>
      </c>
      <c r="D3802" t="s">
        <v>12988</v>
      </c>
      <c r="E3802" t="s">
        <v>16491</v>
      </c>
      <c r="F3802" t="s">
        <v>22436</v>
      </c>
      <c r="G3802" t="s">
        <v>22443</v>
      </c>
      <c r="H3802" t="s">
        <v>22452</v>
      </c>
      <c r="I3802" t="s">
        <v>22469</v>
      </c>
      <c r="J3802" t="s">
        <v>22836</v>
      </c>
      <c r="K3802" t="s">
        <v>29331</v>
      </c>
      <c r="M3802" t="s">
        <v>31023</v>
      </c>
      <c r="N3802" t="s">
        <v>32524</v>
      </c>
      <c r="O3802" t="s">
        <v>32525</v>
      </c>
      <c r="P3802">
        <v>0</v>
      </c>
      <c r="Q3802">
        <v>9</v>
      </c>
      <c r="R3802" t="s">
        <v>32530</v>
      </c>
      <c r="S3802" t="s">
        <v>32568</v>
      </c>
      <c r="T3802" t="s">
        <v>33372</v>
      </c>
      <c r="U3802" t="s">
        <v>36863</v>
      </c>
      <c r="W3802" t="s">
        <v>31023</v>
      </c>
      <c r="X3802" t="s">
        <v>32531</v>
      </c>
    </row>
    <row r="3803" spans="1:24">
      <c r="A3803">
        <f>HYPERLINK("https://www.philgeps.gov.ph/GEPSNONPILOT/Tender/SplashBidNoticeAbstractUI.aspx?menuIndex=3&amp;refID=7041635&amp;Result=3","7041635")</f>
        <v>0</v>
      </c>
      <c r="B3803" t="s">
        <v>1368</v>
      </c>
      <c r="C3803" t="s">
        <v>6314</v>
      </c>
      <c r="D3803" t="s">
        <v>13039</v>
      </c>
      <c r="E3803" t="s">
        <v>13182</v>
      </c>
      <c r="F3803" t="s">
        <v>22436</v>
      </c>
      <c r="G3803" t="s">
        <v>22444</v>
      </c>
      <c r="H3803" t="s">
        <v>22452</v>
      </c>
      <c r="I3803" t="s">
        <v>22504</v>
      </c>
      <c r="J3803" t="s">
        <v>25128</v>
      </c>
      <c r="K3803" t="s">
        <v>29337</v>
      </c>
      <c r="M3803" t="s">
        <v>31024</v>
      </c>
      <c r="N3803" t="s">
        <v>32524</v>
      </c>
      <c r="O3803" t="s">
        <v>32525</v>
      </c>
      <c r="P3803">
        <v>0</v>
      </c>
      <c r="Q3803">
        <v>5</v>
      </c>
      <c r="R3803" t="s">
        <v>32530</v>
      </c>
      <c r="S3803" t="s">
        <v>32568</v>
      </c>
      <c r="T3803" t="s">
        <v>33227</v>
      </c>
      <c r="U3803" t="s">
        <v>36864</v>
      </c>
      <c r="V3803" t="s">
        <v>42814</v>
      </c>
      <c r="W3803" t="s">
        <v>31024</v>
      </c>
      <c r="X3803" t="s">
        <v>32531</v>
      </c>
    </row>
    <row r="3804" spans="1:24">
      <c r="A3804">
        <f>HYPERLINK("https://www.philgeps.gov.ph/GEPSNONPILOT/Tender/SplashBidNoticeAbstractUI.aspx?menuIndex=3&amp;refID=7041651&amp;Result=3","7041651")</f>
        <v>0</v>
      </c>
      <c r="B3804" t="s">
        <v>1369</v>
      </c>
      <c r="C3804" t="s">
        <v>6315</v>
      </c>
      <c r="D3804" t="s">
        <v>13057</v>
      </c>
      <c r="E3804" t="s">
        <v>16492</v>
      </c>
      <c r="F3804" t="s">
        <v>22436</v>
      </c>
      <c r="G3804" t="s">
        <v>22444</v>
      </c>
      <c r="H3804" t="s">
        <v>22452</v>
      </c>
      <c r="I3804" t="s">
        <v>22515</v>
      </c>
      <c r="J3804" t="s">
        <v>22669</v>
      </c>
      <c r="K3804" t="s">
        <v>29344</v>
      </c>
      <c r="L3804" t="s">
        <v>1369</v>
      </c>
      <c r="M3804" t="s">
        <v>31025</v>
      </c>
      <c r="N3804" t="s">
        <v>32524</v>
      </c>
      <c r="O3804" t="s">
        <v>32525</v>
      </c>
      <c r="P3804">
        <v>0</v>
      </c>
      <c r="Q3804">
        <v>1</v>
      </c>
      <c r="R3804" t="s">
        <v>32530</v>
      </c>
      <c r="S3804" t="s">
        <v>32568</v>
      </c>
      <c r="T3804" t="s">
        <v>33165</v>
      </c>
      <c r="U3804" t="s">
        <v>36865</v>
      </c>
      <c r="W3804" t="s">
        <v>31025</v>
      </c>
      <c r="X3804" t="s">
        <v>32531</v>
      </c>
    </row>
    <row r="3805" spans="1:24">
      <c r="A3805">
        <f>HYPERLINK("https://www.philgeps.gov.ph/GEPSNONPILOT/Tender/SplashBidNoticeAbstractUI.aspx?menuIndex=3&amp;refID=7041624&amp;Result=3","7041624")</f>
        <v>0</v>
      </c>
      <c r="B3805" t="s">
        <v>293</v>
      </c>
      <c r="C3805" t="s">
        <v>6316</v>
      </c>
      <c r="D3805" t="s">
        <v>13046</v>
      </c>
      <c r="E3805" t="s">
        <v>16493</v>
      </c>
      <c r="F3805" t="s">
        <v>22436</v>
      </c>
      <c r="G3805" t="s">
        <v>22443</v>
      </c>
      <c r="H3805" t="s">
        <v>22452</v>
      </c>
      <c r="I3805" t="s">
        <v>22467</v>
      </c>
      <c r="J3805" t="s">
        <v>23051</v>
      </c>
      <c r="K3805" t="s">
        <v>29341</v>
      </c>
      <c r="M3805" t="s">
        <v>29867</v>
      </c>
      <c r="N3805" t="s">
        <v>32524</v>
      </c>
      <c r="O3805" t="s">
        <v>32525</v>
      </c>
      <c r="P3805">
        <v>0</v>
      </c>
      <c r="Q3805">
        <v>0</v>
      </c>
      <c r="R3805" t="s">
        <v>32530</v>
      </c>
      <c r="S3805" t="s">
        <v>32568</v>
      </c>
      <c r="T3805" t="s">
        <v>33310</v>
      </c>
      <c r="U3805" t="s">
        <v>36866</v>
      </c>
      <c r="W3805" t="s">
        <v>29867</v>
      </c>
      <c r="X3805" t="s">
        <v>32531</v>
      </c>
    </row>
    <row r="3806" spans="1:24">
      <c r="A3806">
        <f>HYPERLINK("https://www.philgeps.gov.ph/GEPSNONPILOT/Tender/SplashBidNoticeAbstractUI.aspx?menuIndex=3&amp;refID=7041629&amp;Result=3","7041629")</f>
        <v>0</v>
      </c>
      <c r="B3806" t="s">
        <v>1121</v>
      </c>
      <c r="C3806" t="s">
        <v>6317</v>
      </c>
      <c r="D3806" t="s">
        <v>13038</v>
      </c>
      <c r="E3806" t="s">
        <v>16494</v>
      </c>
      <c r="F3806" t="s">
        <v>22436</v>
      </c>
      <c r="G3806" t="s">
        <v>22443</v>
      </c>
      <c r="H3806" t="s">
        <v>22452</v>
      </c>
      <c r="I3806" t="s">
        <v>22502</v>
      </c>
      <c r="J3806" t="s">
        <v>25129</v>
      </c>
      <c r="K3806" t="s">
        <v>29335</v>
      </c>
      <c r="M3806" t="s">
        <v>30759</v>
      </c>
      <c r="N3806" t="s">
        <v>32524</v>
      </c>
      <c r="O3806" t="s">
        <v>32525</v>
      </c>
      <c r="P3806">
        <v>0</v>
      </c>
      <c r="Q3806">
        <v>4</v>
      </c>
      <c r="R3806" t="s">
        <v>32530</v>
      </c>
      <c r="S3806" t="s">
        <v>32568</v>
      </c>
      <c r="T3806" t="s">
        <v>33310</v>
      </c>
      <c r="U3806" t="s">
        <v>36867</v>
      </c>
      <c r="W3806" t="s">
        <v>30759</v>
      </c>
      <c r="X3806" t="s">
        <v>32531</v>
      </c>
    </row>
    <row r="3807" spans="1:24">
      <c r="A3807">
        <f>HYPERLINK("https://www.philgeps.gov.ph/GEPSNONPILOT/Tender/SplashBidNoticeAbstractUI.aspx?menuIndex=3&amp;refID=7041655&amp;Result=3","7041655")</f>
        <v>0</v>
      </c>
      <c r="B3807" t="s">
        <v>1370</v>
      </c>
      <c r="C3807" t="s">
        <v>6318</v>
      </c>
      <c r="D3807" t="s">
        <v>12988</v>
      </c>
      <c r="E3807" t="s">
        <v>16495</v>
      </c>
      <c r="F3807" t="s">
        <v>22436</v>
      </c>
      <c r="G3807" t="s">
        <v>22443</v>
      </c>
      <c r="H3807" t="s">
        <v>22452</v>
      </c>
      <c r="I3807" t="s">
        <v>22456</v>
      </c>
      <c r="J3807" t="s">
        <v>25130</v>
      </c>
      <c r="K3807" t="s">
        <v>29338</v>
      </c>
      <c r="M3807" t="s">
        <v>31026</v>
      </c>
      <c r="N3807" t="s">
        <v>32524</v>
      </c>
      <c r="O3807" t="s">
        <v>32525</v>
      </c>
      <c r="P3807">
        <v>0</v>
      </c>
      <c r="Q3807">
        <v>5</v>
      </c>
      <c r="R3807" t="s">
        <v>32530</v>
      </c>
      <c r="S3807" t="s">
        <v>32568</v>
      </c>
      <c r="T3807" t="s">
        <v>33169</v>
      </c>
      <c r="U3807" t="s">
        <v>36868</v>
      </c>
      <c r="W3807" t="s">
        <v>31026</v>
      </c>
      <c r="X3807" t="s">
        <v>32531</v>
      </c>
    </row>
    <row r="3808" spans="1:24">
      <c r="A3808">
        <f>HYPERLINK("https://www.philgeps.gov.ph/GEPSNONPILOT/Tender/SplashBidNoticeAbstractUI.aspx?menuIndex=3&amp;refID=7041627&amp;Result=3","7041627")</f>
        <v>0</v>
      </c>
      <c r="B3808" t="s">
        <v>1371</v>
      </c>
      <c r="C3808" t="s">
        <v>6319</v>
      </c>
      <c r="E3808" t="s">
        <v>13287</v>
      </c>
      <c r="F3808" t="s">
        <v>22436</v>
      </c>
      <c r="G3808" t="s">
        <v>22444</v>
      </c>
      <c r="H3808" t="s">
        <v>22452</v>
      </c>
      <c r="I3808" t="s">
        <v>3529</v>
      </c>
      <c r="J3808" t="s">
        <v>25131</v>
      </c>
      <c r="K3808" t="s">
        <v>29331</v>
      </c>
      <c r="M3808" t="s">
        <v>31027</v>
      </c>
      <c r="N3808" t="s">
        <v>32524</v>
      </c>
      <c r="O3808" t="s">
        <v>32525</v>
      </c>
      <c r="P3808">
        <v>0</v>
      </c>
      <c r="Q3808">
        <v>1</v>
      </c>
      <c r="R3808" t="s">
        <v>32530</v>
      </c>
      <c r="S3808" t="s">
        <v>32568</v>
      </c>
      <c r="T3808" t="s">
        <v>33405</v>
      </c>
      <c r="U3808" t="s">
        <v>36869</v>
      </c>
      <c r="V3808" t="s">
        <v>42815</v>
      </c>
      <c r="W3808" t="s">
        <v>31027</v>
      </c>
      <c r="X3808" t="s">
        <v>32531</v>
      </c>
    </row>
    <row r="3809" spans="1:24">
      <c r="A3809">
        <f>HYPERLINK("https://www.philgeps.gov.ph/GEPSNONPILOT/Tender/SplashBidNoticeAbstractUI.aspx?menuIndex=3&amp;refID=7041646&amp;Result=3","7041646")</f>
        <v>0</v>
      </c>
      <c r="B3809" t="s">
        <v>1363</v>
      </c>
      <c r="C3809" t="s">
        <v>6320</v>
      </c>
      <c r="D3809" t="s">
        <v>13015</v>
      </c>
      <c r="E3809" t="s">
        <v>16496</v>
      </c>
      <c r="F3809" t="s">
        <v>22436</v>
      </c>
      <c r="G3809" t="s">
        <v>22446</v>
      </c>
      <c r="H3809" t="s">
        <v>22452</v>
      </c>
      <c r="I3809" t="s">
        <v>2993</v>
      </c>
      <c r="J3809" t="s">
        <v>23249</v>
      </c>
      <c r="K3809" t="s">
        <v>29358</v>
      </c>
      <c r="M3809" t="s">
        <v>31019</v>
      </c>
      <c r="N3809" t="s">
        <v>32524</v>
      </c>
      <c r="O3809" t="s">
        <v>32525</v>
      </c>
      <c r="P3809">
        <v>0</v>
      </c>
      <c r="Q3809">
        <v>2</v>
      </c>
      <c r="R3809" t="s">
        <v>32530</v>
      </c>
      <c r="S3809" t="s">
        <v>32568</v>
      </c>
      <c r="T3809" t="s">
        <v>33351</v>
      </c>
      <c r="U3809" t="s">
        <v>36859</v>
      </c>
      <c r="W3809" t="s">
        <v>31019</v>
      </c>
      <c r="X3809" t="s">
        <v>32531</v>
      </c>
    </row>
    <row r="3810" spans="1:24">
      <c r="A3810">
        <f>HYPERLINK("https://www.philgeps.gov.ph/GEPSNONPILOT/Tender/SplashBidNoticeAbstractUI.aspx?menuIndex=3&amp;refID=7041623&amp;Result=3","7041623")</f>
        <v>0</v>
      </c>
      <c r="B3810" t="s">
        <v>174</v>
      </c>
      <c r="C3810" t="s">
        <v>6321</v>
      </c>
      <c r="E3810" t="s">
        <v>16497</v>
      </c>
      <c r="F3810" t="s">
        <v>22436</v>
      </c>
      <c r="G3810" t="s">
        <v>22443</v>
      </c>
      <c r="H3810" t="s">
        <v>22452</v>
      </c>
      <c r="I3810" t="s">
        <v>3529</v>
      </c>
      <c r="J3810" t="s">
        <v>23884</v>
      </c>
      <c r="K3810" t="s">
        <v>29338</v>
      </c>
      <c r="M3810" t="s">
        <v>29746</v>
      </c>
      <c r="N3810" t="s">
        <v>32524</v>
      </c>
      <c r="O3810" t="s">
        <v>32525</v>
      </c>
      <c r="P3810">
        <v>0</v>
      </c>
      <c r="Q3810">
        <v>0</v>
      </c>
      <c r="R3810" t="s">
        <v>32530</v>
      </c>
      <c r="S3810" t="s">
        <v>32568</v>
      </c>
      <c r="T3810" t="s">
        <v>33419</v>
      </c>
      <c r="U3810" t="s">
        <v>36870</v>
      </c>
      <c r="W3810" t="s">
        <v>29746</v>
      </c>
      <c r="X3810" t="s">
        <v>32531</v>
      </c>
    </row>
    <row r="3811" spans="1:24">
      <c r="A3811">
        <f>HYPERLINK("https://www.philgeps.gov.ph/GEPSNONPILOT/Tender/SplashBidNoticeAbstractUI.aspx?menuIndex=3&amp;refID=7041617&amp;Result=3","7041617")</f>
        <v>0</v>
      </c>
      <c r="B3811" t="s">
        <v>1270</v>
      </c>
      <c r="C3811" t="s">
        <v>6322</v>
      </c>
      <c r="D3811" t="s">
        <v>13035</v>
      </c>
      <c r="E3811" t="s">
        <v>16498</v>
      </c>
      <c r="F3811" t="s">
        <v>22436</v>
      </c>
      <c r="G3811" t="s">
        <v>22444</v>
      </c>
      <c r="H3811" t="s">
        <v>22452</v>
      </c>
      <c r="I3811" t="s">
        <v>3827</v>
      </c>
      <c r="J3811" t="s">
        <v>25132</v>
      </c>
      <c r="K3811" t="s">
        <v>29331</v>
      </c>
      <c r="M3811" t="s">
        <v>30923</v>
      </c>
      <c r="N3811" t="s">
        <v>32524</v>
      </c>
      <c r="O3811" t="s">
        <v>32525</v>
      </c>
      <c r="P3811">
        <v>0</v>
      </c>
      <c r="Q3811">
        <v>0</v>
      </c>
      <c r="R3811" t="s">
        <v>32530</v>
      </c>
      <c r="S3811" t="s">
        <v>32568</v>
      </c>
      <c r="T3811" t="s">
        <v>33293</v>
      </c>
      <c r="U3811" t="s">
        <v>36871</v>
      </c>
      <c r="W3811" t="s">
        <v>30923</v>
      </c>
      <c r="X3811" t="s">
        <v>32531</v>
      </c>
    </row>
    <row r="3812" spans="1:24">
      <c r="A3812">
        <f>HYPERLINK("https://www.philgeps.gov.ph/GEPSNONPILOT/Tender/SplashBidNoticeAbstractUI.aspx?menuIndex=3&amp;refID=7041633&amp;Result=3","7041633")</f>
        <v>0</v>
      </c>
      <c r="B3812" t="s">
        <v>1372</v>
      </c>
      <c r="C3812" t="s">
        <v>6323</v>
      </c>
      <c r="D3812" t="s">
        <v>12988</v>
      </c>
      <c r="E3812" t="s">
        <v>16499</v>
      </c>
      <c r="F3812" t="s">
        <v>22436</v>
      </c>
      <c r="G3812" t="s">
        <v>22444</v>
      </c>
      <c r="H3812" t="s">
        <v>22454</v>
      </c>
      <c r="I3812" t="s">
        <v>7738</v>
      </c>
      <c r="J3812" t="s">
        <v>25133</v>
      </c>
      <c r="K3812" t="s">
        <v>29334</v>
      </c>
      <c r="M3812" t="s">
        <v>31028</v>
      </c>
      <c r="N3812" t="s">
        <v>32524</v>
      </c>
      <c r="O3812" t="s">
        <v>32525</v>
      </c>
      <c r="P3812">
        <v>0</v>
      </c>
      <c r="Q3812">
        <v>2</v>
      </c>
      <c r="R3812" t="s">
        <v>32530</v>
      </c>
      <c r="S3812" t="s">
        <v>32568</v>
      </c>
      <c r="T3812" t="s">
        <v>33266</v>
      </c>
      <c r="U3812" t="s">
        <v>36872</v>
      </c>
      <c r="W3812" t="s">
        <v>31028</v>
      </c>
      <c r="X3812" t="s">
        <v>32531</v>
      </c>
    </row>
    <row r="3813" spans="1:24">
      <c r="A3813">
        <f>HYPERLINK("https://www.philgeps.gov.ph/GEPSNONPILOT/Tender/SplashBidNoticeAbstractUI.aspx?menuIndex=3&amp;refID=7041613&amp;Result=3","7041613")</f>
        <v>0</v>
      </c>
      <c r="B3813" t="s">
        <v>1335</v>
      </c>
      <c r="C3813" t="s">
        <v>6324</v>
      </c>
      <c r="D3813" t="s">
        <v>13061</v>
      </c>
      <c r="E3813" t="s">
        <v>16500</v>
      </c>
      <c r="F3813" t="s">
        <v>22436</v>
      </c>
      <c r="G3813" t="s">
        <v>22443</v>
      </c>
      <c r="H3813" t="s">
        <v>22452</v>
      </c>
      <c r="I3813" t="s">
        <v>22468</v>
      </c>
      <c r="J3813" t="s">
        <v>25134</v>
      </c>
      <c r="K3813" t="s">
        <v>29357</v>
      </c>
      <c r="M3813" t="s">
        <v>30990</v>
      </c>
      <c r="N3813" t="s">
        <v>32524</v>
      </c>
      <c r="O3813" t="s">
        <v>32525</v>
      </c>
      <c r="P3813">
        <v>0</v>
      </c>
      <c r="Q3813">
        <v>6</v>
      </c>
      <c r="R3813" t="s">
        <v>32530</v>
      </c>
      <c r="S3813" t="s">
        <v>32568</v>
      </c>
      <c r="T3813" t="s">
        <v>33215</v>
      </c>
      <c r="U3813" t="s">
        <v>36873</v>
      </c>
      <c r="W3813" t="s">
        <v>30990</v>
      </c>
      <c r="X3813" t="s">
        <v>32531</v>
      </c>
    </row>
    <row r="3814" spans="1:24">
      <c r="A3814">
        <f>HYPERLINK("https://www.philgeps.gov.ph/GEPSNONPILOT/Tender/SplashBidNoticeAbstractUI.aspx?menuIndex=3&amp;refID=7041641&amp;Result=3","7041641")</f>
        <v>0</v>
      </c>
      <c r="B3814" t="s">
        <v>516</v>
      </c>
      <c r="C3814" t="s">
        <v>6325</v>
      </c>
      <c r="D3814" t="s">
        <v>13067</v>
      </c>
      <c r="E3814" t="s">
        <v>16501</v>
      </c>
      <c r="F3814" t="s">
        <v>22437</v>
      </c>
      <c r="G3814" t="s">
        <v>22443</v>
      </c>
      <c r="H3814" t="s">
        <v>22453</v>
      </c>
      <c r="I3814" t="s">
        <v>22502</v>
      </c>
      <c r="J3814" t="s">
        <v>25135</v>
      </c>
      <c r="K3814" t="s">
        <v>29336</v>
      </c>
      <c r="M3814" t="s">
        <v>30100</v>
      </c>
      <c r="N3814" t="s">
        <v>32524</v>
      </c>
      <c r="O3814" t="s">
        <v>32525</v>
      </c>
      <c r="P3814">
        <v>0</v>
      </c>
      <c r="Q3814">
        <v>6</v>
      </c>
      <c r="R3814" t="s">
        <v>32530</v>
      </c>
      <c r="S3814" t="s">
        <v>32568</v>
      </c>
      <c r="T3814" t="s">
        <v>33154</v>
      </c>
      <c r="U3814" t="s">
        <v>36874</v>
      </c>
      <c r="W3814" t="s">
        <v>30100</v>
      </c>
      <c r="X3814" t="s">
        <v>32531</v>
      </c>
    </row>
    <row r="3815" spans="1:24">
      <c r="A3815">
        <f>HYPERLINK("https://www.philgeps.gov.ph/GEPSNONPILOT/Tender/SplashBidNoticeAbstractUI.aspx?menuIndex=3&amp;refID=7041668&amp;Result=3","7041668")</f>
        <v>0</v>
      </c>
      <c r="B3815" t="s">
        <v>1373</v>
      </c>
      <c r="C3815" t="s">
        <v>6326</v>
      </c>
      <c r="D3815" t="s">
        <v>13001</v>
      </c>
      <c r="E3815" t="s">
        <v>16502</v>
      </c>
      <c r="F3815" t="s">
        <v>22436</v>
      </c>
      <c r="G3815" t="s">
        <v>22445</v>
      </c>
      <c r="H3815" t="s">
        <v>22452</v>
      </c>
      <c r="I3815" t="s">
        <v>22492</v>
      </c>
      <c r="J3815" t="s">
        <v>25136</v>
      </c>
      <c r="K3815" t="s">
        <v>29338</v>
      </c>
      <c r="M3815" t="s">
        <v>31029</v>
      </c>
      <c r="N3815" t="s">
        <v>32524</v>
      </c>
      <c r="O3815" t="s">
        <v>32525</v>
      </c>
      <c r="P3815">
        <v>0</v>
      </c>
      <c r="Q3815">
        <v>0</v>
      </c>
      <c r="R3815" t="s">
        <v>32530</v>
      </c>
      <c r="S3815" t="s">
        <v>32568</v>
      </c>
      <c r="T3815" t="s">
        <v>33238</v>
      </c>
      <c r="U3815" t="s">
        <v>36875</v>
      </c>
      <c r="W3815" t="s">
        <v>31029</v>
      </c>
      <c r="X3815" t="s">
        <v>32531</v>
      </c>
    </row>
    <row r="3816" spans="1:24">
      <c r="A3816">
        <f>HYPERLINK("https://www.philgeps.gov.ph/GEPSNONPILOT/Tender/SplashBidNoticeAbstractUI.aspx?menuIndex=3&amp;refID=7041637&amp;Result=3","7041637")</f>
        <v>0</v>
      </c>
      <c r="B3816" t="s">
        <v>1323</v>
      </c>
      <c r="C3816" t="s">
        <v>6327</v>
      </c>
      <c r="E3816" t="s">
        <v>16503</v>
      </c>
      <c r="F3816" t="s">
        <v>22436</v>
      </c>
      <c r="G3816" t="s">
        <v>22444</v>
      </c>
      <c r="H3816" t="s">
        <v>22455</v>
      </c>
      <c r="I3816" t="s">
        <v>22455</v>
      </c>
      <c r="J3816" t="s">
        <v>25137</v>
      </c>
      <c r="K3816" t="s">
        <v>29338</v>
      </c>
      <c r="M3816" t="s">
        <v>30978</v>
      </c>
      <c r="N3816" t="s">
        <v>32524</v>
      </c>
      <c r="O3816" t="s">
        <v>32525</v>
      </c>
      <c r="P3816">
        <v>0</v>
      </c>
      <c r="Q3816">
        <v>3</v>
      </c>
      <c r="R3816" t="s">
        <v>32530</v>
      </c>
      <c r="S3816" t="s">
        <v>32568</v>
      </c>
      <c r="T3816" t="s">
        <v>33424</v>
      </c>
      <c r="U3816" t="s">
        <v>36876</v>
      </c>
      <c r="W3816" t="s">
        <v>30978</v>
      </c>
      <c r="X3816" t="s">
        <v>32531</v>
      </c>
    </row>
    <row r="3817" spans="1:24">
      <c r="A3817">
        <f>HYPERLINK("https://www.philgeps.gov.ph/GEPSNONPILOT/Tender/SplashBidNoticeAbstractUI.aspx?menuIndex=3&amp;refID=7041698&amp;Result=3","7041698")</f>
        <v>0</v>
      </c>
      <c r="B3817" t="s">
        <v>1374</v>
      </c>
      <c r="C3817" t="s">
        <v>6328</v>
      </c>
      <c r="E3817" t="s">
        <v>16504</v>
      </c>
      <c r="F3817" t="s">
        <v>22436</v>
      </c>
      <c r="G3817" t="s">
        <v>22443</v>
      </c>
      <c r="H3817" t="s">
        <v>22452</v>
      </c>
      <c r="I3817" t="s">
        <v>6387</v>
      </c>
      <c r="J3817" t="s">
        <v>25138</v>
      </c>
      <c r="K3817" t="s">
        <v>29338</v>
      </c>
      <c r="M3817" t="s">
        <v>31030</v>
      </c>
      <c r="N3817" t="s">
        <v>32524</v>
      </c>
      <c r="O3817" t="s">
        <v>32525</v>
      </c>
      <c r="P3817">
        <v>0</v>
      </c>
      <c r="Q3817">
        <v>2</v>
      </c>
      <c r="R3817" t="s">
        <v>32530</v>
      </c>
      <c r="S3817" t="s">
        <v>32568</v>
      </c>
      <c r="T3817" t="s">
        <v>33213</v>
      </c>
      <c r="U3817" t="s">
        <v>36877</v>
      </c>
      <c r="W3817" t="s">
        <v>31030</v>
      </c>
      <c r="X3817" t="s">
        <v>32531</v>
      </c>
    </row>
    <row r="3818" spans="1:24">
      <c r="A3818">
        <f>HYPERLINK("https://www.philgeps.gov.ph/GEPSNONPILOT/Tender/SplashBidNoticeAbstractUI.aspx?menuIndex=3&amp;refID=7041645&amp;Result=3","7041645")</f>
        <v>0</v>
      </c>
      <c r="B3818" t="s">
        <v>72</v>
      </c>
      <c r="C3818" t="s">
        <v>6329</v>
      </c>
      <c r="D3818" t="s">
        <v>13019</v>
      </c>
      <c r="E3818" t="s">
        <v>16505</v>
      </c>
      <c r="F3818" t="s">
        <v>22436</v>
      </c>
      <c r="G3818" t="s">
        <v>22444</v>
      </c>
      <c r="H3818" t="s">
        <v>22454</v>
      </c>
      <c r="I3818" t="s">
        <v>7738</v>
      </c>
      <c r="J3818" t="s">
        <v>25139</v>
      </c>
      <c r="K3818" t="s">
        <v>29329</v>
      </c>
      <c r="M3818" t="s">
        <v>29644</v>
      </c>
      <c r="N3818" t="s">
        <v>32524</v>
      </c>
      <c r="O3818" t="s">
        <v>32525</v>
      </c>
      <c r="P3818">
        <v>0</v>
      </c>
      <c r="Q3818">
        <v>1</v>
      </c>
      <c r="R3818" t="s">
        <v>32530</v>
      </c>
      <c r="S3818" t="s">
        <v>32568</v>
      </c>
      <c r="T3818" t="s">
        <v>33180</v>
      </c>
      <c r="U3818" t="s">
        <v>36878</v>
      </c>
      <c r="W3818" t="s">
        <v>29644</v>
      </c>
      <c r="X3818" t="s">
        <v>32531</v>
      </c>
    </row>
    <row r="3819" spans="1:24">
      <c r="A3819">
        <f>HYPERLINK("https://www.philgeps.gov.ph/GEPSNONPILOT/Tender/SplashBidNoticeAbstractUI.aspx?menuIndex=3&amp;refID=7041682&amp;Result=3","7041682")</f>
        <v>0</v>
      </c>
      <c r="B3819" t="s">
        <v>1373</v>
      </c>
      <c r="C3819" t="s">
        <v>6330</v>
      </c>
      <c r="D3819" t="s">
        <v>13001</v>
      </c>
      <c r="E3819" t="s">
        <v>16506</v>
      </c>
      <c r="F3819" t="s">
        <v>22436</v>
      </c>
      <c r="G3819" t="s">
        <v>22445</v>
      </c>
      <c r="H3819" t="s">
        <v>22452</v>
      </c>
      <c r="I3819" t="s">
        <v>22461</v>
      </c>
      <c r="J3819" t="s">
        <v>25140</v>
      </c>
      <c r="K3819" t="s">
        <v>29338</v>
      </c>
      <c r="M3819" t="s">
        <v>31029</v>
      </c>
      <c r="N3819" t="s">
        <v>32524</v>
      </c>
      <c r="O3819" t="s">
        <v>32525</v>
      </c>
      <c r="P3819">
        <v>0</v>
      </c>
      <c r="Q3819">
        <v>2</v>
      </c>
      <c r="R3819" t="s">
        <v>32530</v>
      </c>
      <c r="S3819" t="s">
        <v>32568</v>
      </c>
      <c r="T3819" t="s">
        <v>33238</v>
      </c>
      <c r="U3819" t="s">
        <v>36879</v>
      </c>
      <c r="W3819" t="s">
        <v>31029</v>
      </c>
      <c r="X3819" t="s">
        <v>32531</v>
      </c>
    </row>
    <row r="3820" spans="1:24">
      <c r="A3820">
        <f>HYPERLINK("https://www.philgeps.gov.ph/GEPSNONPILOT/Tender/SplashBidNoticeAbstractUI.aspx?menuIndex=3&amp;refID=7041649&amp;Result=3","7041649")</f>
        <v>0</v>
      </c>
      <c r="B3820" t="s">
        <v>1375</v>
      </c>
      <c r="C3820" t="s">
        <v>6331</v>
      </c>
      <c r="D3820" t="s">
        <v>13025</v>
      </c>
      <c r="E3820" t="s">
        <v>16507</v>
      </c>
      <c r="F3820" t="s">
        <v>22436</v>
      </c>
      <c r="G3820" t="s">
        <v>22444</v>
      </c>
      <c r="H3820" t="s">
        <v>22452</v>
      </c>
      <c r="I3820" t="s">
        <v>22469</v>
      </c>
      <c r="J3820" t="s">
        <v>25141</v>
      </c>
      <c r="K3820" t="s">
        <v>29335</v>
      </c>
      <c r="M3820" t="s">
        <v>31031</v>
      </c>
      <c r="N3820" t="s">
        <v>32524</v>
      </c>
      <c r="O3820" t="s">
        <v>32525</v>
      </c>
      <c r="P3820">
        <v>0</v>
      </c>
      <c r="Q3820">
        <v>0</v>
      </c>
      <c r="R3820" t="s">
        <v>32530</v>
      </c>
      <c r="S3820" t="s">
        <v>32568</v>
      </c>
      <c r="T3820" t="s">
        <v>33155</v>
      </c>
      <c r="U3820" t="s">
        <v>36880</v>
      </c>
      <c r="W3820" t="s">
        <v>31031</v>
      </c>
      <c r="X3820" t="s">
        <v>32531</v>
      </c>
    </row>
    <row r="3821" spans="1:24">
      <c r="A3821">
        <f>HYPERLINK("https://www.philgeps.gov.ph/GEPSNONPILOT/Tender/SplashBidNoticeAbstractUI.aspx?menuIndex=3&amp;refID=7041679&amp;Result=3","7041679")</f>
        <v>0</v>
      </c>
      <c r="B3821" t="s">
        <v>1376</v>
      </c>
      <c r="C3821" t="s">
        <v>6332</v>
      </c>
      <c r="D3821" t="s">
        <v>12999</v>
      </c>
      <c r="E3821" t="s">
        <v>16508</v>
      </c>
      <c r="F3821" t="s">
        <v>22436</v>
      </c>
      <c r="G3821" t="s">
        <v>22444</v>
      </c>
      <c r="H3821" t="s">
        <v>22452</v>
      </c>
      <c r="I3821" t="s">
        <v>3529</v>
      </c>
      <c r="J3821" t="s">
        <v>25142</v>
      </c>
      <c r="K3821" t="s">
        <v>29338</v>
      </c>
      <c r="M3821" t="s">
        <v>31032</v>
      </c>
      <c r="N3821" t="s">
        <v>32524</v>
      </c>
      <c r="O3821" t="s">
        <v>32525</v>
      </c>
      <c r="P3821">
        <v>0</v>
      </c>
      <c r="Q3821">
        <v>0</v>
      </c>
      <c r="R3821" t="s">
        <v>32530</v>
      </c>
      <c r="S3821" t="s">
        <v>32568</v>
      </c>
      <c r="T3821" t="s">
        <v>33161</v>
      </c>
      <c r="U3821" t="s">
        <v>36881</v>
      </c>
      <c r="W3821" t="s">
        <v>31032</v>
      </c>
      <c r="X3821" t="s">
        <v>32531</v>
      </c>
    </row>
    <row r="3822" spans="1:24">
      <c r="A3822">
        <f>HYPERLINK("https://www.philgeps.gov.ph/GEPSNONPILOT/Tender/SplashBidNoticeAbstractUI.aspx?menuIndex=3&amp;refID=7041705&amp;Result=3","7041705")</f>
        <v>0</v>
      </c>
      <c r="B3822" t="s">
        <v>1376</v>
      </c>
      <c r="C3822" t="s">
        <v>6333</v>
      </c>
      <c r="D3822" t="s">
        <v>12999</v>
      </c>
      <c r="E3822" t="s">
        <v>16509</v>
      </c>
      <c r="F3822" t="s">
        <v>22436</v>
      </c>
      <c r="G3822" t="s">
        <v>22444</v>
      </c>
      <c r="H3822" t="s">
        <v>22452</v>
      </c>
      <c r="I3822" t="s">
        <v>3529</v>
      </c>
      <c r="J3822" t="s">
        <v>25143</v>
      </c>
      <c r="K3822" t="s">
        <v>29338</v>
      </c>
      <c r="M3822" t="s">
        <v>31032</v>
      </c>
      <c r="N3822" t="s">
        <v>32524</v>
      </c>
      <c r="O3822" t="s">
        <v>32525</v>
      </c>
      <c r="P3822">
        <v>0</v>
      </c>
      <c r="Q3822">
        <v>0</v>
      </c>
      <c r="R3822" t="s">
        <v>32530</v>
      </c>
      <c r="S3822" t="s">
        <v>32568</v>
      </c>
      <c r="T3822" t="s">
        <v>33161</v>
      </c>
      <c r="U3822" t="s">
        <v>36881</v>
      </c>
      <c r="W3822" t="s">
        <v>31032</v>
      </c>
      <c r="X3822" t="s">
        <v>32531</v>
      </c>
    </row>
    <row r="3823" spans="1:24">
      <c r="A3823">
        <f>HYPERLINK("https://www.philgeps.gov.ph/GEPSNONPILOT/Tender/SplashBidNoticeAbstractUI.aspx?menuIndex=3&amp;refID=7041680&amp;Result=3","7041680")</f>
        <v>0</v>
      </c>
      <c r="B3823" t="s">
        <v>1363</v>
      </c>
      <c r="C3823" t="s">
        <v>6334</v>
      </c>
      <c r="D3823" t="s">
        <v>13015</v>
      </c>
      <c r="E3823" t="s">
        <v>16510</v>
      </c>
      <c r="F3823" t="s">
        <v>22436</v>
      </c>
      <c r="G3823" t="s">
        <v>22446</v>
      </c>
      <c r="H3823" t="s">
        <v>22452</v>
      </c>
      <c r="I3823" t="s">
        <v>3529</v>
      </c>
      <c r="J3823" t="s">
        <v>23227</v>
      </c>
      <c r="K3823" t="s">
        <v>29358</v>
      </c>
      <c r="M3823" t="s">
        <v>31019</v>
      </c>
      <c r="N3823" t="s">
        <v>32524</v>
      </c>
      <c r="O3823" t="s">
        <v>32525</v>
      </c>
      <c r="P3823">
        <v>0</v>
      </c>
      <c r="Q3823">
        <v>0</v>
      </c>
      <c r="R3823" t="s">
        <v>32530</v>
      </c>
      <c r="S3823" t="s">
        <v>32568</v>
      </c>
      <c r="T3823" t="s">
        <v>33351</v>
      </c>
      <c r="U3823" t="s">
        <v>36859</v>
      </c>
      <c r="W3823" t="s">
        <v>31019</v>
      </c>
      <c r="X3823" t="s">
        <v>32531</v>
      </c>
    </row>
    <row r="3824" spans="1:24">
      <c r="A3824">
        <f>HYPERLINK("https://www.philgeps.gov.ph/GEPSNONPILOT/Tender/SplashBidNoticeAbstractUI.aspx?menuIndex=3&amp;refID=7041687&amp;Result=3","7041687")</f>
        <v>0</v>
      </c>
      <c r="B3824" t="s">
        <v>1377</v>
      </c>
      <c r="C3824" t="s">
        <v>6335</v>
      </c>
      <c r="E3824" t="s">
        <v>16511</v>
      </c>
      <c r="F3824" t="s">
        <v>22436</v>
      </c>
      <c r="G3824" t="s">
        <v>22444</v>
      </c>
      <c r="H3824" t="s">
        <v>22452</v>
      </c>
      <c r="I3824" t="s">
        <v>12358</v>
      </c>
      <c r="J3824" t="s">
        <v>25144</v>
      </c>
      <c r="K3824" t="s">
        <v>29338</v>
      </c>
      <c r="M3824" t="s">
        <v>31033</v>
      </c>
      <c r="N3824" t="s">
        <v>32524</v>
      </c>
      <c r="O3824" t="s">
        <v>32525</v>
      </c>
      <c r="P3824">
        <v>0</v>
      </c>
      <c r="Q3824">
        <v>13</v>
      </c>
      <c r="R3824" t="s">
        <v>32530</v>
      </c>
      <c r="S3824" t="s">
        <v>32568</v>
      </c>
      <c r="T3824" t="s">
        <v>33291</v>
      </c>
      <c r="U3824" t="s">
        <v>36882</v>
      </c>
      <c r="W3824" t="s">
        <v>43716</v>
      </c>
      <c r="X3824" t="s">
        <v>32531</v>
      </c>
    </row>
    <row r="3825" spans="1:24">
      <c r="A3825">
        <f>HYPERLINK("https://www.philgeps.gov.ph/GEPSNONPILOT/Tender/SplashBidNoticeAbstractUI.aspx?menuIndex=3&amp;refID=7041677&amp;Result=3","7041677")</f>
        <v>0</v>
      </c>
      <c r="B3825" t="s">
        <v>1262</v>
      </c>
      <c r="C3825" t="s">
        <v>6336</v>
      </c>
      <c r="D3825" t="s">
        <v>13032</v>
      </c>
      <c r="E3825" t="s">
        <v>16512</v>
      </c>
      <c r="F3825" t="s">
        <v>22436</v>
      </c>
      <c r="G3825" t="s">
        <v>22444</v>
      </c>
      <c r="H3825" t="s">
        <v>22454</v>
      </c>
      <c r="I3825" t="s">
        <v>7738</v>
      </c>
      <c r="J3825" t="s">
        <v>25145</v>
      </c>
      <c r="K3825" t="s">
        <v>29331</v>
      </c>
      <c r="M3825" t="s">
        <v>30915</v>
      </c>
      <c r="N3825" t="s">
        <v>32524</v>
      </c>
      <c r="O3825" t="s">
        <v>32525</v>
      </c>
      <c r="P3825">
        <v>0</v>
      </c>
      <c r="Q3825">
        <v>0</v>
      </c>
      <c r="R3825" t="s">
        <v>32530</v>
      </c>
      <c r="S3825" t="s">
        <v>32568</v>
      </c>
      <c r="T3825" t="s">
        <v>33197</v>
      </c>
      <c r="U3825" t="s">
        <v>36883</v>
      </c>
      <c r="W3825" t="s">
        <v>30915</v>
      </c>
      <c r="X3825" t="s">
        <v>32531</v>
      </c>
    </row>
    <row r="3826" spans="1:24">
      <c r="A3826">
        <f>HYPERLINK("https://www.philgeps.gov.ph/GEPSNONPILOT/Tender/SplashBidNoticeAbstractUI.aspx?menuIndex=3&amp;refID=7041731&amp;Result=3","7041731")</f>
        <v>0</v>
      </c>
      <c r="B3826" t="s">
        <v>1378</v>
      </c>
      <c r="C3826" t="s">
        <v>6337</v>
      </c>
      <c r="D3826" t="s">
        <v>12988</v>
      </c>
      <c r="E3826" t="s">
        <v>16513</v>
      </c>
      <c r="F3826" t="s">
        <v>22436</v>
      </c>
      <c r="G3826" t="s">
        <v>22446</v>
      </c>
      <c r="H3826" t="s">
        <v>22453</v>
      </c>
      <c r="I3826" t="s">
        <v>22519</v>
      </c>
      <c r="J3826" t="s">
        <v>25146</v>
      </c>
      <c r="K3826" t="s">
        <v>29341</v>
      </c>
      <c r="M3826" t="s">
        <v>31034</v>
      </c>
      <c r="N3826" t="s">
        <v>32524</v>
      </c>
      <c r="O3826" t="s">
        <v>32525</v>
      </c>
      <c r="P3826">
        <v>0</v>
      </c>
      <c r="Q3826">
        <v>4</v>
      </c>
      <c r="R3826" t="s">
        <v>32530</v>
      </c>
      <c r="S3826" t="s">
        <v>32568</v>
      </c>
      <c r="T3826" t="s">
        <v>33419</v>
      </c>
      <c r="U3826" t="s">
        <v>36884</v>
      </c>
      <c r="W3826" t="s">
        <v>31034</v>
      </c>
      <c r="X3826" t="s">
        <v>32531</v>
      </c>
    </row>
    <row r="3827" spans="1:24">
      <c r="A3827">
        <f>HYPERLINK("https://www.philgeps.gov.ph/GEPSNONPILOT/Tender/SplashBidNoticeAbstractUI.aspx?menuIndex=3&amp;refID=7041725&amp;Result=3","7041725")</f>
        <v>0</v>
      </c>
      <c r="B3827" t="s">
        <v>1373</v>
      </c>
      <c r="C3827" t="s">
        <v>6338</v>
      </c>
      <c r="D3827" t="s">
        <v>13001</v>
      </c>
      <c r="E3827" t="s">
        <v>16365</v>
      </c>
      <c r="F3827" t="s">
        <v>22436</v>
      </c>
      <c r="G3827" t="s">
        <v>22445</v>
      </c>
      <c r="H3827" t="s">
        <v>22452</v>
      </c>
      <c r="I3827" t="s">
        <v>22476</v>
      </c>
      <c r="J3827" t="s">
        <v>25147</v>
      </c>
      <c r="K3827" t="s">
        <v>29338</v>
      </c>
      <c r="M3827" t="s">
        <v>31029</v>
      </c>
      <c r="N3827" t="s">
        <v>32524</v>
      </c>
      <c r="O3827" t="s">
        <v>32525</v>
      </c>
      <c r="P3827">
        <v>0</v>
      </c>
      <c r="Q3827">
        <v>2</v>
      </c>
      <c r="R3827" t="s">
        <v>32530</v>
      </c>
      <c r="S3827" t="s">
        <v>32568</v>
      </c>
      <c r="T3827" t="s">
        <v>33238</v>
      </c>
      <c r="U3827" t="s">
        <v>36885</v>
      </c>
      <c r="W3827" t="s">
        <v>31029</v>
      </c>
      <c r="X3827" t="s">
        <v>32531</v>
      </c>
    </row>
    <row r="3828" spans="1:24">
      <c r="A3828">
        <f>HYPERLINK("https://www.philgeps.gov.ph/GEPSNONPILOT/Tender/SplashBidNoticeAbstractUI.aspx?menuIndex=3&amp;refID=7041736&amp;Result=3","7041736")</f>
        <v>0</v>
      </c>
      <c r="B3828" t="s">
        <v>1379</v>
      </c>
      <c r="C3828" t="s">
        <v>6339</v>
      </c>
      <c r="D3828" t="s">
        <v>13010</v>
      </c>
      <c r="E3828" t="s">
        <v>16514</v>
      </c>
      <c r="F3828" t="s">
        <v>22436</v>
      </c>
      <c r="G3828" t="s">
        <v>22444</v>
      </c>
      <c r="H3828" t="s">
        <v>22454</v>
      </c>
      <c r="I3828" t="s">
        <v>7738</v>
      </c>
      <c r="J3828" t="s">
        <v>24134</v>
      </c>
      <c r="K3828" t="s">
        <v>29449</v>
      </c>
      <c r="M3828" t="s">
        <v>31035</v>
      </c>
      <c r="N3828" t="s">
        <v>32524</v>
      </c>
      <c r="O3828" t="s">
        <v>32525</v>
      </c>
      <c r="P3828">
        <v>0</v>
      </c>
      <c r="Q3828">
        <v>1</v>
      </c>
      <c r="R3828" t="s">
        <v>32530</v>
      </c>
      <c r="S3828" t="s">
        <v>32568</v>
      </c>
      <c r="T3828" t="s">
        <v>33242</v>
      </c>
      <c r="U3828" t="s">
        <v>36886</v>
      </c>
      <c r="W3828" t="s">
        <v>31035</v>
      </c>
      <c r="X3828" t="s">
        <v>32531</v>
      </c>
    </row>
    <row r="3829" spans="1:24">
      <c r="A3829">
        <f>HYPERLINK("https://www.philgeps.gov.ph/GEPSNONPILOT/Tender/SplashBidNoticeAbstractUI.aspx?menuIndex=3&amp;refID=7041717&amp;Result=3","7041717")</f>
        <v>0</v>
      </c>
      <c r="B3829" t="s">
        <v>589</v>
      </c>
      <c r="C3829" t="s">
        <v>6340</v>
      </c>
      <c r="D3829" t="s">
        <v>12994</v>
      </c>
      <c r="E3829" t="s">
        <v>13521</v>
      </c>
      <c r="F3829" t="s">
        <v>22436</v>
      </c>
      <c r="G3829" t="s">
        <v>22444</v>
      </c>
      <c r="H3829" t="s">
        <v>22452</v>
      </c>
      <c r="I3829" t="s">
        <v>3529</v>
      </c>
      <c r="J3829" t="s">
        <v>25148</v>
      </c>
      <c r="K3829" t="s">
        <v>29336</v>
      </c>
      <c r="M3829" t="s">
        <v>30179</v>
      </c>
      <c r="N3829" t="s">
        <v>32524</v>
      </c>
      <c r="O3829" t="s">
        <v>32525</v>
      </c>
      <c r="P3829">
        <v>0</v>
      </c>
      <c r="Q3829">
        <v>0</v>
      </c>
      <c r="R3829" t="s">
        <v>32530</v>
      </c>
      <c r="S3829" t="s">
        <v>32568</v>
      </c>
      <c r="T3829" t="s">
        <v>33196</v>
      </c>
      <c r="U3829" t="s">
        <v>36887</v>
      </c>
      <c r="W3829" t="s">
        <v>30179</v>
      </c>
      <c r="X3829" t="s">
        <v>32531</v>
      </c>
    </row>
    <row r="3830" spans="1:24">
      <c r="A3830">
        <f>HYPERLINK("https://www.philgeps.gov.ph/GEPSNONPILOT/Tender/SplashBidNoticeAbstractUI.aspx?menuIndex=3&amp;refID=7041674&amp;Result=3","7041674")</f>
        <v>0</v>
      </c>
      <c r="B3830" t="s">
        <v>1380</v>
      </c>
      <c r="C3830" t="s">
        <v>6341</v>
      </c>
      <c r="D3830" t="s">
        <v>12994</v>
      </c>
      <c r="E3830" t="s">
        <v>16515</v>
      </c>
      <c r="F3830" t="s">
        <v>22436</v>
      </c>
      <c r="G3830" t="s">
        <v>22443</v>
      </c>
      <c r="H3830" t="s">
        <v>22452</v>
      </c>
      <c r="I3830" t="s">
        <v>22460</v>
      </c>
      <c r="J3830" t="s">
        <v>25149</v>
      </c>
      <c r="K3830" t="s">
        <v>29341</v>
      </c>
      <c r="L3830" t="s">
        <v>1380</v>
      </c>
      <c r="M3830" t="s">
        <v>31036</v>
      </c>
      <c r="N3830" t="s">
        <v>32524</v>
      </c>
      <c r="O3830" t="s">
        <v>32525</v>
      </c>
      <c r="P3830">
        <v>0</v>
      </c>
      <c r="Q3830">
        <v>0</v>
      </c>
      <c r="R3830" t="s">
        <v>32530</v>
      </c>
      <c r="S3830" t="s">
        <v>32568</v>
      </c>
      <c r="T3830" t="s">
        <v>33229</v>
      </c>
      <c r="U3830" t="s">
        <v>36888</v>
      </c>
      <c r="W3830" t="s">
        <v>31036</v>
      </c>
      <c r="X3830" t="s">
        <v>32531</v>
      </c>
    </row>
    <row r="3831" spans="1:24">
      <c r="A3831">
        <f>HYPERLINK("https://www.philgeps.gov.ph/GEPSNONPILOT/Tender/SplashBidNoticeAbstractUI.aspx?menuIndex=3&amp;refID=7041735&amp;Result=3","7041735")</f>
        <v>0</v>
      </c>
      <c r="B3831" t="s">
        <v>52</v>
      </c>
      <c r="C3831" t="s">
        <v>6342</v>
      </c>
      <c r="D3831" t="s">
        <v>13000</v>
      </c>
      <c r="E3831" t="s">
        <v>16516</v>
      </c>
      <c r="F3831" t="s">
        <v>22436</v>
      </c>
      <c r="G3831" t="s">
        <v>22443</v>
      </c>
      <c r="H3831" t="s">
        <v>22452</v>
      </c>
      <c r="I3831" t="s">
        <v>22463</v>
      </c>
      <c r="J3831" t="s">
        <v>25148</v>
      </c>
      <c r="K3831" t="s">
        <v>29356</v>
      </c>
      <c r="M3831" t="s">
        <v>31037</v>
      </c>
      <c r="N3831" t="s">
        <v>32524</v>
      </c>
      <c r="O3831" t="s">
        <v>32525</v>
      </c>
      <c r="P3831">
        <v>0</v>
      </c>
      <c r="Q3831">
        <v>3</v>
      </c>
      <c r="R3831" t="s">
        <v>32530</v>
      </c>
      <c r="S3831" t="s">
        <v>32568</v>
      </c>
      <c r="T3831" t="s">
        <v>33296</v>
      </c>
      <c r="U3831" t="s">
        <v>36889</v>
      </c>
      <c r="W3831" t="s">
        <v>31037</v>
      </c>
      <c r="X3831" t="s">
        <v>32531</v>
      </c>
    </row>
    <row r="3832" spans="1:24">
      <c r="A3832">
        <f>HYPERLINK("https://www.philgeps.gov.ph/GEPSNONPILOT/Tender/SplashBidNoticeAbstractUI.aspx?menuIndex=3&amp;refID=7041713&amp;Result=3","7041713")</f>
        <v>0</v>
      </c>
      <c r="B3832" t="s">
        <v>1323</v>
      </c>
      <c r="C3832" t="s">
        <v>6327</v>
      </c>
      <c r="E3832" t="s">
        <v>16517</v>
      </c>
      <c r="F3832" t="s">
        <v>22436</v>
      </c>
      <c r="G3832" t="s">
        <v>22444</v>
      </c>
      <c r="H3832" t="s">
        <v>22455</v>
      </c>
      <c r="I3832" t="s">
        <v>22455</v>
      </c>
      <c r="J3832" t="s">
        <v>25150</v>
      </c>
      <c r="K3832" t="s">
        <v>29338</v>
      </c>
      <c r="M3832" t="s">
        <v>30978</v>
      </c>
      <c r="N3832" t="s">
        <v>32524</v>
      </c>
      <c r="O3832" t="s">
        <v>32525</v>
      </c>
      <c r="P3832">
        <v>0</v>
      </c>
      <c r="Q3832">
        <v>4</v>
      </c>
      <c r="R3832" t="s">
        <v>32530</v>
      </c>
      <c r="S3832" t="s">
        <v>32568</v>
      </c>
      <c r="T3832" t="s">
        <v>33424</v>
      </c>
      <c r="U3832" t="s">
        <v>36890</v>
      </c>
      <c r="W3832" t="s">
        <v>30978</v>
      </c>
      <c r="X3832" t="s">
        <v>32531</v>
      </c>
    </row>
    <row r="3833" spans="1:24">
      <c r="A3833">
        <f>HYPERLINK("https://www.philgeps.gov.ph/GEPSNONPILOT/Tender/SplashBidNoticeAbstractUI.aspx?menuIndex=3&amp;refID=7041683&amp;Result=3","7041683")</f>
        <v>0</v>
      </c>
      <c r="B3833" t="s">
        <v>1264</v>
      </c>
      <c r="C3833" t="s">
        <v>6343</v>
      </c>
      <c r="D3833" t="s">
        <v>12991</v>
      </c>
      <c r="E3833" t="s">
        <v>16518</v>
      </c>
      <c r="F3833" t="s">
        <v>22436</v>
      </c>
      <c r="G3833" t="s">
        <v>22444</v>
      </c>
      <c r="H3833" t="s">
        <v>22452</v>
      </c>
      <c r="I3833" t="s">
        <v>22484</v>
      </c>
      <c r="J3833" t="s">
        <v>25151</v>
      </c>
      <c r="K3833" t="s">
        <v>29335</v>
      </c>
      <c r="M3833" t="s">
        <v>30917</v>
      </c>
      <c r="N3833" t="s">
        <v>32524</v>
      </c>
      <c r="O3833" t="s">
        <v>32525</v>
      </c>
      <c r="P3833">
        <v>0</v>
      </c>
      <c r="Q3833">
        <v>8</v>
      </c>
      <c r="R3833" t="s">
        <v>32530</v>
      </c>
      <c r="S3833" t="s">
        <v>32568</v>
      </c>
      <c r="T3833" t="s">
        <v>33165</v>
      </c>
      <c r="U3833" t="s">
        <v>36891</v>
      </c>
      <c r="W3833" t="s">
        <v>43712</v>
      </c>
      <c r="X3833" t="s">
        <v>32531</v>
      </c>
    </row>
    <row r="3834" spans="1:24">
      <c r="A3834">
        <f>HYPERLINK("https://www.philgeps.gov.ph/GEPSNONPILOT/Tender/SplashBidNoticeAbstractUI.aspx?menuIndex=3&amp;refID=7041707&amp;Result=3","7041707")</f>
        <v>0</v>
      </c>
      <c r="B3834" t="s">
        <v>1257</v>
      </c>
      <c r="C3834" t="s">
        <v>6344</v>
      </c>
      <c r="D3834" t="s">
        <v>13075</v>
      </c>
      <c r="E3834" t="s">
        <v>16519</v>
      </c>
      <c r="F3834" t="s">
        <v>22436</v>
      </c>
      <c r="G3834" t="s">
        <v>22444</v>
      </c>
      <c r="H3834" t="s">
        <v>22454</v>
      </c>
      <c r="I3834" t="s">
        <v>7738</v>
      </c>
      <c r="J3834" t="s">
        <v>22788</v>
      </c>
      <c r="K3834" t="s">
        <v>29333</v>
      </c>
      <c r="M3834" t="s">
        <v>30910</v>
      </c>
      <c r="N3834" t="s">
        <v>32524</v>
      </c>
      <c r="O3834" t="s">
        <v>32525</v>
      </c>
      <c r="P3834">
        <v>0</v>
      </c>
      <c r="Q3834">
        <v>0</v>
      </c>
      <c r="R3834" t="s">
        <v>32530</v>
      </c>
      <c r="S3834" t="s">
        <v>32568</v>
      </c>
      <c r="T3834" t="s">
        <v>33203</v>
      </c>
      <c r="U3834" t="s">
        <v>36623</v>
      </c>
      <c r="V3834" t="s">
        <v>42816</v>
      </c>
      <c r="W3834" t="s">
        <v>30910</v>
      </c>
      <c r="X3834" t="s">
        <v>32531</v>
      </c>
    </row>
    <row r="3835" spans="1:24">
      <c r="A3835">
        <f>HYPERLINK("https://www.philgeps.gov.ph/GEPSNONPILOT/Tender/SplashBidNoticeAbstractUI.aspx?menuIndex=3&amp;refID=7041726&amp;Result=3","7041726")</f>
        <v>0</v>
      </c>
      <c r="B3835" t="s">
        <v>1269</v>
      </c>
      <c r="C3835" t="s">
        <v>6345</v>
      </c>
      <c r="E3835" t="s">
        <v>16520</v>
      </c>
      <c r="F3835" t="s">
        <v>22436</v>
      </c>
      <c r="G3835" t="s">
        <v>22444</v>
      </c>
      <c r="H3835" t="s">
        <v>22452</v>
      </c>
      <c r="I3835" t="s">
        <v>22474</v>
      </c>
      <c r="J3835" t="s">
        <v>25152</v>
      </c>
      <c r="K3835" t="s">
        <v>29335</v>
      </c>
      <c r="M3835" t="s">
        <v>31038</v>
      </c>
      <c r="N3835" t="s">
        <v>32524</v>
      </c>
      <c r="O3835" t="s">
        <v>32525</v>
      </c>
      <c r="P3835">
        <v>0</v>
      </c>
      <c r="Q3835">
        <v>2</v>
      </c>
      <c r="R3835" t="s">
        <v>32530</v>
      </c>
      <c r="S3835" t="s">
        <v>32568</v>
      </c>
      <c r="T3835" t="s">
        <v>33405</v>
      </c>
      <c r="U3835" t="s">
        <v>36892</v>
      </c>
      <c r="V3835" t="s">
        <v>42817</v>
      </c>
      <c r="W3835" t="s">
        <v>31038</v>
      </c>
      <c r="X3835" t="s">
        <v>32531</v>
      </c>
    </row>
    <row r="3836" spans="1:24">
      <c r="A3836">
        <f>HYPERLINK("https://www.philgeps.gov.ph/GEPSNONPILOT/Tender/SplashBidNoticeAbstractUI.aspx?menuIndex=3&amp;refID=7041712&amp;Result=3","7041712")</f>
        <v>0</v>
      </c>
      <c r="B3836" t="s">
        <v>1349</v>
      </c>
      <c r="C3836" t="s">
        <v>6346</v>
      </c>
      <c r="D3836" t="s">
        <v>13038</v>
      </c>
      <c r="E3836" t="s">
        <v>16521</v>
      </c>
      <c r="F3836" t="s">
        <v>22436</v>
      </c>
      <c r="G3836" t="s">
        <v>22446</v>
      </c>
      <c r="H3836" t="s">
        <v>22452</v>
      </c>
      <c r="I3836" t="s">
        <v>22488</v>
      </c>
      <c r="J3836" t="s">
        <v>22892</v>
      </c>
      <c r="K3836" t="s">
        <v>29340</v>
      </c>
      <c r="M3836" t="s">
        <v>31004</v>
      </c>
      <c r="N3836" t="s">
        <v>32524</v>
      </c>
      <c r="O3836" t="s">
        <v>32525</v>
      </c>
      <c r="P3836">
        <v>0</v>
      </c>
      <c r="Q3836">
        <v>0</v>
      </c>
      <c r="R3836" t="s">
        <v>32530</v>
      </c>
      <c r="S3836" t="s">
        <v>32568</v>
      </c>
      <c r="T3836" t="s">
        <v>33296</v>
      </c>
      <c r="U3836" t="s">
        <v>36893</v>
      </c>
      <c r="V3836" t="s">
        <v>42818</v>
      </c>
      <c r="W3836" t="s">
        <v>31004</v>
      </c>
      <c r="X3836" t="s">
        <v>32531</v>
      </c>
    </row>
    <row r="3837" spans="1:24">
      <c r="A3837">
        <f>HYPERLINK("https://www.philgeps.gov.ph/GEPSNONPILOT/Tender/SplashBidNoticeAbstractUI.aspx?menuIndex=3&amp;refID=7041709&amp;Result=3","7041709")</f>
        <v>0</v>
      </c>
      <c r="B3837" t="s">
        <v>1270</v>
      </c>
      <c r="C3837" t="s">
        <v>6347</v>
      </c>
      <c r="D3837" t="s">
        <v>13035</v>
      </c>
      <c r="E3837" t="s">
        <v>16522</v>
      </c>
      <c r="F3837" t="s">
        <v>22436</v>
      </c>
      <c r="G3837" t="s">
        <v>22444</v>
      </c>
      <c r="H3837" t="s">
        <v>22452</v>
      </c>
      <c r="I3837" t="s">
        <v>22460</v>
      </c>
      <c r="J3837" t="s">
        <v>25153</v>
      </c>
      <c r="K3837" t="s">
        <v>29331</v>
      </c>
      <c r="M3837" t="s">
        <v>30923</v>
      </c>
      <c r="N3837" t="s">
        <v>32524</v>
      </c>
      <c r="O3837" t="s">
        <v>32525</v>
      </c>
      <c r="P3837">
        <v>0</v>
      </c>
      <c r="Q3837">
        <v>0</v>
      </c>
      <c r="R3837" t="s">
        <v>32530</v>
      </c>
      <c r="S3837" t="s">
        <v>32568</v>
      </c>
      <c r="T3837" t="s">
        <v>33293</v>
      </c>
      <c r="U3837" t="s">
        <v>36894</v>
      </c>
      <c r="W3837" t="s">
        <v>30923</v>
      </c>
      <c r="X3837" t="s">
        <v>32531</v>
      </c>
    </row>
    <row r="3838" spans="1:24">
      <c r="A3838">
        <f>HYPERLINK("https://www.philgeps.gov.ph/GEPSNONPILOT/Tender/SplashBidNoticeAbstractUI.aspx?menuIndex=3&amp;refID=7041741&amp;Result=3","7041741")</f>
        <v>0</v>
      </c>
      <c r="B3838" t="s">
        <v>1381</v>
      </c>
      <c r="C3838" t="s">
        <v>6348</v>
      </c>
      <c r="D3838" t="s">
        <v>13035</v>
      </c>
      <c r="E3838" t="s">
        <v>16523</v>
      </c>
      <c r="F3838" t="s">
        <v>22436</v>
      </c>
      <c r="G3838" t="s">
        <v>22443</v>
      </c>
      <c r="H3838" t="s">
        <v>22452</v>
      </c>
      <c r="I3838" t="s">
        <v>3529</v>
      </c>
      <c r="J3838" t="s">
        <v>25154</v>
      </c>
      <c r="K3838" t="s">
        <v>29331</v>
      </c>
      <c r="M3838" t="s">
        <v>31039</v>
      </c>
      <c r="N3838" t="s">
        <v>32524</v>
      </c>
      <c r="O3838" t="s">
        <v>32525</v>
      </c>
      <c r="P3838">
        <v>0</v>
      </c>
      <c r="Q3838">
        <v>0</v>
      </c>
      <c r="R3838" t="s">
        <v>32530</v>
      </c>
      <c r="S3838" t="s">
        <v>32568</v>
      </c>
      <c r="T3838" t="s">
        <v>33161</v>
      </c>
      <c r="U3838" t="s">
        <v>36895</v>
      </c>
      <c r="V3838" t="s">
        <v>42819</v>
      </c>
      <c r="W3838" t="s">
        <v>31039</v>
      </c>
      <c r="X3838" t="s">
        <v>32531</v>
      </c>
    </row>
    <row r="3839" spans="1:24">
      <c r="A3839">
        <f>HYPERLINK("https://www.philgeps.gov.ph/GEPSNONPILOT/Tender/SplashBidNoticeAbstractUI.aspx?menuIndex=3&amp;refID=7041743&amp;Result=3","7041743")</f>
        <v>0</v>
      </c>
      <c r="B3839" t="s">
        <v>1321</v>
      </c>
      <c r="C3839" t="s">
        <v>6349</v>
      </c>
      <c r="D3839" t="s">
        <v>12988</v>
      </c>
      <c r="E3839" t="s">
        <v>16524</v>
      </c>
      <c r="F3839" t="s">
        <v>22436</v>
      </c>
      <c r="G3839" t="s">
        <v>22443</v>
      </c>
      <c r="H3839" t="s">
        <v>22452</v>
      </c>
      <c r="I3839" t="s">
        <v>3827</v>
      </c>
      <c r="J3839" t="s">
        <v>22585</v>
      </c>
      <c r="K3839" t="s">
        <v>29341</v>
      </c>
      <c r="M3839" t="s">
        <v>30976</v>
      </c>
      <c r="N3839" t="s">
        <v>32524</v>
      </c>
      <c r="O3839" t="s">
        <v>32525</v>
      </c>
      <c r="P3839">
        <v>0</v>
      </c>
      <c r="Q3839">
        <v>9</v>
      </c>
      <c r="R3839" t="s">
        <v>32530</v>
      </c>
      <c r="S3839" t="s">
        <v>32568</v>
      </c>
      <c r="T3839" t="s">
        <v>33342</v>
      </c>
      <c r="U3839" t="s">
        <v>36896</v>
      </c>
      <c r="V3839" t="s">
        <v>42820</v>
      </c>
      <c r="W3839" t="s">
        <v>30976</v>
      </c>
      <c r="X3839" t="s">
        <v>32531</v>
      </c>
    </row>
    <row r="3840" spans="1:24">
      <c r="A3840">
        <f>HYPERLINK("https://www.philgeps.gov.ph/GEPSNONPILOT/Tender/SplashBidNoticeAbstractUI.aspx?menuIndex=3&amp;refID=7041737&amp;Result=3","7041737")</f>
        <v>0</v>
      </c>
      <c r="B3840" t="s">
        <v>1382</v>
      </c>
      <c r="C3840" t="s">
        <v>6350</v>
      </c>
      <c r="D3840" t="s">
        <v>12999</v>
      </c>
      <c r="E3840" t="s">
        <v>13752</v>
      </c>
      <c r="F3840" t="s">
        <v>22436</v>
      </c>
      <c r="G3840" t="s">
        <v>22443</v>
      </c>
      <c r="H3840" t="s">
        <v>22452</v>
      </c>
      <c r="I3840" t="s">
        <v>3529</v>
      </c>
      <c r="J3840" t="s">
        <v>25155</v>
      </c>
      <c r="K3840" t="s">
        <v>29357</v>
      </c>
      <c r="M3840" t="s">
        <v>31040</v>
      </c>
      <c r="N3840" t="s">
        <v>32524</v>
      </c>
      <c r="O3840" t="s">
        <v>32525</v>
      </c>
      <c r="P3840">
        <v>0</v>
      </c>
      <c r="Q3840">
        <v>0</v>
      </c>
      <c r="R3840" t="s">
        <v>32530</v>
      </c>
      <c r="S3840" t="s">
        <v>32568</v>
      </c>
      <c r="T3840" t="s">
        <v>33167</v>
      </c>
      <c r="U3840" t="s">
        <v>36381</v>
      </c>
      <c r="W3840" t="s">
        <v>31040</v>
      </c>
      <c r="X3840" t="s">
        <v>32531</v>
      </c>
    </row>
    <row r="3841" spans="1:24">
      <c r="A3841">
        <f>HYPERLINK("https://www.philgeps.gov.ph/GEPSNONPILOT/Tender/SplashBidNoticeAbstractUI.aspx?menuIndex=3&amp;refID=7041774&amp;Result=3","7041774")</f>
        <v>0</v>
      </c>
      <c r="B3841" t="s">
        <v>1381</v>
      </c>
      <c r="C3841" t="s">
        <v>6351</v>
      </c>
      <c r="D3841" t="s">
        <v>13035</v>
      </c>
      <c r="E3841" t="s">
        <v>16525</v>
      </c>
      <c r="F3841" t="s">
        <v>22436</v>
      </c>
      <c r="G3841" t="s">
        <v>22443</v>
      </c>
      <c r="H3841" t="s">
        <v>22452</v>
      </c>
      <c r="I3841" t="s">
        <v>22486</v>
      </c>
      <c r="J3841" t="s">
        <v>25156</v>
      </c>
      <c r="K3841" t="s">
        <v>29341</v>
      </c>
      <c r="M3841" t="s">
        <v>31039</v>
      </c>
      <c r="N3841" t="s">
        <v>32524</v>
      </c>
      <c r="O3841" t="s">
        <v>32525</v>
      </c>
      <c r="P3841">
        <v>0</v>
      </c>
      <c r="Q3841">
        <v>0</v>
      </c>
      <c r="R3841" t="s">
        <v>32530</v>
      </c>
      <c r="S3841" t="s">
        <v>32568</v>
      </c>
      <c r="T3841" t="s">
        <v>33161</v>
      </c>
      <c r="U3841" t="s">
        <v>36897</v>
      </c>
      <c r="V3841" t="s">
        <v>42821</v>
      </c>
      <c r="W3841" t="s">
        <v>31039</v>
      </c>
      <c r="X3841" t="s">
        <v>32531</v>
      </c>
    </row>
    <row r="3842" spans="1:24">
      <c r="A3842">
        <f>HYPERLINK("https://www.philgeps.gov.ph/GEPSNONPILOT/Tender/SplashBidNoticeAbstractUI.aspx?menuIndex=3&amp;refID=7041768&amp;Result=3","7041768")</f>
        <v>0</v>
      </c>
      <c r="B3842" t="s">
        <v>1381</v>
      </c>
      <c r="C3842" t="s">
        <v>6352</v>
      </c>
      <c r="D3842" t="s">
        <v>13035</v>
      </c>
      <c r="E3842" t="s">
        <v>16526</v>
      </c>
      <c r="F3842" t="s">
        <v>22436</v>
      </c>
      <c r="G3842" t="s">
        <v>22443</v>
      </c>
      <c r="H3842" t="s">
        <v>22452</v>
      </c>
      <c r="I3842" t="s">
        <v>22486</v>
      </c>
      <c r="J3842" t="s">
        <v>25157</v>
      </c>
      <c r="K3842" t="s">
        <v>29341</v>
      </c>
      <c r="M3842" t="s">
        <v>31039</v>
      </c>
      <c r="N3842" t="s">
        <v>32524</v>
      </c>
      <c r="O3842" t="s">
        <v>32525</v>
      </c>
      <c r="P3842">
        <v>0</v>
      </c>
      <c r="Q3842">
        <v>0</v>
      </c>
      <c r="R3842" t="s">
        <v>32530</v>
      </c>
      <c r="S3842" t="s">
        <v>32568</v>
      </c>
      <c r="T3842" t="s">
        <v>33161</v>
      </c>
      <c r="U3842" t="s">
        <v>36897</v>
      </c>
      <c r="V3842" t="s">
        <v>42822</v>
      </c>
      <c r="W3842" t="s">
        <v>31039</v>
      </c>
      <c r="X3842" t="s">
        <v>32531</v>
      </c>
    </row>
    <row r="3843" spans="1:24">
      <c r="A3843">
        <f>HYPERLINK("https://www.philgeps.gov.ph/GEPSNONPILOT/Tender/SplashBidNoticeAbstractUI.aspx?menuIndex=3&amp;refID=7041750&amp;Result=3","7041750")</f>
        <v>0</v>
      </c>
      <c r="B3843" t="s">
        <v>326</v>
      </c>
      <c r="C3843" t="s">
        <v>6353</v>
      </c>
      <c r="D3843" t="s">
        <v>13046</v>
      </c>
      <c r="E3843" t="s">
        <v>14627</v>
      </c>
      <c r="F3843" t="s">
        <v>22436</v>
      </c>
      <c r="G3843" t="s">
        <v>22443</v>
      </c>
      <c r="H3843" t="s">
        <v>22452</v>
      </c>
      <c r="I3843" t="s">
        <v>22469</v>
      </c>
      <c r="J3843" t="s">
        <v>23120</v>
      </c>
      <c r="K3843" t="s">
        <v>29341</v>
      </c>
      <c r="M3843" t="s">
        <v>29902</v>
      </c>
      <c r="N3843" t="s">
        <v>32524</v>
      </c>
      <c r="O3843" t="s">
        <v>32525</v>
      </c>
      <c r="P3843">
        <v>0</v>
      </c>
      <c r="Q3843">
        <v>6</v>
      </c>
      <c r="R3843" t="s">
        <v>32530</v>
      </c>
      <c r="S3843" t="s">
        <v>32568</v>
      </c>
      <c r="T3843" t="s">
        <v>33296</v>
      </c>
      <c r="U3843" t="s">
        <v>36898</v>
      </c>
      <c r="W3843" t="s">
        <v>29902</v>
      </c>
      <c r="X3843" t="s">
        <v>32531</v>
      </c>
    </row>
    <row r="3844" spans="1:24">
      <c r="A3844">
        <f>HYPERLINK("https://www.philgeps.gov.ph/GEPSNONPILOT/Tender/SplashBidNoticeAbstractUI.aspx?menuIndex=3&amp;refID=7041761&amp;Result=3","7041761")</f>
        <v>0</v>
      </c>
      <c r="B3844" t="s">
        <v>627</v>
      </c>
      <c r="C3844" t="s">
        <v>6354</v>
      </c>
      <c r="D3844" t="s">
        <v>13041</v>
      </c>
      <c r="E3844" t="s">
        <v>13226</v>
      </c>
      <c r="F3844" t="s">
        <v>22436</v>
      </c>
      <c r="G3844" t="s">
        <v>22443</v>
      </c>
      <c r="H3844" t="s">
        <v>22452</v>
      </c>
      <c r="I3844" t="s">
        <v>3529</v>
      </c>
      <c r="J3844" t="s">
        <v>25158</v>
      </c>
      <c r="K3844" t="s">
        <v>29358</v>
      </c>
      <c r="M3844" t="s">
        <v>30218</v>
      </c>
      <c r="N3844" t="s">
        <v>32524</v>
      </c>
      <c r="O3844" t="s">
        <v>32525</v>
      </c>
      <c r="P3844">
        <v>0</v>
      </c>
      <c r="Q3844">
        <v>1</v>
      </c>
      <c r="R3844" t="s">
        <v>32530</v>
      </c>
      <c r="S3844" t="s">
        <v>32568</v>
      </c>
      <c r="T3844" t="s">
        <v>33209</v>
      </c>
      <c r="U3844" t="s">
        <v>36899</v>
      </c>
      <c r="W3844" t="s">
        <v>30218</v>
      </c>
      <c r="X3844" t="s">
        <v>32531</v>
      </c>
    </row>
    <row r="3845" spans="1:24">
      <c r="A3845">
        <f>HYPERLINK("https://www.philgeps.gov.ph/GEPSNONPILOT/Tender/SplashBidNoticeAbstractUI.aspx?menuIndex=3&amp;refID=7041740&amp;Result=3","7041740")</f>
        <v>0</v>
      </c>
      <c r="B3845" t="s">
        <v>1383</v>
      </c>
      <c r="C3845" t="s">
        <v>6355</v>
      </c>
      <c r="D3845" t="s">
        <v>13018</v>
      </c>
      <c r="E3845" t="s">
        <v>16527</v>
      </c>
      <c r="F3845" t="s">
        <v>22437</v>
      </c>
      <c r="G3845" t="s">
        <v>22445</v>
      </c>
      <c r="H3845" t="s">
        <v>22452</v>
      </c>
      <c r="I3845" t="s">
        <v>5194</v>
      </c>
      <c r="J3845" t="s">
        <v>25159</v>
      </c>
      <c r="K3845" t="s">
        <v>29338</v>
      </c>
      <c r="M3845" t="s">
        <v>31041</v>
      </c>
      <c r="N3845" t="s">
        <v>32524</v>
      </c>
      <c r="O3845" t="s">
        <v>32525</v>
      </c>
      <c r="P3845">
        <v>0</v>
      </c>
      <c r="Q3845">
        <v>1</v>
      </c>
      <c r="R3845" t="s">
        <v>32530</v>
      </c>
      <c r="S3845" t="s">
        <v>32568</v>
      </c>
      <c r="T3845" t="s">
        <v>33169</v>
      </c>
      <c r="U3845" t="s">
        <v>36900</v>
      </c>
      <c r="W3845" t="s">
        <v>31041</v>
      </c>
      <c r="X3845" t="s">
        <v>32531</v>
      </c>
    </row>
    <row r="3846" spans="1:24">
      <c r="A3846">
        <f>HYPERLINK("https://www.philgeps.gov.ph/GEPSNONPILOT/Tender/SplashBidNoticeAbstractUI.aspx?menuIndex=3&amp;refID=7041767&amp;Result=3","7041767")</f>
        <v>0</v>
      </c>
      <c r="B3846" t="s">
        <v>1384</v>
      </c>
      <c r="C3846" t="s">
        <v>6356</v>
      </c>
      <c r="D3846" t="s">
        <v>13054</v>
      </c>
      <c r="E3846" t="s">
        <v>16528</v>
      </c>
      <c r="F3846" t="s">
        <v>22436</v>
      </c>
      <c r="G3846" t="s">
        <v>22444</v>
      </c>
      <c r="H3846" t="s">
        <v>22454</v>
      </c>
      <c r="I3846" t="s">
        <v>7738</v>
      </c>
      <c r="J3846" t="s">
        <v>25160</v>
      </c>
      <c r="K3846" t="s">
        <v>29334</v>
      </c>
      <c r="M3846" t="s">
        <v>31042</v>
      </c>
      <c r="N3846" t="s">
        <v>32524</v>
      </c>
      <c r="O3846" t="s">
        <v>32525</v>
      </c>
      <c r="P3846">
        <v>0</v>
      </c>
      <c r="Q3846">
        <v>1</v>
      </c>
      <c r="R3846" t="s">
        <v>32530</v>
      </c>
      <c r="S3846" t="s">
        <v>32568</v>
      </c>
      <c r="T3846" t="s">
        <v>33249</v>
      </c>
      <c r="U3846" t="s">
        <v>36901</v>
      </c>
      <c r="V3846" t="s">
        <v>42823</v>
      </c>
      <c r="W3846" t="s">
        <v>31042</v>
      </c>
      <c r="X3846" t="s">
        <v>32531</v>
      </c>
    </row>
    <row r="3847" spans="1:24">
      <c r="A3847">
        <f>HYPERLINK("https://www.philgeps.gov.ph/GEPSNONPILOT/Tender/SplashBidNoticeAbstractUI.aspx?menuIndex=3&amp;refID=7041744&amp;Result=3","7041744")</f>
        <v>0</v>
      </c>
      <c r="B3847" t="s">
        <v>356</v>
      </c>
      <c r="C3847" t="s">
        <v>6357</v>
      </c>
      <c r="D3847" t="s">
        <v>12993</v>
      </c>
      <c r="E3847" t="s">
        <v>16529</v>
      </c>
      <c r="F3847" t="s">
        <v>22436</v>
      </c>
      <c r="G3847" t="s">
        <v>22443</v>
      </c>
      <c r="H3847" t="s">
        <v>22452</v>
      </c>
      <c r="I3847" t="s">
        <v>22474</v>
      </c>
      <c r="J3847" t="s">
        <v>25161</v>
      </c>
      <c r="K3847" t="s">
        <v>29336</v>
      </c>
      <c r="M3847" t="s">
        <v>30143</v>
      </c>
      <c r="N3847" t="s">
        <v>32524</v>
      </c>
      <c r="O3847" t="s">
        <v>32525</v>
      </c>
      <c r="P3847">
        <v>0</v>
      </c>
      <c r="Q3847">
        <v>1</v>
      </c>
      <c r="R3847" t="s">
        <v>32530</v>
      </c>
      <c r="S3847" t="s">
        <v>32568</v>
      </c>
      <c r="T3847" t="s">
        <v>33209</v>
      </c>
      <c r="U3847" t="s">
        <v>36902</v>
      </c>
      <c r="W3847" t="s">
        <v>30143</v>
      </c>
      <c r="X3847" t="s">
        <v>32531</v>
      </c>
    </row>
    <row r="3848" spans="1:24">
      <c r="A3848">
        <f>HYPERLINK("https://www.philgeps.gov.ph/GEPSNONPILOT/Tender/SplashBidNoticeAbstractUI.aspx?menuIndex=3&amp;refID=7041751&amp;Result=3","7041751")</f>
        <v>0</v>
      </c>
      <c r="B3848" t="s">
        <v>1295</v>
      </c>
      <c r="C3848" t="s">
        <v>6358</v>
      </c>
      <c r="D3848" t="s">
        <v>13041</v>
      </c>
      <c r="E3848" t="s">
        <v>16530</v>
      </c>
      <c r="F3848" t="s">
        <v>22436</v>
      </c>
      <c r="G3848" t="s">
        <v>22446</v>
      </c>
      <c r="H3848" t="s">
        <v>22452</v>
      </c>
      <c r="I3848" t="s">
        <v>11896</v>
      </c>
      <c r="J3848" t="s">
        <v>23234</v>
      </c>
      <c r="K3848" t="s">
        <v>29341</v>
      </c>
      <c r="M3848" t="s">
        <v>30949</v>
      </c>
      <c r="N3848" t="s">
        <v>32524</v>
      </c>
      <c r="O3848" t="s">
        <v>32525</v>
      </c>
      <c r="P3848">
        <v>0</v>
      </c>
      <c r="Q3848">
        <v>0</v>
      </c>
      <c r="R3848" t="s">
        <v>32530</v>
      </c>
      <c r="S3848" t="s">
        <v>32568</v>
      </c>
      <c r="T3848" t="s">
        <v>33181</v>
      </c>
      <c r="U3848" t="s">
        <v>36903</v>
      </c>
      <c r="V3848" t="s">
        <v>42824</v>
      </c>
      <c r="W3848" t="s">
        <v>30949</v>
      </c>
      <c r="X3848" t="s">
        <v>32531</v>
      </c>
    </row>
    <row r="3849" spans="1:24">
      <c r="A3849">
        <f>HYPERLINK("https://www.philgeps.gov.ph/GEPSNONPILOT/Tender/SplashBidNoticeAbstractUI.aspx?menuIndex=3&amp;refID=7041752&amp;Result=3","7041752")</f>
        <v>0</v>
      </c>
      <c r="B3849" t="s">
        <v>1381</v>
      </c>
      <c r="C3849" t="s">
        <v>6359</v>
      </c>
      <c r="D3849" t="s">
        <v>13035</v>
      </c>
      <c r="E3849" t="s">
        <v>16531</v>
      </c>
      <c r="F3849" t="s">
        <v>22436</v>
      </c>
      <c r="G3849" t="s">
        <v>22443</v>
      </c>
      <c r="H3849" t="s">
        <v>22452</v>
      </c>
      <c r="I3849" t="s">
        <v>22486</v>
      </c>
      <c r="J3849" t="s">
        <v>25162</v>
      </c>
      <c r="K3849" t="s">
        <v>29341</v>
      </c>
      <c r="M3849" t="s">
        <v>31039</v>
      </c>
      <c r="N3849" t="s">
        <v>32524</v>
      </c>
      <c r="O3849" t="s">
        <v>32525</v>
      </c>
      <c r="P3849">
        <v>0</v>
      </c>
      <c r="Q3849">
        <v>0</v>
      </c>
      <c r="R3849" t="s">
        <v>32530</v>
      </c>
      <c r="S3849" t="s">
        <v>32568</v>
      </c>
      <c r="T3849" t="s">
        <v>33161</v>
      </c>
      <c r="U3849" t="s">
        <v>36897</v>
      </c>
      <c r="V3849" t="s">
        <v>42825</v>
      </c>
      <c r="W3849" t="s">
        <v>31039</v>
      </c>
      <c r="X3849" t="s">
        <v>32531</v>
      </c>
    </row>
    <row r="3850" spans="1:24">
      <c r="A3850">
        <f>HYPERLINK("https://www.philgeps.gov.ph/GEPSNONPILOT/Tender/SplashBidNoticeAbstractUI.aspx?menuIndex=3&amp;refID=7041753&amp;Result=3","7041753")</f>
        <v>0</v>
      </c>
      <c r="B3850" t="s">
        <v>1385</v>
      </c>
      <c r="C3850" t="s">
        <v>6360</v>
      </c>
      <c r="D3850" t="s">
        <v>13050</v>
      </c>
      <c r="E3850" t="s">
        <v>16532</v>
      </c>
      <c r="F3850" t="s">
        <v>22437</v>
      </c>
      <c r="G3850" t="s">
        <v>22446</v>
      </c>
      <c r="H3850" t="s">
        <v>22452</v>
      </c>
      <c r="I3850" t="s">
        <v>22548</v>
      </c>
      <c r="J3850" t="s">
        <v>25163</v>
      </c>
      <c r="K3850" t="s">
        <v>29434</v>
      </c>
      <c r="M3850" t="s">
        <v>31043</v>
      </c>
      <c r="N3850" t="s">
        <v>32524</v>
      </c>
      <c r="O3850" t="s">
        <v>32525</v>
      </c>
      <c r="P3850">
        <v>0</v>
      </c>
      <c r="Q3850">
        <v>1</v>
      </c>
      <c r="R3850" t="s">
        <v>32530</v>
      </c>
      <c r="S3850" t="s">
        <v>32568</v>
      </c>
      <c r="T3850" t="s">
        <v>33228</v>
      </c>
      <c r="U3850" t="s">
        <v>36904</v>
      </c>
      <c r="W3850" t="s">
        <v>31043</v>
      </c>
      <c r="X3850" t="s">
        <v>32531</v>
      </c>
    </row>
    <row r="3851" spans="1:24">
      <c r="A3851">
        <f>HYPERLINK("https://www.philgeps.gov.ph/GEPSNONPILOT/Tender/SplashBidNoticeAbstractUI.aspx?menuIndex=3&amp;refID=7041777&amp;Result=3","7041777")</f>
        <v>0</v>
      </c>
      <c r="B3851" t="s">
        <v>1386</v>
      </c>
      <c r="C3851" t="s">
        <v>6361</v>
      </c>
      <c r="D3851" t="s">
        <v>13037</v>
      </c>
      <c r="E3851" t="s">
        <v>16533</v>
      </c>
      <c r="F3851" t="s">
        <v>22436</v>
      </c>
      <c r="G3851" t="s">
        <v>22444</v>
      </c>
      <c r="H3851" t="s">
        <v>22454</v>
      </c>
      <c r="I3851" t="s">
        <v>7738</v>
      </c>
      <c r="J3851" t="s">
        <v>22669</v>
      </c>
      <c r="K3851" t="s">
        <v>29334</v>
      </c>
      <c r="M3851" t="s">
        <v>31044</v>
      </c>
      <c r="N3851" t="s">
        <v>32524</v>
      </c>
      <c r="O3851" t="s">
        <v>32525</v>
      </c>
      <c r="P3851">
        <v>0</v>
      </c>
      <c r="Q3851">
        <v>0</v>
      </c>
      <c r="R3851" t="s">
        <v>32530</v>
      </c>
      <c r="S3851" t="s">
        <v>32568</v>
      </c>
      <c r="T3851" t="s">
        <v>33431</v>
      </c>
      <c r="U3851" t="s">
        <v>36905</v>
      </c>
      <c r="W3851" t="s">
        <v>31044</v>
      </c>
      <c r="X3851" t="s">
        <v>32531</v>
      </c>
    </row>
    <row r="3852" spans="1:24">
      <c r="A3852">
        <f>HYPERLINK("https://www.philgeps.gov.ph/GEPSNONPILOT/Tender/SplashBidNoticeAbstractUI.aspx?menuIndex=3&amp;refID=7041791&amp;Result=3","7041791")</f>
        <v>0</v>
      </c>
      <c r="B3852" t="s">
        <v>1387</v>
      </c>
      <c r="C3852" t="s">
        <v>6362</v>
      </c>
      <c r="D3852" t="s">
        <v>13001</v>
      </c>
      <c r="E3852" t="s">
        <v>16534</v>
      </c>
      <c r="F3852" t="s">
        <v>22436</v>
      </c>
      <c r="G3852" t="s">
        <v>22444</v>
      </c>
      <c r="H3852" t="s">
        <v>22452</v>
      </c>
      <c r="I3852" t="s">
        <v>22494</v>
      </c>
      <c r="J3852" t="s">
        <v>25164</v>
      </c>
      <c r="K3852" t="s">
        <v>29341</v>
      </c>
      <c r="M3852" t="s">
        <v>31045</v>
      </c>
      <c r="N3852" t="s">
        <v>32524</v>
      </c>
      <c r="O3852" t="s">
        <v>32525</v>
      </c>
      <c r="P3852">
        <v>0</v>
      </c>
      <c r="Q3852">
        <v>2</v>
      </c>
      <c r="R3852" t="s">
        <v>32530</v>
      </c>
      <c r="S3852" t="s">
        <v>32568</v>
      </c>
      <c r="T3852" t="s">
        <v>33196</v>
      </c>
      <c r="U3852" t="s">
        <v>36906</v>
      </c>
      <c r="W3852" t="s">
        <v>43717</v>
      </c>
      <c r="X3852" t="s">
        <v>32531</v>
      </c>
    </row>
    <row r="3853" spans="1:24">
      <c r="A3853">
        <f>HYPERLINK("https://www.philgeps.gov.ph/GEPSNONPILOT/Tender/SplashBidNoticeAbstractUI.aspx?menuIndex=3&amp;refID=7041755&amp;Result=3","7041755")</f>
        <v>0</v>
      </c>
      <c r="B3853" t="s">
        <v>1388</v>
      </c>
      <c r="C3853" t="s">
        <v>6363</v>
      </c>
      <c r="D3853" t="s">
        <v>13018</v>
      </c>
      <c r="E3853" t="s">
        <v>15039</v>
      </c>
      <c r="F3853" t="s">
        <v>22436</v>
      </c>
      <c r="G3853" t="s">
        <v>22444</v>
      </c>
      <c r="H3853" t="s">
        <v>22454</v>
      </c>
      <c r="I3853" t="s">
        <v>7738</v>
      </c>
      <c r="J3853" t="s">
        <v>23093</v>
      </c>
      <c r="K3853" t="s">
        <v>29333</v>
      </c>
      <c r="M3853" t="s">
        <v>31046</v>
      </c>
      <c r="N3853" t="s">
        <v>32524</v>
      </c>
      <c r="O3853" t="s">
        <v>32525</v>
      </c>
      <c r="P3853">
        <v>0</v>
      </c>
      <c r="Q3853">
        <v>0</v>
      </c>
      <c r="R3853" t="s">
        <v>32530</v>
      </c>
      <c r="S3853" t="s">
        <v>32568</v>
      </c>
      <c r="T3853" t="s">
        <v>33432</v>
      </c>
      <c r="U3853" t="s">
        <v>36907</v>
      </c>
      <c r="V3853" t="s">
        <v>42826</v>
      </c>
      <c r="W3853" t="s">
        <v>31046</v>
      </c>
      <c r="X3853" t="s">
        <v>32531</v>
      </c>
    </row>
    <row r="3854" spans="1:24">
      <c r="A3854">
        <f>HYPERLINK("https://www.philgeps.gov.ph/GEPSNONPILOT/Tender/SplashBidNoticeAbstractUI.aspx?menuIndex=3&amp;refID=7041785&amp;Result=3","7041785")</f>
        <v>0</v>
      </c>
      <c r="B3854" t="s">
        <v>1389</v>
      </c>
      <c r="C3854" t="s">
        <v>6364</v>
      </c>
      <c r="D3854" t="s">
        <v>13019</v>
      </c>
      <c r="E3854" t="s">
        <v>16535</v>
      </c>
      <c r="F3854" t="s">
        <v>22436</v>
      </c>
      <c r="G3854" t="s">
        <v>22444</v>
      </c>
      <c r="H3854" t="s">
        <v>22452</v>
      </c>
      <c r="I3854" t="s">
        <v>22463</v>
      </c>
      <c r="J3854" t="s">
        <v>22809</v>
      </c>
      <c r="K3854" t="s">
        <v>29336</v>
      </c>
      <c r="M3854" t="s">
        <v>31047</v>
      </c>
      <c r="N3854" t="s">
        <v>32524</v>
      </c>
      <c r="O3854" t="s">
        <v>32525</v>
      </c>
      <c r="P3854">
        <v>0</v>
      </c>
      <c r="Q3854">
        <v>1</v>
      </c>
      <c r="R3854" t="s">
        <v>32530</v>
      </c>
      <c r="S3854" t="s">
        <v>32568</v>
      </c>
      <c r="T3854" t="s">
        <v>33253</v>
      </c>
      <c r="U3854" t="s">
        <v>36908</v>
      </c>
      <c r="W3854" t="s">
        <v>31047</v>
      </c>
      <c r="X3854" t="s">
        <v>32531</v>
      </c>
    </row>
    <row r="3855" spans="1:24">
      <c r="A3855">
        <f>HYPERLINK("https://www.philgeps.gov.ph/GEPSNONPILOT/Tender/SplashBidNoticeAbstractUI.aspx?menuIndex=3&amp;refID=7041776&amp;Result=3","7041776")</f>
        <v>0</v>
      </c>
      <c r="B3855" t="s">
        <v>1121</v>
      </c>
      <c r="C3855" t="s">
        <v>6365</v>
      </c>
      <c r="D3855" t="s">
        <v>13038</v>
      </c>
      <c r="E3855" t="s">
        <v>16536</v>
      </c>
      <c r="F3855" t="s">
        <v>22436</v>
      </c>
      <c r="G3855" t="s">
        <v>22443</v>
      </c>
      <c r="H3855" t="s">
        <v>22452</v>
      </c>
      <c r="I3855" t="s">
        <v>22489</v>
      </c>
      <c r="J3855" t="s">
        <v>25165</v>
      </c>
      <c r="K3855" t="s">
        <v>29329</v>
      </c>
      <c r="M3855" t="s">
        <v>30759</v>
      </c>
      <c r="N3855" t="s">
        <v>32524</v>
      </c>
      <c r="O3855" t="s">
        <v>32525</v>
      </c>
      <c r="P3855">
        <v>0</v>
      </c>
      <c r="Q3855">
        <v>3</v>
      </c>
      <c r="R3855" t="s">
        <v>32530</v>
      </c>
      <c r="S3855" t="s">
        <v>32568</v>
      </c>
      <c r="T3855" t="s">
        <v>33310</v>
      </c>
      <c r="U3855" t="s">
        <v>36909</v>
      </c>
      <c r="W3855" t="s">
        <v>30759</v>
      </c>
      <c r="X3855" t="s">
        <v>32531</v>
      </c>
    </row>
    <row r="3856" spans="1:24">
      <c r="A3856">
        <f>HYPERLINK("https://www.philgeps.gov.ph/GEPSNONPILOT/Tender/SplashBidNoticeAbstractUI.aspx?menuIndex=3&amp;refID=7041784&amp;Result=3","7041784")</f>
        <v>0</v>
      </c>
      <c r="B3856" t="s">
        <v>1295</v>
      </c>
      <c r="C3856" t="s">
        <v>6366</v>
      </c>
      <c r="D3856" t="s">
        <v>13041</v>
      </c>
      <c r="E3856" t="s">
        <v>16537</v>
      </c>
      <c r="F3856" t="s">
        <v>22436</v>
      </c>
      <c r="G3856" t="s">
        <v>22446</v>
      </c>
      <c r="H3856" t="s">
        <v>22452</v>
      </c>
      <c r="I3856" t="s">
        <v>22463</v>
      </c>
      <c r="J3856" t="s">
        <v>25166</v>
      </c>
      <c r="K3856" t="s">
        <v>29341</v>
      </c>
      <c r="M3856" t="s">
        <v>30949</v>
      </c>
      <c r="N3856" t="s">
        <v>32524</v>
      </c>
      <c r="O3856" t="s">
        <v>32525</v>
      </c>
      <c r="P3856">
        <v>0</v>
      </c>
      <c r="Q3856">
        <v>1</v>
      </c>
      <c r="R3856" t="s">
        <v>32530</v>
      </c>
      <c r="S3856" t="s">
        <v>32568</v>
      </c>
      <c r="T3856" t="s">
        <v>33181</v>
      </c>
      <c r="U3856" t="s">
        <v>36910</v>
      </c>
      <c r="V3856" t="s">
        <v>42824</v>
      </c>
      <c r="W3856" t="s">
        <v>30949</v>
      </c>
      <c r="X3856" t="s">
        <v>32531</v>
      </c>
    </row>
    <row r="3857" spans="1:24">
      <c r="A3857">
        <f>HYPERLINK("https://www.philgeps.gov.ph/GEPSNONPILOT/Tender/SplashBidNoticeAbstractUI.aspx?menuIndex=3&amp;refID=7041795&amp;Result=3","7041795")</f>
        <v>0</v>
      </c>
      <c r="B3857" t="s">
        <v>1386</v>
      </c>
      <c r="C3857" t="s">
        <v>6367</v>
      </c>
      <c r="D3857" t="s">
        <v>13037</v>
      </c>
      <c r="E3857" t="s">
        <v>16538</v>
      </c>
      <c r="F3857" t="s">
        <v>22436</v>
      </c>
      <c r="G3857" t="s">
        <v>22444</v>
      </c>
      <c r="H3857" t="s">
        <v>22454</v>
      </c>
      <c r="I3857" t="s">
        <v>7738</v>
      </c>
      <c r="J3857" t="s">
        <v>22960</v>
      </c>
      <c r="K3857" t="s">
        <v>29334</v>
      </c>
      <c r="M3857" t="s">
        <v>31044</v>
      </c>
      <c r="N3857" t="s">
        <v>32524</v>
      </c>
      <c r="O3857" t="s">
        <v>32525</v>
      </c>
      <c r="P3857">
        <v>0</v>
      </c>
      <c r="Q3857">
        <v>0</v>
      </c>
      <c r="R3857" t="s">
        <v>32530</v>
      </c>
      <c r="S3857" t="s">
        <v>32568</v>
      </c>
      <c r="T3857" t="s">
        <v>33433</v>
      </c>
      <c r="U3857" t="s">
        <v>36911</v>
      </c>
      <c r="W3857" t="s">
        <v>31044</v>
      </c>
      <c r="X3857" t="s">
        <v>32531</v>
      </c>
    </row>
    <row r="3858" spans="1:24">
      <c r="A3858">
        <f>HYPERLINK("https://www.philgeps.gov.ph/GEPSNONPILOT/Tender/SplashBidNoticeAbstractUI.aspx?menuIndex=3&amp;refID=7041788&amp;Result=3","7041788")</f>
        <v>0</v>
      </c>
      <c r="B3858" t="s">
        <v>1270</v>
      </c>
      <c r="C3858" t="s">
        <v>6368</v>
      </c>
      <c r="D3858" t="s">
        <v>13035</v>
      </c>
      <c r="E3858" t="s">
        <v>16539</v>
      </c>
      <c r="F3858" t="s">
        <v>22436</v>
      </c>
      <c r="G3858" t="s">
        <v>22444</v>
      </c>
      <c r="H3858" t="s">
        <v>22452</v>
      </c>
      <c r="I3858" t="s">
        <v>5194</v>
      </c>
      <c r="J3858" t="s">
        <v>25167</v>
      </c>
      <c r="K3858" t="s">
        <v>29331</v>
      </c>
      <c r="M3858" t="s">
        <v>30923</v>
      </c>
      <c r="N3858" t="s">
        <v>32524</v>
      </c>
      <c r="O3858" t="s">
        <v>32525</v>
      </c>
      <c r="P3858">
        <v>0</v>
      </c>
      <c r="Q3858">
        <v>0</v>
      </c>
      <c r="R3858" t="s">
        <v>32530</v>
      </c>
      <c r="S3858" t="s">
        <v>32568</v>
      </c>
      <c r="T3858" t="s">
        <v>33293</v>
      </c>
      <c r="U3858" t="s">
        <v>36912</v>
      </c>
      <c r="W3858" t="s">
        <v>30923</v>
      </c>
      <c r="X3858" t="s">
        <v>32531</v>
      </c>
    </row>
    <row r="3859" spans="1:24">
      <c r="A3859">
        <f>HYPERLINK("https://www.philgeps.gov.ph/GEPSNONPILOT/Tender/SplashBidNoticeAbstractUI.aspx?menuIndex=3&amp;refID=7041813&amp;Result=3","7041813")</f>
        <v>0</v>
      </c>
      <c r="B3859" t="s">
        <v>356</v>
      </c>
      <c r="C3859" t="s">
        <v>6369</v>
      </c>
      <c r="D3859" t="s">
        <v>12993</v>
      </c>
      <c r="E3859" t="s">
        <v>16540</v>
      </c>
      <c r="F3859" t="s">
        <v>22436</v>
      </c>
      <c r="G3859" t="s">
        <v>22443</v>
      </c>
      <c r="H3859" t="s">
        <v>22452</v>
      </c>
      <c r="I3859" t="s">
        <v>22503</v>
      </c>
      <c r="J3859" t="s">
        <v>23120</v>
      </c>
      <c r="K3859" t="s">
        <v>29336</v>
      </c>
      <c r="M3859" t="s">
        <v>30143</v>
      </c>
      <c r="N3859" t="s">
        <v>32524</v>
      </c>
      <c r="O3859" t="s">
        <v>32525</v>
      </c>
      <c r="P3859">
        <v>0</v>
      </c>
      <c r="Q3859">
        <v>2</v>
      </c>
      <c r="R3859" t="s">
        <v>32530</v>
      </c>
      <c r="S3859" t="s">
        <v>32568</v>
      </c>
      <c r="T3859" t="s">
        <v>33209</v>
      </c>
      <c r="U3859" t="s">
        <v>36913</v>
      </c>
      <c r="W3859" t="s">
        <v>30143</v>
      </c>
      <c r="X3859" t="s">
        <v>32531</v>
      </c>
    </row>
    <row r="3860" spans="1:24">
      <c r="A3860">
        <f>HYPERLINK("https://www.philgeps.gov.ph/GEPSNONPILOT/Tender/SplashBidNoticeAbstractUI.aspx?menuIndex=3&amp;refID=7041808&amp;Result=3","7041808")</f>
        <v>0</v>
      </c>
      <c r="B3860" t="s">
        <v>1370</v>
      </c>
      <c r="C3860" t="s">
        <v>6370</v>
      </c>
      <c r="D3860" t="s">
        <v>12988</v>
      </c>
      <c r="E3860" t="s">
        <v>16541</v>
      </c>
      <c r="F3860" t="s">
        <v>22436</v>
      </c>
      <c r="G3860" t="s">
        <v>22443</v>
      </c>
      <c r="H3860" t="s">
        <v>22452</v>
      </c>
      <c r="I3860" t="s">
        <v>22469</v>
      </c>
      <c r="J3860" t="s">
        <v>23467</v>
      </c>
      <c r="K3860" t="s">
        <v>29338</v>
      </c>
      <c r="M3860" t="s">
        <v>31026</v>
      </c>
      <c r="N3860" t="s">
        <v>32524</v>
      </c>
      <c r="O3860" t="s">
        <v>32525</v>
      </c>
      <c r="P3860">
        <v>0</v>
      </c>
      <c r="Q3860">
        <v>7</v>
      </c>
      <c r="R3860" t="s">
        <v>32530</v>
      </c>
      <c r="S3860" t="s">
        <v>32568</v>
      </c>
      <c r="T3860" t="s">
        <v>33169</v>
      </c>
      <c r="U3860" t="s">
        <v>36914</v>
      </c>
      <c r="W3860" t="s">
        <v>31026</v>
      </c>
      <c r="X3860" t="s">
        <v>32531</v>
      </c>
    </row>
    <row r="3861" spans="1:24">
      <c r="A3861">
        <f>HYPERLINK("https://www.philgeps.gov.ph/GEPSNONPILOT/Tender/SplashBidNoticeAbstractUI.aspx?menuIndex=3&amp;refID=7041807&amp;Result=3","7041807")</f>
        <v>0</v>
      </c>
      <c r="B3861" t="s">
        <v>1387</v>
      </c>
      <c r="C3861" t="s">
        <v>6371</v>
      </c>
      <c r="D3861" t="s">
        <v>13001</v>
      </c>
      <c r="E3861" t="s">
        <v>16542</v>
      </c>
      <c r="F3861" t="s">
        <v>22436</v>
      </c>
      <c r="G3861" t="s">
        <v>22444</v>
      </c>
      <c r="H3861" t="s">
        <v>22452</v>
      </c>
      <c r="I3861" t="s">
        <v>22494</v>
      </c>
      <c r="J3861" t="s">
        <v>25168</v>
      </c>
      <c r="K3861" t="s">
        <v>29341</v>
      </c>
      <c r="M3861" t="s">
        <v>31045</v>
      </c>
      <c r="N3861" t="s">
        <v>32524</v>
      </c>
      <c r="O3861" t="s">
        <v>32525</v>
      </c>
      <c r="P3861">
        <v>0</v>
      </c>
      <c r="Q3861">
        <v>2</v>
      </c>
      <c r="R3861" t="s">
        <v>32530</v>
      </c>
      <c r="S3861" t="s">
        <v>32568</v>
      </c>
      <c r="T3861" t="s">
        <v>33196</v>
      </c>
      <c r="U3861" t="s">
        <v>36915</v>
      </c>
      <c r="W3861" t="s">
        <v>43717</v>
      </c>
      <c r="X3861" t="s">
        <v>32531</v>
      </c>
    </row>
    <row r="3862" spans="1:24">
      <c r="A3862">
        <f>HYPERLINK("https://www.philgeps.gov.ph/GEPSNONPILOT/Tender/SplashBidNoticeAbstractUI.aspx?menuIndex=3&amp;refID=7041822&amp;Result=3","7041822")</f>
        <v>0</v>
      </c>
      <c r="B3862" t="s">
        <v>1389</v>
      </c>
      <c r="C3862" t="s">
        <v>4502</v>
      </c>
      <c r="D3862" t="s">
        <v>13019</v>
      </c>
      <c r="E3862" t="s">
        <v>16535</v>
      </c>
      <c r="F3862" t="s">
        <v>22436</v>
      </c>
      <c r="G3862" t="s">
        <v>22444</v>
      </c>
      <c r="H3862" t="s">
        <v>22452</v>
      </c>
      <c r="I3862" t="s">
        <v>22460</v>
      </c>
      <c r="J3862" t="s">
        <v>25169</v>
      </c>
      <c r="K3862" t="s">
        <v>29336</v>
      </c>
      <c r="M3862" t="s">
        <v>31047</v>
      </c>
      <c r="N3862" t="s">
        <v>32524</v>
      </c>
      <c r="O3862" t="s">
        <v>32525</v>
      </c>
      <c r="P3862">
        <v>0</v>
      </c>
      <c r="Q3862">
        <v>1</v>
      </c>
      <c r="R3862" t="s">
        <v>32530</v>
      </c>
      <c r="S3862" t="s">
        <v>32568</v>
      </c>
      <c r="T3862" t="s">
        <v>33212</v>
      </c>
      <c r="U3862" t="s">
        <v>36916</v>
      </c>
      <c r="W3862" t="s">
        <v>31047</v>
      </c>
      <c r="X3862" t="s">
        <v>32531</v>
      </c>
    </row>
    <row r="3863" spans="1:24">
      <c r="A3863">
        <f>HYPERLINK("https://www.philgeps.gov.ph/GEPSNONPILOT/Tender/SplashBidNoticeAbstractUI.aspx?menuIndex=3&amp;refID=7041805&amp;Result=3","7041805")</f>
        <v>0</v>
      </c>
      <c r="B3863" t="s">
        <v>627</v>
      </c>
      <c r="C3863" t="s">
        <v>6372</v>
      </c>
      <c r="D3863" t="s">
        <v>13041</v>
      </c>
      <c r="E3863" t="s">
        <v>13231</v>
      </c>
      <c r="F3863" t="s">
        <v>22436</v>
      </c>
      <c r="G3863" t="s">
        <v>22443</v>
      </c>
      <c r="H3863" t="s">
        <v>22452</v>
      </c>
      <c r="I3863" t="s">
        <v>3529</v>
      </c>
      <c r="J3863" t="s">
        <v>25170</v>
      </c>
      <c r="K3863" t="s">
        <v>29356</v>
      </c>
      <c r="M3863" t="s">
        <v>30218</v>
      </c>
      <c r="N3863" t="s">
        <v>32524</v>
      </c>
      <c r="O3863" t="s">
        <v>32525</v>
      </c>
      <c r="P3863">
        <v>0</v>
      </c>
      <c r="Q3863">
        <v>0</v>
      </c>
      <c r="R3863" t="s">
        <v>32530</v>
      </c>
      <c r="S3863" t="s">
        <v>32568</v>
      </c>
      <c r="T3863" t="s">
        <v>33209</v>
      </c>
      <c r="U3863" t="s">
        <v>36917</v>
      </c>
      <c r="W3863" t="s">
        <v>30218</v>
      </c>
      <c r="X3863" t="s">
        <v>32531</v>
      </c>
    </row>
    <row r="3864" spans="1:24">
      <c r="A3864">
        <f>HYPERLINK("https://www.philgeps.gov.ph/GEPSNONPILOT/Tender/SplashBidNoticeAbstractUI.aspx?menuIndex=3&amp;refID=7041814&amp;Result=3","7041814")</f>
        <v>0</v>
      </c>
      <c r="B3864" t="s">
        <v>1390</v>
      </c>
      <c r="C3864" t="s">
        <v>6373</v>
      </c>
      <c r="D3864" t="s">
        <v>13045</v>
      </c>
      <c r="E3864" t="s">
        <v>16543</v>
      </c>
      <c r="F3864" t="s">
        <v>22436</v>
      </c>
      <c r="G3864" t="s">
        <v>22443</v>
      </c>
      <c r="H3864" t="s">
        <v>22452</v>
      </c>
      <c r="I3864" t="s">
        <v>22463</v>
      </c>
      <c r="J3864" t="s">
        <v>22817</v>
      </c>
      <c r="K3864" t="s">
        <v>29331</v>
      </c>
      <c r="M3864" t="s">
        <v>31048</v>
      </c>
      <c r="N3864" t="s">
        <v>32524</v>
      </c>
      <c r="O3864" t="s">
        <v>32525</v>
      </c>
      <c r="P3864">
        <v>0</v>
      </c>
      <c r="Q3864">
        <v>5</v>
      </c>
      <c r="R3864" t="s">
        <v>32530</v>
      </c>
      <c r="S3864" t="s">
        <v>32568</v>
      </c>
      <c r="T3864" t="s">
        <v>33185</v>
      </c>
      <c r="U3864" t="s">
        <v>36918</v>
      </c>
      <c r="W3864" t="s">
        <v>31048</v>
      </c>
      <c r="X3864" t="s">
        <v>32531</v>
      </c>
    </row>
    <row r="3865" spans="1:24">
      <c r="A3865">
        <f>HYPERLINK("https://www.philgeps.gov.ph/GEPSNONPILOT/Tender/SplashBidNoticeAbstractUI.aspx?menuIndex=3&amp;refID=7041809&amp;Result=3","7041809")</f>
        <v>0</v>
      </c>
      <c r="B3865" t="s">
        <v>1379</v>
      </c>
      <c r="C3865" t="s">
        <v>6374</v>
      </c>
      <c r="D3865" t="s">
        <v>13010</v>
      </c>
      <c r="E3865" t="s">
        <v>16544</v>
      </c>
      <c r="F3865" t="s">
        <v>22436</v>
      </c>
      <c r="G3865" t="s">
        <v>22444</v>
      </c>
      <c r="H3865" t="s">
        <v>22454</v>
      </c>
      <c r="I3865" t="s">
        <v>7738</v>
      </c>
      <c r="J3865" t="s">
        <v>25071</v>
      </c>
      <c r="K3865" t="s">
        <v>29345</v>
      </c>
      <c r="M3865" t="s">
        <v>31035</v>
      </c>
      <c r="N3865" t="s">
        <v>32524</v>
      </c>
      <c r="O3865" t="s">
        <v>32525</v>
      </c>
      <c r="P3865">
        <v>0</v>
      </c>
      <c r="Q3865">
        <v>1</v>
      </c>
      <c r="R3865" t="s">
        <v>32530</v>
      </c>
      <c r="S3865" t="s">
        <v>32568</v>
      </c>
      <c r="T3865" t="s">
        <v>33242</v>
      </c>
      <c r="U3865" t="s">
        <v>36886</v>
      </c>
      <c r="W3865" t="s">
        <v>31035</v>
      </c>
      <c r="X3865" t="s">
        <v>32531</v>
      </c>
    </row>
    <row r="3866" spans="1:24">
      <c r="A3866">
        <f>HYPERLINK("https://www.philgeps.gov.ph/GEPSNONPILOT/Tender/SplashBidNoticeAbstractUI.aspx?menuIndex=3&amp;refID=7041837&amp;Result=3","7041837")</f>
        <v>0</v>
      </c>
      <c r="B3866" t="s">
        <v>1391</v>
      </c>
      <c r="C3866" t="s">
        <v>6375</v>
      </c>
      <c r="D3866" t="s">
        <v>13040</v>
      </c>
      <c r="E3866" t="s">
        <v>16545</v>
      </c>
      <c r="F3866" t="s">
        <v>22436</v>
      </c>
      <c r="G3866" t="s">
        <v>22444</v>
      </c>
      <c r="H3866" t="s">
        <v>22452</v>
      </c>
      <c r="I3866" t="s">
        <v>3529</v>
      </c>
      <c r="J3866" t="s">
        <v>25171</v>
      </c>
      <c r="K3866" t="s">
        <v>29338</v>
      </c>
      <c r="L3866" t="s">
        <v>1391</v>
      </c>
      <c r="M3866" t="s">
        <v>31049</v>
      </c>
      <c r="N3866" t="s">
        <v>32524</v>
      </c>
      <c r="O3866" t="s">
        <v>32525</v>
      </c>
      <c r="P3866">
        <v>0</v>
      </c>
      <c r="Q3866">
        <v>0</v>
      </c>
      <c r="R3866" t="s">
        <v>32530</v>
      </c>
      <c r="S3866" t="s">
        <v>32568</v>
      </c>
      <c r="T3866" t="s">
        <v>33167</v>
      </c>
      <c r="U3866" t="s">
        <v>36919</v>
      </c>
      <c r="W3866" t="s">
        <v>31049</v>
      </c>
      <c r="X3866" t="s">
        <v>32531</v>
      </c>
    </row>
    <row r="3867" spans="1:24">
      <c r="A3867">
        <f>HYPERLINK("https://www.philgeps.gov.ph/GEPSNONPILOT/Tender/SplashBidNoticeAbstractUI.aspx?menuIndex=3&amp;refID=7041798&amp;Result=3","7041798")</f>
        <v>0</v>
      </c>
      <c r="B3867" t="s">
        <v>1392</v>
      </c>
      <c r="C3867" t="s">
        <v>6376</v>
      </c>
      <c r="D3867" t="s">
        <v>12994</v>
      </c>
      <c r="E3867" t="s">
        <v>16546</v>
      </c>
      <c r="F3867" t="s">
        <v>22436</v>
      </c>
      <c r="G3867" t="s">
        <v>22444</v>
      </c>
      <c r="H3867" t="s">
        <v>22454</v>
      </c>
      <c r="I3867" t="s">
        <v>7738</v>
      </c>
      <c r="J3867" t="s">
        <v>22788</v>
      </c>
      <c r="K3867" t="s">
        <v>29335</v>
      </c>
      <c r="M3867" t="s">
        <v>31050</v>
      </c>
      <c r="N3867" t="s">
        <v>32524</v>
      </c>
      <c r="O3867" t="s">
        <v>32525</v>
      </c>
      <c r="P3867">
        <v>0</v>
      </c>
      <c r="Q3867">
        <v>18</v>
      </c>
      <c r="R3867" t="s">
        <v>32530</v>
      </c>
      <c r="S3867" t="s">
        <v>32568</v>
      </c>
      <c r="T3867" t="s">
        <v>33237</v>
      </c>
      <c r="U3867" t="s">
        <v>36920</v>
      </c>
      <c r="V3867" t="s">
        <v>42827</v>
      </c>
      <c r="W3867" t="s">
        <v>31050</v>
      </c>
      <c r="X3867" t="s">
        <v>32531</v>
      </c>
    </row>
    <row r="3868" spans="1:24">
      <c r="A3868">
        <f>HYPERLINK("https://www.philgeps.gov.ph/GEPSNONPILOT/Tender/SplashBidNoticeAbstractUI.aspx?menuIndex=3&amp;refID=7041811&amp;Result=3","7041811")</f>
        <v>0</v>
      </c>
      <c r="B3868" t="s">
        <v>1389</v>
      </c>
      <c r="C3868" t="s">
        <v>6377</v>
      </c>
      <c r="D3868" t="s">
        <v>13019</v>
      </c>
      <c r="E3868" t="s">
        <v>16535</v>
      </c>
      <c r="F3868" t="s">
        <v>22436</v>
      </c>
      <c r="G3868" t="s">
        <v>22446</v>
      </c>
      <c r="H3868" t="s">
        <v>22452</v>
      </c>
      <c r="I3868" t="s">
        <v>22461</v>
      </c>
      <c r="J3868" t="s">
        <v>25172</v>
      </c>
      <c r="K3868" t="s">
        <v>29336</v>
      </c>
      <c r="M3868" t="s">
        <v>31047</v>
      </c>
      <c r="N3868" t="s">
        <v>32524</v>
      </c>
      <c r="O3868" t="s">
        <v>32525</v>
      </c>
      <c r="P3868">
        <v>0</v>
      </c>
      <c r="Q3868">
        <v>2</v>
      </c>
      <c r="R3868" t="s">
        <v>32530</v>
      </c>
      <c r="S3868" t="s">
        <v>32568</v>
      </c>
      <c r="T3868" t="s">
        <v>33161</v>
      </c>
      <c r="U3868" t="s">
        <v>36921</v>
      </c>
      <c r="W3868" t="s">
        <v>31047</v>
      </c>
      <c r="X3868" t="s">
        <v>32531</v>
      </c>
    </row>
    <row r="3869" spans="1:24">
      <c r="A3869">
        <f>HYPERLINK("https://www.philgeps.gov.ph/GEPSNONPILOT/Tender/SplashBidNoticeAbstractUI.aspx?menuIndex=3&amp;refID=7041833&amp;Result=3","7041833")</f>
        <v>0</v>
      </c>
      <c r="B3869" t="s">
        <v>1392</v>
      </c>
      <c r="C3869" t="s">
        <v>6376</v>
      </c>
      <c r="D3869" t="s">
        <v>12994</v>
      </c>
      <c r="E3869" t="s">
        <v>16547</v>
      </c>
      <c r="F3869" t="s">
        <v>22436</v>
      </c>
      <c r="G3869" t="s">
        <v>22444</v>
      </c>
      <c r="H3869" t="s">
        <v>22454</v>
      </c>
      <c r="I3869" t="s">
        <v>7738</v>
      </c>
      <c r="J3869" t="s">
        <v>25173</v>
      </c>
      <c r="K3869" t="s">
        <v>29450</v>
      </c>
      <c r="M3869" t="s">
        <v>31050</v>
      </c>
      <c r="N3869" t="s">
        <v>32524</v>
      </c>
      <c r="O3869" t="s">
        <v>32525</v>
      </c>
      <c r="P3869">
        <v>0</v>
      </c>
      <c r="Q3869">
        <v>36</v>
      </c>
      <c r="R3869" t="s">
        <v>32530</v>
      </c>
      <c r="S3869" t="s">
        <v>32568</v>
      </c>
      <c r="T3869" t="s">
        <v>33237</v>
      </c>
      <c r="U3869" t="s">
        <v>36922</v>
      </c>
      <c r="V3869" t="s">
        <v>42827</v>
      </c>
      <c r="W3869" t="s">
        <v>31050</v>
      </c>
      <c r="X3869" t="s">
        <v>32531</v>
      </c>
    </row>
    <row r="3870" spans="1:24">
      <c r="A3870">
        <f>HYPERLINK("https://www.philgeps.gov.ph/GEPSNONPILOT/Tender/SplashBidNoticeAbstractUI.aspx?menuIndex=3&amp;refID=7041802&amp;Result=3","7041802")</f>
        <v>0</v>
      </c>
      <c r="B3870" t="s">
        <v>1027</v>
      </c>
      <c r="C3870" t="s">
        <v>6378</v>
      </c>
      <c r="D3870" t="s">
        <v>13039</v>
      </c>
      <c r="E3870" t="s">
        <v>16548</v>
      </c>
      <c r="F3870" t="s">
        <v>22436</v>
      </c>
      <c r="G3870" t="s">
        <v>22443</v>
      </c>
      <c r="H3870" t="s">
        <v>22452</v>
      </c>
      <c r="I3870" t="s">
        <v>22460</v>
      </c>
      <c r="J3870" t="s">
        <v>25174</v>
      </c>
      <c r="K3870" t="s">
        <v>29335</v>
      </c>
      <c r="M3870" t="s">
        <v>30656</v>
      </c>
      <c r="N3870" t="s">
        <v>32524</v>
      </c>
      <c r="O3870" t="s">
        <v>32525</v>
      </c>
      <c r="P3870">
        <v>0</v>
      </c>
      <c r="Q3870">
        <v>0</v>
      </c>
      <c r="R3870" t="s">
        <v>32530</v>
      </c>
      <c r="S3870" t="s">
        <v>32568</v>
      </c>
      <c r="T3870" t="s">
        <v>33372</v>
      </c>
      <c r="U3870" t="s">
        <v>36923</v>
      </c>
      <c r="W3870" t="s">
        <v>30656</v>
      </c>
      <c r="X3870" t="s">
        <v>32531</v>
      </c>
    </row>
    <row r="3871" spans="1:24">
      <c r="A3871">
        <f>HYPERLINK("https://www.philgeps.gov.ph/GEPSNONPILOT/Tender/SplashBidNoticeAbstractUI.aspx?menuIndex=3&amp;refID=7041836&amp;Result=3","7041836")</f>
        <v>0</v>
      </c>
      <c r="B3871" t="s">
        <v>1393</v>
      </c>
      <c r="C3871" t="s">
        <v>6379</v>
      </c>
      <c r="D3871" t="s">
        <v>12988</v>
      </c>
      <c r="E3871" t="s">
        <v>16549</v>
      </c>
      <c r="F3871" t="s">
        <v>22436</v>
      </c>
      <c r="G3871" t="s">
        <v>22444</v>
      </c>
      <c r="H3871" t="s">
        <v>22452</v>
      </c>
      <c r="I3871" t="s">
        <v>2981</v>
      </c>
      <c r="J3871" t="s">
        <v>25175</v>
      </c>
      <c r="K3871" t="s">
        <v>29331</v>
      </c>
      <c r="M3871" t="s">
        <v>31051</v>
      </c>
      <c r="N3871" t="s">
        <v>32524</v>
      </c>
      <c r="O3871" t="s">
        <v>32525</v>
      </c>
      <c r="P3871">
        <v>0</v>
      </c>
      <c r="Q3871">
        <v>2</v>
      </c>
      <c r="R3871" t="s">
        <v>32530</v>
      </c>
      <c r="S3871" t="s">
        <v>32568</v>
      </c>
      <c r="T3871" t="s">
        <v>33196</v>
      </c>
      <c r="U3871" t="s">
        <v>36924</v>
      </c>
      <c r="W3871" t="s">
        <v>31051</v>
      </c>
      <c r="X3871" t="s">
        <v>32531</v>
      </c>
    </row>
    <row r="3872" spans="1:24">
      <c r="A3872">
        <f>HYPERLINK("https://www.philgeps.gov.ph/GEPSNONPILOT/Tender/SplashBidNoticeAbstractUI.aspx?menuIndex=3&amp;refID=7041841&amp;Result=3","7041841")</f>
        <v>0</v>
      </c>
      <c r="B3872" t="s">
        <v>633</v>
      </c>
      <c r="C3872" t="s">
        <v>6380</v>
      </c>
      <c r="D3872" t="s">
        <v>12988</v>
      </c>
      <c r="E3872" t="s">
        <v>16550</v>
      </c>
      <c r="F3872" t="s">
        <v>22436</v>
      </c>
      <c r="G3872" t="s">
        <v>22443</v>
      </c>
      <c r="H3872" t="s">
        <v>22452</v>
      </c>
      <c r="I3872" t="s">
        <v>22486</v>
      </c>
      <c r="J3872" t="s">
        <v>23030</v>
      </c>
      <c r="K3872" t="s">
        <v>29338</v>
      </c>
      <c r="M3872" t="s">
        <v>30224</v>
      </c>
      <c r="N3872" t="s">
        <v>32524</v>
      </c>
      <c r="O3872" t="s">
        <v>32525</v>
      </c>
      <c r="P3872">
        <v>0</v>
      </c>
      <c r="Q3872">
        <v>2</v>
      </c>
      <c r="R3872" t="s">
        <v>32530</v>
      </c>
      <c r="S3872" t="s">
        <v>32568</v>
      </c>
      <c r="T3872" t="s">
        <v>33351</v>
      </c>
      <c r="U3872" t="s">
        <v>34945</v>
      </c>
      <c r="W3872" t="s">
        <v>30224</v>
      </c>
      <c r="X3872" t="s">
        <v>32531</v>
      </c>
    </row>
    <row r="3873" spans="1:24">
      <c r="A3873">
        <f>HYPERLINK("https://www.philgeps.gov.ph/GEPSNONPILOT/Tender/SplashBidNoticeAbstractUI.aspx?menuIndex=3&amp;refID=7041828&amp;Result=3","7041828")</f>
        <v>0</v>
      </c>
      <c r="B3873" t="s">
        <v>1394</v>
      </c>
      <c r="C3873" t="s">
        <v>6381</v>
      </c>
      <c r="D3873" t="s">
        <v>12988</v>
      </c>
      <c r="E3873" t="s">
        <v>13559</v>
      </c>
      <c r="F3873" t="s">
        <v>22436</v>
      </c>
      <c r="G3873" t="s">
        <v>22443</v>
      </c>
      <c r="H3873" t="s">
        <v>22452</v>
      </c>
      <c r="I3873" t="s">
        <v>22456</v>
      </c>
      <c r="J3873" t="s">
        <v>24080</v>
      </c>
      <c r="K3873" t="s">
        <v>29335</v>
      </c>
      <c r="M3873" t="s">
        <v>31052</v>
      </c>
      <c r="N3873" t="s">
        <v>32524</v>
      </c>
      <c r="O3873" t="s">
        <v>32525</v>
      </c>
      <c r="P3873">
        <v>0</v>
      </c>
      <c r="Q3873">
        <v>3</v>
      </c>
      <c r="R3873" t="s">
        <v>32530</v>
      </c>
      <c r="S3873" t="s">
        <v>32568</v>
      </c>
      <c r="T3873" t="s">
        <v>33209</v>
      </c>
      <c r="U3873" t="s">
        <v>36925</v>
      </c>
      <c r="W3873" t="s">
        <v>31052</v>
      </c>
      <c r="X3873" t="s">
        <v>32531</v>
      </c>
    </row>
    <row r="3874" spans="1:24">
      <c r="A3874">
        <f>HYPERLINK("https://www.philgeps.gov.ph/GEPSNONPILOT/Tender/SplashBidNoticeAbstractUI.aspx?menuIndex=3&amp;refID=7041815&amp;Result=3","7041815")</f>
        <v>0</v>
      </c>
      <c r="B3874" t="s">
        <v>1395</v>
      </c>
      <c r="C3874" t="s">
        <v>6382</v>
      </c>
      <c r="D3874" t="s">
        <v>13049</v>
      </c>
      <c r="E3874" t="s">
        <v>16551</v>
      </c>
      <c r="F3874" t="s">
        <v>22436</v>
      </c>
      <c r="G3874" t="s">
        <v>22446</v>
      </c>
      <c r="H3874" t="s">
        <v>22452</v>
      </c>
      <c r="I3874" t="s">
        <v>22517</v>
      </c>
      <c r="J3874" t="s">
        <v>22605</v>
      </c>
      <c r="K3874" t="s">
        <v>29335</v>
      </c>
      <c r="M3874" t="s">
        <v>31053</v>
      </c>
      <c r="N3874" t="s">
        <v>32524</v>
      </c>
      <c r="O3874" t="s">
        <v>32525</v>
      </c>
      <c r="P3874">
        <v>0</v>
      </c>
      <c r="Q3874">
        <v>1</v>
      </c>
      <c r="R3874" t="s">
        <v>32530</v>
      </c>
      <c r="S3874" t="s">
        <v>32568</v>
      </c>
      <c r="T3874" t="s">
        <v>33197</v>
      </c>
      <c r="U3874" t="s">
        <v>36926</v>
      </c>
      <c r="W3874" t="s">
        <v>31053</v>
      </c>
      <c r="X3874" t="s">
        <v>32531</v>
      </c>
    </row>
    <row r="3875" spans="1:24">
      <c r="A3875">
        <f>HYPERLINK("https://www.philgeps.gov.ph/GEPSNONPILOT/Tender/SplashBidNoticeAbstractUI.aspx?menuIndex=3&amp;refID=7041799&amp;Result=3","7041799")</f>
        <v>0</v>
      </c>
      <c r="B3875" t="s">
        <v>1121</v>
      </c>
      <c r="C3875" t="s">
        <v>6383</v>
      </c>
      <c r="D3875" t="s">
        <v>13038</v>
      </c>
      <c r="E3875" t="s">
        <v>16552</v>
      </c>
      <c r="F3875" t="s">
        <v>22436</v>
      </c>
      <c r="G3875" t="s">
        <v>22443</v>
      </c>
      <c r="H3875" t="s">
        <v>22452</v>
      </c>
      <c r="I3875" t="s">
        <v>22502</v>
      </c>
      <c r="J3875" t="s">
        <v>23023</v>
      </c>
      <c r="K3875" t="s">
        <v>29335</v>
      </c>
      <c r="M3875" t="s">
        <v>30759</v>
      </c>
      <c r="N3875" t="s">
        <v>32524</v>
      </c>
      <c r="O3875" t="s">
        <v>32525</v>
      </c>
      <c r="P3875">
        <v>0</v>
      </c>
      <c r="Q3875">
        <v>2</v>
      </c>
      <c r="R3875" t="s">
        <v>32530</v>
      </c>
      <c r="S3875" t="s">
        <v>32568</v>
      </c>
      <c r="T3875" t="s">
        <v>33310</v>
      </c>
      <c r="U3875" t="s">
        <v>36927</v>
      </c>
      <c r="W3875" t="s">
        <v>30759</v>
      </c>
      <c r="X3875" t="s">
        <v>32531</v>
      </c>
    </row>
    <row r="3876" spans="1:24">
      <c r="A3876">
        <f>HYPERLINK("https://www.philgeps.gov.ph/GEPSNONPILOT/Tender/SplashBidNoticeAbstractUI.aspx?menuIndex=3&amp;refID=7041825&amp;Result=3","7041825")</f>
        <v>0</v>
      </c>
      <c r="B3876" t="s">
        <v>1396</v>
      </c>
      <c r="C3876" t="s">
        <v>6384</v>
      </c>
      <c r="D3876" t="s">
        <v>12988</v>
      </c>
      <c r="E3876" t="s">
        <v>16553</v>
      </c>
      <c r="F3876" t="s">
        <v>22436</v>
      </c>
      <c r="G3876" t="s">
        <v>22444</v>
      </c>
      <c r="H3876" t="s">
        <v>22452</v>
      </c>
      <c r="I3876" t="s">
        <v>2981</v>
      </c>
      <c r="J3876" t="s">
        <v>25176</v>
      </c>
      <c r="K3876" t="s">
        <v>29331</v>
      </c>
      <c r="M3876" t="s">
        <v>31054</v>
      </c>
      <c r="N3876" t="s">
        <v>32524</v>
      </c>
      <c r="O3876" t="s">
        <v>32525</v>
      </c>
      <c r="P3876">
        <v>0</v>
      </c>
      <c r="Q3876">
        <v>2</v>
      </c>
      <c r="R3876" t="s">
        <v>32530</v>
      </c>
      <c r="S3876" t="s">
        <v>32568</v>
      </c>
      <c r="T3876" t="s">
        <v>33196</v>
      </c>
      <c r="U3876" t="s">
        <v>36928</v>
      </c>
      <c r="W3876" t="s">
        <v>31054</v>
      </c>
      <c r="X3876" t="s">
        <v>32531</v>
      </c>
    </row>
    <row r="3877" spans="1:24">
      <c r="A3877">
        <f>HYPERLINK("https://www.philgeps.gov.ph/GEPSNONPILOT/Tender/SplashBidNoticeAbstractUI.aspx?menuIndex=3&amp;refID=7041840&amp;Result=3","7041840")</f>
        <v>0</v>
      </c>
      <c r="B3877" t="s">
        <v>1397</v>
      </c>
      <c r="C3877" t="s">
        <v>6385</v>
      </c>
      <c r="D3877" t="s">
        <v>12990</v>
      </c>
      <c r="E3877" t="s">
        <v>16554</v>
      </c>
      <c r="F3877" t="s">
        <v>22436</v>
      </c>
      <c r="G3877" t="s">
        <v>22444</v>
      </c>
      <c r="H3877" t="s">
        <v>22452</v>
      </c>
      <c r="I3877" t="s">
        <v>6421</v>
      </c>
      <c r="J3877" t="s">
        <v>22674</v>
      </c>
      <c r="K3877" t="s">
        <v>29331</v>
      </c>
      <c r="M3877" t="s">
        <v>31055</v>
      </c>
      <c r="N3877" t="s">
        <v>32524</v>
      </c>
      <c r="O3877" t="s">
        <v>32525</v>
      </c>
      <c r="P3877">
        <v>0</v>
      </c>
      <c r="Q3877">
        <v>2</v>
      </c>
      <c r="R3877" t="s">
        <v>32530</v>
      </c>
      <c r="S3877" t="s">
        <v>32568</v>
      </c>
      <c r="T3877" t="s">
        <v>33197</v>
      </c>
      <c r="U3877" t="s">
        <v>36929</v>
      </c>
      <c r="W3877" t="s">
        <v>31055</v>
      </c>
      <c r="X3877" t="s">
        <v>32531</v>
      </c>
    </row>
    <row r="3878" spans="1:24">
      <c r="A3878">
        <f>HYPERLINK("https://www.philgeps.gov.ph/GEPSNONPILOT/Tender/SplashBidNoticeAbstractUI.aspx?menuIndex=3&amp;refID=7041842&amp;Result=3","7041842")</f>
        <v>0</v>
      </c>
      <c r="B3878" t="s">
        <v>161</v>
      </c>
      <c r="C3878" t="s">
        <v>6386</v>
      </c>
      <c r="D3878" t="s">
        <v>12988</v>
      </c>
      <c r="E3878" t="s">
        <v>16555</v>
      </c>
      <c r="F3878" t="s">
        <v>22436</v>
      </c>
      <c r="G3878" t="s">
        <v>22443</v>
      </c>
      <c r="H3878" t="s">
        <v>22452</v>
      </c>
      <c r="I3878" t="s">
        <v>3027</v>
      </c>
      <c r="J3878" t="s">
        <v>25177</v>
      </c>
      <c r="K3878" t="s">
        <v>29356</v>
      </c>
      <c r="M3878" t="s">
        <v>29733</v>
      </c>
      <c r="N3878" t="s">
        <v>32524</v>
      </c>
      <c r="O3878" t="s">
        <v>32525</v>
      </c>
      <c r="P3878">
        <v>0</v>
      </c>
      <c r="Q3878">
        <v>1</v>
      </c>
      <c r="R3878" t="s">
        <v>32530</v>
      </c>
      <c r="S3878" t="s">
        <v>32568</v>
      </c>
      <c r="T3878" t="s">
        <v>33238</v>
      </c>
      <c r="U3878" t="s">
        <v>36930</v>
      </c>
      <c r="W3878" t="s">
        <v>29733</v>
      </c>
      <c r="X3878" t="s">
        <v>32531</v>
      </c>
    </row>
    <row r="3879" spans="1:24">
      <c r="A3879">
        <f>HYPERLINK("https://www.philgeps.gov.ph/GEPSNONPILOT/Tender/SplashBidNoticeAbstractUI.aspx?menuIndex=3&amp;refID=7041847&amp;Result=3","7041847")</f>
        <v>0</v>
      </c>
      <c r="B3879" t="s">
        <v>1398</v>
      </c>
      <c r="C3879" t="s">
        <v>6387</v>
      </c>
      <c r="D3879" t="s">
        <v>13000</v>
      </c>
      <c r="E3879" t="s">
        <v>16556</v>
      </c>
      <c r="F3879" t="s">
        <v>22436</v>
      </c>
      <c r="G3879" t="s">
        <v>22444</v>
      </c>
      <c r="H3879" t="s">
        <v>22452</v>
      </c>
      <c r="I3879" t="s">
        <v>6387</v>
      </c>
      <c r="J3879" t="s">
        <v>22605</v>
      </c>
      <c r="K3879" t="s">
        <v>29336</v>
      </c>
      <c r="M3879" t="s">
        <v>31056</v>
      </c>
      <c r="N3879" t="s">
        <v>32524</v>
      </c>
      <c r="O3879" t="s">
        <v>32525</v>
      </c>
      <c r="P3879">
        <v>0</v>
      </c>
      <c r="Q3879">
        <v>1</v>
      </c>
      <c r="R3879" t="s">
        <v>32530</v>
      </c>
      <c r="S3879" t="s">
        <v>32568</v>
      </c>
      <c r="T3879" t="s">
        <v>33154</v>
      </c>
      <c r="U3879" t="s">
        <v>36931</v>
      </c>
      <c r="W3879" t="s">
        <v>31056</v>
      </c>
      <c r="X3879" t="s">
        <v>32531</v>
      </c>
    </row>
    <row r="3880" spans="1:24">
      <c r="A3880">
        <f>HYPERLINK("https://www.philgeps.gov.ph/GEPSNONPILOT/Tender/SplashBidNoticeAbstractUI.aspx?menuIndex=3&amp;refID=7041850&amp;Result=3","7041850")</f>
        <v>0</v>
      </c>
      <c r="B3880" t="s">
        <v>1121</v>
      </c>
      <c r="C3880" t="s">
        <v>6388</v>
      </c>
      <c r="D3880" t="s">
        <v>13038</v>
      </c>
      <c r="E3880" t="s">
        <v>16557</v>
      </c>
      <c r="F3880" t="s">
        <v>22436</v>
      </c>
      <c r="G3880" t="s">
        <v>22443</v>
      </c>
      <c r="H3880" t="s">
        <v>22452</v>
      </c>
      <c r="I3880" t="s">
        <v>7738</v>
      </c>
      <c r="J3880" t="s">
        <v>23288</v>
      </c>
      <c r="K3880" t="s">
        <v>29335</v>
      </c>
      <c r="M3880" t="s">
        <v>30759</v>
      </c>
      <c r="N3880" t="s">
        <v>32524</v>
      </c>
      <c r="O3880" t="s">
        <v>32525</v>
      </c>
      <c r="P3880">
        <v>0</v>
      </c>
      <c r="Q3880">
        <v>1</v>
      </c>
      <c r="R3880" t="s">
        <v>32530</v>
      </c>
      <c r="S3880" t="s">
        <v>32568</v>
      </c>
      <c r="T3880" t="s">
        <v>33310</v>
      </c>
      <c r="U3880" t="s">
        <v>36932</v>
      </c>
      <c r="W3880" t="s">
        <v>30759</v>
      </c>
      <c r="X3880" t="s">
        <v>32531</v>
      </c>
    </row>
    <row r="3881" spans="1:24">
      <c r="A3881">
        <f>HYPERLINK("https://www.philgeps.gov.ph/GEPSNONPILOT/Tender/SplashBidNoticeAbstractUI.aspx?menuIndex=3&amp;refID=7041849&amp;Result=3","7041849")</f>
        <v>0</v>
      </c>
      <c r="B3881" t="s">
        <v>1128</v>
      </c>
      <c r="C3881" t="s">
        <v>6389</v>
      </c>
      <c r="D3881" t="s">
        <v>12988</v>
      </c>
      <c r="E3881" t="s">
        <v>13335</v>
      </c>
      <c r="F3881" t="s">
        <v>22436</v>
      </c>
      <c r="G3881" t="s">
        <v>22443</v>
      </c>
      <c r="H3881" t="s">
        <v>22452</v>
      </c>
      <c r="I3881" t="s">
        <v>22469</v>
      </c>
      <c r="J3881" t="s">
        <v>22640</v>
      </c>
      <c r="K3881" t="s">
        <v>29336</v>
      </c>
      <c r="M3881" t="s">
        <v>31057</v>
      </c>
      <c r="N3881" t="s">
        <v>32524</v>
      </c>
      <c r="O3881" t="s">
        <v>32525</v>
      </c>
      <c r="P3881">
        <v>0</v>
      </c>
      <c r="Q3881">
        <v>1</v>
      </c>
      <c r="R3881" t="s">
        <v>32530</v>
      </c>
      <c r="S3881" t="s">
        <v>32568</v>
      </c>
      <c r="T3881" t="s">
        <v>33328</v>
      </c>
      <c r="U3881" t="s">
        <v>36933</v>
      </c>
      <c r="V3881" t="s">
        <v>42828</v>
      </c>
      <c r="W3881" t="s">
        <v>31057</v>
      </c>
      <c r="X3881" t="s">
        <v>32531</v>
      </c>
    </row>
    <row r="3882" spans="1:24">
      <c r="A3882">
        <f>HYPERLINK("https://www.philgeps.gov.ph/GEPSNONPILOT/Tender/SplashBidNoticeAbstractUI.aspx?menuIndex=3&amp;refID=7041880&amp;Result=3","7041880")</f>
        <v>0</v>
      </c>
      <c r="B3882" t="s">
        <v>349</v>
      </c>
      <c r="C3882" t="s">
        <v>6390</v>
      </c>
      <c r="D3882" t="s">
        <v>12994</v>
      </c>
      <c r="E3882" t="s">
        <v>16558</v>
      </c>
      <c r="F3882" t="s">
        <v>22436</v>
      </c>
      <c r="G3882" t="s">
        <v>22443</v>
      </c>
      <c r="H3882" t="s">
        <v>22452</v>
      </c>
      <c r="I3882" t="s">
        <v>22459</v>
      </c>
      <c r="J3882" t="s">
        <v>22704</v>
      </c>
      <c r="K3882" t="s">
        <v>29341</v>
      </c>
      <c r="M3882" t="s">
        <v>29926</v>
      </c>
      <c r="N3882" t="s">
        <v>32524</v>
      </c>
      <c r="O3882" t="s">
        <v>32525</v>
      </c>
      <c r="P3882">
        <v>0</v>
      </c>
      <c r="Q3882">
        <v>4</v>
      </c>
      <c r="R3882" t="s">
        <v>32530</v>
      </c>
      <c r="S3882" t="s">
        <v>32568</v>
      </c>
      <c r="T3882" t="s">
        <v>33159</v>
      </c>
      <c r="U3882" t="s">
        <v>36934</v>
      </c>
      <c r="W3882" t="s">
        <v>29926</v>
      </c>
      <c r="X3882" t="s">
        <v>32531</v>
      </c>
    </row>
    <row r="3883" spans="1:24">
      <c r="A3883">
        <f>HYPERLINK("https://www.philgeps.gov.ph/GEPSNONPILOT/Tender/SplashBidNoticeAbstractUI.aspx?menuIndex=3&amp;refID=7041874&amp;Result=3","7041874")</f>
        <v>0</v>
      </c>
      <c r="B3883" t="s">
        <v>161</v>
      </c>
      <c r="C3883" t="s">
        <v>6391</v>
      </c>
      <c r="D3883" t="s">
        <v>12988</v>
      </c>
      <c r="E3883" t="s">
        <v>16559</v>
      </c>
      <c r="F3883" t="s">
        <v>22436</v>
      </c>
      <c r="G3883" t="s">
        <v>22445</v>
      </c>
      <c r="H3883" t="s">
        <v>22452</v>
      </c>
      <c r="I3883" t="s">
        <v>22460</v>
      </c>
      <c r="J3883" t="s">
        <v>25178</v>
      </c>
      <c r="K3883" t="s">
        <v>29341</v>
      </c>
      <c r="M3883" t="s">
        <v>29733</v>
      </c>
      <c r="N3883" t="s">
        <v>32524</v>
      </c>
      <c r="O3883" t="s">
        <v>32525</v>
      </c>
      <c r="P3883">
        <v>0</v>
      </c>
      <c r="Q3883">
        <v>9</v>
      </c>
      <c r="R3883" t="s">
        <v>32530</v>
      </c>
      <c r="S3883" t="s">
        <v>32568</v>
      </c>
      <c r="T3883" t="s">
        <v>33238</v>
      </c>
      <c r="U3883" t="s">
        <v>36935</v>
      </c>
      <c r="W3883" t="s">
        <v>29733</v>
      </c>
      <c r="X3883" t="s">
        <v>32531</v>
      </c>
    </row>
    <row r="3884" spans="1:24">
      <c r="A3884">
        <f>HYPERLINK("https://www.philgeps.gov.ph/GEPSNONPILOT/Tender/SplashBidNoticeAbstractUI.aspx?menuIndex=3&amp;refID=7041848&amp;Result=3","7041848")</f>
        <v>0</v>
      </c>
      <c r="B3884" t="s">
        <v>1121</v>
      </c>
      <c r="C3884" t="s">
        <v>6392</v>
      </c>
      <c r="D3884" t="s">
        <v>13038</v>
      </c>
      <c r="E3884" t="s">
        <v>16560</v>
      </c>
      <c r="F3884" t="s">
        <v>22436</v>
      </c>
      <c r="G3884" t="s">
        <v>22443</v>
      </c>
      <c r="H3884" t="s">
        <v>22452</v>
      </c>
      <c r="I3884" t="s">
        <v>22502</v>
      </c>
      <c r="J3884" t="s">
        <v>25179</v>
      </c>
      <c r="K3884" t="s">
        <v>29335</v>
      </c>
      <c r="M3884" t="s">
        <v>30759</v>
      </c>
      <c r="N3884" t="s">
        <v>32524</v>
      </c>
      <c r="O3884" t="s">
        <v>32525</v>
      </c>
      <c r="P3884">
        <v>0</v>
      </c>
      <c r="Q3884">
        <v>7</v>
      </c>
      <c r="R3884" t="s">
        <v>32530</v>
      </c>
      <c r="S3884" t="s">
        <v>32568</v>
      </c>
      <c r="T3884" t="s">
        <v>33310</v>
      </c>
      <c r="U3884" t="s">
        <v>36936</v>
      </c>
      <c r="W3884" t="s">
        <v>30759</v>
      </c>
      <c r="X3884" t="s">
        <v>32531</v>
      </c>
    </row>
    <row r="3885" spans="1:24">
      <c r="A3885">
        <f>HYPERLINK("https://www.philgeps.gov.ph/GEPSNONPILOT/Tender/SplashBidNoticeAbstractUI.aspx?menuIndex=3&amp;refID=7041870&amp;Result=3","7041870")</f>
        <v>0</v>
      </c>
      <c r="B3885" t="s">
        <v>1378</v>
      </c>
      <c r="C3885" t="s">
        <v>6393</v>
      </c>
      <c r="D3885" t="s">
        <v>12988</v>
      </c>
      <c r="E3885" t="s">
        <v>16561</v>
      </c>
      <c r="F3885" t="s">
        <v>22436</v>
      </c>
      <c r="G3885" t="s">
        <v>22446</v>
      </c>
      <c r="H3885" t="s">
        <v>22453</v>
      </c>
      <c r="I3885" t="s">
        <v>22519</v>
      </c>
      <c r="J3885" t="s">
        <v>25180</v>
      </c>
      <c r="K3885" t="s">
        <v>29341</v>
      </c>
      <c r="M3885" t="s">
        <v>31034</v>
      </c>
      <c r="N3885" t="s">
        <v>32524</v>
      </c>
      <c r="O3885" t="s">
        <v>32525</v>
      </c>
      <c r="P3885">
        <v>0</v>
      </c>
      <c r="Q3885">
        <v>0</v>
      </c>
      <c r="R3885" t="s">
        <v>32530</v>
      </c>
      <c r="S3885" t="s">
        <v>32568</v>
      </c>
      <c r="T3885" t="s">
        <v>33419</v>
      </c>
      <c r="U3885" t="s">
        <v>36937</v>
      </c>
      <c r="W3885" t="s">
        <v>31034</v>
      </c>
      <c r="X3885" t="s">
        <v>32531</v>
      </c>
    </row>
    <row r="3886" spans="1:24">
      <c r="A3886">
        <f>HYPERLINK("https://www.philgeps.gov.ph/GEPSNONPILOT/Tender/SplashBidNoticeAbstractUI.aspx?menuIndex=3&amp;refID=7041868&amp;Result=3","7041868")</f>
        <v>0</v>
      </c>
      <c r="B3886" t="s">
        <v>349</v>
      </c>
      <c r="C3886" t="s">
        <v>6394</v>
      </c>
      <c r="D3886" t="s">
        <v>12994</v>
      </c>
      <c r="E3886" t="s">
        <v>16558</v>
      </c>
      <c r="F3886" t="s">
        <v>22436</v>
      </c>
      <c r="G3886" t="s">
        <v>22443</v>
      </c>
      <c r="H3886" t="s">
        <v>22452</v>
      </c>
      <c r="I3886" t="s">
        <v>22459</v>
      </c>
      <c r="J3886" t="s">
        <v>22616</v>
      </c>
      <c r="K3886" t="s">
        <v>29341</v>
      </c>
      <c r="M3886" t="s">
        <v>29926</v>
      </c>
      <c r="N3886" t="s">
        <v>32524</v>
      </c>
      <c r="O3886" t="s">
        <v>32525</v>
      </c>
      <c r="P3886">
        <v>0</v>
      </c>
      <c r="Q3886">
        <v>5</v>
      </c>
      <c r="R3886" t="s">
        <v>32530</v>
      </c>
      <c r="S3886" t="s">
        <v>32568</v>
      </c>
      <c r="T3886" t="s">
        <v>33159</v>
      </c>
      <c r="U3886" t="s">
        <v>36938</v>
      </c>
      <c r="W3886" t="s">
        <v>29926</v>
      </c>
      <c r="X3886" t="s">
        <v>32531</v>
      </c>
    </row>
    <row r="3887" spans="1:24">
      <c r="A3887">
        <f>HYPERLINK("https://www.philgeps.gov.ph/GEPSNONPILOT/Tender/SplashBidNoticeAbstractUI.aspx?menuIndex=3&amp;refID=7041854&amp;Result=3","7041854")</f>
        <v>0</v>
      </c>
      <c r="B3887" t="s">
        <v>1388</v>
      </c>
      <c r="C3887" t="s">
        <v>6395</v>
      </c>
      <c r="D3887" t="s">
        <v>13018</v>
      </c>
      <c r="E3887" t="s">
        <v>16562</v>
      </c>
      <c r="F3887" t="s">
        <v>22436</v>
      </c>
      <c r="G3887" t="s">
        <v>22444</v>
      </c>
      <c r="H3887" t="s">
        <v>22454</v>
      </c>
      <c r="I3887" t="s">
        <v>3027</v>
      </c>
      <c r="J3887" t="s">
        <v>22788</v>
      </c>
      <c r="K3887" t="s">
        <v>29335</v>
      </c>
      <c r="M3887" t="s">
        <v>31046</v>
      </c>
      <c r="N3887" t="s">
        <v>32524</v>
      </c>
      <c r="O3887" t="s">
        <v>32525</v>
      </c>
      <c r="P3887">
        <v>0</v>
      </c>
      <c r="Q3887">
        <v>0</v>
      </c>
      <c r="R3887" t="s">
        <v>32530</v>
      </c>
      <c r="S3887" t="s">
        <v>32568</v>
      </c>
      <c r="T3887" t="s">
        <v>33434</v>
      </c>
      <c r="U3887" t="s">
        <v>36907</v>
      </c>
      <c r="V3887" t="s">
        <v>42826</v>
      </c>
      <c r="W3887" t="s">
        <v>31046</v>
      </c>
      <c r="X3887" t="s">
        <v>32531</v>
      </c>
    </row>
    <row r="3888" spans="1:24">
      <c r="A3888">
        <f>HYPERLINK("https://www.philgeps.gov.ph/GEPSNONPILOT/Tender/SplashBidNoticeAbstractUI.aspx?menuIndex=3&amp;refID=7041860&amp;Result=3","7041860")</f>
        <v>0</v>
      </c>
      <c r="B3888" t="s">
        <v>1399</v>
      </c>
      <c r="C3888" t="s">
        <v>6396</v>
      </c>
      <c r="E3888" t="s">
        <v>16563</v>
      </c>
      <c r="F3888" t="s">
        <v>22436</v>
      </c>
      <c r="G3888" t="s">
        <v>22444</v>
      </c>
      <c r="H3888" t="s">
        <v>22452</v>
      </c>
      <c r="I3888" t="s">
        <v>6421</v>
      </c>
      <c r="J3888" t="s">
        <v>22616</v>
      </c>
      <c r="K3888" t="s">
        <v>29336</v>
      </c>
      <c r="M3888" t="s">
        <v>31058</v>
      </c>
      <c r="N3888" t="s">
        <v>32524</v>
      </c>
      <c r="O3888" t="s">
        <v>32525</v>
      </c>
      <c r="P3888">
        <v>0</v>
      </c>
      <c r="Q3888">
        <v>0</v>
      </c>
      <c r="R3888" t="s">
        <v>32530</v>
      </c>
      <c r="S3888" t="s">
        <v>32568</v>
      </c>
      <c r="T3888" t="s">
        <v>33154</v>
      </c>
      <c r="U3888" t="s">
        <v>36939</v>
      </c>
      <c r="W3888" t="s">
        <v>31058</v>
      </c>
      <c r="X3888" t="s">
        <v>32531</v>
      </c>
    </row>
    <row r="3889" spans="1:24">
      <c r="A3889">
        <f>HYPERLINK("https://www.philgeps.gov.ph/GEPSNONPILOT/Tender/SplashBidNoticeAbstractUI.aspx?menuIndex=3&amp;refID=7041879&amp;Result=3","7041879")</f>
        <v>0</v>
      </c>
      <c r="B3889" t="s">
        <v>1400</v>
      </c>
      <c r="C3889" t="s">
        <v>6397</v>
      </c>
      <c r="D3889" t="s">
        <v>12992</v>
      </c>
      <c r="E3889" t="s">
        <v>16564</v>
      </c>
      <c r="F3889" t="s">
        <v>22436</v>
      </c>
      <c r="G3889" t="s">
        <v>22444</v>
      </c>
      <c r="H3889" t="s">
        <v>22454</v>
      </c>
      <c r="I3889" t="s">
        <v>7738</v>
      </c>
      <c r="J3889" t="s">
        <v>23235</v>
      </c>
      <c r="K3889" t="s">
        <v>29342</v>
      </c>
      <c r="M3889" t="s">
        <v>31059</v>
      </c>
      <c r="N3889" t="s">
        <v>32524</v>
      </c>
      <c r="O3889" t="s">
        <v>32525</v>
      </c>
      <c r="P3889">
        <v>0</v>
      </c>
      <c r="Q3889">
        <v>0</v>
      </c>
      <c r="R3889" t="s">
        <v>32530</v>
      </c>
      <c r="S3889" t="s">
        <v>32568</v>
      </c>
      <c r="T3889" t="s">
        <v>33161</v>
      </c>
      <c r="U3889" t="s">
        <v>36940</v>
      </c>
      <c r="W3889" t="s">
        <v>31059</v>
      </c>
      <c r="X3889" t="s">
        <v>32531</v>
      </c>
    </row>
    <row r="3890" spans="1:24">
      <c r="A3890">
        <f>HYPERLINK("https://www.philgeps.gov.ph/GEPSNONPILOT/Tender/SplashBidNoticeAbstractUI.aspx?menuIndex=3&amp;refID=7041843&amp;Result=3","7041843")</f>
        <v>0</v>
      </c>
      <c r="B3890" t="s">
        <v>1378</v>
      </c>
      <c r="C3890" t="s">
        <v>6337</v>
      </c>
      <c r="D3890" t="s">
        <v>12988</v>
      </c>
      <c r="E3890" t="s">
        <v>16565</v>
      </c>
      <c r="F3890" t="s">
        <v>22436</v>
      </c>
      <c r="G3890" t="s">
        <v>22446</v>
      </c>
      <c r="H3890" t="s">
        <v>22453</v>
      </c>
      <c r="I3890" t="s">
        <v>22519</v>
      </c>
      <c r="J3890" t="s">
        <v>25181</v>
      </c>
      <c r="K3890" t="s">
        <v>29341</v>
      </c>
      <c r="M3890" t="s">
        <v>31034</v>
      </c>
      <c r="N3890" t="s">
        <v>32524</v>
      </c>
      <c r="O3890" t="s">
        <v>32525</v>
      </c>
      <c r="P3890">
        <v>0</v>
      </c>
      <c r="Q3890">
        <v>3</v>
      </c>
      <c r="R3890" t="s">
        <v>32530</v>
      </c>
      <c r="S3890" t="s">
        <v>32568</v>
      </c>
      <c r="T3890" t="s">
        <v>33419</v>
      </c>
      <c r="U3890" t="s">
        <v>36941</v>
      </c>
      <c r="W3890" t="s">
        <v>31034</v>
      </c>
      <c r="X3890" t="s">
        <v>32531</v>
      </c>
    </row>
    <row r="3891" spans="1:24">
      <c r="A3891">
        <f>HYPERLINK("https://www.philgeps.gov.ph/GEPSNONPILOT/Tender/SplashBidNoticeAbstractUI.aspx?menuIndex=3&amp;refID=7041867&amp;Result=3","7041867")</f>
        <v>0</v>
      </c>
      <c r="B3891" t="s">
        <v>1121</v>
      </c>
      <c r="C3891" t="s">
        <v>6398</v>
      </c>
      <c r="D3891" t="s">
        <v>13038</v>
      </c>
      <c r="E3891" t="s">
        <v>16566</v>
      </c>
      <c r="F3891" t="s">
        <v>22436</v>
      </c>
      <c r="G3891" t="s">
        <v>22443</v>
      </c>
      <c r="H3891" t="s">
        <v>22452</v>
      </c>
      <c r="I3891" t="s">
        <v>3827</v>
      </c>
      <c r="J3891" t="s">
        <v>22874</v>
      </c>
      <c r="K3891" t="s">
        <v>29335</v>
      </c>
      <c r="M3891" t="s">
        <v>30759</v>
      </c>
      <c r="N3891" t="s">
        <v>32524</v>
      </c>
      <c r="O3891" t="s">
        <v>32525</v>
      </c>
      <c r="P3891">
        <v>0</v>
      </c>
      <c r="Q3891">
        <v>2</v>
      </c>
      <c r="R3891" t="s">
        <v>32530</v>
      </c>
      <c r="S3891" t="s">
        <v>32568</v>
      </c>
      <c r="T3891" t="s">
        <v>33310</v>
      </c>
      <c r="U3891" t="s">
        <v>36942</v>
      </c>
      <c r="W3891" t="s">
        <v>30759</v>
      </c>
      <c r="X3891" t="s">
        <v>32531</v>
      </c>
    </row>
    <row r="3892" spans="1:24">
      <c r="A3892">
        <f>HYPERLINK("https://www.philgeps.gov.ph/GEPSNONPILOT/Tender/SplashBidNoticeAbstractUI.aspx?menuIndex=3&amp;refID=7041856&amp;Result=3","7041856")</f>
        <v>0</v>
      </c>
      <c r="B3892" t="s">
        <v>1121</v>
      </c>
      <c r="C3892" t="s">
        <v>6399</v>
      </c>
      <c r="D3892" t="s">
        <v>13038</v>
      </c>
      <c r="E3892" t="s">
        <v>16567</v>
      </c>
      <c r="F3892" t="s">
        <v>22436</v>
      </c>
      <c r="G3892" t="s">
        <v>22443</v>
      </c>
      <c r="H3892" t="s">
        <v>22452</v>
      </c>
      <c r="I3892" t="s">
        <v>2981</v>
      </c>
      <c r="J3892" t="s">
        <v>25182</v>
      </c>
      <c r="K3892" t="s">
        <v>29335</v>
      </c>
      <c r="M3892" t="s">
        <v>30759</v>
      </c>
      <c r="N3892" t="s">
        <v>32524</v>
      </c>
      <c r="O3892" t="s">
        <v>32525</v>
      </c>
      <c r="P3892">
        <v>0</v>
      </c>
      <c r="Q3892">
        <v>0</v>
      </c>
      <c r="R3892" t="s">
        <v>32530</v>
      </c>
      <c r="S3892" t="s">
        <v>32568</v>
      </c>
      <c r="T3892" t="s">
        <v>33310</v>
      </c>
      <c r="U3892" t="s">
        <v>36943</v>
      </c>
      <c r="W3892" t="s">
        <v>30759</v>
      </c>
      <c r="X3892" t="s">
        <v>32531</v>
      </c>
    </row>
    <row r="3893" spans="1:24">
      <c r="A3893">
        <f>HYPERLINK("https://www.philgeps.gov.ph/GEPSNONPILOT/Tender/SplashBidNoticeAbstractUI.aspx?menuIndex=3&amp;refID=7041852&amp;Result=3","7041852")</f>
        <v>0</v>
      </c>
      <c r="B3893" t="s">
        <v>1401</v>
      </c>
      <c r="C3893" t="s">
        <v>3728</v>
      </c>
      <c r="D3893" t="s">
        <v>12988</v>
      </c>
      <c r="E3893" t="s">
        <v>16568</v>
      </c>
      <c r="F3893" t="s">
        <v>22436</v>
      </c>
      <c r="G3893" t="s">
        <v>22444</v>
      </c>
      <c r="H3893" t="s">
        <v>22452</v>
      </c>
      <c r="I3893" t="s">
        <v>22460</v>
      </c>
      <c r="J3893" t="s">
        <v>22657</v>
      </c>
      <c r="K3893" t="s">
        <v>29336</v>
      </c>
      <c r="M3893" t="s">
        <v>31060</v>
      </c>
      <c r="N3893" t="s">
        <v>32524</v>
      </c>
      <c r="O3893" t="s">
        <v>32525</v>
      </c>
      <c r="P3893">
        <v>0</v>
      </c>
      <c r="Q3893">
        <v>1</v>
      </c>
      <c r="R3893" t="s">
        <v>32530</v>
      </c>
      <c r="S3893" t="s">
        <v>32568</v>
      </c>
      <c r="T3893" t="s">
        <v>33215</v>
      </c>
      <c r="U3893" t="s">
        <v>36944</v>
      </c>
      <c r="W3893" t="s">
        <v>31060</v>
      </c>
      <c r="X3893" t="s">
        <v>32531</v>
      </c>
    </row>
    <row r="3894" spans="1:24">
      <c r="A3894">
        <f>HYPERLINK("https://www.philgeps.gov.ph/GEPSNONPILOT/Tender/SplashBidNoticeAbstractUI.aspx?menuIndex=3&amp;refID=7041861&amp;Result=3","7041861")</f>
        <v>0</v>
      </c>
      <c r="B3894" t="s">
        <v>1378</v>
      </c>
      <c r="C3894" t="s">
        <v>6337</v>
      </c>
      <c r="D3894" t="s">
        <v>12988</v>
      </c>
      <c r="E3894" t="s">
        <v>16569</v>
      </c>
      <c r="F3894" t="s">
        <v>22436</v>
      </c>
      <c r="G3894" t="s">
        <v>22446</v>
      </c>
      <c r="H3894" t="s">
        <v>22453</v>
      </c>
      <c r="I3894" t="s">
        <v>22519</v>
      </c>
      <c r="J3894" t="s">
        <v>22794</v>
      </c>
      <c r="K3894" t="s">
        <v>29341</v>
      </c>
      <c r="M3894" t="s">
        <v>31034</v>
      </c>
      <c r="N3894" t="s">
        <v>32524</v>
      </c>
      <c r="O3894" t="s">
        <v>32525</v>
      </c>
      <c r="P3894">
        <v>0</v>
      </c>
      <c r="Q3894">
        <v>3</v>
      </c>
      <c r="R3894" t="s">
        <v>32530</v>
      </c>
      <c r="S3894" t="s">
        <v>32568</v>
      </c>
      <c r="T3894" t="s">
        <v>33419</v>
      </c>
      <c r="U3894" t="s">
        <v>36945</v>
      </c>
      <c r="W3894" t="s">
        <v>31034</v>
      </c>
      <c r="X3894" t="s">
        <v>32531</v>
      </c>
    </row>
    <row r="3895" spans="1:24">
      <c r="A3895">
        <f>HYPERLINK("https://www.philgeps.gov.ph/GEPSNONPILOT/Tender/SplashBidNoticeAbstractUI.aspx?menuIndex=3&amp;refID=7041921&amp;Result=3","7041921")</f>
        <v>0</v>
      </c>
      <c r="B3895" t="s">
        <v>1378</v>
      </c>
      <c r="C3895" t="s">
        <v>6393</v>
      </c>
      <c r="D3895" t="s">
        <v>12988</v>
      </c>
      <c r="E3895" t="s">
        <v>16570</v>
      </c>
      <c r="F3895" t="s">
        <v>22436</v>
      </c>
      <c r="G3895" t="s">
        <v>22446</v>
      </c>
      <c r="H3895" t="s">
        <v>22453</v>
      </c>
      <c r="I3895" t="s">
        <v>22519</v>
      </c>
      <c r="J3895" t="s">
        <v>25180</v>
      </c>
      <c r="K3895" t="s">
        <v>29341</v>
      </c>
      <c r="M3895" t="s">
        <v>31034</v>
      </c>
      <c r="N3895" t="s">
        <v>32524</v>
      </c>
      <c r="O3895" t="s">
        <v>32525</v>
      </c>
      <c r="P3895">
        <v>0</v>
      </c>
      <c r="Q3895">
        <v>1</v>
      </c>
      <c r="R3895" t="s">
        <v>32530</v>
      </c>
      <c r="S3895" t="s">
        <v>32568</v>
      </c>
      <c r="T3895" t="s">
        <v>33419</v>
      </c>
      <c r="U3895" t="s">
        <v>36946</v>
      </c>
      <c r="W3895" t="s">
        <v>31034</v>
      </c>
      <c r="X3895" t="s">
        <v>32531</v>
      </c>
    </row>
    <row r="3896" spans="1:24">
      <c r="A3896">
        <f>HYPERLINK("https://www.philgeps.gov.ph/GEPSNONPILOT/Tender/SplashBidNoticeAbstractUI.aspx?menuIndex=3&amp;refID=7041846&amp;Result=3","7041846")</f>
        <v>0</v>
      </c>
      <c r="B3896" t="s">
        <v>1388</v>
      </c>
      <c r="C3896" t="s">
        <v>6400</v>
      </c>
      <c r="D3896" t="s">
        <v>13018</v>
      </c>
      <c r="E3896" t="s">
        <v>16571</v>
      </c>
      <c r="F3896" t="s">
        <v>22436</v>
      </c>
      <c r="G3896" t="s">
        <v>22444</v>
      </c>
      <c r="H3896" t="s">
        <v>22452</v>
      </c>
      <c r="I3896" t="s">
        <v>3381</v>
      </c>
      <c r="J3896" t="s">
        <v>22893</v>
      </c>
      <c r="K3896" t="s">
        <v>29335</v>
      </c>
      <c r="M3896" t="s">
        <v>31046</v>
      </c>
      <c r="N3896" t="s">
        <v>32524</v>
      </c>
      <c r="O3896" t="s">
        <v>32525</v>
      </c>
      <c r="P3896">
        <v>0</v>
      </c>
      <c r="Q3896">
        <v>0</v>
      </c>
      <c r="R3896" t="s">
        <v>32530</v>
      </c>
      <c r="S3896" t="s">
        <v>32568</v>
      </c>
      <c r="T3896" t="s">
        <v>33434</v>
      </c>
      <c r="U3896" t="s">
        <v>36907</v>
      </c>
      <c r="V3896" t="s">
        <v>42826</v>
      </c>
      <c r="W3896" t="s">
        <v>31046</v>
      </c>
      <c r="X3896" t="s">
        <v>32531</v>
      </c>
    </row>
    <row r="3897" spans="1:24">
      <c r="A3897">
        <f>HYPERLINK("https://www.philgeps.gov.ph/GEPSNONPILOT/Tender/SplashBidNoticeAbstractUI.aspx?menuIndex=3&amp;refID=7041858&amp;Result=3","7041858")</f>
        <v>0</v>
      </c>
      <c r="B3897" t="s">
        <v>1291</v>
      </c>
      <c r="C3897" t="s">
        <v>6401</v>
      </c>
      <c r="D3897" t="s">
        <v>13026</v>
      </c>
      <c r="E3897" t="s">
        <v>16572</v>
      </c>
      <c r="F3897" t="s">
        <v>22436</v>
      </c>
      <c r="G3897" t="s">
        <v>22443</v>
      </c>
      <c r="H3897" t="s">
        <v>22452</v>
      </c>
      <c r="I3897" t="s">
        <v>22502</v>
      </c>
      <c r="J3897" t="s">
        <v>25183</v>
      </c>
      <c r="K3897" t="s">
        <v>29335</v>
      </c>
      <c r="M3897" t="s">
        <v>30945</v>
      </c>
      <c r="N3897" t="s">
        <v>32524</v>
      </c>
      <c r="O3897" t="s">
        <v>32525</v>
      </c>
      <c r="P3897">
        <v>0</v>
      </c>
      <c r="Q3897">
        <v>21</v>
      </c>
      <c r="R3897" t="s">
        <v>32530</v>
      </c>
      <c r="S3897" t="s">
        <v>32568</v>
      </c>
      <c r="T3897" t="s">
        <v>33169</v>
      </c>
      <c r="U3897" t="s">
        <v>36947</v>
      </c>
      <c r="W3897" t="s">
        <v>30945</v>
      </c>
      <c r="X3897" t="s">
        <v>32531</v>
      </c>
    </row>
    <row r="3898" spans="1:24">
      <c r="A3898">
        <f>HYPERLINK("https://www.philgeps.gov.ph/GEPSNONPILOT/Tender/SplashBidNoticeAbstractUI.aspx?menuIndex=3&amp;refID=7041907&amp;Result=3","7041907")</f>
        <v>0</v>
      </c>
      <c r="B3898" t="s">
        <v>1402</v>
      </c>
      <c r="C3898" t="s">
        <v>6402</v>
      </c>
      <c r="E3898" t="s">
        <v>13137</v>
      </c>
      <c r="F3898" t="s">
        <v>22436</v>
      </c>
      <c r="G3898" t="s">
        <v>22444</v>
      </c>
      <c r="H3898" t="s">
        <v>22454</v>
      </c>
      <c r="I3898" t="s">
        <v>7738</v>
      </c>
      <c r="J3898" t="s">
        <v>25184</v>
      </c>
      <c r="K3898" t="s">
        <v>29338</v>
      </c>
      <c r="M3898" t="s">
        <v>31061</v>
      </c>
      <c r="N3898" t="s">
        <v>32524</v>
      </c>
      <c r="O3898" t="s">
        <v>32525</v>
      </c>
      <c r="P3898">
        <v>0</v>
      </c>
      <c r="Q3898">
        <v>1</v>
      </c>
      <c r="R3898" t="s">
        <v>32530</v>
      </c>
      <c r="S3898" t="s">
        <v>32568</v>
      </c>
      <c r="T3898" t="s">
        <v>33422</v>
      </c>
      <c r="U3898" t="s">
        <v>36948</v>
      </c>
      <c r="W3898" t="s">
        <v>31061</v>
      </c>
      <c r="X3898" t="s">
        <v>32531</v>
      </c>
    </row>
    <row r="3899" spans="1:24">
      <c r="A3899">
        <f>HYPERLINK("https://www.philgeps.gov.ph/GEPSNONPILOT/Tender/SplashBidNoticeAbstractUI.aspx?menuIndex=3&amp;refID=7041872&amp;Result=3","7041872")</f>
        <v>0</v>
      </c>
      <c r="B3899" t="s">
        <v>1121</v>
      </c>
      <c r="C3899" t="s">
        <v>6403</v>
      </c>
      <c r="D3899" t="s">
        <v>13038</v>
      </c>
      <c r="E3899" t="s">
        <v>16573</v>
      </c>
      <c r="F3899" t="s">
        <v>22436</v>
      </c>
      <c r="G3899" t="s">
        <v>22443</v>
      </c>
      <c r="H3899" t="s">
        <v>22452</v>
      </c>
      <c r="I3899" t="s">
        <v>22461</v>
      </c>
      <c r="J3899" t="s">
        <v>25185</v>
      </c>
      <c r="K3899" t="s">
        <v>29335</v>
      </c>
      <c r="M3899" t="s">
        <v>30759</v>
      </c>
      <c r="N3899" t="s">
        <v>32524</v>
      </c>
      <c r="O3899" t="s">
        <v>32525</v>
      </c>
      <c r="P3899">
        <v>0</v>
      </c>
      <c r="Q3899">
        <v>0</v>
      </c>
      <c r="R3899" t="s">
        <v>32530</v>
      </c>
      <c r="S3899" t="s">
        <v>32568</v>
      </c>
      <c r="T3899" t="s">
        <v>33310</v>
      </c>
      <c r="U3899" t="s">
        <v>36949</v>
      </c>
      <c r="W3899" t="s">
        <v>30759</v>
      </c>
      <c r="X3899" t="s">
        <v>32531</v>
      </c>
    </row>
    <row r="3900" spans="1:24">
      <c r="A3900">
        <f>HYPERLINK("https://www.philgeps.gov.ph/GEPSNONPILOT/Tender/SplashBidNoticeAbstractUI.aspx?menuIndex=3&amp;refID=7041882&amp;Result=3","7041882")</f>
        <v>0</v>
      </c>
      <c r="B3900" t="s">
        <v>1392</v>
      </c>
      <c r="C3900" t="s">
        <v>6376</v>
      </c>
      <c r="D3900" t="s">
        <v>12994</v>
      </c>
      <c r="E3900" t="s">
        <v>16574</v>
      </c>
      <c r="F3900" t="s">
        <v>22436</v>
      </c>
      <c r="G3900" t="s">
        <v>22444</v>
      </c>
      <c r="H3900" t="s">
        <v>22454</v>
      </c>
      <c r="I3900" t="s">
        <v>7738</v>
      </c>
      <c r="J3900" t="s">
        <v>23093</v>
      </c>
      <c r="K3900" t="s">
        <v>29333</v>
      </c>
      <c r="M3900" t="s">
        <v>31050</v>
      </c>
      <c r="N3900" t="s">
        <v>32524</v>
      </c>
      <c r="O3900" t="s">
        <v>32525</v>
      </c>
      <c r="P3900">
        <v>0</v>
      </c>
      <c r="Q3900">
        <v>18</v>
      </c>
      <c r="R3900" t="s">
        <v>32530</v>
      </c>
      <c r="S3900" t="s">
        <v>32568</v>
      </c>
      <c r="T3900" t="s">
        <v>33237</v>
      </c>
      <c r="U3900" t="s">
        <v>36950</v>
      </c>
      <c r="V3900" t="s">
        <v>42827</v>
      </c>
      <c r="W3900" t="s">
        <v>31050</v>
      </c>
      <c r="X3900" t="s">
        <v>32531</v>
      </c>
    </row>
    <row r="3901" spans="1:24">
      <c r="A3901">
        <f>HYPERLINK("https://www.philgeps.gov.ph/GEPSNONPILOT/Tender/SplashBidNoticeAbstractUI.aspx?menuIndex=3&amp;refID=7041959&amp;Result=3","7041959")</f>
        <v>0</v>
      </c>
      <c r="B3901" t="s">
        <v>1403</v>
      </c>
      <c r="C3901" t="s">
        <v>6404</v>
      </c>
      <c r="D3901" t="s">
        <v>13007</v>
      </c>
      <c r="E3901" t="s">
        <v>16575</v>
      </c>
      <c r="F3901" t="s">
        <v>22436</v>
      </c>
      <c r="G3901" t="s">
        <v>22443</v>
      </c>
      <c r="H3901" t="s">
        <v>22452</v>
      </c>
      <c r="I3901" t="s">
        <v>22467</v>
      </c>
      <c r="J3901" t="s">
        <v>25186</v>
      </c>
      <c r="K3901" t="s">
        <v>29341</v>
      </c>
      <c r="M3901" t="s">
        <v>31062</v>
      </c>
      <c r="N3901" t="s">
        <v>32524</v>
      </c>
      <c r="O3901" t="s">
        <v>32525</v>
      </c>
      <c r="P3901">
        <v>0</v>
      </c>
      <c r="Q3901">
        <v>0</v>
      </c>
      <c r="R3901" t="s">
        <v>32530</v>
      </c>
      <c r="S3901" t="s">
        <v>32568</v>
      </c>
      <c r="T3901" t="s">
        <v>33435</v>
      </c>
      <c r="U3901" t="s">
        <v>36951</v>
      </c>
      <c r="W3901" t="s">
        <v>31062</v>
      </c>
      <c r="X3901" t="s">
        <v>32531</v>
      </c>
    </row>
    <row r="3902" spans="1:24">
      <c r="A3902">
        <f>HYPERLINK("https://www.philgeps.gov.ph/GEPSNONPILOT/Tender/SplashBidNoticeAbstractUI.aspx?menuIndex=3&amp;refID=7041940&amp;Result=3","7041940")</f>
        <v>0</v>
      </c>
      <c r="B3902" t="s">
        <v>1404</v>
      </c>
      <c r="C3902" t="s">
        <v>6405</v>
      </c>
      <c r="D3902" t="s">
        <v>13031</v>
      </c>
      <c r="E3902" t="s">
        <v>16576</v>
      </c>
      <c r="F3902" t="s">
        <v>22436</v>
      </c>
      <c r="G3902" t="s">
        <v>22445</v>
      </c>
      <c r="H3902" t="s">
        <v>22452</v>
      </c>
      <c r="I3902" t="s">
        <v>22463</v>
      </c>
      <c r="J3902" t="s">
        <v>25187</v>
      </c>
      <c r="K3902" t="s">
        <v>29331</v>
      </c>
      <c r="M3902" t="s">
        <v>31063</v>
      </c>
      <c r="N3902" t="s">
        <v>32524</v>
      </c>
      <c r="O3902" t="s">
        <v>32525</v>
      </c>
      <c r="P3902">
        <v>0</v>
      </c>
      <c r="Q3902">
        <v>21</v>
      </c>
      <c r="R3902" t="s">
        <v>32530</v>
      </c>
      <c r="S3902" t="s">
        <v>32568</v>
      </c>
      <c r="T3902" t="s">
        <v>33220</v>
      </c>
      <c r="U3902" t="s">
        <v>36952</v>
      </c>
      <c r="W3902" t="s">
        <v>43718</v>
      </c>
      <c r="X3902" t="s">
        <v>32531</v>
      </c>
    </row>
    <row r="3903" spans="1:24">
      <c r="A3903">
        <f>HYPERLINK("https://www.philgeps.gov.ph/GEPSNONPILOT/Tender/SplashBidNoticeAbstractUI.aspx?menuIndex=3&amp;refID=7041945&amp;Result=3","7041945")</f>
        <v>0</v>
      </c>
      <c r="B3903" t="s">
        <v>349</v>
      </c>
      <c r="C3903" t="s">
        <v>6406</v>
      </c>
      <c r="D3903" t="s">
        <v>12994</v>
      </c>
      <c r="E3903" t="s">
        <v>16577</v>
      </c>
      <c r="F3903" t="s">
        <v>22436</v>
      </c>
      <c r="G3903" t="s">
        <v>22443</v>
      </c>
      <c r="H3903" t="s">
        <v>22453</v>
      </c>
      <c r="I3903" t="s">
        <v>22486</v>
      </c>
      <c r="J3903" t="s">
        <v>22640</v>
      </c>
      <c r="K3903" t="s">
        <v>29341</v>
      </c>
      <c r="M3903" t="s">
        <v>29926</v>
      </c>
      <c r="N3903" t="s">
        <v>32524</v>
      </c>
      <c r="O3903" t="s">
        <v>32525</v>
      </c>
      <c r="P3903">
        <v>0</v>
      </c>
      <c r="Q3903">
        <v>5</v>
      </c>
      <c r="R3903" t="s">
        <v>32530</v>
      </c>
      <c r="S3903" t="s">
        <v>32568</v>
      </c>
      <c r="T3903" t="s">
        <v>33175</v>
      </c>
      <c r="U3903" t="s">
        <v>36953</v>
      </c>
      <c r="W3903" t="s">
        <v>29926</v>
      </c>
      <c r="X3903" t="s">
        <v>32531</v>
      </c>
    </row>
    <row r="3904" spans="1:24">
      <c r="A3904">
        <f>HYPERLINK("https://www.philgeps.gov.ph/GEPSNONPILOT/Tender/SplashBidNoticeAbstractUI.aspx?menuIndex=3&amp;refID=7041920&amp;Result=3","7041920")</f>
        <v>0</v>
      </c>
      <c r="B3904" t="s">
        <v>1405</v>
      </c>
      <c r="C3904" t="s">
        <v>6036</v>
      </c>
      <c r="D3904" t="s">
        <v>13033</v>
      </c>
      <c r="E3904" t="s">
        <v>16578</v>
      </c>
      <c r="F3904" t="s">
        <v>22436</v>
      </c>
      <c r="G3904" t="s">
        <v>22444</v>
      </c>
      <c r="H3904" t="s">
        <v>22454</v>
      </c>
      <c r="I3904" t="s">
        <v>7738</v>
      </c>
      <c r="J3904" t="s">
        <v>22788</v>
      </c>
      <c r="K3904" t="s">
        <v>29427</v>
      </c>
      <c r="M3904" t="s">
        <v>31064</v>
      </c>
      <c r="N3904" t="s">
        <v>32524</v>
      </c>
      <c r="O3904" t="s">
        <v>32525</v>
      </c>
      <c r="P3904">
        <v>0</v>
      </c>
      <c r="Q3904">
        <v>0</v>
      </c>
      <c r="R3904" t="s">
        <v>32530</v>
      </c>
      <c r="S3904" t="s">
        <v>32568</v>
      </c>
      <c r="T3904" t="s">
        <v>33167</v>
      </c>
      <c r="U3904" t="s">
        <v>36954</v>
      </c>
      <c r="W3904" t="s">
        <v>31064</v>
      </c>
      <c r="X3904" t="s">
        <v>32531</v>
      </c>
    </row>
    <row r="3905" spans="1:24">
      <c r="A3905">
        <f>HYPERLINK("https://www.philgeps.gov.ph/GEPSNONPILOT/Tender/SplashBidNoticeAbstractUI.aspx?menuIndex=3&amp;refID=7041933&amp;Result=3","7041933")</f>
        <v>0</v>
      </c>
      <c r="B3905" t="s">
        <v>627</v>
      </c>
      <c r="C3905" t="s">
        <v>6407</v>
      </c>
      <c r="D3905" t="s">
        <v>13041</v>
      </c>
      <c r="E3905" t="s">
        <v>13229</v>
      </c>
      <c r="F3905" t="s">
        <v>22436</v>
      </c>
      <c r="G3905" t="s">
        <v>22443</v>
      </c>
      <c r="H3905" t="s">
        <v>22452</v>
      </c>
      <c r="I3905" t="s">
        <v>3529</v>
      </c>
      <c r="J3905" t="s">
        <v>25188</v>
      </c>
      <c r="K3905" t="s">
        <v>29357</v>
      </c>
      <c r="M3905" t="s">
        <v>30218</v>
      </c>
      <c r="N3905" t="s">
        <v>32524</v>
      </c>
      <c r="O3905" t="s">
        <v>32525</v>
      </c>
      <c r="P3905">
        <v>0</v>
      </c>
      <c r="Q3905">
        <v>1</v>
      </c>
      <c r="R3905" t="s">
        <v>32530</v>
      </c>
      <c r="S3905" t="s">
        <v>32568</v>
      </c>
      <c r="T3905" t="s">
        <v>33209</v>
      </c>
      <c r="U3905" t="s">
        <v>36955</v>
      </c>
      <c r="W3905" t="s">
        <v>30218</v>
      </c>
      <c r="X3905" t="s">
        <v>32531</v>
      </c>
    </row>
    <row r="3906" spans="1:24">
      <c r="A3906">
        <f>HYPERLINK("https://www.philgeps.gov.ph/GEPSNONPILOT/Tender/SplashBidNoticeAbstractUI.aspx?menuIndex=3&amp;refID=7041928&amp;Result=3","7041928")</f>
        <v>0</v>
      </c>
      <c r="B3906" t="s">
        <v>1323</v>
      </c>
      <c r="C3906" t="s">
        <v>6408</v>
      </c>
      <c r="E3906" t="s">
        <v>16579</v>
      </c>
      <c r="F3906" t="s">
        <v>22436</v>
      </c>
      <c r="G3906" t="s">
        <v>22444</v>
      </c>
      <c r="H3906" t="s">
        <v>22454</v>
      </c>
      <c r="I3906" t="s">
        <v>7738</v>
      </c>
      <c r="J3906" t="s">
        <v>22587</v>
      </c>
      <c r="K3906" t="s">
        <v>29338</v>
      </c>
      <c r="M3906" t="s">
        <v>30978</v>
      </c>
      <c r="N3906" t="s">
        <v>32524</v>
      </c>
      <c r="O3906" t="s">
        <v>32525</v>
      </c>
      <c r="P3906">
        <v>0</v>
      </c>
      <c r="Q3906">
        <v>0</v>
      </c>
      <c r="R3906" t="s">
        <v>32530</v>
      </c>
      <c r="S3906" t="s">
        <v>32568</v>
      </c>
      <c r="T3906" t="s">
        <v>33424</v>
      </c>
      <c r="U3906" t="s">
        <v>36956</v>
      </c>
      <c r="W3906" t="s">
        <v>30978</v>
      </c>
      <c r="X3906" t="s">
        <v>32531</v>
      </c>
    </row>
    <row r="3907" spans="1:24">
      <c r="A3907">
        <f>HYPERLINK("https://www.philgeps.gov.ph/GEPSNONPILOT/Tender/SplashBidNoticeAbstractUI.aspx?menuIndex=3&amp;refID=7041955&amp;Result=3","7041955")</f>
        <v>0</v>
      </c>
      <c r="B3907" t="s">
        <v>1381</v>
      </c>
      <c r="C3907" t="s">
        <v>6409</v>
      </c>
      <c r="D3907" t="s">
        <v>13035</v>
      </c>
      <c r="E3907" t="s">
        <v>16580</v>
      </c>
      <c r="F3907" t="s">
        <v>22436</v>
      </c>
      <c r="G3907" t="s">
        <v>22443</v>
      </c>
      <c r="H3907" t="s">
        <v>22452</v>
      </c>
      <c r="I3907" t="s">
        <v>3529</v>
      </c>
      <c r="J3907" t="s">
        <v>25189</v>
      </c>
      <c r="K3907" t="s">
        <v>29331</v>
      </c>
      <c r="M3907" t="s">
        <v>31039</v>
      </c>
      <c r="N3907" t="s">
        <v>32524</v>
      </c>
      <c r="O3907" t="s">
        <v>32525</v>
      </c>
      <c r="P3907">
        <v>0</v>
      </c>
      <c r="Q3907">
        <v>1</v>
      </c>
      <c r="R3907" t="s">
        <v>32530</v>
      </c>
      <c r="S3907" t="s">
        <v>32568</v>
      </c>
      <c r="T3907" t="s">
        <v>33161</v>
      </c>
      <c r="U3907" t="s">
        <v>36957</v>
      </c>
      <c r="V3907" t="s">
        <v>42829</v>
      </c>
      <c r="W3907" t="s">
        <v>31039</v>
      </c>
      <c r="X3907" t="s">
        <v>32531</v>
      </c>
    </row>
    <row r="3908" spans="1:24">
      <c r="A3908">
        <f>HYPERLINK("https://www.philgeps.gov.ph/GEPSNONPILOT/Tender/SplashBidNoticeAbstractUI.aspx?menuIndex=3&amp;refID=7041904&amp;Result=3","7041904")</f>
        <v>0</v>
      </c>
      <c r="B3908" t="s">
        <v>161</v>
      </c>
      <c r="C3908" t="s">
        <v>6410</v>
      </c>
      <c r="D3908" t="s">
        <v>12988</v>
      </c>
      <c r="E3908" t="s">
        <v>16581</v>
      </c>
      <c r="F3908" t="s">
        <v>22436</v>
      </c>
      <c r="G3908" t="s">
        <v>22443</v>
      </c>
      <c r="H3908" t="s">
        <v>22452</v>
      </c>
      <c r="I3908" t="s">
        <v>22472</v>
      </c>
      <c r="J3908" t="s">
        <v>23079</v>
      </c>
      <c r="K3908" t="s">
        <v>29341</v>
      </c>
      <c r="M3908" t="s">
        <v>29733</v>
      </c>
      <c r="N3908" t="s">
        <v>32524</v>
      </c>
      <c r="O3908" t="s">
        <v>32525</v>
      </c>
      <c r="P3908">
        <v>0</v>
      </c>
      <c r="Q3908">
        <v>9</v>
      </c>
      <c r="R3908" t="s">
        <v>32530</v>
      </c>
      <c r="S3908" t="s">
        <v>32568</v>
      </c>
      <c r="T3908" t="s">
        <v>33238</v>
      </c>
      <c r="U3908" t="s">
        <v>36958</v>
      </c>
      <c r="W3908" t="s">
        <v>29733</v>
      </c>
      <c r="X3908" t="s">
        <v>32531</v>
      </c>
    </row>
    <row r="3909" spans="1:24">
      <c r="A3909">
        <f>HYPERLINK("https://www.philgeps.gov.ph/GEPSNONPILOT/Tender/SplashBidNoticeAbstractUI.aspx?menuIndex=3&amp;refID=7041944&amp;Result=3","7041944")</f>
        <v>0</v>
      </c>
      <c r="B3909" t="s">
        <v>1381</v>
      </c>
      <c r="C3909" t="s">
        <v>6411</v>
      </c>
      <c r="D3909" t="s">
        <v>13035</v>
      </c>
      <c r="E3909" t="s">
        <v>16582</v>
      </c>
      <c r="F3909" t="s">
        <v>22436</v>
      </c>
      <c r="G3909" t="s">
        <v>22443</v>
      </c>
      <c r="H3909" t="s">
        <v>22452</v>
      </c>
      <c r="I3909" t="s">
        <v>22486</v>
      </c>
      <c r="J3909" t="s">
        <v>25162</v>
      </c>
      <c r="K3909" t="s">
        <v>29341</v>
      </c>
      <c r="M3909" t="s">
        <v>31039</v>
      </c>
      <c r="N3909" t="s">
        <v>32524</v>
      </c>
      <c r="O3909" t="s">
        <v>32525</v>
      </c>
      <c r="P3909">
        <v>0</v>
      </c>
      <c r="Q3909">
        <v>0</v>
      </c>
      <c r="R3909" t="s">
        <v>32530</v>
      </c>
      <c r="S3909" t="s">
        <v>32568</v>
      </c>
      <c r="T3909" t="s">
        <v>33161</v>
      </c>
      <c r="U3909" t="s">
        <v>36897</v>
      </c>
      <c r="V3909" t="s">
        <v>42830</v>
      </c>
      <c r="W3909" t="s">
        <v>31039</v>
      </c>
      <c r="X3909" t="s">
        <v>32531</v>
      </c>
    </row>
    <row r="3910" spans="1:24">
      <c r="A3910">
        <f>HYPERLINK("https://www.philgeps.gov.ph/GEPSNONPILOT/Tender/SplashBidNoticeAbstractUI.aspx?menuIndex=3&amp;refID=7041952&amp;Result=3","7041952")</f>
        <v>0</v>
      </c>
      <c r="B3910" t="s">
        <v>1323</v>
      </c>
      <c r="C3910" t="s">
        <v>6412</v>
      </c>
      <c r="E3910" t="s">
        <v>16583</v>
      </c>
      <c r="F3910" t="s">
        <v>22436</v>
      </c>
      <c r="G3910" t="s">
        <v>22444</v>
      </c>
      <c r="H3910" t="s">
        <v>22454</v>
      </c>
      <c r="I3910" t="s">
        <v>7738</v>
      </c>
      <c r="J3910" t="s">
        <v>23111</v>
      </c>
      <c r="K3910" t="s">
        <v>29338</v>
      </c>
      <c r="M3910" t="s">
        <v>30978</v>
      </c>
      <c r="N3910" t="s">
        <v>32524</v>
      </c>
      <c r="O3910" t="s">
        <v>32525</v>
      </c>
      <c r="P3910">
        <v>0</v>
      </c>
      <c r="Q3910">
        <v>0</v>
      </c>
      <c r="R3910" t="s">
        <v>32530</v>
      </c>
      <c r="S3910" t="s">
        <v>32568</v>
      </c>
      <c r="T3910" t="s">
        <v>33424</v>
      </c>
      <c r="U3910" t="s">
        <v>36956</v>
      </c>
      <c r="W3910" t="s">
        <v>30978</v>
      </c>
      <c r="X3910" t="s">
        <v>32531</v>
      </c>
    </row>
    <row r="3911" spans="1:24">
      <c r="A3911">
        <f>HYPERLINK("https://www.philgeps.gov.ph/GEPSNONPILOT/Tender/SplashBidNoticeAbstractUI.aspx?menuIndex=3&amp;refID=7041893&amp;Result=3","7041893")</f>
        <v>0</v>
      </c>
      <c r="B3911" t="s">
        <v>1406</v>
      </c>
      <c r="C3911" t="s">
        <v>6413</v>
      </c>
      <c r="D3911" t="s">
        <v>12988</v>
      </c>
      <c r="E3911" t="s">
        <v>16584</v>
      </c>
      <c r="F3911" t="s">
        <v>22436</v>
      </c>
      <c r="G3911" t="s">
        <v>22444</v>
      </c>
      <c r="H3911" t="s">
        <v>22452</v>
      </c>
      <c r="I3911" t="s">
        <v>22463</v>
      </c>
      <c r="J3911" t="s">
        <v>25190</v>
      </c>
      <c r="K3911" t="s">
        <v>29336</v>
      </c>
      <c r="M3911" t="s">
        <v>31065</v>
      </c>
      <c r="N3911" t="s">
        <v>32524</v>
      </c>
      <c r="O3911" t="s">
        <v>32525</v>
      </c>
      <c r="P3911">
        <v>0</v>
      </c>
      <c r="Q3911">
        <v>0</v>
      </c>
      <c r="R3911" t="s">
        <v>32530</v>
      </c>
      <c r="S3911" t="s">
        <v>32568</v>
      </c>
      <c r="T3911" t="s">
        <v>33166</v>
      </c>
      <c r="U3911" t="s">
        <v>36959</v>
      </c>
      <c r="W3911" t="s">
        <v>31065</v>
      </c>
      <c r="X3911" t="s">
        <v>32531</v>
      </c>
    </row>
    <row r="3912" spans="1:24">
      <c r="A3912">
        <f>HYPERLINK("https://www.philgeps.gov.ph/GEPSNONPILOT/Tender/SplashBidNoticeAbstractUI.aspx?menuIndex=3&amp;refID=7041896&amp;Result=3","7041896")</f>
        <v>0</v>
      </c>
      <c r="B3912" t="s">
        <v>349</v>
      </c>
      <c r="C3912" t="s">
        <v>6414</v>
      </c>
      <c r="D3912" t="s">
        <v>12994</v>
      </c>
      <c r="E3912" t="s">
        <v>16585</v>
      </c>
      <c r="F3912" t="s">
        <v>22436</v>
      </c>
      <c r="G3912" t="s">
        <v>22443</v>
      </c>
      <c r="H3912" t="s">
        <v>22452</v>
      </c>
      <c r="I3912" t="s">
        <v>22468</v>
      </c>
      <c r="J3912" t="s">
        <v>25191</v>
      </c>
      <c r="K3912" t="s">
        <v>29341</v>
      </c>
      <c r="M3912" t="s">
        <v>29926</v>
      </c>
      <c r="N3912" t="s">
        <v>32524</v>
      </c>
      <c r="O3912" t="s">
        <v>32525</v>
      </c>
      <c r="P3912">
        <v>0</v>
      </c>
      <c r="Q3912">
        <v>7</v>
      </c>
      <c r="R3912" t="s">
        <v>32530</v>
      </c>
      <c r="S3912" t="s">
        <v>32568</v>
      </c>
      <c r="T3912" t="s">
        <v>33159</v>
      </c>
      <c r="U3912" t="s">
        <v>36960</v>
      </c>
      <c r="W3912" t="s">
        <v>29926</v>
      </c>
      <c r="X3912" t="s">
        <v>32531</v>
      </c>
    </row>
    <row r="3913" spans="1:24">
      <c r="A3913">
        <f>HYPERLINK("https://www.philgeps.gov.ph/GEPSNONPILOT/Tender/SplashBidNoticeAbstractUI.aspx?menuIndex=3&amp;refID=7041906&amp;Result=3","7041906")</f>
        <v>0</v>
      </c>
      <c r="B3913" t="s">
        <v>404</v>
      </c>
      <c r="C3913" t="s">
        <v>6415</v>
      </c>
      <c r="D3913" t="s">
        <v>13002</v>
      </c>
      <c r="E3913" t="s">
        <v>14741</v>
      </c>
      <c r="F3913" t="s">
        <v>22436</v>
      </c>
      <c r="G3913" t="s">
        <v>22444</v>
      </c>
      <c r="H3913" t="s">
        <v>22455</v>
      </c>
      <c r="I3913" t="s">
        <v>22523</v>
      </c>
      <c r="J3913" t="s">
        <v>25192</v>
      </c>
      <c r="K3913" t="s">
        <v>29341</v>
      </c>
      <c r="M3913" t="s">
        <v>29983</v>
      </c>
      <c r="N3913" t="s">
        <v>32524</v>
      </c>
      <c r="O3913" t="s">
        <v>32525</v>
      </c>
      <c r="P3913">
        <v>0</v>
      </c>
      <c r="Q3913">
        <v>3</v>
      </c>
      <c r="R3913" t="s">
        <v>32530</v>
      </c>
      <c r="S3913" t="s">
        <v>32568</v>
      </c>
      <c r="T3913" t="s">
        <v>33154</v>
      </c>
      <c r="U3913" t="s">
        <v>36961</v>
      </c>
      <c r="W3913" t="s">
        <v>29983</v>
      </c>
      <c r="X3913" t="s">
        <v>32531</v>
      </c>
    </row>
    <row r="3914" spans="1:24">
      <c r="A3914">
        <f>HYPERLINK("https://www.philgeps.gov.ph/GEPSNONPILOT/Tender/SplashBidNoticeAbstractUI.aspx?menuIndex=3&amp;refID=7041885&amp;Result=3","7041885")</f>
        <v>0</v>
      </c>
      <c r="B3914" t="s">
        <v>1400</v>
      </c>
      <c r="C3914" t="s">
        <v>6397</v>
      </c>
      <c r="D3914" t="s">
        <v>12992</v>
      </c>
      <c r="E3914" t="s">
        <v>16586</v>
      </c>
      <c r="F3914" t="s">
        <v>22436</v>
      </c>
      <c r="G3914" t="s">
        <v>22444</v>
      </c>
      <c r="H3914" t="s">
        <v>22454</v>
      </c>
      <c r="I3914" t="s">
        <v>7738</v>
      </c>
      <c r="J3914" t="s">
        <v>25193</v>
      </c>
      <c r="K3914" t="s">
        <v>29342</v>
      </c>
      <c r="M3914" t="s">
        <v>31059</v>
      </c>
      <c r="N3914" t="s">
        <v>32524</v>
      </c>
      <c r="O3914" t="s">
        <v>32525</v>
      </c>
      <c r="P3914">
        <v>0</v>
      </c>
      <c r="Q3914">
        <v>0</v>
      </c>
      <c r="R3914" t="s">
        <v>32530</v>
      </c>
      <c r="S3914" t="s">
        <v>32568</v>
      </c>
      <c r="T3914" t="s">
        <v>33215</v>
      </c>
      <c r="U3914" t="s">
        <v>36962</v>
      </c>
      <c r="W3914" t="s">
        <v>31059</v>
      </c>
      <c r="X3914" t="s">
        <v>32531</v>
      </c>
    </row>
    <row r="3915" spans="1:24">
      <c r="A3915">
        <f>HYPERLINK("https://www.philgeps.gov.ph/GEPSNONPILOT/Tender/SplashBidNoticeAbstractUI.aspx?menuIndex=3&amp;refID=7041888&amp;Result=3","7041888")</f>
        <v>0</v>
      </c>
      <c r="B3915" t="s">
        <v>161</v>
      </c>
      <c r="C3915" t="s">
        <v>6416</v>
      </c>
      <c r="D3915" t="s">
        <v>12988</v>
      </c>
      <c r="E3915" t="s">
        <v>16587</v>
      </c>
      <c r="F3915" t="s">
        <v>22436</v>
      </c>
      <c r="G3915" t="s">
        <v>22443</v>
      </c>
      <c r="H3915" t="s">
        <v>22452</v>
      </c>
      <c r="I3915" t="s">
        <v>22482</v>
      </c>
      <c r="J3915" t="s">
        <v>25194</v>
      </c>
      <c r="K3915" t="s">
        <v>29341</v>
      </c>
      <c r="M3915" t="s">
        <v>29733</v>
      </c>
      <c r="N3915" t="s">
        <v>32524</v>
      </c>
      <c r="O3915" t="s">
        <v>32525</v>
      </c>
      <c r="P3915">
        <v>0</v>
      </c>
      <c r="Q3915">
        <v>21</v>
      </c>
      <c r="R3915" t="s">
        <v>32530</v>
      </c>
      <c r="S3915" t="s">
        <v>32568</v>
      </c>
      <c r="T3915" t="s">
        <v>33238</v>
      </c>
      <c r="U3915" t="s">
        <v>36963</v>
      </c>
      <c r="W3915" t="s">
        <v>29733</v>
      </c>
      <c r="X3915" t="s">
        <v>32531</v>
      </c>
    </row>
    <row r="3916" spans="1:24">
      <c r="A3916">
        <f>HYPERLINK("https://www.philgeps.gov.ph/GEPSNONPILOT/Tender/SplashBidNoticeAbstractUI.aspx?menuIndex=3&amp;refID=7041923&amp;Result=3","7041923")</f>
        <v>0</v>
      </c>
      <c r="B3916" t="s">
        <v>349</v>
      </c>
      <c r="C3916" t="s">
        <v>6417</v>
      </c>
      <c r="D3916" t="s">
        <v>12994</v>
      </c>
      <c r="E3916" t="s">
        <v>16588</v>
      </c>
      <c r="F3916" t="s">
        <v>22436</v>
      </c>
      <c r="G3916" t="s">
        <v>22443</v>
      </c>
      <c r="H3916" t="s">
        <v>22452</v>
      </c>
      <c r="I3916" t="s">
        <v>22459</v>
      </c>
      <c r="J3916" t="s">
        <v>22657</v>
      </c>
      <c r="K3916" t="s">
        <v>29341</v>
      </c>
      <c r="M3916" t="s">
        <v>29926</v>
      </c>
      <c r="N3916" t="s">
        <v>32524</v>
      </c>
      <c r="O3916" t="s">
        <v>32525</v>
      </c>
      <c r="P3916">
        <v>0</v>
      </c>
      <c r="Q3916">
        <v>4</v>
      </c>
      <c r="R3916" t="s">
        <v>32530</v>
      </c>
      <c r="S3916" t="s">
        <v>32568</v>
      </c>
      <c r="T3916" t="s">
        <v>33159</v>
      </c>
      <c r="U3916" t="s">
        <v>36964</v>
      </c>
      <c r="W3916" t="s">
        <v>29926</v>
      </c>
      <c r="X3916" t="s">
        <v>32531</v>
      </c>
    </row>
    <row r="3917" spans="1:24">
      <c r="A3917">
        <f>HYPERLINK("https://www.philgeps.gov.ph/GEPSNONPILOT/Tender/SplashBidNoticeAbstractUI.aspx?menuIndex=3&amp;refID=7041962&amp;Result=3","7041962")</f>
        <v>0</v>
      </c>
      <c r="B3917" t="s">
        <v>1381</v>
      </c>
      <c r="C3917" t="s">
        <v>6418</v>
      </c>
      <c r="D3917" t="s">
        <v>13035</v>
      </c>
      <c r="E3917" t="s">
        <v>16589</v>
      </c>
      <c r="F3917" t="s">
        <v>22436</v>
      </c>
      <c r="G3917" t="s">
        <v>22443</v>
      </c>
      <c r="H3917" t="s">
        <v>22452</v>
      </c>
      <c r="I3917" t="s">
        <v>3529</v>
      </c>
      <c r="J3917" t="s">
        <v>25189</v>
      </c>
      <c r="K3917" t="s">
        <v>29331</v>
      </c>
      <c r="M3917" t="s">
        <v>31039</v>
      </c>
      <c r="N3917" t="s">
        <v>32524</v>
      </c>
      <c r="O3917" t="s">
        <v>32525</v>
      </c>
      <c r="P3917">
        <v>0</v>
      </c>
      <c r="Q3917">
        <v>2</v>
      </c>
      <c r="R3917" t="s">
        <v>32530</v>
      </c>
      <c r="S3917" t="s">
        <v>32568</v>
      </c>
      <c r="T3917" t="s">
        <v>33161</v>
      </c>
      <c r="U3917" t="s">
        <v>36957</v>
      </c>
      <c r="V3917" t="s">
        <v>42831</v>
      </c>
      <c r="W3917" t="s">
        <v>31039</v>
      </c>
      <c r="X3917" t="s">
        <v>32531</v>
      </c>
    </row>
    <row r="3918" spans="1:24">
      <c r="A3918">
        <f>HYPERLINK("https://www.philgeps.gov.ph/GEPSNONPILOT/Tender/SplashBidNoticeAbstractUI.aspx?menuIndex=3&amp;refID=7041960&amp;Result=3","7041960")</f>
        <v>0</v>
      </c>
      <c r="B3918" t="s">
        <v>177</v>
      </c>
      <c r="C3918" t="s">
        <v>6419</v>
      </c>
      <c r="D3918" t="s">
        <v>12988</v>
      </c>
      <c r="E3918" t="s">
        <v>16590</v>
      </c>
      <c r="F3918" t="s">
        <v>22436</v>
      </c>
      <c r="G3918" t="s">
        <v>22443</v>
      </c>
      <c r="H3918" t="s">
        <v>22452</v>
      </c>
      <c r="I3918" t="s">
        <v>22460</v>
      </c>
      <c r="J3918" t="s">
        <v>24808</v>
      </c>
      <c r="K3918" t="s">
        <v>29338</v>
      </c>
      <c r="M3918" t="s">
        <v>29749</v>
      </c>
      <c r="N3918" t="s">
        <v>32524</v>
      </c>
      <c r="O3918" t="s">
        <v>32525</v>
      </c>
      <c r="P3918">
        <v>0</v>
      </c>
      <c r="Q3918">
        <v>11</v>
      </c>
      <c r="R3918" t="s">
        <v>32530</v>
      </c>
      <c r="S3918" t="s">
        <v>32568</v>
      </c>
      <c r="T3918" t="s">
        <v>33436</v>
      </c>
      <c r="U3918" t="s">
        <v>36965</v>
      </c>
      <c r="W3918" t="s">
        <v>29749</v>
      </c>
      <c r="X3918" t="s">
        <v>32531</v>
      </c>
    </row>
    <row r="3919" spans="1:24">
      <c r="A3919">
        <f>HYPERLINK("https://www.philgeps.gov.ph/GEPSNONPILOT/Tender/SplashBidNoticeAbstractUI.aspx?menuIndex=3&amp;refID=7041974&amp;Result=3","7041974")</f>
        <v>0</v>
      </c>
      <c r="B3919" t="s">
        <v>1407</v>
      </c>
      <c r="C3919" t="s">
        <v>6420</v>
      </c>
      <c r="D3919" t="s">
        <v>12988</v>
      </c>
      <c r="E3919" t="s">
        <v>16591</v>
      </c>
      <c r="F3919" t="s">
        <v>22436</v>
      </c>
      <c r="G3919" t="s">
        <v>22444</v>
      </c>
      <c r="H3919" t="s">
        <v>22454</v>
      </c>
      <c r="I3919" t="s">
        <v>7738</v>
      </c>
      <c r="J3919" t="s">
        <v>25195</v>
      </c>
      <c r="K3919" t="s">
        <v>29344</v>
      </c>
      <c r="M3919" t="s">
        <v>31066</v>
      </c>
      <c r="N3919" t="s">
        <v>32524</v>
      </c>
      <c r="O3919" t="s">
        <v>32525</v>
      </c>
      <c r="P3919">
        <v>0</v>
      </c>
      <c r="Q3919">
        <v>4</v>
      </c>
      <c r="R3919" t="s">
        <v>32530</v>
      </c>
      <c r="S3919" t="s">
        <v>32568</v>
      </c>
      <c r="T3919" t="s">
        <v>33253</v>
      </c>
      <c r="U3919" t="s">
        <v>35810</v>
      </c>
      <c r="W3919" t="s">
        <v>31066</v>
      </c>
      <c r="X3919" t="s">
        <v>32531</v>
      </c>
    </row>
    <row r="3920" spans="1:24">
      <c r="A3920">
        <f>HYPERLINK("https://www.philgeps.gov.ph/GEPSNONPILOT/Tender/SplashBidNoticeAbstractUI.aspx?menuIndex=3&amp;refID=7041883&amp;Result=3","7041883")</f>
        <v>0</v>
      </c>
      <c r="B3920" t="s">
        <v>1408</v>
      </c>
      <c r="C3920" t="s">
        <v>6421</v>
      </c>
      <c r="D3920" t="s">
        <v>13000</v>
      </c>
      <c r="E3920" t="s">
        <v>16592</v>
      </c>
      <c r="F3920" t="s">
        <v>22436</v>
      </c>
      <c r="G3920" t="s">
        <v>22444</v>
      </c>
      <c r="H3920" t="s">
        <v>22452</v>
      </c>
      <c r="I3920" t="s">
        <v>6421</v>
      </c>
      <c r="J3920" t="s">
        <v>22640</v>
      </c>
      <c r="K3920" t="s">
        <v>29336</v>
      </c>
      <c r="M3920" t="s">
        <v>31067</v>
      </c>
      <c r="N3920" t="s">
        <v>32524</v>
      </c>
      <c r="O3920" t="s">
        <v>32525</v>
      </c>
      <c r="P3920">
        <v>0</v>
      </c>
      <c r="Q3920">
        <v>3</v>
      </c>
      <c r="R3920" t="s">
        <v>32530</v>
      </c>
      <c r="S3920" t="s">
        <v>32568</v>
      </c>
      <c r="T3920" t="s">
        <v>33154</v>
      </c>
      <c r="U3920" t="s">
        <v>36966</v>
      </c>
      <c r="W3920" t="s">
        <v>31067</v>
      </c>
      <c r="X3920" t="s">
        <v>32531</v>
      </c>
    </row>
    <row r="3921" spans="1:24">
      <c r="A3921">
        <f>HYPERLINK("https://www.philgeps.gov.ph/GEPSNONPILOT/Tender/SplashBidNoticeAbstractUI.aspx?menuIndex=3&amp;refID=7041973&amp;Result=3","7041973")</f>
        <v>0</v>
      </c>
      <c r="B3921" t="s">
        <v>349</v>
      </c>
      <c r="C3921" t="s">
        <v>6422</v>
      </c>
      <c r="D3921" t="s">
        <v>12994</v>
      </c>
      <c r="E3921" t="s">
        <v>16593</v>
      </c>
      <c r="F3921" t="s">
        <v>22436</v>
      </c>
      <c r="G3921" t="s">
        <v>22443</v>
      </c>
      <c r="H3921" t="s">
        <v>22452</v>
      </c>
      <c r="I3921" t="s">
        <v>22459</v>
      </c>
      <c r="J3921" t="s">
        <v>22704</v>
      </c>
      <c r="K3921" t="s">
        <v>29341</v>
      </c>
      <c r="M3921" t="s">
        <v>29926</v>
      </c>
      <c r="N3921" t="s">
        <v>32524</v>
      </c>
      <c r="O3921" t="s">
        <v>32525</v>
      </c>
      <c r="P3921">
        <v>0</v>
      </c>
      <c r="Q3921">
        <v>4</v>
      </c>
      <c r="R3921" t="s">
        <v>32530</v>
      </c>
      <c r="S3921" t="s">
        <v>32568</v>
      </c>
      <c r="T3921" t="s">
        <v>33175</v>
      </c>
      <c r="U3921" t="s">
        <v>36967</v>
      </c>
      <c r="W3921" t="s">
        <v>29926</v>
      </c>
      <c r="X3921" t="s">
        <v>32531</v>
      </c>
    </row>
    <row r="3922" spans="1:24">
      <c r="A3922">
        <f>HYPERLINK("https://www.philgeps.gov.ph/GEPSNONPILOT/Tender/SplashBidNoticeAbstractUI.aspx?menuIndex=3&amp;refID=7041977&amp;Result=3","7041977")</f>
        <v>0</v>
      </c>
      <c r="B3922" t="s">
        <v>1381</v>
      </c>
      <c r="C3922" t="s">
        <v>6423</v>
      </c>
      <c r="D3922" t="s">
        <v>13035</v>
      </c>
      <c r="E3922" t="s">
        <v>16594</v>
      </c>
      <c r="F3922" t="s">
        <v>22436</v>
      </c>
      <c r="G3922" t="s">
        <v>22443</v>
      </c>
      <c r="H3922" t="s">
        <v>22452</v>
      </c>
      <c r="I3922" t="s">
        <v>3529</v>
      </c>
      <c r="J3922" t="s">
        <v>25196</v>
      </c>
      <c r="K3922" t="s">
        <v>29331</v>
      </c>
      <c r="M3922" t="s">
        <v>31039</v>
      </c>
      <c r="N3922" t="s">
        <v>32524</v>
      </c>
      <c r="O3922" t="s">
        <v>32525</v>
      </c>
      <c r="P3922">
        <v>0</v>
      </c>
      <c r="Q3922">
        <v>0</v>
      </c>
      <c r="R3922" t="s">
        <v>32530</v>
      </c>
      <c r="S3922" t="s">
        <v>32568</v>
      </c>
      <c r="T3922" t="s">
        <v>33161</v>
      </c>
      <c r="U3922" t="s">
        <v>36957</v>
      </c>
      <c r="V3922" t="s">
        <v>42832</v>
      </c>
      <c r="W3922" t="s">
        <v>31039</v>
      </c>
      <c r="X3922" t="s">
        <v>32531</v>
      </c>
    </row>
    <row r="3923" spans="1:24">
      <c r="A3923">
        <f>HYPERLINK("https://www.philgeps.gov.ph/GEPSNONPILOT/Tender/SplashBidNoticeAbstractUI.aspx?menuIndex=3&amp;refID=7041968&amp;Result=3","7041968")</f>
        <v>0</v>
      </c>
      <c r="B3923" t="s">
        <v>1409</v>
      </c>
      <c r="C3923" t="s">
        <v>6424</v>
      </c>
      <c r="D3923" t="s">
        <v>13042</v>
      </c>
      <c r="E3923" t="s">
        <v>16595</v>
      </c>
      <c r="F3923" t="s">
        <v>22436</v>
      </c>
      <c r="G3923" t="s">
        <v>22444</v>
      </c>
      <c r="H3923" t="s">
        <v>22452</v>
      </c>
      <c r="I3923" t="s">
        <v>3529</v>
      </c>
      <c r="J3923" t="s">
        <v>25197</v>
      </c>
      <c r="K3923" t="s">
        <v>29329</v>
      </c>
      <c r="M3923" t="s">
        <v>31068</v>
      </c>
      <c r="N3923" t="s">
        <v>32524</v>
      </c>
      <c r="O3923" t="s">
        <v>32525</v>
      </c>
      <c r="P3923">
        <v>0</v>
      </c>
      <c r="Q3923">
        <v>1</v>
      </c>
      <c r="R3923" t="s">
        <v>32530</v>
      </c>
      <c r="S3923" t="s">
        <v>32568</v>
      </c>
      <c r="T3923" t="s">
        <v>33212</v>
      </c>
      <c r="U3923" t="s">
        <v>36968</v>
      </c>
      <c r="W3923" t="s">
        <v>31068</v>
      </c>
      <c r="X3923" t="s">
        <v>32531</v>
      </c>
    </row>
    <row r="3924" spans="1:24">
      <c r="A3924">
        <f>HYPERLINK("https://www.philgeps.gov.ph/GEPSNONPILOT/Tender/SplashBidNoticeAbstractUI.aspx?menuIndex=3&amp;refID=7041978&amp;Result=3","7041978")</f>
        <v>0</v>
      </c>
      <c r="B3924" t="s">
        <v>279</v>
      </c>
      <c r="C3924" t="s">
        <v>6425</v>
      </c>
      <c r="D3924" t="s">
        <v>13010</v>
      </c>
      <c r="E3924" t="s">
        <v>16596</v>
      </c>
      <c r="F3924" t="s">
        <v>22436</v>
      </c>
      <c r="G3924" t="s">
        <v>22443</v>
      </c>
      <c r="H3924" t="s">
        <v>22452</v>
      </c>
      <c r="I3924" t="s">
        <v>22469</v>
      </c>
      <c r="J3924" t="s">
        <v>22640</v>
      </c>
      <c r="K3924" t="s">
        <v>29336</v>
      </c>
      <c r="M3924" t="s">
        <v>29853</v>
      </c>
      <c r="N3924" t="s">
        <v>32524</v>
      </c>
      <c r="O3924" t="s">
        <v>32525</v>
      </c>
      <c r="P3924">
        <v>0</v>
      </c>
      <c r="Q3924">
        <v>2</v>
      </c>
      <c r="R3924" t="s">
        <v>32530</v>
      </c>
      <c r="S3924" t="s">
        <v>32568</v>
      </c>
      <c r="T3924" t="s">
        <v>33181</v>
      </c>
      <c r="U3924" t="s">
        <v>34167</v>
      </c>
      <c r="W3924" t="s">
        <v>29853</v>
      </c>
      <c r="X3924" t="s">
        <v>32531</v>
      </c>
    </row>
    <row r="3925" spans="1:24">
      <c r="A3925">
        <f>HYPERLINK("https://www.philgeps.gov.ph/GEPSNONPILOT/Tender/SplashBidNoticeAbstractUI.aspx?menuIndex=3&amp;refID=7041971&amp;Result=3","7041971")</f>
        <v>0</v>
      </c>
      <c r="B3925" t="s">
        <v>293</v>
      </c>
      <c r="C3925" t="s">
        <v>6426</v>
      </c>
      <c r="D3925" t="s">
        <v>13046</v>
      </c>
      <c r="E3925" t="s">
        <v>16597</v>
      </c>
      <c r="F3925" t="s">
        <v>22436</v>
      </c>
      <c r="G3925" t="s">
        <v>22443</v>
      </c>
      <c r="H3925" t="s">
        <v>22452</v>
      </c>
      <c r="I3925" t="s">
        <v>22476</v>
      </c>
      <c r="J3925" t="s">
        <v>25198</v>
      </c>
      <c r="K3925" t="s">
        <v>29341</v>
      </c>
      <c r="M3925" t="s">
        <v>29867</v>
      </c>
      <c r="N3925" t="s">
        <v>32524</v>
      </c>
      <c r="O3925" t="s">
        <v>32525</v>
      </c>
      <c r="P3925">
        <v>0</v>
      </c>
      <c r="Q3925">
        <v>0</v>
      </c>
      <c r="R3925" t="s">
        <v>32530</v>
      </c>
      <c r="S3925" t="s">
        <v>32568</v>
      </c>
      <c r="T3925" t="s">
        <v>33310</v>
      </c>
      <c r="U3925" t="s">
        <v>36969</v>
      </c>
      <c r="W3925" t="s">
        <v>29867</v>
      </c>
      <c r="X3925" t="s">
        <v>32531</v>
      </c>
    </row>
    <row r="3926" spans="1:24">
      <c r="A3926">
        <f>HYPERLINK("https://www.philgeps.gov.ph/GEPSNONPILOT/Tender/SplashBidNoticeAbstractUI.aspx?menuIndex=3&amp;refID=7041966&amp;Result=3","7041966")</f>
        <v>0</v>
      </c>
      <c r="B3926" t="s">
        <v>282</v>
      </c>
      <c r="C3926" t="s">
        <v>6427</v>
      </c>
      <c r="D3926" t="s">
        <v>13002</v>
      </c>
      <c r="E3926" t="s">
        <v>16598</v>
      </c>
      <c r="F3926" t="s">
        <v>22436</v>
      </c>
      <c r="G3926" t="s">
        <v>22444</v>
      </c>
      <c r="H3926" t="s">
        <v>22452</v>
      </c>
      <c r="I3926" t="s">
        <v>22469</v>
      </c>
      <c r="J3926" t="s">
        <v>23598</v>
      </c>
      <c r="K3926" t="s">
        <v>29335</v>
      </c>
      <c r="M3926" t="s">
        <v>31069</v>
      </c>
      <c r="N3926" t="s">
        <v>32524</v>
      </c>
      <c r="O3926" t="s">
        <v>32525</v>
      </c>
      <c r="P3926">
        <v>0</v>
      </c>
      <c r="Q3926">
        <v>5</v>
      </c>
      <c r="R3926" t="s">
        <v>32530</v>
      </c>
      <c r="S3926" t="s">
        <v>32568</v>
      </c>
      <c r="T3926" t="s">
        <v>33277</v>
      </c>
      <c r="U3926" t="s">
        <v>36970</v>
      </c>
      <c r="V3926" t="s">
        <v>42833</v>
      </c>
      <c r="W3926" t="s">
        <v>31069</v>
      </c>
      <c r="X3926" t="s">
        <v>32531</v>
      </c>
    </row>
    <row r="3927" spans="1:24">
      <c r="A3927">
        <f>HYPERLINK("https://www.philgeps.gov.ph/GEPSNONPILOT/Tender/SplashBidNoticeAbstractUI.aspx?menuIndex=3&amp;refID=7041983&amp;Result=3","7041983")</f>
        <v>0</v>
      </c>
      <c r="B3927" t="s">
        <v>1381</v>
      </c>
      <c r="C3927" t="s">
        <v>6428</v>
      </c>
      <c r="D3927" t="s">
        <v>13035</v>
      </c>
      <c r="E3927" t="s">
        <v>16599</v>
      </c>
      <c r="F3927" t="s">
        <v>22436</v>
      </c>
      <c r="G3927" t="s">
        <v>22443</v>
      </c>
      <c r="H3927" t="s">
        <v>22452</v>
      </c>
      <c r="I3927" t="s">
        <v>22495</v>
      </c>
      <c r="J3927" t="s">
        <v>25199</v>
      </c>
      <c r="K3927" t="s">
        <v>29331</v>
      </c>
      <c r="M3927" t="s">
        <v>31039</v>
      </c>
      <c r="N3927" t="s">
        <v>32524</v>
      </c>
      <c r="O3927" t="s">
        <v>32525</v>
      </c>
      <c r="P3927">
        <v>0</v>
      </c>
      <c r="Q3927">
        <v>3</v>
      </c>
      <c r="R3927" t="s">
        <v>32530</v>
      </c>
      <c r="S3927" t="s">
        <v>32568</v>
      </c>
      <c r="T3927" t="s">
        <v>33161</v>
      </c>
      <c r="U3927" t="s">
        <v>36971</v>
      </c>
      <c r="V3927" t="s">
        <v>42834</v>
      </c>
      <c r="W3927" t="s">
        <v>31039</v>
      </c>
      <c r="X3927" t="s">
        <v>32531</v>
      </c>
    </row>
    <row r="3928" spans="1:24">
      <c r="A3928">
        <f>HYPERLINK("https://www.philgeps.gov.ph/GEPSNONPILOT/Tender/SplashBidNoticeAbstractUI.aspx?menuIndex=3&amp;refID=7041990&amp;Result=3","7041990")</f>
        <v>0</v>
      </c>
      <c r="B3928" t="s">
        <v>282</v>
      </c>
      <c r="C3928" t="s">
        <v>6429</v>
      </c>
      <c r="D3928" t="s">
        <v>13002</v>
      </c>
      <c r="E3928" t="s">
        <v>16600</v>
      </c>
      <c r="F3928" t="s">
        <v>22436</v>
      </c>
      <c r="G3928" t="s">
        <v>22444</v>
      </c>
      <c r="H3928" t="s">
        <v>22452</v>
      </c>
      <c r="I3928" t="s">
        <v>22469</v>
      </c>
      <c r="J3928" t="s">
        <v>25200</v>
      </c>
      <c r="K3928" t="s">
        <v>29335</v>
      </c>
      <c r="M3928" t="s">
        <v>31069</v>
      </c>
      <c r="N3928" t="s">
        <v>32524</v>
      </c>
      <c r="O3928" t="s">
        <v>32525</v>
      </c>
      <c r="P3928">
        <v>0</v>
      </c>
      <c r="Q3928">
        <v>7</v>
      </c>
      <c r="R3928" t="s">
        <v>32530</v>
      </c>
      <c r="S3928" t="s">
        <v>32568</v>
      </c>
      <c r="T3928" t="s">
        <v>33277</v>
      </c>
      <c r="U3928" t="s">
        <v>36972</v>
      </c>
      <c r="V3928" t="s">
        <v>42835</v>
      </c>
      <c r="W3928" t="s">
        <v>31069</v>
      </c>
      <c r="X3928" t="s">
        <v>32531</v>
      </c>
    </row>
    <row r="3929" spans="1:24">
      <c r="A3929">
        <f>HYPERLINK("https://www.philgeps.gov.ph/GEPSNONPILOT/Tender/SplashBidNoticeAbstractUI.aspx?menuIndex=3&amp;refID=7041975&amp;Result=3","7041975")</f>
        <v>0</v>
      </c>
      <c r="B3929" t="s">
        <v>1323</v>
      </c>
      <c r="C3929" t="s">
        <v>6430</v>
      </c>
      <c r="E3929" t="s">
        <v>16601</v>
      </c>
      <c r="F3929" t="s">
        <v>22436</v>
      </c>
      <c r="G3929" t="s">
        <v>22444</v>
      </c>
      <c r="H3929" t="s">
        <v>22454</v>
      </c>
      <c r="I3929" t="s">
        <v>7738</v>
      </c>
      <c r="J3929" t="s">
        <v>23111</v>
      </c>
      <c r="K3929" t="s">
        <v>29338</v>
      </c>
      <c r="M3929" t="s">
        <v>30978</v>
      </c>
      <c r="N3929" t="s">
        <v>32524</v>
      </c>
      <c r="O3929" t="s">
        <v>32525</v>
      </c>
      <c r="P3929">
        <v>0</v>
      </c>
      <c r="Q3929">
        <v>0</v>
      </c>
      <c r="R3929" t="s">
        <v>32530</v>
      </c>
      <c r="S3929" t="s">
        <v>32568</v>
      </c>
      <c r="T3929" t="s">
        <v>33424</v>
      </c>
      <c r="U3929" t="s">
        <v>36956</v>
      </c>
      <c r="W3929" t="s">
        <v>30978</v>
      </c>
      <c r="X3929" t="s">
        <v>32531</v>
      </c>
    </row>
    <row r="3930" spans="1:24">
      <c r="A3930">
        <f>HYPERLINK("https://www.philgeps.gov.ph/GEPSNONPILOT/Tender/SplashBidNoticeAbstractUI.aspx?menuIndex=3&amp;refID=7041965&amp;Result=3","7041965")</f>
        <v>0</v>
      </c>
      <c r="B3930" t="s">
        <v>1410</v>
      </c>
      <c r="C3930" t="s">
        <v>6431</v>
      </c>
      <c r="D3930" t="s">
        <v>13041</v>
      </c>
      <c r="E3930" t="s">
        <v>16602</v>
      </c>
      <c r="F3930" t="s">
        <v>22436</v>
      </c>
      <c r="G3930" t="s">
        <v>22443</v>
      </c>
      <c r="H3930" t="s">
        <v>22452</v>
      </c>
      <c r="I3930" t="s">
        <v>22504</v>
      </c>
      <c r="J3930" t="s">
        <v>25201</v>
      </c>
      <c r="K3930" t="s">
        <v>29333</v>
      </c>
      <c r="M3930" t="s">
        <v>31070</v>
      </c>
      <c r="N3930" t="s">
        <v>32524</v>
      </c>
      <c r="O3930" t="s">
        <v>32525</v>
      </c>
      <c r="P3930">
        <v>0</v>
      </c>
      <c r="Q3930">
        <v>3</v>
      </c>
      <c r="R3930" t="s">
        <v>32530</v>
      </c>
      <c r="S3930" t="s">
        <v>32568</v>
      </c>
      <c r="T3930" t="s">
        <v>33238</v>
      </c>
      <c r="U3930" t="s">
        <v>36973</v>
      </c>
      <c r="W3930" t="s">
        <v>31070</v>
      </c>
      <c r="X3930" t="s">
        <v>32531</v>
      </c>
    </row>
    <row r="3931" spans="1:24">
      <c r="A3931">
        <f>HYPERLINK("https://www.philgeps.gov.ph/GEPSNONPILOT/Tender/SplashBidNoticeAbstractUI.aspx?menuIndex=3&amp;refID=7041986&amp;Result=3","7041986")</f>
        <v>0</v>
      </c>
      <c r="B3931" t="s">
        <v>279</v>
      </c>
      <c r="C3931" t="s">
        <v>6432</v>
      </c>
      <c r="D3931" t="s">
        <v>13010</v>
      </c>
      <c r="E3931" t="s">
        <v>16603</v>
      </c>
      <c r="F3931" t="s">
        <v>22436</v>
      </c>
      <c r="G3931" t="s">
        <v>22443</v>
      </c>
      <c r="H3931" t="s">
        <v>22452</v>
      </c>
      <c r="I3931" t="s">
        <v>3027</v>
      </c>
      <c r="J3931" t="s">
        <v>25202</v>
      </c>
      <c r="K3931" t="s">
        <v>29336</v>
      </c>
      <c r="M3931" t="s">
        <v>29853</v>
      </c>
      <c r="N3931" t="s">
        <v>32524</v>
      </c>
      <c r="O3931" t="s">
        <v>32525</v>
      </c>
      <c r="P3931">
        <v>0</v>
      </c>
      <c r="Q3931">
        <v>0</v>
      </c>
      <c r="R3931" t="s">
        <v>32530</v>
      </c>
      <c r="S3931" t="s">
        <v>32568</v>
      </c>
      <c r="T3931" t="s">
        <v>33181</v>
      </c>
      <c r="U3931" t="s">
        <v>34167</v>
      </c>
      <c r="W3931" t="s">
        <v>29853</v>
      </c>
      <c r="X3931" t="s">
        <v>32531</v>
      </c>
    </row>
    <row r="3932" spans="1:24">
      <c r="A3932">
        <f>HYPERLINK("https://www.philgeps.gov.ph/GEPSNONPILOT/Tender/SplashBidNoticeAbstractUI.aspx?menuIndex=3&amp;refID=7041985&amp;Result=3","7041985")</f>
        <v>0</v>
      </c>
      <c r="B3932" t="s">
        <v>694</v>
      </c>
      <c r="C3932" t="s">
        <v>6433</v>
      </c>
      <c r="D3932" t="s">
        <v>13022</v>
      </c>
      <c r="E3932" t="s">
        <v>16604</v>
      </c>
      <c r="F3932" t="s">
        <v>22436</v>
      </c>
      <c r="G3932" t="s">
        <v>22444</v>
      </c>
      <c r="H3932" t="s">
        <v>22452</v>
      </c>
      <c r="I3932" t="s">
        <v>5194</v>
      </c>
      <c r="J3932" t="s">
        <v>22779</v>
      </c>
      <c r="K3932" t="s">
        <v>29335</v>
      </c>
      <c r="M3932" t="s">
        <v>31071</v>
      </c>
      <c r="N3932" t="s">
        <v>32524</v>
      </c>
      <c r="O3932" t="s">
        <v>32525</v>
      </c>
      <c r="P3932">
        <v>0</v>
      </c>
      <c r="Q3932">
        <v>7</v>
      </c>
      <c r="R3932" t="s">
        <v>32530</v>
      </c>
      <c r="S3932" t="s">
        <v>32568</v>
      </c>
      <c r="T3932" t="s">
        <v>33164</v>
      </c>
      <c r="U3932" t="s">
        <v>36974</v>
      </c>
      <c r="W3932" t="s">
        <v>31071</v>
      </c>
      <c r="X3932" t="s">
        <v>32531</v>
      </c>
    </row>
    <row r="3933" spans="1:24">
      <c r="A3933">
        <f>HYPERLINK("https://www.philgeps.gov.ph/GEPSNONPILOT/Tender/SplashBidNoticeAbstractUI.aspx?menuIndex=3&amp;refID=7041984&amp;Result=3","7041984")</f>
        <v>0</v>
      </c>
      <c r="B3933" t="s">
        <v>1386</v>
      </c>
      <c r="C3933" t="s">
        <v>6434</v>
      </c>
      <c r="D3933" t="s">
        <v>13037</v>
      </c>
      <c r="E3933" t="s">
        <v>16605</v>
      </c>
      <c r="F3933" t="s">
        <v>22436</v>
      </c>
      <c r="G3933" t="s">
        <v>22444</v>
      </c>
      <c r="H3933" t="s">
        <v>22452</v>
      </c>
      <c r="I3933" t="s">
        <v>22474</v>
      </c>
      <c r="J3933" t="s">
        <v>24712</v>
      </c>
      <c r="K3933" t="s">
        <v>29335</v>
      </c>
      <c r="M3933" t="s">
        <v>31044</v>
      </c>
      <c r="N3933" t="s">
        <v>32524</v>
      </c>
      <c r="O3933" t="s">
        <v>32525</v>
      </c>
      <c r="P3933">
        <v>0</v>
      </c>
      <c r="Q3933">
        <v>6</v>
      </c>
      <c r="R3933" t="s">
        <v>32530</v>
      </c>
      <c r="S3933" t="s">
        <v>32568</v>
      </c>
      <c r="T3933" t="s">
        <v>33199</v>
      </c>
      <c r="U3933" t="s">
        <v>36975</v>
      </c>
      <c r="W3933" t="s">
        <v>31044</v>
      </c>
      <c r="X3933" t="s">
        <v>32531</v>
      </c>
    </row>
    <row r="3934" spans="1:24">
      <c r="A3934">
        <f>HYPERLINK("https://www.philgeps.gov.ph/GEPSNONPILOT/Tender/SplashBidNoticeAbstractUI.aspx?menuIndex=3&amp;refID=7041967&amp;Result=3","7041967")</f>
        <v>0</v>
      </c>
      <c r="B3934" t="s">
        <v>1411</v>
      </c>
      <c r="C3934" t="s">
        <v>6435</v>
      </c>
      <c r="D3934" t="s">
        <v>13026</v>
      </c>
      <c r="E3934" t="s">
        <v>16606</v>
      </c>
      <c r="F3934" t="s">
        <v>22436</v>
      </c>
      <c r="G3934" t="s">
        <v>22443</v>
      </c>
      <c r="H3934" t="s">
        <v>22452</v>
      </c>
      <c r="I3934" t="s">
        <v>22501</v>
      </c>
      <c r="J3934" t="s">
        <v>22809</v>
      </c>
      <c r="K3934" t="s">
        <v>29335</v>
      </c>
      <c r="M3934" t="s">
        <v>31072</v>
      </c>
      <c r="N3934" t="s">
        <v>32524</v>
      </c>
      <c r="O3934" t="s">
        <v>32525</v>
      </c>
      <c r="P3934">
        <v>0</v>
      </c>
      <c r="Q3934">
        <v>3</v>
      </c>
      <c r="R3934" t="s">
        <v>32530</v>
      </c>
      <c r="S3934" t="s">
        <v>32568</v>
      </c>
      <c r="T3934" t="s">
        <v>33351</v>
      </c>
      <c r="U3934" t="s">
        <v>36976</v>
      </c>
      <c r="W3934" t="s">
        <v>31072</v>
      </c>
      <c r="X3934" t="s">
        <v>32531</v>
      </c>
    </row>
    <row r="3935" spans="1:24">
      <c r="A3935">
        <f>HYPERLINK("https://www.philgeps.gov.ph/GEPSNONPILOT/Tender/SplashBidNoticeAbstractUI.aspx?menuIndex=3&amp;refID=7041988&amp;Result=3","7041988")</f>
        <v>0</v>
      </c>
      <c r="B3935" t="s">
        <v>1412</v>
      </c>
      <c r="C3935" t="s">
        <v>6436</v>
      </c>
      <c r="D3935" t="s">
        <v>13031</v>
      </c>
      <c r="E3935" t="s">
        <v>16607</v>
      </c>
      <c r="F3935" t="s">
        <v>22436</v>
      </c>
      <c r="G3935" t="s">
        <v>22443</v>
      </c>
      <c r="H3935" t="s">
        <v>22452</v>
      </c>
      <c r="I3935" t="s">
        <v>22463</v>
      </c>
      <c r="J3935" t="s">
        <v>25203</v>
      </c>
      <c r="K3935" t="s">
        <v>29338</v>
      </c>
      <c r="M3935" t="s">
        <v>31073</v>
      </c>
      <c r="N3935" t="s">
        <v>32524</v>
      </c>
      <c r="O3935" t="s">
        <v>32525</v>
      </c>
      <c r="P3935">
        <v>0</v>
      </c>
      <c r="Q3935">
        <v>13</v>
      </c>
      <c r="R3935" t="s">
        <v>32530</v>
      </c>
      <c r="S3935" t="s">
        <v>32568</v>
      </c>
      <c r="T3935" t="s">
        <v>33296</v>
      </c>
      <c r="U3935" t="s">
        <v>36977</v>
      </c>
      <c r="W3935" t="s">
        <v>31073</v>
      </c>
      <c r="X3935" t="s">
        <v>32531</v>
      </c>
    </row>
    <row r="3936" spans="1:24">
      <c r="A3936">
        <f>HYPERLINK("https://www.philgeps.gov.ph/GEPSNONPILOT/Tender/SplashBidNoticeAbstractUI.aspx?menuIndex=3&amp;refID=7041970&amp;Result=3","7041970")</f>
        <v>0</v>
      </c>
      <c r="B3936" t="s">
        <v>1413</v>
      </c>
      <c r="C3936" t="s">
        <v>6437</v>
      </c>
      <c r="D3936" t="s">
        <v>12988</v>
      </c>
      <c r="E3936" t="s">
        <v>16608</v>
      </c>
      <c r="F3936" t="s">
        <v>22436</v>
      </c>
      <c r="G3936" t="s">
        <v>22443</v>
      </c>
      <c r="H3936" t="s">
        <v>22455</v>
      </c>
      <c r="I3936" t="s">
        <v>22455</v>
      </c>
      <c r="J3936" t="s">
        <v>22788</v>
      </c>
      <c r="K3936" t="s">
        <v>29361</v>
      </c>
      <c r="M3936" t="s">
        <v>31074</v>
      </c>
      <c r="N3936" t="s">
        <v>32524</v>
      </c>
      <c r="O3936" t="s">
        <v>32525</v>
      </c>
      <c r="Q3936">
        <v>4</v>
      </c>
      <c r="R3936" t="s">
        <v>32530</v>
      </c>
      <c r="S3936" t="s">
        <v>32571</v>
      </c>
      <c r="T3936" t="s">
        <v>33304</v>
      </c>
      <c r="U3936" t="s">
        <v>36978</v>
      </c>
      <c r="W3936" t="s">
        <v>31074</v>
      </c>
      <c r="X3936" t="s">
        <v>32531</v>
      </c>
    </row>
    <row r="3937" spans="1:24">
      <c r="A3937">
        <f>HYPERLINK("https://www.philgeps.gov.ph/GEPSNONPILOT/Tender/SplashBidNoticeAbstractUI.aspx?menuIndex=3&amp;refID=7041994&amp;Result=3","7041994")</f>
        <v>0</v>
      </c>
      <c r="B3937" t="s">
        <v>1381</v>
      </c>
      <c r="C3937" t="s">
        <v>6438</v>
      </c>
      <c r="D3937" t="s">
        <v>13035</v>
      </c>
      <c r="E3937" t="s">
        <v>16609</v>
      </c>
      <c r="F3937" t="s">
        <v>22436</v>
      </c>
      <c r="G3937" t="s">
        <v>22443</v>
      </c>
      <c r="H3937" t="s">
        <v>22452</v>
      </c>
      <c r="I3937" t="s">
        <v>22468</v>
      </c>
      <c r="J3937" t="s">
        <v>22704</v>
      </c>
      <c r="K3937" t="s">
        <v>29331</v>
      </c>
      <c r="M3937" t="s">
        <v>31039</v>
      </c>
      <c r="N3937" t="s">
        <v>32524</v>
      </c>
      <c r="O3937" t="s">
        <v>32525</v>
      </c>
      <c r="P3937">
        <v>0</v>
      </c>
      <c r="Q3937">
        <v>1</v>
      </c>
      <c r="R3937" t="s">
        <v>32530</v>
      </c>
      <c r="S3937" t="s">
        <v>32568</v>
      </c>
      <c r="T3937" t="s">
        <v>33161</v>
      </c>
      <c r="U3937" t="s">
        <v>36979</v>
      </c>
      <c r="V3937" t="s">
        <v>42836</v>
      </c>
      <c r="W3937" t="s">
        <v>31039</v>
      </c>
      <c r="X3937" t="s">
        <v>32531</v>
      </c>
    </row>
    <row r="3938" spans="1:24">
      <c r="A3938">
        <f>HYPERLINK("https://www.philgeps.gov.ph/GEPSNONPILOT/Tender/SplashBidNoticeAbstractUI.aspx?menuIndex=3&amp;refID=7041995&amp;Result=3","7041995")</f>
        <v>0</v>
      </c>
      <c r="B3938" t="s">
        <v>516</v>
      </c>
      <c r="C3938" t="s">
        <v>6439</v>
      </c>
      <c r="D3938" t="s">
        <v>13067</v>
      </c>
      <c r="E3938" t="s">
        <v>16610</v>
      </c>
      <c r="F3938" t="s">
        <v>22437</v>
      </c>
      <c r="G3938" t="s">
        <v>22443</v>
      </c>
      <c r="H3938" t="s">
        <v>22453</v>
      </c>
      <c r="I3938" t="s">
        <v>22480</v>
      </c>
      <c r="J3938" t="s">
        <v>22589</v>
      </c>
      <c r="K3938" t="s">
        <v>29336</v>
      </c>
      <c r="M3938" t="s">
        <v>30100</v>
      </c>
      <c r="N3938" t="s">
        <v>32524</v>
      </c>
      <c r="O3938" t="s">
        <v>32525</v>
      </c>
      <c r="P3938">
        <v>0</v>
      </c>
      <c r="Q3938">
        <v>2</v>
      </c>
      <c r="R3938" t="s">
        <v>32530</v>
      </c>
      <c r="S3938" t="s">
        <v>32568</v>
      </c>
      <c r="T3938" t="s">
        <v>33154</v>
      </c>
      <c r="U3938" t="s">
        <v>36980</v>
      </c>
      <c r="W3938" t="s">
        <v>30100</v>
      </c>
      <c r="X3938" t="s">
        <v>32531</v>
      </c>
    </row>
    <row r="3939" spans="1:24">
      <c r="A3939">
        <f>HYPERLINK("https://www.philgeps.gov.ph/GEPSNONPILOT/Tender/SplashBidNoticeAbstractUI.aspx?menuIndex=3&amp;refID=7041997&amp;Result=3","7041997")</f>
        <v>0</v>
      </c>
      <c r="B3939" t="s">
        <v>1323</v>
      </c>
      <c r="C3939" t="s">
        <v>6440</v>
      </c>
      <c r="E3939" t="s">
        <v>16611</v>
      </c>
      <c r="F3939" t="s">
        <v>22436</v>
      </c>
      <c r="G3939" t="s">
        <v>22444</v>
      </c>
      <c r="H3939" t="s">
        <v>22454</v>
      </c>
      <c r="I3939" t="s">
        <v>7738</v>
      </c>
      <c r="J3939" t="s">
        <v>23350</v>
      </c>
      <c r="K3939" t="s">
        <v>29338</v>
      </c>
      <c r="M3939" t="s">
        <v>30978</v>
      </c>
      <c r="N3939" t="s">
        <v>32524</v>
      </c>
      <c r="O3939" t="s">
        <v>32525</v>
      </c>
      <c r="P3939">
        <v>0</v>
      </c>
      <c r="Q3939">
        <v>0</v>
      </c>
      <c r="R3939" t="s">
        <v>32530</v>
      </c>
      <c r="S3939" t="s">
        <v>32568</v>
      </c>
      <c r="T3939" t="s">
        <v>33424</v>
      </c>
      <c r="U3939" t="s">
        <v>36956</v>
      </c>
      <c r="W3939" t="s">
        <v>30978</v>
      </c>
      <c r="X3939" t="s">
        <v>32531</v>
      </c>
    </row>
    <row r="3940" spans="1:24">
      <c r="A3940">
        <f>HYPERLINK("https://www.philgeps.gov.ph/GEPSNONPILOT/Tender/SplashBidNoticeAbstractUI.aspx?menuIndex=3&amp;refID=7041999&amp;Result=3","7041999")</f>
        <v>0</v>
      </c>
      <c r="B3940" t="s">
        <v>1350</v>
      </c>
      <c r="C3940" t="s">
        <v>6441</v>
      </c>
      <c r="D3940" t="s">
        <v>13013</v>
      </c>
      <c r="E3940" t="s">
        <v>16612</v>
      </c>
      <c r="F3940" t="s">
        <v>22436</v>
      </c>
      <c r="G3940" t="s">
        <v>22446</v>
      </c>
      <c r="H3940" t="s">
        <v>22452</v>
      </c>
      <c r="I3940" t="s">
        <v>22467</v>
      </c>
      <c r="J3940" t="s">
        <v>23096</v>
      </c>
      <c r="K3940" t="s">
        <v>29337</v>
      </c>
      <c r="M3940" t="s">
        <v>31006</v>
      </c>
      <c r="N3940" t="s">
        <v>32524</v>
      </c>
      <c r="O3940" t="s">
        <v>32525</v>
      </c>
      <c r="P3940">
        <v>0</v>
      </c>
      <c r="Q3940">
        <v>0</v>
      </c>
      <c r="R3940" t="s">
        <v>32530</v>
      </c>
      <c r="S3940" t="s">
        <v>32568</v>
      </c>
      <c r="T3940" t="s">
        <v>33197</v>
      </c>
      <c r="U3940" t="s">
        <v>36981</v>
      </c>
      <c r="W3940" t="s">
        <v>31006</v>
      </c>
      <c r="X3940" t="s">
        <v>32531</v>
      </c>
    </row>
    <row r="3941" spans="1:24">
      <c r="A3941">
        <f>HYPERLINK("https://www.philgeps.gov.ph/GEPSNONPILOT/Tender/SplashBidNoticeAbstractUI.aspx?menuIndex=3&amp;refID=7042024&amp;Result=3","7042024")</f>
        <v>0</v>
      </c>
      <c r="B3941" t="s">
        <v>1414</v>
      </c>
      <c r="C3941" t="s">
        <v>6442</v>
      </c>
      <c r="D3941" t="s">
        <v>13032</v>
      </c>
      <c r="E3941" t="s">
        <v>13743</v>
      </c>
      <c r="F3941" t="s">
        <v>22436</v>
      </c>
      <c r="G3941" t="s">
        <v>22444</v>
      </c>
      <c r="H3941" t="s">
        <v>22454</v>
      </c>
      <c r="I3941" t="s">
        <v>7738</v>
      </c>
      <c r="J3941" t="s">
        <v>25204</v>
      </c>
      <c r="K3941" t="s">
        <v>29337</v>
      </c>
      <c r="M3941" t="s">
        <v>31075</v>
      </c>
      <c r="N3941" t="s">
        <v>32524</v>
      </c>
      <c r="O3941" t="s">
        <v>32525</v>
      </c>
      <c r="P3941">
        <v>0</v>
      </c>
      <c r="Q3941">
        <v>0</v>
      </c>
      <c r="R3941" t="s">
        <v>32530</v>
      </c>
      <c r="S3941" t="s">
        <v>32568</v>
      </c>
      <c r="T3941" t="s">
        <v>33161</v>
      </c>
      <c r="U3941" t="s">
        <v>36982</v>
      </c>
      <c r="W3941" t="s">
        <v>31075</v>
      </c>
      <c r="X3941" t="s">
        <v>32531</v>
      </c>
    </row>
    <row r="3942" spans="1:24">
      <c r="A3942">
        <f>HYPERLINK("https://www.philgeps.gov.ph/GEPSNONPILOT/Tender/SplashBidNoticeAbstractUI.aspx?menuIndex=3&amp;refID=7042020&amp;Result=3","7042020")</f>
        <v>0</v>
      </c>
      <c r="B3942" t="s">
        <v>1323</v>
      </c>
      <c r="C3942" t="s">
        <v>6443</v>
      </c>
      <c r="E3942" t="s">
        <v>16613</v>
      </c>
      <c r="F3942" t="s">
        <v>22436</v>
      </c>
      <c r="G3942" t="s">
        <v>22444</v>
      </c>
      <c r="H3942" t="s">
        <v>22454</v>
      </c>
      <c r="I3942" t="s">
        <v>7738</v>
      </c>
      <c r="J3942" t="s">
        <v>23350</v>
      </c>
      <c r="K3942" t="s">
        <v>29338</v>
      </c>
      <c r="M3942" t="s">
        <v>30978</v>
      </c>
      <c r="N3942" t="s">
        <v>32524</v>
      </c>
      <c r="O3942" t="s">
        <v>32525</v>
      </c>
      <c r="P3942">
        <v>0</v>
      </c>
      <c r="Q3942">
        <v>0</v>
      </c>
      <c r="R3942" t="s">
        <v>32530</v>
      </c>
      <c r="S3942" t="s">
        <v>32568</v>
      </c>
      <c r="T3942" t="s">
        <v>33424</v>
      </c>
      <c r="U3942" t="s">
        <v>36956</v>
      </c>
      <c r="W3942" t="s">
        <v>30978</v>
      </c>
      <c r="X3942" t="s">
        <v>32531</v>
      </c>
    </row>
    <row r="3943" spans="1:24">
      <c r="A3943">
        <f>HYPERLINK("https://www.philgeps.gov.ph/GEPSNONPILOT/Tender/SplashBidNoticeAbstractUI.aspx?menuIndex=3&amp;refID=7042018&amp;Result=3","7042018")</f>
        <v>0</v>
      </c>
      <c r="B3943" t="s">
        <v>1381</v>
      </c>
      <c r="C3943" t="s">
        <v>6444</v>
      </c>
      <c r="D3943" t="s">
        <v>13035</v>
      </c>
      <c r="E3943" t="s">
        <v>16614</v>
      </c>
      <c r="F3943" t="s">
        <v>22436</v>
      </c>
      <c r="G3943" t="s">
        <v>22443</v>
      </c>
      <c r="H3943" t="s">
        <v>22452</v>
      </c>
      <c r="I3943" t="s">
        <v>22493</v>
      </c>
      <c r="J3943" t="s">
        <v>23226</v>
      </c>
      <c r="K3943" t="s">
        <v>29331</v>
      </c>
      <c r="M3943" t="s">
        <v>31039</v>
      </c>
      <c r="N3943" t="s">
        <v>32524</v>
      </c>
      <c r="O3943" t="s">
        <v>32525</v>
      </c>
      <c r="P3943">
        <v>0</v>
      </c>
      <c r="Q3943">
        <v>1</v>
      </c>
      <c r="R3943" t="s">
        <v>32530</v>
      </c>
      <c r="S3943" t="s">
        <v>32568</v>
      </c>
      <c r="T3943" t="s">
        <v>33161</v>
      </c>
      <c r="U3943" t="s">
        <v>36983</v>
      </c>
      <c r="V3943" t="s">
        <v>42837</v>
      </c>
      <c r="W3943" t="s">
        <v>31039</v>
      </c>
      <c r="X3943" t="s">
        <v>32531</v>
      </c>
    </row>
    <row r="3944" spans="1:24">
      <c r="A3944">
        <f>HYPERLINK("https://www.philgeps.gov.ph/GEPSNONPILOT/Tender/SplashBidNoticeAbstractUI.aspx?menuIndex=3&amp;refID=7042005&amp;Result=3","7042005")</f>
        <v>0</v>
      </c>
      <c r="B3944" t="s">
        <v>326</v>
      </c>
      <c r="C3944" t="s">
        <v>6445</v>
      </c>
      <c r="D3944" t="s">
        <v>13046</v>
      </c>
      <c r="E3944" t="s">
        <v>14104</v>
      </c>
      <c r="F3944" t="s">
        <v>22436</v>
      </c>
      <c r="G3944" t="s">
        <v>22443</v>
      </c>
      <c r="H3944" t="s">
        <v>22452</v>
      </c>
      <c r="I3944" t="s">
        <v>22502</v>
      </c>
      <c r="J3944" t="s">
        <v>22589</v>
      </c>
      <c r="K3944" t="s">
        <v>29341</v>
      </c>
      <c r="M3944" t="s">
        <v>29902</v>
      </c>
      <c r="N3944" t="s">
        <v>32524</v>
      </c>
      <c r="O3944" t="s">
        <v>32525</v>
      </c>
      <c r="P3944">
        <v>0</v>
      </c>
      <c r="Q3944">
        <v>17</v>
      </c>
      <c r="R3944" t="s">
        <v>32530</v>
      </c>
      <c r="S3944" t="s">
        <v>32568</v>
      </c>
      <c r="T3944" t="s">
        <v>33296</v>
      </c>
      <c r="U3944" t="s">
        <v>36984</v>
      </c>
      <c r="W3944" t="s">
        <v>29902</v>
      </c>
      <c r="X3944" t="s">
        <v>32531</v>
      </c>
    </row>
    <row r="3945" spans="1:24">
      <c r="A3945">
        <f>HYPERLINK("https://www.philgeps.gov.ph/GEPSNONPILOT/Tender/SplashBidNoticeAbstractUI.aspx?menuIndex=3&amp;refID=7042033&amp;Result=3","7042033")</f>
        <v>0</v>
      </c>
      <c r="B3945" t="s">
        <v>1345</v>
      </c>
      <c r="C3945" t="s">
        <v>6446</v>
      </c>
      <c r="D3945" t="s">
        <v>13004</v>
      </c>
      <c r="E3945" t="s">
        <v>16615</v>
      </c>
      <c r="F3945" t="s">
        <v>22436</v>
      </c>
      <c r="G3945" t="s">
        <v>22443</v>
      </c>
      <c r="H3945" t="s">
        <v>22452</v>
      </c>
      <c r="I3945" t="s">
        <v>22456</v>
      </c>
      <c r="J3945" t="s">
        <v>25205</v>
      </c>
      <c r="K3945" t="s">
        <v>29336</v>
      </c>
      <c r="M3945" t="s">
        <v>31000</v>
      </c>
      <c r="N3945" t="s">
        <v>32524</v>
      </c>
      <c r="O3945" t="s">
        <v>32525</v>
      </c>
      <c r="P3945">
        <v>0</v>
      </c>
      <c r="Q3945">
        <v>5</v>
      </c>
      <c r="R3945" t="s">
        <v>32530</v>
      </c>
      <c r="S3945" t="s">
        <v>32568</v>
      </c>
      <c r="T3945" t="s">
        <v>33322</v>
      </c>
      <c r="U3945" t="s">
        <v>36985</v>
      </c>
      <c r="W3945" t="s">
        <v>31000</v>
      </c>
      <c r="X3945" t="s">
        <v>32531</v>
      </c>
    </row>
    <row r="3946" spans="1:24">
      <c r="A3946">
        <f>HYPERLINK("https://www.philgeps.gov.ph/GEPSNONPILOT/Tender/SplashBidNoticeAbstractUI.aspx?menuIndex=3&amp;refID=7042004&amp;Result=3","7042004")</f>
        <v>0</v>
      </c>
      <c r="B3946" t="s">
        <v>1381</v>
      </c>
      <c r="C3946" t="s">
        <v>6447</v>
      </c>
      <c r="D3946" t="s">
        <v>13035</v>
      </c>
      <c r="E3946" t="s">
        <v>16616</v>
      </c>
      <c r="F3946" t="s">
        <v>22436</v>
      </c>
      <c r="G3946" t="s">
        <v>22443</v>
      </c>
      <c r="H3946" t="s">
        <v>22452</v>
      </c>
      <c r="I3946" t="s">
        <v>3529</v>
      </c>
      <c r="J3946" t="s">
        <v>25206</v>
      </c>
      <c r="K3946" t="s">
        <v>29331</v>
      </c>
      <c r="M3946" t="s">
        <v>31039</v>
      </c>
      <c r="N3946" t="s">
        <v>32524</v>
      </c>
      <c r="O3946" t="s">
        <v>32525</v>
      </c>
      <c r="P3946">
        <v>0</v>
      </c>
      <c r="Q3946">
        <v>0</v>
      </c>
      <c r="R3946" t="s">
        <v>32530</v>
      </c>
      <c r="S3946" t="s">
        <v>32568</v>
      </c>
      <c r="T3946" t="s">
        <v>33161</v>
      </c>
      <c r="U3946" t="s">
        <v>36957</v>
      </c>
      <c r="V3946" t="s">
        <v>42838</v>
      </c>
      <c r="W3946" t="s">
        <v>31039</v>
      </c>
      <c r="X3946" t="s">
        <v>32531</v>
      </c>
    </row>
    <row r="3947" spans="1:24">
      <c r="A3947">
        <f>HYPERLINK("https://www.philgeps.gov.ph/GEPSNONPILOT/Tender/SplashBidNoticeAbstractUI.aspx?menuIndex=3&amp;refID=7042019&amp;Result=3","7042019")</f>
        <v>0</v>
      </c>
      <c r="B3947" t="s">
        <v>282</v>
      </c>
      <c r="C3947" t="s">
        <v>6448</v>
      </c>
      <c r="D3947" t="s">
        <v>13002</v>
      </c>
      <c r="E3947" t="s">
        <v>16617</v>
      </c>
      <c r="F3947" t="s">
        <v>22436</v>
      </c>
      <c r="G3947" t="s">
        <v>22444</v>
      </c>
      <c r="H3947" t="s">
        <v>22454</v>
      </c>
      <c r="I3947" t="s">
        <v>7738</v>
      </c>
      <c r="J3947" t="s">
        <v>25207</v>
      </c>
      <c r="K3947" t="s">
        <v>29344</v>
      </c>
      <c r="M3947" t="s">
        <v>31069</v>
      </c>
      <c r="N3947" t="s">
        <v>32524</v>
      </c>
      <c r="O3947" t="s">
        <v>32525</v>
      </c>
      <c r="P3947">
        <v>0</v>
      </c>
      <c r="Q3947">
        <v>1</v>
      </c>
      <c r="R3947" t="s">
        <v>32530</v>
      </c>
      <c r="S3947" t="s">
        <v>32568</v>
      </c>
      <c r="T3947" t="s">
        <v>33191</v>
      </c>
      <c r="U3947" t="s">
        <v>36972</v>
      </c>
      <c r="V3947" t="s">
        <v>42839</v>
      </c>
      <c r="W3947" t="s">
        <v>31069</v>
      </c>
      <c r="X3947" t="s">
        <v>32531</v>
      </c>
    </row>
    <row r="3948" spans="1:24">
      <c r="A3948">
        <f>HYPERLINK("https://www.philgeps.gov.ph/GEPSNONPILOT/Tender/SplashBidNoticeAbstractUI.aspx?menuIndex=3&amp;refID=7042029&amp;Result=3","7042029")</f>
        <v>0</v>
      </c>
      <c r="B3948" t="s">
        <v>1381</v>
      </c>
      <c r="C3948" t="s">
        <v>6449</v>
      </c>
      <c r="D3948" t="s">
        <v>13035</v>
      </c>
      <c r="E3948" t="s">
        <v>16618</v>
      </c>
      <c r="F3948" t="s">
        <v>22436</v>
      </c>
      <c r="G3948" t="s">
        <v>22443</v>
      </c>
      <c r="H3948" t="s">
        <v>22452</v>
      </c>
      <c r="I3948" t="s">
        <v>22493</v>
      </c>
      <c r="J3948" t="s">
        <v>22928</v>
      </c>
      <c r="K3948" t="s">
        <v>29331</v>
      </c>
      <c r="M3948" t="s">
        <v>31039</v>
      </c>
      <c r="N3948" t="s">
        <v>32524</v>
      </c>
      <c r="O3948" t="s">
        <v>32525</v>
      </c>
      <c r="P3948">
        <v>0</v>
      </c>
      <c r="Q3948">
        <v>0</v>
      </c>
      <c r="R3948" t="s">
        <v>32530</v>
      </c>
      <c r="S3948" t="s">
        <v>32568</v>
      </c>
      <c r="T3948" t="s">
        <v>33161</v>
      </c>
      <c r="U3948" t="s">
        <v>36986</v>
      </c>
      <c r="V3948" t="s">
        <v>42840</v>
      </c>
      <c r="W3948" t="s">
        <v>31039</v>
      </c>
      <c r="X3948" t="s">
        <v>32531</v>
      </c>
    </row>
    <row r="3949" spans="1:24">
      <c r="A3949">
        <f>HYPERLINK("https://www.philgeps.gov.ph/GEPSNONPILOT/Tender/SplashBidNoticeAbstractUI.aspx?menuIndex=3&amp;refID=7042000&amp;Result=3","7042000")</f>
        <v>0</v>
      </c>
      <c r="B3949" t="s">
        <v>1107</v>
      </c>
      <c r="C3949" t="s">
        <v>6450</v>
      </c>
      <c r="D3949" t="s">
        <v>13035</v>
      </c>
      <c r="E3949" t="s">
        <v>16484</v>
      </c>
      <c r="F3949" t="s">
        <v>22436</v>
      </c>
      <c r="G3949" t="s">
        <v>22444</v>
      </c>
      <c r="H3949" t="s">
        <v>22452</v>
      </c>
      <c r="I3949" t="s">
        <v>22467</v>
      </c>
      <c r="J3949" t="s">
        <v>25208</v>
      </c>
      <c r="K3949" t="s">
        <v>29331</v>
      </c>
      <c r="M3949" t="s">
        <v>30743</v>
      </c>
      <c r="N3949" t="s">
        <v>32524</v>
      </c>
      <c r="O3949" t="s">
        <v>32525</v>
      </c>
      <c r="P3949">
        <v>0</v>
      </c>
      <c r="Q3949">
        <v>0</v>
      </c>
      <c r="R3949" t="s">
        <v>32530</v>
      </c>
      <c r="S3949" t="s">
        <v>32568</v>
      </c>
      <c r="T3949" t="s">
        <v>33285</v>
      </c>
      <c r="U3949" t="s">
        <v>36987</v>
      </c>
      <c r="V3949" t="s">
        <v>42841</v>
      </c>
      <c r="W3949" t="s">
        <v>30743</v>
      </c>
      <c r="X3949" t="s">
        <v>32531</v>
      </c>
    </row>
    <row r="3950" spans="1:24">
      <c r="A3950">
        <f>HYPERLINK("https://www.philgeps.gov.ph/GEPSNONPILOT/Tender/SplashBidNoticeAbstractUI.aspx?menuIndex=3&amp;refID=7042022&amp;Result=3","7042022")</f>
        <v>0</v>
      </c>
      <c r="B3950" t="s">
        <v>1415</v>
      </c>
      <c r="C3950" t="s">
        <v>6451</v>
      </c>
      <c r="D3950" t="s">
        <v>12999</v>
      </c>
      <c r="E3950" t="s">
        <v>15628</v>
      </c>
      <c r="F3950" t="s">
        <v>22436</v>
      </c>
      <c r="G3950" t="s">
        <v>22444</v>
      </c>
      <c r="H3950" t="s">
        <v>22452</v>
      </c>
      <c r="I3950" t="s">
        <v>22457</v>
      </c>
      <c r="J3950" t="s">
        <v>25209</v>
      </c>
      <c r="K3950" t="s">
        <v>29353</v>
      </c>
      <c r="M3950" t="s">
        <v>31076</v>
      </c>
      <c r="N3950" t="s">
        <v>32524</v>
      </c>
      <c r="O3950" t="s">
        <v>32525</v>
      </c>
      <c r="P3950">
        <v>0</v>
      </c>
      <c r="Q3950">
        <v>4</v>
      </c>
      <c r="R3950" t="s">
        <v>32530</v>
      </c>
      <c r="S3950" t="s">
        <v>32568</v>
      </c>
      <c r="T3950" t="s">
        <v>33345</v>
      </c>
      <c r="U3950" t="s">
        <v>36988</v>
      </c>
      <c r="V3950" t="s">
        <v>42842</v>
      </c>
      <c r="W3950" t="s">
        <v>31076</v>
      </c>
      <c r="X3950" t="s">
        <v>32531</v>
      </c>
    </row>
    <row r="3951" spans="1:24">
      <c r="A3951">
        <f>HYPERLINK("https://www.philgeps.gov.ph/GEPSNONPILOT/Tender/SplashBidNoticeAbstractUI.aspx?menuIndex=3&amp;refID=7042040&amp;Result=3","7042040")</f>
        <v>0</v>
      </c>
      <c r="B3951" t="s">
        <v>279</v>
      </c>
      <c r="C3951" t="s">
        <v>6452</v>
      </c>
      <c r="D3951" t="s">
        <v>13010</v>
      </c>
      <c r="E3951" t="s">
        <v>16619</v>
      </c>
      <c r="F3951" t="s">
        <v>22436</v>
      </c>
      <c r="G3951" t="s">
        <v>22443</v>
      </c>
      <c r="H3951" t="s">
        <v>22452</v>
      </c>
      <c r="I3951" t="s">
        <v>4688</v>
      </c>
      <c r="J3951" t="s">
        <v>25210</v>
      </c>
      <c r="K3951" t="s">
        <v>29336</v>
      </c>
      <c r="M3951" t="s">
        <v>29853</v>
      </c>
      <c r="N3951" t="s">
        <v>32524</v>
      </c>
      <c r="O3951" t="s">
        <v>32525</v>
      </c>
      <c r="P3951">
        <v>0</v>
      </c>
      <c r="Q3951">
        <v>3</v>
      </c>
      <c r="R3951" t="s">
        <v>32530</v>
      </c>
      <c r="S3951" t="s">
        <v>32568</v>
      </c>
      <c r="T3951" t="s">
        <v>33181</v>
      </c>
      <c r="U3951" t="s">
        <v>34167</v>
      </c>
      <c r="W3951" t="s">
        <v>29853</v>
      </c>
      <c r="X3951" t="s">
        <v>32531</v>
      </c>
    </row>
    <row r="3952" spans="1:24">
      <c r="A3952">
        <f>HYPERLINK("https://www.philgeps.gov.ph/GEPSNONPILOT/Tender/SplashBidNoticeAbstractUI.aspx?menuIndex=3&amp;refID=7042003&amp;Result=3","7042003")</f>
        <v>0</v>
      </c>
      <c r="B3952" t="s">
        <v>279</v>
      </c>
      <c r="C3952" t="s">
        <v>6453</v>
      </c>
      <c r="D3952" t="s">
        <v>13010</v>
      </c>
      <c r="E3952" t="s">
        <v>16620</v>
      </c>
      <c r="F3952" t="s">
        <v>22436</v>
      </c>
      <c r="G3952" t="s">
        <v>22443</v>
      </c>
      <c r="H3952" t="s">
        <v>22452</v>
      </c>
      <c r="I3952" t="s">
        <v>3827</v>
      </c>
      <c r="J3952" t="s">
        <v>25211</v>
      </c>
      <c r="K3952" t="s">
        <v>29336</v>
      </c>
      <c r="M3952" t="s">
        <v>29853</v>
      </c>
      <c r="N3952" t="s">
        <v>32524</v>
      </c>
      <c r="O3952" t="s">
        <v>32525</v>
      </c>
      <c r="P3952">
        <v>0</v>
      </c>
      <c r="Q3952">
        <v>2</v>
      </c>
      <c r="R3952" t="s">
        <v>32530</v>
      </c>
      <c r="S3952" t="s">
        <v>32568</v>
      </c>
      <c r="T3952" t="s">
        <v>33181</v>
      </c>
      <c r="U3952" t="s">
        <v>34167</v>
      </c>
      <c r="W3952" t="s">
        <v>29853</v>
      </c>
      <c r="X3952" t="s">
        <v>32531</v>
      </c>
    </row>
    <row r="3953" spans="1:24">
      <c r="A3953">
        <f>HYPERLINK("https://www.philgeps.gov.ph/GEPSNONPILOT/Tender/SplashBidNoticeAbstractUI.aspx?menuIndex=3&amp;refID=7042038&amp;Result=3","7042038")</f>
        <v>0</v>
      </c>
      <c r="B3953" t="s">
        <v>178</v>
      </c>
      <c r="C3953" t="s">
        <v>6454</v>
      </c>
      <c r="D3953" t="s">
        <v>13046</v>
      </c>
      <c r="E3953" t="s">
        <v>14994</v>
      </c>
      <c r="F3953" t="s">
        <v>22436</v>
      </c>
      <c r="G3953" t="s">
        <v>22443</v>
      </c>
      <c r="H3953" t="s">
        <v>22452</v>
      </c>
      <c r="I3953" t="s">
        <v>22469</v>
      </c>
      <c r="J3953" t="s">
        <v>23599</v>
      </c>
      <c r="K3953" t="s">
        <v>29341</v>
      </c>
      <c r="M3953" t="s">
        <v>29750</v>
      </c>
      <c r="N3953" t="s">
        <v>32524</v>
      </c>
      <c r="O3953" t="s">
        <v>32525</v>
      </c>
      <c r="P3953">
        <v>0</v>
      </c>
      <c r="Q3953">
        <v>2</v>
      </c>
      <c r="R3953" t="s">
        <v>32530</v>
      </c>
      <c r="S3953" t="s">
        <v>32568</v>
      </c>
      <c r="T3953" t="s">
        <v>33419</v>
      </c>
      <c r="U3953" t="s">
        <v>36989</v>
      </c>
      <c r="W3953" t="s">
        <v>29750</v>
      </c>
      <c r="X3953" t="s">
        <v>32531</v>
      </c>
    </row>
    <row r="3954" spans="1:24">
      <c r="A3954">
        <f>HYPERLINK("https://www.philgeps.gov.ph/GEPSNONPILOT/Tender/SplashBidNoticeAbstractUI.aspx?menuIndex=3&amp;refID=7042032&amp;Result=3","7042032")</f>
        <v>0</v>
      </c>
      <c r="B3954" t="s">
        <v>460</v>
      </c>
      <c r="C3954" t="s">
        <v>6455</v>
      </c>
      <c r="D3954" t="s">
        <v>13023</v>
      </c>
      <c r="E3954" t="s">
        <v>16621</v>
      </c>
      <c r="F3954" t="s">
        <v>22436</v>
      </c>
      <c r="G3954" t="s">
        <v>22444</v>
      </c>
      <c r="H3954" t="s">
        <v>22452</v>
      </c>
      <c r="I3954" t="s">
        <v>22561</v>
      </c>
      <c r="J3954" t="s">
        <v>25185</v>
      </c>
      <c r="K3954" t="s">
        <v>29341</v>
      </c>
      <c r="M3954" t="s">
        <v>30042</v>
      </c>
      <c r="N3954" t="s">
        <v>32524</v>
      </c>
      <c r="O3954" t="s">
        <v>32525</v>
      </c>
      <c r="P3954">
        <v>0</v>
      </c>
      <c r="Q3954">
        <v>1</v>
      </c>
      <c r="R3954" t="s">
        <v>32530</v>
      </c>
      <c r="S3954" t="s">
        <v>32568</v>
      </c>
      <c r="T3954" t="s">
        <v>33197</v>
      </c>
      <c r="U3954" t="s">
        <v>36990</v>
      </c>
      <c r="W3954" t="s">
        <v>30042</v>
      </c>
      <c r="X3954" t="s">
        <v>32531</v>
      </c>
    </row>
    <row r="3955" spans="1:24">
      <c r="A3955">
        <f>HYPERLINK("https://www.philgeps.gov.ph/GEPSNONPILOT/Tender/SplashBidNoticeAbstractUI.aspx?menuIndex=3&amp;refID=7042041&amp;Result=3","7042041")</f>
        <v>0</v>
      </c>
      <c r="B3955" t="s">
        <v>1267</v>
      </c>
      <c r="C3955" t="s">
        <v>6456</v>
      </c>
      <c r="D3955" t="s">
        <v>13031</v>
      </c>
      <c r="E3955" t="s">
        <v>16622</v>
      </c>
      <c r="F3955" t="s">
        <v>22438</v>
      </c>
      <c r="G3955" t="s">
        <v>22446</v>
      </c>
      <c r="H3955" t="s">
        <v>22452</v>
      </c>
      <c r="I3955" t="s">
        <v>22519</v>
      </c>
      <c r="J3955" t="s">
        <v>25212</v>
      </c>
      <c r="K3955" t="s">
        <v>29335</v>
      </c>
      <c r="M3955" t="s">
        <v>30920</v>
      </c>
      <c r="N3955" t="s">
        <v>32524</v>
      </c>
      <c r="O3955" t="s">
        <v>32525</v>
      </c>
      <c r="P3955">
        <v>0</v>
      </c>
      <c r="Q3955">
        <v>0</v>
      </c>
      <c r="R3955" t="s">
        <v>32530</v>
      </c>
      <c r="S3955" t="s">
        <v>32568</v>
      </c>
      <c r="T3955" t="s">
        <v>33161</v>
      </c>
      <c r="U3955" t="s">
        <v>36991</v>
      </c>
      <c r="W3955" t="s">
        <v>30920</v>
      </c>
      <c r="X3955" t="s">
        <v>32531</v>
      </c>
    </row>
    <row r="3956" spans="1:24">
      <c r="A3956">
        <f>HYPERLINK("https://www.philgeps.gov.ph/GEPSNONPILOT/Tender/SplashBidNoticeAbstractUI.aspx?menuIndex=3&amp;refID=7042039&amp;Result=3","7042039")</f>
        <v>0</v>
      </c>
      <c r="B3956" t="s">
        <v>1416</v>
      </c>
      <c r="C3956" t="s">
        <v>6457</v>
      </c>
      <c r="D3956" t="s">
        <v>13012</v>
      </c>
      <c r="E3956" t="s">
        <v>16623</v>
      </c>
      <c r="F3956" t="s">
        <v>22436</v>
      </c>
      <c r="G3956" t="s">
        <v>22444</v>
      </c>
      <c r="H3956" t="s">
        <v>22452</v>
      </c>
      <c r="I3956" t="s">
        <v>22562</v>
      </c>
      <c r="J3956" t="s">
        <v>22911</v>
      </c>
      <c r="K3956" t="s">
        <v>29335</v>
      </c>
      <c r="M3956" t="s">
        <v>31077</v>
      </c>
      <c r="N3956" t="s">
        <v>32524</v>
      </c>
      <c r="O3956" t="s">
        <v>32525</v>
      </c>
      <c r="P3956">
        <v>0</v>
      </c>
      <c r="Q3956">
        <v>2</v>
      </c>
      <c r="R3956" t="s">
        <v>32530</v>
      </c>
      <c r="S3956" t="s">
        <v>32568</v>
      </c>
      <c r="T3956" t="s">
        <v>33236</v>
      </c>
      <c r="U3956" t="s">
        <v>36992</v>
      </c>
      <c r="W3956" t="s">
        <v>31077</v>
      </c>
      <c r="X3956" t="s">
        <v>32531</v>
      </c>
    </row>
    <row r="3957" spans="1:24">
      <c r="A3957">
        <f>HYPERLINK("https://www.philgeps.gov.ph/GEPSNONPILOT/Tender/SplashBidNoticeAbstractUI.aspx?menuIndex=3&amp;refID=7042031&amp;Result=3","7042031")</f>
        <v>0</v>
      </c>
      <c r="B3957" t="s">
        <v>1417</v>
      </c>
      <c r="C3957" t="s">
        <v>6458</v>
      </c>
      <c r="D3957" t="s">
        <v>13026</v>
      </c>
      <c r="E3957" t="s">
        <v>16624</v>
      </c>
      <c r="F3957" t="s">
        <v>22437</v>
      </c>
      <c r="G3957" t="s">
        <v>22443</v>
      </c>
      <c r="H3957" t="s">
        <v>22452</v>
      </c>
      <c r="I3957" t="s">
        <v>3529</v>
      </c>
      <c r="J3957" t="s">
        <v>25213</v>
      </c>
      <c r="K3957" t="s">
        <v>29336</v>
      </c>
      <c r="M3957" t="s">
        <v>31078</v>
      </c>
      <c r="N3957" t="s">
        <v>32524</v>
      </c>
      <c r="O3957" t="s">
        <v>32525</v>
      </c>
      <c r="P3957">
        <v>0</v>
      </c>
      <c r="Q3957">
        <v>0</v>
      </c>
      <c r="R3957" t="s">
        <v>32530</v>
      </c>
      <c r="S3957" t="s">
        <v>32568</v>
      </c>
      <c r="T3957" t="s">
        <v>33210</v>
      </c>
      <c r="U3957" t="s">
        <v>36993</v>
      </c>
      <c r="W3957" t="s">
        <v>31078</v>
      </c>
      <c r="X3957" t="s">
        <v>32531</v>
      </c>
    </row>
    <row r="3958" spans="1:24">
      <c r="A3958">
        <f>HYPERLINK("https://www.philgeps.gov.ph/GEPSNONPILOT/Tender/SplashBidNoticeAbstractUI.aspx?menuIndex=3&amp;refID=7042043&amp;Result=3","7042043")</f>
        <v>0</v>
      </c>
      <c r="B3958" t="s">
        <v>1323</v>
      </c>
      <c r="C3958" t="s">
        <v>6459</v>
      </c>
      <c r="E3958" t="s">
        <v>16625</v>
      </c>
      <c r="F3958" t="s">
        <v>22436</v>
      </c>
      <c r="G3958" t="s">
        <v>22444</v>
      </c>
      <c r="H3958" t="s">
        <v>22454</v>
      </c>
      <c r="I3958" t="s">
        <v>7738</v>
      </c>
      <c r="J3958" t="s">
        <v>25214</v>
      </c>
      <c r="K3958" t="s">
        <v>29338</v>
      </c>
      <c r="M3958" t="s">
        <v>30978</v>
      </c>
      <c r="N3958" t="s">
        <v>32524</v>
      </c>
      <c r="O3958" t="s">
        <v>32525</v>
      </c>
      <c r="P3958">
        <v>0</v>
      </c>
      <c r="Q3958">
        <v>0</v>
      </c>
      <c r="R3958" t="s">
        <v>32530</v>
      </c>
      <c r="S3958" t="s">
        <v>32568</v>
      </c>
      <c r="T3958" t="s">
        <v>33424</v>
      </c>
      <c r="U3958" t="s">
        <v>36956</v>
      </c>
      <c r="W3958" t="s">
        <v>30978</v>
      </c>
      <c r="X3958" t="s">
        <v>32531</v>
      </c>
    </row>
    <row r="3959" spans="1:24">
      <c r="A3959">
        <f>HYPERLINK("https://www.philgeps.gov.ph/GEPSNONPILOT/Tender/SplashBidNoticeAbstractUI.aspx?menuIndex=3&amp;refID=7042064&amp;Result=3","7042064")</f>
        <v>0</v>
      </c>
      <c r="B3959" t="s">
        <v>512</v>
      </c>
      <c r="C3959" t="s">
        <v>6460</v>
      </c>
      <c r="D3959" t="s">
        <v>12995</v>
      </c>
      <c r="E3959" t="s">
        <v>16626</v>
      </c>
      <c r="F3959" t="s">
        <v>22436</v>
      </c>
      <c r="G3959" t="s">
        <v>22443</v>
      </c>
      <c r="H3959" t="s">
        <v>22452</v>
      </c>
      <c r="I3959" t="s">
        <v>22474</v>
      </c>
      <c r="J3959" t="s">
        <v>25215</v>
      </c>
      <c r="K3959" t="s">
        <v>29336</v>
      </c>
      <c r="M3959" t="s">
        <v>30096</v>
      </c>
      <c r="N3959" t="s">
        <v>32524</v>
      </c>
      <c r="O3959" t="s">
        <v>32525</v>
      </c>
      <c r="P3959">
        <v>0</v>
      </c>
      <c r="Q3959">
        <v>0</v>
      </c>
      <c r="R3959" t="s">
        <v>32530</v>
      </c>
      <c r="S3959" t="s">
        <v>32568</v>
      </c>
      <c r="T3959" t="s">
        <v>33167</v>
      </c>
      <c r="U3959" t="s">
        <v>34661</v>
      </c>
      <c r="W3959" t="s">
        <v>30096</v>
      </c>
      <c r="X3959" t="s">
        <v>32531</v>
      </c>
    </row>
    <row r="3960" spans="1:24">
      <c r="A3960">
        <f>HYPERLINK("https://www.philgeps.gov.ph/GEPSNONPILOT/Tender/SplashBidNoticeAbstractUI.aspx?menuIndex=3&amp;refID=7042078&amp;Result=3","7042078")</f>
        <v>0</v>
      </c>
      <c r="B3960" t="s">
        <v>1121</v>
      </c>
      <c r="C3960" t="s">
        <v>6461</v>
      </c>
      <c r="D3960" t="s">
        <v>13038</v>
      </c>
      <c r="E3960" t="s">
        <v>16627</v>
      </c>
      <c r="F3960" t="s">
        <v>22436</v>
      </c>
      <c r="G3960" t="s">
        <v>22443</v>
      </c>
      <c r="H3960" t="s">
        <v>22452</v>
      </c>
      <c r="I3960" t="s">
        <v>22479</v>
      </c>
      <c r="J3960" t="s">
        <v>22862</v>
      </c>
      <c r="K3960" t="s">
        <v>29335</v>
      </c>
      <c r="M3960" t="s">
        <v>30759</v>
      </c>
      <c r="N3960" t="s">
        <v>32524</v>
      </c>
      <c r="O3960" t="s">
        <v>32525</v>
      </c>
      <c r="P3960">
        <v>0</v>
      </c>
      <c r="Q3960">
        <v>0</v>
      </c>
      <c r="R3960" t="s">
        <v>32530</v>
      </c>
      <c r="S3960" t="s">
        <v>32568</v>
      </c>
      <c r="T3960" t="s">
        <v>33310</v>
      </c>
      <c r="U3960" t="s">
        <v>36994</v>
      </c>
      <c r="W3960" t="s">
        <v>30759</v>
      </c>
      <c r="X3960" t="s">
        <v>32531</v>
      </c>
    </row>
    <row r="3961" spans="1:24">
      <c r="A3961">
        <f>HYPERLINK("https://www.philgeps.gov.ph/GEPSNONPILOT/Tender/SplashBidNoticeAbstractUI.aspx?menuIndex=3&amp;refID=7042057&amp;Result=3","7042057")</f>
        <v>0</v>
      </c>
      <c r="B3961" t="s">
        <v>1390</v>
      </c>
      <c r="C3961" t="s">
        <v>6462</v>
      </c>
      <c r="D3961" t="s">
        <v>13045</v>
      </c>
      <c r="E3961" t="s">
        <v>16628</v>
      </c>
      <c r="F3961" t="s">
        <v>22436</v>
      </c>
      <c r="G3961" t="s">
        <v>22443</v>
      </c>
      <c r="H3961" t="s">
        <v>22452</v>
      </c>
      <c r="I3961" t="s">
        <v>5194</v>
      </c>
      <c r="J3961" t="s">
        <v>25216</v>
      </c>
      <c r="K3961" t="s">
        <v>29331</v>
      </c>
      <c r="M3961" t="s">
        <v>31048</v>
      </c>
      <c r="N3961" t="s">
        <v>32524</v>
      </c>
      <c r="O3961" t="s">
        <v>32525</v>
      </c>
      <c r="P3961">
        <v>0</v>
      </c>
      <c r="Q3961">
        <v>6</v>
      </c>
      <c r="R3961" t="s">
        <v>32530</v>
      </c>
      <c r="S3961" t="s">
        <v>32568</v>
      </c>
      <c r="T3961" t="s">
        <v>33185</v>
      </c>
      <c r="U3961" t="s">
        <v>36995</v>
      </c>
      <c r="W3961" t="s">
        <v>31048</v>
      </c>
      <c r="X3961" t="s">
        <v>32531</v>
      </c>
    </row>
    <row r="3962" spans="1:24">
      <c r="A3962">
        <f>HYPERLINK("https://www.philgeps.gov.ph/GEPSNONPILOT/Tender/SplashBidNoticeAbstractUI.aspx?menuIndex=3&amp;refID=7042053&amp;Result=3","7042053")</f>
        <v>0</v>
      </c>
      <c r="B3962" t="s">
        <v>1345</v>
      </c>
      <c r="C3962" t="s">
        <v>6463</v>
      </c>
      <c r="D3962" t="s">
        <v>13004</v>
      </c>
      <c r="E3962" t="s">
        <v>16629</v>
      </c>
      <c r="F3962" t="s">
        <v>22436</v>
      </c>
      <c r="G3962" t="s">
        <v>22443</v>
      </c>
      <c r="H3962" t="s">
        <v>22452</v>
      </c>
      <c r="I3962" t="s">
        <v>22482</v>
      </c>
      <c r="J3962" t="s">
        <v>24003</v>
      </c>
      <c r="K3962" t="s">
        <v>29336</v>
      </c>
      <c r="M3962" t="s">
        <v>31000</v>
      </c>
      <c r="N3962" t="s">
        <v>32524</v>
      </c>
      <c r="O3962" t="s">
        <v>32525</v>
      </c>
      <c r="P3962">
        <v>0</v>
      </c>
      <c r="Q3962">
        <v>6</v>
      </c>
      <c r="R3962" t="s">
        <v>32530</v>
      </c>
      <c r="S3962" t="s">
        <v>32568</v>
      </c>
      <c r="T3962" t="s">
        <v>33322</v>
      </c>
      <c r="U3962" t="s">
        <v>36985</v>
      </c>
      <c r="W3962" t="s">
        <v>31000</v>
      </c>
      <c r="X3962" t="s">
        <v>32531</v>
      </c>
    </row>
    <row r="3963" spans="1:24">
      <c r="A3963">
        <f>HYPERLINK("https://www.philgeps.gov.ph/GEPSNONPILOT/Tender/SplashBidNoticeAbstractUI.aspx?menuIndex=3&amp;refID=7042068&amp;Result=3","7042068")</f>
        <v>0</v>
      </c>
      <c r="B3963" t="s">
        <v>1323</v>
      </c>
      <c r="C3963" t="s">
        <v>6464</v>
      </c>
      <c r="E3963" t="s">
        <v>16630</v>
      </c>
      <c r="F3963" t="s">
        <v>22436</v>
      </c>
      <c r="G3963" t="s">
        <v>22444</v>
      </c>
      <c r="H3963" t="s">
        <v>22454</v>
      </c>
      <c r="I3963" t="s">
        <v>7738</v>
      </c>
      <c r="J3963" t="s">
        <v>22634</v>
      </c>
      <c r="K3963" t="s">
        <v>29338</v>
      </c>
      <c r="M3963" t="s">
        <v>30978</v>
      </c>
      <c r="N3963" t="s">
        <v>32524</v>
      </c>
      <c r="O3963" t="s">
        <v>32525</v>
      </c>
      <c r="P3963">
        <v>0</v>
      </c>
      <c r="Q3963">
        <v>0</v>
      </c>
      <c r="R3963" t="s">
        <v>32530</v>
      </c>
      <c r="S3963" t="s">
        <v>32568</v>
      </c>
      <c r="T3963" t="s">
        <v>33424</v>
      </c>
      <c r="U3963" t="s">
        <v>36956</v>
      </c>
      <c r="W3963" t="s">
        <v>30978</v>
      </c>
      <c r="X3963" t="s">
        <v>32531</v>
      </c>
    </row>
    <row r="3964" spans="1:24">
      <c r="A3964">
        <f>HYPERLINK("https://www.philgeps.gov.ph/GEPSNONPILOT/Tender/SplashBidNoticeAbstractUI.aspx?menuIndex=3&amp;refID=7042055&amp;Result=3","7042055")</f>
        <v>0</v>
      </c>
      <c r="B3964" t="s">
        <v>1303</v>
      </c>
      <c r="C3964" t="s">
        <v>6465</v>
      </c>
      <c r="D3964" t="s">
        <v>13021</v>
      </c>
      <c r="E3964" t="s">
        <v>16631</v>
      </c>
      <c r="F3964" t="s">
        <v>22436</v>
      </c>
      <c r="G3964" t="s">
        <v>22444</v>
      </c>
      <c r="H3964" t="s">
        <v>22452</v>
      </c>
      <c r="I3964" t="s">
        <v>22479</v>
      </c>
      <c r="J3964" t="s">
        <v>23627</v>
      </c>
      <c r="K3964" t="s">
        <v>29333</v>
      </c>
      <c r="M3964" t="s">
        <v>30957</v>
      </c>
      <c r="N3964" t="s">
        <v>32524</v>
      </c>
      <c r="O3964" t="s">
        <v>32525</v>
      </c>
      <c r="P3964">
        <v>0</v>
      </c>
      <c r="Q3964">
        <v>3</v>
      </c>
      <c r="R3964" t="s">
        <v>32530</v>
      </c>
      <c r="S3964" t="s">
        <v>32568</v>
      </c>
      <c r="T3964" t="s">
        <v>33161</v>
      </c>
      <c r="U3964" t="s">
        <v>36718</v>
      </c>
      <c r="V3964" t="s">
        <v>42784</v>
      </c>
      <c r="W3964" t="s">
        <v>30957</v>
      </c>
      <c r="X3964" t="s">
        <v>32531</v>
      </c>
    </row>
    <row r="3965" spans="1:24">
      <c r="A3965">
        <f>HYPERLINK("https://www.philgeps.gov.ph/GEPSNONPILOT/Tender/SplashBidNoticeAbstractUI.aspx?menuIndex=3&amp;refID=7042061&amp;Result=3","7042061")</f>
        <v>0</v>
      </c>
      <c r="B3965" t="s">
        <v>1416</v>
      </c>
      <c r="C3965" t="s">
        <v>6466</v>
      </c>
      <c r="D3965" t="s">
        <v>13012</v>
      </c>
      <c r="E3965" t="s">
        <v>16632</v>
      </c>
      <c r="F3965" t="s">
        <v>22436</v>
      </c>
      <c r="G3965" t="s">
        <v>22444</v>
      </c>
      <c r="H3965" t="s">
        <v>22454</v>
      </c>
      <c r="I3965" t="s">
        <v>7738</v>
      </c>
      <c r="J3965" t="s">
        <v>25217</v>
      </c>
      <c r="K3965" t="s">
        <v>29373</v>
      </c>
      <c r="M3965" t="s">
        <v>31077</v>
      </c>
      <c r="N3965" t="s">
        <v>32524</v>
      </c>
      <c r="O3965" t="s">
        <v>32525</v>
      </c>
      <c r="P3965">
        <v>0</v>
      </c>
      <c r="Q3965">
        <v>1</v>
      </c>
      <c r="R3965" t="s">
        <v>32530</v>
      </c>
      <c r="S3965" t="s">
        <v>32568</v>
      </c>
      <c r="T3965" t="s">
        <v>33418</v>
      </c>
      <c r="U3965" t="s">
        <v>36996</v>
      </c>
      <c r="W3965" t="s">
        <v>31077</v>
      </c>
      <c r="X3965" t="s">
        <v>32531</v>
      </c>
    </row>
    <row r="3966" spans="1:24">
      <c r="A3966">
        <f>HYPERLINK("https://www.philgeps.gov.ph/GEPSNONPILOT/Tender/SplashBidNoticeAbstractUI.aspx?menuIndex=3&amp;refID=7042093&amp;Result=3","7042093")</f>
        <v>0</v>
      </c>
      <c r="B3966" t="s">
        <v>1381</v>
      </c>
      <c r="C3966" t="s">
        <v>6467</v>
      </c>
      <c r="D3966" t="s">
        <v>13035</v>
      </c>
      <c r="E3966" t="s">
        <v>16633</v>
      </c>
      <c r="F3966" t="s">
        <v>22436</v>
      </c>
      <c r="G3966" t="s">
        <v>22443</v>
      </c>
      <c r="H3966" t="s">
        <v>22452</v>
      </c>
      <c r="I3966" t="s">
        <v>22468</v>
      </c>
      <c r="J3966" t="s">
        <v>24063</v>
      </c>
      <c r="K3966" t="s">
        <v>29331</v>
      </c>
      <c r="M3966" t="s">
        <v>31039</v>
      </c>
      <c r="N3966" t="s">
        <v>32524</v>
      </c>
      <c r="O3966" t="s">
        <v>32525</v>
      </c>
      <c r="P3966">
        <v>0</v>
      </c>
      <c r="Q3966">
        <v>1</v>
      </c>
      <c r="R3966" t="s">
        <v>32530</v>
      </c>
      <c r="S3966" t="s">
        <v>32568</v>
      </c>
      <c r="T3966" t="s">
        <v>33161</v>
      </c>
      <c r="U3966" t="s">
        <v>36997</v>
      </c>
      <c r="V3966" t="s">
        <v>42843</v>
      </c>
      <c r="W3966" t="s">
        <v>31039</v>
      </c>
      <c r="X3966" t="s">
        <v>32531</v>
      </c>
    </row>
    <row r="3967" spans="1:24">
      <c r="A3967">
        <f>HYPERLINK("https://www.philgeps.gov.ph/GEPSNONPILOT/Tender/SplashBidNoticeAbstractUI.aspx?menuIndex=3&amp;refID=7042071&amp;Result=3","7042071")</f>
        <v>0</v>
      </c>
      <c r="B3967" t="s">
        <v>1381</v>
      </c>
      <c r="C3967" t="s">
        <v>6468</v>
      </c>
      <c r="D3967" t="s">
        <v>13035</v>
      </c>
      <c r="E3967" t="s">
        <v>16634</v>
      </c>
      <c r="F3967" t="s">
        <v>22436</v>
      </c>
      <c r="G3967" t="s">
        <v>22443</v>
      </c>
      <c r="H3967" t="s">
        <v>22452</v>
      </c>
      <c r="I3967" t="s">
        <v>3529</v>
      </c>
      <c r="J3967" t="s">
        <v>25218</v>
      </c>
      <c r="K3967" t="s">
        <v>29331</v>
      </c>
      <c r="M3967" t="s">
        <v>31039</v>
      </c>
      <c r="N3967" t="s">
        <v>32524</v>
      </c>
      <c r="O3967" t="s">
        <v>32525</v>
      </c>
      <c r="P3967">
        <v>0</v>
      </c>
      <c r="Q3967">
        <v>0</v>
      </c>
      <c r="R3967" t="s">
        <v>32530</v>
      </c>
      <c r="S3967" t="s">
        <v>32568</v>
      </c>
      <c r="T3967" t="s">
        <v>33161</v>
      </c>
      <c r="U3967" t="s">
        <v>36957</v>
      </c>
      <c r="V3967" t="s">
        <v>42844</v>
      </c>
      <c r="W3967" t="s">
        <v>31039</v>
      </c>
      <c r="X3967" t="s">
        <v>32531</v>
      </c>
    </row>
    <row r="3968" spans="1:24">
      <c r="A3968">
        <f>HYPERLINK("https://www.philgeps.gov.ph/GEPSNONPILOT/Tender/SplashBidNoticeAbstractUI.aspx?menuIndex=3&amp;refID=7042091&amp;Result=3","7042091")</f>
        <v>0</v>
      </c>
      <c r="B3968" t="s">
        <v>1269</v>
      </c>
      <c r="C3968" t="s">
        <v>6469</v>
      </c>
      <c r="D3968" t="s">
        <v>13000</v>
      </c>
      <c r="E3968" t="s">
        <v>16635</v>
      </c>
      <c r="F3968" t="s">
        <v>22436</v>
      </c>
      <c r="G3968" t="s">
        <v>22444</v>
      </c>
      <c r="H3968" t="s">
        <v>22452</v>
      </c>
      <c r="I3968" t="s">
        <v>22474</v>
      </c>
      <c r="J3968" t="s">
        <v>25219</v>
      </c>
      <c r="K3968" t="s">
        <v>29371</v>
      </c>
      <c r="M3968" t="s">
        <v>31038</v>
      </c>
      <c r="N3968" t="s">
        <v>32524</v>
      </c>
      <c r="O3968" t="s">
        <v>32525</v>
      </c>
      <c r="P3968">
        <v>0</v>
      </c>
      <c r="Q3968">
        <v>13</v>
      </c>
      <c r="R3968" t="s">
        <v>32530</v>
      </c>
      <c r="S3968" t="s">
        <v>32568</v>
      </c>
      <c r="T3968" t="s">
        <v>33405</v>
      </c>
      <c r="U3968" t="s">
        <v>36998</v>
      </c>
      <c r="V3968" t="s">
        <v>42817</v>
      </c>
      <c r="W3968" t="s">
        <v>31038</v>
      </c>
      <c r="X3968" t="s">
        <v>32531</v>
      </c>
    </row>
    <row r="3969" spans="1:24">
      <c r="A3969">
        <f>HYPERLINK("https://www.philgeps.gov.ph/GEPSNONPILOT/Tender/SplashBidNoticeAbstractUI.aspx?menuIndex=3&amp;refID=7042084&amp;Result=3","7042084")</f>
        <v>0</v>
      </c>
      <c r="B3969" t="s">
        <v>51</v>
      </c>
      <c r="C3969" t="s">
        <v>6470</v>
      </c>
      <c r="D3969" t="s">
        <v>13009</v>
      </c>
      <c r="E3969" t="s">
        <v>16636</v>
      </c>
      <c r="F3969" t="s">
        <v>22436</v>
      </c>
      <c r="G3969" t="s">
        <v>22444</v>
      </c>
      <c r="H3969" t="s">
        <v>22452</v>
      </c>
      <c r="I3969" t="s">
        <v>22494</v>
      </c>
      <c r="J3969" t="s">
        <v>22674</v>
      </c>
      <c r="K3969" t="s">
        <v>29335</v>
      </c>
      <c r="M3969" t="s">
        <v>29623</v>
      </c>
      <c r="N3969" t="s">
        <v>32524</v>
      </c>
      <c r="O3969" t="s">
        <v>32525</v>
      </c>
      <c r="P3969">
        <v>0</v>
      </c>
      <c r="Q3969">
        <v>0</v>
      </c>
      <c r="R3969" t="s">
        <v>32530</v>
      </c>
      <c r="S3969" t="s">
        <v>32568</v>
      </c>
      <c r="T3969" t="s">
        <v>33168</v>
      </c>
      <c r="U3969" t="s">
        <v>36999</v>
      </c>
      <c r="W3969" t="s">
        <v>29623</v>
      </c>
      <c r="X3969" t="s">
        <v>32531</v>
      </c>
    </row>
    <row r="3970" spans="1:24">
      <c r="A3970">
        <f>HYPERLINK("https://www.philgeps.gov.ph/GEPSNONPILOT/Tender/SplashBidNoticeAbstractUI.aspx?menuIndex=3&amp;refID=7042072&amp;Result=3","7042072")</f>
        <v>0</v>
      </c>
      <c r="B3970" t="s">
        <v>417</v>
      </c>
      <c r="C3970" t="s">
        <v>6471</v>
      </c>
      <c r="D3970" t="s">
        <v>13019</v>
      </c>
      <c r="E3970" t="s">
        <v>16637</v>
      </c>
      <c r="F3970" t="s">
        <v>22436</v>
      </c>
      <c r="G3970" t="s">
        <v>22446</v>
      </c>
      <c r="H3970" t="s">
        <v>22452</v>
      </c>
      <c r="I3970" t="s">
        <v>5194</v>
      </c>
      <c r="J3970" t="s">
        <v>25220</v>
      </c>
      <c r="K3970" t="s">
        <v>29338</v>
      </c>
      <c r="L3970" t="s">
        <v>417</v>
      </c>
      <c r="M3970" t="s">
        <v>29997</v>
      </c>
      <c r="N3970" t="s">
        <v>32524</v>
      </c>
      <c r="O3970" t="s">
        <v>32525</v>
      </c>
      <c r="P3970">
        <v>0</v>
      </c>
      <c r="Q3970">
        <v>3</v>
      </c>
      <c r="R3970" t="s">
        <v>32530</v>
      </c>
      <c r="S3970" t="s">
        <v>32568</v>
      </c>
      <c r="T3970" t="s">
        <v>33213</v>
      </c>
      <c r="U3970" t="s">
        <v>34453</v>
      </c>
      <c r="W3970" t="s">
        <v>29997</v>
      </c>
      <c r="X3970" t="s">
        <v>32531</v>
      </c>
    </row>
    <row r="3971" spans="1:24">
      <c r="A3971">
        <f>HYPERLINK("https://www.philgeps.gov.ph/GEPSNONPILOT/Tender/SplashBidNoticeAbstractUI.aspx?menuIndex=3&amp;refID=7042102&amp;Result=3","7042102")</f>
        <v>0</v>
      </c>
      <c r="B3971" t="s">
        <v>1418</v>
      </c>
      <c r="C3971" t="s">
        <v>6472</v>
      </c>
      <c r="D3971" t="s">
        <v>13004</v>
      </c>
      <c r="E3971" t="s">
        <v>16638</v>
      </c>
      <c r="F3971" t="s">
        <v>22436</v>
      </c>
      <c r="G3971" t="s">
        <v>22450</v>
      </c>
      <c r="H3971" t="s">
        <v>22452</v>
      </c>
      <c r="I3971" t="s">
        <v>22502</v>
      </c>
      <c r="J3971" t="s">
        <v>23278</v>
      </c>
      <c r="K3971" t="s">
        <v>29335</v>
      </c>
      <c r="M3971" t="s">
        <v>31079</v>
      </c>
      <c r="N3971" t="s">
        <v>32524</v>
      </c>
      <c r="O3971" t="s">
        <v>32525</v>
      </c>
      <c r="P3971">
        <v>0</v>
      </c>
      <c r="Q3971">
        <v>11</v>
      </c>
      <c r="R3971" t="s">
        <v>32530</v>
      </c>
      <c r="S3971" t="s">
        <v>32568</v>
      </c>
      <c r="T3971" t="s">
        <v>33169</v>
      </c>
      <c r="U3971" t="s">
        <v>37000</v>
      </c>
      <c r="V3971" t="s">
        <v>42845</v>
      </c>
      <c r="W3971" t="s">
        <v>31079</v>
      </c>
      <c r="X3971" t="s">
        <v>32531</v>
      </c>
    </row>
    <row r="3972" spans="1:24">
      <c r="A3972">
        <f>HYPERLINK("https://www.philgeps.gov.ph/GEPSNONPILOT/Tender/SplashBidNoticeAbstractUI.aspx?menuIndex=3&amp;refID=7042047&amp;Result=3","7042047")</f>
        <v>0</v>
      </c>
      <c r="B3972" t="s">
        <v>1381</v>
      </c>
      <c r="C3972" t="s">
        <v>6473</v>
      </c>
      <c r="D3972" t="s">
        <v>13035</v>
      </c>
      <c r="E3972" t="s">
        <v>16639</v>
      </c>
      <c r="F3972" t="s">
        <v>22436</v>
      </c>
      <c r="G3972" t="s">
        <v>22443</v>
      </c>
      <c r="H3972" t="s">
        <v>22452</v>
      </c>
      <c r="I3972" t="s">
        <v>22467</v>
      </c>
      <c r="J3972" t="s">
        <v>25221</v>
      </c>
      <c r="K3972" t="s">
        <v>29331</v>
      </c>
      <c r="M3972" t="s">
        <v>31039</v>
      </c>
      <c r="N3972" t="s">
        <v>32524</v>
      </c>
      <c r="O3972" t="s">
        <v>32525</v>
      </c>
      <c r="P3972">
        <v>0</v>
      </c>
      <c r="Q3972">
        <v>0</v>
      </c>
      <c r="R3972" t="s">
        <v>32530</v>
      </c>
      <c r="S3972" t="s">
        <v>32568</v>
      </c>
      <c r="T3972" t="s">
        <v>33161</v>
      </c>
      <c r="U3972" t="s">
        <v>37001</v>
      </c>
      <c r="V3972" t="s">
        <v>42846</v>
      </c>
      <c r="W3972" t="s">
        <v>31039</v>
      </c>
      <c r="X3972" t="s">
        <v>32531</v>
      </c>
    </row>
    <row r="3973" spans="1:24">
      <c r="A3973">
        <f>HYPERLINK("https://www.philgeps.gov.ph/GEPSNONPILOT/Tender/SplashBidNoticeAbstractUI.aspx?menuIndex=3&amp;refID=7042099&amp;Result=3","7042099")</f>
        <v>0</v>
      </c>
      <c r="B3973" t="s">
        <v>1323</v>
      </c>
      <c r="C3973" t="s">
        <v>6474</v>
      </c>
      <c r="E3973" t="s">
        <v>16640</v>
      </c>
      <c r="F3973" t="s">
        <v>22436</v>
      </c>
      <c r="G3973" t="s">
        <v>22444</v>
      </c>
      <c r="H3973" t="s">
        <v>22454</v>
      </c>
      <c r="I3973" t="s">
        <v>7738</v>
      </c>
      <c r="J3973" t="s">
        <v>22936</v>
      </c>
      <c r="K3973" t="s">
        <v>29338</v>
      </c>
      <c r="M3973" t="s">
        <v>30978</v>
      </c>
      <c r="N3973" t="s">
        <v>32524</v>
      </c>
      <c r="O3973" t="s">
        <v>32525</v>
      </c>
      <c r="P3973">
        <v>0</v>
      </c>
      <c r="Q3973">
        <v>0</v>
      </c>
      <c r="R3973" t="s">
        <v>32530</v>
      </c>
      <c r="S3973" t="s">
        <v>32568</v>
      </c>
      <c r="T3973" t="s">
        <v>33424</v>
      </c>
      <c r="U3973" t="s">
        <v>36956</v>
      </c>
      <c r="W3973" t="s">
        <v>30978</v>
      </c>
      <c r="X3973" t="s">
        <v>32531</v>
      </c>
    </row>
    <row r="3974" spans="1:24">
      <c r="A3974">
        <f>HYPERLINK("https://www.philgeps.gov.ph/GEPSNONPILOT/Tender/SplashBidNoticeAbstractUI.aspx?menuIndex=3&amp;refID=7042124&amp;Result=3","7042124")</f>
        <v>0</v>
      </c>
      <c r="B3974" t="s">
        <v>1416</v>
      </c>
      <c r="C3974" t="s">
        <v>6466</v>
      </c>
      <c r="D3974" t="s">
        <v>13012</v>
      </c>
      <c r="E3974" t="s">
        <v>16641</v>
      </c>
      <c r="F3974" t="s">
        <v>22436</v>
      </c>
      <c r="G3974" t="s">
        <v>22444</v>
      </c>
      <c r="H3974" t="s">
        <v>22454</v>
      </c>
      <c r="I3974" t="s">
        <v>7738</v>
      </c>
      <c r="J3974" t="s">
        <v>25222</v>
      </c>
      <c r="K3974" t="s">
        <v>29373</v>
      </c>
      <c r="M3974" t="s">
        <v>31077</v>
      </c>
      <c r="N3974" t="s">
        <v>32524</v>
      </c>
      <c r="O3974" t="s">
        <v>32525</v>
      </c>
      <c r="P3974">
        <v>0</v>
      </c>
      <c r="Q3974">
        <v>1</v>
      </c>
      <c r="R3974" t="s">
        <v>32530</v>
      </c>
      <c r="S3974" t="s">
        <v>32568</v>
      </c>
      <c r="T3974" t="s">
        <v>33278</v>
      </c>
      <c r="U3974" t="s">
        <v>35908</v>
      </c>
      <c r="W3974" t="s">
        <v>31077</v>
      </c>
      <c r="X3974" t="s">
        <v>32531</v>
      </c>
    </row>
    <row r="3975" spans="1:24">
      <c r="A3975">
        <f>HYPERLINK("https://www.philgeps.gov.ph/GEPSNONPILOT/Tender/SplashBidNoticeAbstractUI.aspx?menuIndex=3&amp;refID=7042080&amp;Result=3","7042080")</f>
        <v>0</v>
      </c>
      <c r="B3975" t="s">
        <v>1345</v>
      </c>
      <c r="C3975" t="s">
        <v>6475</v>
      </c>
      <c r="D3975" t="s">
        <v>13004</v>
      </c>
      <c r="E3975" t="s">
        <v>16642</v>
      </c>
      <c r="F3975" t="s">
        <v>22436</v>
      </c>
      <c r="G3975" t="s">
        <v>22443</v>
      </c>
      <c r="H3975" t="s">
        <v>22452</v>
      </c>
      <c r="I3975" t="s">
        <v>3840</v>
      </c>
      <c r="J3975" t="s">
        <v>25223</v>
      </c>
      <c r="K3975" t="s">
        <v>29336</v>
      </c>
      <c r="M3975" t="s">
        <v>31000</v>
      </c>
      <c r="N3975" t="s">
        <v>32524</v>
      </c>
      <c r="O3975" t="s">
        <v>32525</v>
      </c>
      <c r="P3975">
        <v>0</v>
      </c>
      <c r="Q3975">
        <v>3</v>
      </c>
      <c r="R3975" t="s">
        <v>32530</v>
      </c>
      <c r="S3975" t="s">
        <v>32568</v>
      </c>
      <c r="T3975" t="s">
        <v>33322</v>
      </c>
      <c r="U3975" t="s">
        <v>36811</v>
      </c>
      <c r="W3975" t="s">
        <v>31000</v>
      </c>
      <c r="X3975" t="s">
        <v>32531</v>
      </c>
    </row>
    <row r="3976" spans="1:24">
      <c r="A3976">
        <f>HYPERLINK("https://www.philgeps.gov.ph/GEPSNONPILOT/Tender/SplashBidNoticeAbstractUI.aspx?menuIndex=3&amp;refID=7042122&amp;Result=3","7042122")</f>
        <v>0</v>
      </c>
      <c r="B3976" t="s">
        <v>417</v>
      </c>
      <c r="C3976" t="s">
        <v>6476</v>
      </c>
      <c r="D3976" t="s">
        <v>13019</v>
      </c>
      <c r="E3976" t="s">
        <v>16643</v>
      </c>
      <c r="F3976" t="s">
        <v>22436</v>
      </c>
      <c r="G3976" t="s">
        <v>22446</v>
      </c>
      <c r="H3976" t="s">
        <v>22452</v>
      </c>
      <c r="I3976" t="s">
        <v>2981</v>
      </c>
      <c r="J3976" t="s">
        <v>25224</v>
      </c>
      <c r="K3976" t="s">
        <v>29338</v>
      </c>
      <c r="L3976" t="s">
        <v>417</v>
      </c>
      <c r="M3976" t="s">
        <v>29997</v>
      </c>
      <c r="N3976" t="s">
        <v>32524</v>
      </c>
      <c r="O3976" t="s">
        <v>32525</v>
      </c>
      <c r="P3976">
        <v>0</v>
      </c>
      <c r="Q3976">
        <v>1</v>
      </c>
      <c r="R3976" t="s">
        <v>32530</v>
      </c>
      <c r="S3976" t="s">
        <v>32568</v>
      </c>
      <c r="T3976" t="s">
        <v>33213</v>
      </c>
      <c r="U3976" t="s">
        <v>34453</v>
      </c>
      <c r="W3976" t="s">
        <v>29997</v>
      </c>
      <c r="X3976" t="s">
        <v>32531</v>
      </c>
    </row>
    <row r="3977" spans="1:24">
      <c r="A3977">
        <f>HYPERLINK("https://www.philgeps.gov.ph/GEPSNONPILOT/Tender/SplashBidNoticeAbstractUI.aspx?menuIndex=3&amp;refID=7042059&amp;Result=3","7042059")</f>
        <v>0</v>
      </c>
      <c r="B3977" t="s">
        <v>1381</v>
      </c>
      <c r="C3977" t="s">
        <v>6477</v>
      </c>
      <c r="D3977" t="s">
        <v>13035</v>
      </c>
      <c r="E3977" t="s">
        <v>16644</v>
      </c>
      <c r="F3977" t="s">
        <v>22436</v>
      </c>
      <c r="G3977" t="s">
        <v>22443</v>
      </c>
      <c r="H3977" t="s">
        <v>22452</v>
      </c>
      <c r="I3977" t="s">
        <v>5194</v>
      </c>
      <c r="J3977" t="s">
        <v>25225</v>
      </c>
      <c r="K3977" t="s">
        <v>29331</v>
      </c>
      <c r="M3977" t="s">
        <v>31039</v>
      </c>
      <c r="N3977" t="s">
        <v>32524</v>
      </c>
      <c r="O3977" t="s">
        <v>32525</v>
      </c>
      <c r="P3977">
        <v>0</v>
      </c>
      <c r="Q3977">
        <v>6</v>
      </c>
      <c r="R3977" t="s">
        <v>32530</v>
      </c>
      <c r="S3977" t="s">
        <v>32568</v>
      </c>
      <c r="T3977" t="s">
        <v>33161</v>
      </c>
      <c r="U3977" t="s">
        <v>37002</v>
      </c>
      <c r="V3977" t="s">
        <v>42847</v>
      </c>
      <c r="W3977" t="s">
        <v>31039</v>
      </c>
      <c r="X3977" t="s">
        <v>32531</v>
      </c>
    </row>
    <row r="3978" spans="1:24">
      <c r="A3978">
        <f>HYPERLINK("https://www.philgeps.gov.ph/GEPSNONPILOT/Tender/SplashBidNoticeAbstractUI.aspx?menuIndex=3&amp;refID=7042100&amp;Result=3","7042100")</f>
        <v>0</v>
      </c>
      <c r="B3978" t="s">
        <v>119</v>
      </c>
      <c r="C3978" t="s">
        <v>6478</v>
      </c>
      <c r="D3978" t="s">
        <v>13020</v>
      </c>
      <c r="E3978" t="s">
        <v>16645</v>
      </c>
      <c r="F3978" t="s">
        <v>22436</v>
      </c>
      <c r="G3978" t="s">
        <v>22444</v>
      </c>
      <c r="H3978" t="s">
        <v>22454</v>
      </c>
      <c r="I3978" t="s">
        <v>7738</v>
      </c>
      <c r="J3978" t="s">
        <v>25226</v>
      </c>
      <c r="K3978" t="s">
        <v>29451</v>
      </c>
      <c r="M3978" t="s">
        <v>29691</v>
      </c>
      <c r="N3978" t="s">
        <v>32524</v>
      </c>
      <c r="O3978" t="s">
        <v>32525</v>
      </c>
      <c r="P3978">
        <v>0</v>
      </c>
      <c r="Q3978">
        <v>10</v>
      </c>
      <c r="R3978" t="s">
        <v>32530</v>
      </c>
      <c r="S3978" t="s">
        <v>32568</v>
      </c>
      <c r="T3978" t="s">
        <v>33237</v>
      </c>
      <c r="U3978" t="s">
        <v>37003</v>
      </c>
      <c r="W3978" t="s">
        <v>29691</v>
      </c>
      <c r="X3978" t="s">
        <v>32531</v>
      </c>
    </row>
    <row r="3979" spans="1:24">
      <c r="A3979">
        <f>HYPERLINK("https://www.philgeps.gov.ph/GEPSNONPILOT/Tender/SplashBidNoticeAbstractUI.aspx?menuIndex=3&amp;refID=7042121&amp;Result=3","7042121")</f>
        <v>0</v>
      </c>
      <c r="B3979" t="s">
        <v>1121</v>
      </c>
      <c r="C3979" t="s">
        <v>6479</v>
      </c>
      <c r="D3979" t="s">
        <v>13038</v>
      </c>
      <c r="E3979" t="s">
        <v>16646</v>
      </c>
      <c r="F3979" t="s">
        <v>22436</v>
      </c>
      <c r="G3979" t="s">
        <v>22443</v>
      </c>
      <c r="H3979" t="s">
        <v>22452</v>
      </c>
      <c r="I3979" t="s">
        <v>3827</v>
      </c>
      <c r="J3979" t="s">
        <v>22873</v>
      </c>
      <c r="K3979" t="s">
        <v>29335</v>
      </c>
      <c r="M3979" t="s">
        <v>30759</v>
      </c>
      <c r="N3979" t="s">
        <v>32524</v>
      </c>
      <c r="O3979" t="s">
        <v>32525</v>
      </c>
      <c r="P3979">
        <v>0</v>
      </c>
      <c r="Q3979">
        <v>0</v>
      </c>
      <c r="R3979" t="s">
        <v>32530</v>
      </c>
      <c r="S3979" t="s">
        <v>32568</v>
      </c>
      <c r="T3979" t="s">
        <v>33310</v>
      </c>
      <c r="U3979" t="s">
        <v>37004</v>
      </c>
      <c r="W3979" t="s">
        <v>30759</v>
      </c>
      <c r="X3979" t="s">
        <v>32531</v>
      </c>
    </row>
    <row r="3980" spans="1:24">
      <c r="A3980">
        <f>HYPERLINK("https://www.philgeps.gov.ph/GEPSNONPILOT/Tender/SplashBidNoticeAbstractUI.aspx?menuIndex=3&amp;refID=7042120&amp;Result=3","7042120")</f>
        <v>0</v>
      </c>
      <c r="B3980" t="s">
        <v>477</v>
      </c>
      <c r="C3980" t="s">
        <v>6480</v>
      </c>
      <c r="D3980" t="s">
        <v>13016</v>
      </c>
      <c r="E3980" t="s">
        <v>16647</v>
      </c>
      <c r="F3980" t="s">
        <v>22436</v>
      </c>
      <c r="G3980" t="s">
        <v>22443</v>
      </c>
      <c r="H3980" t="s">
        <v>22452</v>
      </c>
      <c r="I3980" t="s">
        <v>12358</v>
      </c>
      <c r="J3980" t="s">
        <v>25227</v>
      </c>
      <c r="K3980" t="s">
        <v>29338</v>
      </c>
      <c r="M3980" t="s">
        <v>30061</v>
      </c>
      <c r="N3980" t="s">
        <v>32524</v>
      </c>
      <c r="O3980" t="s">
        <v>32525</v>
      </c>
      <c r="P3980">
        <v>0</v>
      </c>
      <c r="Q3980">
        <v>0</v>
      </c>
      <c r="R3980" t="s">
        <v>32530</v>
      </c>
      <c r="S3980" t="s">
        <v>32568</v>
      </c>
      <c r="T3980" t="s">
        <v>33351</v>
      </c>
      <c r="U3980" t="s">
        <v>37005</v>
      </c>
      <c r="W3980" t="s">
        <v>30061</v>
      </c>
      <c r="X3980" t="s">
        <v>32531</v>
      </c>
    </row>
    <row r="3981" spans="1:24">
      <c r="A3981">
        <f>HYPERLINK("https://www.philgeps.gov.ph/GEPSNONPILOT/Tender/SplashBidNoticeAbstractUI.aspx?menuIndex=3&amp;refID=7042082&amp;Result=3","7042082")</f>
        <v>0</v>
      </c>
      <c r="B3981" t="s">
        <v>120</v>
      </c>
      <c r="C3981" t="s">
        <v>6481</v>
      </c>
      <c r="D3981" t="s">
        <v>13015</v>
      </c>
      <c r="E3981" t="s">
        <v>16648</v>
      </c>
      <c r="F3981" t="s">
        <v>22436</v>
      </c>
      <c r="G3981" t="s">
        <v>22444</v>
      </c>
      <c r="H3981" t="s">
        <v>22454</v>
      </c>
      <c r="I3981" t="s">
        <v>7738</v>
      </c>
      <c r="J3981" t="s">
        <v>25228</v>
      </c>
      <c r="K3981" t="s">
        <v>29408</v>
      </c>
      <c r="M3981" t="s">
        <v>29692</v>
      </c>
      <c r="N3981" t="s">
        <v>32524</v>
      </c>
      <c r="O3981" t="s">
        <v>32525</v>
      </c>
      <c r="P3981">
        <v>0</v>
      </c>
      <c r="Q3981">
        <v>2</v>
      </c>
      <c r="R3981" t="s">
        <v>32530</v>
      </c>
      <c r="S3981" t="s">
        <v>32568</v>
      </c>
      <c r="T3981" t="s">
        <v>33345</v>
      </c>
      <c r="U3981" t="s">
        <v>37006</v>
      </c>
      <c r="W3981" t="s">
        <v>29692</v>
      </c>
      <c r="X3981" t="s">
        <v>32531</v>
      </c>
    </row>
    <row r="3982" spans="1:24">
      <c r="A3982">
        <f>HYPERLINK("https://www.philgeps.gov.ph/GEPSNONPILOT/Tender/SplashBidNoticeAbstractUI.aspx?menuIndex=3&amp;refID=7042138&amp;Result=3","7042138")</f>
        <v>0</v>
      </c>
      <c r="B3982" t="s">
        <v>1121</v>
      </c>
      <c r="C3982" t="s">
        <v>6482</v>
      </c>
      <c r="D3982" t="s">
        <v>13038</v>
      </c>
      <c r="E3982" t="s">
        <v>16649</v>
      </c>
      <c r="F3982" t="s">
        <v>22436</v>
      </c>
      <c r="G3982" t="s">
        <v>22443</v>
      </c>
      <c r="H3982" t="s">
        <v>22452</v>
      </c>
      <c r="I3982" t="s">
        <v>22486</v>
      </c>
      <c r="J3982" t="s">
        <v>23243</v>
      </c>
      <c r="K3982" t="s">
        <v>29452</v>
      </c>
      <c r="M3982" t="s">
        <v>30759</v>
      </c>
      <c r="N3982" t="s">
        <v>32524</v>
      </c>
      <c r="O3982" t="s">
        <v>32525</v>
      </c>
      <c r="P3982">
        <v>0</v>
      </c>
      <c r="Q3982">
        <v>0</v>
      </c>
      <c r="R3982" t="s">
        <v>32530</v>
      </c>
      <c r="S3982" t="s">
        <v>32568</v>
      </c>
      <c r="T3982" t="s">
        <v>33310</v>
      </c>
      <c r="U3982" t="s">
        <v>37007</v>
      </c>
      <c r="W3982" t="s">
        <v>30759</v>
      </c>
      <c r="X3982" t="s">
        <v>32531</v>
      </c>
    </row>
    <row r="3983" spans="1:24">
      <c r="A3983">
        <f>HYPERLINK("https://www.philgeps.gov.ph/GEPSNONPILOT/Tender/SplashBidNoticeAbstractUI.aspx?menuIndex=3&amp;refID=7042140&amp;Result=3","7042140")</f>
        <v>0</v>
      </c>
      <c r="B3983" t="s">
        <v>1345</v>
      </c>
      <c r="C3983" t="s">
        <v>6483</v>
      </c>
      <c r="D3983" t="s">
        <v>13004</v>
      </c>
      <c r="E3983" t="s">
        <v>16650</v>
      </c>
      <c r="F3983" t="s">
        <v>22436</v>
      </c>
      <c r="G3983" t="s">
        <v>22443</v>
      </c>
      <c r="H3983" t="s">
        <v>22452</v>
      </c>
      <c r="I3983" t="s">
        <v>22469</v>
      </c>
      <c r="J3983" t="s">
        <v>22874</v>
      </c>
      <c r="K3983" t="s">
        <v>29336</v>
      </c>
      <c r="M3983" t="s">
        <v>31000</v>
      </c>
      <c r="N3983" t="s">
        <v>32524</v>
      </c>
      <c r="O3983" t="s">
        <v>32525</v>
      </c>
      <c r="P3983">
        <v>0</v>
      </c>
      <c r="Q3983">
        <v>3</v>
      </c>
      <c r="R3983" t="s">
        <v>32530</v>
      </c>
      <c r="S3983" t="s">
        <v>32568</v>
      </c>
      <c r="T3983" t="s">
        <v>33322</v>
      </c>
      <c r="U3983" t="s">
        <v>36811</v>
      </c>
      <c r="W3983" t="s">
        <v>31000</v>
      </c>
      <c r="X3983" t="s">
        <v>32531</v>
      </c>
    </row>
    <row r="3984" spans="1:24">
      <c r="A3984">
        <f>HYPERLINK("https://www.philgeps.gov.ph/GEPSNONPILOT/Tender/SplashBidNoticeAbstractUI.aspx?menuIndex=3&amp;refID=7042089&amp;Result=3","7042089")</f>
        <v>0</v>
      </c>
      <c r="B3984" t="s">
        <v>303</v>
      </c>
      <c r="C3984" t="s">
        <v>6484</v>
      </c>
      <c r="D3984" t="s">
        <v>13026</v>
      </c>
      <c r="E3984" t="s">
        <v>16651</v>
      </c>
      <c r="F3984" t="s">
        <v>22436</v>
      </c>
      <c r="G3984" t="s">
        <v>22446</v>
      </c>
      <c r="H3984" t="s">
        <v>22452</v>
      </c>
      <c r="I3984" t="s">
        <v>3827</v>
      </c>
      <c r="J3984" t="s">
        <v>25229</v>
      </c>
      <c r="K3984" t="s">
        <v>29335</v>
      </c>
      <c r="M3984" t="s">
        <v>29877</v>
      </c>
      <c r="N3984" t="s">
        <v>32524</v>
      </c>
      <c r="O3984" t="s">
        <v>32525</v>
      </c>
      <c r="P3984">
        <v>0</v>
      </c>
      <c r="Q3984">
        <v>0</v>
      </c>
      <c r="R3984" t="s">
        <v>32530</v>
      </c>
      <c r="S3984" t="s">
        <v>32568</v>
      </c>
      <c r="T3984" t="s">
        <v>33167</v>
      </c>
      <c r="U3984" t="s">
        <v>37008</v>
      </c>
      <c r="W3984" t="s">
        <v>29877</v>
      </c>
      <c r="X3984" t="s">
        <v>32531</v>
      </c>
    </row>
    <row r="3985" spans="1:24">
      <c r="A3985">
        <f>HYPERLINK("https://www.philgeps.gov.ph/GEPSNONPILOT/Tender/SplashBidNoticeAbstractUI.aspx?menuIndex=3&amp;refID=7042136&amp;Result=3","7042136")</f>
        <v>0</v>
      </c>
      <c r="B3985" t="s">
        <v>1419</v>
      </c>
      <c r="C3985" t="s">
        <v>6485</v>
      </c>
      <c r="D3985" t="s">
        <v>13068</v>
      </c>
      <c r="E3985" t="s">
        <v>16652</v>
      </c>
      <c r="F3985" t="s">
        <v>22436</v>
      </c>
      <c r="G3985" t="s">
        <v>22444</v>
      </c>
      <c r="H3985" t="s">
        <v>22454</v>
      </c>
      <c r="I3985" t="s">
        <v>7738</v>
      </c>
      <c r="J3985" t="s">
        <v>25230</v>
      </c>
      <c r="K3985" t="s">
        <v>29390</v>
      </c>
      <c r="M3985" t="s">
        <v>31080</v>
      </c>
      <c r="N3985" t="s">
        <v>32524</v>
      </c>
      <c r="O3985" t="s">
        <v>32525</v>
      </c>
      <c r="P3985">
        <v>0</v>
      </c>
      <c r="Q3985">
        <v>0</v>
      </c>
      <c r="R3985" t="s">
        <v>32530</v>
      </c>
      <c r="S3985" t="s">
        <v>32568</v>
      </c>
      <c r="T3985" t="s">
        <v>33278</v>
      </c>
      <c r="U3985" t="s">
        <v>37009</v>
      </c>
      <c r="V3985" t="s">
        <v>42848</v>
      </c>
      <c r="W3985" t="s">
        <v>31080</v>
      </c>
      <c r="X3985" t="s">
        <v>32531</v>
      </c>
    </row>
    <row r="3986" spans="1:24">
      <c r="A3986">
        <f>HYPERLINK("https://www.philgeps.gov.ph/GEPSNONPILOT/Tender/SplashBidNoticeAbstractUI.aspx?menuIndex=3&amp;refID=7042128&amp;Result=3","7042128")</f>
        <v>0</v>
      </c>
      <c r="B3986" t="s">
        <v>209</v>
      </c>
      <c r="C3986" t="s">
        <v>6486</v>
      </c>
      <c r="D3986" t="s">
        <v>13049</v>
      </c>
      <c r="E3986" t="s">
        <v>16653</v>
      </c>
      <c r="F3986" t="s">
        <v>22436</v>
      </c>
      <c r="G3986" t="s">
        <v>22444</v>
      </c>
      <c r="H3986" t="s">
        <v>22452</v>
      </c>
      <c r="I3986" t="s">
        <v>22474</v>
      </c>
      <c r="J3986" t="s">
        <v>23350</v>
      </c>
      <c r="K3986" t="s">
        <v>29334</v>
      </c>
      <c r="M3986" t="s">
        <v>29782</v>
      </c>
      <c r="N3986" t="s">
        <v>32524</v>
      </c>
      <c r="O3986" t="s">
        <v>32525</v>
      </c>
      <c r="P3986">
        <v>0</v>
      </c>
      <c r="Q3986">
        <v>3</v>
      </c>
      <c r="R3986" t="s">
        <v>32530</v>
      </c>
      <c r="S3986" t="s">
        <v>32568</v>
      </c>
      <c r="T3986" t="s">
        <v>33190</v>
      </c>
      <c r="U3986" t="s">
        <v>37010</v>
      </c>
      <c r="W3986" t="s">
        <v>29782</v>
      </c>
      <c r="X3986" t="s">
        <v>32531</v>
      </c>
    </row>
    <row r="3987" spans="1:24">
      <c r="A3987">
        <f>HYPERLINK("https://www.philgeps.gov.ph/GEPSNONPILOT/Tender/SplashBidNoticeAbstractUI.aspx?menuIndex=3&amp;refID=7042117&amp;Result=3","7042117")</f>
        <v>0</v>
      </c>
      <c r="B3987" t="s">
        <v>1303</v>
      </c>
      <c r="C3987" t="s">
        <v>6487</v>
      </c>
      <c r="D3987" t="s">
        <v>13021</v>
      </c>
      <c r="E3987" t="s">
        <v>16654</v>
      </c>
      <c r="F3987" t="s">
        <v>22436</v>
      </c>
      <c r="G3987" t="s">
        <v>22444</v>
      </c>
      <c r="H3987" t="s">
        <v>22452</v>
      </c>
      <c r="I3987" t="s">
        <v>22479</v>
      </c>
      <c r="J3987" t="s">
        <v>22607</v>
      </c>
      <c r="K3987" t="s">
        <v>29333</v>
      </c>
      <c r="M3987" t="s">
        <v>30957</v>
      </c>
      <c r="N3987" t="s">
        <v>32524</v>
      </c>
      <c r="O3987" t="s">
        <v>32525</v>
      </c>
      <c r="P3987">
        <v>0</v>
      </c>
      <c r="Q3987">
        <v>0</v>
      </c>
      <c r="R3987" t="s">
        <v>32530</v>
      </c>
      <c r="S3987" t="s">
        <v>32568</v>
      </c>
      <c r="T3987" t="s">
        <v>33167</v>
      </c>
      <c r="U3987" t="s">
        <v>36718</v>
      </c>
      <c r="V3987" t="s">
        <v>42784</v>
      </c>
      <c r="W3987" t="s">
        <v>30957</v>
      </c>
      <c r="X3987" t="s">
        <v>32531</v>
      </c>
    </row>
    <row r="3988" spans="1:24">
      <c r="A3988">
        <f>HYPERLINK("https://www.philgeps.gov.ph/GEPSNONPILOT/Tender/SplashBidNoticeAbstractUI.aspx?menuIndex=3&amp;refID=7042063&amp;Result=3","7042063")</f>
        <v>0</v>
      </c>
      <c r="B3988" t="s">
        <v>1420</v>
      </c>
      <c r="C3988" t="s">
        <v>6488</v>
      </c>
      <c r="D3988" t="s">
        <v>12993</v>
      </c>
      <c r="E3988" t="s">
        <v>16655</v>
      </c>
      <c r="F3988" t="s">
        <v>22436</v>
      </c>
      <c r="G3988" t="s">
        <v>22444</v>
      </c>
      <c r="H3988" t="s">
        <v>22454</v>
      </c>
      <c r="I3988" t="s">
        <v>3529</v>
      </c>
      <c r="J3988" t="s">
        <v>25231</v>
      </c>
      <c r="K3988" t="s">
        <v>29338</v>
      </c>
      <c r="M3988" t="s">
        <v>31081</v>
      </c>
      <c r="N3988" t="s">
        <v>32524</v>
      </c>
      <c r="O3988" t="s">
        <v>32525</v>
      </c>
      <c r="P3988">
        <v>0</v>
      </c>
      <c r="Q3988">
        <v>1</v>
      </c>
      <c r="R3988" t="s">
        <v>32530</v>
      </c>
      <c r="S3988" t="s">
        <v>32568</v>
      </c>
      <c r="T3988" t="s">
        <v>33235</v>
      </c>
      <c r="U3988" t="s">
        <v>37011</v>
      </c>
      <c r="V3988" t="s">
        <v>42849</v>
      </c>
      <c r="W3988" t="s">
        <v>31081</v>
      </c>
      <c r="X3988" t="s">
        <v>32531</v>
      </c>
    </row>
    <row r="3989" spans="1:24">
      <c r="A3989">
        <f>HYPERLINK("https://www.philgeps.gov.ph/GEPSNONPILOT/Tender/SplashBidNoticeAbstractUI.aspx?menuIndex=3&amp;refID=7042112&amp;Result=3","7042112")</f>
        <v>0</v>
      </c>
      <c r="B3989" t="s">
        <v>1345</v>
      </c>
      <c r="C3989" t="s">
        <v>6489</v>
      </c>
      <c r="D3989" t="s">
        <v>13004</v>
      </c>
      <c r="E3989" t="s">
        <v>16656</v>
      </c>
      <c r="F3989" t="s">
        <v>22436</v>
      </c>
      <c r="G3989" t="s">
        <v>22443</v>
      </c>
      <c r="H3989" t="s">
        <v>22452</v>
      </c>
      <c r="I3989" t="s">
        <v>22493</v>
      </c>
      <c r="J3989" t="s">
        <v>22657</v>
      </c>
      <c r="K3989" t="s">
        <v>29336</v>
      </c>
      <c r="M3989" t="s">
        <v>31000</v>
      </c>
      <c r="N3989" t="s">
        <v>32524</v>
      </c>
      <c r="O3989" t="s">
        <v>32525</v>
      </c>
      <c r="P3989">
        <v>0</v>
      </c>
      <c r="Q3989">
        <v>2</v>
      </c>
      <c r="R3989" t="s">
        <v>32530</v>
      </c>
      <c r="S3989" t="s">
        <v>32568</v>
      </c>
      <c r="T3989" t="s">
        <v>33322</v>
      </c>
      <c r="U3989" t="s">
        <v>36811</v>
      </c>
      <c r="W3989" t="s">
        <v>31000</v>
      </c>
      <c r="X3989" t="s">
        <v>32531</v>
      </c>
    </row>
    <row r="3990" spans="1:24">
      <c r="A3990">
        <f>HYPERLINK("https://www.philgeps.gov.ph/GEPSNONPILOT/Tender/SplashBidNoticeAbstractUI.aspx?menuIndex=3&amp;refID=7042131&amp;Result=3","7042131")</f>
        <v>0</v>
      </c>
      <c r="B3990" t="s">
        <v>1381</v>
      </c>
      <c r="C3990" t="s">
        <v>6490</v>
      </c>
      <c r="D3990" t="s">
        <v>13035</v>
      </c>
      <c r="E3990" t="s">
        <v>16657</v>
      </c>
      <c r="F3990" t="s">
        <v>22436</v>
      </c>
      <c r="G3990" t="s">
        <v>22443</v>
      </c>
      <c r="H3990" t="s">
        <v>22452</v>
      </c>
      <c r="I3990" t="s">
        <v>22460</v>
      </c>
      <c r="J3990" t="s">
        <v>25232</v>
      </c>
      <c r="K3990" t="s">
        <v>29331</v>
      </c>
      <c r="M3990" t="s">
        <v>31039</v>
      </c>
      <c r="N3990" t="s">
        <v>32524</v>
      </c>
      <c r="O3990" t="s">
        <v>32525</v>
      </c>
      <c r="P3990">
        <v>0</v>
      </c>
      <c r="Q3990">
        <v>2</v>
      </c>
      <c r="R3990" t="s">
        <v>32530</v>
      </c>
      <c r="S3990" t="s">
        <v>32568</v>
      </c>
      <c r="T3990" t="s">
        <v>33161</v>
      </c>
      <c r="U3990" t="s">
        <v>34065</v>
      </c>
      <c r="V3990" t="s">
        <v>42850</v>
      </c>
      <c r="W3990" t="s">
        <v>31039</v>
      </c>
      <c r="X3990" t="s">
        <v>32531</v>
      </c>
    </row>
    <row r="3991" spans="1:24">
      <c r="A3991">
        <f>HYPERLINK("https://www.philgeps.gov.ph/GEPSNONPILOT/Tender/SplashBidNoticeAbstractUI.aspx?menuIndex=3&amp;refID=7042106&amp;Result=3","7042106")</f>
        <v>0</v>
      </c>
      <c r="B3991" t="s">
        <v>1381</v>
      </c>
      <c r="C3991" t="s">
        <v>6491</v>
      </c>
      <c r="D3991" t="s">
        <v>13035</v>
      </c>
      <c r="E3991" t="s">
        <v>16658</v>
      </c>
      <c r="F3991" t="s">
        <v>22436</v>
      </c>
      <c r="G3991" t="s">
        <v>22443</v>
      </c>
      <c r="H3991" t="s">
        <v>22452</v>
      </c>
      <c r="I3991" t="s">
        <v>3529</v>
      </c>
      <c r="J3991" t="s">
        <v>25233</v>
      </c>
      <c r="K3991" t="s">
        <v>29331</v>
      </c>
      <c r="M3991" t="s">
        <v>31039</v>
      </c>
      <c r="N3991" t="s">
        <v>32524</v>
      </c>
      <c r="O3991" t="s">
        <v>32525</v>
      </c>
      <c r="P3991">
        <v>0</v>
      </c>
      <c r="Q3991">
        <v>1</v>
      </c>
      <c r="R3991" t="s">
        <v>32530</v>
      </c>
      <c r="S3991" t="s">
        <v>32568</v>
      </c>
      <c r="T3991" t="s">
        <v>33161</v>
      </c>
      <c r="U3991" t="s">
        <v>36957</v>
      </c>
      <c r="V3991" t="s">
        <v>42851</v>
      </c>
      <c r="W3991" t="s">
        <v>31039</v>
      </c>
      <c r="X3991" t="s">
        <v>32531</v>
      </c>
    </row>
    <row r="3992" spans="1:24">
      <c r="A3992">
        <f>HYPERLINK("https://www.philgeps.gov.ph/GEPSNONPILOT/Tender/SplashBidNoticeAbstractUI.aspx?menuIndex=3&amp;refID=7042103&amp;Result=3","7042103")</f>
        <v>0</v>
      </c>
      <c r="B3992" t="s">
        <v>1121</v>
      </c>
      <c r="C3992" t="s">
        <v>6492</v>
      </c>
      <c r="D3992" t="s">
        <v>13038</v>
      </c>
      <c r="E3992" t="s">
        <v>16659</v>
      </c>
      <c r="F3992" t="s">
        <v>22436</v>
      </c>
      <c r="G3992" t="s">
        <v>22443</v>
      </c>
      <c r="H3992" t="s">
        <v>22452</v>
      </c>
      <c r="I3992" t="s">
        <v>2981</v>
      </c>
      <c r="J3992" t="s">
        <v>23084</v>
      </c>
      <c r="K3992" t="s">
        <v>29335</v>
      </c>
      <c r="M3992" t="s">
        <v>30759</v>
      </c>
      <c r="N3992" t="s">
        <v>32524</v>
      </c>
      <c r="O3992" t="s">
        <v>32525</v>
      </c>
      <c r="P3992">
        <v>0</v>
      </c>
      <c r="Q3992">
        <v>0</v>
      </c>
      <c r="R3992" t="s">
        <v>32530</v>
      </c>
      <c r="S3992" t="s">
        <v>32568</v>
      </c>
      <c r="T3992" t="s">
        <v>33310</v>
      </c>
      <c r="U3992" t="s">
        <v>37012</v>
      </c>
      <c r="W3992" t="s">
        <v>30759</v>
      </c>
      <c r="X3992" t="s">
        <v>32531</v>
      </c>
    </row>
    <row r="3993" spans="1:24">
      <c r="A3993">
        <f>HYPERLINK("https://www.philgeps.gov.ph/GEPSNONPILOT/Tender/SplashBidNoticeAbstractUI.aspx?menuIndex=3&amp;refID=7042127&amp;Result=3","7042127")</f>
        <v>0</v>
      </c>
      <c r="B3993" t="s">
        <v>303</v>
      </c>
      <c r="C3993" t="s">
        <v>6493</v>
      </c>
      <c r="D3993" t="s">
        <v>13026</v>
      </c>
      <c r="E3993" t="s">
        <v>16660</v>
      </c>
      <c r="F3993" t="s">
        <v>22436</v>
      </c>
      <c r="G3993" t="s">
        <v>22443</v>
      </c>
      <c r="H3993" t="s">
        <v>22452</v>
      </c>
      <c r="I3993" t="s">
        <v>22465</v>
      </c>
      <c r="J3993" t="s">
        <v>25234</v>
      </c>
      <c r="K3993" t="s">
        <v>29336</v>
      </c>
      <c r="M3993" t="s">
        <v>29877</v>
      </c>
      <c r="N3993" t="s">
        <v>32524</v>
      </c>
      <c r="O3993" t="s">
        <v>32525</v>
      </c>
      <c r="P3993">
        <v>0</v>
      </c>
      <c r="Q3993">
        <v>1</v>
      </c>
      <c r="R3993" t="s">
        <v>32530</v>
      </c>
      <c r="S3993" t="s">
        <v>32568</v>
      </c>
      <c r="T3993" t="s">
        <v>33167</v>
      </c>
      <c r="U3993" t="s">
        <v>37013</v>
      </c>
      <c r="W3993" t="s">
        <v>29877</v>
      </c>
      <c r="X3993" t="s">
        <v>32531</v>
      </c>
    </row>
    <row r="3994" spans="1:24">
      <c r="A3994">
        <f>HYPERLINK("https://www.philgeps.gov.ph/GEPSNONPILOT/Tender/SplashBidNoticeAbstractUI.aspx?menuIndex=3&amp;refID=7042107&amp;Result=3","7042107")</f>
        <v>0</v>
      </c>
      <c r="B3994" t="s">
        <v>417</v>
      </c>
      <c r="C3994" t="s">
        <v>6494</v>
      </c>
      <c r="D3994" t="s">
        <v>13019</v>
      </c>
      <c r="E3994" t="s">
        <v>16661</v>
      </c>
      <c r="F3994" t="s">
        <v>22436</v>
      </c>
      <c r="G3994" t="s">
        <v>22446</v>
      </c>
      <c r="H3994" t="s">
        <v>22452</v>
      </c>
      <c r="I3994" t="s">
        <v>5194</v>
      </c>
      <c r="J3994" t="s">
        <v>25235</v>
      </c>
      <c r="K3994" t="s">
        <v>29338</v>
      </c>
      <c r="L3994" t="s">
        <v>417</v>
      </c>
      <c r="M3994" t="s">
        <v>29997</v>
      </c>
      <c r="N3994" t="s">
        <v>32524</v>
      </c>
      <c r="O3994" t="s">
        <v>32525</v>
      </c>
      <c r="P3994">
        <v>0</v>
      </c>
      <c r="Q3994">
        <v>4</v>
      </c>
      <c r="R3994" t="s">
        <v>32530</v>
      </c>
      <c r="S3994" t="s">
        <v>32568</v>
      </c>
      <c r="T3994" t="s">
        <v>33213</v>
      </c>
      <c r="U3994" t="s">
        <v>34453</v>
      </c>
      <c r="W3994" t="s">
        <v>29997</v>
      </c>
      <c r="X3994" t="s">
        <v>32531</v>
      </c>
    </row>
    <row r="3995" spans="1:24">
      <c r="A3995">
        <f>HYPERLINK("https://www.philgeps.gov.ph/GEPSNONPILOT/Tender/SplashBidNoticeAbstractUI.aspx?menuIndex=3&amp;refID=7042141&amp;Result=3","7042141")</f>
        <v>0</v>
      </c>
      <c r="B3995" t="s">
        <v>1153</v>
      </c>
      <c r="C3995" t="s">
        <v>6495</v>
      </c>
      <c r="E3995" t="s">
        <v>16662</v>
      </c>
      <c r="F3995" t="s">
        <v>22436</v>
      </c>
      <c r="G3995" t="s">
        <v>22443</v>
      </c>
      <c r="H3995" t="s">
        <v>22452</v>
      </c>
      <c r="I3995" t="s">
        <v>22489</v>
      </c>
      <c r="J3995" t="s">
        <v>22605</v>
      </c>
      <c r="K3995" t="s">
        <v>29338</v>
      </c>
      <c r="M3995" t="s">
        <v>30797</v>
      </c>
      <c r="N3995" t="s">
        <v>32524</v>
      </c>
      <c r="O3995" t="s">
        <v>32525</v>
      </c>
      <c r="P3995">
        <v>0</v>
      </c>
      <c r="Q3995">
        <v>2</v>
      </c>
      <c r="R3995" t="s">
        <v>32530</v>
      </c>
      <c r="S3995" t="s">
        <v>32568</v>
      </c>
      <c r="T3995" t="s">
        <v>33225</v>
      </c>
      <c r="U3995" t="s">
        <v>36401</v>
      </c>
      <c r="W3995" t="s">
        <v>30797</v>
      </c>
      <c r="X3995" t="s">
        <v>32531</v>
      </c>
    </row>
    <row r="3996" spans="1:24">
      <c r="A3996">
        <f>HYPERLINK("https://www.philgeps.gov.ph/GEPSNONPILOT/Tender/SplashBidNoticeAbstractUI.aspx?menuIndex=3&amp;refID=7042104&amp;Result=3","7042104")</f>
        <v>0</v>
      </c>
      <c r="B3996" t="s">
        <v>1350</v>
      </c>
      <c r="C3996" t="s">
        <v>6496</v>
      </c>
      <c r="D3996" t="s">
        <v>13013</v>
      </c>
      <c r="E3996" t="s">
        <v>16663</v>
      </c>
      <c r="F3996" t="s">
        <v>22436</v>
      </c>
      <c r="G3996" t="s">
        <v>22446</v>
      </c>
      <c r="H3996" t="s">
        <v>22452</v>
      </c>
      <c r="I3996" t="s">
        <v>5194</v>
      </c>
      <c r="J3996" t="s">
        <v>25236</v>
      </c>
      <c r="K3996" t="s">
        <v>29335</v>
      </c>
      <c r="M3996" t="s">
        <v>31006</v>
      </c>
      <c r="N3996" t="s">
        <v>32524</v>
      </c>
      <c r="O3996" t="s">
        <v>32525</v>
      </c>
      <c r="P3996">
        <v>0</v>
      </c>
      <c r="Q3996">
        <v>0</v>
      </c>
      <c r="R3996" t="s">
        <v>32530</v>
      </c>
      <c r="S3996" t="s">
        <v>32568</v>
      </c>
      <c r="T3996" t="s">
        <v>33197</v>
      </c>
      <c r="U3996" t="s">
        <v>37014</v>
      </c>
      <c r="W3996" t="s">
        <v>31006</v>
      </c>
      <c r="X3996" t="s">
        <v>32531</v>
      </c>
    </row>
    <row r="3997" spans="1:24">
      <c r="A3997">
        <f>HYPERLINK("https://www.philgeps.gov.ph/GEPSNONPILOT/Tender/SplashBidNoticeAbstractUI.aspx?menuIndex=3&amp;refID=7042118&amp;Result=3","7042118")</f>
        <v>0</v>
      </c>
      <c r="B3997" t="s">
        <v>1381</v>
      </c>
      <c r="C3997" t="s">
        <v>6497</v>
      </c>
      <c r="D3997" t="s">
        <v>13035</v>
      </c>
      <c r="E3997" t="s">
        <v>16664</v>
      </c>
      <c r="F3997" t="s">
        <v>22436</v>
      </c>
      <c r="G3997" t="s">
        <v>22443</v>
      </c>
      <c r="H3997" t="s">
        <v>22452</v>
      </c>
      <c r="I3997" t="s">
        <v>5194</v>
      </c>
      <c r="J3997" t="s">
        <v>25237</v>
      </c>
      <c r="K3997" t="s">
        <v>29331</v>
      </c>
      <c r="M3997" t="s">
        <v>31039</v>
      </c>
      <c r="N3997" t="s">
        <v>32524</v>
      </c>
      <c r="O3997" t="s">
        <v>32525</v>
      </c>
      <c r="P3997">
        <v>0</v>
      </c>
      <c r="Q3997">
        <v>6</v>
      </c>
      <c r="R3997" t="s">
        <v>32530</v>
      </c>
      <c r="S3997" t="s">
        <v>32568</v>
      </c>
      <c r="T3997" t="s">
        <v>33161</v>
      </c>
      <c r="U3997" t="s">
        <v>37002</v>
      </c>
      <c r="V3997" t="s">
        <v>42852</v>
      </c>
      <c r="W3997" t="s">
        <v>31039</v>
      </c>
      <c r="X3997" t="s">
        <v>32531</v>
      </c>
    </row>
    <row r="3998" spans="1:24">
      <c r="A3998">
        <f>HYPERLINK("https://www.philgeps.gov.ph/GEPSNONPILOT/Tender/SplashBidNoticeAbstractUI.aspx?menuIndex=3&amp;refID=7042152&amp;Result=3","7042152")</f>
        <v>0</v>
      </c>
      <c r="B3998" t="s">
        <v>1381</v>
      </c>
      <c r="C3998" t="s">
        <v>6498</v>
      </c>
      <c r="D3998" t="s">
        <v>13035</v>
      </c>
      <c r="E3998" t="s">
        <v>16665</v>
      </c>
      <c r="F3998" t="s">
        <v>22436</v>
      </c>
      <c r="G3998" t="s">
        <v>22443</v>
      </c>
      <c r="H3998" t="s">
        <v>22452</v>
      </c>
      <c r="I3998" t="s">
        <v>3529</v>
      </c>
      <c r="J3998" t="s">
        <v>25238</v>
      </c>
      <c r="K3998" t="s">
        <v>29331</v>
      </c>
      <c r="M3998" t="s">
        <v>31039</v>
      </c>
      <c r="N3998" t="s">
        <v>32524</v>
      </c>
      <c r="O3998" t="s">
        <v>32525</v>
      </c>
      <c r="P3998">
        <v>0</v>
      </c>
      <c r="Q3998">
        <v>0</v>
      </c>
      <c r="R3998" t="s">
        <v>32530</v>
      </c>
      <c r="S3998" t="s">
        <v>32568</v>
      </c>
      <c r="T3998" t="s">
        <v>33161</v>
      </c>
      <c r="U3998" t="s">
        <v>36957</v>
      </c>
      <c r="V3998" t="s">
        <v>42853</v>
      </c>
      <c r="W3998" t="s">
        <v>31039</v>
      </c>
      <c r="X3998" t="s">
        <v>32531</v>
      </c>
    </row>
    <row r="3999" spans="1:24">
      <c r="A3999">
        <f>HYPERLINK("https://www.philgeps.gov.ph/GEPSNONPILOT/Tender/SplashBidNoticeAbstractUI.aspx?menuIndex=3&amp;refID=7042115&amp;Result=3","7042115")</f>
        <v>0</v>
      </c>
      <c r="B3999" t="s">
        <v>1421</v>
      </c>
      <c r="C3999" t="s">
        <v>6499</v>
      </c>
      <c r="D3999" t="s">
        <v>13036</v>
      </c>
      <c r="E3999" t="s">
        <v>16666</v>
      </c>
      <c r="F3999" t="s">
        <v>22436</v>
      </c>
      <c r="G3999" t="s">
        <v>22444</v>
      </c>
      <c r="H3999" t="s">
        <v>22454</v>
      </c>
      <c r="I3999" t="s">
        <v>22490</v>
      </c>
      <c r="J3999" t="s">
        <v>22877</v>
      </c>
      <c r="K3999" t="s">
        <v>29334</v>
      </c>
      <c r="M3999" t="s">
        <v>31082</v>
      </c>
      <c r="N3999" t="s">
        <v>32524</v>
      </c>
      <c r="O3999" t="s">
        <v>32525</v>
      </c>
      <c r="P3999">
        <v>0</v>
      </c>
      <c r="Q3999">
        <v>0</v>
      </c>
      <c r="R3999" t="s">
        <v>32530</v>
      </c>
      <c r="S3999" t="s">
        <v>32568</v>
      </c>
      <c r="T3999" t="s">
        <v>33345</v>
      </c>
      <c r="U3999" t="s">
        <v>37015</v>
      </c>
      <c r="W3999" t="s">
        <v>31082</v>
      </c>
      <c r="X3999" t="s">
        <v>32531</v>
      </c>
    </row>
    <row r="4000" spans="1:24">
      <c r="A4000">
        <f>HYPERLINK("https://www.philgeps.gov.ph/GEPSNONPILOT/Tender/SplashBidNoticeAbstractUI.aspx?menuIndex=3&amp;refID=7042142&amp;Result=3","7042142")</f>
        <v>0</v>
      </c>
      <c r="B4000" t="s">
        <v>1421</v>
      </c>
      <c r="C4000" t="s">
        <v>6500</v>
      </c>
      <c r="D4000" t="s">
        <v>13036</v>
      </c>
      <c r="E4000" t="s">
        <v>16667</v>
      </c>
      <c r="F4000" t="s">
        <v>22436</v>
      </c>
      <c r="G4000" t="s">
        <v>22444</v>
      </c>
      <c r="H4000" t="s">
        <v>22454</v>
      </c>
      <c r="I4000" t="s">
        <v>2981</v>
      </c>
      <c r="J4000" t="s">
        <v>23598</v>
      </c>
      <c r="K4000" t="s">
        <v>29334</v>
      </c>
      <c r="M4000" t="s">
        <v>31082</v>
      </c>
      <c r="N4000" t="s">
        <v>32524</v>
      </c>
      <c r="O4000" t="s">
        <v>32525</v>
      </c>
      <c r="P4000">
        <v>0</v>
      </c>
      <c r="Q4000">
        <v>0</v>
      </c>
      <c r="R4000" t="s">
        <v>32530</v>
      </c>
      <c r="S4000" t="s">
        <v>32568</v>
      </c>
      <c r="T4000" t="s">
        <v>33167</v>
      </c>
      <c r="U4000" t="s">
        <v>37016</v>
      </c>
      <c r="W4000" t="s">
        <v>31082</v>
      </c>
      <c r="X4000" t="s">
        <v>32531</v>
      </c>
    </row>
    <row r="4001" spans="1:24">
      <c r="A4001">
        <f>HYPERLINK("https://www.philgeps.gov.ph/GEPSNONPILOT/Tender/SplashBidNoticeAbstractUI.aspx?menuIndex=3&amp;refID=7042193&amp;Result=3","7042193")</f>
        <v>0</v>
      </c>
      <c r="B4001" t="s">
        <v>81</v>
      </c>
      <c r="C4001" t="s">
        <v>6501</v>
      </c>
      <c r="D4001" t="s">
        <v>13010</v>
      </c>
      <c r="E4001" t="s">
        <v>16668</v>
      </c>
      <c r="F4001" t="s">
        <v>22436</v>
      </c>
      <c r="G4001" t="s">
        <v>22443</v>
      </c>
      <c r="H4001" t="s">
        <v>22452</v>
      </c>
      <c r="I4001" t="s">
        <v>22488</v>
      </c>
      <c r="J4001" t="s">
        <v>22911</v>
      </c>
      <c r="K4001" t="s">
        <v>29334</v>
      </c>
      <c r="M4001" t="s">
        <v>29653</v>
      </c>
      <c r="N4001" t="s">
        <v>32524</v>
      </c>
      <c r="O4001" t="s">
        <v>32525</v>
      </c>
      <c r="P4001">
        <v>0</v>
      </c>
      <c r="Q4001">
        <v>1</v>
      </c>
      <c r="R4001" t="s">
        <v>32530</v>
      </c>
      <c r="S4001" t="s">
        <v>32568</v>
      </c>
      <c r="T4001" t="s">
        <v>33182</v>
      </c>
      <c r="U4001" t="s">
        <v>37017</v>
      </c>
      <c r="W4001" t="s">
        <v>29653</v>
      </c>
      <c r="X4001" t="s">
        <v>32531</v>
      </c>
    </row>
    <row r="4002" spans="1:24">
      <c r="A4002">
        <f>HYPERLINK("https://www.philgeps.gov.ph/GEPSNONPILOT/Tender/SplashBidNoticeAbstractUI.aspx?menuIndex=3&amp;refID=7042156&amp;Result=3","7042156")</f>
        <v>0</v>
      </c>
      <c r="B4002" t="s">
        <v>477</v>
      </c>
      <c r="C4002" t="s">
        <v>6502</v>
      </c>
      <c r="D4002" t="s">
        <v>13016</v>
      </c>
      <c r="E4002" t="s">
        <v>16669</v>
      </c>
      <c r="F4002" t="s">
        <v>22436</v>
      </c>
      <c r="G4002" t="s">
        <v>22443</v>
      </c>
      <c r="H4002" t="s">
        <v>22452</v>
      </c>
      <c r="I4002" t="s">
        <v>22523</v>
      </c>
      <c r="J4002" t="s">
        <v>22874</v>
      </c>
      <c r="K4002" t="s">
        <v>29338</v>
      </c>
      <c r="M4002" t="s">
        <v>30061</v>
      </c>
      <c r="N4002" t="s">
        <v>32524</v>
      </c>
      <c r="O4002" t="s">
        <v>32525</v>
      </c>
      <c r="P4002">
        <v>0</v>
      </c>
      <c r="Q4002">
        <v>0</v>
      </c>
      <c r="R4002" t="s">
        <v>32530</v>
      </c>
      <c r="S4002" t="s">
        <v>32568</v>
      </c>
      <c r="T4002" t="s">
        <v>33351</v>
      </c>
      <c r="U4002" t="s">
        <v>37018</v>
      </c>
      <c r="W4002" t="s">
        <v>30061</v>
      </c>
      <c r="X4002" t="s">
        <v>32531</v>
      </c>
    </row>
    <row r="4003" spans="1:24">
      <c r="A4003">
        <f>HYPERLINK("https://www.philgeps.gov.ph/GEPSNONPILOT/Tender/SplashBidNoticeAbstractUI.aspx?menuIndex=3&amp;refID=7042155&amp;Result=3","7042155")</f>
        <v>0</v>
      </c>
      <c r="B4003" t="s">
        <v>326</v>
      </c>
      <c r="C4003" t="s">
        <v>6503</v>
      </c>
      <c r="D4003" t="s">
        <v>13046</v>
      </c>
      <c r="E4003" t="s">
        <v>13976</v>
      </c>
      <c r="F4003" t="s">
        <v>22436</v>
      </c>
      <c r="G4003" t="s">
        <v>22443</v>
      </c>
      <c r="H4003" t="s">
        <v>22452</v>
      </c>
      <c r="I4003" t="s">
        <v>22469</v>
      </c>
      <c r="J4003" t="s">
        <v>23085</v>
      </c>
      <c r="K4003" t="s">
        <v>29341</v>
      </c>
      <c r="M4003" t="s">
        <v>29902</v>
      </c>
      <c r="N4003" t="s">
        <v>32524</v>
      </c>
      <c r="O4003" t="s">
        <v>32525</v>
      </c>
      <c r="P4003">
        <v>0</v>
      </c>
      <c r="Q4003">
        <v>6</v>
      </c>
      <c r="R4003" t="s">
        <v>32530</v>
      </c>
      <c r="S4003" t="s">
        <v>32568</v>
      </c>
      <c r="T4003" t="s">
        <v>33296</v>
      </c>
      <c r="U4003" t="s">
        <v>36898</v>
      </c>
      <c r="W4003" t="s">
        <v>29902</v>
      </c>
      <c r="X4003" t="s">
        <v>32531</v>
      </c>
    </row>
    <row r="4004" spans="1:24">
      <c r="A4004">
        <f>HYPERLINK("https://www.philgeps.gov.ph/GEPSNONPILOT/Tender/SplashBidNoticeAbstractUI.aspx?menuIndex=3&amp;refID=7042187&amp;Result=3","7042187")</f>
        <v>0</v>
      </c>
      <c r="B4004" t="s">
        <v>1381</v>
      </c>
      <c r="C4004" t="s">
        <v>6504</v>
      </c>
      <c r="D4004" t="s">
        <v>13035</v>
      </c>
      <c r="E4004" t="s">
        <v>16670</v>
      </c>
      <c r="F4004" t="s">
        <v>22436</v>
      </c>
      <c r="G4004" t="s">
        <v>22443</v>
      </c>
      <c r="H4004" t="s">
        <v>22452</v>
      </c>
      <c r="I4004" t="s">
        <v>22467</v>
      </c>
      <c r="J4004" t="s">
        <v>25239</v>
      </c>
      <c r="K4004" t="s">
        <v>29331</v>
      </c>
      <c r="M4004" t="s">
        <v>31039</v>
      </c>
      <c r="N4004" t="s">
        <v>32524</v>
      </c>
      <c r="O4004" t="s">
        <v>32525</v>
      </c>
      <c r="P4004">
        <v>0</v>
      </c>
      <c r="Q4004">
        <v>0</v>
      </c>
      <c r="R4004" t="s">
        <v>32530</v>
      </c>
      <c r="S4004" t="s">
        <v>32568</v>
      </c>
      <c r="T4004" t="s">
        <v>33161</v>
      </c>
      <c r="U4004" t="s">
        <v>37019</v>
      </c>
      <c r="V4004" t="s">
        <v>42854</v>
      </c>
      <c r="W4004" t="s">
        <v>31039</v>
      </c>
      <c r="X4004" t="s">
        <v>32531</v>
      </c>
    </row>
    <row r="4005" spans="1:24">
      <c r="A4005">
        <f>HYPERLINK("https://www.philgeps.gov.ph/GEPSNONPILOT/Tender/SplashBidNoticeAbstractUI.aspx?menuIndex=3&amp;refID=7042144&amp;Result=3","7042144")</f>
        <v>0</v>
      </c>
      <c r="B4005" t="s">
        <v>1264</v>
      </c>
      <c r="C4005" t="s">
        <v>6505</v>
      </c>
      <c r="D4005" t="s">
        <v>12991</v>
      </c>
      <c r="E4005" t="s">
        <v>16671</v>
      </c>
      <c r="F4005" t="s">
        <v>22436</v>
      </c>
      <c r="G4005" t="s">
        <v>22444</v>
      </c>
      <c r="H4005" t="s">
        <v>22452</v>
      </c>
      <c r="I4005" t="s">
        <v>5194</v>
      </c>
      <c r="J4005" t="s">
        <v>25240</v>
      </c>
      <c r="K4005" t="s">
        <v>29335</v>
      </c>
      <c r="M4005" t="s">
        <v>30917</v>
      </c>
      <c r="N4005" t="s">
        <v>32524</v>
      </c>
      <c r="O4005" t="s">
        <v>32525</v>
      </c>
      <c r="P4005">
        <v>0</v>
      </c>
      <c r="Q4005">
        <v>2</v>
      </c>
      <c r="R4005" t="s">
        <v>32530</v>
      </c>
      <c r="S4005" t="s">
        <v>32568</v>
      </c>
      <c r="T4005" t="s">
        <v>33165</v>
      </c>
      <c r="U4005" t="s">
        <v>37020</v>
      </c>
      <c r="W4005" t="s">
        <v>43712</v>
      </c>
      <c r="X4005" t="s">
        <v>32531</v>
      </c>
    </row>
    <row r="4006" spans="1:24">
      <c r="A4006">
        <f>HYPERLINK("https://www.philgeps.gov.ph/GEPSNONPILOT/Tender/SplashBidNoticeAbstractUI.aspx?menuIndex=3&amp;refID=7042159&amp;Result=3","7042159")</f>
        <v>0</v>
      </c>
      <c r="B4006" t="s">
        <v>1416</v>
      </c>
      <c r="C4006" t="s">
        <v>6506</v>
      </c>
      <c r="D4006" t="s">
        <v>13012</v>
      </c>
      <c r="E4006" t="s">
        <v>16632</v>
      </c>
      <c r="F4006" t="s">
        <v>22436</v>
      </c>
      <c r="G4006" t="s">
        <v>22444</v>
      </c>
      <c r="H4006" t="s">
        <v>22454</v>
      </c>
      <c r="I4006" t="s">
        <v>7738</v>
      </c>
      <c r="J4006" t="s">
        <v>25217</v>
      </c>
      <c r="K4006" t="s">
        <v>29373</v>
      </c>
      <c r="M4006" t="s">
        <v>31077</v>
      </c>
      <c r="N4006" t="s">
        <v>32524</v>
      </c>
      <c r="O4006" t="s">
        <v>32525</v>
      </c>
      <c r="P4006">
        <v>0</v>
      </c>
      <c r="Q4006">
        <v>1</v>
      </c>
      <c r="R4006" t="s">
        <v>32530</v>
      </c>
      <c r="S4006" t="s">
        <v>32568</v>
      </c>
      <c r="T4006" t="s">
        <v>33418</v>
      </c>
      <c r="U4006" t="s">
        <v>35908</v>
      </c>
      <c r="W4006" t="s">
        <v>31077</v>
      </c>
      <c r="X4006" t="s">
        <v>32531</v>
      </c>
    </row>
    <row r="4007" spans="1:24">
      <c r="A4007">
        <f>HYPERLINK("https://www.philgeps.gov.ph/GEPSNONPILOT/Tender/SplashBidNoticeAbstractUI.aspx?menuIndex=3&amp;refID=7042174&amp;Result=3","7042174")</f>
        <v>0</v>
      </c>
      <c r="B4007" t="s">
        <v>1422</v>
      </c>
      <c r="C4007" t="s">
        <v>6507</v>
      </c>
      <c r="E4007" t="s">
        <v>16672</v>
      </c>
      <c r="F4007" t="s">
        <v>22436</v>
      </c>
      <c r="G4007" t="s">
        <v>22443</v>
      </c>
      <c r="H4007" t="s">
        <v>22452</v>
      </c>
      <c r="I4007" t="s">
        <v>2981</v>
      </c>
      <c r="J4007" t="s">
        <v>22588</v>
      </c>
      <c r="K4007" t="s">
        <v>29338</v>
      </c>
      <c r="M4007" t="s">
        <v>31083</v>
      </c>
      <c r="N4007" t="s">
        <v>32524</v>
      </c>
      <c r="O4007" t="s">
        <v>32525</v>
      </c>
      <c r="P4007">
        <v>0</v>
      </c>
      <c r="Q4007">
        <v>5</v>
      </c>
      <c r="R4007" t="s">
        <v>32530</v>
      </c>
      <c r="S4007" t="s">
        <v>32568</v>
      </c>
      <c r="T4007" t="s">
        <v>33437</v>
      </c>
      <c r="U4007" t="s">
        <v>37021</v>
      </c>
      <c r="W4007" t="s">
        <v>31083</v>
      </c>
      <c r="X4007" t="s">
        <v>32531</v>
      </c>
    </row>
    <row r="4008" spans="1:24">
      <c r="A4008">
        <f>HYPERLINK("https://www.philgeps.gov.ph/GEPSNONPILOT/Tender/SplashBidNoticeAbstractUI.aspx?menuIndex=3&amp;refID=7042191&amp;Result=3","7042191")</f>
        <v>0</v>
      </c>
      <c r="B4008" t="s">
        <v>1323</v>
      </c>
      <c r="C4008" t="s">
        <v>6508</v>
      </c>
      <c r="E4008" t="s">
        <v>16673</v>
      </c>
      <c r="F4008" t="s">
        <v>22436</v>
      </c>
      <c r="G4008" t="s">
        <v>22444</v>
      </c>
      <c r="H4008" t="s">
        <v>22454</v>
      </c>
      <c r="I4008" t="s">
        <v>7738</v>
      </c>
      <c r="J4008" t="s">
        <v>25241</v>
      </c>
      <c r="K4008" t="s">
        <v>29338</v>
      </c>
      <c r="M4008" t="s">
        <v>30978</v>
      </c>
      <c r="N4008" t="s">
        <v>32524</v>
      </c>
      <c r="O4008" t="s">
        <v>32525</v>
      </c>
      <c r="P4008">
        <v>0</v>
      </c>
      <c r="Q4008">
        <v>0</v>
      </c>
      <c r="R4008" t="s">
        <v>32530</v>
      </c>
      <c r="S4008" t="s">
        <v>32568</v>
      </c>
      <c r="T4008" t="s">
        <v>33424</v>
      </c>
      <c r="U4008" t="s">
        <v>36956</v>
      </c>
      <c r="W4008" t="s">
        <v>30978</v>
      </c>
      <c r="X4008" t="s">
        <v>32531</v>
      </c>
    </row>
    <row r="4009" spans="1:24">
      <c r="A4009">
        <f>HYPERLINK("https://www.philgeps.gov.ph/GEPSNONPILOT/Tender/SplashBidNoticeAbstractUI.aspx?menuIndex=3&amp;refID=7042168&amp;Result=3","7042168")</f>
        <v>0</v>
      </c>
      <c r="B4009" t="s">
        <v>1381</v>
      </c>
      <c r="C4009" t="s">
        <v>6509</v>
      </c>
      <c r="D4009" t="s">
        <v>13035</v>
      </c>
      <c r="E4009" t="s">
        <v>16674</v>
      </c>
      <c r="F4009" t="s">
        <v>22436</v>
      </c>
      <c r="G4009" t="s">
        <v>22443</v>
      </c>
      <c r="H4009" t="s">
        <v>22452</v>
      </c>
      <c r="I4009" t="s">
        <v>3529</v>
      </c>
      <c r="J4009" t="s">
        <v>25238</v>
      </c>
      <c r="K4009" t="s">
        <v>29331</v>
      </c>
      <c r="M4009" t="s">
        <v>31039</v>
      </c>
      <c r="N4009" t="s">
        <v>32524</v>
      </c>
      <c r="O4009" t="s">
        <v>32525</v>
      </c>
      <c r="P4009">
        <v>0</v>
      </c>
      <c r="Q4009">
        <v>0</v>
      </c>
      <c r="R4009" t="s">
        <v>32530</v>
      </c>
      <c r="S4009" t="s">
        <v>32568</v>
      </c>
      <c r="T4009" t="s">
        <v>33161</v>
      </c>
      <c r="U4009" t="s">
        <v>36957</v>
      </c>
      <c r="V4009" t="s">
        <v>42855</v>
      </c>
      <c r="W4009" t="s">
        <v>31039</v>
      </c>
      <c r="X4009" t="s">
        <v>32531</v>
      </c>
    </row>
    <row r="4010" spans="1:24">
      <c r="A4010">
        <f>HYPERLINK("https://www.philgeps.gov.ph/GEPSNONPILOT/Tender/SplashBidNoticeAbstractUI.aspx?menuIndex=3&amp;refID=7042186&amp;Result=3","7042186")</f>
        <v>0</v>
      </c>
      <c r="B4010" t="s">
        <v>1423</v>
      </c>
      <c r="C4010" t="s">
        <v>6510</v>
      </c>
      <c r="D4010" t="s">
        <v>12994</v>
      </c>
      <c r="E4010" t="s">
        <v>16675</v>
      </c>
      <c r="F4010" t="s">
        <v>22436</v>
      </c>
      <c r="G4010" t="s">
        <v>22444</v>
      </c>
      <c r="H4010" t="s">
        <v>22454</v>
      </c>
      <c r="I4010" t="s">
        <v>7738</v>
      </c>
      <c r="J4010" t="s">
        <v>25242</v>
      </c>
      <c r="K4010" t="s">
        <v>29346</v>
      </c>
      <c r="M4010" t="s">
        <v>31084</v>
      </c>
      <c r="N4010" t="s">
        <v>32524</v>
      </c>
      <c r="O4010" t="s">
        <v>32525</v>
      </c>
      <c r="P4010">
        <v>0</v>
      </c>
      <c r="Q4010">
        <v>5</v>
      </c>
      <c r="R4010" t="s">
        <v>32530</v>
      </c>
      <c r="S4010" t="s">
        <v>32568</v>
      </c>
      <c r="T4010" t="s">
        <v>33165</v>
      </c>
      <c r="U4010" t="s">
        <v>37022</v>
      </c>
      <c r="W4010" t="s">
        <v>31084</v>
      </c>
      <c r="X4010" t="s">
        <v>32531</v>
      </c>
    </row>
    <row r="4011" spans="1:24">
      <c r="A4011">
        <f>HYPERLINK("https://www.philgeps.gov.ph/GEPSNONPILOT/Tender/SplashBidNoticeAbstractUI.aspx?menuIndex=3&amp;refID=7042194&amp;Result=3","7042194")</f>
        <v>0</v>
      </c>
      <c r="B4011" t="s">
        <v>1424</v>
      </c>
      <c r="C4011" t="s">
        <v>6511</v>
      </c>
      <c r="D4011" t="s">
        <v>12988</v>
      </c>
      <c r="E4011" t="s">
        <v>16676</v>
      </c>
      <c r="F4011" t="s">
        <v>22436</v>
      </c>
      <c r="G4011" t="s">
        <v>22444</v>
      </c>
      <c r="H4011" t="s">
        <v>22452</v>
      </c>
      <c r="I4011" t="s">
        <v>22484</v>
      </c>
      <c r="J4011" t="s">
        <v>25243</v>
      </c>
      <c r="K4011" t="s">
        <v>29338</v>
      </c>
      <c r="L4011" t="s">
        <v>1424</v>
      </c>
      <c r="M4011" t="s">
        <v>31085</v>
      </c>
      <c r="N4011" t="s">
        <v>32524</v>
      </c>
      <c r="O4011" t="s">
        <v>32525</v>
      </c>
      <c r="Q4011">
        <v>16</v>
      </c>
      <c r="R4011" t="s">
        <v>32530</v>
      </c>
      <c r="S4011" t="s">
        <v>32572</v>
      </c>
      <c r="T4011" t="s">
        <v>33405</v>
      </c>
      <c r="U4011" t="s">
        <v>37023</v>
      </c>
      <c r="W4011" t="s">
        <v>31085</v>
      </c>
      <c r="X4011" t="s">
        <v>32531</v>
      </c>
    </row>
    <row r="4012" spans="1:24">
      <c r="A4012">
        <f>HYPERLINK("https://www.philgeps.gov.ph/GEPSNONPILOT/Tender/SplashBidNoticeAbstractUI.aspx?menuIndex=3&amp;refID=7042165&amp;Result=3","7042165")</f>
        <v>0</v>
      </c>
      <c r="B4012" t="s">
        <v>1425</v>
      </c>
      <c r="C4012" t="s">
        <v>6512</v>
      </c>
      <c r="D4012" t="s">
        <v>13001</v>
      </c>
      <c r="E4012" t="s">
        <v>16677</v>
      </c>
      <c r="F4012" t="s">
        <v>22436</v>
      </c>
      <c r="G4012" t="s">
        <v>22443</v>
      </c>
      <c r="H4012" t="s">
        <v>22452</v>
      </c>
      <c r="I4012" t="s">
        <v>22474</v>
      </c>
      <c r="J4012" t="s">
        <v>22809</v>
      </c>
      <c r="K4012" t="s">
        <v>29338</v>
      </c>
      <c r="M4012" t="s">
        <v>31086</v>
      </c>
      <c r="N4012" t="s">
        <v>32524</v>
      </c>
      <c r="O4012" t="s">
        <v>32525</v>
      </c>
      <c r="P4012">
        <v>0</v>
      </c>
      <c r="Q4012">
        <v>1</v>
      </c>
      <c r="R4012" t="s">
        <v>32530</v>
      </c>
      <c r="S4012" t="s">
        <v>32568</v>
      </c>
      <c r="T4012" t="s">
        <v>33351</v>
      </c>
      <c r="U4012" t="s">
        <v>37024</v>
      </c>
      <c r="V4012" t="s">
        <v>42856</v>
      </c>
      <c r="W4012" t="s">
        <v>31086</v>
      </c>
      <c r="X4012" t="s">
        <v>32531</v>
      </c>
    </row>
    <row r="4013" spans="1:24">
      <c r="A4013">
        <f>HYPERLINK("https://www.philgeps.gov.ph/GEPSNONPILOT/Tender/SplashBidNoticeAbstractUI.aspx?menuIndex=3&amp;refID=7042160&amp;Result=3","7042160")</f>
        <v>0</v>
      </c>
      <c r="B4013" t="s">
        <v>1424</v>
      </c>
      <c r="C4013" t="s">
        <v>6513</v>
      </c>
      <c r="D4013" t="s">
        <v>12988</v>
      </c>
      <c r="E4013" t="s">
        <v>16678</v>
      </c>
      <c r="F4013" t="s">
        <v>22436</v>
      </c>
      <c r="G4013" t="s">
        <v>22444</v>
      </c>
      <c r="H4013" t="s">
        <v>22452</v>
      </c>
      <c r="I4013" t="s">
        <v>22484</v>
      </c>
      <c r="J4013" t="s">
        <v>25244</v>
      </c>
      <c r="K4013" t="s">
        <v>29338</v>
      </c>
      <c r="L4013" t="s">
        <v>1424</v>
      </c>
      <c r="M4013" t="s">
        <v>31085</v>
      </c>
      <c r="N4013" t="s">
        <v>32524</v>
      </c>
      <c r="O4013" t="s">
        <v>32525</v>
      </c>
      <c r="Q4013">
        <v>28</v>
      </c>
      <c r="R4013" t="s">
        <v>32530</v>
      </c>
      <c r="S4013" t="s">
        <v>32573</v>
      </c>
      <c r="T4013" t="s">
        <v>33405</v>
      </c>
      <c r="U4013" t="s">
        <v>37023</v>
      </c>
      <c r="W4013" t="s">
        <v>31085</v>
      </c>
      <c r="X4013" t="s">
        <v>32531</v>
      </c>
    </row>
    <row r="4014" spans="1:24">
      <c r="A4014">
        <f>HYPERLINK("https://www.philgeps.gov.ph/GEPSNONPILOT/Tender/SplashBidNoticeAbstractUI.aspx?menuIndex=3&amp;refID=7042184&amp;Result=3","7042184")</f>
        <v>0</v>
      </c>
      <c r="B4014" t="s">
        <v>1121</v>
      </c>
      <c r="C4014" t="s">
        <v>6514</v>
      </c>
      <c r="D4014" t="s">
        <v>13038</v>
      </c>
      <c r="E4014" t="s">
        <v>16679</v>
      </c>
      <c r="F4014" t="s">
        <v>22436</v>
      </c>
      <c r="G4014" t="s">
        <v>22443</v>
      </c>
      <c r="H4014" t="s">
        <v>22452</v>
      </c>
      <c r="I4014" t="s">
        <v>2981</v>
      </c>
      <c r="J4014" t="s">
        <v>25245</v>
      </c>
      <c r="K4014" t="s">
        <v>29335</v>
      </c>
      <c r="M4014" t="s">
        <v>30759</v>
      </c>
      <c r="N4014" t="s">
        <v>32524</v>
      </c>
      <c r="O4014" t="s">
        <v>32525</v>
      </c>
      <c r="P4014">
        <v>0</v>
      </c>
      <c r="Q4014">
        <v>1</v>
      </c>
      <c r="R4014" t="s">
        <v>32530</v>
      </c>
      <c r="S4014" t="s">
        <v>32568</v>
      </c>
      <c r="T4014" t="s">
        <v>33310</v>
      </c>
      <c r="U4014" t="s">
        <v>37025</v>
      </c>
      <c r="W4014" t="s">
        <v>30759</v>
      </c>
      <c r="X4014" t="s">
        <v>32531</v>
      </c>
    </row>
    <row r="4015" spans="1:24">
      <c r="A4015">
        <f>HYPERLINK("https://www.philgeps.gov.ph/GEPSNONPILOT/Tender/SplashBidNoticeAbstractUI.aspx?menuIndex=3&amp;refID=7042170&amp;Result=3","7042170")</f>
        <v>0</v>
      </c>
      <c r="B4015" t="s">
        <v>1413</v>
      </c>
      <c r="C4015" t="s">
        <v>6515</v>
      </c>
      <c r="D4015" t="s">
        <v>12988</v>
      </c>
      <c r="E4015" t="s">
        <v>16680</v>
      </c>
      <c r="F4015" t="s">
        <v>22436</v>
      </c>
      <c r="G4015" t="s">
        <v>22443</v>
      </c>
      <c r="H4015" t="s">
        <v>22453</v>
      </c>
      <c r="I4015" t="s">
        <v>22491</v>
      </c>
      <c r="J4015" t="s">
        <v>22588</v>
      </c>
      <c r="K4015" t="s">
        <v>29397</v>
      </c>
      <c r="M4015" t="s">
        <v>31074</v>
      </c>
      <c r="N4015" t="s">
        <v>32524</v>
      </c>
      <c r="O4015" t="s">
        <v>32525</v>
      </c>
      <c r="P4015">
        <v>0</v>
      </c>
      <c r="Q4015">
        <v>3</v>
      </c>
      <c r="R4015" t="s">
        <v>32530</v>
      </c>
      <c r="S4015" t="s">
        <v>32568</v>
      </c>
      <c r="T4015" t="s">
        <v>33304</v>
      </c>
      <c r="U4015" t="s">
        <v>37026</v>
      </c>
      <c r="W4015" t="s">
        <v>31074</v>
      </c>
      <c r="X4015" t="s">
        <v>32531</v>
      </c>
    </row>
    <row r="4016" spans="1:24">
      <c r="A4016">
        <f>HYPERLINK("https://www.philgeps.gov.ph/GEPSNONPILOT/Tender/SplashBidNoticeAbstractUI.aspx?menuIndex=3&amp;refID=7042161&amp;Result=3","7042161")</f>
        <v>0</v>
      </c>
      <c r="B4016" t="s">
        <v>1323</v>
      </c>
      <c r="C4016" t="s">
        <v>6516</v>
      </c>
      <c r="E4016" t="s">
        <v>16681</v>
      </c>
      <c r="F4016" t="s">
        <v>22436</v>
      </c>
      <c r="G4016" t="s">
        <v>22444</v>
      </c>
      <c r="H4016" t="s">
        <v>22454</v>
      </c>
      <c r="I4016" t="s">
        <v>7738</v>
      </c>
      <c r="J4016" t="s">
        <v>25246</v>
      </c>
      <c r="K4016" t="s">
        <v>29338</v>
      </c>
      <c r="M4016" t="s">
        <v>30978</v>
      </c>
      <c r="N4016" t="s">
        <v>32524</v>
      </c>
      <c r="O4016" t="s">
        <v>32525</v>
      </c>
      <c r="P4016">
        <v>0</v>
      </c>
      <c r="Q4016">
        <v>0</v>
      </c>
      <c r="R4016" t="s">
        <v>32530</v>
      </c>
      <c r="S4016" t="s">
        <v>32568</v>
      </c>
      <c r="T4016" t="s">
        <v>33424</v>
      </c>
      <c r="U4016" t="s">
        <v>36956</v>
      </c>
      <c r="W4016" t="s">
        <v>30978</v>
      </c>
      <c r="X4016" t="s">
        <v>32531</v>
      </c>
    </row>
    <row r="4017" spans="1:24">
      <c r="A4017">
        <f>HYPERLINK("https://www.philgeps.gov.ph/GEPSNONPILOT/Tender/SplashBidNoticeAbstractUI.aspx?menuIndex=3&amp;refID=7042198&amp;Result=3","7042198")</f>
        <v>0</v>
      </c>
      <c r="B4017" t="s">
        <v>1121</v>
      </c>
      <c r="C4017" t="s">
        <v>6517</v>
      </c>
      <c r="D4017" t="s">
        <v>13038</v>
      </c>
      <c r="E4017" t="s">
        <v>16682</v>
      </c>
      <c r="F4017" t="s">
        <v>22436</v>
      </c>
      <c r="G4017" t="s">
        <v>22443</v>
      </c>
      <c r="H4017" t="s">
        <v>22452</v>
      </c>
      <c r="I4017" t="s">
        <v>22456</v>
      </c>
      <c r="J4017" t="s">
        <v>25247</v>
      </c>
      <c r="K4017" t="s">
        <v>29335</v>
      </c>
      <c r="M4017" t="s">
        <v>30759</v>
      </c>
      <c r="N4017" t="s">
        <v>32524</v>
      </c>
      <c r="O4017" t="s">
        <v>32525</v>
      </c>
      <c r="P4017">
        <v>0</v>
      </c>
      <c r="Q4017">
        <v>1</v>
      </c>
      <c r="R4017" t="s">
        <v>32530</v>
      </c>
      <c r="S4017" t="s">
        <v>32568</v>
      </c>
      <c r="T4017" t="s">
        <v>33310</v>
      </c>
      <c r="U4017" t="s">
        <v>37027</v>
      </c>
      <c r="W4017" t="s">
        <v>30759</v>
      </c>
      <c r="X4017" t="s">
        <v>32531</v>
      </c>
    </row>
    <row r="4018" spans="1:24">
      <c r="A4018">
        <f>HYPERLINK("https://www.philgeps.gov.ph/GEPSNONPILOT/Tender/SplashBidNoticeAbstractUI.aspx?menuIndex=3&amp;refID=7042203&amp;Result=3","7042203")</f>
        <v>0</v>
      </c>
      <c r="B4018" t="s">
        <v>83</v>
      </c>
      <c r="C4018" t="s">
        <v>6518</v>
      </c>
      <c r="D4018" t="s">
        <v>12988</v>
      </c>
      <c r="E4018" t="s">
        <v>16683</v>
      </c>
      <c r="F4018" t="s">
        <v>22436</v>
      </c>
      <c r="G4018" t="s">
        <v>22443</v>
      </c>
      <c r="H4018" t="s">
        <v>22452</v>
      </c>
      <c r="I4018" t="s">
        <v>22456</v>
      </c>
      <c r="J4018" t="s">
        <v>25248</v>
      </c>
      <c r="K4018" t="s">
        <v>29336</v>
      </c>
      <c r="M4018" t="s">
        <v>29655</v>
      </c>
      <c r="N4018" t="s">
        <v>32524</v>
      </c>
      <c r="O4018" t="s">
        <v>32525</v>
      </c>
      <c r="P4018">
        <v>0</v>
      </c>
      <c r="Q4018">
        <v>0</v>
      </c>
      <c r="R4018" t="s">
        <v>32530</v>
      </c>
      <c r="S4018" t="s">
        <v>32568</v>
      </c>
      <c r="T4018" t="s">
        <v>33220</v>
      </c>
      <c r="U4018" t="s">
        <v>37028</v>
      </c>
      <c r="W4018" t="s">
        <v>29655</v>
      </c>
      <c r="X4018" t="s">
        <v>32531</v>
      </c>
    </row>
    <row r="4019" spans="1:24">
      <c r="A4019">
        <f>HYPERLINK("https://www.philgeps.gov.ph/GEPSNONPILOT/Tender/SplashBidNoticeAbstractUI.aspx?menuIndex=3&amp;refID=7042171&amp;Result=3","7042171")</f>
        <v>0</v>
      </c>
      <c r="B4019" t="s">
        <v>1121</v>
      </c>
      <c r="C4019" t="s">
        <v>6519</v>
      </c>
      <c r="D4019" t="s">
        <v>13038</v>
      </c>
      <c r="E4019" t="s">
        <v>16684</v>
      </c>
      <c r="F4019" t="s">
        <v>22436</v>
      </c>
      <c r="G4019" t="s">
        <v>22443</v>
      </c>
      <c r="H4019" t="s">
        <v>22452</v>
      </c>
      <c r="I4019" t="s">
        <v>2981</v>
      </c>
      <c r="J4019" t="s">
        <v>25249</v>
      </c>
      <c r="K4019" t="s">
        <v>29335</v>
      </c>
      <c r="M4019" t="s">
        <v>30759</v>
      </c>
      <c r="N4019" t="s">
        <v>32524</v>
      </c>
      <c r="O4019" t="s">
        <v>32525</v>
      </c>
      <c r="P4019">
        <v>0</v>
      </c>
      <c r="Q4019">
        <v>0</v>
      </c>
      <c r="R4019" t="s">
        <v>32530</v>
      </c>
      <c r="S4019" t="s">
        <v>32568</v>
      </c>
      <c r="T4019" t="s">
        <v>33310</v>
      </c>
      <c r="U4019" t="s">
        <v>37029</v>
      </c>
      <c r="W4019" t="s">
        <v>30759</v>
      </c>
      <c r="X4019" t="s">
        <v>32531</v>
      </c>
    </row>
    <row r="4020" spans="1:24">
      <c r="A4020">
        <f>HYPERLINK("https://www.philgeps.gov.ph/GEPSNONPILOT/Tender/SplashBidNoticeAbstractUI.aspx?menuIndex=3&amp;refID=7042214&amp;Result=3","7042214")</f>
        <v>0</v>
      </c>
      <c r="B4020" t="s">
        <v>1424</v>
      </c>
      <c r="C4020" t="s">
        <v>6520</v>
      </c>
      <c r="D4020" t="s">
        <v>12988</v>
      </c>
      <c r="E4020" t="s">
        <v>16685</v>
      </c>
      <c r="F4020" t="s">
        <v>22436</v>
      </c>
      <c r="G4020" t="s">
        <v>22444</v>
      </c>
      <c r="H4020" t="s">
        <v>22452</v>
      </c>
      <c r="I4020" t="s">
        <v>22484</v>
      </c>
      <c r="J4020" t="s">
        <v>25144</v>
      </c>
      <c r="K4020" t="s">
        <v>29338</v>
      </c>
      <c r="L4020" t="s">
        <v>1424</v>
      </c>
      <c r="M4020" t="s">
        <v>31085</v>
      </c>
      <c r="N4020" t="s">
        <v>32524</v>
      </c>
      <c r="O4020" t="s">
        <v>32525</v>
      </c>
      <c r="Q4020">
        <v>16</v>
      </c>
      <c r="R4020" t="s">
        <v>32530</v>
      </c>
      <c r="S4020" t="s">
        <v>32574</v>
      </c>
      <c r="T4020" t="s">
        <v>33405</v>
      </c>
      <c r="U4020" t="s">
        <v>37023</v>
      </c>
      <c r="W4020" t="s">
        <v>31085</v>
      </c>
      <c r="X4020" t="s">
        <v>32531</v>
      </c>
    </row>
    <row r="4021" spans="1:24">
      <c r="A4021">
        <f>HYPERLINK("https://www.philgeps.gov.ph/GEPSNONPILOT/Tender/SplashBidNoticeAbstractUI.aspx?menuIndex=3&amp;refID=7042256&amp;Result=3","7042256")</f>
        <v>0</v>
      </c>
      <c r="B4021" t="s">
        <v>119</v>
      </c>
      <c r="C4021" t="s">
        <v>6521</v>
      </c>
      <c r="D4021" t="s">
        <v>13020</v>
      </c>
      <c r="E4021" t="s">
        <v>16686</v>
      </c>
      <c r="F4021" t="s">
        <v>22436</v>
      </c>
      <c r="G4021" t="s">
        <v>22444</v>
      </c>
      <c r="H4021" t="s">
        <v>22454</v>
      </c>
      <c r="I4021" t="s">
        <v>7738</v>
      </c>
      <c r="J4021" t="s">
        <v>25250</v>
      </c>
      <c r="K4021" t="s">
        <v>29453</v>
      </c>
      <c r="M4021" t="s">
        <v>29691</v>
      </c>
      <c r="N4021" t="s">
        <v>32524</v>
      </c>
      <c r="O4021" t="s">
        <v>32525</v>
      </c>
      <c r="P4021">
        <v>0</v>
      </c>
      <c r="Q4021">
        <v>10</v>
      </c>
      <c r="R4021" t="s">
        <v>32530</v>
      </c>
      <c r="S4021" t="s">
        <v>32568</v>
      </c>
      <c r="T4021" t="s">
        <v>33237</v>
      </c>
      <c r="U4021" t="s">
        <v>37030</v>
      </c>
      <c r="W4021" t="s">
        <v>29691</v>
      </c>
      <c r="X4021" t="s">
        <v>32531</v>
      </c>
    </row>
    <row r="4022" spans="1:24">
      <c r="A4022">
        <f>HYPERLINK("https://www.philgeps.gov.ph/GEPSNONPILOT/Tender/SplashBidNoticeAbstractUI.aspx?menuIndex=3&amp;refID=7042210&amp;Result=3","7042210")</f>
        <v>0</v>
      </c>
      <c r="B4022" t="s">
        <v>1269</v>
      </c>
      <c r="C4022" t="s">
        <v>6522</v>
      </c>
      <c r="D4022" t="s">
        <v>13000</v>
      </c>
      <c r="E4022" t="s">
        <v>16687</v>
      </c>
      <c r="F4022" t="s">
        <v>22436</v>
      </c>
      <c r="G4022" t="s">
        <v>22444</v>
      </c>
      <c r="H4022" t="s">
        <v>22452</v>
      </c>
      <c r="I4022" t="s">
        <v>22474</v>
      </c>
      <c r="J4022" t="s">
        <v>23387</v>
      </c>
      <c r="K4022" t="s">
        <v>29361</v>
      </c>
      <c r="M4022" t="s">
        <v>31038</v>
      </c>
      <c r="N4022" t="s">
        <v>32524</v>
      </c>
      <c r="O4022" t="s">
        <v>32525</v>
      </c>
      <c r="P4022">
        <v>0</v>
      </c>
      <c r="Q4022">
        <v>10</v>
      </c>
      <c r="R4022" t="s">
        <v>32530</v>
      </c>
      <c r="S4022" t="s">
        <v>32568</v>
      </c>
      <c r="T4022" t="s">
        <v>33405</v>
      </c>
      <c r="U4022" t="s">
        <v>37031</v>
      </c>
      <c r="V4022" t="s">
        <v>42817</v>
      </c>
      <c r="W4022" t="s">
        <v>31038</v>
      </c>
      <c r="X4022" t="s">
        <v>32531</v>
      </c>
    </row>
    <row r="4023" spans="1:24">
      <c r="A4023">
        <f>HYPERLINK("https://www.philgeps.gov.ph/GEPSNONPILOT/Tender/SplashBidNoticeAbstractUI.aspx?menuIndex=3&amp;refID=7042222&amp;Result=3","7042222")</f>
        <v>0</v>
      </c>
      <c r="B4023" t="s">
        <v>1426</v>
      </c>
      <c r="C4023" t="s">
        <v>6523</v>
      </c>
      <c r="E4023" t="s">
        <v>16688</v>
      </c>
      <c r="F4023" t="s">
        <v>22436</v>
      </c>
      <c r="G4023" t="s">
        <v>22444</v>
      </c>
      <c r="H4023" t="s">
        <v>22454</v>
      </c>
      <c r="I4023" t="s">
        <v>7738</v>
      </c>
      <c r="J4023" t="s">
        <v>25251</v>
      </c>
      <c r="K4023" t="s">
        <v>29338</v>
      </c>
      <c r="M4023" t="s">
        <v>31087</v>
      </c>
      <c r="N4023" t="s">
        <v>32524</v>
      </c>
      <c r="O4023" t="s">
        <v>32525</v>
      </c>
      <c r="P4023">
        <v>0</v>
      </c>
      <c r="Q4023">
        <v>1</v>
      </c>
      <c r="R4023" t="s">
        <v>32530</v>
      </c>
      <c r="S4023" t="s">
        <v>32568</v>
      </c>
      <c r="T4023" t="s">
        <v>33206</v>
      </c>
      <c r="U4023" t="s">
        <v>37032</v>
      </c>
      <c r="W4023" t="s">
        <v>31087</v>
      </c>
      <c r="X4023" t="s">
        <v>32531</v>
      </c>
    </row>
    <row r="4024" spans="1:24">
      <c r="A4024">
        <f>HYPERLINK("https://www.philgeps.gov.ph/GEPSNONPILOT/Tender/SplashBidNoticeAbstractUI.aspx?menuIndex=3&amp;refID=7042200&amp;Result=3","7042200")</f>
        <v>0</v>
      </c>
      <c r="B4024" t="s">
        <v>388</v>
      </c>
      <c r="C4024" t="s">
        <v>6524</v>
      </c>
      <c r="D4024" t="s">
        <v>13046</v>
      </c>
      <c r="E4024" t="s">
        <v>16689</v>
      </c>
      <c r="F4024" t="s">
        <v>22436</v>
      </c>
      <c r="G4024" t="s">
        <v>22443</v>
      </c>
      <c r="H4024" t="s">
        <v>22452</v>
      </c>
      <c r="I4024" t="s">
        <v>22456</v>
      </c>
      <c r="J4024" t="s">
        <v>23775</v>
      </c>
      <c r="K4024" t="s">
        <v>29336</v>
      </c>
      <c r="M4024" t="s">
        <v>29967</v>
      </c>
      <c r="N4024" t="s">
        <v>32524</v>
      </c>
      <c r="O4024" t="s">
        <v>32525</v>
      </c>
      <c r="P4024">
        <v>0</v>
      </c>
      <c r="Q4024">
        <v>0</v>
      </c>
      <c r="R4024" t="s">
        <v>32530</v>
      </c>
      <c r="S4024" t="s">
        <v>32568</v>
      </c>
      <c r="T4024" t="s">
        <v>33238</v>
      </c>
      <c r="U4024" t="s">
        <v>37033</v>
      </c>
      <c r="W4024" t="s">
        <v>29967</v>
      </c>
      <c r="X4024" t="s">
        <v>32531</v>
      </c>
    </row>
    <row r="4025" spans="1:24">
      <c r="A4025">
        <f>HYPERLINK("https://www.philgeps.gov.ph/GEPSNONPILOT/Tender/SplashBidNoticeAbstractUI.aspx?menuIndex=3&amp;refID=7042234&amp;Result=3","7042234")</f>
        <v>0</v>
      </c>
      <c r="B4025" t="s">
        <v>183</v>
      </c>
      <c r="C4025" t="s">
        <v>6525</v>
      </c>
      <c r="D4025" t="s">
        <v>12988</v>
      </c>
      <c r="E4025" t="s">
        <v>13102</v>
      </c>
      <c r="F4025" t="s">
        <v>22436</v>
      </c>
      <c r="G4025" t="s">
        <v>22444</v>
      </c>
      <c r="H4025" t="s">
        <v>22452</v>
      </c>
      <c r="I4025" t="s">
        <v>22469</v>
      </c>
      <c r="J4025" t="s">
        <v>24876</v>
      </c>
      <c r="K4025" t="s">
        <v>29335</v>
      </c>
      <c r="M4025" t="s">
        <v>31088</v>
      </c>
      <c r="N4025" t="s">
        <v>32524</v>
      </c>
      <c r="O4025" t="s">
        <v>32525</v>
      </c>
      <c r="P4025">
        <v>0</v>
      </c>
      <c r="Q4025">
        <v>12</v>
      </c>
      <c r="R4025" t="s">
        <v>32530</v>
      </c>
      <c r="S4025" t="s">
        <v>32568</v>
      </c>
      <c r="T4025" t="s">
        <v>33397</v>
      </c>
      <c r="U4025" t="s">
        <v>37034</v>
      </c>
      <c r="W4025" t="s">
        <v>31088</v>
      </c>
      <c r="X4025" t="s">
        <v>32531</v>
      </c>
    </row>
    <row r="4026" spans="1:24">
      <c r="A4026">
        <f>HYPERLINK("https://www.philgeps.gov.ph/GEPSNONPILOT/Tender/SplashBidNoticeAbstractUI.aspx?menuIndex=3&amp;refID=7042208&amp;Result=3","7042208")</f>
        <v>0</v>
      </c>
      <c r="B4026" t="s">
        <v>1427</v>
      </c>
      <c r="C4026" t="s">
        <v>6526</v>
      </c>
      <c r="D4026" t="s">
        <v>13051</v>
      </c>
      <c r="E4026" t="s">
        <v>16690</v>
      </c>
      <c r="F4026" t="s">
        <v>22436</v>
      </c>
      <c r="G4026" t="s">
        <v>22443</v>
      </c>
      <c r="H4026" t="s">
        <v>22454</v>
      </c>
      <c r="I4026" t="s">
        <v>7738</v>
      </c>
      <c r="J4026" t="s">
        <v>22704</v>
      </c>
      <c r="K4026" t="s">
        <v>29335</v>
      </c>
      <c r="M4026" t="s">
        <v>31089</v>
      </c>
      <c r="N4026" t="s">
        <v>32524</v>
      </c>
      <c r="O4026" t="s">
        <v>32525</v>
      </c>
      <c r="P4026">
        <v>0</v>
      </c>
      <c r="Q4026">
        <v>0</v>
      </c>
      <c r="R4026" t="s">
        <v>32530</v>
      </c>
      <c r="S4026" t="s">
        <v>32568</v>
      </c>
      <c r="T4026" t="s">
        <v>33339</v>
      </c>
      <c r="U4026" t="s">
        <v>37035</v>
      </c>
      <c r="W4026" t="s">
        <v>31089</v>
      </c>
      <c r="X4026" t="s">
        <v>32531</v>
      </c>
    </row>
    <row r="4027" spans="1:24">
      <c r="A4027">
        <f>HYPERLINK("https://www.philgeps.gov.ph/GEPSNONPILOT/Tender/SplashBidNoticeAbstractUI.aspx?menuIndex=3&amp;refID=7042232&amp;Result=3","7042232")</f>
        <v>0</v>
      </c>
      <c r="B4027" t="s">
        <v>1428</v>
      </c>
      <c r="C4027" t="s">
        <v>6527</v>
      </c>
      <c r="D4027" t="s">
        <v>13010</v>
      </c>
      <c r="E4027" t="s">
        <v>16691</v>
      </c>
      <c r="F4027" t="s">
        <v>22436</v>
      </c>
      <c r="G4027" t="s">
        <v>22443</v>
      </c>
      <c r="H4027" t="s">
        <v>22452</v>
      </c>
      <c r="I4027" t="s">
        <v>3027</v>
      </c>
      <c r="J4027" t="s">
        <v>25252</v>
      </c>
      <c r="K4027" t="s">
        <v>29357</v>
      </c>
      <c r="M4027" t="s">
        <v>31090</v>
      </c>
      <c r="N4027" t="s">
        <v>32524</v>
      </c>
      <c r="O4027" t="s">
        <v>32525</v>
      </c>
      <c r="P4027">
        <v>0</v>
      </c>
      <c r="Q4027">
        <v>0</v>
      </c>
      <c r="R4027" t="s">
        <v>32530</v>
      </c>
      <c r="S4027" t="s">
        <v>32568</v>
      </c>
      <c r="T4027" t="s">
        <v>33371</v>
      </c>
      <c r="U4027" t="s">
        <v>37036</v>
      </c>
      <c r="W4027" t="s">
        <v>31090</v>
      </c>
      <c r="X4027" t="s">
        <v>32531</v>
      </c>
    </row>
    <row r="4028" spans="1:24">
      <c r="A4028">
        <f>HYPERLINK("https://www.philgeps.gov.ph/GEPSNONPILOT/Tender/SplashBidNoticeAbstractUI.aspx?menuIndex=3&amp;refID=7042212&amp;Result=3","7042212")</f>
        <v>0</v>
      </c>
      <c r="B4028" t="s">
        <v>166</v>
      </c>
      <c r="C4028" t="s">
        <v>6528</v>
      </c>
      <c r="D4028" t="s">
        <v>13022</v>
      </c>
      <c r="E4028" t="s">
        <v>16692</v>
      </c>
      <c r="F4028" t="s">
        <v>22436</v>
      </c>
      <c r="G4028" t="s">
        <v>22444</v>
      </c>
      <c r="H4028" t="s">
        <v>22452</v>
      </c>
      <c r="I4028" t="s">
        <v>22554</v>
      </c>
      <c r="J4028" t="s">
        <v>24189</v>
      </c>
      <c r="K4028" t="s">
        <v>29341</v>
      </c>
      <c r="M4028" t="s">
        <v>29813</v>
      </c>
      <c r="N4028" t="s">
        <v>32524</v>
      </c>
      <c r="O4028" t="s">
        <v>32525</v>
      </c>
      <c r="P4028">
        <v>0</v>
      </c>
      <c r="Q4028">
        <v>3</v>
      </c>
      <c r="R4028" t="s">
        <v>32530</v>
      </c>
      <c r="S4028" t="s">
        <v>32568</v>
      </c>
      <c r="T4028" t="s">
        <v>33405</v>
      </c>
      <c r="U4028" t="s">
        <v>37037</v>
      </c>
      <c r="W4028" t="s">
        <v>29813</v>
      </c>
      <c r="X4028" t="s">
        <v>32531</v>
      </c>
    </row>
    <row r="4029" spans="1:24">
      <c r="A4029">
        <f>HYPERLINK("https://www.philgeps.gov.ph/GEPSNONPILOT/Tender/SplashBidNoticeAbstractUI.aspx?menuIndex=3&amp;refID=7042236&amp;Result=3","7042236")</f>
        <v>0</v>
      </c>
      <c r="B4029" t="s">
        <v>1419</v>
      </c>
      <c r="C4029" t="s">
        <v>6529</v>
      </c>
      <c r="D4029" t="s">
        <v>13068</v>
      </c>
      <c r="E4029" t="s">
        <v>16693</v>
      </c>
      <c r="F4029" t="s">
        <v>22436</v>
      </c>
      <c r="G4029" t="s">
        <v>22444</v>
      </c>
      <c r="H4029" t="s">
        <v>22454</v>
      </c>
      <c r="I4029" t="s">
        <v>7738</v>
      </c>
      <c r="J4029" t="s">
        <v>25253</v>
      </c>
      <c r="K4029" t="s">
        <v>29352</v>
      </c>
      <c r="M4029" t="s">
        <v>31080</v>
      </c>
      <c r="N4029" t="s">
        <v>32524</v>
      </c>
      <c r="O4029" t="s">
        <v>32525</v>
      </c>
      <c r="P4029">
        <v>0</v>
      </c>
      <c r="Q4029">
        <v>0</v>
      </c>
      <c r="R4029" t="s">
        <v>32530</v>
      </c>
      <c r="S4029" t="s">
        <v>32568</v>
      </c>
      <c r="T4029" t="s">
        <v>33278</v>
      </c>
      <c r="U4029" t="s">
        <v>37038</v>
      </c>
      <c r="V4029" t="s">
        <v>42848</v>
      </c>
      <c r="W4029" t="s">
        <v>31080</v>
      </c>
      <c r="X4029" t="s">
        <v>32531</v>
      </c>
    </row>
    <row r="4030" spans="1:24">
      <c r="A4030">
        <f>HYPERLINK("https://www.philgeps.gov.ph/GEPSNONPILOT/Tender/SplashBidNoticeAbstractUI.aspx?menuIndex=3&amp;refID=7042224&amp;Result=3","7042224")</f>
        <v>0</v>
      </c>
      <c r="B4030" t="s">
        <v>512</v>
      </c>
      <c r="C4030" t="s">
        <v>6530</v>
      </c>
      <c r="D4030" t="s">
        <v>12995</v>
      </c>
      <c r="E4030" t="s">
        <v>16694</v>
      </c>
      <c r="F4030" t="s">
        <v>22436</v>
      </c>
      <c r="G4030" t="s">
        <v>22443</v>
      </c>
      <c r="H4030" t="s">
        <v>22452</v>
      </c>
      <c r="I4030" t="s">
        <v>3122</v>
      </c>
      <c r="J4030" t="s">
        <v>24718</v>
      </c>
      <c r="K4030" t="s">
        <v>29336</v>
      </c>
      <c r="M4030" t="s">
        <v>30096</v>
      </c>
      <c r="N4030" t="s">
        <v>32524</v>
      </c>
      <c r="O4030" t="s">
        <v>32525</v>
      </c>
      <c r="P4030">
        <v>0</v>
      </c>
      <c r="Q4030">
        <v>0</v>
      </c>
      <c r="R4030" t="s">
        <v>32530</v>
      </c>
      <c r="S4030" t="s">
        <v>32568</v>
      </c>
      <c r="T4030" t="s">
        <v>33167</v>
      </c>
      <c r="U4030" t="s">
        <v>34661</v>
      </c>
      <c r="W4030" t="s">
        <v>30096</v>
      </c>
      <c r="X4030" t="s">
        <v>32531</v>
      </c>
    </row>
    <row r="4031" spans="1:24">
      <c r="A4031">
        <f>HYPERLINK("https://www.philgeps.gov.ph/GEPSNONPILOT/Tender/SplashBidNoticeAbstractUI.aspx?menuIndex=3&amp;refID=7042218&amp;Result=3","7042218")</f>
        <v>0</v>
      </c>
      <c r="B4031" t="s">
        <v>477</v>
      </c>
      <c r="C4031" t="s">
        <v>6531</v>
      </c>
      <c r="D4031" t="s">
        <v>13016</v>
      </c>
      <c r="E4031" t="s">
        <v>16695</v>
      </c>
      <c r="F4031" t="s">
        <v>22436</v>
      </c>
      <c r="G4031" t="s">
        <v>22443</v>
      </c>
      <c r="H4031" t="s">
        <v>22452</v>
      </c>
      <c r="I4031" t="s">
        <v>3529</v>
      </c>
      <c r="J4031" t="s">
        <v>25254</v>
      </c>
      <c r="K4031" t="s">
        <v>29338</v>
      </c>
      <c r="M4031" t="s">
        <v>30061</v>
      </c>
      <c r="N4031" t="s">
        <v>32524</v>
      </c>
      <c r="O4031" t="s">
        <v>32525</v>
      </c>
      <c r="P4031">
        <v>0</v>
      </c>
      <c r="Q4031">
        <v>0</v>
      </c>
      <c r="R4031" t="s">
        <v>32530</v>
      </c>
      <c r="S4031" t="s">
        <v>32568</v>
      </c>
      <c r="T4031" t="s">
        <v>33351</v>
      </c>
      <c r="U4031" t="s">
        <v>37039</v>
      </c>
      <c r="W4031" t="s">
        <v>30061</v>
      </c>
      <c r="X4031" t="s">
        <v>32531</v>
      </c>
    </row>
    <row r="4032" spans="1:24">
      <c r="A4032">
        <f>HYPERLINK("https://www.philgeps.gov.ph/GEPSNONPILOT/Tender/SplashBidNoticeAbstractUI.aspx?menuIndex=3&amp;refID=7042262&amp;Result=3","7042262")</f>
        <v>0</v>
      </c>
      <c r="B4032" t="s">
        <v>477</v>
      </c>
      <c r="C4032" t="s">
        <v>6532</v>
      </c>
      <c r="D4032" t="s">
        <v>13016</v>
      </c>
      <c r="E4032" t="s">
        <v>16696</v>
      </c>
      <c r="F4032" t="s">
        <v>22436</v>
      </c>
      <c r="G4032" t="s">
        <v>22443</v>
      </c>
      <c r="H4032" t="s">
        <v>22452</v>
      </c>
      <c r="I4032" t="s">
        <v>12358</v>
      </c>
      <c r="J4032" t="s">
        <v>23079</v>
      </c>
      <c r="K4032" t="s">
        <v>29338</v>
      </c>
      <c r="M4032" t="s">
        <v>30061</v>
      </c>
      <c r="N4032" t="s">
        <v>32524</v>
      </c>
      <c r="O4032" t="s">
        <v>32525</v>
      </c>
      <c r="P4032">
        <v>0</v>
      </c>
      <c r="Q4032">
        <v>0</v>
      </c>
      <c r="R4032" t="s">
        <v>32530</v>
      </c>
      <c r="S4032" t="s">
        <v>32568</v>
      </c>
      <c r="T4032" t="s">
        <v>33351</v>
      </c>
      <c r="U4032" t="s">
        <v>37040</v>
      </c>
      <c r="W4032" t="s">
        <v>30061</v>
      </c>
      <c r="X4032" t="s">
        <v>32531</v>
      </c>
    </row>
    <row r="4033" spans="1:24">
      <c r="A4033">
        <f>HYPERLINK("https://www.philgeps.gov.ph/GEPSNONPILOT/Tender/SplashBidNoticeAbstractUI.aspx?menuIndex=3&amp;refID=7042245&amp;Result=3","7042245")</f>
        <v>0</v>
      </c>
      <c r="B4033" t="s">
        <v>1121</v>
      </c>
      <c r="C4033" t="s">
        <v>6533</v>
      </c>
      <c r="D4033" t="s">
        <v>13038</v>
      </c>
      <c r="E4033" t="s">
        <v>16697</v>
      </c>
      <c r="F4033" t="s">
        <v>22436</v>
      </c>
      <c r="G4033" t="s">
        <v>22443</v>
      </c>
      <c r="H4033" t="s">
        <v>22452</v>
      </c>
      <c r="I4033" t="s">
        <v>3827</v>
      </c>
      <c r="J4033" t="s">
        <v>23378</v>
      </c>
      <c r="K4033" t="s">
        <v>29335</v>
      </c>
      <c r="M4033" t="s">
        <v>30759</v>
      </c>
      <c r="N4033" t="s">
        <v>32524</v>
      </c>
      <c r="O4033" t="s">
        <v>32525</v>
      </c>
      <c r="P4033">
        <v>0</v>
      </c>
      <c r="Q4033">
        <v>0</v>
      </c>
      <c r="R4033" t="s">
        <v>32530</v>
      </c>
      <c r="S4033" t="s">
        <v>32568</v>
      </c>
      <c r="T4033" t="s">
        <v>33310</v>
      </c>
      <c r="U4033" t="s">
        <v>37041</v>
      </c>
      <c r="W4033" t="s">
        <v>30759</v>
      </c>
      <c r="X4033" t="s">
        <v>32531</v>
      </c>
    </row>
    <row r="4034" spans="1:24">
      <c r="A4034">
        <f>HYPERLINK("https://www.philgeps.gov.ph/GEPSNONPILOT/Tender/SplashBidNoticeAbstractUI.aspx?menuIndex=3&amp;refID=7042261&amp;Result=3","7042261")</f>
        <v>0</v>
      </c>
      <c r="B4034" t="s">
        <v>1121</v>
      </c>
      <c r="C4034" t="s">
        <v>6534</v>
      </c>
      <c r="D4034" t="s">
        <v>13038</v>
      </c>
      <c r="E4034" t="s">
        <v>16698</v>
      </c>
      <c r="F4034" t="s">
        <v>22436</v>
      </c>
      <c r="G4034" t="s">
        <v>22443</v>
      </c>
      <c r="H4034" t="s">
        <v>22452</v>
      </c>
      <c r="I4034" t="s">
        <v>22461</v>
      </c>
      <c r="J4034" t="s">
        <v>25255</v>
      </c>
      <c r="K4034" t="s">
        <v>29333</v>
      </c>
      <c r="M4034" t="s">
        <v>30759</v>
      </c>
      <c r="N4034" t="s">
        <v>32524</v>
      </c>
      <c r="O4034" t="s">
        <v>32525</v>
      </c>
      <c r="P4034">
        <v>0</v>
      </c>
      <c r="Q4034">
        <v>2</v>
      </c>
      <c r="R4034" t="s">
        <v>32530</v>
      </c>
      <c r="S4034" t="s">
        <v>32568</v>
      </c>
      <c r="T4034" t="s">
        <v>33310</v>
      </c>
      <c r="U4034" t="s">
        <v>37042</v>
      </c>
      <c r="W4034" t="s">
        <v>30759</v>
      </c>
      <c r="X4034" t="s">
        <v>32531</v>
      </c>
    </row>
    <row r="4035" spans="1:24">
      <c r="A4035">
        <f>HYPERLINK("https://www.philgeps.gov.ph/GEPSNONPILOT/Tender/SplashBidNoticeAbstractUI.aspx?menuIndex=3&amp;refID=7042229&amp;Result=3","7042229")</f>
        <v>0</v>
      </c>
      <c r="B4035" t="s">
        <v>1410</v>
      </c>
      <c r="C4035" t="s">
        <v>6535</v>
      </c>
      <c r="D4035" t="s">
        <v>13041</v>
      </c>
      <c r="E4035" t="s">
        <v>16699</v>
      </c>
      <c r="F4035" t="s">
        <v>22436</v>
      </c>
      <c r="G4035" t="s">
        <v>22443</v>
      </c>
      <c r="H4035" t="s">
        <v>22452</v>
      </c>
      <c r="I4035" t="s">
        <v>22524</v>
      </c>
      <c r="J4035" t="s">
        <v>25256</v>
      </c>
      <c r="K4035" t="s">
        <v>29333</v>
      </c>
      <c r="M4035" t="s">
        <v>31070</v>
      </c>
      <c r="N4035" t="s">
        <v>32524</v>
      </c>
      <c r="O4035" t="s">
        <v>32525</v>
      </c>
      <c r="P4035">
        <v>0</v>
      </c>
      <c r="Q4035">
        <v>0</v>
      </c>
      <c r="R4035" t="s">
        <v>32530</v>
      </c>
      <c r="S4035" t="s">
        <v>32568</v>
      </c>
      <c r="T4035" t="s">
        <v>33213</v>
      </c>
      <c r="U4035" t="s">
        <v>37043</v>
      </c>
      <c r="W4035" t="s">
        <v>31070</v>
      </c>
      <c r="X4035" t="s">
        <v>32531</v>
      </c>
    </row>
    <row r="4036" spans="1:24">
      <c r="A4036">
        <f>HYPERLINK("https://www.philgeps.gov.ph/GEPSNONPILOT/Tender/SplashBidNoticeAbstractUI.aspx?menuIndex=3&amp;refID=7042268&amp;Result=3","7042268")</f>
        <v>0</v>
      </c>
      <c r="B4036" t="s">
        <v>29</v>
      </c>
      <c r="C4036" t="s">
        <v>6536</v>
      </c>
      <c r="D4036" t="s">
        <v>12993</v>
      </c>
      <c r="E4036" t="s">
        <v>16700</v>
      </c>
      <c r="F4036" t="s">
        <v>22436</v>
      </c>
      <c r="G4036" t="s">
        <v>22444</v>
      </c>
      <c r="H4036" t="s">
        <v>22452</v>
      </c>
      <c r="I4036" t="s">
        <v>12358</v>
      </c>
      <c r="J4036" t="s">
        <v>24399</v>
      </c>
      <c r="K4036" t="s">
        <v>29341</v>
      </c>
      <c r="M4036" t="s">
        <v>29599</v>
      </c>
      <c r="N4036" t="s">
        <v>32524</v>
      </c>
      <c r="O4036" t="s">
        <v>32525</v>
      </c>
      <c r="P4036">
        <v>0</v>
      </c>
      <c r="Q4036">
        <v>1</v>
      </c>
      <c r="R4036" t="s">
        <v>32530</v>
      </c>
      <c r="S4036" t="s">
        <v>32568</v>
      </c>
      <c r="T4036" t="s">
        <v>33163</v>
      </c>
      <c r="U4036" t="s">
        <v>37044</v>
      </c>
      <c r="W4036" t="s">
        <v>29599</v>
      </c>
      <c r="X4036" t="s">
        <v>32531</v>
      </c>
    </row>
    <row r="4037" spans="1:24">
      <c r="A4037">
        <f>HYPERLINK("https://www.philgeps.gov.ph/GEPSNONPILOT/Tender/SplashBidNoticeAbstractUI.aspx?menuIndex=3&amp;refID=7042227&amp;Result=3","7042227")</f>
        <v>0</v>
      </c>
      <c r="B4037" t="s">
        <v>623</v>
      </c>
      <c r="C4037" t="s">
        <v>6537</v>
      </c>
      <c r="E4037" t="s">
        <v>16701</v>
      </c>
      <c r="F4037" t="s">
        <v>22436</v>
      </c>
      <c r="G4037" t="s">
        <v>22444</v>
      </c>
      <c r="H4037" t="s">
        <v>22454</v>
      </c>
      <c r="I4037" t="s">
        <v>7738</v>
      </c>
      <c r="J4037" t="s">
        <v>25257</v>
      </c>
      <c r="K4037" t="s">
        <v>29345</v>
      </c>
      <c r="M4037" t="s">
        <v>31091</v>
      </c>
      <c r="N4037" t="s">
        <v>32524</v>
      </c>
      <c r="O4037" t="s">
        <v>32525</v>
      </c>
      <c r="P4037">
        <v>0</v>
      </c>
      <c r="Q4037">
        <v>1</v>
      </c>
      <c r="R4037" t="s">
        <v>32530</v>
      </c>
      <c r="S4037" t="s">
        <v>32568</v>
      </c>
      <c r="T4037" t="s">
        <v>33423</v>
      </c>
      <c r="U4037" t="s">
        <v>37045</v>
      </c>
      <c r="W4037" t="s">
        <v>30214</v>
      </c>
      <c r="X4037" t="s">
        <v>32531</v>
      </c>
    </row>
    <row r="4038" spans="1:24">
      <c r="A4038">
        <f>HYPERLINK("https://www.philgeps.gov.ph/GEPSNONPILOT/Tender/SplashBidNoticeAbstractUI.aspx?menuIndex=3&amp;refID=7042270&amp;Result=3","7042270")</f>
        <v>0</v>
      </c>
      <c r="B4038" t="s">
        <v>326</v>
      </c>
      <c r="C4038" t="s">
        <v>6538</v>
      </c>
      <c r="D4038" t="s">
        <v>13046</v>
      </c>
      <c r="E4038" t="s">
        <v>16702</v>
      </c>
      <c r="F4038" t="s">
        <v>22436</v>
      </c>
      <c r="G4038" t="s">
        <v>22443</v>
      </c>
      <c r="H4038" t="s">
        <v>22452</v>
      </c>
      <c r="I4038" t="s">
        <v>22482</v>
      </c>
      <c r="J4038" t="s">
        <v>24816</v>
      </c>
      <c r="K4038" t="s">
        <v>29341</v>
      </c>
      <c r="M4038" t="s">
        <v>29902</v>
      </c>
      <c r="N4038" t="s">
        <v>32524</v>
      </c>
      <c r="O4038" t="s">
        <v>32525</v>
      </c>
      <c r="P4038">
        <v>0</v>
      </c>
      <c r="Q4038">
        <v>3</v>
      </c>
      <c r="R4038" t="s">
        <v>32530</v>
      </c>
      <c r="S4038" t="s">
        <v>32568</v>
      </c>
      <c r="T4038" t="s">
        <v>33296</v>
      </c>
      <c r="U4038" t="s">
        <v>37046</v>
      </c>
      <c r="W4038" t="s">
        <v>29902</v>
      </c>
      <c r="X4038" t="s">
        <v>32531</v>
      </c>
    </row>
    <row r="4039" spans="1:24">
      <c r="A4039">
        <f>HYPERLINK("https://www.philgeps.gov.ph/GEPSNONPILOT/Tender/SplashBidNoticeAbstractUI.aspx?menuIndex=3&amp;refID=7042272&amp;Result=3","7042272")</f>
        <v>0</v>
      </c>
      <c r="B4039" t="s">
        <v>1121</v>
      </c>
      <c r="C4039" t="s">
        <v>6539</v>
      </c>
      <c r="D4039" t="s">
        <v>13038</v>
      </c>
      <c r="E4039" t="s">
        <v>16703</v>
      </c>
      <c r="F4039" t="s">
        <v>22436</v>
      </c>
      <c r="G4039" t="s">
        <v>22443</v>
      </c>
      <c r="H4039" t="s">
        <v>22452</v>
      </c>
      <c r="I4039" t="s">
        <v>22479</v>
      </c>
      <c r="J4039" t="s">
        <v>22657</v>
      </c>
      <c r="K4039" t="s">
        <v>29335</v>
      </c>
      <c r="M4039" t="s">
        <v>30759</v>
      </c>
      <c r="N4039" t="s">
        <v>32524</v>
      </c>
      <c r="O4039" t="s">
        <v>32525</v>
      </c>
      <c r="P4039">
        <v>0</v>
      </c>
      <c r="Q4039">
        <v>0</v>
      </c>
      <c r="R4039" t="s">
        <v>32530</v>
      </c>
      <c r="S4039" t="s">
        <v>32568</v>
      </c>
      <c r="T4039" t="s">
        <v>33310</v>
      </c>
      <c r="U4039" t="s">
        <v>37047</v>
      </c>
      <c r="W4039" t="s">
        <v>30759</v>
      </c>
      <c r="X4039" t="s">
        <v>32531</v>
      </c>
    </row>
    <row r="4040" spans="1:24">
      <c r="A4040">
        <f>HYPERLINK("https://www.philgeps.gov.ph/GEPSNONPILOT/Tender/SplashBidNoticeAbstractUI.aspx?menuIndex=3&amp;refID=7042284&amp;Result=3","7042284")</f>
        <v>0</v>
      </c>
      <c r="B4040" t="s">
        <v>1429</v>
      </c>
      <c r="C4040" t="s">
        <v>6540</v>
      </c>
      <c r="D4040" t="s">
        <v>12988</v>
      </c>
      <c r="E4040" t="s">
        <v>16704</v>
      </c>
      <c r="F4040" t="s">
        <v>22436</v>
      </c>
      <c r="G4040" t="s">
        <v>22444</v>
      </c>
      <c r="H4040" t="s">
        <v>22452</v>
      </c>
      <c r="I4040" t="s">
        <v>22486</v>
      </c>
      <c r="J4040" t="s">
        <v>25258</v>
      </c>
      <c r="K4040" t="s">
        <v>29338</v>
      </c>
      <c r="M4040" t="s">
        <v>31092</v>
      </c>
      <c r="N4040" t="s">
        <v>32524</v>
      </c>
      <c r="O4040" t="s">
        <v>32525</v>
      </c>
      <c r="P4040">
        <v>0</v>
      </c>
      <c r="Q4040">
        <v>9</v>
      </c>
      <c r="R4040" t="s">
        <v>32530</v>
      </c>
      <c r="S4040" t="s">
        <v>32568</v>
      </c>
      <c r="T4040" t="s">
        <v>33170</v>
      </c>
      <c r="U4040" t="s">
        <v>37048</v>
      </c>
      <c r="V4040" t="s">
        <v>42428</v>
      </c>
      <c r="W4040" t="s">
        <v>31092</v>
      </c>
      <c r="X4040" t="s">
        <v>32531</v>
      </c>
    </row>
    <row r="4041" spans="1:24">
      <c r="A4041">
        <f>HYPERLINK("https://www.philgeps.gov.ph/GEPSNONPILOT/Tender/SplashBidNoticeAbstractUI.aspx?menuIndex=3&amp;refID=7042290&amp;Result=3","7042290")</f>
        <v>0</v>
      </c>
      <c r="B4041" t="s">
        <v>1121</v>
      </c>
      <c r="C4041" t="s">
        <v>6541</v>
      </c>
      <c r="D4041" t="s">
        <v>13038</v>
      </c>
      <c r="E4041" t="s">
        <v>16705</v>
      </c>
      <c r="F4041" t="s">
        <v>22436</v>
      </c>
      <c r="G4041" t="s">
        <v>22443</v>
      </c>
      <c r="H4041" t="s">
        <v>22452</v>
      </c>
      <c r="I4041" t="s">
        <v>5194</v>
      </c>
      <c r="J4041" t="s">
        <v>22585</v>
      </c>
      <c r="K4041" t="s">
        <v>29335</v>
      </c>
      <c r="M4041" t="s">
        <v>30759</v>
      </c>
      <c r="N4041" t="s">
        <v>32524</v>
      </c>
      <c r="O4041" t="s">
        <v>32525</v>
      </c>
      <c r="P4041">
        <v>0</v>
      </c>
      <c r="Q4041">
        <v>1</v>
      </c>
      <c r="R4041" t="s">
        <v>32530</v>
      </c>
      <c r="S4041" t="s">
        <v>32568</v>
      </c>
      <c r="T4041" t="s">
        <v>33310</v>
      </c>
      <c r="U4041" t="s">
        <v>37049</v>
      </c>
      <c r="W4041" t="s">
        <v>30759</v>
      </c>
      <c r="X4041" t="s">
        <v>32531</v>
      </c>
    </row>
    <row r="4042" spans="1:24">
      <c r="A4042">
        <f>HYPERLINK("https://www.philgeps.gov.ph/GEPSNONPILOT/Tender/SplashBidNoticeAbstractUI.aspx?menuIndex=3&amp;refID=7042271&amp;Result=3","7042271")</f>
        <v>0</v>
      </c>
      <c r="B4042" t="s">
        <v>317</v>
      </c>
      <c r="C4042" t="s">
        <v>6542</v>
      </c>
      <c r="D4042" t="s">
        <v>13031</v>
      </c>
      <c r="E4042" t="s">
        <v>16706</v>
      </c>
      <c r="F4042" t="s">
        <v>22436</v>
      </c>
      <c r="G4042" t="s">
        <v>22443</v>
      </c>
      <c r="H4042" t="s">
        <v>22452</v>
      </c>
      <c r="I4042" t="s">
        <v>12358</v>
      </c>
      <c r="J4042" t="s">
        <v>25259</v>
      </c>
      <c r="K4042" t="s">
        <v>29336</v>
      </c>
      <c r="M4042" t="s">
        <v>29893</v>
      </c>
      <c r="N4042" t="s">
        <v>32524</v>
      </c>
      <c r="O4042" t="s">
        <v>32525</v>
      </c>
      <c r="P4042">
        <v>0</v>
      </c>
      <c r="Q4042">
        <v>2</v>
      </c>
      <c r="R4042" t="s">
        <v>32530</v>
      </c>
      <c r="S4042" t="s">
        <v>32568</v>
      </c>
      <c r="T4042" t="s">
        <v>33296</v>
      </c>
      <c r="U4042" t="s">
        <v>37050</v>
      </c>
      <c r="W4042" t="s">
        <v>43677</v>
      </c>
      <c r="X4042" t="s">
        <v>32531</v>
      </c>
    </row>
    <row r="4043" spans="1:24">
      <c r="A4043">
        <f>HYPERLINK("https://www.philgeps.gov.ph/GEPSNONPILOT/Tender/SplashBidNoticeAbstractUI.aspx?menuIndex=3&amp;refID=7042286&amp;Result=3","7042286")</f>
        <v>0</v>
      </c>
      <c r="B4043" t="s">
        <v>1295</v>
      </c>
      <c r="C4043" t="s">
        <v>6543</v>
      </c>
      <c r="D4043" t="s">
        <v>13041</v>
      </c>
      <c r="E4043" t="s">
        <v>16707</v>
      </c>
      <c r="F4043" t="s">
        <v>22436</v>
      </c>
      <c r="G4043" t="s">
        <v>22446</v>
      </c>
      <c r="H4043" t="s">
        <v>22452</v>
      </c>
      <c r="I4043" t="s">
        <v>22463</v>
      </c>
      <c r="J4043" t="s">
        <v>25260</v>
      </c>
      <c r="K4043" t="s">
        <v>29341</v>
      </c>
      <c r="M4043" t="s">
        <v>30949</v>
      </c>
      <c r="N4043" t="s">
        <v>32524</v>
      </c>
      <c r="O4043" t="s">
        <v>32525</v>
      </c>
      <c r="P4043">
        <v>0</v>
      </c>
      <c r="Q4043">
        <v>0</v>
      </c>
      <c r="R4043" t="s">
        <v>32530</v>
      </c>
      <c r="S4043" t="s">
        <v>32568</v>
      </c>
      <c r="T4043" t="s">
        <v>33181</v>
      </c>
      <c r="U4043" t="s">
        <v>37051</v>
      </c>
      <c r="V4043" t="s">
        <v>42824</v>
      </c>
      <c r="W4043" t="s">
        <v>30949</v>
      </c>
      <c r="X4043" t="s">
        <v>32531</v>
      </c>
    </row>
    <row r="4044" spans="1:24">
      <c r="A4044">
        <f>HYPERLINK("https://www.philgeps.gov.ph/GEPSNONPILOT/Tender/SplashBidNoticeAbstractUI.aspx?menuIndex=3&amp;refID=7042276&amp;Result=3","7042276")</f>
        <v>0</v>
      </c>
      <c r="B4044" t="s">
        <v>1378</v>
      </c>
      <c r="C4044" t="s">
        <v>6337</v>
      </c>
      <c r="D4044" t="s">
        <v>12988</v>
      </c>
      <c r="E4044" t="s">
        <v>16708</v>
      </c>
      <c r="F4044" t="s">
        <v>22436</v>
      </c>
      <c r="G4044" t="s">
        <v>22446</v>
      </c>
      <c r="H4044" t="s">
        <v>22453</v>
      </c>
      <c r="I4044" t="s">
        <v>22519</v>
      </c>
      <c r="J4044" t="s">
        <v>25180</v>
      </c>
      <c r="K4044" t="s">
        <v>29341</v>
      </c>
      <c r="M4044" t="s">
        <v>31034</v>
      </c>
      <c r="N4044" t="s">
        <v>32524</v>
      </c>
      <c r="O4044" t="s">
        <v>32525</v>
      </c>
      <c r="P4044">
        <v>0</v>
      </c>
      <c r="Q4044">
        <v>0</v>
      </c>
      <c r="R4044" t="s">
        <v>32530</v>
      </c>
      <c r="S4044" t="s">
        <v>32568</v>
      </c>
      <c r="T4044" t="s">
        <v>33419</v>
      </c>
      <c r="U4044" t="s">
        <v>37052</v>
      </c>
      <c r="W4044" t="s">
        <v>31034</v>
      </c>
      <c r="X4044" t="s">
        <v>32531</v>
      </c>
    </row>
    <row r="4045" spans="1:24">
      <c r="A4045">
        <f>HYPERLINK("https://www.philgeps.gov.ph/GEPSNONPILOT/Tender/SplashBidNoticeAbstractUI.aspx?menuIndex=3&amp;refID=7042283&amp;Result=3","7042283")</f>
        <v>0</v>
      </c>
      <c r="B4045" t="s">
        <v>246</v>
      </c>
      <c r="C4045" t="s">
        <v>6544</v>
      </c>
      <c r="D4045" t="s">
        <v>13006</v>
      </c>
      <c r="E4045" t="s">
        <v>16709</v>
      </c>
      <c r="F4045" t="s">
        <v>22436</v>
      </c>
      <c r="G4045" t="s">
        <v>22444</v>
      </c>
      <c r="H4045" t="s">
        <v>22452</v>
      </c>
      <c r="I4045" t="s">
        <v>22492</v>
      </c>
      <c r="J4045" t="s">
        <v>25261</v>
      </c>
      <c r="K4045" t="s">
        <v>29335</v>
      </c>
      <c r="M4045" t="s">
        <v>30567</v>
      </c>
      <c r="N4045" t="s">
        <v>32524</v>
      </c>
      <c r="O4045" t="s">
        <v>32525</v>
      </c>
      <c r="P4045">
        <v>0</v>
      </c>
      <c r="Q4045">
        <v>0</v>
      </c>
      <c r="R4045" t="s">
        <v>32530</v>
      </c>
      <c r="S4045" t="s">
        <v>32568</v>
      </c>
      <c r="T4045" t="s">
        <v>33277</v>
      </c>
      <c r="U4045" t="s">
        <v>37053</v>
      </c>
      <c r="W4045" t="s">
        <v>30567</v>
      </c>
      <c r="X4045" t="s">
        <v>32531</v>
      </c>
    </row>
    <row r="4046" spans="1:24">
      <c r="A4046">
        <f>HYPERLINK("https://www.philgeps.gov.ph/GEPSNONPILOT/Tender/SplashBidNoticeAbstractUI.aspx?menuIndex=3&amp;refID=7042273&amp;Result=3","7042273")</f>
        <v>0</v>
      </c>
      <c r="B4046" t="s">
        <v>1430</v>
      </c>
      <c r="C4046" t="s">
        <v>6545</v>
      </c>
      <c r="D4046" t="s">
        <v>12999</v>
      </c>
      <c r="E4046" t="s">
        <v>16710</v>
      </c>
      <c r="F4046" t="s">
        <v>22436</v>
      </c>
      <c r="G4046" t="s">
        <v>22444</v>
      </c>
      <c r="H4046" t="s">
        <v>22452</v>
      </c>
      <c r="I4046" t="s">
        <v>3529</v>
      </c>
      <c r="J4046" t="s">
        <v>25262</v>
      </c>
      <c r="K4046" t="s">
        <v>29336</v>
      </c>
      <c r="M4046" t="s">
        <v>31093</v>
      </c>
      <c r="N4046" t="s">
        <v>32524</v>
      </c>
      <c r="O4046" t="s">
        <v>32525</v>
      </c>
      <c r="P4046">
        <v>0</v>
      </c>
      <c r="Q4046">
        <v>0</v>
      </c>
      <c r="R4046" t="s">
        <v>32530</v>
      </c>
      <c r="S4046" t="s">
        <v>32568</v>
      </c>
      <c r="T4046" t="s">
        <v>33405</v>
      </c>
      <c r="U4046" t="s">
        <v>37054</v>
      </c>
      <c r="W4046" t="s">
        <v>31093</v>
      </c>
      <c r="X4046" t="s">
        <v>32531</v>
      </c>
    </row>
    <row r="4047" spans="1:24">
      <c r="A4047">
        <f>HYPERLINK("https://www.philgeps.gov.ph/GEPSNONPILOT/Tender/SplashBidNoticeAbstractUI.aspx?menuIndex=3&amp;refID=7042280&amp;Result=3","7042280")</f>
        <v>0</v>
      </c>
      <c r="B4047" t="s">
        <v>183</v>
      </c>
      <c r="C4047" t="s">
        <v>6546</v>
      </c>
      <c r="D4047" t="s">
        <v>12988</v>
      </c>
      <c r="E4047" t="s">
        <v>13503</v>
      </c>
      <c r="F4047" t="s">
        <v>22436</v>
      </c>
      <c r="G4047" t="s">
        <v>22444</v>
      </c>
      <c r="H4047" t="s">
        <v>22452</v>
      </c>
      <c r="I4047" t="s">
        <v>22456</v>
      </c>
      <c r="J4047" t="s">
        <v>25263</v>
      </c>
      <c r="K4047" t="s">
        <v>29333</v>
      </c>
      <c r="M4047" t="s">
        <v>31088</v>
      </c>
      <c r="N4047" t="s">
        <v>32524</v>
      </c>
      <c r="O4047" t="s">
        <v>32525</v>
      </c>
      <c r="P4047">
        <v>0</v>
      </c>
      <c r="Q4047">
        <v>14</v>
      </c>
      <c r="R4047" t="s">
        <v>32530</v>
      </c>
      <c r="S4047" t="s">
        <v>32568</v>
      </c>
      <c r="T4047" t="s">
        <v>33423</v>
      </c>
      <c r="U4047" t="s">
        <v>37055</v>
      </c>
      <c r="W4047" t="s">
        <v>31088</v>
      </c>
      <c r="X4047" t="s">
        <v>32531</v>
      </c>
    </row>
    <row r="4048" spans="1:24">
      <c r="A4048">
        <f>HYPERLINK("https://www.philgeps.gov.ph/GEPSNONPILOT/Tender/SplashBidNoticeAbstractUI.aspx?menuIndex=3&amp;refID=7042287&amp;Result=3","7042287")</f>
        <v>0</v>
      </c>
      <c r="B4048" t="s">
        <v>437</v>
      </c>
      <c r="C4048" t="s">
        <v>6547</v>
      </c>
      <c r="D4048" t="s">
        <v>13023</v>
      </c>
      <c r="E4048" t="s">
        <v>16711</v>
      </c>
      <c r="F4048" t="s">
        <v>22437</v>
      </c>
      <c r="G4048" t="s">
        <v>22444</v>
      </c>
      <c r="H4048" t="s">
        <v>22452</v>
      </c>
      <c r="I4048" t="s">
        <v>22502</v>
      </c>
      <c r="J4048" t="s">
        <v>25264</v>
      </c>
      <c r="K4048" t="s">
        <v>29334</v>
      </c>
      <c r="M4048" t="s">
        <v>30018</v>
      </c>
      <c r="N4048" t="s">
        <v>32524</v>
      </c>
      <c r="O4048" t="s">
        <v>32525</v>
      </c>
      <c r="P4048">
        <v>0</v>
      </c>
      <c r="Q4048">
        <v>25</v>
      </c>
      <c r="R4048" t="s">
        <v>32530</v>
      </c>
      <c r="S4048" t="s">
        <v>32568</v>
      </c>
      <c r="T4048" t="s">
        <v>33438</v>
      </c>
      <c r="U4048" t="s">
        <v>37056</v>
      </c>
      <c r="W4048" t="s">
        <v>30018</v>
      </c>
      <c r="X4048" t="s">
        <v>32531</v>
      </c>
    </row>
    <row r="4049" spans="1:24">
      <c r="A4049">
        <f>HYPERLINK("https://www.philgeps.gov.ph/GEPSNONPILOT/Tender/SplashBidNoticeAbstractUI.aspx?menuIndex=3&amp;refID=7042298&amp;Result=3","7042298")</f>
        <v>0</v>
      </c>
      <c r="B4049" t="s">
        <v>317</v>
      </c>
      <c r="C4049" t="s">
        <v>6548</v>
      </c>
      <c r="D4049" t="s">
        <v>13031</v>
      </c>
      <c r="E4049" t="s">
        <v>16712</v>
      </c>
      <c r="F4049" t="s">
        <v>22436</v>
      </c>
      <c r="G4049" t="s">
        <v>22443</v>
      </c>
      <c r="H4049" t="s">
        <v>22452</v>
      </c>
      <c r="I4049" t="s">
        <v>22467</v>
      </c>
      <c r="J4049" t="s">
        <v>25265</v>
      </c>
      <c r="K4049" t="s">
        <v>29336</v>
      </c>
      <c r="M4049" t="s">
        <v>29893</v>
      </c>
      <c r="N4049" t="s">
        <v>32524</v>
      </c>
      <c r="O4049" t="s">
        <v>32525</v>
      </c>
      <c r="P4049">
        <v>0</v>
      </c>
      <c r="Q4049">
        <v>0</v>
      </c>
      <c r="R4049" t="s">
        <v>32530</v>
      </c>
      <c r="S4049" t="s">
        <v>32568</v>
      </c>
      <c r="T4049" t="s">
        <v>33296</v>
      </c>
      <c r="U4049" t="s">
        <v>37050</v>
      </c>
      <c r="W4049" t="s">
        <v>43677</v>
      </c>
      <c r="X4049" t="s">
        <v>32531</v>
      </c>
    </row>
    <row r="4050" spans="1:24">
      <c r="A4050">
        <f>HYPERLINK("https://www.philgeps.gov.ph/GEPSNONPILOT/Tender/SplashBidNoticeAbstractUI.aspx?menuIndex=3&amp;refID=7042322&amp;Result=3","7042322")</f>
        <v>0</v>
      </c>
      <c r="B4050" t="s">
        <v>183</v>
      </c>
      <c r="C4050" t="s">
        <v>6549</v>
      </c>
      <c r="D4050" t="s">
        <v>12988</v>
      </c>
      <c r="E4050" t="s">
        <v>16713</v>
      </c>
      <c r="F4050" t="s">
        <v>22436</v>
      </c>
      <c r="G4050" t="s">
        <v>22444</v>
      </c>
      <c r="H4050" t="s">
        <v>22452</v>
      </c>
      <c r="I4050" t="s">
        <v>22503</v>
      </c>
      <c r="J4050" t="s">
        <v>25266</v>
      </c>
      <c r="K4050" t="s">
        <v>29333</v>
      </c>
      <c r="M4050" t="s">
        <v>31088</v>
      </c>
      <c r="N4050" t="s">
        <v>32524</v>
      </c>
      <c r="O4050" t="s">
        <v>32525</v>
      </c>
      <c r="P4050">
        <v>0</v>
      </c>
      <c r="Q4050">
        <v>8</v>
      </c>
      <c r="R4050" t="s">
        <v>32530</v>
      </c>
      <c r="S4050" t="s">
        <v>32568</v>
      </c>
      <c r="T4050" t="s">
        <v>33426</v>
      </c>
      <c r="U4050" t="s">
        <v>37057</v>
      </c>
      <c r="W4050" t="s">
        <v>31088</v>
      </c>
      <c r="X4050" t="s">
        <v>32531</v>
      </c>
    </row>
    <row r="4051" spans="1:24">
      <c r="A4051">
        <f>HYPERLINK("https://www.philgeps.gov.ph/GEPSNONPILOT/Tender/SplashBidNoticeAbstractUI.aspx?menuIndex=3&amp;refID=7042289&amp;Result=3","7042289")</f>
        <v>0</v>
      </c>
      <c r="B4051" t="s">
        <v>1381</v>
      </c>
      <c r="C4051" t="s">
        <v>6550</v>
      </c>
      <c r="D4051" t="s">
        <v>13035</v>
      </c>
      <c r="E4051" t="s">
        <v>16714</v>
      </c>
      <c r="F4051" t="s">
        <v>22436</v>
      </c>
      <c r="G4051" t="s">
        <v>22444</v>
      </c>
      <c r="H4051" t="s">
        <v>22452</v>
      </c>
      <c r="I4051" t="s">
        <v>3529</v>
      </c>
      <c r="J4051" t="s">
        <v>25267</v>
      </c>
      <c r="K4051" t="s">
        <v>29337</v>
      </c>
      <c r="M4051" t="s">
        <v>31039</v>
      </c>
      <c r="N4051" t="s">
        <v>32524</v>
      </c>
      <c r="O4051" t="s">
        <v>32525</v>
      </c>
      <c r="P4051">
        <v>0</v>
      </c>
      <c r="Q4051">
        <v>1</v>
      </c>
      <c r="R4051" t="s">
        <v>32530</v>
      </c>
      <c r="S4051" t="s">
        <v>32568</v>
      </c>
      <c r="T4051" t="s">
        <v>33405</v>
      </c>
      <c r="U4051" t="s">
        <v>36957</v>
      </c>
      <c r="V4051" t="s">
        <v>42857</v>
      </c>
      <c r="W4051" t="s">
        <v>31039</v>
      </c>
      <c r="X4051" t="s">
        <v>32531</v>
      </c>
    </row>
    <row r="4052" spans="1:24">
      <c r="A4052">
        <f>HYPERLINK("https://www.philgeps.gov.ph/GEPSNONPILOT/Tender/SplashBidNoticeAbstractUI.aspx?menuIndex=3&amp;refID=7042291&amp;Result=3","7042291")</f>
        <v>0</v>
      </c>
      <c r="B4052" t="s">
        <v>1428</v>
      </c>
      <c r="C4052" t="s">
        <v>6551</v>
      </c>
      <c r="D4052" t="s">
        <v>13010</v>
      </c>
      <c r="E4052" t="s">
        <v>16715</v>
      </c>
      <c r="F4052" t="s">
        <v>22436</v>
      </c>
      <c r="G4052" t="s">
        <v>22443</v>
      </c>
      <c r="H4052" t="s">
        <v>22452</v>
      </c>
      <c r="I4052" t="s">
        <v>5194</v>
      </c>
      <c r="J4052" t="s">
        <v>25268</v>
      </c>
      <c r="K4052" t="s">
        <v>29357</v>
      </c>
      <c r="M4052" t="s">
        <v>31090</v>
      </c>
      <c r="N4052" t="s">
        <v>32524</v>
      </c>
      <c r="O4052" t="s">
        <v>32525</v>
      </c>
      <c r="P4052">
        <v>0</v>
      </c>
      <c r="Q4052">
        <v>9</v>
      </c>
      <c r="R4052" t="s">
        <v>32530</v>
      </c>
      <c r="S4052" t="s">
        <v>32568</v>
      </c>
      <c r="T4052" t="s">
        <v>33371</v>
      </c>
      <c r="U4052" t="s">
        <v>37036</v>
      </c>
      <c r="W4052" t="s">
        <v>31090</v>
      </c>
      <c r="X4052" t="s">
        <v>32531</v>
      </c>
    </row>
    <row r="4053" spans="1:24">
      <c r="A4053">
        <f>HYPERLINK("https://www.philgeps.gov.ph/GEPSNONPILOT/Tender/SplashBidNoticeAbstractUI.aspx?menuIndex=3&amp;refID=7042309&amp;Result=3","7042309")</f>
        <v>0</v>
      </c>
      <c r="B4053" t="s">
        <v>29</v>
      </c>
      <c r="C4053" t="s">
        <v>6552</v>
      </c>
      <c r="D4053" t="s">
        <v>12993</v>
      </c>
      <c r="E4053" t="s">
        <v>16700</v>
      </c>
      <c r="F4053" t="s">
        <v>22436</v>
      </c>
      <c r="G4053" t="s">
        <v>22444</v>
      </c>
      <c r="H4053" t="s">
        <v>22452</v>
      </c>
      <c r="I4053" t="s">
        <v>12358</v>
      </c>
      <c r="J4053" t="s">
        <v>25269</v>
      </c>
      <c r="K4053" t="s">
        <v>29341</v>
      </c>
      <c r="M4053" t="s">
        <v>29599</v>
      </c>
      <c r="N4053" t="s">
        <v>32524</v>
      </c>
      <c r="O4053" t="s">
        <v>32525</v>
      </c>
      <c r="P4053">
        <v>0</v>
      </c>
      <c r="Q4053">
        <v>1</v>
      </c>
      <c r="R4053" t="s">
        <v>32530</v>
      </c>
      <c r="S4053" t="s">
        <v>32568</v>
      </c>
      <c r="T4053" t="s">
        <v>33163</v>
      </c>
      <c r="U4053" t="s">
        <v>37044</v>
      </c>
      <c r="W4053" t="s">
        <v>29599</v>
      </c>
      <c r="X4053" t="s">
        <v>32531</v>
      </c>
    </row>
    <row r="4054" spans="1:24">
      <c r="A4054">
        <f>HYPERLINK("https://www.philgeps.gov.ph/GEPSNONPILOT/Tender/SplashBidNoticeAbstractUI.aspx?menuIndex=3&amp;refID=7042326&amp;Result=3","7042326")</f>
        <v>0</v>
      </c>
      <c r="B4054" t="s">
        <v>1431</v>
      </c>
      <c r="C4054" t="s">
        <v>6553</v>
      </c>
      <c r="D4054" t="s">
        <v>13058</v>
      </c>
      <c r="E4054" t="s">
        <v>16716</v>
      </c>
      <c r="F4054" t="s">
        <v>22436</v>
      </c>
      <c r="G4054" t="s">
        <v>22444</v>
      </c>
      <c r="H4054" t="s">
        <v>22452</v>
      </c>
      <c r="I4054" t="s">
        <v>3529</v>
      </c>
      <c r="J4054" t="s">
        <v>22677</v>
      </c>
      <c r="K4054" t="s">
        <v>29336</v>
      </c>
      <c r="M4054" t="s">
        <v>31094</v>
      </c>
      <c r="N4054" t="s">
        <v>32524</v>
      </c>
      <c r="O4054" t="s">
        <v>32525</v>
      </c>
      <c r="P4054">
        <v>0</v>
      </c>
      <c r="Q4054">
        <v>0</v>
      </c>
      <c r="R4054" t="s">
        <v>32530</v>
      </c>
      <c r="S4054" t="s">
        <v>32568</v>
      </c>
      <c r="T4054" t="s">
        <v>33181</v>
      </c>
      <c r="U4054" t="s">
        <v>37058</v>
      </c>
      <c r="W4054" t="s">
        <v>31094</v>
      </c>
      <c r="X4054" t="s">
        <v>32531</v>
      </c>
    </row>
    <row r="4055" spans="1:24">
      <c r="A4055">
        <f>HYPERLINK("https://www.philgeps.gov.ph/GEPSNONPILOT/Tender/SplashBidNoticeAbstractUI.aspx?menuIndex=3&amp;refID=7042300&amp;Result=3","7042300")</f>
        <v>0</v>
      </c>
      <c r="B4055" t="s">
        <v>166</v>
      </c>
      <c r="C4055" t="s">
        <v>4223</v>
      </c>
      <c r="D4055" t="s">
        <v>13022</v>
      </c>
      <c r="E4055" t="s">
        <v>16717</v>
      </c>
      <c r="F4055" t="s">
        <v>22436</v>
      </c>
      <c r="G4055" t="s">
        <v>22444</v>
      </c>
      <c r="H4055" t="s">
        <v>22452</v>
      </c>
      <c r="I4055" t="s">
        <v>22461</v>
      </c>
      <c r="J4055" t="s">
        <v>25270</v>
      </c>
      <c r="K4055" t="s">
        <v>29335</v>
      </c>
      <c r="M4055" t="s">
        <v>29813</v>
      </c>
      <c r="N4055" t="s">
        <v>32524</v>
      </c>
      <c r="O4055" t="s">
        <v>32525</v>
      </c>
      <c r="P4055">
        <v>0</v>
      </c>
      <c r="Q4055">
        <v>5</v>
      </c>
      <c r="R4055" t="s">
        <v>32530</v>
      </c>
      <c r="S4055" t="s">
        <v>32568</v>
      </c>
      <c r="T4055" t="s">
        <v>33405</v>
      </c>
      <c r="U4055" t="s">
        <v>37059</v>
      </c>
      <c r="W4055" t="s">
        <v>29813</v>
      </c>
      <c r="X4055" t="s">
        <v>32531</v>
      </c>
    </row>
    <row r="4056" spans="1:24">
      <c r="A4056">
        <f>HYPERLINK("https://www.philgeps.gov.ph/GEPSNONPILOT/Tender/SplashBidNoticeAbstractUI.aspx?menuIndex=3&amp;refID=7042317&amp;Result=3","7042317")</f>
        <v>0</v>
      </c>
      <c r="B4056" t="s">
        <v>1432</v>
      </c>
      <c r="C4056" t="s">
        <v>6554</v>
      </c>
      <c r="D4056" t="s">
        <v>12988</v>
      </c>
      <c r="E4056" t="s">
        <v>16718</v>
      </c>
      <c r="F4056" t="s">
        <v>22436</v>
      </c>
      <c r="G4056" t="s">
        <v>22445</v>
      </c>
      <c r="H4056" t="s">
        <v>22452</v>
      </c>
      <c r="I4056" t="s">
        <v>22468</v>
      </c>
      <c r="J4056" t="s">
        <v>25271</v>
      </c>
      <c r="K4056" t="s">
        <v>29336</v>
      </c>
      <c r="M4056" t="s">
        <v>31095</v>
      </c>
      <c r="N4056" t="s">
        <v>32524</v>
      </c>
      <c r="O4056" t="s">
        <v>32525</v>
      </c>
      <c r="P4056">
        <v>0</v>
      </c>
      <c r="Q4056">
        <v>2</v>
      </c>
      <c r="R4056" t="s">
        <v>32530</v>
      </c>
      <c r="S4056" t="s">
        <v>32568</v>
      </c>
      <c r="T4056" t="s">
        <v>33310</v>
      </c>
      <c r="U4056" t="s">
        <v>37060</v>
      </c>
      <c r="V4056" t="s">
        <v>42858</v>
      </c>
      <c r="W4056" t="s">
        <v>31095</v>
      </c>
      <c r="X4056" t="s">
        <v>32531</v>
      </c>
    </row>
    <row r="4057" spans="1:24">
      <c r="A4057">
        <f>HYPERLINK("https://www.philgeps.gov.ph/GEPSNONPILOT/Tender/SplashBidNoticeAbstractUI.aspx?menuIndex=3&amp;refID=7042367&amp;Result=3","7042367")</f>
        <v>0</v>
      </c>
      <c r="B4057" t="s">
        <v>1433</v>
      </c>
      <c r="C4057" t="s">
        <v>6555</v>
      </c>
      <c r="E4057" t="s">
        <v>16719</v>
      </c>
      <c r="F4057" t="s">
        <v>22436</v>
      </c>
      <c r="G4057" t="s">
        <v>22444</v>
      </c>
      <c r="H4057" t="s">
        <v>22452</v>
      </c>
      <c r="I4057" t="s">
        <v>2981</v>
      </c>
      <c r="J4057" t="s">
        <v>22893</v>
      </c>
      <c r="K4057" t="s">
        <v>29338</v>
      </c>
      <c r="M4057" t="s">
        <v>31096</v>
      </c>
      <c r="N4057" t="s">
        <v>32524</v>
      </c>
      <c r="O4057" t="s">
        <v>32525</v>
      </c>
      <c r="P4057">
        <v>0</v>
      </c>
      <c r="Q4057">
        <v>0</v>
      </c>
      <c r="R4057" t="s">
        <v>32530</v>
      </c>
      <c r="S4057" t="s">
        <v>32568</v>
      </c>
      <c r="T4057" t="s">
        <v>33167</v>
      </c>
      <c r="U4057" t="s">
        <v>37061</v>
      </c>
      <c r="W4057" t="s">
        <v>31096</v>
      </c>
      <c r="X4057" t="s">
        <v>32531</v>
      </c>
    </row>
    <row r="4058" spans="1:24">
      <c r="A4058">
        <f>HYPERLINK("https://www.philgeps.gov.ph/GEPSNONPILOT/Tender/SplashBidNoticeAbstractUI.aspx?menuIndex=3&amp;refID=7042324&amp;Result=3","7042324")</f>
        <v>0</v>
      </c>
      <c r="B4058" t="s">
        <v>1434</v>
      </c>
      <c r="C4058" t="s">
        <v>6556</v>
      </c>
      <c r="D4058" t="s">
        <v>13019</v>
      </c>
      <c r="E4058" t="s">
        <v>16720</v>
      </c>
      <c r="F4058" t="s">
        <v>22436</v>
      </c>
      <c r="G4058" t="s">
        <v>22444</v>
      </c>
      <c r="H4058" t="s">
        <v>22452</v>
      </c>
      <c r="I4058" t="s">
        <v>22460</v>
      </c>
      <c r="J4058" t="s">
        <v>25272</v>
      </c>
      <c r="K4058" t="s">
        <v>29363</v>
      </c>
      <c r="M4058" t="s">
        <v>31097</v>
      </c>
      <c r="N4058" t="s">
        <v>32524</v>
      </c>
      <c r="O4058" t="s">
        <v>32525</v>
      </c>
      <c r="P4058">
        <v>0</v>
      </c>
      <c r="Q4058">
        <v>0</v>
      </c>
      <c r="R4058" t="s">
        <v>32530</v>
      </c>
      <c r="S4058" t="s">
        <v>32568</v>
      </c>
      <c r="T4058" t="s">
        <v>33439</v>
      </c>
      <c r="U4058" t="s">
        <v>37062</v>
      </c>
      <c r="W4058" t="s">
        <v>31097</v>
      </c>
      <c r="X4058" t="s">
        <v>32531</v>
      </c>
    </row>
    <row r="4059" spans="1:24">
      <c r="A4059">
        <f>HYPERLINK("https://www.philgeps.gov.ph/GEPSNONPILOT/Tender/SplashBidNoticeAbstractUI.aspx?menuIndex=3&amp;refID=7042361&amp;Result=3","7042361")</f>
        <v>0</v>
      </c>
      <c r="B4059" t="s">
        <v>1428</v>
      </c>
      <c r="C4059" t="s">
        <v>6557</v>
      </c>
      <c r="D4059" t="s">
        <v>13010</v>
      </c>
      <c r="E4059" t="s">
        <v>16721</v>
      </c>
      <c r="F4059" t="s">
        <v>22436</v>
      </c>
      <c r="G4059" t="s">
        <v>22443</v>
      </c>
      <c r="H4059" t="s">
        <v>22452</v>
      </c>
      <c r="I4059" t="s">
        <v>22465</v>
      </c>
      <c r="J4059" t="s">
        <v>25273</v>
      </c>
      <c r="K4059" t="s">
        <v>29357</v>
      </c>
      <c r="M4059" t="s">
        <v>31090</v>
      </c>
      <c r="N4059" t="s">
        <v>32524</v>
      </c>
      <c r="O4059" t="s">
        <v>32525</v>
      </c>
      <c r="P4059">
        <v>0</v>
      </c>
      <c r="Q4059">
        <v>1</v>
      </c>
      <c r="R4059" t="s">
        <v>32530</v>
      </c>
      <c r="S4059" t="s">
        <v>32568</v>
      </c>
      <c r="T4059" t="s">
        <v>33371</v>
      </c>
      <c r="U4059" t="s">
        <v>37036</v>
      </c>
      <c r="W4059" t="s">
        <v>31090</v>
      </c>
      <c r="X4059" t="s">
        <v>32531</v>
      </c>
    </row>
    <row r="4060" spans="1:24">
      <c r="A4060">
        <f>HYPERLINK("https://www.philgeps.gov.ph/GEPSNONPILOT/Tender/SplashBidNoticeAbstractUI.aspx?menuIndex=3&amp;refID=7042330&amp;Result=3","7042330")</f>
        <v>0</v>
      </c>
      <c r="B4060" t="s">
        <v>317</v>
      </c>
      <c r="C4060" t="s">
        <v>6558</v>
      </c>
      <c r="D4060" t="s">
        <v>13031</v>
      </c>
      <c r="E4060" t="s">
        <v>16722</v>
      </c>
      <c r="F4060" t="s">
        <v>22436</v>
      </c>
      <c r="G4060" t="s">
        <v>22443</v>
      </c>
      <c r="H4060" t="s">
        <v>22452</v>
      </c>
      <c r="I4060" t="s">
        <v>6236</v>
      </c>
      <c r="J4060" t="s">
        <v>23229</v>
      </c>
      <c r="K4060" t="s">
        <v>29336</v>
      </c>
      <c r="M4060" t="s">
        <v>29893</v>
      </c>
      <c r="N4060" t="s">
        <v>32524</v>
      </c>
      <c r="O4060" t="s">
        <v>32525</v>
      </c>
      <c r="P4060">
        <v>0</v>
      </c>
      <c r="Q4060">
        <v>0</v>
      </c>
      <c r="R4060" t="s">
        <v>32530</v>
      </c>
      <c r="S4060" t="s">
        <v>32568</v>
      </c>
      <c r="T4060" t="s">
        <v>33296</v>
      </c>
      <c r="U4060" t="s">
        <v>37050</v>
      </c>
      <c r="W4060" t="s">
        <v>43677</v>
      </c>
      <c r="X4060" t="s">
        <v>32531</v>
      </c>
    </row>
    <row r="4061" spans="1:24">
      <c r="A4061">
        <f>HYPERLINK("https://www.philgeps.gov.ph/GEPSNONPILOT/Tender/SplashBidNoticeAbstractUI.aspx?menuIndex=3&amp;refID=7042304&amp;Result=3","7042304")</f>
        <v>0</v>
      </c>
      <c r="B4061" t="s">
        <v>1121</v>
      </c>
      <c r="C4061" t="s">
        <v>6559</v>
      </c>
      <c r="D4061" t="s">
        <v>13038</v>
      </c>
      <c r="E4061" t="s">
        <v>16723</v>
      </c>
      <c r="F4061" t="s">
        <v>22436</v>
      </c>
      <c r="G4061" t="s">
        <v>22443</v>
      </c>
      <c r="H4061" t="s">
        <v>22452</v>
      </c>
      <c r="I4061" t="s">
        <v>22475</v>
      </c>
      <c r="J4061" t="s">
        <v>23285</v>
      </c>
      <c r="K4061" t="s">
        <v>29382</v>
      </c>
      <c r="M4061" t="s">
        <v>30759</v>
      </c>
      <c r="N4061" t="s">
        <v>32524</v>
      </c>
      <c r="O4061" t="s">
        <v>32525</v>
      </c>
      <c r="P4061">
        <v>0</v>
      </c>
      <c r="Q4061">
        <v>0</v>
      </c>
      <c r="R4061" t="s">
        <v>32530</v>
      </c>
      <c r="S4061" t="s">
        <v>32568</v>
      </c>
      <c r="T4061" t="s">
        <v>33310</v>
      </c>
      <c r="U4061" t="s">
        <v>37063</v>
      </c>
      <c r="W4061" t="s">
        <v>30759</v>
      </c>
      <c r="X4061" t="s">
        <v>32531</v>
      </c>
    </row>
    <row r="4062" spans="1:24">
      <c r="A4062">
        <f>HYPERLINK("https://www.philgeps.gov.ph/GEPSNONPILOT/Tender/SplashBidNoticeAbstractUI.aspx?menuIndex=3&amp;refID=7042355&amp;Result=3","7042355")</f>
        <v>0</v>
      </c>
      <c r="B4062" t="s">
        <v>477</v>
      </c>
      <c r="C4062" t="s">
        <v>6560</v>
      </c>
      <c r="D4062" t="s">
        <v>13016</v>
      </c>
      <c r="E4062" t="s">
        <v>16724</v>
      </c>
      <c r="F4062" t="s">
        <v>22436</v>
      </c>
      <c r="G4062" t="s">
        <v>22443</v>
      </c>
      <c r="H4062" t="s">
        <v>22452</v>
      </c>
      <c r="I4062" t="s">
        <v>2962</v>
      </c>
      <c r="J4062" t="s">
        <v>25274</v>
      </c>
      <c r="K4062" t="s">
        <v>29338</v>
      </c>
      <c r="M4062" t="s">
        <v>30061</v>
      </c>
      <c r="N4062" t="s">
        <v>32524</v>
      </c>
      <c r="O4062" t="s">
        <v>32525</v>
      </c>
      <c r="P4062">
        <v>0</v>
      </c>
      <c r="Q4062">
        <v>0</v>
      </c>
      <c r="R4062" t="s">
        <v>32530</v>
      </c>
      <c r="S4062" t="s">
        <v>32568</v>
      </c>
      <c r="T4062" t="s">
        <v>33351</v>
      </c>
      <c r="U4062" t="s">
        <v>37064</v>
      </c>
      <c r="W4062" t="s">
        <v>30061</v>
      </c>
      <c r="X4062" t="s">
        <v>32531</v>
      </c>
    </row>
    <row r="4063" spans="1:24">
      <c r="A4063">
        <f>HYPERLINK("https://www.philgeps.gov.ph/GEPSNONPILOT/Tender/SplashBidNoticeAbstractUI.aspx?menuIndex=3&amp;refID=7042363&amp;Result=3","7042363")</f>
        <v>0</v>
      </c>
      <c r="B4063" t="s">
        <v>1435</v>
      </c>
      <c r="C4063" t="s">
        <v>6561</v>
      </c>
      <c r="D4063" t="s">
        <v>12988</v>
      </c>
      <c r="E4063" t="s">
        <v>16725</v>
      </c>
      <c r="F4063" t="s">
        <v>22436</v>
      </c>
      <c r="G4063" t="s">
        <v>22443</v>
      </c>
      <c r="H4063" t="s">
        <v>22452</v>
      </c>
      <c r="I4063" t="s">
        <v>22469</v>
      </c>
      <c r="J4063" t="s">
        <v>22674</v>
      </c>
      <c r="K4063" t="s">
        <v>29335</v>
      </c>
      <c r="M4063" t="s">
        <v>31098</v>
      </c>
      <c r="N4063" t="s">
        <v>32524</v>
      </c>
      <c r="O4063" t="s">
        <v>32525</v>
      </c>
      <c r="P4063">
        <v>0</v>
      </c>
      <c r="Q4063">
        <v>1</v>
      </c>
      <c r="R4063" t="s">
        <v>32530</v>
      </c>
      <c r="S4063" t="s">
        <v>32568</v>
      </c>
      <c r="T4063" t="s">
        <v>33372</v>
      </c>
      <c r="U4063" t="s">
        <v>37065</v>
      </c>
      <c r="W4063" t="s">
        <v>31098</v>
      </c>
      <c r="X4063" t="s">
        <v>32531</v>
      </c>
    </row>
    <row r="4064" spans="1:24">
      <c r="A4064">
        <f>HYPERLINK("https://www.philgeps.gov.ph/GEPSNONPILOT/Tender/SplashBidNoticeAbstractUI.aspx?menuIndex=3&amp;refID=7042294&amp;Result=3","7042294")</f>
        <v>0</v>
      </c>
      <c r="B4064" t="s">
        <v>477</v>
      </c>
      <c r="C4064" t="s">
        <v>6562</v>
      </c>
      <c r="D4064" t="s">
        <v>13016</v>
      </c>
      <c r="E4064" t="s">
        <v>16726</v>
      </c>
      <c r="F4064" t="s">
        <v>22436</v>
      </c>
      <c r="G4064" t="s">
        <v>22443</v>
      </c>
      <c r="H4064" t="s">
        <v>22452</v>
      </c>
      <c r="I4064" t="s">
        <v>22462</v>
      </c>
      <c r="J4064" t="s">
        <v>25275</v>
      </c>
      <c r="K4064" t="s">
        <v>29338</v>
      </c>
      <c r="M4064" t="s">
        <v>30061</v>
      </c>
      <c r="N4064" t="s">
        <v>32524</v>
      </c>
      <c r="O4064" t="s">
        <v>32525</v>
      </c>
      <c r="P4064">
        <v>0</v>
      </c>
      <c r="Q4064">
        <v>1</v>
      </c>
      <c r="R4064" t="s">
        <v>32530</v>
      </c>
      <c r="S4064" t="s">
        <v>32568</v>
      </c>
      <c r="T4064" t="s">
        <v>33351</v>
      </c>
      <c r="U4064" t="s">
        <v>37066</v>
      </c>
      <c r="W4064" t="s">
        <v>30061</v>
      </c>
      <c r="X4064" t="s">
        <v>32531</v>
      </c>
    </row>
    <row r="4065" spans="1:24">
      <c r="A4065">
        <f>HYPERLINK("https://www.philgeps.gov.ph/GEPSNONPILOT/Tender/SplashBidNoticeAbstractUI.aspx?menuIndex=3&amp;refID=7042350&amp;Result=3","7042350")</f>
        <v>0</v>
      </c>
      <c r="B4065" t="s">
        <v>752</v>
      </c>
      <c r="C4065" t="s">
        <v>6563</v>
      </c>
      <c r="D4065" t="s">
        <v>13040</v>
      </c>
      <c r="E4065" t="s">
        <v>16727</v>
      </c>
      <c r="F4065" t="s">
        <v>22436</v>
      </c>
      <c r="G4065" t="s">
        <v>22443</v>
      </c>
      <c r="H4065" t="s">
        <v>22454</v>
      </c>
      <c r="I4065" t="s">
        <v>7738</v>
      </c>
      <c r="J4065" t="s">
        <v>22779</v>
      </c>
      <c r="K4065" t="s">
        <v>29335</v>
      </c>
      <c r="M4065" t="s">
        <v>30353</v>
      </c>
      <c r="N4065" t="s">
        <v>32524</v>
      </c>
      <c r="O4065" t="s">
        <v>32525</v>
      </c>
      <c r="P4065">
        <v>0</v>
      </c>
      <c r="Q4065">
        <v>1</v>
      </c>
      <c r="R4065" t="s">
        <v>32530</v>
      </c>
      <c r="S4065" t="s">
        <v>32568</v>
      </c>
      <c r="T4065" t="s">
        <v>33372</v>
      </c>
      <c r="U4065" t="s">
        <v>37067</v>
      </c>
      <c r="W4065" t="s">
        <v>30353</v>
      </c>
      <c r="X4065" t="s">
        <v>32531</v>
      </c>
    </row>
    <row r="4066" spans="1:24">
      <c r="A4066">
        <f>HYPERLINK("https://www.philgeps.gov.ph/GEPSNONPILOT/Tender/SplashBidNoticeAbstractUI.aspx?menuIndex=3&amp;refID=7042346&amp;Result=3","7042346")</f>
        <v>0</v>
      </c>
      <c r="B4066" t="s">
        <v>1429</v>
      </c>
      <c r="C4066" t="s">
        <v>6564</v>
      </c>
      <c r="D4066" t="s">
        <v>12988</v>
      </c>
      <c r="E4066" t="s">
        <v>16728</v>
      </c>
      <c r="F4066" t="s">
        <v>22436</v>
      </c>
      <c r="G4066" t="s">
        <v>22444</v>
      </c>
      <c r="H4066" t="s">
        <v>22452</v>
      </c>
      <c r="I4066" t="s">
        <v>3827</v>
      </c>
      <c r="J4066" t="s">
        <v>22587</v>
      </c>
      <c r="K4066" t="s">
        <v>29338</v>
      </c>
      <c r="M4066" t="s">
        <v>31092</v>
      </c>
      <c r="N4066" t="s">
        <v>32524</v>
      </c>
      <c r="O4066" t="s">
        <v>32525</v>
      </c>
      <c r="P4066">
        <v>0</v>
      </c>
      <c r="Q4066">
        <v>5</v>
      </c>
      <c r="R4066" t="s">
        <v>32530</v>
      </c>
      <c r="S4066" t="s">
        <v>32568</v>
      </c>
      <c r="T4066" t="s">
        <v>33165</v>
      </c>
      <c r="U4066" t="s">
        <v>37068</v>
      </c>
      <c r="V4066" t="s">
        <v>42428</v>
      </c>
      <c r="W4066" t="s">
        <v>31092</v>
      </c>
      <c r="X4066" t="s">
        <v>32531</v>
      </c>
    </row>
    <row r="4067" spans="1:24">
      <c r="A4067">
        <f>HYPERLINK("https://www.philgeps.gov.ph/GEPSNONPILOT/Tender/SplashBidNoticeAbstractUI.aspx?menuIndex=3&amp;refID=7042364&amp;Result=3","7042364")</f>
        <v>0</v>
      </c>
      <c r="B4067" t="s">
        <v>1431</v>
      </c>
      <c r="C4067" t="s">
        <v>6565</v>
      </c>
      <c r="D4067" t="s">
        <v>13058</v>
      </c>
      <c r="E4067" t="s">
        <v>16729</v>
      </c>
      <c r="F4067" t="s">
        <v>22436</v>
      </c>
      <c r="G4067" t="s">
        <v>22444</v>
      </c>
      <c r="H4067" t="s">
        <v>22452</v>
      </c>
      <c r="I4067" t="s">
        <v>2962</v>
      </c>
      <c r="J4067" t="s">
        <v>25276</v>
      </c>
      <c r="K4067" t="s">
        <v>29336</v>
      </c>
      <c r="M4067" t="s">
        <v>31094</v>
      </c>
      <c r="N4067" t="s">
        <v>32524</v>
      </c>
      <c r="O4067" t="s">
        <v>32525</v>
      </c>
      <c r="P4067">
        <v>0</v>
      </c>
      <c r="Q4067">
        <v>0</v>
      </c>
      <c r="R4067" t="s">
        <v>32530</v>
      </c>
      <c r="S4067" t="s">
        <v>32568</v>
      </c>
      <c r="T4067" t="s">
        <v>33181</v>
      </c>
      <c r="U4067" t="s">
        <v>37069</v>
      </c>
      <c r="W4067" t="s">
        <v>31094</v>
      </c>
      <c r="X4067" t="s">
        <v>32531</v>
      </c>
    </row>
    <row r="4068" spans="1:24">
      <c r="A4068">
        <f>HYPERLINK("https://www.philgeps.gov.ph/GEPSNONPILOT/Tender/SplashBidNoticeAbstractUI.aspx?menuIndex=3&amp;refID=7042358&amp;Result=3","7042358")</f>
        <v>0</v>
      </c>
      <c r="B4068" t="s">
        <v>1436</v>
      </c>
      <c r="C4068" t="s">
        <v>6566</v>
      </c>
      <c r="D4068" t="s">
        <v>13004</v>
      </c>
      <c r="E4068" t="s">
        <v>16730</v>
      </c>
      <c r="F4068" t="s">
        <v>22436</v>
      </c>
      <c r="G4068" t="s">
        <v>22444</v>
      </c>
      <c r="H4068" t="s">
        <v>22452</v>
      </c>
      <c r="I4068" t="s">
        <v>22502</v>
      </c>
      <c r="J4068" t="s">
        <v>25277</v>
      </c>
      <c r="K4068" t="s">
        <v>29333</v>
      </c>
      <c r="M4068" t="s">
        <v>31099</v>
      </c>
      <c r="N4068" t="s">
        <v>32524</v>
      </c>
      <c r="O4068" t="s">
        <v>32525</v>
      </c>
      <c r="P4068">
        <v>0</v>
      </c>
      <c r="Q4068">
        <v>37</v>
      </c>
      <c r="R4068" t="s">
        <v>32530</v>
      </c>
      <c r="S4068" t="s">
        <v>32568</v>
      </c>
      <c r="T4068" t="s">
        <v>33440</v>
      </c>
      <c r="U4068" t="s">
        <v>37070</v>
      </c>
      <c r="V4068" t="s">
        <v>42428</v>
      </c>
      <c r="W4068" t="s">
        <v>31099</v>
      </c>
      <c r="X4068" t="s">
        <v>32531</v>
      </c>
    </row>
    <row r="4069" spans="1:24">
      <c r="A4069">
        <f>HYPERLINK("https://www.philgeps.gov.ph/GEPSNONPILOT/Tender/SplashBidNoticeAbstractUI.aspx?menuIndex=3&amp;refID=7042353&amp;Result=3","7042353")</f>
        <v>0</v>
      </c>
      <c r="B4069" t="s">
        <v>1433</v>
      </c>
      <c r="C4069" t="s">
        <v>6567</v>
      </c>
      <c r="E4069" t="s">
        <v>16731</v>
      </c>
      <c r="F4069" t="s">
        <v>22436</v>
      </c>
      <c r="G4069" t="s">
        <v>22444</v>
      </c>
      <c r="H4069" t="s">
        <v>22452</v>
      </c>
      <c r="I4069" t="s">
        <v>2981</v>
      </c>
      <c r="J4069" t="s">
        <v>22674</v>
      </c>
      <c r="K4069" t="s">
        <v>29338</v>
      </c>
      <c r="M4069" t="s">
        <v>31096</v>
      </c>
      <c r="N4069" t="s">
        <v>32524</v>
      </c>
      <c r="O4069" t="s">
        <v>32525</v>
      </c>
      <c r="P4069">
        <v>0</v>
      </c>
      <c r="Q4069">
        <v>0</v>
      </c>
      <c r="R4069" t="s">
        <v>32530</v>
      </c>
      <c r="S4069" t="s">
        <v>32568</v>
      </c>
      <c r="T4069" t="s">
        <v>33167</v>
      </c>
      <c r="U4069" t="s">
        <v>37071</v>
      </c>
      <c r="W4069" t="s">
        <v>31096</v>
      </c>
      <c r="X4069" t="s">
        <v>32531</v>
      </c>
    </row>
    <row r="4070" spans="1:24">
      <c r="A4070">
        <f>HYPERLINK("https://www.philgeps.gov.ph/GEPSNONPILOT/Tender/SplashBidNoticeAbstractUI.aspx?menuIndex=3&amp;refID=7042369&amp;Result=3","7042369")</f>
        <v>0</v>
      </c>
      <c r="B4070" t="s">
        <v>756</v>
      </c>
      <c r="C4070" t="s">
        <v>6568</v>
      </c>
      <c r="D4070" t="s">
        <v>12996</v>
      </c>
      <c r="E4070" t="s">
        <v>16732</v>
      </c>
      <c r="F4070" t="s">
        <v>22436</v>
      </c>
      <c r="G4070" t="s">
        <v>22446</v>
      </c>
      <c r="H4070" t="s">
        <v>22452</v>
      </c>
      <c r="I4070" t="s">
        <v>22546</v>
      </c>
      <c r="J4070" t="s">
        <v>24198</v>
      </c>
      <c r="K4070" t="s">
        <v>29341</v>
      </c>
      <c r="M4070" t="s">
        <v>30357</v>
      </c>
      <c r="N4070" t="s">
        <v>32524</v>
      </c>
      <c r="O4070" t="s">
        <v>32525</v>
      </c>
      <c r="P4070">
        <v>0</v>
      </c>
      <c r="Q4070">
        <v>1</v>
      </c>
      <c r="R4070" t="s">
        <v>32530</v>
      </c>
      <c r="S4070" t="s">
        <v>32568</v>
      </c>
      <c r="T4070" t="s">
        <v>33310</v>
      </c>
      <c r="U4070" t="s">
        <v>37072</v>
      </c>
      <c r="W4070" t="s">
        <v>30357</v>
      </c>
      <c r="X4070" t="s">
        <v>32531</v>
      </c>
    </row>
    <row r="4071" spans="1:24">
      <c r="A4071">
        <f>HYPERLINK("https://www.philgeps.gov.ph/GEPSNONPILOT/Tender/SplashBidNoticeAbstractUI.aspx?menuIndex=3&amp;refID=7042344&amp;Result=3","7042344")</f>
        <v>0</v>
      </c>
      <c r="B4071" t="s">
        <v>367</v>
      </c>
      <c r="C4071" t="s">
        <v>6569</v>
      </c>
      <c r="D4071" t="s">
        <v>12988</v>
      </c>
      <c r="E4071" t="s">
        <v>16733</v>
      </c>
      <c r="F4071" t="s">
        <v>22436</v>
      </c>
      <c r="G4071" t="s">
        <v>22443</v>
      </c>
      <c r="H4071" t="s">
        <v>22452</v>
      </c>
      <c r="I4071" t="s">
        <v>22469</v>
      </c>
      <c r="J4071" t="s">
        <v>25278</v>
      </c>
      <c r="K4071" t="s">
        <v>29336</v>
      </c>
      <c r="M4071" t="s">
        <v>29945</v>
      </c>
      <c r="N4071" t="s">
        <v>32524</v>
      </c>
      <c r="O4071" t="s">
        <v>32525</v>
      </c>
      <c r="P4071">
        <v>0</v>
      </c>
      <c r="Q4071">
        <v>10</v>
      </c>
      <c r="R4071" t="s">
        <v>32530</v>
      </c>
      <c r="S4071" t="s">
        <v>32568</v>
      </c>
      <c r="T4071" t="s">
        <v>33209</v>
      </c>
      <c r="U4071" t="s">
        <v>37073</v>
      </c>
      <c r="V4071" t="s">
        <v>42501</v>
      </c>
      <c r="W4071" t="s">
        <v>29945</v>
      </c>
      <c r="X4071" t="s">
        <v>32531</v>
      </c>
    </row>
    <row r="4072" spans="1:24">
      <c r="A4072">
        <f>HYPERLINK("https://www.philgeps.gov.ph/GEPSNONPILOT/Tender/SplashBidNoticeAbstractUI.aspx?menuIndex=3&amp;refID=7042334&amp;Result=3","7042334")</f>
        <v>0</v>
      </c>
      <c r="B4072" t="s">
        <v>477</v>
      </c>
      <c r="C4072" t="s">
        <v>6570</v>
      </c>
      <c r="D4072" t="s">
        <v>13016</v>
      </c>
      <c r="E4072" t="s">
        <v>16734</v>
      </c>
      <c r="F4072" t="s">
        <v>22436</v>
      </c>
      <c r="G4072" t="s">
        <v>22443</v>
      </c>
      <c r="H4072" t="s">
        <v>22452</v>
      </c>
      <c r="I4072" t="s">
        <v>22462</v>
      </c>
      <c r="J4072" t="s">
        <v>22692</v>
      </c>
      <c r="K4072" t="s">
        <v>29338</v>
      </c>
      <c r="M4072" t="s">
        <v>30061</v>
      </c>
      <c r="N4072" t="s">
        <v>32524</v>
      </c>
      <c r="O4072" t="s">
        <v>32525</v>
      </c>
      <c r="P4072">
        <v>0</v>
      </c>
      <c r="Q4072">
        <v>0</v>
      </c>
      <c r="R4072" t="s">
        <v>32530</v>
      </c>
      <c r="S4072" t="s">
        <v>32568</v>
      </c>
      <c r="T4072" t="s">
        <v>33351</v>
      </c>
      <c r="U4072" t="s">
        <v>37074</v>
      </c>
      <c r="W4072" t="s">
        <v>30061</v>
      </c>
      <c r="X4072" t="s">
        <v>32531</v>
      </c>
    </row>
    <row r="4073" spans="1:24">
      <c r="A4073">
        <f>HYPERLINK("https://www.philgeps.gov.ph/GEPSNONPILOT/Tender/SplashBidNoticeAbstractUI.aspx?menuIndex=3&amp;refID=7042336&amp;Result=3","7042336")</f>
        <v>0</v>
      </c>
      <c r="B4073" t="s">
        <v>29</v>
      </c>
      <c r="C4073" t="s">
        <v>6571</v>
      </c>
      <c r="D4073" t="s">
        <v>12993</v>
      </c>
      <c r="E4073" t="s">
        <v>16700</v>
      </c>
      <c r="F4073" t="s">
        <v>22436</v>
      </c>
      <c r="G4073" t="s">
        <v>22444</v>
      </c>
      <c r="H4073" t="s">
        <v>22452</v>
      </c>
      <c r="I4073" t="s">
        <v>12358</v>
      </c>
      <c r="J4073" t="s">
        <v>25279</v>
      </c>
      <c r="K4073" t="s">
        <v>29341</v>
      </c>
      <c r="M4073" t="s">
        <v>29599</v>
      </c>
      <c r="N4073" t="s">
        <v>32524</v>
      </c>
      <c r="O4073" t="s">
        <v>32525</v>
      </c>
      <c r="P4073">
        <v>0</v>
      </c>
      <c r="Q4073">
        <v>1</v>
      </c>
      <c r="R4073" t="s">
        <v>32530</v>
      </c>
      <c r="S4073" t="s">
        <v>32568</v>
      </c>
      <c r="T4073" t="s">
        <v>33163</v>
      </c>
      <c r="U4073" t="s">
        <v>37044</v>
      </c>
      <c r="W4073" t="s">
        <v>29599</v>
      </c>
      <c r="X4073" t="s">
        <v>32531</v>
      </c>
    </row>
    <row r="4074" spans="1:24">
      <c r="A4074">
        <f>HYPERLINK("https://www.philgeps.gov.ph/GEPSNONPILOT/Tender/SplashBidNoticeAbstractUI.aspx?menuIndex=3&amp;refID=7042345&amp;Result=3","7042345")</f>
        <v>0</v>
      </c>
      <c r="B4074" t="s">
        <v>1437</v>
      </c>
      <c r="C4074" t="s">
        <v>6572</v>
      </c>
      <c r="D4074" t="s">
        <v>12988</v>
      </c>
      <c r="E4074" t="s">
        <v>16735</v>
      </c>
      <c r="F4074" t="s">
        <v>22436</v>
      </c>
      <c r="G4074" t="s">
        <v>22447</v>
      </c>
      <c r="H4074" t="s">
        <v>22452</v>
      </c>
      <c r="I4074" t="s">
        <v>22463</v>
      </c>
      <c r="J4074" t="s">
        <v>25280</v>
      </c>
      <c r="K4074" t="s">
        <v>29338</v>
      </c>
      <c r="M4074" t="s">
        <v>31100</v>
      </c>
      <c r="N4074" t="s">
        <v>32524</v>
      </c>
      <c r="O4074" t="s">
        <v>32525</v>
      </c>
      <c r="P4074">
        <v>0</v>
      </c>
      <c r="Q4074">
        <v>27</v>
      </c>
      <c r="R4074" t="s">
        <v>32530</v>
      </c>
      <c r="S4074" t="s">
        <v>32568</v>
      </c>
      <c r="T4074" t="s">
        <v>33401</v>
      </c>
      <c r="U4074" t="s">
        <v>37075</v>
      </c>
      <c r="W4074" t="s">
        <v>31100</v>
      </c>
      <c r="X4074" t="s">
        <v>32531</v>
      </c>
    </row>
    <row r="4075" spans="1:24">
      <c r="A4075">
        <f>HYPERLINK("https://www.philgeps.gov.ph/GEPSNONPILOT/Tender/SplashBidNoticeAbstractUI.aspx?menuIndex=3&amp;refID=7042370&amp;Result=3","7042370")</f>
        <v>0</v>
      </c>
      <c r="B4075" t="s">
        <v>1323</v>
      </c>
      <c r="C4075" t="s">
        <v>6573</v>
      </c>
      <c r="E4075" t="s">
        <v>16736</v>
      </c>
      <c r="F4075" t="s">
        <v>22436</v>
      </c>
      <c r="G4075" t="s">
        <v>22443</v>
      </c>
      <c r="H4075" t="s">
        <v>22452</v>
      </c>
      <c r="I4075" t="s">
        <v>22486</v>
      </c>
      <c r="J4075" t="s">
        <v>25281</v>
      </c>
      <c r="K4075" t="s">
        <v>29338</v>
      </c>
      <c r="M4075" t="s">
        <v>30978</v>
      </c>
      <c r="N4075" t="s">
        <v>32524</v>
      </c>
      <c r="O4075" t="s">
        <v>32525</v>
      </c>
      <c r="P4075">
        <v>0</v>
      </c>
      <c r="Q4075">
        <v>0</v>
      </c>
      <c r="R4075" t="s">
        <v>32530</v>
      </c>
      <c r="S4075" t="s">
        <v>32568</v>
      </c>
      <c r="T4075" t="s">
        <v>33209</v>
      </c>
      <c r="U4075" t="s">
        <v>37076</v>
      </c>
      <c r="W4075" t="s">
        <v>30978</v>
      </c>
      <c r="X4075" t="s">
        <v>32531</v>
      </c>
    </row>
    <row r="4076" spans="1:24">
      <c r="A4076">
        <f>HYPERLINK("https://www.philgeps.gov.ph/GEPSNONPILOT/Tender/SplashBidNoticeAbstractUI.aspx?menuIndex=3&amp;refID=7042331&amp;Result=3","7042331")</f>
        <v>0</v>
      </c>
      <c r="B4076" t="s">
        <v>1381</v>
      </c>
      <c r="C4076" t="s">
        <v>6574</v>
      </c>
      <c r="D4076" t="s">
        <v>13035</v>
      </c>
      <c r="E4076" t="s">
        <v>16737</v>
      </c>
      <c r="F4076" t="s">
        <v>22436</v>
      </c>
      <c r="G4076" t="s">
        <v>22444</v>
      </c>
      <c r="H4076" t="s">
        <v>22452</v>
      </c>
      <c r="I4076" t="s">
        <v>3529</v>
      </c>
      <c r="J4076" t="s">
        <v>25282</v>
      </c>
      <c r="K4076" t="s">
        <v>29337</v>
      </c>
      <c r="M4076" t="s">
        <v>31039</v>
      </c>
      <c r="N4076" t="s">
        <v>32524</v>
      </c>
      <c r="O4076" t="s">
        <v>32525</v>
      </c>
      <c r="P4076">
        <v>0</v>
      </c>
      <c r="Q4076">
        <v>4</v>
      </c>
      <c r="R4076" t="s">
        <v>32530</v>
      </c>
      <c r="S4076" t="s">
        <v>32568</v>
      </c>
      <c r="T4076" t="s">
        <v>33405</v>
      </c>
      <c r="U4076" t="s">
        <v>36957</v>
      </c>
      <c r="V4076" t="s">
        <v>42859</v>
      </c>
      <c r="W4076" t="s">
        <v>31039</v>
      </c>
      <c r="X4076" t="s">
        <v>32531</v>
      </c>
    </row>
    <row r="4077" spans="1:24">
      <c r="A4077">
        <f>HYPERLINK("https://www.philgeps.gov.ph/GEPSNONPILOT/Tender/SplashBidNoticeAbstractUI.aspx?menuIndex=3&amp;refID=7042372&amp;Result=3","7042372")</f>
        <v>0</v>
      </c>
      <c r="B4077" t="s">
        <v>1438</v>
      </c>
      <c r="C4077" t="s">
        <v>6575</v>
      </c>
      <c r="D4077" t="s">
        <v>13007</v>
      </c>
      <c r="E4077" t="s">
        <v>16738</v>
      </c>
      <c r="F4077" t="s">
        <v>22436</v>
      </c>
      <c r="G4077" t="s">
        <v>22444</v>
      </c>
      <c r="H4077" t="s">
        <v>22452</v>
      </c>
      <c r="I4077" t="s">
        <v>22474</v>
      </c>
      <c r="J4077" t="s">
        <v>25283</v>
      </c>
      <c r="K4077" t="s">
        <v>29335</v>
      </c>
      <c r="M4077" t="s">
        <v>31101</v>
      </c>
      <c r="N4077" t="s">
        <v>32524</v>
      </c>
      <c r="O4077" t="s">
        <v>32525</v>
      </c>
      <c r="P4077">
        <v>0</v>
      </c>
      <c r="Q4077">
        <v>10</v>
      </c>
      <c r="R4077" t="s">
        <v>32530</v>
      </c>
      <c r="S4077" t="s">
        <v>32568</v>
      </c>
      <c r="T4077" t="s">
        <v>33297</v>
      </c>
      <c r="U4077" t="s">
        <v>37077</v>
      </c>
      <c r="W4077" t="s">
        <v>31101</v>
      </c>
      <c r="X4077" t="s">
        <v>32531</v>
      </c>
    </row>
    <row r="4078" spans="1:24">
      <c r="A4078">
        <f>HYPERLINK("https://www.philgeps.gov.ph/GEPSNONPILOT/Tender/SplashBidNoticeAbstractUI.aspx?menuIndex=3&amp;refID=7042373&amp;Result=3","7042373")</f>
        <v>0</v>
      </c>
      <c r="B4078" t="s">
        <v>29</v>
      </c>
      <c r="C4078" t="s">
        <v>6576</v>
      </c>
      <c r="D4078" t="s">
        <v>12993</v>
      </c>
      <c r="E4078" t="s">
        <v>16700</v>
      </c>
      <c r="F4078" t="s">
        <v>22436</v>
      </c>
      <c r="G4078" t="s">
        <v>22444</v>
      </c>
      <c r="H4078" t="s">
        <v>22452</v>
      </c>
      <c r="I4078" t="s">
        <v>22463</v>
      </c>
      <c r="J4078" t="s">
        <v>25284</v>
      </c>
      <c r="K4078" t="s">
        <v>29341</v>
      </c>
      <c r="M4078" t="s">
        <v>29599</v>
      </c>
      <c r="N4078" t="s">
        <v>32524</v>
      </c>
      <c r="O4078" t="s">
        <v>32525</v>
      </c>
      <c r="P4078">
        <v>0</v>
      </c>
      <c r="Q4078">
        <v>3</v>
      </c>
      <c r="R4078" t="s">
        <v>32530</v>
      </c>
      <c r="S4078" t="s">
        <v>32568</v>
      </c>
      <c r="T4078" t="s">
        <v>33163</v>
      </c>
      <c r="U4078" t="s">
        <v>37044</v>
      </c>
      <c r="W4078" t="s">
        <v>29599</v>
      </c>
      <c r="X4078" t="s">
        <v>32531</v>
      </c>
    </row>
    <row r="4079" spans="1:24">
      <c r="A4079">
        <f>HYPERLINK("https://www.philgeps.gov.ph/GEPSNONPILOT/Tender/SplashBidNoticeAbstractUI.aspx?menuIndex=3&amp;refID=7042380&amp;Result=3","7042380")</f>
        <v>0</v>
      </c>
      <c r="B4079" t="s">
        <v>1435</v>
      </c>
      <c r="C4079" t="s">
        <v>6577</v>
      </c>
      <c r="D4079" t="s">
        <v>12988</v>
      </c>
      <c r="E4079" t="s">
        <v>16739</v>
      </c>
      <c r="F4079" t="s">
        <v>22436</v>
      </c>
      <c r="G4079" t="s">
        <v>22443</v>
      </c>
      <c r="H4079" t="s">
        <v>22452</v>
      </c>
      <c r="I4079" t="s">
        <v>2962</v>
      </c>
      <c r="J4079" t="s">
        <v>22605</v>
      </c>
      <c r="K4079" t="s">
        <v>29335</v>
      </c>
      <c r="M4079" t="s">
        <v>31098</v>
      </c>
      <c r="N4079" t="s">
        <v>32524</v>
      </c>
      <c r="O4079" t="s">
        <v>32525</v>
      </c>
      <c r="P4079">
        <v>0</v>
      </c>
      <c r="Q4079">
        <v>5</v>
      </c>
      <c r="R4079" t="s">
        <v>32530</v>
      </c>
      <c r="S4079" t="s">
        <v>32568</v>
      </c>
      <c r="T4079" t="s">
        <v>33372</v>
      </c>
      <c r="U4079" t="s">
        <v>37078</v>
      </c>
      <c r="W4079" t="s">
        <v>31098</v>
      </c>
      <c r="X4079" t="s">
        <v>32531</v>
      </c>
    </row>
    <row r="4080" spans="1:24">
      <c r="A4080">
        <f>HYPERLINK("https://www.philgeps.gov.ph/GEPSNONPILOT/Tender/SplashBidNoticeAbstractUI.aspx?menuIndex=3&amp;refID=7042409&amp;Result=3","7042409")</f>
        <v>0</v>
      </c>
      <c r="B4080" t="s">
        <v>1323</v>
      </c>
      <c r="C4080" t="s">
        <v>6578</v>
      </c>
      <c r="E4080" t="s">
        <v>16740</v>
      </c>
      <c r="F4080" t="s">
        <v>22436</v>
      </c>
      <c r="G4080" t="s">
        <v>22443</v>
      </c>
      <c r="H4080" t="s">
        <v>22452</v>
      </c>
      <c r="I4080" t="s">
        <v>22486</v>
      </c>
      <c r="J4080" t="s">
        <v>22818</v>
      </c>
      <c r="K4080" t="s">
        <v>29338</v>
      </c>
      <c r="M4080" t="s">
        <v>30978</v>
      </c>
      <c r="N4080" t="s">
        <v>32524</v>
      </c>
      <c r="O4080" t="s">
        <v>32525</v>
      </c>
      <c r="P4080">
        <v>0</v>
      </c>
      <c r="Q4080">
        <v>0</v>
      </c>
      <c r="R4080" t="s">
        <v>32530</v>
      </c>
      <c r="S4080" t="s">
        <v>32568</v>
      </c>
      <c r="T4080" t="s">
        <v>33209</v>
      </c>
      <c r="U4080" t="s">
        <v>37079</v>
      </c>
      <c r="W4080" t="s">
        <v>30978</v>
      </c>
      <c r="X4080" t="s">
        <v>32531</v>
      </c>
    </row>
    <row r="4081" spans="1:24">
      <c r="A4081">
        <f>HYPERLINK("https://www.philgeps.gov.ph/GEPSNONPILOT/Tender/SplashBidNoticeAbstractUI.aspx?menuIndex=3&amp;refID=7042413&amp;Result=3","7042413")</f>
        <v>0</v>
      </c>
      <c r="B4081" t="s">
        <v>1439</v>
      </c>
      <c r="C4081" t="s">
        <v>6579</v>
      </c>
      <c r="E4081" t="s">
        <v>16741</v>
      </c>
      <c r="F4081" t="s">
        <v>22436</v>
      </c>
      <c r="G4081" t="s">
        <v>22444</v>
      </c>
      <c r="H4081" t="s">
        <v>22454</v>
      </c>
      <c r="I4081" t="s">
        <v>7738</v>
      </c>
      <c r="J4081" t="s">
        <v>25285</v>
      </c>
      <c r="K4081" t="s">
        <v>29338</v>
      </c>
      <c r="M4081" t="s">
        <v>31102</v>
      </c>
      <c r="N4081" t="s">
        <v>32524</v>
      </c>
      <c r="O4081" t="s">
        <v>32525</v>
      </c>
      <c r="P4081">
        <v>0</v>
      </c>
      <c r="Q4081">
        <v>15</v>
      </c>
      <c r="R4081" t="s">
        <v>32530</v>
      </c>
      <c r="S4081" t="s">
        <v>32568</v>
      </c>
      <c r="T4081" t="s">
        <v>33345</v>
      </c>
      <c r="U4081" t="s">
        <v>37080</v>
      </c>
      <c r="W4081" t="s">
        <v>43719</v>
      </c>
      <c r="X4081" t="s">
        <v>32531</v>
      </c>
    </row>
    <row r="4082" spans="1:24">
      <c r="A4082">
        <f>HYPERLINK("https://www.philgeps.gov.ph/GEPSNONPILOT/Tender/SplashBidNoticeAbstractUI.aspx?menuIndex=3&amp;refID=7042374&amp;Result=3","7042374")</f>
        <v>0</v>
      </c>
      <c r="B4082" t="s">
        <v>477</v>
      </c>
      <c r="C4082" t="s">
        <v>6580</v>
      </c>
      <c r="D4082" t="s">
        <v>13016</v>
      </c>
      <c r="E4082" t="s">
        <v>16742</v>
      </c>
      <c r="F4082" t="s">
        <v>22436</v>
      </c>
      <c r="G4082" t="s">
        <v>22443</v>
      </c>
      <c r="H4082" t="s">
        <v>22452</v>
      </c>
      <c r="I4082" t="s">
        <v>22487</v>
      </c>
      <c r="J4082" t="s">
        <v>25286</v>
      </c>
      <c r="K4082" t="s">
        <v>29338</v>
      </c>
      <c r="M4082" t="s">
        <v>30061</v>
      </c>
      <c r="N4082" t="s">
        <v>32524</v>
      </c>
      <c r="O4082" t="s">
        <v>32525</v>
      </c>
      <c r="P4082">
        <v>0</v>
      </c>
      <c r="Q4082">
        <v>4</v>
      </c>
      <c r="R4082" t="s">
        <v>32530</v>
      </c>
      <c r="S4082" t="s">
        <v>32568</v>
      </c>
      <c r="T4082" t="s">
        <v>33351</v>
      </c>
      <c r="U4082" t="s">
        <v>37081</v>
      </c>
      <c r="W4082" t="s">
        <v>30061</v>
      </c>
      <c r="X4082" t="s">
        <v>32531</v>
      </c>
    </row>
    <row r="4083" spans="1:24">
      <c r="A4083">
        <f>HYPERLINK("https://www.philgeps.gov.ph/GEPSNONPILOT/Tender/SplashBidNoticeAbstractUI.aspx?menuIndex=3&amp;refID=7042387&amp;Result=3","7042387")</f>
        <v>0</v>
      </c>
      <c r="B4083" t="s">
        <v>183</v>
      </c>
      <c r="C4083" t="s">
        <v>6581</v>
      </c>
      <c r="D4083" t="s">
        <v>12988</v>
      </c>
      <c r="E4083" t="s">
        <v>16743</v>
      </c>
      <c r="F4083" t="s">
        <v>22436</v>
      </c>
      <c r="G4083" t="s">
        <v>22444</v>
      </c>
      <c r="H4083" t="s">
        <v>22452</v>
      </c>
      <c r="I4083" t="s">
        <v>22503</v>
      </c>
      <c r="J4083" t="s">
        <v>23216</v>
      </c>
      <c r="K4083" t="s">
        <v>29329</v>
      </c>
      <c r="M4083" t="s">
        <v>31088</v>
      </c>
      <c r="N4083" t="s">
        <v>32524</v>
      </c>
      <c r="O4083" t="s">
        <v>32525</v>
      </c>
      <c r="P4083">
        <v>0</v>
      </c>
      <c r="Q4083">
        <v>0</v>
      </c>
      <c r="R4083" t="s">
        <v>32530</v>
      </c>
      <c r="S4083" t="s">
        <v>32568</v>
      </c>
      <c r="T4083" t="s">
        <v>33426</v>
      </c>
      <c r="U4083" t="s">
        <v>37057</v>
      </c>
      <c r="W4083" t="s">
        <v>31088</v>
      </c>
      <c r="X4083" t="s">
        <v>32531</v>
      </c>
    </row>
    <row r="4084" spans="1:24">
      <c r="A4084">
        <f>HYPERLINK("https://www.philgeps.gov.ph/GEPSNONPILOT/Tender/SplashBidNoticeAbstractUI.aspx?menuIndex=3&amp;refID=7042407&amp;Result=3","7042407")</f>
        <v>0</v>
      </c>
      <c r="B4084" t="s">
        <v>1440</v>
      </c>
      <c r="C4084" t="s">
        <v>6582</v>
      </c>
      <c r="D4084" t="s">
        <v>13009</v>
      </c>
      <c r="E4084" t="s">
        <v>16744</v>
      </c>
      <c r="F4084" t="s">
        <v>22436</v>
      </c>
      <c r="G4084" t="s">
        <v>22443</v>
      </c>
      <c r="H4084" t="s">
        <v>22452</v>
      </c>
      <c r="I4084" t="s">
        <v>12358</v>
      </c>
      <c r="J4084" t="s">
        <v>25287</v>
      </c>
      <c r="K4084" t="s">
        <v>29335</v>
      </c>
      <c r="M4084" t="s">
        <v>31103</v>
      </c>
      <c r="N4084" t="s">
        <v>32524</v>
      </c>
      <c r="O4084" t="s">
        <v>32525</v>
      </c>
      <c r="P4084">
        <v>0</v>
      </c>
      <c r="Q4084">
        <v>3</v>
      </c>
      <c r="R4084" t="s">
        <v>32530</v>
      </c>
      <c r="S4084" t="s">
        <v>32568</v>
      </c>
      <c r="T4084" t="s">
        <v>33230</v>
      </c>
      <c r="U4084" t="s">
        <v>37082</v>
      </c>
      <c r="W4084" t="s">
        <v>31103</v>
      </c>
      <c r="X4084" t="s">
        <v>32531</v>
      </c>
    </row>
    <row r="4085" spans="1:24">
      <c r="A4085">
        <f>HYPERLINK("https://www.philgeps.gov.ph/GEPSNONPILOT/Tender/SplashBidNoticeAbstractUI.aspx?menuIndex=3&amp;refID=7042406&amp;Result=3","7042406")</f>
        <v>0</v>
      </c>
      <c r="B4085" t="s">
        <v>1441</v>
      </c>
      <c r="C4085" t="s">
        <v>5194</v>
      </c>
      <c r="D4085" t="s">
        <v>13024</v>
      </c>
      <c r="E4085" t="s">
        <v>16745</v>
      </c>
      <c r="F4085" t="s">
        <v>22436</v>
      </c>
      <c r="G4085" t="s">
        <v>22443</v>
      </c>
      <c r="H4085" t="s">
        <v>22452</v>
      </c>
      <c r="I4085" t="s">
        <v>5194</v>
      </c>
      <c r="J4085" t="s">
        <v>25288</v>
      </c>
      <c r="K4085" t="s">
        <v>29357</v>
      </c>
      <c r="M4085" t="s">
        <v>31104</v>
      </c>
      <c r="N4085" t="s">
        <v>32524</v>
      </c>
      <c r="O4085" t="s">
        <v>32525</v>
      </c>
      <c r="P4085">
        <v>0</v>
      </c>
      <c r="Q4085">
        <v>1</v>
      </c>
      <c r="R4085" t="s">
        <v>32530</v>
      </c>
      <c r="S4085" t="s">
        <v>32568</v>
      </c>
      <c r="T4085" t="s">
        <v>33238</v>
      </c>
      <c r="U4085" t="s">
        <v>37083</v>
      </c>
      <c r="V4085" t="s">
        <v>42860</v>
      </c>
      <c r="W4085" t="s">
        <v>31104</v>
      </c>
      <c r="X4085" t="s">
        <v>32531</v>
      </c>
    </row>
    <row r="4086" spans="1:24">
      <c r="A4086">
        <f>HYPERLINK("https://www.philgeps.gov.ph/GEPSNONPILOT/Tender/SplashBidNoticeAbstractUI.aspx?menuIndex=3&amp;refID=7042412&amp;Result=3","7042412")</f>
        <v>0</v>
      </c>
      <c r="B4086" t="s">
        <v>1428</v>
      </c>
      <c r="C4086" t="s">
        <v>6583</v>
      </c>
      <c r="D4086" t="s">
        <v>13010</v>
      </c>
      <c r="E4086" t="s">
        <v>16746</v>
      </c>
      <c r="F4086" t="s">
        <v>22436</v>
      </c>
      <c r="G4086" t="s">
        <v>22443</v>
      </c>
      <c r="H4086" t="s">
        <v>22452</v>
      </c>
      <c r="I4086" t="s">
        <v>22463</v>
      </c>
      <c r="J4086" t="s">
        <v>25289</v>
      </c>
      <c r="K4086" t="s">
        <v>29357</v>
      </c>
      <c r="M4086" t="s">
        <v>31090</v>
      </c>
      <c r="N4086" t="s">
        <v>32524</v>
      </c>
      <c r="O4086" t="s">
        <v>32525</v>
      </c>
      <c r="P4086">
        <v>0</v>
      </c>
      <c r="Q4086">
        <v>3</v>
      </c>
      <c r="R4086" t="s">
        <v>32530</v>
      </c>
      <c r="S4086" t="s">
        <v>32568</v>
      </c>
      <c r="T4086" t="s">
        <v>33371</v>
      </c>
      <c r="U4086" t="s">
        <v>37036</v>
      </c>
      <c r="W4086" t="s">
        <v>31090</v>
      </c>
      <c r="X4086" t="s">
        <v>32531</v>
      </c>
    </row>
    <row r="4087" spans="1:24">
      <c r="A4087">
        <f>HYPERLINK("https://www.philgeps.gov.ph/GEPSNONPILOT/Tender/SplashBidNoticeAbstractUI.aspx?menuIndex=3&amp;refID=7042375&amp;Result=3","7042375")</f>
        <v>0</v>
      </c>
      <c r="B4087" t="s">
        <v>1378</v>
      </c>
      <c r="C4087" t="s">
        <v>6584</v>
      </c>
      <c r="D4087" t="s">
        <v>12988</v>
      </c>
      <c r="E4087" t="s">
        <v>16747</v>
      </c>
      <c r="F4087" t="s">
        <v>22436</v>
      </c>
      <c r="G4087" t="s">
        <v>22446</v>
      </c>
      <c r="H4087" t="s">
        <v>22453</v>
      </c>
      <c r="I4087" t="s">
        <v>22519</v>
      </c>
      <c r="J4087" t="s">
        <v>25180</v>
      </c>
      <c r="K4087" t="s">
        <v>29341</v>
      </c>
      <c r="M4087" t="s">
        <v>31034</v>
      </c>
      <c r="N4087" t="s">
        <v>32524</v>
      </c>
      <c r="O4087" t="s">
        <v>32525</v>
      </c>
      <c r="P4087">
        <v>0</v>
      </c>
      <c r="Q4087">
        <v>0</v>
      </c>
      <c r="R4087" t="s">
        <v>32530</v>
      </c>
      <c r="S4087" t="s">
        <v>32568</v>
      </c>
      <c r="T4087" t="s">
        <v>33419</v>
      </c>
      <c r="U4087" t="s">
        <v>37084</v>
      </c>
      <c r="W4087" t="s">
        <v>31034</v>
      </c>
      <c r="X4087" t="s">
        <v>32531</v>
      </c>
    </row>
    <row r="4088" spans="1:24">
      <c r="A4088">
        <f>HYPERLINK("https://www.philgeps.gov.ph/GEPSNONPILOT/Tender/SplashBidNoticeAbstractUI.aspx?menuIndex=3&amp;refID=7042414&amp;Result=3","7042414")</f>
        <v>0</v>
      </c>
      <c r="B4088" t="s">
        <v>1413</v>
      </c>
      <c r="C4088" t="s">
        <v>6585</v>
      </c>
      <c r="D4088" t="s">
        <v>12988</v>
      </c>
      <c r="E4088" t="s">
        <v>16748</v>
      </c>
      <c r="F4088" t="s">
        <v>22436</v>
      </c>
      <c r="G4088" t="s">
        <v>22443</v>
      </c>
      <c r="H4088" t="s">
        <v>22453</v>
      </c>
      <c r="I4088" t="s">
        <v>22466</v>
      </c>
      <c r="J4088" t="s">
        <v>23226</v>
      </c>
      <c r="K4088" t="s">
        <v>29335</v>
      </c>
      <c r="M4088" t="s">
        <v>31074</v>
      </c>
      <c r="N4088" t="s">
        <v>32524</v>
      </c>
      <c r="O4088" t="s">
        <v>32525</v>
      </c>
      <c r="P4088">
        <v>0</v>
      </c>
      <c r="Q4088">
        <v>18</v>
      </c>
      <c r="R4088" t="s">
        <v>32530</v>
      </c>
      <c r="S4088" t="s">
        <v>32568</v>
      </c>
      <c r="T4088" t="s">
        <v>33304</v>
      </c>
      <c r="U4088" t="s">
        <v>37085</v>
      </c>
      <c r="W4088" t="s">
        <v>31074</v>
      </c>
      <c r="X4088" t="s">
        <v>32531</v>
      </c>
    </row>
    <row r="4089" spans="1:24">
      <c r="A4089">
        <f>HYPERLINK("https://www.philgeps.gov.ph/GEPSNONPILOT/Tender/SplashBidNoticeAbstractUI.aspx?menuIndex=3&amp;refID=7042405&amp;Result=3","7042405")</f>
        <v>0</v>
      </c>
      <c r="B4089" t="s">
        <v>1442</v>
      </c>
      <c r="C4089" t="s">
        <v>6586</v>
      </c>
      <c r="D4089" t="s">
        <v>13038</v>
      </c>
      <c r="E4089" t="s">
        <v>6586</v>
      </c>
      <c r="F4089" t="s">
        <v>22436</v>
      </c>
      <c r="G4089" t="s">
        <v>22443</v>
      </c>
      <c r="H4089" t="s">
        <v>22452</v>
      </c>
      <c r="I4089" t="s">
        <v>3381</v>
      </c>
      <c r="J4089" t="s">
        <v>22704</v>
      </c>
      <c r="K4089" t="s">
        <v>29335</v>
      </c>
      <c r="M4089" t="s">
        <v>31105</v>
      </c>
      <c r="N4089" t="s">
        <v>32524</v>
      </c>
      <c r="O4089" t="s">
        <v>32525</v>
      </c>
      <c r="P4089">
        <v>0</v>
      </c>
      <c r="Q4089">
        <v>1</v>
      </c>
      <c r="R4089" t="s">
        <v>32530</v>
      </c>
      <c r="S4089" t="s">
        <v>32568</v>
      </c>
      <c r="T4089" t="s">
        <v>33372</v>
      </c>
      <c r="U4089" t="s">
        <v>37086</v>
      </c>
      <c r="V4089" t="s">
        <v>42861</v>
      </c>
      <c r="W4089" t="s">
        <v>31105</v>
      </c>
      <c r="X4089" t="s">
        <v>32531</v>
      </c>
    </row>
    <row r="4090" spans="1:24">
      <c r="A4090">
        <f>HYPERLINK("https://www.philgeps.gov.ph/GEPSNONPILOT/Tender/SplashBidNoticeAbstractUI.aspx?menuIndex=3&amp;refID=7042404&amp;Result=3","7042404")</f>
        <v>0</v>
      </c>
      <c r="B4090" t="s">
        <v>1443</v>
      </c>
      <c r="C4090" t="s">
        <v>6587</v>
      </c>
      <c r="D4090" t="s">
        <v>13022</v>
      </c>
      <c r="E4090" t="s">
        <v>13165</v>
      </c>
      <c r="F4090" t="s">
        <v>22436</v>
      </c>
      <c r="G4090" t="s">
        <v>22443</v>
      </c>
      <c r="H4090" t="s">
        <v>22453</v>
      </c>
      <c r="I4090" t="s">
        <v>22495</v>
      </c>
      <c r="J4090" t="s">
        <v>22588</v>
      </c>
      <c r="K4090" t="s">
        <v>29333</v>
      </c>
      <c r="M4090" t="s">
        <v>31106</v>
      </c>
      <c r="N4090" t="s">
        <v>32524</v>
      </c>
      <c r="O4090" t="s">
        <v>32525</v>
      </c>
      <c r="P4090">
        <v>0</v>
      </c>
      <c r="Q4090">
        <v>3</v>
      </c>
      <c r="R4090" t="s">
        <v>32530</v>
      </c>
      <c r="S4090" t="s">
        <v>32568</v>
      </c>
      <c r="T4090" t="s">
        <v>33270</v>
      </c>
      <c r="U4090" t="s">
        <v>37087</v>
      </c>
      <c r="V4090" t="s">
        <v>42862</v>
      </c>
      <c r="W4090" t="s">
        <v>31106</v>
      </c>
      <c r="X4090" t="s">
        <v>32531</v>
      </c>
    </row>
    <row r="4091" spans="1:24">
      <c r="A4091">
        <f>HYPERLINK("https://www.philgeps.gov.ph/GEPSNONPILOT/Tender/SplashBidNoticeAbstractUI.aspx?menuIndex=3&amp;refID=7042401&amp;Result=3","7042401")</f>
        <v>0</v>
      </c>
      <c r="B4091" t="s">
        <v>1439</v>
      </c>
      <c r="C4091" t="s">
        <v>6588</v>
      </c>
      <c r="E4091" t="s">
        <v>16749</v>
      </c>
      <c r="F4091" t="s">
        <v>22436</v>
      </c>
      <c r="G4091" t="s">
        <v>22444</v>
      </c>
      <c r="H4091" t="s">
        <v>22454</v>
      </c>
      <c r="I4091" t="s">
        <v>7738</v>
      </c>
      <c r="J4091" t="s">
        <v>25290</v>
      </c>
      <c r="K4091" t="s">
        <v>29338</v>
      </c>
      <c r="M4091" t="s">
        <v>31102</v>
      </c>
      <c r="N4091" t="s">
        <v>32524</v>
      </c>
      <c r="O4091" t="s">
        <v>32525</v>
      </c>
      <c r="P4091">
        <v>0</v>
      </c>
      <c r="Q4091">
        <v>16</v>
      </c>
      <c r="R4091" t="s">
        <v>32530</v>
      </c>
      <c r="S4091" t="s">
        <v>32568</v>
      </c>
      <c r="T4091" t="s">
        <v>33345</v>
      </c>
      <c r="U4091" t="s">
        <v>37080</v>
      </c>
      <c r="W4091" t="s">
        <v>43719</v>
      </c>
      <c r="X4091" t="s">
        <v>32531</v>
      </c>
    </row>
    <row r="4092" spans="1:24">
      <c r="A4092">
        <f>HYPERLINK("https://www.philgeps.gov.ph/GEPSNONPILOT/Tender/SplashBidNoticeAbstractUI.aspx?menuIndex=3&amp;refID=7042392&amp;Result=3","7042392")</f>
        <v>0</v>
      </c>
      <c r="B4092" t="s">
        <v>525</v>
      </c>
      <c r="C4092" t="s">
        <v>6589</v>
      </c>
      <c r="D4092" t="s">
        <v>13038</v>
      </c>
      <c r="E4092" t="s">
        <v>16750</v>
      </c>
      <c r="F4092" t="s">
        <v>22436</v>
      </c>
      <c r="G4092" t="s">
        <v>22447</v>
      </c>
      <c r="H4092" t="s">
        <v>22452</v>
      </c>
      <c r="I4092" t="s">
        <v>6421</v>
      </c>
      <c r="J4092" t="s">
        <v>25291</v>
      </c>
      <c r="K4092" t="s">
        <v>29335</v>
      </c>
      <c r="M4092" t="s">
        <v>31107</v>
      </c>
      <c r="N4092" t="s">
        <v>32524</v>
      </c>
      <c r="O4092" t="s">
        <v>32525</v>
      </c>
      <c r="P4092">
        <v>0</v>
      </c>
      <c r="Q4092">
        <v>2</v>
      </c>
      <c r="R4092" t="s">
        <v>32530</v>
      </c>
      <c r="S4092" t="s">
        <v>32568</v>
      </c>
      <c r="T4092" t="s">
        <v>33185</v>
      </c>
      <c r="U4092" t="s">
        <v>37088</v>
      </c>
      <c r="W4092" t="s">
        <v>31107</v>
      </c>
      <c r="X4092" t="s">
        <v>32531</v>
      </c>
    </row>
    <row r="4093" spans="1:24">
      <c r="A4093">
        <f>HYPERLINK("https://www.philgeps.gov.ph/GEPSNONPILOT/Tender/SplashBidNoticeAbstractUI.aspx?menuIndex=3&amp;refID=7042424&amp;Result=3","7042424")</f>
        <v>0</v>
      </c>
      <c r="B4093" t="s">
        <v>1439</v>
      </c>
      <c r="C4093" t="s">
        <v>6590</v>
      </c>
      <c r="E4093" t="s">
        <v>16751</v>
      </c>
      <c r="F4093" t="s">
        <v>22436</v>
      </c>
      <c r="G4093" t="s">
        <v>22444</v>
      </c>
      <c r="H4093" t="s">
        <v>22454</v>
      </c>
      <c r="I4093" t="s">
        <v>7738</v>
      </c>
      <c r="J4093" t="s">
        <v>25292</v>
      </c>
      <c r="K4093" t="s">
        <v>29338</v>
      </c>
      <c r="M4093" t="s">
        <v>31102</v>
      </c>
      <c r="N4093" t="s">
        <v>32524</v>
      </c>
      <c r="O4093" t="s">
        <v>32525</v>
      </c>
      <c r="P4093">
        <v>0</v>
      </c>
      <c r="Q4093">
        <v>16</v>
      </c>
      <c r="R4093" t="s">
        <v>32530</v>
      </c>
      <c r="S4093" t="s">
        <v>32568</v>
      </c>
      <c r="T4093" t="s">
        <v>33345</v>
      </c>
      <c r="U4093" t="s">
        <v>37080</v>
      </c>
      <c r="W4093" t="s">
        <v>43719</v>
      </c>
      <c r="X4093" t="s">
        <v>32531</v>
      </c>
    </row>
    <row r="4094" spans="1:24">
      <c r="A4094">
        <f>HYPERLINK("https://www.philgeps.gov.ph/GEPSNONPILOT/Tender/SplashBidNoticeAbstractUI.aspx?menuIndex=3&amp;refID=7042417&amp;Result=3","7042417")</f>
        <v>0</v>
      </c>
      <c r="B4094" t="s">
        <v>1436</v>
      </c>
      <c r="C4094" t="s">
        <v>6591</v>
      </c>
      <c r="D4094" t="s">
        <v>13004</v>
      </c>
      <c r="E4094" t="s">
        <v>16752</v>
      </c>
      <c r="F4094" t="s">
        <v>22436</v>
      </c>
      <c r="G4094" t="s">
        <v>22444</v>
      </c>
      <c r="H4094" t="s">
        <v>22452</v>
      </c>
      <c r="I4094" t="s">
        <v>22484</v>
      </c>
      <c r="J4094" t="s">
        <v>25293</v>
      </c>
      <c r="K4094" t="s">
        <v>29333</v>
      </c>
      <c r="M4094" t="s">
        <v>31099</v>
      </c>
      <c r="N4094" t="s">
        <v>32524</v>
      </c>
      <c r="O4094" t="s">
        <v>32525</v>
      </c>
      <c r="P4094">
        <v>0</v>
      </c>
      <c r="Q4094">
        <v>38</v>
      </c>
      <c r="R4094" t="s">
        <v>32530</v>
      </c>
      <c r="S4094" t="s">
        <v>32568</v>
      </c>
      <c r="T4094" t="s">
        <v>33440</v>
      </c>
      <c r="U4094" t="s">
        <v>37089</v>
      </c>
      <c r="V4094" t="s">
        <v>42428</v>
      </c>
      <c r="W4094" t="s">
        <v>31099</v>
      </c>
      <c r="X4094" t="s">
        <v>32531</v>
      </c>
    </row>
    <row r="4095" spans="1:24">
      <c r="A4095">
        <f>HYPERLINK("https://www.philgeps.gov.ph/GEPSNONPILOT/Tender/SplashBidNoticeAbstractUI.aspx?menuIndex=3&amp;refID=7042400&amp;Result=3","7042400")</f>
        <v>0</v>
      </c>
      <c r="B4095" t="s">
        <v>477</v>
      </c>
      <c r="C4095" t="s">
        <v>6570</v>
      </c>
      <c r="D4095" t="s">
        <v>13016</v>
      </c>
      <c r="E4095" t="s">
        <v>16753</v>
      </c>
      <c r="F4095" t="s">
        <v>22436</v>
      </c>
      <c r="G4095" t="s">
        <v>22443</v>
      </c>
      <c r="H4095" t="s">
        <v>22452</v>
      </c>
      <c r="I4095" t="s">
        <v>22462</v>
      </c>
      <c r="J4095" t="s">
        <v>25294</v>
      </c>
      <c r="K4095" t="s">
        <v>29338</v>
      </c>
      <c r="M4095" t="s">
        <v>30061</v>
      </c>
      <c r="N4095" t="s">
        <v>32524</v>
      </c>
      <c r="O4095" t="s">
        <v>32525</v>
      </c>
      <c r="P4095">
        <v>0</v>
      </c>
      <c r="Q4095">
        <v>1</v>
      </c>
      <c r="R4095" t="s">
        <v>32530</v>
      </c>
      <c r="S4095" t="s">
        <v>32568</v>
      </c>
      <c r="T4095" t="s">
        <v>33351</v>
      </c>
      <c r="U4095" t="s">
        <v>37090</v>
      </c>
      <c r="W4095" t="s">
        <v>30061</v>
      </c>
      <c r="X4095" t="s">
        <v>32531</v>
      </c>
    </row>
    <row r="4096" spans="1:24">
      <c r="A4096">
        <f>HYPERLINK("https://www.philgeps.gov.ph/GEPSNONPILOT/Tender/SplashBidNoticeAbstractUI.aspx?menuIndex=3&amp;refID=7042418&amp;Result=3","7042418")</f>
        <v>0</v>
      </c>
      <c r="B4096" t="s">
        <v>1378</v>
      </c>
      <c r="C4096" t="s">
        <v>6393</v>
      </c>
      <c r="D4096" t="s">
        <v>12988</v>
      </c>
      <c r="E4096" t="s">
        <v>16754</v>
      </c>
      <c r="F4096" t="s">
        <v>22436</v>
      </c>
      <c r="G4096" t="s">
        <v>22446</v>
      </c>
      <c r="H4096" t="s">
        <v>22453</v>
      </c>
      <c r="I4096" t="s">
        <v>22519</v>
      </c>
      <c r="J4096" t="s">
        <v>25180</v>
      </c>
      <c r="K4096" t="s">
        <v>29341</v>
      </c>
      <c r="M4096" t="s">
        <v>31034</v>
      </c>
      <c r="N4096" t="s">
        <v>32524</v>
      </c>
      <c r="O4096" t="s">
        <v>32525</v>
      </c>
      <c r="P4096">
        <v>0</v>
      </c>
      <c r="Q4096">
        <v>1</v>
      </c>
      <c r="R4096" t="s">
        <v>32530</v>
      </c>
      <c r="S4096" t="s">
        <v>32568</v>
      </c>
      <c r="T4096" t="s">
        <v>33419</v>
      </c>
      <c r="U4096" t="s">
        <v>37091</v>
      </c>
      <c r="W4096" t="s">
        <v>31034</v>
      </c>
      <c r="X4096" t="s">
        <v>32531</v>
      </c>
    </row>
    <row r="4097" spans="1:24">
      <c r="A4097">
        <f>HYPERLINK("https://www.philgeps.gov.ph/GEPSNONPILOT/Tender/SplashBidNoticeAbstractUI.aspx?menuIndex=3&amp;refID=7042428&amp;Result=3","7042428")</f>
        <v>0</v>
      </c>
      <c r="B4097" t="s">
        <v>525</v>
      </c>
      <c r="C4097" t="s">
        <v>6592</v>
      </c>
      <c r="D4097" t="s">
        <v>13038</v>
      </c>
      <c r="E4097" t="s">
        <v>6592</v>
      </c>
      <c r="F4097" t="s">
        <v>22436</v>
      </c>
      <c r="G4097" t="s">
        <v>22447</v>
      </c>
      <c r="H4097" t="s">
        <v>22452</v>
      </c>
      <c r="I4097" t="s">
        <v>22495</v>
      </c>
      <c r="J4097" t="s">
        <v>25295</v>
      </c>
      <c r="K4097" t="s">
        <v>29335</v>
      </c>
      <c r="M4097" t="s">
        <v>31107</v>
      </c>
      <c r="N4097" t="s">
        <v>32524</v>
      </c>
      <c r="O4097" t="s">
        <v>32525</v>
      </c>
      <c r="P4097">
        <v>0</v>
      </c>
      <c r="Q4097">
        <v>0</v>
      </c>
      <c r="R4097" t="s">
        <v>32530</v>
      </c>
      <c r="S4097" t="s">
        <v>32568</v>
      </c>
      <c r="T4097" t="s">
        <v>33270</v>
      </c>
      <c r="U4097" t="s">
        <v>37092</v>
      </c>
      <c r="W4097" t="s">
        <v>31107</v>
      </c>
      <c r="X4097" t="s">
        <v>32531</v>
      </c>
    </row>
    <row r="4098" spans="1:24">
      <c r="A4098">
        <f>HYPERLINK("https://www.philgeps.gov.ph/GEPSNONPILOT/Tender/SplashBidNoticeAbstractUI.aspx?menuIndex=3&amp;refID=7042423&amp;Result=3","7042423")</f>
        <v>0</v>
      </c>
      <c r="B4098" t="s">
        <v>183</v>
      </c>
      <c r="C4098" t="s">
        <v>6593</v>
      </c>
      <c r="D4098" t="s">
        <v>12988</v>
      </c>
      <c r="E4098" t="s">
        <v>16755</v>
      </c>
      <c r="F4098" t="s">
        <v>22436</v>
      </c>
      <c r="G4098" t="s">
        <v>22444</v>
      </c>
      <c r="H4098" t="s">
        <v>22452</v>
      </c>
      <c r="I4098" t="s">
        <v>22563</v>
      </c>
      <c r="J4098" t="s">
        <v>25296</v>
      </c>
      <c r="K4098" t="s">
        <v>29329</v>
      </c>
      <c r="M4098" t="s">
        <v>31088</v>
      </c>
      <c r="N4098" t="s">
        <v>32524</v>
      </c>
      <c r="O4098" t="s">
        <v>32525</v>
      </c>
      <c r="P4098">
        <v>0</v>
      </c>
      <c r="Q4098">
        <v>6</v>
      </c>
      <c r="R4098" t="s">
        <v>32530</v>
      </c>
      <c r="S4098" t="s">
        <v>32568</v>
      </c>
      <c r="T4098" t="s">
        <v>33441</v>
      </c>
      <c r="U4098" t="s">
        <v>37093</v>
      </c>
      <c r="W4098" t="s">
        <v>31088</v>
      </c>
      <c r="X4098" t="s">
        <v>32531</v>
      </c>
    </row>
    <row r="4099" spans="1:24">
      <c r="A4099">
        <f>HYPERLINK("https://www.philgeps.gov.ph/GEPSNONPILOT/Tender/SplashBidNoticeAbstractUI.aspx?menuIndex=3&amp;refID=7042438&amp;Result=3","7042438")</f>
        <v>0</v>
      </c>
      <c r="B4099" t="s">
        <v>477</v>
      </c>
      <c r="C4099" t="s">
        <v>6594</v>
      </c>
      <c r="D4099" t="s">
        <v>13016</v>
      </c>
      <c r="E4099" t="s">
        <v>16756</v>
      </c>
      <c r="F4099" t="s">
        <v>22436</v>
      </c>
      <c r="G4099" t="s">
        <v>22443</v>
      </c>
      <c r="H4099" t="s">
        <v>22452</v>
      </c>
      <c r="I4099" t="s">
        <v>12358</v>
      </c>
      <c r="J4099" t="s">
        <v>24222</v>
      </c>
      <c r="K4099" t="s">
        <v>29338</v>
      </c>
      <c r="M4099" t="s">
        <v>30061</v>
      </c>
      <c r="N4099" t="s">
        <v>32524</v>
      </c>
      <c r="O4099" t="s">
        <v>32525</v>
      </c>
      <c r="P4099">
        <v>0</v>
      </c>
      <c r="Q4099">
        <v>0</v>
      </c>
      <c r="R4099" t="s">
        <v>32530</v>
      </c>
      <c r="S4099" t="s">
        <v>32568</v>
      </c>
      <c r="T4099" t="s">
        <v>33351</v>
      </c>
      <c r="U4099" t="s">
        <v>37094</v>
      </c>
      <c r="W4099" t="s">
        <v>30061</v>
      </c>
      <c r="X4099" t="s">
        <v>32531</v>
      </c>
    </row>
    <row r="4100" spans="1:24">
      <c r="A4100">
        <f>HYPERLINK("https://www.philgeps.gov.ph/GEPSNONPILOT/Tender/SplashBidNoticeAbstractUI.aspx?menuIndex=3&amp;refID=7042457&amp;Result=3","7042457")</f>
        <v>0</v>
      </c>
      <c r="B4100" t="s">
        <v>311</v>
      </c>
      <c r="C4100" t="s">
        <v>6595</v>
      </c>
      <c r="D4100" t="s">
        <v>13035</v>
      </c>
      <c r="E4100" t="s">
        <v>16757</v>
      </c>
      <c r="F4100" t="s">
        <v>22436</v>
      </c>
      <c r="G4100" t="s">
        <v>22444</v>
      </c>
      <c r="H4100" t="s">
        <v>22452</v>
      </c>
      <c r="I4100" t="s">
        <v>22467</v>
      </c>
      <c r="J4100" t="s">
        <v>25297</v>
      </c>
      <c r="K4100" t="s">
        <v>29338</v>
      </c>
      <c r="M4100" t="s">
        <v>29886</v>
      </c>
      <c r="N4100" t="s">
        <v>32524</v>
      </c>
      <c r="O4100" t="s">
        <v>32525</v>
      </c>
      <c r="P4100">
        <v>0</v>
      </c>
      <c r="Q4100">
        <v>0</v>
      </c>
      <c r="R4100" t="s">
        <v>32530</v>
      </c>
      <c r="S4100" t="s">
        <v>32568</v>
      </c>
      <c r="T4100" t="s">
        <v>33180</v>
      </c>
      <c r="U4100" t="s">
        <v>37095</v>
      </c>
      <c r="W4100" t="s">
        <v>29886</v>
      </c>
      <c r="X4100" t="s">
        <v>32531</v>
      </c>
    </row>
    <row r="4101" spans="1:24">
      <c r="A4101">
        <f>HYPERLINK("https://www.philgeps.gov.ph/GEPSNONPILOT/Tender/SplashBidNoticeAbstractUI.aspx?menuIndex=3&amp;refID=7042432&amp;Result=3","7042432")</f>
        <v>0</v>
      </c>
      <c r="B4101" t="s">
        <v>1444</v>
      </c>
      <c r="C4101" t="s">
        <v>6596</v>
      </c>
      <c r="D4101" t="s">
        <v>12988</v>
      </c>
      <c r="E4101" t="s">
        <v>16758</v>
      </c>
      <c r="F4101" t="s">
        <v>22436</v>
      </c>
      <c r="G4101" t="s">
        <v>22443</v>
      </c>
      <c r="H4101" t="s">
        <v>22452</v>
      </c>
      <c r="I4101" t="s">
        <v>22486</v>
      </c>
      <c r="J4101" t="s">
        <v>22640</v>
      </c>
      <c r="K4101" t="s">
        <v>29338</v>
      </c>
      <c r="M4101" t="s">
        <v>31108</v>
      </c>
      <c r="N4101" t="s">
        <v>32524</v>
      </c>
      <c r="O4101" t="s">
        <v>32525</v>
      </c>
      <c r="P4101">
        <v>0</v>
      </c>
      <c r="Q4101">
        <v>0</v>
      </c>
      <c r="R4101" t="s">
        <v>32530</v>
      </c>
      <c r="S4101" t="s">
        <v>32568</v>
      </c>
      <c r="T4101" t="s">
        <v>33169</v>
      </c>
      <c r="U4101" t="s">
        <v>37096</v>
      </c>
      <c r="W4101" t="s">
        <v>31108</v>
      </c>
      <c r="X4101" t="s">
        <v>32531</v>
      </c>
    </row>
    <row r="4102" spans="1:24">
      <c r="A4102">
        <f>HYPERLINK("https://www.philgeps.gov.ph/GEPSNONPILOT/Tender/SplashBidNoticeAbstractUI.aspx?menuIndex=3&amp;refID=7042448&amp;Result=3","7042448")</f>
        <v>0</v>
      </c>
      <c r="B4102" t="s">
        <v>1445</v>
      </c>
      <c r="C4102" t="s">
        <v>6597</v>
      </c>
      <c r="D4102" t="s">
        <v>13016</v>
      </c>
      <c r="E4102" t="s">
        <v>16759</v>
      </c>
      <c r="F4102" t="s">
        <v>22436</v>
      </c>
      <c r="G4102" t="s">
        <v>22445</v>
      </c>
      <c r="H4102" t="s">
        <v>22452</v>
      </c>
      <c r="I4102" t="s">
        <v>3827</v>
      </c>
      <c r="J4102" t="s">
        <v>23418</v>
      </c>
      <c r="K4102" t="s">
        <v>29356</v>
      </c>
      <c r="M4102" t="s">
        <v>31109</v>
      </c>
      <c r="N4102" t="s">
        <v>32524</v>
      </c>
      <c r="O4102" t="s">
        <v>32525</v>
      </c>
      <c r="P4102">
        <v>0</v>
      </c>
      <c r="Q4102">
        <v>0</v>
      </c>
      <c r="R4102" t="s">
        <v>32530</v>
      </c>
      <c r="S4102" t="s">
        <v>32568</v>
      </c>
      <c r="T4102" t="s">
        <v>33169</v>
      </c>
      <c r="U4102" t="s">
        <v>37097</v>
      </c>
      <c r="W4102" t="s">
        <v>31109</v>
      </c>
      <c r="X4102" t="s">
        <v>32531</v>
      </c>
    </row>
    <row r="4103" spans="1:24">
      <c r="A4103">
        <f>HYPERLINK("https://www.philgeps.gov.ph/GEPSNONPILOT/Tender/SplashBidNoticeAbstractUI.aspx?menuIndex=3&amp;refID=7042452&amp;Result=3","7042452")</f>
        <v>0</v>
      </c>
      <c r="B4103" t="s">
        <v>1428</v>
      </c>
      <c r="C4103" t="s">
        <v>6598</v>
      </c>
      <c r="D4103" t="s">
        <v>13010</v>
      </c>
      <c r="E4103" t="s">
        <v>16760</v>
      </c>
      <c r="F4103" t="s">
        <v>22436</v>
      </c>
      <c r="G4103" t="s">
        <v>22443</v>
      </c>
      <c r="H4103" t="s">
        <v>22452</v>
      </c>
      <c r="I4103" t="s">
        <v>22467</v>
      </c>
      <c r="J4103" t="s">
        <v>25298</v>
      </c>
      <c r="K4103" t="s">
        <v>29357</v>
      </c>
      <c r="M4103" t="s">
        <v>31090</v>
      </c>
      <c r="N4103" t="s">
        <v>32524</v>
      </c>
      <c r="O4103" t="s">
        <v>32525</v>
      </c>
      <c r="P4103">
        <v>0</v>
      </c>
      <c r="Q4103">
        <v>0</v>
      </c>
      <c r="R4103" t="s">
        <v>32530</v>
      </c>
      <c r="S4103" t="s">
        <v>32568</v>
      </c>
      <c r="T4103" t="s">
        <v>33371</v>
      </c>
      <c r="U4103" t="s">
        <v>37036</v>
      </c>
      <c r="W4103" t="s">
        <v>31090</v>
      </c>
      <c r="X4103" t="s">
        <v>32531</v>
      </c>
    </row>
    <row r="4104" spans="1:24">
      <c r="A4104">
        <f>HYPERLINK("https://www.philgeps.gov.ph/GEPSNONPILOT/Tender/SplashBidNoticeAbstractUI.aspx?menuIndex=3&amp;refID=7042451&amp;Result=3","7042451")</f>
        <v>0</v>
      </c>
      <c r="B4104" t="s">
        <v>265</v>
      </c>
      <c r="C4104" t="s">
        <v>6599</v>
      </c>
      <c r="D4104" t="s">
        <v>13024</v>
      </c>
      <c r="E4104" t="s">
        <v>16761</v>
      </c>
      <c r="F4104" t="s">
        <v>22437</v>
      </c>
      <c r="G4104" t="s">
        <v>22444</v>
      </c>
      <c r="H4104" t="s">
        <v>22453</v>
      </c>
      <c r="I4104" t="s">
        <v>22517</v>
      </c>
      <c r="J4104" t="s">
        <v>25299</v>
      </c>
      <c r="K4104" t="s">
        <v>29333</v>
      </c>
      <c r="M4104" t="s">
        <v>29839</v>
      </c>
      <c r="N4104" t="s">
        <v>32524</v>
      </c>
      <c r="O4104" t="s">
        <v>32525</v>
      </c>
      <c r="Q4104">
        <v>9</v>
      </c>
      <c r="R4104" t="s">
        <v>32530</v>
      </c>
      <c r="S4104" t="s">
        <v>32575</v>
      </c>
      <c r="T4104" t="s">
        <v>33409</v>
      </c>
      <c r="U4104" t="s">
        <v>37098</v>
      </c>
      <c r="W4104" t="s">
        <v>29839</v>
      </c>
      <c r="X4104" t="s">
        <v>32531</v>
      </c>
    </row>
    <row r="4105" spans="1:24">
      <c r="A4105">
        <f>HYPERLINK("https://www.philgeps.gov.ph/GEPSNONPILOT/Tender/SplashBidNoticeAbstractUI.aspx?menuIndex=3&amp;refID=7042434&amp;Result=3","7042434")</f>
        <v>0</v>
      </c>
      <c r="B4105" t="s">
        <v>1428</v>
      </c>
      <c r="C4105" t="s">
        <v>6600</v>
      </c>
      <c r="D4105" t="s">
        <v>13010</v>
      </c>
      <c r="E4105" t="s">
        <v>16762</v>
      </c>
      <c r="F4105" t="s">
        <v>22436</v>
      </c>
      <c r="G4105" t="s">
        <v>22443</v>
      </c>
      <c r="H4105" t="s">
        <v>22452</v>
      </c>
      <c r="I4105" t="s">
        <v>3027</v>
      </c>
      <c r="J4105" t="s">
        <v>22758</v>
      </c>
      <c r="K4105" t="s">
        <v>29357</v>
      </c>
      <c r="M4105" t="s">
        <v>31090</v>
      </c>
      <c r="N4105" t="s">
        <v>32524</v>
      </c>
      <c r="O4105" t="s">
        <v>32525</v>
      </c>
      <c r="P4105">
        <v>0</v>
      </c>
      <c r="Q4105">
        <v>0</v>
      </c>
      <c r="R4105" t="s">
        <v>32530</v>
      </c>
      <c r="S4105" t="s">
        <v>32568</v>
      </c>
      <c r="T4105" t="s">
        <v>33371</v>
      </c>
      <c r="U4105" t="s">
        <v>37036</v>
      </c>
      <c r="W4105" t="s">
        <v>31090</v>
      </c>
      <c r="X4105" t="s">
        <v>32531</v>
      </c>
    </row>
    <row r="4106" spans="1:24">
      <c r="A4106">
        <f>HYPERLINK("https://www.philgeps.gov.ph/GEPSNONPILOT/Tender/SplashBidNoticeAbstractUI.aspx?menuIndex=3&amp;refID=7042461&amp;Result=3","7042461")</f>
        <v>0</v>
      </c>
      <c r="B4106" t="s">
        <v>106</v>
      </c>
      <c r="C4106" t="s">
        <v>6601</v>
      </c>
      <c r="D4106" t="s">
        <v>13000</v>
      </c>
      <c r="E4106" t="s">
        <v>16763</v>
      </c>
      <c r="F4106" t="s">
        <v>22436</v>
      </c>
      <c r="G4106" t="s">
        <v>22444</v>
      </c>
      <c r="H4106" t="s">
        <v>22454</v>
      </c>
      <c r="I4106" t="s">
        <v>7738</v>
      </c>
      <c r="J4106" t="s">
        <v>25300</v>
      </c>
      <c r="K4106" t="s">
        <v>29333</v>
      </c>
      <c r="M4106" t="s">
        <v>29678</v>
      </c>
      <c r="N4106" t="s">
        <v>32524</v>
      </c>
      <c r="O4106" t="s">
        <v>32525</v>
      </c>
      <c r="P4106">
        <v>0</v>
      </c>
      <c r="Q4106">
        <v>0</v>
      </c>
      <c r="R4106" t="s">
        <v>32530</v>
      </c>
      <c r="S4106" t="s">
        <v>32568</v>
      </c>
      <c r="T4106" t="s">
        <v>33197</v>
      </c>
      <c r="U4106" t="s">
        <v>37099</v>
      </c>
      <c r="V4106" t="s">
        <v>42863</v>
      </c>
      <c r="W4106" t="s">
        <v>29678</v>
      </c>
      <c r="X4106" t="s">
        <v>32531</v>
      </c>
    </row>
    <row r="4107" spans="1:24">
      <c r="A4107">
        <f>HYPERLINK("https://www.philgeps.gov.ph/GEPSNONPILOT/Tender/SplashBidNoticeAbstractUI.aspx?menuIndex=3&amp;refID=7042429&amp;Result=3","7042429")</f>
        <v>0</v>
      </c>
      <c r="B4107" t="s">
        <v>677</v>
      </c>
      <c r="C4107" t="s">
        <v>6602</v>
      </c>
      <c r="D4107" t="s">
        <v>12999</v>
      </c>
      <c r="E4107" t="s">
        <v>16764</v>
      </c>
      <c r="F4107" t="s">
        <v>22436</v>
      </c>
      <c r="G4107" t="s">
        <v>22446</v>
      </c>
      <c r="H4107" t="s">
        <v>22452</v>
      </c>
      <c r="I4107" t="s">
        <v>22463</v>
      </c>
      <c r="J4107" t="s">
        <v>23235</v>
      </c>
      <c r="K4107" t="s">
        <v>29338</v>
      </c>
      <c r="M4107" t="s">
        <v>30271</v>
      </c>
      <c r="N4107" t="s">
        <v>32524</v>
      </c>
      <c r="O4107" t="s">
        <v>32525</v>
      </c>
      <c r="P4107">
        <v>0</v>
      </c>
      <c r="Q4107">
        <v>3</v>
      </c>
      <c r="R4107" t="s">
        <v>32530</v>
      </c>
      <c r="S4107" t="s">
        <v>32568</v>
      </c>
      <c r="T4107" t="s">
        <v>33209</v>
      </c>
      <c r="U4107" t="s">
        <v>37100</v>
      </c>
      <c r="W4107" t="s">
        <v>30271</v>
      </c>
      <c r="X4107" t="s">
        <v>32531</v>
      </c>
    </row>
    <row r="4108" spans="1:24">
      <c r="A4108">
        <f>HYPERLINK("https://www.philgeps.gov.ph/GEPSNONPILOT/Tender/SplashBidNoticeAbstractUI.aspx?menuIndex=3&amp;refID=7042450&amp;Result=3","7042450")</f>
        <v>0</v>
      </c>
      <c r="B4108" t="s">
        <v>1323</v>
      </c>
      <c r="C4108" t="s">
        <v>6573</v>
      </c>
      <c r="E4108" t="s">
        <v>16765</v>
      </c>
      <c r="F4108" t="s">
        <v>22436</v>
      </c>
      <c r="G4108" t="s">
        <v>22443</v>
      </c>
      <c r="H4108" t="s">
        <v>22452</v>
      </c>
      <c r="I4108" t="s">
        <v>22486</v>
      </c>
      <c r="J4108" t="s">
        <v>22798</v>
      </c>
      <c r="K4108" t="s">
        <v>29338</v>
      </c>
      <c r="M4108" t="s">
        <v>30978</v>
      </c>
      <c r="N4108" t="s">
        <v>32524</v>
      </c>
      <c r="O4108" t="s">
        <v>32525</v>
      </c>
      <c r="P4108">
        <v>0</v>
      </c>
      <c r="Q4108">
        <v>0</v>
      </c>
      <c r="R4108" t="s">
        <v>32530</v>
      </c>
      <c r="S4108" t="s">
        <v>32568</v>
      </c>
      <c r="T4108" t="s">
        <v>33209</v>
      </c>
      <c r="U4108" t="s">
        <v>37101</v>
      </c>
      <c r="W4108" t="s">
        <v>30978</v>
      </c>
      <c r="X4108" t="s">
        <v>32531</v>
      </c>
    </row>
    <row r="4109" spans="1:24">
      <c r="A4109">
        <f>HYPERLINK("https://www.philgeps.gov.ph/GEPSNONPILOT/Tender/SplashBidNoticeAbstractUI.aspx?menuIndex=3&amp;refID=7042439&amp;Result=3","7042439")</f>
        <v>0</v>
      </c>
      <c r="B4109" t="s">
        <v>1446</v>
      </c>
      <c r="C4109" t="s">
        <v>6603</v>
      </c>
      <c r="D4109" t="s">
        <v>13049</v>
      </c>
      <c r="E4109" t="s">
        <v>16766</v>
      </c>
      <c r="F4109" t="s">
        <v>22436</v>
      </c>
      <c r="G4109" t="s">
        <v>22444</v>
      </c>
      <c r="H4109" t="s">
        <v>22454</v>
      </c>
      <c r="I4109" t="s">
        <v>7738</v>
      </c>
      <c r="J4109" t="s">
        <v>25301</v>
      </c>
      <c r="K4109" t="s">
        <v>29413</v>
      </c>
      <c r="M4109" t="s">
        <v>31110</v>
      </c>
      <c r="N4109" t="s">
        <v>32524</v>
      </c>
      <c r="O4109" t="s">
        <v>32525</v>
      </c>
      <c r="P4109">
        <v>0</v>
      </c>
      <c r="Q4109">
        <v>0</v>
      </c>
      <c r="R4109" t="s">
        <v>32530</v>
      </c>
      <c r="S4109" t="s">
        <v>32568</v>
      </c>
      <c r="T4109" t="s">
        <v>33212</v>
      </c>
      <c r="U4109" t="s">
        <v>37102</v>
      </c>
      <c r="V4109" t="s">
        <v>42864</v>
      </c>
      <c r="W4109" t="s">
        <v>31110</v>
      </c>
      <c r="X4109" t="s">
        <v>32531</v>
      </c>
    </row>
    <row r="4110" spans="1:24">
      <c r="A4110">
        <f>HYPERLINK("https://www.philgeps.gov.ph/GEPSNONPILOT/Tender/SplashBidNoticeAbstractUI.aspx?menuIndex=3&amp;refID=7042440&amp;Result=3","7042440")</f>
        <v>0</v>
      </c>
      <c r="B4110" t="s">
        <v>67</v>
      </c>
      <c r="C4110" t="s">
        <v>6604</v>
      </c>
      <c r="D4110" t="s">
        <v>12990</v>
      </c>
      <c r="E4110" t="s">
        <v>16767</v>
      </c>
      <c r="F4110" t="s">
        <v>22436</v>
      </c>
      <c r="G4110" t="s">
        <v>22444</v>
      </c>
      <c r="H4110" t="s">
        <v>22454</v>
      </c>
      <c r="I4110" t="s">
        <v>7738</v>
      </c>
      <c r="J4110" t="s">
        <v>25302</v>
      </c>
      <c r="K4110" t="s">
        <v>29335</v>
      </c>
      <c r="M4110" t="s">
        <v>30938</v>
      </c>
      <c r="N4110" t="s">
        <v>32524</v>
      </c>
      <c r="O4110" t="s">
        <v>32525</v>
      </c>
      <c r="P4110">
        <v>0</v>
      </c>
      <c r="Q4110">
        <v>0</v>
      </c>
      <c r="R4110" t="s">
        <v>32530</v>
      </c>
      <c r="S4110" t="s">
        <v>32568</v>
      </c>
      <c r="T4110" t="s">
        <v>33194</v>
      </c>
      <c r="U4110" t="s">
        <v>37103</v>
      </c>
      <c r="W4110" t="s">
        <v>30938</v>
      </c>
      <c r="X4110" t="s">
        <v>32531</v>
      </c>
    </row>
    <row r="4111" spans="1:24">
      <c r="A4111">
        <f>HYPERLINK("https://www.philgeps.gov.ph/GEPSNONPILOT/Tender/SplashBidNoticeAbstractUI.aspx?menuIndex=3&amp;refID=7042430&amp;Result=3","7042430")</f>
        <v>0</v>
      </c>
      <c r="B4111" t="s">
        <v>1442</v>
      </c>
      <c r="C4111" t="s">
        <v>6605</v>
      </c>
      <c r="D4111" t="s">
        <v>13038</v>
      </c>
      <c r="E4111" t="s">
        <v>6605</v>
      </c>
      <c r="F4111" t="s">
        <v>22436</v>
      </c>
      <c r="G4111" t="s">
        <v>22443</v>
      </c>
      <c r="H4111" t="s">
        <v>22452</v>
      </c>
      <c r="I4111" t="s">
        <v>3381</v>
      </c>
      <c r="J4111" t="s">
        <v>22692</v>
      </c>
      <c r="K4111" t="s">
        <v>29335</v>
      </c>
      <c r="M4111" t="s">
        <v>31105</v>
      </c>
      <c r="N4111" t="s">
        <v>32524</v>
      </c>
      <c r="O4111" t="s">
        <v>32525</v>
      </c>
      <c r="P4111">
        <v>0</v>
      </c>
      <c r="Q4111">
        <v>0</v>
      </c>
      <c r="R4111" t="s">
        <v>32530</v>
      </c>
      <c r="S4111" t="s">
        <v>32568</v>
      </c>
      <c r="T4111" t="s">
        <v>33372</v>
      </c>
      <c r="U4111" t="s">
        <v>37104</v>
      </c>
      <c r="V4111" t="s">
        <v>42865</v>
      </c>
      <c r="W4111" t="s">
        <v>31105</v>
      </c>
      <c r="X4111" t="s">
        <v>32531</v>
      </c>
    </row>
    <row r="4112" spans="1:24">
      <c r="A4112">
        <f>HYPERLINK("https://www.philgeps.gov.ph/GEPSNONPILOT/Tender/SplashBidNoticeAbstractUI.aspx?menuIndex=3&amp;refID=7042466&amp;Result=3","7042466")</f>
        <v>0</v>
      </c>
      <c r="B4112" t="s">
        <v>390</v>
      </c>
      <c r="C4112" t="s">
        <v>6606</v>
      </c>
      <c r="D4112" t="s">
        <v>13013</v>
      </c>
      <c r="E4112" t="s">
        <v>16768</v>
      </c>
      <c r="F4112" t="s">
        <v>22436</v>
      </c>
      <c r="G4112" t="s">
        <v>22444</v>
      </c>
      <c r="H4112" t="s">
        <v>22452</v>
      </c>
      <c r="I4112" t="s">
        <v>6421</v>
      </c>
      <c r="J4112" t="s">
        <v>25303</v>
      </c>
      <c r="K4112" t="s">
        <v>29341</v>
      </c>
      <c r="M4112" t="s">
        <v>29969</v>
      </c>
      <c r="N4112" t="s">
        <v>32524</v>
      </c>
      <c r="O4112" t="s">
        <v>32525</v>
      </c>
      <c r="P4112">
        <v>0</v>
      </c>
      <c r="Q4112">
        <v>2</v>
      </c>
      <c r="R4112" t="s">
        <v>32530</v>
      </c>
      <c r="S4112" t="s">
        <v>32568</v>
      </c>
      <c r="T4112" t="s">
        <v>33422</v>
      </c>
      <c r="U4112" t="s">
        <v>37105</v>
      </c>
      <c r="W4112" t="s">
        <v>29969</v>
      </c>
      <c r="X4112" t="s">
        <v>32531</v>
      </c>
    </row>
    <row r="4113" spans="1:24">
      <c r="A4113">
        <f>HYPERLINK("https://www.philgeps.gov.ph/GEPSNONPILOT/Tender/SplashBidNoticeAbstractUI.aspx?menuIndex=3&amp;refID=7042462&amp;Result=3","7042462")</f>
        <v>0</v>
      </c>
      <c r="B4113" t="s">
        <v>1410</v>
      </c>
      <c r="C4113" t="s">
        <v>6607</v>
      </c>
      <c r="E4113" t="s">
        <v>16769</v>
      </c>
      <c r="F4113" t="s">
        <v>22436</v>
      </c>
      <c r="G4113" t="s">
        <v>22443</v>
      </c>
      <c r="H4113" t="s">
        <v>22454</v>
      </c>
      <c r="I4113" t="s">
        <v>7738</v>
      </c>
      <c r="J4113" t="s">
        <v>25304</v>
      </c>
      <c r="K4113" t="s">
        <v>29338</v>
      </c>
      <c r="M4113" t="s">
        <v>31070</v>
      </c>
      <c r="N4113" t="s">
        <v>32524</v>
      </c>
      <c r="O4113" t="s">
        <v>32525</v>
      </c>
      <c r="P4113">
        <v>0</v>
      </c>
      <c r="Q4113">
        <v>2</v>
      </c>
      <c r="R4113" t="s">
        <v>32530</v>
      </c>
      <c r="S4113" t="s">
        <v>32568</v>
      </c>
      <c r="T4113" t="s">
        <v>33220</v>
      </c>
      <c r="U4113" t="s">
        <v>37106</v>
      </c>
      <c r="W4113" t="s">
        <v>31070</v>
      </c>
      <c r="X4113" t="s">
        <v>32531</v>
      </c>
    </row>
    <row r="4114" spans="1:24">
      <c r="A4114">
        <f>HYPERLINK("https://www.philgeps.gov.ph/GEPSNONPILOT/Tender/SplashBidNoticeAbstractUI.aspx?menuIndex=3&amp;refID=7042447&amp;Result=3","7042447")</f>
        <v>0</v>
      </c>
      <c r="B4114" t="s">
        <v>1355</v>
      </c>
      <c r="C4114" t="s">
        <v>6608</v>
      </c>
      <c r="D4114" t="s">
        <v>12999</v>
      </c>
      <c r="E4114" t="s">
        <v>14018</v>
      </c>
      <c r="F4114" t="s">
        <v>22436</v>
      </c>
      <c r="G4114" t="s">
        <v>22443</v>
      </c>
      <c r="H4114" t="s">
        <v>22452</v>
      </c>
      <c r="I4114" t="s">
        <v>5194</v>
      </c>
      <c r="J4114" t="s">
        <v>22657</v>
      </c>
      <c r="K4114" t="s">
        <v>29338</v>
      </c>
      <c r="M4114" t="s">
        <v>31011</v>
      </c>
      <c r="N4114" t="s">
        <v>32524</v>
      </c>
      <c r="O4114" t="s">
        <v>32525</v>
      </c>
      <c r="P4114">
        <v>0</v>
      </c>
      <c r="Q4114">
        <v>5</v>
      </c>
      <c r="R4114" t="s">
        <v>32530</v>
      </c>
      <c r="S4114" t="s">
        <v>32568</v>
      </c>
      <c r="T4114" t="s">
        <v>33372</v>
      </c>
      <c r="U4114" t="s">
        <v>37107</v>
      </c>
      <c r="W4114" t="s">
        <v>31011</v>
      </c>
      <c r="X4114" t="s">
        <v>32531</v>
      </c>
    </row>
    <row r="4115" spans="1:24">
      <c r="A4115">
        <f>HYPERLINK("https://www.philgeps.gov.ph/GEPSNONPILOT/Tender/SplashBidNoticeAbstractUI.aspx?menuIndex=3&amp;refID=7042472&amp;Result=3","7042472")</f>
        <v>0</v>
      </c>
      <c r="B4115" t="s">
        <v>1447</v>
      </c>
      <c r="C4115" t="s">
        <v>3472</v>
      </c>
      <c r="D4115" t="s">
        <v>13008</v>
      </c>
      <c r="E4115" t="s">
        <v>16770</v>
      </c>
      <c r="F4115" t="s">
        <v>22436</v>
      </c>
      <c r="G4115" t="s">
        <v>22443</v>
      </c>
      <c r="H4115" t="s">
        <v>22452</v>
      </c>
      <c r="I4115" t="s">
        <v>22460</v>
      </c>
      <c r="J4115" t="s">
        <v>22865</v>
      </c>
      <c r="K4115" t="s">
        <v>29331</v>
      </c>
      <c r="M4115" t="s">
        <v>31111</v>
      </c>
      <c r="N4115" t="s">
        <v>32524</v>
      </c>
      <c r="O4115" t="s">
        <v>32525</v>
      </c>
      <c r="P4115">
        <v>0</v>
      </c>
      <c r="Q4115">
        <v>0</v>
      </c>
      <c r="R4115" t="s">
        <v>32530</v>
      </c>
      <c r="S4115" t="s">
        <v>32568</v>
      </c>
      <c r="T4115" t="s">
        <v>33206</v>
      </c>
      <c r="U4115" t="s">
        <v>33876</v>
      </c>
      <c r="W4115" t="s">
        <v>31111</v>
      </c>
      <c r="X4115" t="s">
        <v>32531</v>
      </c>
    </row>
    <row r="4116" spans="1:24">
      <c r="A4116">
        <f>HYPERLINK("https://www.philgeps.gov.ph/GEPSNONPILOT/Tender/SplashBidNoticeAbstractUI.aspx?menuIndex=3&amp;refID=7042465&amp;Result=3","7042465")</f>
        <v>0</v>
      </c>
      <c r="B4116" t="s">
        <v>1413</v>
      </c>
      <c r="C4116" t="s">
        <v>6609</v>
      </c>
      <c r="D4116" t="s">
        <v>12988</v>
      </c>
      <c r="E4116" t="s">
        <v>16771</v>
      </c>
      <c r="F4116" t="s">
        <v>22436</v>
      </c>
      <c r="G4116" t="s">
        <v>22443</v>
      </c>
      <c r="H4116" t="s">
        <v>22452</v>
      </c>
      <c r="I4116" t="s">
        <v>22466</v>
      </c>
      <c r="J4116" t="s">
        <v>25305</v>
      </c>
      <c r="K4116" t="s">
        <v>29336</v>
      </c>
      <c r="M4116" t="s">
        <v>31074</v>
      </c>
      <c r="N4116" t="s">
        <v>32524</v>
      </c>
      <c r="O4116" t="s">
        <v>32525</v>
      </c>
      <c r="P4116">
        <v>0</v>
      </c>
      <c r="Q4116">
        <v>12</v>
      </c>
      <c r="R4116" t="s">
        <v>32530</v>
      </c>
      <c r="S4116" t="s">
        <v>32568</v>
      </c>
      <c r="T4116" t="s">
        <v>33304</v>
      </c>
      <c r="U4116" t="s">
        <v>37108</v>
      </c>
      <c r="W4116" t="s">
        <v>31074</v>
      </c>
      <c r="X4116" t="s">
        <v>32531</v>
      </c>
    </row>
    <row r="4117" spans="1:24">
      <c r="A4117">
        <f>HYPERLINK("https://www.philgeps.gov.ph/GEPSNONPILOT/Tender/SplashBidNoticeAbstractUI.aspx?menuIndex=3&amp;refID=7042468&amp;Result=3","7042468")</f>
        <v>0</v>
      </c>
      <c r="B4117" t="s">
        <v>1448</v>
      </c>
      <c r="C4117" t="s">
        <v>6610</v>
      </c>
      <c r="D4117" t="s">
        <v>12988</v>
      </c>
      <c r="E4117" t="s">
        <v>16772</v>
      </c>
      <c r="F4117" t="s">
        <v>22436</v>
      </c>
      <c r="G4117" t="s">
        <v>22446</v>
      </c>
      <c r="H4117" t="s">
        <v>22452</v>
      </c>
      <c r="I4117" t="s">
        <v>22460</v>
      </c>
      <c r="J4117" t="s">
        <v>25306</v>
      </c>
      <c r="K4117" t="s">
        <v>29336</v>
      </c>
      <c r="M4117" t="s">
        <v>31112</v>
      </c>
      <c r="N4117" t="s">
        <v>32524</v>
      </c>
      <c r="O4117" t="s">
        <v>32525</v>
      </c>
      <c r="P4117">
        <v>0</v>
      </c>
      <c r="Q4117">
        <v>1</v>
      </c>
      <c r="R4117" t="s">
        <v>32530</v>
      </c>
      <c r="S4117" t="s">
        <v>32568</v>
      </c>
      <c r="T4117" t="s">
        <v>33238</v>
      </c>
      <c r="U4117" t="s">
        <v>37109</v>
      </c>
      <c r="W4117" t="s">
        <v>31112</v>
      </c>
      <c r="X4117" t="s">
        <v>32531</v>
      </c>
    </row>
    <row r="4118" spans="1:24">
      <c r="A4118">
        <f>HYPERLINK("https://www.philgeps.gov.ph/GEPSNONPILOT/Tender/SplashBidNoticeAbstractUI.aspx?menuIndex=3&amp;refID=7042474&amp;Result=3","7042474")</f>
        <v>0</v>
      </c>
      <c r="B4118" t="s">
        <v>311</v>
      </c>
      <c r="C4118" t="s">
        <v>6611</v>
      </c>
      <c r="D4118" t="s">
        <v>13035</v>
      </c>
      <c r="E4118" t="s">
        <v>16773</v>
      </c>
      <c r="F4118" t="s">
        <v>22436</v>
      </c>
      <c r="G4118" t="s">
        <v>22444</v>
      </c>
      <c r="H4118" t="s">
        <v>22452</v>
      </c>
      <c r="I4118" t="s">
        <v>22467</v>
      </c>
      <c r="J4118" t="s">
        <v>25307</v>
      </c>
      <c r="K4118" t="s">
        <v>29338</v>
      </c>
      <c r="M4118" t="s">
        <v>29886</v>
      </c>
      <c r="N4118" t="s">
        <v>32524</v>
      </c>
      <c r="O4118" t="s">
        <v>32525</v>
      </c>
      <c r="P4118">
        <v>0</v>
      </c>
      <c r="Q4118">
        <v>0</v>
      </c>
      <c r="R4118" t="s">
        <v>32530</v>
      </c>
      <c r="S4118" t="s">
        <v>32568</v>
      </c>
      <c r="T4118" t="s">
        <v>33198</v>
      </c>
      <c r="U4118" t="s">
        <v>37110</v>
      </c>
      <c r="W4118" t="s">
        <v>29886</v>
      </c>
      <c r="X4118" t="s">
        <v>32531</v>
      </c>
    </row>
    <row r="4119" spans="1:24">
      <c r="A4119">
        <f>HYPERLINK("https://www.philgeps.gov.ph/GEPSNONPILOT/Tender/SplashBidNoticeAbstractUI.aspx?menuIndex=3&amp;refID=7042490&amp;Result=3","7042490")</f>
        <v>0</v>
      </c>
      <c r="B4119" t="s">
        <v>1428</v>
      </c>
      <c r="C4119" t="s">
        <v>6612</v>
      </c>
      <c r="D4119" t="s">
        <v>13010</v>
      </c>
      <c r="E4119" t="s">
        <v>16774</v>
      </c>
      <c r="F4119" t="s">
        <v>22436</v>
      </c>
      <c r="G4119" t="s">
        <v>22443</v>
      </c>
      <c r="H4119" t="s">
        <v>22452</v>
      </c>
      <c r="I4119" t="s">
        <v>22467</v>
      </c>
      <c r="J4119" t="s">
        <v>22788</v>
      </c>
      <c r="K4119" t="s">
        <v>29357</v>
      </c>
      <c r="M4119" t="s">
        <v>31090</v>
      </c>
      <c r="N4119" t="s">
        <v>32524</v>
      </c>
      <c r="O4119" t="s">
        <v>32525</v>
      </c>
      <c r="P4119">
        <v>0</v>
      </c>
      <c r="Q4119">
        <v>0</v>
      </c>
      <c r="R4119" t="s">
        <v>32530</v>
      </c>
      <c r="S4119" t="s">
        <v>32568</v>
      </c>
      <c r="T4119" t="s">
        <v>33371</v>
      </c>
      <c r="U4119" t="s">
        <v>37036</v>
      </c>
      <c r="W4119" t="s">
        <v>31090</v>
      </c>
      <c r="X4119" t="s">
        <v>32531</v>
      </c>
    </row>
    <row r="4120" spans="1:24">
      <c r="A4120">
        <f>HYPERLINK("https://www.philgeps.gov.ph/GEPSNONPILOT/Tender/SplashBidNoticeAbstractUI.aspx?menuIndex=3&amp;refID=7042475&amp;Result=3","7042475")</f>
        <v>0</v>
      </c>
      <c r="B4120" t="s">
        <v>1449</v>
      </c>
      <c r="C4120" t="s">
        <v>6613</v>
      </c>
      <c r="D4120" t="s">
        <v>13000</v>
      </c>
      <c r="E4120" t="s">
        <v>16775</v>
      </c>
      <c r="F4120" t="s">
        <v>22436</v>
      </c>
      <c r="G4120" t="s">
        <v>22446</v>
      </c>
      <c r="H4120" t="s">
        <v>22452</v>
      </c>
      <c r="I4120" t="s">
        <v>22469</v>
      </c>
      <c r="J4120" t="s">
        <v>23792</v>
      </c>
      <c r="K4120" t="s">
        <v>29356</v>
      </c>
      <c r="M4120" t="s">
        <v>31113</v>
      </c>
      <c r="N4120" t="s">
        <v>32524</v>
      </c>
      <c r="O4120" t="s">
        <v>32525</v>
      </c>
      <c r="P4120">
        <v>0</v>
      </c>
      <c r="Q4120">
        <v>0</v>
      </c>
      <c r="R4120" t="s">
        <v>32530</v>
      </c>
      <c r="S4120" t="s">
        <v>32568</v>
      </c>
      <c r="T4120" t="s">
        <v>33338</v>
      </c>
      <c r="U4120" t="s">
        <v>37111</v>
      </c>
      <c r="W4120" t="s">
        <v>31113</v>
      </c>
      <c r="X4120" t="s">
        <v>32531</v>
      </c>
    </row>
    <row r="4121" spans="1:24">
      <c r="A4121">
        <f>HYPERLINK("https://www.philgeps.gov.ph/GEPSNONPILOT/Tender/SplashBidNoticeAbstractUI.aspx?menuIndex=3&amp;refID=7042486&amp;Result=3","7042486")</f>
        <v>0</v>
      </c>
      <c r="B4121" t="s">
        <v>1448</v>
      </c>
      <c r="C4121" t="s">
        <v>6614</v>
      </c>
      <c r="D4121" t="s">
        <v>12988</v>
      </c>
      <c r="E4121" t="s">
        <v>16776</v>
      </c>
      <c r="F4121" t="s">
        <v>22436</v>
      </c>
      <c r="G4121" t="s">
        <v>22446</v>
      </c>
      <c r="H4121" t="s">
        <v>22452</v>
      </c>
      <c r="I4121" t="s">
        <v>3529</v>
      </c>
      <c r="J4121" t="s">
        <v>25308</v>
      </c>
      <c r="K4121" t="s">
        <v>29336</v>
      </c>
      <c r="M4121" t="s">
        <v>31112</v>
      </c>
      <c r="N4121" t="s">
        <v>32524</v>
      </c>
      <c r="O4121" t="s">
        <v>32525</v>
      </c>
      <c r="P4121">
        <v>0</v>
      </c>
      <c r="Q4121">
        <v>0</v>
      </c>
      <c r="R4121" t="s">
        <v>32530</v>
      </c>
      <c r="S4121" t="s">
        <v>32568</v>
      </c>
      <c r="T4121" t="s">
        <v>33238</v>
      </c>
      <c r="U4121" t="s">
        <v>37112</v>
      </c>
      <c r="W4121" t="s">
        <v>31112</v>
      </c>
      <c r="X4121" t="s">
        <v>32531</v>
      </c>
    </row>
    <row r="4122" spans="1:24">
      <c r="A4122">
        <f>HYPERLINK("https://www.philgeps.gov.ph/GEPSNONPILOT/Tender/SplashBidNoticeAbstractUI.aspx?menuIndex=3&amp;refID=7042491&amp;Result=3","7042491")</f>
        <v>0</v>
      </c>
      <c r="B4122" t="s">
        <v>477</v>
      </c>
      <c r="C4122" t="s">
        <v>6615</v>
      </c>
      <c r="D4122" t="s">
        <v>13016</v>
      </c>
      <c r="E4122" t="s">
        <v>16777</v>
      </c>
      <c r="F4122" t="s">
        <v>22436</v>
      </c>
      <c r="G4122" t="s">
        <v>22445</v>
      </c>
      <c r="H4122" t="s">
        <v>22452</v>
      </c>
      <c r="I4122" t="s">
        <v>22469</v>
      </c>
      <c r="J4122" t="s">
        <v>25309</v>
      </c>
      <c r="K4122" t="s">
        <v>29338</v>
      </c>
      <c r="M4122" t="s">
        <v>30061</v>
      </c>
      <c r="N4122" t="s">
        <v>32524</v>
      </c>
      <c r="O4122" t="s">
        <v>32525</v>
      </c>
      <c r="P4122">
        <v>0</v>
      </c>
      <c r="Q4122">
        <v>2</v>
      </c>
      <c r="R4122" t="s">
        <v>32530</v>
      </c>
      <c r="S4122" t="s">
        <v>32568</v>
      </c>
      <c r="T4122" t="s">
        <v>33351</v>
      </c>
      <c r="U4122" t="s">
        <v>37113</v>
      </c>
      <c r="W4122" t="s">
        <v>30061</v>
      </c>
      <c r="X4122" t="s">
        <v>32531</v>
      </c>
    </row>
    <row r="4123" spans="1:24">
      <c r="A4123">
        <f>HYPERLINK("https://www.philgeps.gov.ph/GEPSNONPILOT/Tender/SplashBidNoticeAbstractUI.aspx?menuIndex=3&amp;refID=7042494&amp;Result=3","7042494")</f>
        <v>0</v>
      </c>
      <c r="B4123" t="s">
        <v>1448</v>
      </c>
      <c r="C4123" t="s">
        <v>6616</v>
      </c>
      <c r="D4123" t="s">
        <v>12988</v>
      </c>
      <c r="E4123" t="s">
        <v>16778</v>
      </c>
      <c r="F4123" t="s">
        <v>22436</v>
      </c>
      <c r="G4123" t="s">
        <v>22446</v>
      </c>
      <c r="H4123" t="s">
        <v>22452</v>
      </c>
      <c r="I4123" t="s">
        <v>3529</v>
      </c>
      <c r="J4123" t="s">
        <v>25310</v>
      </c>
      <c r="K4123" t="s">
        <v>29336</v>
      </c>
      <c r="M4123" t="s">
        <v>31112</v>
      </c>
      <c r="N4123" t="s">
        <v>32524</v>
      </c>
      <c r="O4123" t="s">
        <v>32525</v>
      </c>
      <c r="P4123">
        <v>0</v>
      </c>
      <c r="Q4123">
        <v>1</v>
      </c>
      <c r="R4123" t="s">
        <v>32530</v>
      </c>
      <c r="S4123" t="s">
        <v>32568</v>
      </c>
      <c r="T4123" t="s">
        <v>33238</v>
      </c>
      <c r="U4123" t="s">
        <v>37114</v>
      </c>
      <c r="W4123" t="s">
        <v>31112</v>
      </c>
      <c r="X4123" t="s">
        <v>32531</v>
      </c>
    </row>
    <row r="4124" spans="1:24">
      <c r="A4124">
        <f>HYPERLINK("https://www.philgeps.gov.ph/GEPSNONPILOT/Tender/SplashBidNoticeAbstractUI.aspx?menuIndex=3&amp;refID=7042488&amp;Result=3","7042488")</f>
        <v>0</v>
      </c>
      <c r="B4124" t="s">
        <v>1394</v>
      </c>
      <c r="C4124" t="s">
        <v>6617</v>
      </c>
      <c r="D4124" t="s">
        <v>12988</v>
      </c>
      <c r="E4124" t="s">
        <v>13333</v>
      </c>
      <c r="F4124" t="s">
        <v>22436</v>
      </c>
      <c r="G4124" t="s">
        <v>22443</v>
      </c>
      <c r="H4124" t="s">
        <v>22452</v>
      </c>
      <c r="I4124" t="s">
        <v>3827</v>
      </c>
      <c r="J4124" t="s">
        <v>25311</v>
      </c>
      <c r="K4124" t="s">
        <v>29337</v>
      </c>
      <c r="M4124" t="s">
        <v>31052</v>
      </c>
      <c r="N4124" t="s">
        <v>32524</v>
      </c>
      <c r="O4124" t="s">
        <v>32525</v>
      </c>
      <c r="P4124">
        <v>0</v>
      </c>
      <c r="Q4124">
        <v>11</v>
      </c>
      <c r="R4124" t="s">
        <v>32530</v>
      </c>
      <c r="S4124" t="s">
        <v>32568</v>
      </c>
      <c r="T4124" t="s">
        <v>33209</v>
      </c>
      <c r="U4124" t="s">
        <v>37115</v>
      </c>
      <c r="W4124" t="s">
        <v>31052</v>
      </c>
      <c r="X4124" t="s">
        <v>32531</v>
      </c>
    </row>
    <row r="4125" spans="1:24">
      <c r="A4125">
        <f>HYPERLINK("https://www.philgeps.gov.ph/GEPSNONPILOT/Tender/SplashBidNoticeAbstractUI.aspx?menuIndex=3&amp;refID=7042505&amp;Result=3","7042505")</f>
        <v>0</v>
      </c>
      <c r="B4125" t="s">
        <v>1450</v>
      </c>
      <c r="C4125" t="s">
        <v>6618</v>
      </c>
      <c r="D4125" t="s">
        <v>13011</v>
      </c>
      <c r="E4125" t="s">
        <v>16779</v>
      </c>
      <c r="F4125" t="s">
        <v>22436</v>
      </c>
      <c r="G4125" t="s">
        <v>22444</v>
      </c>
      <c r="H4125" t="s">
        <v>22454</v>
      </c>
      <c r="I4125" t="s">
        <v>7738</v>
      </c>
      <c r="J4125" t="s">
        <v>25312</v>
      </c>
      <c r="K4125" t="s">
        <v>29333</v>
      </c>
      <c r="M4125" t="s">
        <v>31114</v>
      </c>
      <c r="N4125" t="s">
        <v>32524</v>
      </c>
      <c r="O4125" t="s">
        <v>32525</v>
      </c>
      <c r="P4125">
        <v>0</v>
      </c>
      <c r="Q4125">
        <v>0</v>
      </c>
      <c r="R4125" t="s">
        <v>32530</v>
      </c>
      <c r="S4125" t="s">
        <v>32568</v>
      </c>
      <c r="T4125" t="s">
        <v>33212</v>
      </c>
      <c r="U4125" t="s">
        <v>37116</v>
      </c>
      <c r="V4125" t="s">
        <v>42866</v>
      </c>
      <c r="W4125" t="s">
        <v>31114</v>
      </c>
      <c r="X4125" t="s">
        <v>32531</v>
      </c>
    </row>
    <row r="4126" spans="1:24">
      <c r="A4126">
        <f>HYPERLINK("https://www.philgeps.gov.ph/GEPSNONPILOT/Tender/SplashBidNoticeAbstractUI.aspx?menuIndex=3&amp;refID=7042500&amp;Result=3","7042500")</f>
        <v>0</v>
      </c>
      <c r="B4126" t="s">
        <v>1451</v>
      </c>
      <c r="C4126" t="s">
        <v>6619</v>
      </c>
      <c r="D4126" t="s">
        <v>12988</v>
      </c>
      <c r="E4126" t="s">
        <v>16780</v>
      </c>
      <c r="F4126" t="s">
        <v>22436</v>
      </c>
      <c r="G4126" t="s">
        <v>22443</v>
      </c>
      <c r="H4126" t="s">
        <v>22452</v>
      </c>
      <c r="I4126" t="s">
        <v>22505</v>
      </c>
      <c r="J4126" t="s">
        <v>25313</v>
      </c>
      <c r="K4126" t="s">
        <v>29335</v>
      </c>
      <c r="M4126" t="s">
        <v>31115</v>
      </c>
      <c r="N4126" t="s">
        <v>32524</v>
      </c>
      <c r="O4126" t="s">
        <v>32525</v>
      </c>
      <c r="Q4126">
        <v>2</v>
      </c>
      <c r="R4126" t="s">
        <v>32530</v>
      </c>
      <c r="S4126" t="s">
        <v>32576</v>
      </c>
      <c r="T4126" t="s">
        <v>33356</v>
      </c>
      <c r="U4126" t="s">
        <v>37117</v>
      </c>
      <c r="W4126" t="s">
        <v>31115</v>
      </c>
      <c r="X4126" t="s">
        <v>32531</v>
      </c>
    </row>
    <row r="4127" spans="1:24">
      <c r="A4127">
        <f>HYPERLINK("https://www.philgeps.gov.ph/GEPSNONPILOT/Tender/SplashBidNoticeAbstractUI.aspx?menuIndex=3&amp;refID=7042496&amp;Result=3","7042496")</f>
        <v>0</v>
      </c>
      <c r="B4127" t="s">
        <v>1452</v>
      </c>
      <c r="C4127" t="s">
        <v>6620</v>
      </c>
      <c r="D4127" t="s">
        <v>13018</v>
      </c>
      <c r="E4127" t="s">
        <v>16781</v>
      </c>
      <c r="F4127" t="s">
        <v>22436</v>
      </c>
      <c r="G4127" t="s">
        <v>22444</v>
      </c>
      <c r="H4127" t="s">
        <v>22452</v>
      </c>
      <c r="I4127" t="s">
        <v>22493</v>
      </c>
      <c r="J4127" t="s">
        <v>22896</v>
      </c>
      <c r="K4127" t="s">
        <v>29335</v>
      </c>
      <c r="L4127" t="s">
        <v>1452</v>
      </c>
      <c r="M4127" t="s">
        <v>31116</v>
      </c>
      <c r="N4127" t="s">
        <v>32524</v>
      </c>
      <c r="O4127" t="s">
        <v>32525</v>
      </c>
      <c r="P4127">
        <v>0</v>
      </c>
      <c r="Q4127">
        <v>3</v>
      </c>
      <c r="R4127" t="s">
        <v>32530</v>
      </c>
      <c r="S4127" t="s">
        <v>32568</v>
      </c>
      <c r="T4127" t="s">
        <v>33293</v>
      </c>
      <c r="U4127" t="s">
        <v>37118</v>
      </c>
      <c r="V4127" t="s">
        <v>42867</v>
      </c>
      <c r="W4127" t="s">
        <v>31116</v>
      </c>
      <c r="X4127" t="s">
        <v>32531</v>
      </c>
    </row>
    <row r="4128" spans="1:24">
      <c r="A4128">
        <f>HYPERLINK("https://www.philgeps.gov.ph/GEPSNONPILOT/Tender/SplashBidNoticeAbstractUI.aspx?menuIndex=3&amp;refID=7042497&amp;Result=3","7042497")</f>
        <v>0</v>
      </c>
      <c r="B4128" t="s">
        <v>1453</v>
      </c>
      <c r="C4128" t="s">
        <v>6621</v>
      </c>
      <c r="D4128" t="s">
        <v>13025</v>
      </c>
      <c r="E4128" t="s">
        <v>16782</v>
      </c>
      <c r="F4128" t="s">
        <v>22436</v>
      </c>
      <c r="G4128" t="s">
        <v>22444</v>
      </c>
      <c r="H4128" t="s">
        <v>22454</v>
      </c>
      <c r="I4128" t="s">
        <v>22496</v>
      </c>
      <c r="J4128" t="s">
        <v>22587</v>
      </c>
      <c r="K4128" t="s">
        <v>29345</v>
      </c>
      <c r="M4128" t="s">
        <v>31117</v>
      </c>
      <c r="N4128" t="s">
        <v>32524</v>
      </c>
      <c r="O4128" t="s">
        <v>32525</v>
      </c>
      <c r="P4128">
        <v>0</v>
      </c>
      <c r="Q4128">
        <v>1</v>
      </c>
      <c r="R4128" t="s">
        <v>32530</v>
      </c>
      <c r="S4128" t="s">
        <v>32568</v>
      </c>
      <c r="T4128" t="s">
        <v>33265</v>
      </c>
      <c r="U4128" t="s">
        <v>37119</v>
      </c>
      <c r="W4128" t="s">
        <v>31117</v>
      </c>
      <c r="X4128" t="s">
        <v>32531</v>
      </c>
    </row>
    <row r="4129" spans="1:24">
      <c r="A4129">
        <f>HYPERLINK("https://www.philgeps.gov.ph/GEPSNONPILOT/Tender/SplashBidNoticeAbstractUI.aspx?menuIndex=3&amp;refID=7042484&amp;Result=3","7042484")</f>
        <v>0</v>
      </c>
      <c r="B4129" t="s">
        <v>1454</v>
      </c>
      <c r="C4129" t="s">
        <v>6033</v>
      </c>
      <c r="D4129" t="s">
        <v>13053</v>
      </c>
      <c r="E4129" t="s">
        <v>16783</v>
      </c>
      <c r="F4129" t="s">
        <v>22436</v>
      </c>
      <c r="G4129" t="s">
        <v>22446</v>
      </c>
      <c r="H4129" t="s">
        <v>22452</v>
      </c>
      <c r="I4129" t="s">
        <v>22463</v>
      </c>
      <c r="J4129" t="s">
        <v>25314</v>
      </c>
      <c r="K4129" t="s">
        <v>29331</v>
      </c>
      <c r="M4129" t="s">
        <v>31118</v>
      </c>
      <c r="N4129" t="s">
        <v>32524</v>
      </c>
      <c r="O4129" t="s">
        <v>32525</v>
      </c>
      <c r="P4129">
        <v>0</v>
      </c>
      <c r="Q4129">
        <v>5</v>
      </c>
      <c r="R4129" t="s">
        <v>32530</v>
      </c>
      <c r="S4129" t="s">
        <v>32568</v>
      </c>
      <c r="T4129" t="s">
        <v>33213</v>
      </c>
      <c r="U4129" t="s">
        <v>37120</v>
      </c>
      <c r="W4129" t="s">
        <v>31118</v>
      </c>
      <c r="X4129" t="s">
        <v>32531</v>
      </c>
    </row>
    <row r="4130" spans="1:24">
      <c r="A4130">
        <f>HYPERLINK("https://www.philgeps.gov.ph/GEPSNONPILOT/Tender/SplashBidNoticeAbstractUI.aspx?menuIndex=3&amp;refID=7042502&amp;Result=3","7042502")</f>
        <v>0</v>
      </c>
      <c r="B4130" t="s">
        <v>1455</v>
      </c>
      <c r="C4130" t="s">
        <v>6622</v>
      </c>
      <c r="D4130" t="s">
        <v>13040</v>
      </c>
      <c r="E4130" t="s">
        <v>16784</v>
      </c>
      <c r="F4130" t="s">
        <v>22436</v>
      </c>
      <c r="G4130" t="s">
        <v>22443</v>
      </c>
      <c r="H4130" t="s">
        <v>22452</v>
      </c>
      <c r="I4130" t="s">
        <v>22467</v>
      </c>
      <c r="J4130" t="s">
        <v>25315</v>
      </c>
      <c r="K4130" t="s">
        <v>29335</v>
      </c>
      <c r="M4130" t="s">
        <v>31119</v>
      </c>
      <c r="N4130" t="s">
        <v>32524</v>
      </c>
      <c r="O4130" t="s">
        <v>32525</v>
      </c>
      <c r="P4130">
        <v>0</v>
      </c>
      <c r="Q4130">
        <v>0</v>
      </c>
      <c r="R4130" t="s">
        <v>32530</v>
      </c>
      <c r="S4130" t="s">
        <v>32568</v>
      </c>
      <c r="T4130" t="s">
        <v>33296</v>
      </c>
      <c r="U4130" t="s">
        <v>37121</v>
      </c>
      <c r="W4130" t="s">
        <v>31119</v>
      </c>
      <c r="X4130" t="s">
        <v>32531</v>
      </c>
    </row>
    <row r="4131" spans="1:24">
      <c r="A4131">
        <f>HYPERLINK("https://www.philgeps.gov.ph/GEPSNONPILOT/Tender/SplashBidNoticeAbstractUI.aspx?menuIndex=3&amp;refID=7042511&amp;Result=3","7042511")</f>
        <v>0</v>
      </c>
      <c r="B4131" t="s">
        <v>1450</v>
      </c>
      <c r="C4131" t="s">
        <v>6623</v>
      </c>
      <c r="D4131" t="s">
        <v>13011</v>
      </c>
      <c r="E4131" t="s">
        <v>16785</v>
      </c>
      <c r="F4131" t="s">
        <v>22436</v>
      </c>
      <c r="G4131" t="s">
        <v>22444</v>
      </c>
      <c r="H4131" t="s">
        <v>22454</v>
      </c>
      <c r="I4131" t="s">
        <v>7738</v>
      </c>
      <c r="J4131" t="s">
        <v>23384</v>
      </c>
      <c r="K4131" t="s">
        <v>29333</v>
      </c>
      <c r="M4131" t="s">
        <v>31114</v>
      </c>
      <c r="N4131" t="s">
        <v>32524</v>
      </c>
      <c r="O4131" t="s">
        <v>32525</v>
      </c>
      <c r="P4131">
        <v>0</v>
      </c>
      <c r="Q4131">
        <v>0</v>
      </c>
      <c r="R4131" t="s">
        <v>32530</v>
      </c>
      <c r="S4131" t="s">
        <v>32568</v>
      </c>
      <c r="T4131" t="s">
        <v>33212</v>
      </c>
      <c r="U4131" t="s">
        <v>37116</v>
      </c>
      <c r="V4131" t="s">
        <v>42866</v>
      </c>
      <c r="W4131" t="s">
        <v>31114</v>
      </c>
      <c r="X4131" t="s">
        <v>32531</v>
      </c>
    </row>
    <row r="4132" spans="1:24">
      <c r="A4132">
        <f>HYPERLINK("https://www.philgeps.gov.ph/GEPSNONPILOT/Tender/SplashBidNoticeAbstractUI.aspx?menuIndex=3&amp;refID=7042506&amp;Result=3","7042506")</f>
        <v>0</v>
      </c>
      <c r="B4132" t="s">
        <v>1448</v>
      </c>
      <c r="C4132" t="s">
        <v>6624</v>
      </c>
      <c r="D4132" t="s">
        <v>12988</v>
      </c>
      <c r="E4132" t="s">
        <v>16786</v>
      </c>
      <c r="F4132" t="s">
        <v>22436</v>
      </c>
      <c r="G4132" t="s">
        <v>22446</v>
      </c>
      <c r="H4132" t="s">
        <v>22452</v>
      </c>
      <c r="I4132" t="s">
        <v>3529</v>
      </c>
      <c r="J4132" t="s">
        <v>25316</v>
      </c>
      <c r="K4132" t="s">
        <v>29336</v>
      </c>
      <c r="M4132" t="s">
        <v>31112</v>
      </c>
      <c r="N4132" t="s">
        <v>32524</v>
      </c>
      <c r="O4132" t="s">
        <v>32525</v>
      </c>
      <c r="P4132">
        <v>0</v>
      </c>
      <c r="Q4132">
        <v>1</v>
      </c>
      <c r="R4132" t="s">
        <v>32530</v>
      </c>
      <c r="S4132" t="s">
        <v>32568</v>
      </c>
      <c r="T4132" t="s">
        <v>33238</v>
      </c>
      <c r="U4132" t="s">
        <v>37122</v>
      </c>
      <c r="W4132" t="s">
        <v>31112</v>
      </c>
      <c r="X4132" t="s">
        <v>32531</v>
      </c>
    </row>
    <row r="4133" spans="1:24">
      <c r="A4133">
        <f>HYPERLINK("https://www.philgeps.gov.ph/GEPSNONPILOT/Tender/SplashBidNoticeAbstractUI.aspx?menuIndex=3&amp;refID=7042514&amp;Result=3","7042514")</f>
        <v>0</v>
      </c>
      <c r="B4133" t="s">
        <v>1449</v>
      </c>
      <c r="C4133" t="s">
        <v>6625</v>
      </c>
      <c r="D4133" t="s">
        <v>13000</v>
      </c>
      <c r="E4133" t="s">
        <v>16787</v>
      </c>
      <c r="F4133" t="s">
        <v>22436</v>
      </c>
      <c r="G4133" t="s">
        <v>22443</v>
      </c>
      <c r="H4133" t="s">
        <v>22452</v>
      </c>
      <c r="I4133" t="s">
        <v>5194</v>
      </c>
      <c r="J4133" t="s">
        <v>25317</v>
      </c>
      <c r="K4133" t="s">
        <v>29356</v>
      </c>
      <c r="M4133" t="s">
        <v>31113</v>
      </c>
      <c r="N4133" t="s">
        <v>32524</v>
      </c>
      <c r="O4133" t="s">
        <v>32525</v>
      </c>
      <c r="P4133">
        <v>0</v>
      </c>
      <c r="Q4133">
        <v>1</v>
      </c>
      <c r="R4133" t="s">
        <v>32530</v>
      </c>
      <c r="S4133" t="s">
        <v>32568</v>
      </c>
      <c r="T4133" t="s">
        <v>33338</v>
      </c>
      <c r="U4133" t="s">
        <v>37123</v>
      </c>
      <c r="W4133" t="s">
        <v>31113</v>
      </c>
      <c r="X4133" t="s">
        <v>32531</v>
      </c>
    </row>
    <row r="4134" spans="1:24">
      <c r="A4134">
        <f>HYPERLINK("https://www.philgeps.gov.ph/GEPSNONPILOT/Tender/SplashBidNoticeAbstractUI.aspx?menuIndex=3&amp;refID=7042480&amp;Result=3","7042480")</f>
        <v>0</v>
      </c>
      <c r="B4134" t="s">
        <v>1436</v>
      </c>
      <c r="C4134" t="s">
        <v>6626</v>
      </c>
      <c r="D4134" t="s">
        <v>13004</v>
      </c>
      <c r="E4134" t="s">
        <v>16788</v>
      </c>
      <c r="F4134" t="s">
        <v>22436</v>
      </c>
      <c r="G4134" t="s">
        <v>22444</v>
      </c>
      <c r="H4134" t="s">
        <v>22452</v>
      </c>
      <c r="I4134" t="s">
        <v>22484</v>
      </c>
      <c r="J4134" t="s">
        <v>25318</v>
      </c>
      <c r="K4134" t="s">
        <v>29333</v>
      </c>
      <c r="M4134" t="s">
        <v>31099</v>
      </c>
      <c r="N4134" t="s">
        <v>32524</v>
      </c>
      <c r="O4134" t="s">
        <v>32525</v>
      </c>
      <c r="P4134">
        <v>0</v>
      </c>
      <c r="Q4134">
        <v>18</v>
      </c>
      <c r="R4134" t="s">
        <v>32530</v>
      </c>
      <c r="S4134" t="s">
        <v>32568</v>
      </c>
      <c r="T4134" t="s">
        <v>33440</v>
      </c>
      <c r="U4134" t="s">
        <v>37124</v>
      </c>
      <c r="V4134" t="s">
        <v>42428</v>
      </c>
      <c r="W4134" t="s">
        <v>31099</v>
      </c>
      <c r="X4134" t="s">
        <v>32531</v>
      </c>
    </row>
    <row r="4135" spans="1:24">
      <c r="A4135">
        <f>HYPERLINK("https://www.philgeps.gov.ph/GEPSNONPILOT/Tender/SplashBidNoticeAbstractUI.aspx?menuIndex=3&amp;refID=7042510&amp;Result=3","7042510")</f>
        <v>0</v>
      </c>
      <c r="B4135" t="s">
        <v>367</v>
      </c>
      <c r="C4135" t="s">
        <v>6627</v>
      </c>
      <c r="D4135" t="s">
        <v>12988</v>
      </c>
      <c r="E4135" t="s">
        <v>16789</v>
      </c>
      <c r="F4135" t="s">
        <v>22436</v>
      </c>
      <c r="G4135" t="s">
        <v>22443</v>
      </c>
      <c r="H4135" t="s">
        <v>22452</v>
      </c>
      <c r="I4135" t="s">
        <v>22455</v>
      </c>
      <c r="J4135" t="s">
        <v>24874</v>
      </c>
      <c r="K4135" t="s">
        <v>29336</v>
      </c>
      <c r="M4135" t="s">
        <v>29945</v>
      </c>
      <c r="N4135" t="s">
        <v>32524</v>
      </c>
      <c r="O4135" t="s">
        <v>32525</v>
      </c>
      <c r="P4135">
        <v>0</v>
      </c>
      <c r="Q4135">
        <v>4</v>
      </c>
      <c r="R4135" t="s">
        <v>32530</v>
      </c>
      <c r="S4135" t="s">
        <v>32568</v>
      </c>
      <c r="T4135" t="s">
        <v>33209</v>
      </c>
      <c r="U4135" t="s">
        <v>37125</v>
      </c>
      <c r="V4135" t="s">
        <v>42868</v>
      </c>
      <c r="W4135" t="s">
        <v>29945</v>
      </c>
      <c r="X4135" t="s">
        <v>32531</v>
      </c>
    </row>
    <row r="4136" spans="1:24">
      <c r="A4136">
        <f>HYPERLINK("https://www.philgeps.gov.ph/GEPSNONPILOT/Tender/SplashBidNoticeAbstractUI.aspx?menuIndex=3&amp;refID=7042477&amp;Result=3","7042477")</f>
        <v>0</v>
      </c>
      <c r="B4136" t="s">
        <v>1448</v>
      </c>
      <c r="C4136" t="s">
        <v>6628</v>
      </c>
      <c r="D4136" t="s">
        <v>12988</v>
      </c>
      <c r="E4136" t="s">
        <v>16790</v>
      </c>
      <c r="F4136" t="s">
        <v>22436</v>
      </c>
      <c r="G4136" t="s">
        <v>22446</v>
      </c>
      <c r="H4136" t="s">
        <v>22452</v>
      </c>
      <c r="I4136" t="s">
        <v>22460</v>
      </c>
      <c r="J4136" t="s">
        <v>25319</v>
      </c>
      <c r="K4136" t="s">
        <v>29336</v>
      </c>
      <c r="M4136" t="s">
        <v>31112</v>
      </c>
      <c r="N4136" t="s">
        <v>32524</v>
      </c>
      <c r="O4136" t="s">
        <v>32525</v>
      </c>
      <c r="P4136">
        <v>0</v>
      </c>
      <c r="Q4136">
        <v>1</v>
      </c>
      <c r="R4136" t="s">
        <v>32530</v>
      </c>
      <c r="S4136" t="s">
        <v>32568</v>
      </c>
      <c r="T4136" t="s">
        <v>33238</v>
      </c>
      <c r="U4136" t="s">
        <v>37126</v>
      </c>
      <c r="W4136" t="s">
        <v>31112</v>
      </c>
      <c r="X4136" t="s">
        <v>32531</v>
      </c>
    </row>
    <row r="4137" spans="1:24">
      <c r="A4137">
        <f>HYPERLINK("https://www.philgeps.gov.ph/GEPSNONPILOT/Tender/SplashBidNoticeAbstractUI.aspx?menuIndex=3&amp;refID=7042515&amp;Result=3","7042515")</f>
        <v>0</v>
      </c>
      <c r="B4137" t="s">
        <v>477</v>
      </c>
      <c r="C4137" t="s">
        <v>6629</v>
      </c>
      <c r="D4137" t="s">
        <v>13016</v>
      </c>
      <c r="E4137" t="s">
        <v>16791</v>
      </c>
      <c r="F4137" t="s">
        <v>22436</v>
      </c>
      <c r="G4137" t="s">
        <v>22443</v>
      </c>
      <c r="H4137" t="s">
        <v>22452</v>
      </c>
      <c r="I4137" t="s">
        <v>22476</v>
      </c>
      <c r="J4137" t="s">
        <v>22605</v>
      </c>
      <c r="K4137" t="s">
        <v>29338</v>
      </c>
      <c r="M4137" t="s">
        <v>30061</v>
      </c>
      <c r="N4137" t="s">
        <v>32524</v>
      </c>
      <c r="O4137" t="s">
        <v>32525</v>
      </c>
      <c r="P4137">
        <v>0</v>
      </c>
      <c r="Q4137">
        <v>0</v>
      </c>
      <c r="R4137" t="s">
        <v>32530</v>
      </c>
      <c r="S4137" t="s">
        <v>32568</v>
      </c>
      <c r="T4137" t="s">
        <v>33351</v>
      </c>
      <c r="U4137" t="s">
        <v>37127</v>
      </c>
      <c r="W4137" t="s">
        <v>30061</v>
      </c>
      <c r="X4137" t="s">
        <v>32531</v>
      </c>
    </row>
    <row r="4138" spans="1:24">
      <c r="A4138">
        <f>HYPERLINK("https://www.philgeps.gov.ph/GEPSNONPILOT/Tender/SplashBidNoticeAbstractUI.aspx?menuIndex=3&amp;refID=7042527&amp;Result=3","7042527")</f>
        <v>0</v>
      </c>
      <c r="B4138" t="s">
        <v>1450</v>
      </c>
      <c r="C4138" t="s">
        <v>6630</v>
      </c>
      <c r="D4138" t="s">
        <v>13011</v>
      </c>
      <c r="E4138" t="s">
        <v>16792</v>
      </c>
      <c r="F4138" t="s">
        <v>22436</v>
      </c>
      <c r="G4138" t="s">
        <v>22444</v>
      </c>
      <c r="H4138" t="s">
        <v>22454</v>
      </c>
      <c r="I4138" t="s">
        <v>7738</v>
      </c>
      <c r="J4138" t="s">
        <v>24103</v>
      </c>
      <c r="K4138" t="s">
        <v>29344</v>
      </c>
      <c r="M4138" t="s">
        <v>31114</v>
      </c>
      <c r="N4138" t="s">
        <v>32524</v>
      </c>
      <c r="O4138" t="s">
        <v>32525</v>
      </c>
      <c r="P4138">
        <v>0</v>
      </c>
      <c r="Q4138">
        <v>0</v>
      </c>
      <c r="R4138" t="s">
        <v>32530</v>
      </c>
      <c r="S4138" t="s">
        <v>32568</v>
      </c>
      <c r="T4138" t="s">
        <v>33212</v>
      </c>
      <c r="U4138" t="s">
        <v>37116</v>
      </c>
      <c r="V4138" t="s">
        <v>42866</v>
      </c>
      <c r="W4138" t="s">
        <v>31114</v>
      </c>
      <c r="X4138" t="s">
        <v>32531</v>
      </c>
    </row>
    <row r="4139" spans="1:24">
      <c r="A4139">
        <f>HYPERLINK("https://www.philgeps.gov.ph/GEPSNONPILOT/Tender/SplashBidNoticeAbstractUI.aspx?menuIndex=3&amp;refID=7042520&amp;Result=3","7042520")</f>
        <v>0</v>
      </c>
      <c r="B4139" t="s">
        <v>1360</v>
      </c>
      <c r="C4139" t="s">
        <v>6631</v>
      </c>
      <c r="D4139" t="s">
        <v>13023</v>
      </c>
      <c r="E4139" t="s">
        <v>16793</v>
      </c>
      <c r="F4139" t="s">
        <v>22436</v>
      </c>
      <c r="G4139" t="s">
        <v>22443</v>
      </c>
      <c r="H4139" t="s">
        <v>22452</v>
      </c>
      <c r="I4139" t="s">
        <v>3381</v>
      </c>
      <c r="J4139" t="s">
        <v>25320</v>
      </c>
      <c r="K4139" t="s">
        <v>29338</v>
      </c>
      <c r="M4139" t="s">
        <v>31120</v>
      </c>
      <c r="N4139" t="s">
        <v>32524</v>
      </c>
      <c r="O4139" t="s">
        <v>32525</v>
      </c>
      <c r="P4139">
        <v>0</v>
      </c>
      <c r="Q4139">
        <v>4</v>
      </c>
      <c r="R4139" t="s">
        <v>32530</v>
      </c>
      <c r="S4139" t="s">
        <v>32568</v>
      </c>
      <c r="T4139" t="s">
        <v>33220</v>
      </c>
      <c r="U4139" t="s">
        <v>37128</v>
      </c>
      <c r="V4139" t="s">
        <v>42869</v>
      </c>
      <c r="W4139" t="s">
        <v>31120</v>
      </c>
      <c r="X4139" t="s">
        <v>32531</v>
      </c>
    </row>
    <row r="4140" spans="1:24">
      <c r="A4140">
        <f>HYPERLINK("https://www.philgeps.gov.ph/GEPSNONPILOT/Tender/SplashBidNoticeAbstractUI.aspx?menuIndex=3&amp;refID=7042507&amp;Result=3","7042507")</f>
        <v>0</v>
      </c>
      <c r="B4140" t="s">
        <v>1446</v>
      </c>
      <c r="C4140" t="s">
        <v>6632</v>
      </c>
      <c r="D4140" t="s">
        <v>13049</v>
      </c>
      <c r="E4140" t="s">
        <v>16794</v>
      </c>
      <c r="F4140" t="s">
        <v>22436</v>
      </c>
      <c r="G4140" t="s">
        <v>22444</v>
      </c>
      <c r="H4140" t="s">
        <v>22455</v>
      </c>
      <c r="I4140" t="s">
        <v>22455</v>
      </c>
      <c r="J4140" t="s">
        <v>25321</v>
      </c>
      <c r="K4140" t="s">
        <v>29333</v>
      </c>
      <c r="M4140" t="s">
        <v>31110</v>
      </c>
      <c r="N4140" t="s">
        <v>32524</v>
      </c>
      <c r="O4140" t="s">
        <v>32525</v>
      </c>
      <c r="P4140">
        <v>0</v>
      </c>
      <c r="Q4140">
        <v>2</v>
      </c>
      <c r="R4140" t="s">
        <v>32530</v>
      </c>
      <c r="S4140" t="s">
        <v>32568</v>
      </c>
      <c r="T4140" t="s">
        <v>33212</v>
      </c>
      <c r="U4140" t="s">
        <v>37129</v>
      </c>
      <c r="V4140" t="s">
        <v>42870</v>
      </c>
      <c r="W4140" t="s">
        <v>31110</v>
      </c>
      <c r="X4140" t="s">
        <v>32531</v>
      </c>
    </row>
    <row r="4141" spans="1:24">
      <c r="A4141">
        <f>HYPERLINK("https://www.philgeps.gov.ph/GEPSNONPILOT/Tender/SplashBidNoticeAbstractUI.aspx?menuIndex=3&amp;refID=7042483&amp;Result=3","7042483")</f>
        <v>0</v>
      </c>
      <c r="B4141" t="s">
        <v>1450</v>
      </c>
      <c r="C4141" t="s">
        <v>6633</v>
      </c>
      <c r="D4141" t="s">
        <v>13011</v>
      </c>
      <c r="E4141" t="s">
        <v>16795</v>
      </c>
      <c r="F4141" t="s">
        <v>22436</v>
      </c>
      <c r="G4141" t="s">
        <v>22444</v>
      </c>
      <c r="H4141" t="s">
        <v>22454</v>
      </c>
      <c r="I4141" t="s">
        <v>7738</v>
      </c>
      <c r="J4141" t="s">
        <v>25312</v>
      </c>
      <c r="K4141" t="s">
        <v>29334</v>
      </c>
      <c r="M4141" t="s">
        <v>31114</v>
      </c>
      <c r="N4141" t="s">
        <v>32524</v>
      </c>
      <c r="O4141" t="s">
        <v>32525</v>
      </c>
      <c r="P4141">
        <v>0</v>
      </c>
      <c r="Q4141">
        <v>0</v>
      </c>
      <c r="R4141" t="s">
        <v>32530</v>
      </c>
      <c r="S4141" t="s">
        <v>32568</v>
      </c>
      <c r="T4141" t="s">
        <v>33212</v>
      </c>
      <c r="U4141" t="s">
        <v>37116</v>
      </c>
      <c r="V4141" t="s">
        <v>42866</v>
      </c>
      <c r="W4141" t="s">
        <v>31114</v>
      </c>
      <c r="X4141" t="s">
        <v>32531</v>
      </c>
    </row>
    <row r="4142" spans="1:24">
      <c r="A4142">
        <f>HYPERLINK("https://www.philgeps.gov.ph/GEPSNONPILOT/Tender/SplashBidNoticeAbstractUI.aspx?menuIndex=3&amp;refID=7042519&amp;Result=3","7042519")</f>
        <v>0</v>
      </c>
      <c r="B4142" t="s">
        <v>1453</v>
      </c>
      <c r="C4142" t="s">
        <v>6634</v>
      </c>
      <c r="D4142" t="s">
        <v>13025</v>
      </c>
      <c r="E4142" t="s">
        <v>16796</v>
      </c>
      <c r="F4142" t="s">
        <v>22436</v>
      </c>
      <c r="G4142" t="s">
        <v>22444</v>
      </c>
      <c r="H4142" t="s">
        <v>22454</v>
      </c>
      <c r="I4142" t="s">
        <v>7738</v>
      </c>
      <c r="J4142" t="s">
        <v>25322</v>
      </c>
      <c r="K4142" t="s">
        <v>29342</v>
      </c>
      <c r="M4142" t="s">
        <v>31117</v>
      </c>
      <c r="N4142" t="s">
        <v>32524</v>
      </c>
      <c r="O4142" t="s">
        <v>32525</v>
      </c>
      <c r="P4142">
        <v>0</v>
      </c>
      <c r="Q4142">
        <v>1</v>
      </c>
      <c r="R4142" t="s">
        <v>32530</v>
      </c>
      <c r="S4142" t="s">
        <v>32568</v>
      </c>
      <c r="T4142" t="s">
        <v>33265</v>
      </c>
      <c r="U4142" t="s">
        <v>37130</v>
      </c>
      <c r="W4142" t="s">
        <v>31117</v>
      </c>
      <c r="X4142" t="s">
        <v>32531</v>
      </c>
    </row>
    <row r="4143" spans="1:24">
      <c r="A4143">
        <f>HYPERLINK("https://www.philgeps.gov.ph/GEPSNONPILOT/Tender/SplashBidNoticeAbstractUI.aspx?menuIndex=3&amp;refID=7042518&amp;Result=3","7042518")</f>
        <v>0</v>
      </c>
      <c r="B4143" t="s">
        <v>1428</v>
      </c>
      <c r="C4143" t="s">
        <v>6635</v>
      </c>
      <c r="D4143" t="s">
        <v>13010</v>
      </c>
      <c r="E4143" t="s">
        <v>16797</v>
      </c>
      <c r="F4143" t="s">
        <v>22436</v>
      </c>
      <c r="G4143" t="s">
        <v>22443</v>
      </c>
      <c r="H4143" t="s">
        <v>22452</v>
      </c>
      <c r="I4143" t="s">
        <v>3027</v>
      </c>
      <c r="J4143" t="s">
        <v>22892</v>
      </c>
      <c r="K4143" t="s">
        <v>29357</v>
      </c>
      <c r="M4143" t="s">
        <v>31090</v>
      </c>
      <c r="N4143" t="s">
        <v>32524</v>
      </c>
      <c r="O4143" t="s">
        <v>32525</v>
      </c>
      <c r="P4143">
        <v>0</v>
      </c>
      <c r="Q4143">
        <v>0</v>
      </c>
      <c r="R4143" t="s">
        <v>32530</v>
      </c>
      <c r="S4143" t="s">
        <v>32568</v>
      </c>
      <c r="T4143" t="s">
        <v>33371</v>
      </c>
      <c r="U4143" t="s">
        <v>37036</v>
      </c>
      <c r="W4143" t="s">
        <v>31090</v>
      </c>
      <c r="X4143" t="s">
        <v>32531</v>
      </c>
    </row>
    <row r="4144" spans="1:24">
      <c r="A4144">
        <f>HYPERLINK("https://www.philgeps.gov.ph/GEPSNONPILOT/Tender/SplashBidNoticeAbstractUI.aspx?menuIndex=3&amp;refID=7042524&amp;Result=3","7042524")</f>
        <v>0</v>
      </c>
      <c r="B4144" t="s">
        <v>321</v>
      </c>
      <c r="C4144" t="s">
        <v>6636</v>
      </c>
      <c r="D4144" t="s">
        <v>13045</v>
      </c>
      <c r="E4144" t="s">
        <v>16798</v>
      </c>
      <c r="F4144" t="s">
        <v>22436</v>
      </c>
      <c r="G4144" t="s">
        <v>22444</v>
      </c>
      <c r="H4144" t="s">
        <v>22454</v>
      </c>
      <c r="I4144" t="s">
        <v>7738</v>
      </c>
      <c r="J4144" t="s">
        <v>25323</v>
      </c>
      <c r="K4144" t="s">
        <v>29386</v>
      </c>
      <c r="M4144" t="s">
        <v>31121</v>
      </c>
      <c r="N4144" t="s">
        <v>32524</v>
      </c>
      <c r="O4144" t="s">
        <v>32525</v>
      </c>
      <c r="P4144">
        <v>0</v>
      </c>
      <c r="Q4144">
        <v>0</v>
      </c>
      <c r="R4144" t="s">
        <v>32530</v>
      </c>
      <c r="S4144" t="s">
        <v>32568</v>
      </c>
      <c r="T4144" t="s">
        <v>33385</v>
      </c>
      <c r="U4144" t="s">
        <v>37131</v>
      </c>
      <c r="W4144" t="s">
        <v>31121</v>
      </c>
      <c r="X4144" t="s">
        <v>32531</v>
      </c>
    </row>
    <row r="4145" spans="1:24">
      <c r="A4145">
        <f>HYPERLINK("https://www.philgeps.gov.ph/GEPSNONPILOT/Tender/SplashBidNoticeAbstractUI.aspx?menuIndex=3&amp;refID=7042555&amp;Result=3","7042555")</f>
        <v>0</v>
      </c>
      <c r="B4145" t="s">
        <v>1301</v>
      </c>
      <c r="C4145" t="s">
        <v>6637</v>
      </c>
      <c r="D4145" t="s">
        <v>13023</v>
      </c>
      <c r="E4145" t="s">
        <v>16799</v>
      </c>
      <c r="F4145" t="s">
        <v>22436</v>
      </c>
      <c r="G4145" t="s">
        <v>22443</v>
      </c>
      <c r="H4145" t="s">
        <v>22452</v>
      </c>
      <c r="I4145" t="s">
        <v>3840</v>
      </c>
      <c r="J4145" t="s">
        <v>23063</v>
      </c>
      <c r="K4145" t="s">
        <v>29335</v>
      </c>
      <c r="M4145" t="s">
        <v>30955</v>
      </c>
      <c r="N4145" t="s">
        <v>32524</v>
      </c>
      <c r="O4145" t="s">
        <v>32525</v>
      </c>
      <c r="P4145">
        <v>0</v>
      </c>
      <c r="Q4145">
        <v>10</v>
      </c>
      <c r="R4145" t="s">
        <v>32530</v>
      </c>
      <c r="S4145" t="s">
        <v>32568</v>
      </c>
      <c r="T4145" t="s">
        <v>33310</v>
      </c>
      <c r="U4145" t="s">
        <v>37132</v>
      </c>
      <c r="W4145" t="s">
        <v>30955</v>
      </c>
      <c r="X4145" t="s">
        <v>32531</v>
      </c>
    </row>
    <row r="4146" spans="1:24">
      <c r="A4146">
        <f>HYPERLINK("https://www.philgeps.gov.ph/GEPSNONPILOT/Tender/SplashBidNoticeAbstractUI.aspx?menuIndex=3&amp;refID=7042547&amp;Result=3","7042547")</f>
        <v>0</v>
      </c>
      <c r="B4146" t="s">
        <v>1456</v>
      </c>
      <c r="C4146" t="s">
        <v>6638</v>
      </c>
      <c r="D4146" t="s">
        <v>13010</v>
      </c>
      <c r="E4146" t="s">
        <v>13571</v>
      </c>
      <c r="F4146" t="s">
        <v>22436</v>
      </c>
      <c r="G4146" t="s">
        <v>22443</v>
      </c>
      <c r="H4146" t="s">
        <v>22454</v>
      </c>
      <c r="I4146" t="s">
        <v>7738</v>
      </c>
      <c r="J4146" t="s">
        <v>25324</v>
      </c>
      <c r="K4146" t="s">
        <v>29335</v>
      </c>
      <c r="M4146" t="s">
        <v>31122</v>
      </c>
      <c r="N4146" t="s">
        <v>32524</v>
      </c>
      <c r="O4146" t="s">
        <v>32525</v>
      </c>
      <c r="P4146">
        <v>0</v>
      </c>
      <c r="Q4146">
        <v>0</v>
      </c>
      <c r="R4146" t="s">
        <v>32530</v>
      </c>
      <c r="S4146" t="s">
        <v>32568</v>
      </c>
      <c r="T4146" t="s">
        <v>33323</v>
      </c>
      <c r="U4146" t="s">
        <v>37133</v>
      </c>
      <c r="W4146" t="s">
        <v>31122</v>
      </c>
      <c r="X4146" t="s">
        <v>32531</v>
      </c>
    </row>
    <row r="4147" spans="1:24">
      <c r="A4147">
        <f>HYPERLINK("https://www.philgeps.gov.ph/GEPSNONPILOT/Tender/SplashBidNoticeAbstractUI.aspx?menuIndex=3&amp;refID=7042552&amp;Result=3","7042552")</f>
        <v>0</v>
      </c>
      <c r="B4147" t="s">
        <v>1457</v>
      </c>
      <c r="C4147" t="s">
        <v>6639</v>
      </c>
      <c r="D4147" t="s">
        <v>13015</v>
      </c>
      <c r="E4147" t="s">
        <v>16800</v>
      </c>
      <c r="F4147" t="s">
        <v>22436</v>
      </c>
      <c r="G4147" t="s">
        <v>22443</v>
      </c>
      <c r="H4147" t="s">
        <v>22452</v>
      </c>
      <c r="I4147" t="s">
        <v>22517</v>
      </c>
      <c r="J4147" t="s">
        <v>22692</v>
      </c>
      <c r="K4147" t="s">
        <v>29336</v>
      </c>
      <c r="M4147" t="s">
        <v>31123</v>
      </c>
      <c r="N4147" t="s">
        <v>32524</v>
      </c>
      <c r="O4147" t="s">
        <v>32525</v>
      </c>
      <c r="P4147">
        <v>0</v>
      </c>
      <c r="Q4147">
        <v>1</v>
      </c>
      <c r="R4147" t="s">
        <v>32530</v>
      </c>
      <c r="S4147" t="s">
        <v>32568</v>
      </c>
      <c r="T4147" t="s">
        <v>33154</v>
      </c>
      <c r="U4147" t="s">
        <v>37134</v>
      </c>
      <c r="W4147" t="s">
        <v>31123</v>
      </c>
      <c r="X4147" t="s">
        <v>32531</v>
      </c>
    </row>
    <row r="4148" spans="1:24">
      <c r="A4148">
        <f>HYPERLINK("https://www.philgeps.gov.ph/GEPSNONPILOT/Tender/SplashBidNoticeAbstractUI.aspx?menuIndex=3&amp;refID=7042516&amp;Result=3","7042516")</f>
        <v>0</v>
      </c>
      <c r="B4148" t="s">
        <v>1455</v>
      </c>
      <c r="C4148" t="s">
        <v>6640</v>
      </c>
      <c r="D4148" t="s">
        <v>13040</v>
      </c>
      <c r="E4148" t="s">
        <v>16801</v>
      </c>
      <c r="F4148" t="s">
        <v>22436</v>
      </c>
      <c r="G4148" t="s">
        <v>22443</v>
      </c>
      <c r="H4148" t="s">
        <v>22452</v>
      </c>
      <c r="I4148" t="s">
        <v>22467</v>
      </c>
      <c r="J4148" t="s">
        <v>25315</v>
      </c>
      <c r="K4148" t="s">
        <v>29335</v>
      </c>
      <c r="M4148" t="s">
        <v>31119</v>
      </c>
      <c r="N4148" t="s">
        <v>32524</v>
      </c>
      <c r="O4148" t="s">
        <v>32525</v>
      </c>
      <c r="P4148">
        <v>0</v>
      </c>
      <c r="Q4148">
        <v>0</v>
      </c>
      <c r="R4148" t="s">
        <v>32530</v>
      </c>
      <c r="S4148" t="s">
        <v>32568</v>
      </c>
      <c r="T4148" t="s">
        <v>33296</v>
      </c>
      <c r="U4148" t="s">
        <v>37121</v>
      </c>
      <c r="W4148" t="s">
        <v>31119</v>
      </c>
      <c r="X4148" t="s">
        <v>32531</v>
      </c>
    </row>
    <row r="4149" spans="1:24">
      <c r="A4149">
        <f>HYPERLINK("https://www.philgeps.gov.ph/GEPSNONPILOT/Tender/SplashBidNoticeAbstractUI.aspx?menuIndex=3&amp;refID=7042543&amp;Result=3","7042543")</f>
        <v>0</v>
      </c>
      <c r="B4149" t="s">
        <v>799</v>
      </c>
      <c r="C4149" t="s">
        <v>6641</v>
      </c>
      <c r="D4149" t="s">
        <v>13072</v>
      </c>
      <c r="E4149" t="s">
        <v>16802</v>
      </c>
      <c r="F4149" t="s">
        <v>22436</v>
      </c>
      <c r="G4149" t="s">
        <v>22443</v>
      </c>
      <c r="H4149" t="s">
        <v>22452</v>
      </c>
      <c r="I4149" t="s">
        <v>22486</v>
      </c>
      <c r="J4149" t="s">
        <v>23627</v>
      </c>
      <c r="K4149" t="s">
        <v>29338</v>
      </c>
      <c r="M4149" t="s">
        <v>31124</v>
      </c>
      <c r="N4149" t="s">
        <v>32524</v>
      </c>
      <c r="O4149" t="s">
        <v>32525</v>
      </c>
      <c r="P4149">
        <v>0</v>
      </c>
      <c r="Q4149">
        <v>0</v>
      </c>
      <c r="R4149" t="s">
        <v>32530</v>
      </c>
      <c r="S4149" t="s">
        <v>32568</v>
      </c>
      <c r="T4149" t="s">
        <v>33323</v>
      </c>
      <c r="U4149" t="s">
        <v>36535</v>
      </c>
      <c r="V4149" t="s">
        <v>42871</v>
      </c>
      <c r="W4149" t="s">
        <v>31124</v>
      </c>
      <c r="X4149" t="s">
        <v>32531</v>
      </c>
    </row>
    <row r="4150" spans="1:24">
      <c r="A4150">
        <f>HYPERLINK("https://www.philgeps.gov.ph/GEPSNONPILOT/Tender/SplashBidNoticeAbstractUI.aspx?menuIndex=3&amp;refID=7042530&amp;Result=3","7042530")</f>
        <v>0</v>
      </c>
      <c r="B4150" t="s">
        <v>1458</v>
      </c>
      <c r="C4150" t="s">
        <v>6642</v>
      </c>
      <c r="D4150" t="s">
        <v>13020</v>
      </c>
      <c r="E4150" t="s">
        <v>16803</v>
      </c>
      <c r="F4150" t="s">
        <v>22436</v>
      </c>
      <c r="G4150" t="s">
        <v>22443</v>
      </c>
      <c r="H4150" t="s">
        <v>22452</v>
      </c>
      <c r="I4150" t="s">
        <v>6421</v>
      </c>
      <c r="J4150" t="s">
        <v>25325</v>
      </c>
      <c r="K4150" t="s">
        <v>29336</v>
      </c>
      <c r="M4150" t="s">
        <v>31125</v>
      </c>
      <c r="N4150" t="s">
        <v>32524</v>
      </c>
      <c r="O4150" t="s">
        <v>32525</v>
      </c>
      <c r="P4150">
        <v>0</v>
      </c>
      <c r="Q4150">
        <v>2</v>
      </c>
      <c r="R4150" t="s">
        <v>32530</v>
      </c>
      <c r="S4150" t="s">
        <v>32568</v>
      </c>
      <c r="T4150" t="s">
        <v>33372</v>
      </c>
      <c r="U4150" t="s">
        <v>37135</v>
      </c>
      <c r="W4150" t="s">
        <v>31125</v>
      </c>
      <c r="X4150" t="s">
        <v>32531</v>
      </c>
    </row>
    <row r="4151" spans="1:24">
      <c r="A4151">
        <f>HYPERLINK("https://www.philgeps.gov.ph/GEPSNONPILOT/Tender/SplashBidNoticeAbstractUI.aspx?menuIndex=3&amp;refID=7042559&amp;Result=3","7042559")</f>
        <v>0</v>
      </c>
      <c r="B4151" t="s">
        <v>1450</v>
      </c>
      <c r="C4151" t="s">
        <v>6643</v>
      </c>
      <c r="D4151" t="s">
        <v>13011</v>
      </c>
      <c r="E4151" t="s">
        <v>16804</v>
      </c>
      <c r="F4151" t="s">
        <v>22436</v>
      </c>
      <c r="G4151" t="s">
        <v>22444</v>
      </c>
      <c r="H4151" t="s">
        <v>22454</v>
      </c>
      <c r="I4151" t="s">
        <v>7738</v>
      </c>
      <c r="J4151" t="s">
        <v>25326</v>
      </c>
      <c r="K4151" t="s">
        <v>29344</v>
      </c>
      <c r="M4151" t="s">
        <v>31114</v>
      </c>
      <c r="N4151" t="s">
        <v>32524</v>
      </c>
      <c r="O4151" t="s">
        <v>32525</v>
      </c>
      <c r="P4151">
        <v>0</v>
      </c>
      <c r="Q4151">
        <v>1</v>
      </c>
      <c r="R4151" t="s">
        <v>32530</v>
      </c>
      <c r="S4151" t="s">
        <v>32568</v>
      </c>
      <c r="T4151" t="s">
        <v>33212</v>
      </c>
      <c r="U4151" t="s">
        <v>37116</v>
      </c>
      <c r="V4151" t="s">
        <v>42866</v>
      </c>
      <c r="W4151" t="s">
        <v>31114</v>
      </c>
      <c r="X4151" t="s">
        <v>32531</v>
      </c>
    </row>
    <row r="4152" spans="1:24">
      <c r="A4152">
        <f>HYPERLINK("https://www.philgeps.gov.ph/GEPSNONPILOT/Tender/SplashBidNoticeAbstractUI.aspx?menuIndex=3&amp;refID=7042550&amp;Result=3","7042550")</f>
        <v>0</v>
      </c>
      <c r="B4152" t="s">
        <v>1459</v>
      </c>
      <c r="C4152" t="s">
        <v>6644</v>
      </c>
      <c r="D4152" t="s">
        <v>13001</v>
      </c>
      <c r="E4152" t="s">
        <v>16113</v>
      </c>
      <c r="F4152" t="s">
        <v>22436</v>
      </c>
      <c r="G4152" t="s">
        <v>22443</v>
      </c>
      <c r="H4152" t="s">
        <v>22452</v>
      </c>
      <c r="I4152" t="s">
        <v>22469</v>
      </c>
      <c r="J4152" t="s">
        <v>25327</v>
      </c>
      <c r="K4152" t="s">
        <v>29333</v>
      </c>
      <c r="M4152" t="s">
        <v>31126</v>
      </c>
      <c r="N4152" t="s">
        <v>32524</v>
      </c>
      <c r="O4152" t="s">
        <v>32525</v>
      </c>
      <c r="P4152">
        <v>0</v>
      </c>
      <c r="Q4152">
        <v>6</v>
      </c>
      <c r="R4152" t="s">
        <v>32530</v>
      </c>
      <c r="S4152" t="s">
        <v>32568</v>
      </c>
      <c r="T4152" t="s">
        <v>33442</v>
      </c>
      <c r="U4152" t="s">
        <v>37136</v>
      </c>
      <c r="W4152" t="s">
        <v>31126</v>
      </c>
      <c r="X4152" t="s">
        <v>32531</v>
      </c>
    </row>
    <row r="4153" spans="1:24">
      <c r="A4153">
        <f>HYPERLINK("https://www.philgeps.gov.ph/GEPSNONPILOT/Tender/SplashBidNoticeAbstractUI.aspx?menuIndex=3&amp;refID=7042542&amp;Result=3","7042542")</f>
        <v>0</v>
      </c>
      <c r="B4153" t="s">
        <v>1452</v>
      </c>
      <c r="C4153" t="s">
        <v>6645</v>
      </c>
      <c r="D4153" t="s">
        <v>13018</v>
      </c>
      <c r="E4153" t="s">
        <v>16805</v>
      </c>
      <c r="F4153" t="s">
        <v>22436</v>
      </c>
      <c r="G4153" t="s">
        <v>22444</v>
      </c>
      <c r="H4153" t="s">
        <v>22452</v>
      </c>
      <c r="I4153" t="s">
        <v>22463</v>
      </c>
      <c r="J4153" t="s">
        <v>25328</v>
      </c>
      <c r="K4153" t="s">
        <v>29335</v>
      </c>
      <c r="L4153" t="s">
        <v>1452</v>
      </c>
      <c r="M4153" t="s">
        <v>31116</v>
      </c>
      <c r="N4153" t="s">
        <v>32524</v>
      </c>
      <c r="O4153" t="s">
        <v>32525</v>
      </c>
      <c r="P4153">
        <v>0</v>
      </c>
      <c r="Q4153">
        <v>1</v>
      </c>
      <c r="R4153" t="s">
        <v>32530</v>
      </c>
      <c r="S4153" t="s">
        <v>32568</v>
      </c>
      <c r="T4153" t="s">
        <v>33293</v>
      </c>
      <c r="U4153" t="s">
        <v>37137</v>
      </c>
      <c r="V4153" t="s">
        <v>42872</v>
      </c>
      <c r="W4153" t="s">
        <v>31116</v>
      </c>
      <c r="X4153" t="s">
        <v>32531</v>
      </c>
    </row>
    <row r="4154" spans="1:24">
      <c r="A4154">
        <f>HYPERLINK("https://www.philgeps.gov.ph/GEPSNONPILOT/Tender/SplashBidNoticeAbstractUI.aspx?menuIndex=3&amp;refID=7042533&amp;Result=3","7042533")</f>
        <v>0</v>
      </c>
      <c r="B4154" t="s">
        <v>1449</v>
      </c>
      <c r="C4154" t="s">
        <v>6646</v>
      </c>
      <c r="D4154" t="s">
        <v>13000</v>
      </c>
      <c r="E4154" t="s">
        <v>16806</v>
      </c>
      <c r="F4154" t="s">
        <v>22436</v>
      </c>
      <c r="G4154" t="s">
        <v>22443</v>
      </c>
      <c r="H4154" t="s">
        <v>22452</v>
      </c>
      <c r="I4154" t="s">
        <v>22472</v>
      </c>
      <c r="J4154" t="s">
        <v>25329</v>
      </c>
      <c r="K4154" t="s">
        <v>29356</v>
      </c>
      <c r="M4154" t="s">
        <v>31113</v>
      </c>
      <c r="N4154" t="s">
        <v>32524</v>
      </c>
      <c r="O4154" t="s">
        <v>32525</v>
      </c>
      <c r="P4154">
        <v>0</v>
      </c>
      <c r="Q4154">
        <v>12</v>
      </c>
      <c r="R4154" t="s">
        <v>32530</v>
      </c>
      <c r="S4154" t="s">
        <v>32568</v>
      </c>
      <c r="T4154" t="s">
        <v>33338</v>
      </c>
      <c r="U4154" t="s">
        <v>37138</v>
      </c>
      <c r="W4154" t="s">
        <v>31113</v>
      </c>
      <c r="X4154" t="s">
        <v>32531</v>
      </c>
    </row>
    <row r="4155" spans="1:24">
      <c r="A4155">
        <f>HYPERLINK("https://www.philgeps.gov.ph/GEPSNONPILOT/Tender/SplashBidNoticeAbstractUI.aspx?menuIndex=3&amp;refID=7042517&amp;Result=3","7042517")</f>
        <v>0</v>
      </c>
      <c r="B4155" t="s">
        <v>1460</v>
      </c>
      <c r="C4155" t="s">
        <v>6647</v>
      </c>
      <c r="D4155" t="s">
        <v>13006</v>
      </c>
      <c r="E4155" t="s">
        <v>13881</v>
      </c>
      <c r="F4155" t="s">
        <v>22437</v>
      </c>
      <c r="G4155" t="s">
        <v>22446</v>
      </c>
      <c r="H4155" t="s">
        <v>22452</v>
      </c>
      <c r="I4155" t="s">
        <v>22460</v>
      </c>
      <c r="J4155" t="s">
        <v>25330</v>
      </c>
      <c r="K4155" t="s">
        <v>29336</v>
      </c>
      <c r="M4155" t="s">
        <v>31127</v>
      </c>
      <c r="N4155" t="s">
        <v>32524</v>
      </c>
      <c r="O4155" t="s">
        <v>32525</v>
      </c>
      <c r="P4155">
        <v>0</v>
      </c>
      <c r="Q4155">
        <v>1</v>
      </c>
      <c r="R4155" t="s">
        <v>32530</v>
      </c>
      <c r="S4155" t="s">
        <v>32568</v>
      </c>
      <c r="T4155" t="s">
        <v>33185</v>
      </c>
      <c r="U4155" t="s">
        <v>37139</v>
      </c>
      <c r="W4155" t="s">
        <v>31127</v>
      </c>
      <c r="X4155" t="s">
        <v>32531</v>
      </c>
    </row>
    <row r="4156" spans="1:24">
      <c r="A4156">
        <f>HYPERLINK("https://www.philgeps.gov.ph/GEPSNONPILOT/Tender/SplashBidNoticeAbstractUI.aspx?menuIndex=3&amp;refID=7042557&amp;Result=3","7042557")</f>
        <v>0</v>
      </c>
      <c r="B4156" t="s">
        <v>793</v>
      </c>
      <c r="C4156" t="s">
        <v>6648</v>
      </c>
      <c r="D4156" t="s">
        <v>13006</v>
      </c>
      <c r="E4156" t="s">
        <v>16807</v>
      </c>
      <c r="F4156" t="s">
        <v>22436</v>
      </c>
      <c r="G4156" t="s">
        <v>22445</v>
      </c>
      <c r="H4156" t="s">
        <v>22452</v>
      </c>
      <c r="I4156" t="s">
        <v>2981</v>
      </c>
      <c r="J4156" t="s">
        <v>25331</v>
      </c>
      <c r="K4156" t="s">
        <v>29336</v>
      </c>
      <c r="M4156" t="s">
        <v>30394</v>
      </c>
      <c r="N4156" t="s">
        <v>32524</v>
      </c>
      <c r="O4156" t="s">
        <v>32525</v>
      </c>
      <c r="P4156">
        <v>0</v>
      </c>
      <c r="Q4156">
        <v>1</v>
      </c>
      <c r="R4156" t="s">
        <v>32530</v>
      </c>
      <c r="S4156" t="s">
        <v>32568</v>
      </c>
      <c r="T4156" t="s">
        <v>33213</v>
      </c>
      <c r="U4156" t="s">
        <v>37140</v>
      </c>
      <c r="W4156" t="s">
        <v>30394</v>
      </c>
      <c r="X4156" t="s">
        <v>32531</v>
      </c>
    </row>
    <row r="4157" spans="1:24">
      <c r="A4157">
        <f>HYPERLINK("https://www.philgeps.gov.ph/GEPSNONPILOT/Tender/SplashBidNoticeAbstractUI.aspx?menuIndex=3&amp;refID=7042564&amp;Result=3","7042564")</f>
        <v>0</v>
      </c>
      <c r="B4157" t="s">
        <v>1417</v>
      </c>
      <c r="C4157" t="s">
        <v>6649</v>
      </c>
      <c r="D4157" t="s">
        <v>13026</v>
      </c>
      <c r="E4157" t="s">
        <v>16808</v>
      </c>
      <c r="F4157" t="s">
        <v>22437</v>
      </c>
      <c r="G4157" t="s">
        <v>22443</v>
      </c>
      <c r="H4157" t="s">
        <v>22452</v>
      </c>
      <c r="I4157" t="s">
        <v>3529</v>
      </c>
      <c r="J4157" t="s">
        <v>25332</v>
      </c>
      <c r="K4157" t="s">
        <v>29336</v>
      </c>
      <c r="M4157" t="s">
        <v>31078</v>
      </c>
      <c r="N4157" t="s">
        <v>32524</v>
      </c>
      <c r="O4157" t="s">
        <v>32525</v>
      </c>
      <c r="P4157">
        <v>0</v>
      </c>
      <c r="Q4157">
        <v>0</v>
      </c>
      <c r="R4157" t="s">
        <v>32530</v>
      </c>
      <c r="S4157" t="s">
        <v>32568</v>
      </c>
      <c r="T4157" t="s">
        <v>33210</v>
      </c>
      <c r="U4157" t="s">
        <v>37141</v>
      </c>
      <c r="W4157" t="s">
        <v>31078</v>
      </c>
      <c r="X4157" t="s">
        <v>32531</v>
      </c>
    </row>
    <row r="4158" spans="1:24">
      <c r="A4158">
        <f>HYPERLINK("https://www.philgeps.gov.ph/GEPSNONPILOT/Tender/SplashBidNoticeAbstractUI.aspx?menuIndex=3&amp;refID=7042544&amp;Result=3","7042544")</f>
        <v>0</v>
      </c>
      <c r="B4158" t="s">
        <v>766</v>
      </c>
      <c r="C4158" t="s">
        <v>6650</v>
      </c>
      <c r="D4158" t="s">
        <v>13006</v>
      </c>
      <c r="E4158" t="s">
        <v>16809</v>
      </c>
      <c r="F4158" t="s">
        <v>22436</v>
      </c>
      <c r="G4158" t="s">
        <v>22443</v>
      </c>
      <c r="H4158" t="s">
        <v>22452</v>
      </c>
      <c r="I4158" t="s">
        <v>22481</v>
      </c>
      <c r="J4158" t="s">
        <v>24442</v>
      </c>
      <c r="K4158" t="s">
        <v>29338</v>
      </c>
      <c r="M4158" t="s">
        <v>31128</v>
      </c>
      <c r="N4158" t="s">
        <v>32524</v>
      </c>
      <c r="O4158" t="s">
        <v>32525</v>
      </c>
      <c r="P4158">
        <v>0</v>
      </c>
      <c r="Q4158">
        <v>2</v>
      </c>
      <c r="R4158" t="s">
        <v>32530</v>
      </c>
      <c r="S4158" t="s">
        <v>32568</v>
      </c>
      <c r="T4158" t="s">
        <v>33323</v>
      </c>
      <c r="U4158" t="s">
        <v>37142</v>
      </c>
      <c r="W4158" t="s">
        <v>31128</v>
      </c>
      <c r="X4158" t="s">
        <v>32531</v>
      </c>
    </row>
    <row r="4159" spans="1:24">
      <c r="A4159">
        <f>HYPERLINK("https://www.philgeps.gov.ph/GEPSNONPILOT/Tender/SplashBidNoticeAbstractUI.aspx?menuIndex=3&amp;refID=7042566&amp;Result=3","7042566")</f>
        <v>0</v>
      </c>
      <c r="B4159" t="s">
        <v>321</v>
      </c>
      <c r="C4159" t="s">
        <v>6651</v>
      </c>
      <c r="D4159" t="s">
        <v>13045</v>
      </c>
      <c r="E4159" t="s">
        <v>16810</v>
      </c>
      <c r="F4159" t="s">
        <v>22436</v>
      </c>
      <c r="G4159" t="s">
        <v>22444</v>
      </c>
      <c r="H4159" t="s">
        <v>22454</v>
      </c>
      <c r="I4159" t="s">
        <v>7738</v>
      </c>
      <c r="J4159" t="s">
        <v>22634</v>
      </c>
      <c r="K4159" t="s">
        <v>29408</v>
      </c>
      <c r="M4159" t="s">
        <v>31121</v>
      </c>
      <c r="N4159" t="s">
        <v>32524</v>
      </c>
      <c r="O4159" t="s">
        <v>32525</v>
      </c>
      <c r="P4159">
        <v>0</v>
      </c>
      <c r="Q4159">
        <v>1</v>
      </c>
      <c r="R4159" t="s">
        <v>32530</v>
      </c>
      <c r="S4159" t="s">
        <v>32568</v>
      </c>
      <c r="T4159" t="s">
        <v>33385</v>
      </c>
      <c r="U4159" t="s">
        <v>37143</v>
      </c>
      <c r="W4159" t="s">
        <v>31121</v>
      </c>
      <c r="X4159" t="s">
        <v>32531</v>
      </c>
    </row>
    <row r="4160" spans="1:24">
      <c r="A4160">
        <f>HYPERLINK("https://www.philgeps.gov.ph/GEPSNONPILOT/Tender/SplashBidNoticeAbstractUI.aspx?menuIndex=3&amp;refID=7042587&amp;Result=3","7042587")</f>
        <v>0</v>
      </c>
      <c r="B4160" t="s">
        <v>1461</v>
      </c>
      <c r="C4160" t="s">
        <v>6652</v>
      </c>
      <c r="D4160" t="s">
        <v>12994</v>
      </c>
      <c r="E4160" t="s">
        <v>16811</v>
      </c>
      <c r="F4160" t="s">
        <v>22436</v>
      </c>
      <c r="G4160" t="s">
        <v>22444</v>
      </c>
      <c r="H4160" t="s">
        <v>22454</v>
      </c>
      <c r="I4160" t="s">
        <v>7738</v>
      </c>
      <c r="J4160" t="s">
        <v>24295</v>
      </c>
      <c r="K4160" t="s">
        <v>29454</v>
      </c>
      <c r="M4160" t="s">
        <v>31129</v>
      </c>
      <c r="N4160" t="s">
        <v>32524</v>
      </c>
      <c r="O4160" t="s">
        <v>32525</v>
      </c>
      <c r="P4160">
        <v>0</v>
      </c>
      <c r="Q4160">
        <v>24</v>
      </c>
      <c r="R4160" t="s">
        <v>32530</v>
      </c>
      <c r="S4160" t="s">
        <v>32568</v>
      </c>
      <c r="T4160" t="s">
        <v>33261</v>
      </c>
      <c r="U4160" t="s">
        <v>37144</v>
      </c>
      <c r="W4160" t="s">
        <v>31129</v>
      </c>
      <c r="X4160" t="s">
        <v>32531</v>
      </c>
    </row>
    <row r="4161" spans="1:24">
      <c r="A4161">
        <f>HYPERLINK("https://www.philgeps.gov.ph/GEPSNONPILOT/Tender/SplashBidNoticeAbstractUI.aspx?menuIndex=3&amp;refID=7042569&amp;Result=3","7042569")</f>
        <v>0</v>
      </c>
      <c r="B4161" t="s">
        <v>1450</v>
      </c>
      <c r="C4161" t="s">
        <v>6653</v>
      </c>
      <c r="D4161" t="s">
        <v>13011</v>
      </c>
      <c r="E4161" t="s">
        <v>16812</v>
      </c>
      <c r="F4161" t="s">
        <v>22436</v>
      </c>
      <c r="G4161" t="s">
        <v>22444</v>
      </c>
      <c r="H4161" t="s">
        <v>22454</v>
      </c>
      <c r="I4161" t="s">
        <v>7738</v>
      </c>
      <c r="J4161" t="s">
        <v>25333</v>
      </c>
      <c r="K4161" t="s">
        <v>29344</v>
      </c>
      <c r="M4161" t="s">
        <v>31114</v>
      </c>
      <c r="N4161" t="s">
        <v>32524</v>
      </c>
      <c r="O4161" t="s">
        <v>32525</v>
      </c>
      <c r="P4161">
        <v>0</v>
      </c>
      <c r="Q4161">
        <v>2</v>
      </c>
      <c r="R4161" t="s">
        <v>32530</v>
      </c>
      <c r="S4161" t="s">
        <v>32568</v>
      </c>
      <c r="T4161" t="s">
        <v>33212</v>
      </c>
      <c r="U4161" t="s">
        <v>37116</v>
      </c>
      <c r="V4161" t="s">
        <v>42866</v>
      </c>
      <c r="W4161" t="s">
        <v>31114</v>
      </c>
      <c r="X4161" t="s">
        <v>32531</v>
      </c>
    </row>
    <row r="4162" spans="1:24">
      <c r="A4162">
        <f>HYPERLINK("https://www.philgeps.gov.ph/GEPSNONPILOT/Tender/SplashBidNoticeAbstractUI.aspx?menuIndex=3&amp;refID=7042563&amp;Result=3","7042563")</f>
        <v>0</v>
      </c>
      <c r="B4162" t="s">
        <v>1462</v>
      </c>
      <c r="C4162" t="s">
        <v>6654</v>
      </c>
      <c r="D4162" t="s">
        <v>13041</v>
      </c>
      <c r="E4162" t="s">
        <v>16813</v>
      </c>
      <c r="F4162" t="s">
        <v>22436</v>
      </c>
      <c r="G4162" t="s">
        <v>22444</v>
      </c>
      <c r="H4162" t="s">
        <v>22453</v>
      </c>
      <c r="I4162" t="s">
        <v>22475</v>
      </c>
      <c r="J4162" t="s">
        <v>22779</v>
      </c>
      <c r="K4162" t="s">
        <v>29335</v>
      </c>
      <c r="M4162" t="s">
        <v>31130</v>
      </c>
      <c r="N4162" t="s">
        <v>32524</v>
      </c>
      <c r="O4162" t="s">
        <v>32525</v>
      </c>
      <c r="Q4162">
        <v>0</v>
      </c>
      <c r="R4162" t="s">
        <v>32530</v>
      </c>
      <c r="S4162" t="s">
        <v>32577</v>
      </c>
      <c r="T4162" t="s">
        <v>33178</v>
      </c>
      <c r="U4162" t="s">
        <v>37145</v>
      </c>
      <c r="W4162" t="s">
        <v>31130</v>
      </c>
      <c r="X4162" t="s">
        <v>32531</v>
      </c>
    </row>
    <row r="4163" spans="1:24">
      <c r="A4163">
        <f>HYPERLINK("https://www.philgeps.gov.ph/GEPSNONPILOT/Tender/SplashBidNoticeAbstractUI.aspx?menuIndex=3&amp;refID=7042578&amp;Result=3","7042578")</f>
        <v>0</v>
      </c>
      <c r="B4163" t="s">
        <v>460</v>
      </c>
      <c r="C4163" t="s">
        <v>6655</v>
      </c>
      <c r="D4163" t="s">
        <v>13023</v>
      </c>
      <c r="E4163" t="s">
        <v>16814</v>
      </c>
      <c r="F4163" t="s">
        <v>22436</v>
      </c>
      <c r="G4163" t="s">
        <v>22444</v>
      </c>
      <c r="H4163" t="s">
        <v>22454</v>
      </c>
      <c r="I4163" t="s">
        <v>7738</v>
      </c>
      <c r="J4163" t="s">
        <v>25334</v>
      </c>
      <c r="K4163" t="s">
        <v>29333</v>
      </c>
      <c r="M4163" t="s">
        <v>30042</v>
      </c>
      <c r="N4163" t="s">
        <v>32524</v>
      </c>
      <c r="O4163" t="s">
        <v>32525</v>
      </c>
      <c r="P4163">
        <v>0</v>
      </c>
      <c r="Q4163">
        <v>0</v>
      </c>
      <c r="R4163" t="s">
        <v>32530</v>
      </c>
      <c r="S4163" t="s">
        <v>32568</v>
      </c>
      <c r="T4163" t="s">
        <v>33155</v>
      </c>
      <c r="U4163" t="s">
        <v>37146</v>
      </c>
      <c r="W4163" t="s">
        <v>30042</v>
      </c>
      <c r="X4163" t="s">
        <v>32531</v>
      </c>
    </row>
    <row r="4164" spans="1:24">
      <c r="A4164">
        <f>HYPERLINK("https://www.philgeps.gov.ph/GEPSNONPILOT/Tender/SplashBidNoticeAbstractUI.aspx?menuIndex=3&amp;refID=7042583&amp;Result=3","7042583")</f>
        <v>0</v>
      </c>
      <c r="B4164" t="s">
        <v>411</v>
      </c>
      <c r="C4164" t="s">
        <v>6656</v>
      </c>
      <c r="D4164" t="s">
        <v>13015</v>
      </c>
      <c r="E4164" t="s">
        <v>16815</v>
      </c>
      <c r="F4164" t="s">
        <v>22436</v>
      </c>
      <c r="G4164" t="s">
        <v>22443</v>
      </c>
      <c r="H4164" t="s">
        <v>22452</v>
      </c>
      <c r="I4164" t="s">
        <v>5194</v>
      </c>
      <c r="J4164" t="s">
        <v>25335</v>
      </c>
      <c r="K4164" t="s">
        <v>29341</v>
      </c>
      <c r="M4164" t="s">
        <v>29990</v>
      </c>
      <c r="N4164" t="s">
        <v>32524</v>
      </c>
      <c r="O4164" t="s">
        <v>32525</v>
      </c>
      <c r="P4164">
        <v>0</v>
      </c>
      <c r="Q4164">
        <v>3</v>
      </c>
      <c r="R4164" t="s">
        <v>32530</v>
      </c>
      <c r="S4164" t="s">
        <v>32568</v>
      </c>
      <c r="T4164" t="s">
        <v>33213</v>
      </c>
      <c r="U4164" t="s">
        <v>37147</v>
      </c>
      <c r="W4164" t="s">
        <v>29990</v>
      </c>
      <c r="X4164" t="s">
        <v>32531</v>
      </c>
    </row>
    <row r="4165" spans="1:24">
      <c r="A4165">
        <f>HYPERLINK("https://www.philgeps.gov.ph/GEPSNONPILOT/Tender/SplashBidNoticeAbstractUI.aspx?menuIndex=3&amp;refID=7042581&amp;Result=3","7042581")</f>
        <v>0</v>
      </c>
      <c r="B4165" t="s">
        <v>1270</v>
      </c>
      <c r="C4165" t="s">
        <v>6657</v>
      </c>
      <c r="D4165" t="s">
        <v>13035</v>
      </c>
      <c r="E4165" t="s">
        <v>16816</v>
      </c>
      <c r="F4165" t="s">
        <v>22436</v>
      </c>
      <c r="G4165" t="s">
        <v>22444</v>
      </c>
      <c r="H4165" t="s">
        <v>22452</v>
      </c>
      <c r="I4165" t="s">
        <v>3529</v>
      </c>
      <c r="J4165" t="s">
        <v>25336</v>
      </c>
      <c r="K4165" t="s">
        <v>29331</v>
      </c>
      <c r="M4165" t="s">
        <v>30923</v>
      </c>
      <c r="N4165" t="s">
        <v>32524</v>
      </c>
      <c r="O4165" t="s">
        <v>32525</v>
      </c>
      <c r="P4165">
        <v>0</v>
      </c>
      <c r="Q4165">
        <v>0</v>
      </c>
      <c r="R4165" t="s">
        <v>32530</v>
      </c>
      <c r="S4165" t="s">
        <v>32568</v>
      </c>
      <c r="T4165" t="s">
        <v>33293</v>
      </c>
      <c r="U4165" t="s">
        <v>37148</v>
      </c>
      <c r="W4165" t="s">
        <v>30923</v>
      </c>
      <c r="X4165" t="s">
        <v>32531</v>
      </c>
    </row>
    <row r="4166" spans="1:24">
      <c r="A4166">
        <f>HYPERLINK("https://www.philgeps.gov.ph/GEPSNONPILOT/Tender/SplashBidNoticeAbstractUI.aspx?menuIndex=3&amp;refID=7042615&amp;Result=3","7042615")</f>
        <v>0</v>
      </c>
      <c r="B4166" t="s">
        <v>246</v>
      </c>
      <c r="C4166" t="s">
        <v>6544</v>
      </c>
      <c r="D4166" t="s">
        <v>13006</v>
      </c>
      <c r="E4166" t="s">
        <v>16817</v>
      </c>
      <c r="F4166" t="s">
        <v>22436</v>
      </c>
      <c r="G4166" t="s">
        <v>22444</v>
      </c>
      <c r="H4166" t="s">
        <v>22452</v>
      </c>
      <c r="I4166" t="s">
        <v>22492</v>
      </c>
      <c r="J4166" t="s">
        <v>25337</v>
      </c>
      <c r="K4166" t="s">
        <v>29335</v>
      </c>
      <c r="M4166" t="s">
        <v>30567</v>
      </c>
      <c r="N4166" t="s">
        <v>32524</v>
      </c>
      <c r="O4166" t="s">
        <v>32525</v>
      </c>
      <c r="P4166">
        <v>0</v>
      </c>
      <c r="Q4166">
        <v>0</v>
      </c>
      <c r="R4166" t="s">
        <v>32530</v>
      </c>
      <c r="S4166" t="s">
        <v>32568</v>
      </c>
      <c r="T4166" t="s">
        <v>33277</v>
      </c>
      <c r="U4166" t="s">
        <v>37149</v>
      </c>
      <c r="W4166" t="s">
        <v>30567</v>
      </c>
      <c r="X4166" t="s">
        <v>32531</v>
      </c>
    </row>
    <row r="4167" spans="1:24">
      <c r="A4167">
        <f>HYPERLINK("https://www.philgeps.gov.ph/GEPSNONPILOT/Tender/SplashBidNoticeAbstractUI.aspx?menuIndex=3&amp;refID=7042574&amp;Result=3","7042574")</f>
        <v>0</v>
      </c>
      <c r="B4167" t="s">
        <v>339</v>
      </c>
      <c r="C4167" t="s">
        <v>6658</v>
      </c>
      <c r="D4167" t="s">
        <v>12990</v>
      </c>
      <c r="E4167" t="s">
        <v>16818</v>
      </c>
      <c r="F4167" t="s">
        <v>22436</v>
      </c>
      <c r="G4167" t="s">
        <v>22443</v>
      </c>
      <c r="H4167" t="s">
        <v>22452</v>
      </c>
      <c r="I4167" t="s">
        <v>3122</v>
      </c>
      <c r="J4167" t="s">
        <v>22960</v>
      </c>
      <c r="K4167" t="s">
        <v>29338</v>
      </c>
      <c r="M4167" t="s">
        <v>31131</v>
      </c>
      <c r="N4167" t="s">
        <v>32524</v>
      </c>
      <c r="O4167" t="s">
        <v>32525</v>
      </c>
      <c r="P4167">
        <v>0</v>
      </c>
      <c r="Q4167">
        <v>0</v>
      </c>
      <c r="R4167" t="s">
        <v>32530</v>
      </c>
      <c r="S4167" t="s">
        <v>32568</v>
      </c>
      <c r="T4167" t="s">
        <v>33154</v>
      </c>
      <c r="U4167" t="s">
        <v>37150</v>
      </c>
      <c r="W4167" t="s">
        <v>31131</v>
      </c>
      <c r="X4167" t="s">
        <v>32531</v>
      </c>
    </row>
    <row r="4168" spans="1:24">
      <c r="A4168">
        <f>HYPERLINK("https://www.philgeps.gov.ph/GEPSNONPILOT/Tender/SplashBidNoticeAbstractUI.aspx?menuIndex=3&amp;refID=7042613&amp;Result=3","7042613")</f>
        <v>0</v>
      </c>
      <c r="B4168" t="s">
        <v>1355</v>
      </c>
      <c r="C4168" t="s">
        <v>6659</v>
      </c>
      <c r="D4168" t="s">
        <v>12999</v>
      </c>
      <c r="E4168" t="s">
        <v>13320</v>
      </c>
      <c r="F4168" t="s">
        <v>22436</v>
      </c>
      <c r="G4168" t="s">
        <v>22443</v>
      </c>
      <c r="H4168" t="s">
        <v>22452</v>
      </c>
      <c r="I4168" t="s">
        <v>22460</v>
      </c>
      <c r="J4168" t="s">
        <v>25338</v>
      </c>
      <c r="K4168" t="s">
        <v>29338</v>
      </c>
      <c r="M4168" t="s">
        <v>31011</v>
      </c>
      <c r="N4168" t="s">
        <v>32524</v>
      </c>
      <c r="O4168" t="s">
        <v>32525</v>
      </c>
      <c r="P4168">
        <v>0</v>
      </c>
      <c r="Q4168">
        <v>5</v>
      </c>
      <c r="R4168" t="s">
        <v>32530</v>
      </c>
      <c r="S4168" t="s">
        <v>32568</v>
      </c>
      <c r="T4168" t="s">
        <v>33372</v>
      </c>
      <c r="U4168" t="s">
        <v>37151</v>
      </c>
      <c r="W4168" t="s">
        <v>31011</v>
      </c>
      <c r="X4168" t="s">
        <v>32531</v>
      </c>
    </row>
    <row r="4169" spans="1:24">
      <c r="A4169">
        <f>HYPERLINK("https://www.philgeps.gov.ph/GEPSNONPILOT/Tender/SplashBidNoticeAbstractUI.aspx?menuIndex=3&amp;refID=7042570&amp;Result=3","7042570")</f>
        <v>0</v>
      </c>
      <c r="B4169" t="s">
        <v>1461</v>
      </c>
      <c r="C4169" t="s">
        <v>6660</v>
      </c>
      <c r="D4169" t="s">
        <v>12994</v>
      </c>
      <c r="E4169" t="s">
        <v>16819</v>
      </c>
      <c r="F4169" t="s">
        <v>22436</v>
      </c>
      <c r="G4169" t="s">
        <v>22444</v>
      </c>
      <c r="H4169" t="s">
        <v>22454</v>
      </c>
      <c r="I4169" t="s">
        <v>7738</v>
      </c>
      <c r="J4169" t="s">
        <v>25339</v>
      </c>
      <c r="K4169" t="s">
        <v>29454</v>
      </c>
      <c r="M4169" t="s">
        <v>31129</v>
      </c>
      <c r="N4169" t="s">
        <v>32524</v>
      </c>
      <c r="O4169" t="s">
        <v>32525</v>
      </c>
      <c r="P4169">
        <v>0</v>
      </c>
      <c r="Q4169">
        <v>19</v>
      </c>
      <c r="R4169" t="s">
        <v>32530</v>
      </c>
      <c r="S4169" t="s">
        <v>32568</v>
      </c>
      <c r="T4169" t="s">
        <v>33261</v>
      </c>
      <c r="U4169" t="s">
        <v>37152</v>
      </c>
      <c r="W4169" t="s">
        <v>31129</v>
      </c>
      <c r="X4169" t="s">
        <v>32531</v>
      </c>
    </row>
    <row r="4170" spans="1:24">
      <c r="A4170">
        <f>HYPERLINK("https://www.philgeps.gov.ph/GEPSNONPILOT/Tender/SplashBidNoticeAbstractUI.aspx?menuIndex=3&amp;refID=7042602&amp;Result=3","7042602")</f>
        <v>0</v>
      </c>
      <c r="B4170" t="s">
        <v>1436</v>
      </c>
      <c r="C4170" t="s">
        <v>6661</v>
      </c>
      <c r="D4170" t="s">
        <v>13004</v>
      </c>
      <c r="E4170" t="s">
        <v>16820</v>
      </c>
      <c r="F4170" t="s">
        <v>22436</v>
      </c>
      <c r="G4170" t="s">
        <v>22444</v>
      </c>
      <c r="H4170" t="s">
        <v>22452</v>
      </c>
      <c r="I4170" t="s">
        <v>22484</v>
      </c>
      <c r="J4170" t="s">
        <v>25340</v>
      </c>
      <c r="K4170" t="s">
        <v>29333</v>
      </c>
      <c r="M4170" t="s">
        <v>31099</v>
      </c>
      <c r="N4170" t="s">
        <v>32524</v>
      </c>
      <c r="O4170" t="s">
        <v>32525</v>
      </c>
      <c r="P4170">
        <v>0</v>
      </c>
      <c r="Q4170">
        <v>28</v>
      </c>
      <c r="R4170" t="s">
        <v>32530</v>
      </c>
      <c r="S4170" t="s">
        <v>32568</v>
      </c>
      <c r="T4170" t="s">
        <v>33440</v>
      </c>
      <c r="U4170" t="s">
        <v>37153</v>
      </c>
      <c r="V4170" t="s">
        <v>42428</v>
      </c>
      <c r="W4170" t="s">
        <v>31099</v>
      </c>
      <c r="X4170" t="s">
        <v>32531</v>
      </c>
    </row>
    <row r="4171" spans="1:24">
      <c r="A4171">
        <f>HYPERLINK("https://www.philgeps.gov.ph/GEPSNONPILOT/Tender/SplashBidNoticeAbstractUI.aspx?menuIndex=3&amp;refID=7042572&amp;Result=3","7042572")</f>
        <v>0</v>
      </c>
      <c r="B4171" t="s">
        <v>793</v>
      </c>
      <c r="C4171" t="s">
        <v>6662</v>
      </c>
      <c r="D4171" t="s">
        <v>13006</v>
      </c>
      <c r="E4171" t="s">
        <v>16821</v>
      </c>
      <c r="F4171" t="s">
        <v>22436</v>
      </c>
      <c r="G4171" t="s">
        <v>22445</v>
      </c>
      <c r="H4171" t="s">
        <v>22452</v>
      </c>
      <c r="I4171" t="s">
        <v>2981</v>
      </c>
      <c r="J4171" t="s">
        <v>24442</v>
      </c>
      <c r="K4171" t="s">
        <v>29336</v>
      </c>
      <c r="M4171" t="s">
        <v>30394</v>
      </c>
      <c r="N4171" t="s">
        <v>32524</v>
      </c>
      <c r="O4171" t="s">
        <v>32525</v>
      </c>
      <c r="P4171">
        <v>0</v>
      </c>
      <c r="Q4171">
        <v>1</v>
      </c>
      <c r="R4171" t="s">
        <v>32530</v>
      </c>
      <c r="S4171" t="s">
        <v>32568</v>
      </c>
      <c r="T4171" t="s">
        <v>33213</v>
      </c>
      <c r="U4171" t="s">
        <v>37140</v>
      </c>
      <c r="W4171" t="s">
        <v>30394</v>
      </c>
      <c r="X4171" t="s">
        <v>32531</v>
      </c>
    </row>
    <row r="4172" spans="1:24">
      <c r="A4172">
        <f>HYPERLINK("https://www.philgeps.gov.ph/GEPSNONPILOT/Tender/SplashBidNoticeAbstractUI.aspx?menuIndex=3&amp;refID=7042605&amp;Result=3","7042605")</f>
        <v>0</v>
      </c>
      <c r="B4172" t="s">
        <v>311</v>
      </c>
      <c r="C4172" t="s">
        <v>6663</v>
      </c>
      <c r="D4172" t="s">
        <v>13035</v>
      </c>
      <c r="E4172" t="s">
        <v>16822</v>
      </c>
      <c r="F4172" t="s">
        <v>22436</v>
      </c>
      <c r="G4172" t="s">
        <v>22444</v>
      </c>
      <c r="H4172" t="s">
        <v>22452</v>
      </c>
      <c r="I4172" t="s">
        <v>3529</v>
      </c>
      <c r="J4172" t="s">
        <v>25341</v>
      </c>
      <c r="K4172" t="s">
        <v>29338</v>
      </c>
      <c r="M4172" t="s">
        <v>29886</v>
      </c>
      <c r="N4172" t="s">
        <v>32524</v>
      </c>
      <c r="O4172" t="s">
        <v>32525</v>
      </c>
      <c r="P4172">
        <v>0</v>
      </c>
      <c r="Q4172">
        <v>1</v>
      </c>
      <c r="R4172" t="s">
        <v>32530</v>
      </c>
      <c r="S4172" t="s">
        <v>32568</v>
      </c>
      <c r="T4172" t="s">
        <v>33180</v>
      </c>
      <c r="U4172" t="s">
        <v>37154</v>
      </c>
      <c r="W4172" t="s">
        <v>29886</v>
      </c>
      <c r="X4172" t="s">
        <v>32531</v>
      </c>
    </row>
    <row r="4173" spans="1:24">
      <c r="A4173">
        <f>HYPERLINK("https://www.philgeps.gov.ph/GEPSNONPILOT/Tender/SplashBidNoticeAbstractUI.aspx?menuIndex=3&amp;refID=7042592&amp;Result=3","7042592")</f>
        <v>0</v>
      </c>
      <c r="B4173" t="s">
        <v>1463</v>
      </c>
      <c r="C4173" t="s">
        <v>6664</v>
      </c>
      <c r="D4173" t="s">
        <v>12999</v>
      </c>
      <c r="E4173" t="s">
        <v>16823</v>
      </c>
      <c r="F4173" t="s">
        <v>22436</v>
      </c>
      <c r="G4173" t="s">
        <v>22447</v>
      </c>
      <c r="H4173" t="s">
        <v>22452</v>
      </c>
      <c r="I4173" t="s">
        <v>3358</v>
      </c>
      <c r="J4173" t="s">
        <v>25342</v>
      </c>
      <c r="K4173" t="s">
        <v>29335</v>
      </c>
      <c r="M4173" t="s">
        <v>31132</v>
      </c>
      <c r="N4173" t="s">
        <v>32524</v>
      </c>
      <c r="O4173" t="s">
        <v>32525</v>
      </c>
      <c r="P4173">
        <v>0</v>
      </c>
      <c r="Q4173">
        <v>1</v>
      </c>
      <c r="R4173" t="s">
        <v>32530</v>
      </c>
      <c r="S4173" t="s">
        <v>32568</v>
      </c>
      <c r="T4173" t="s">
        <v>33169</v>
      </c>
      <c r="U4173" t="s">
        <v>37155</v>
      </c>
      <c r="W4173" t="s">
        <v>31132</v>
      </c>
      <c r="X4173" t="s">
        <v>32531</v>
      </c>
    </row>
    <row r="4174" spans="1:24">
      <c r="A4174">
        <f>HYPERLINK("https://www.philgeps.gov.ph/GEPSNONPILOT/Tender/SplashBidNoticeAbstractUI.aspx?menuIndex=3&amp;refID=7042599&amp;Result=3","7042599")</f>
        <v>0</v>
      </c>
      <c r="B4174" t="s">
        <v>398</v>
      </c>
      <c r="C4174" t="s">
        <v>6665</v>
      </c>
      <c r="D4174" t="s">
        <v>13018</v>
      </c>
      <c r="E4174" t="s">
        <v>16824</v>
      </c>
      <c r="F4174" t="s">
        <v>22436</v>
      </c>
      <c r="G4174" t="s">
        <v>22444</v>
      </c>
      <c r="H4174" t="s">
        <v>22452</v>
      </c>
      <c r="I4174" t="s">
        <v>22469</v>
      </c>
      <c r="J4174" t="s">
        <v>25343</v>
      </c>
      <c r="K4174" t="s">
        <v>29335</v>
      </c>
      <c r="M4174" t="s">
        <v>29977</v>
      </c>
      <c r="N4174" t="s">
        <v>32524</v>
      </c>
      <c r="O4174" t="s">
        <v>32525</v>
      </c>
      <c r="P4174">
        <v>0</v>
      </c>
      <c r="Q4174">
        <v>3</v>
      </c>
      <c r="R4174" t="s">
        <v>32530</v>
      </c>
      <c r="S4174" t="s">
        <v>32568</v>
      </c>
      <c r="T4174" t="s">
        <v>33164</v>
      </c>
      <c r="U4174" t="s">
        <v>37156</v>
      </c>
      <c r="W4174" t="s">
        <v>29977</v>
      </c>
      <c r="X4174" t="s">
        <v>32531</v>
      </c>
    </row>
    <row r="4175" spans="1:24">
      <c r="A4175">
        <f>HYPERLINK("https://www.philgeps.gov.ph/GEPSNONPILOT/Tender/SplashBidNoticeAbstractUI.aspx?menuIndex=3&amp;refID=7042606&amp;Result=3","7042606")</f>
        <v>0</v>
      </c>
      <c r="B4175" t="s">
        <v>1464</v>
      </c>
      <c r="C4175" t="s">
        <v>6666</v>
      </c>
      <c r="D4175" t="s">
        <v>13018</v>
      </c>
      <c r="E4175" t="s">
        <v>16825</v>
      </c>
      <c r="F4175" t="s">
        <v>22437</v>
      </c>
      <c r="G4175" t="s">
        <v>22443</v>
      </c>
      <c r="H4175" t="s">
        <v>22453</v>
      </c>
      <c r="I4175" t="s">
        <v>22545</v>
      </c>
      <c r="J4175" t="s">
        <v>22929</v>
      </c>
      <c r="K4175" t="s">
        <v>29397</v>
      </c>
      <c r="M4175" t="s">
        <v>31133</v>
      </c>
      <c r="N4175" t="s">
        <v>32524</v>
      </c>
      <c r="O4175" t="s">
        <v>32525</v>
      </c>
      <c r="P4175">
        <v>0</v>
      </c>
      <c r="Q4175">
        <v>1</v>
      </c>
      <c r="R4175" t="s">
        <v>32530</v>
      </c>
      <c r="S4175" t="s">
        <v>32568</v>
      </c>
      <c r="T4175" t="s">
        <v>33154</v>
      </c>
      <c r="U4175" t="s">
        <v>37157</v>
      </c>
      <c r="W4175" t="s">
        <v>31133</v>
      </c>
      <c r="X4175" t="s">
        <v>32531</v>
      </c>
    </row>
    <row r="4176" spans="1:24">
      <c r="A4176">
        <f>HYPERLINK("https://www.philgeps.gov.ph/GEPSNONPILOT/Tender/SplashBidNoticeAbstractUI.aspx?menuIndex=3&amp;refID=7042589&amp;Result=3","7042589")</f>
        <v>0</v>
      </c>
      <c r="B4176" t="s">
        <v>1247</v>
      </c>
      <c r="C4176" t="s">
        <v>6667</v>
      </c>
      <c r="D4176" t="s">
        <v>13013</v>
      </c>
      <c r="E4176" t="s">
        <v>16826</v>
      </c>
      <c r="F4176" t="s">
        <v>22436</v>
      </c>
      <c r="G4176" t="s">
        <v>22444</v>
      </c>
      <c r="H4176" t="s">
        <v>22452</v>
      </c>
      <c r="I4176" t="s">
        <v>22525</v>
      </c>
      <c r="J4176" t="s">
        <v>25344</v>
      </c>
      <c r="K4176" t="s">
        <v>29335</v>
      </c>
      <c r="M4176" t="s">
        <v>30899</v>
      </c>
      <c r="N4176" t="s">
        <v>32524</v>
      </c>
      <c r="O4176" t="s">
        <v>32525</v>
      </c>
      <c r="P4176">
        <v>0</v>
      </c>
      <c r="Q4176">
        <v>2</v>
      </c>
      <c r="R4176" t="s">
        <v>32530</v>
      </c>
      <c r="S4176" t="s">
        <v>32568</v>
      </c>
      <c r="T4176" t="s">
        <v>33212</v>
      </c>
      <c r="U4176" t="s">
        <v>37158</v>
      </c>
      <c r="W4176" t="s">
        <v>30899</v>
      </c>
      <c r="X4176" t="s">
        <v>32531</v>
      </c>
    </row>
    <row r="4177" spans="1:24">
      <c r="A4177">
        <f>HYPERLINK("https://www.philgeps.gov.ph/GEPSNONPILOT/Tender/SplashBidNoticeAbstractUI.aspx?menuIndex=3&amp;refID=7042618&amp;Result=3","7042618")</f>
        <v>0</v>
      </c>
      <c r="B4177" t="s">
        <v>1301</v>
      </c>
      <c r="C4177" t="s">
        <v>6668</v>
      </c>
      <c r="D4177" t="s">
        <v>13023</v>
      </c>
      <c r="E4177" t="s">
        <v>16827</v>
      </c>
      <c r="F4177" t="s">
        <v>22436</v>
      </c>
      <c r="G4177" t="s">
        <v>22444</v>
      </c>
      <c r="H4177" t="s">
        <v>22452</v>
      </c>
      <c r="I4177" t="s">
        <v>22465</v>
      </c>
      <c r="J4177" t="s">
        <v>25345</v>
      </c>
      <c r="K4177" t="s">
        <v>29333</v>
      </c>
      <c r="M4177" t="s">
        <v>30955</v>
      </c>
      <c r="N4177" t="s">
        <v>32524</v>
      </c>
      <c r="O4177" t="s">
        <v>32525</v>
      </c>
      <c r="P4177">
        <v>0</v>
      </c>
      <c r="Q4177">
        <v>7</v>
      </c>
      <c r="R4177" t="s">
        <v>32530</v>
      </c>
      <c r="S4177" t="s">
        <v>32568</v>
      </c>
      <c r="T4177" t="s">
        <v>33166</v>
      </c>
      <c r="U4177" t="s">
        <v>37159</v>
      </c>
      <c r="W4177" t="s">
        <v>30955</v>
      </c>
      <c r="X4177" t="s">
        <v>32531</v>
      </c>
    </row>
    <row r="4178" spans="1:24">
      <c r="A4178">
        <f>HYPERLINK("https://www.philgeps.gov.ph/GEPSNONPILOT/Tender/SplashBidNoticeAbstractUI.aspx?menuIndex=3&amp;refID=7042597&amp;Result=3","7042597")</f>
        <v>0</v>
      </c>
      <c r="B4178" t="s">
        <v>1461</v>
      </c>
      <c r="C4178" t="s">
        <v>6669</v>
      </c>
      <c r="D4178" t="s">
        <v>12994</v>
      </c>
      <c r="E4178" t="s">
        <v>16828</v>
      </c>
      <c r="F4178" t="s">
        <v>22436</v>
      </c>
      <c r="G4178" t="s">
        <v>22444</v>
      </c>
      <c r="H4178" t="s">
        <v>22454</v>
      </c>
      <c r="I4178" t="s">
        <v>7738</v>
      </c>
      <c r="J4178" t="s">
        <v>25346</v>
      </c>
      <c r="K4178" t="s">
        <v>29455</v>
      </c>
      <c r="M4178" t="s">
        <v>31129</v>
      </c>
      <c r="N4178" t="s">
        <v>32524</v>
      </c>
      <c r="O4178" t="s">
        <v>32525</v>
      </c>
      <c r="P4178">
        <v>0</v>
      </c>
      <c r="Q4178">
        <v>18</v>
      </c>
      <c r="R4178" t="s">
        <v>32530</v>
      </c>
      <c r="S4178" t="s">
        <v>32568</v>
      </c>
      <c r="T4178" t="s">
        <v>33261</v>
      </c>
      <c r="U4178" t="s">
        <v>37144</v>
      </c>
      <c r="W4178" t="s">
        <v>31129</v>
      </c>
      <c r="X4178" t="s">
        <v>32531</v>
      </c>
    </row>
    <row r="4179" spans="1:24">
      <c r="A4179">
        <f>HYPERLINK("https://www.philgeps.gov.ph/GEPSNONPILOT/Tender/SplashBidNoticeAbstractUI.aspx?menuIndex=3&amp;refID=7042625&amp;Result=3","7042625")</f>
        <v>0</v>
      </c>
      <c r="B4179" t="s">
        <v>766</v>
      </c>
      <c r="C4179" t="s">
        <v>6670</v>
      </c>
      <c r="D4179" t="s">
        <v>13007</v>
      </c>
      <c r="E4179" t="s">
        <v>16829</v>
      </c>
      <c r="F4179" t="s">
        <v>22436</v>
      </c>
      <c r="G4179" t="s">
        <v>22443</v>
      </c>
      <c r="H4179" t="s">
        <v>22452</v>
      </c>
      <c r="I4179" t="s">
        <v>22481</v>
      </c>
      <c r="J4179" t="s">
        <v>23562</v>
      </c>
      <c r="K4179" t="s">
        <v>29338</v>
      </c>
      <c r="M4179" t="s">
        <v>31128</v>
      </c>
      <c r="N4179" t="s">
        <v>32524</v>
      </c>
      <c r="O4179" t="s">
        <v>32525</v>
      </c>
      <c r="P4179">
        <v>0</v>
      </c>
      <c r="Q4179">
        <v>0</v>
      </c>
      <c r="R4179" t="s">
        <v>32530</v>
      </c>
      <c r="S4179" t="s">
        <v>32568</v>
      </c>
      <c r="T4179" t="s">
        <v>33323</v>
      </c>
      <c r="U4179" t="s">
        <v>37160</v>
      </c>
      <c r="W4179" t="s">
        <v>31128</v>
      </c>
      <c r="X4179" t="s">
        <v>32531</v>
      </c>
    </row>
    <row r="4180" spans="1:24">
      <c r="A4180">
        <f>HYPERLINK("https://www.philgeps.gov.ph/GEPSNONPILOT/Tender/SplashBidNoticeAbstractUI.aspx?menuIndex=3&amp;refID=7042621&amp;Result=3","7042621")</f>
        <v>0</v>
      </c>
      <c r="B4180" t="s">
        <v>411</v>
      </c>
      <c r="C4180" t="s">
        <v>6671</v>
      </c>
      <c r="D4180" t="s">
        <v>13015</v>
      </c>
      <c r="E4180" t="s">
        <v>16830</v>
      </c>
      <c r="F4180" t="s">
        <v>22436</v>
      </c>
      <c r="G4180" t="s">
        <v>22443</v>
      </c>
      <c r="H4180" t="s">
        <v>22452</v>
      </c>
      <c r="I4180" t="s">
        <v>22458</v>
      </c>
      <c r="J4180" t="s">
        <v>23514</v>
      </c>
      <c r="K4180" t="s">
        <v>29341</v>
      </c>
      <c r="M4180" t="s">
        <v>29990</v>
      </c>
      <c r="N4180" t="s">
        <v>32524</v>
      </c>
      <c r="O4180" t="s">
        <v>32525</v>
      </c>
      <c r="P4180">
        <v>0</v>
      </c>
      <c r="Q4180">
        <v>1</v>
      </c>
      <c r="R4180" t="s">
        <v>32530</v>
      </c>
      <c r="S4180" t="s">
        <v>32568</v>
      </c>
      <c r="T4180" t="s">
        <v>33213</v>
      </c>
      <c r="U4180" t="s">
        <v>37161</v>
      </c>
      <c r="W4180" t="s">
        <v>29990</v>
      </c>
      <c r="X4180" t="s">
        <v>32531</v>
      </c>
    </row>
    <row r="4181" spans="1:24">
      <c r="A4181">
        <f>HYPERLINK("https://www.philgeps.gov.ph/GEPSNONPILOT/Tender/SplashBidNoticeAbstractUI.aspx?menuIndex=3&amp;refID=7042627&amp;Result=3","7042627")</f>
        <v>0</v>
      </c>
      <c r="B4181" t="s">
        <v>66</v>
      </c>
      <c r="C4181" t="s">
        <v>6672</v>
      </c>
      <c r="D4181" t="s">
        <v>13018</v>
      </c>
      <c r="E4181" t="s">
        <v>16831</v>
      </c>
      <c r="F4181" t="s">
        <v>22436</v>
      </c>
      <c r="G4181" t="s">
        <v>22444</v>
      </c>
      <c r="H4181" t="s">
        <v>22452</v>
      </c>
      <c r="I4181" t="s">
        <v>3027</v>
      </c>
      <c r="J4181" t="s">
        <v>25347</v>
      </c>
      <c r="K4181" t="s">
        <v>29336</v>
      </c>
      <c r="M4181" t="s">
        <v>29638</v>
      </c>
      <c r="N4181" t="s">
        <v>32524</v>
      </c>
      <c r="O4181" t="s">
        <v>32525</v>
      </c>
      <c r="P4181">
        <v>0</v>
      </c>
      <c r="Q4181">
        <v>0</v>
      </c>
      <c r="R4181" t="s">
        <v>32530</v>
      </c>
      <c r="S4181" t="s">
        <v>32568</v>
      </c>
      <c r="T4181" t="s">
        <v>33154</v>
      </c>
      <c r="U4181" t="s">
        <v>37162</v>
      </c>
      <c r="W4181" t="s">
        <v>29638</v>
      </c>
      <c r="X4181" t="s">
        <v>32531</v>
      </c>
    </row>
    <row r="4182" spans="1:24">
      <c r="A4182">
        <f>HYPERLINK("https://www.philgeps.gov.ph/GEPSNONPILOT/Tender/SplashBidNoticeAbstractUI.aspx?menuIndex=3&amp;refID=7042623&amp;Result=3","7042623")</f>
        <v>0</v>
      </c>
      <c r="B4182" t="s">
        <v>1442</v>
      </c>
      <c r="C4182" t="s">
        <v>6673</v>
      </c>
      <c r="D4182" t="s">
        <v>13038</v>
      </c>
      <c r="E4182" t="s">
        <v>6673</v>
      </c>
      <c r="F4182" t="s">
        <v>22436</v>
      </c>
      <c r="G4182" t="s">
        <v>22443</v>
      </c>
      <c r="H4182" t="s">
        <v>22452</v>
      </c>
      <c r="I4182" t="s">
        <v>3381</v>
      </c>
      <c r="J4182" t="s">
        <v>23093</v>
      </c>
      <c r="K4182" t="s">
        <v>29335</v>
      </c>
      <c r="M4182" t="s">
        <v>31105</v>
      </c>
      <c r="N4182" t="s">
        <v>32524</v>
      </c>
      <c r="O4182" t="s">
        <v>32525</v>
      </c>
      <c r="P4182">
        <v>0</v>
      </c>
      <c r="Q4182">
        <v>0</v>
      </c>
      <c r="R4182" t="s">
        <v>32530</v>
      </c>
      <c r="S4182" t="s">
        <v>32568</v>
      </c>
      <c r="T4182" t="s">
        <v>33372</v>
      </c>
      <c r="U4182" t="s">
        <v>37163</v>
      </c>
      <c r="V4182" t="s">
        <v>42873</v>
      </c>
      <c r="W4182" t="s">
        <v>31105</v>
      </c>
      <c r="X4182" t="s">
        <v>32531</v>
      </c>
    </row>
    <row r="4183" spans="1:24">
      <c r="A4183">
        <f>HYPERLINK("https://www.philgeps.gov.ph/GEPSNONPILOT/Tender/SplashBidNoticeAbstractUI.aspx?menuIndex=3&amp;refID=7042667&amp;Result=3","7042667")</f>
        <v>0</v>
      </c>
      <c r="B4183" t="s">
        <v>1434</v>
      </c>
      <c r="C4183" t="s">
        <v>6674</v>
      </c>
      <c r="D4183" t="s">
        <v>13019</v>
      </c>
      <c r="E4183" t="s">
        <v>16832</v>
      </c>
      <c r="F4183" t="s">
        <v>22436</v>
      </c>
      <c r="G4183" t="s">
        <v>22444</v>
      </c>
      <c r="H4183" t="s">
        <v>22452</v>
      </c>
      <c r="I4183" t="s">
        <v>22482</v>
      </c>
      <c r="J4183" t="s">
        <v>25348</v>
      </c>
      <c r="K4183" t="s">
        <v>29363</v>
      </c>
      <c r="M4183" t="s">
        <v>31097</v>
      </c>
      <c r="N4183" t="s">
        <v>32524</v>
      </c>
      <c r="O4183" t="s">
        <v>32525</v>
      </c>
      <c r="P4183">
        <v>0</v>
      </c>
      <c r="Q4183">
        <v>4</v>
      </c>
      <c r="R4183" t="s">
        <v>32530</v>
      </c>
      <c r="S4183" t="s">
        <v>32568</v>
      </c>
      <c r="T4183" t="s">
        <v>33439</v>
      </c>
      <c r="U4183" t="s">
        <v>37164</v>
      </c>
      <c r="W4183" t="s">
        <v>31097</v>
      </c>
      <c r="X4183" t="s">
        <v>32531</v>
      </c>
    </row>
    <row r="4184" spans="1:24">
      <c r="A4184">
        <f>HYPERLINK("https://www.philgeps.gov.ph/GEPSNONPILOT/Tender/SplashBidNoticeAbstractUI.aspx?menuIndex=3&amp;refID=7042629&amp;Result=3","7042629")</f>
        <v>0</v>
      </c>
      <c r="B4184" t="s">
        <v>1465</v>
      </c>
      <c r="C4184" t="s">
        <v>6675</v>
      </c>
      <c r="D4184" t="s">
        <v>13002</v>
      </c>
      <c r="E4184" t="s">
        <v>14018</v>
      </c>
      <c r="F4184" t="s">
        <v>22436</v>
      </c>
      <c r="G4184" t="s">
        <v>22444</v>
      </c>
      <c r="H4184" t="s">
        <v>22452</v>
      </c>
      <c r="I4184" t="s">
        <v>3529</v>
      </c>
      <c r="J4184" t="s">
        <v>25349</v>
      </c>
      <c r="K4184" t="s">
        <v>29344</v>
      </c>
      <c r="M4184" t="s">
        <v>31134</v>
      </c>
      <c r="N4184" t="s">
        <v>32524</v>
      </c>
      <c r="O4184" t="s">
        <v>32525</v>
      </c>
      <c r="P4184">
        <v>0</v>
      </c>
      <c r="Q4184">
        <v>1</v>
      </c>
      <c r="R4184" t="s">
        <v>32530</v>
      </c>
      <c r="S4184" t="s">
        <v>32568</v>
      </c>
      <c r="T4184" t="s">
        <v>33237</v>
      </c>
      <c r="U4184" t="s">
        <v>37165</v>
      </c>
      <c r="W4184" t="s">
        <v>31134</v>
      </c>
      <c r="X4184" t="s">
        <v>32531</v>
      </c>
    </row>
    <row r="4185" spans="1:24">
      <c r="A4185">
        <f>HYPERLINK("https://www.philgeps.gov.ph/GEPSNONPILOT/Tender/SplashBidNoticeAbstractUI.aspx?menuIndex=3&amp;refID=7042659&amp;Result=3","7042659")</f>
        <v>0</v>
      </c>
      <c r="B4185" t="s">
        <v>1466</v>
      </c>
      <c r="C4185" t="s">
        <v>4449</v>
      </c>
      <c r="D4185" t="s">
        <v>13040</v>
      </c>
      <c r="E4185" t="s">
        <v>14095</v>
      </c>
      <c r="F4185" t="s">
        <v>22436</v>
      </c>
      <c r="G4185" t="s">
        <v>22446</v>
      </c>
      <c r="H4185" t="s">
        <v>22452</v>
      </c>
      <c r="I4185" t="s">
        <v>5194</v>
      </c>
      <c r="J4185" t="s">
        <v>25350</v>
      </c>
      <c r="K4185" t="s">
        <v>29336</v>
      </c>
      <c r="M4185" t="s">
        <v>31135</v>
      </c>
      <c r="N4185" t="s">
        <v>32524</v>
      </c>
      <c r="O4185" t="s">
        <v>32525</v>
      </c>
      <c r="P4185">
        <v>0</v>
      </c>
      <c r="Q4185">
        <v>8</v>
      </c>
      <c r="R4185" t="s">
        <v>32530</v>
      </c>
      <c r="S4185" t="s">
        <v>32568</v>
      </c>
      <c r="T4185" t="s">
        <v>33185</v>
      </c>
      <c r="U4185" t="s">
        <v>37166</v>
      </c>
      <c r="W4185" t="s">
        <v>31135</v>
      </c>
      <c r="X4185" t="s">
        <v>32531</v>
      </c>
    </row>
    <row r="4186" spans="1:24">
      <c r="A4186">
        <f>HYPERLINK("https://www.philgeps.gov.ph/GEPSNONPILOT/Tender/SplashBidNoticeAbstractUI.aspx?menuIndex=3&amp;refID=7042626&amp;Result=3","7042626")</f>
        <v>0</v>
      </c>
      <c r="B4186" t="s">
        <v>1436</v>
      </c>
      <c r="C4186" t="s">
        <v>6676</v>
      </c>
      <c r="D4186" t="s">
        <v>13004</v>
      </c>
      <c r="E4186" t="s">
        <v>16833</v>
      </c>
      <c r="F4186" t="s">
        <v>22436</v>
      </c>
      <c r="G4186" t="s">
        <v>22444</v>
      </c>
      <c r="H4186" t="s">
        <v>22452</v>
      </c>
      <c r="I4186" t="s">
        <v>22484</v>
      </c>
      <c r="J4186" t="s">
        <v>25351</v>
      </c>
      <c r="K4186" t="s">
        <v>29333</v>
      </c>
      <c r="M4186" t="s">
        <v>31099</v>
      </c>
      <c r="N4186" t="s">
        <v>32524</v>
      </c>
      <c r="O4186" t="s">
        <v>32525</v>
      </c>
      <c r="P4186">
        <v>0</v>
      </c>
      <c r="Q4186">
        <v>17</v>
      </c>
      <c r="R4186" t="s">
        <v>32530</v>
      </c>
      <c r="S4186" t="s">
        <v>32568</v>
      </c>
      <c r="T4186" t="s">
        <v>33440</v>
      </c>
      <c r="U4186" t="s">
        <v>37167</v>
      </c>
      <c r="V4186" t="s">
        <v>42428</v>
      </c>
      <c r="W4186" t="s">
        <v>31099</v>
      </c>
      <c r="X4186" t="s">
        <v>32531</v>
      </c>
    </row>
    <row r="4187" spans="1:24">
      <c r="A4187">
        <f>HYPERLINK("https://www.philgeps.gov.ph/GEPSNONPILOT/Tender/SplashBidNoticeAbstractUI.aspx?menuIndex=3&amp;refID=7042617&amp;Result=3","7042617")</f>
        <v>0</v>
      </c>
      <c r="B4187" t="s">
        <v>1461</v>
      </c>
      <c r="C4187" t="s">
        <v>6677</v>
      </c>
      <c r="D4187" t="s">
        <v>12994</v>
      </c>
      <c r="E4187" t="s">
        <v>16834</v>
      </c>
      <c r="F4187" t="s">
        <v>22436</v>
      </c>
      <c r="G4187" t="s">
        <v>22444</v>
      </c>
      <c r="H4187" t="s">
        <v>22454</v>
      </c>
      <c r="I4187" t="s">
        <v>7738</v>
      </c>
      <c r="J4187" t="s">
        <v>25263</v>
      </c>
      <c r="K4187" t="s">
        <v>29456</v>
      </c>
      <c r="M4187" t="s">
        <v>31129</v>
      </c>
      <c r="N4187" t="s">
        <v>32524</v>
      </c>
      <c r="O4187" t="s">
        <v>32525</v>
      </c>
      <c r="P4187">
        <v>0</v>
      </c>
      <c r="Q4187">
        <v>17</v>
      </c>
      <c r="R4187" t="s">
        <v>32530</v>
      </c>
      <c r="S4187" t="s">
        <v>32568</v>
      </c>
      <c r="T4187" t="s">
        <v>33261</v>
      </c>
      <c r="U4187" t="s">
        <v>37144</v>
      </c>
      <c r="W4187" t="s">
        <v>31129</v>
      </c>
      <c r="X4187" t="s">
        <v>32531</v>
      </c>
    </row>
    <row r="4188" spans="1:24">
      <c r="A4188">
        <f>HYPERLINK("https://www.philgeps.gov.ph/GEPSNONPILOT/Tender/SplashBidNoticeAbstractUI.aspx?menuIndex=3&amp;refID=7042666&amp;Result=3","7042666")</f>
        <v>0</v>
      </c>
      <c r="B4188" t="s">
        <v>506</v>
      </c>
      <c r="C4188" t="s">
        <v>6678</v>
      </c>
      <c r="D4188" t="s">
        <v>13010</v>
      </c>
      <c r="E4188" t="s">
        <v>16835</v>
      </c>
      <c r="F4188" t="s">
        <v>22436</v>
      </c>
      <c r="G4188" t="s">
        <v>22443</v>
      </c>
      <c r="H4188" t="s">
        <v>22452</v>
      </c>
      <c r="I4188" t="s">
        <v>22564</v>
      </c>
      <c r="J4188" t="s">
        <v>25352</v>
      </c>
      <c r="K4188" t="s">
        <v>29341</v>
      </c>
      <c r="M4188" t="s">
        <v>30090</v>
      </c>
      <c r="N4188" t="s">
        <v>32524</v>
      </c>
      <c r="O4188" t="s">
        <v>32525</v>
      </c>
      <c r="P4188">
        <v>0</v>
      </c>
      <c r="Q4188">
        <v>4</v>
      </c>
      <c r="R4188" t="s">
        <v>32530</v>
      </c>
      <c r="S4188" t="s">
        <v>32568</v>
      </c>
      <c r="T4188" t="s">
        <v>33169</v>
      </c>
      <c r="U4188" t="s">
        <v>34648</v>
      </c>
      <c r="V4188" t="s">
        <v>42533</v>
      </c>
      <c r="W4188" t="s">
        <v>30090</v>
      </c>
      <c r="X4188" t="s">
        <v>32531</v>
      </c>
    </row>
    <row r="4189" spans="1:24">
      <c r="A4189">
        <f>HYPERLINK("https://www.philgeps.gov.ph/GEPSNONPILOT/Tender/SplashBidNoticeAbstractUI.aspx?menuIndex=3&amp;refID=7042656&amp;Result=3","7042656")</f>
        <v>0</v>
      </c>
      <c r="B4189" t="s">
        <v>1467</v>
      </c>
      <c r="C4189" t="s">
        <v>6679</v>
      </c>
      <c r="D4189" t="s">
        <v>13010</v>
      </c>
      <c r="E4189" t="s">
        <v>16836</v>
      </c>
      <c r="F4189" t="s">
        <v>22436</v>
      </c>
      <c r="G4189" t="s">
        <v>22443</v>
      </c>
      <c r="H4189" t="s">
        <v>22452</v>
      </c>
      <c r="I4189" t="s">
        <v>22465</v>
      </c>
      <c r="J4189" t="s">
        <v>22588</v>
      </c>
      <c r="K4189" t="s">
        <v>29341</v>
      </c>
      <c r="M4189" t="s">
        <v>31136</v>
      </c>
      <c r="N4189" t="s">
        <v>32524</v>
      </c>
      <c r="O4189" t="s">
        <v>32525</v>
      </c>
      <c r="P4189">
        <v>0</v>
      </c>
      <c r="Q4189">
        <v>1</v>
      </c>
      <c r="R4189" t="s">
        <v>32530</v>
      </c>
      <c r="S4189" t="s">
        <v>32568</v>
      </c>
      <c r="T4189" t="s">
        <v>33372</v>
      </c>
      <c r="U4189" t="s">
        <v>37168</v>
      </c>
      <c r="W4189" t="s">
        <v>31136</v>
      </c>
      <c r="X4189" t="s">
        <v>32531</v>
      </c>
    </row>
    <row r="4190" spans="1:24">
      <c r="A4190">
        <f>HYPERLINK("https://www.philgeps.gov.ph/GEPSNONPILOT/Tender/SplashBidNoticeAbstractUI.aspx?menuIndex=3&amp;refID=7042652&amp;Result=3","7042652")</f>
        <v>0</v>
      </c>
      <c r="B4190" t="s">
        <v>1465</v>
      </c>
      <c r="C4190" t="s">
        <v>6680</v>
      </c>
      <c r="D4190" t="s">
        <v>13002</v>
      </c>
      <c r="E4190" t="s">
        <v>13668</v>
      </c>
      <c r="F4190" t="s">
        <v>22436</v>
      </c>
      <c r="G4190" t="s">
        <v>22443</v>
      </c>
      <c r="H4190" t="s">
        <v>22452</v>
      </c>
      <c r="I4190" t="s">
        <v>3529</v>
      </c>
      <c r="J4190" t="s">
        <v>25353</v>
      </c>
      <c r="K4190" t="s">
        <v>29337</v>
      </c>
      <c r="M4190" t="s">
        <v>31134</v>
      </c>
      <c r="N4190" t="s">
        <v>32524</v>
      </c>
      <c r="O4190" t="s">
        <v>32525</v>
      </c>
      <c r="P4190">
        <v>0</v>
      </c>
      <c r="Q4190">
        <v>1</v>
      </c>
      <c r="R4190" t="s">
        <v>32530</v>
      </c>
      <c r="S4190" t="s">
        <v>32568</v>
      </c>
      <c r="T4190" t="s">
        <v>33339</v>
      </c>
      <c r="U4190" t="s">
        <v>37169</v>
      </c>
      <c r="W4190" t="s">
        <v>31134</v>
      </c>
      <c r="X4190" t="s">
        <v>32531</v>
      </c>
    </row>
    <row r="4191" spans="1:24">
      <c r="A4191">
        <f>HYPERLINK("https://www.philgeps.gov.ph/GEPSNONPILOT/Tender/SplashBidNoticeAbstractUI.aspx?menuIndex=3&amp;refID=7042660&amp;Result=3","7042660")</f>
        <v>0</v>
      </c>
      <c r="B4191" t="s">
        <v>1468</v>
      </c>
      <c r="C4191" t="s">
        <v>6681</v>
      </c>
      <c r="D4191" t="s">
        <v>13022</v>
      </c>
      <c r="E4191" t="s">
        <v>16837</v>
      </c>
      <c r="F4191" t="s">
        <v>22437</v>
      </c>
      <c r="G4191" t="s">
        <v>22443</v>
      </c>
      <c r="H4191" t="s">
        <v>22452</v>
      </c>
      <c r="I4191" t="s">
        <v>2981</v>
      </c>
      <c r="J4191" t="s">
        <v>24625</v>
      </c>
      <c r="K4191" t="s">
        <v>29341</v>
      </c>
      <c r="M4191" t="s">
        <v>31137</v>
      </c>
      <c r="N4191" t="s">
        <v>32524</v>
      </c>
      <c r="O4191" t="s">
        <v>32525</v>
      </c>
      <c r="P4191">
        <v>0</v>
      </c>
      <c r="Q4191">
        <v>1</v>
      </c>
      <c r="R4191" t="s">
        <v>32530</v>
      </c>
      <c r="S4191" t="s">
        <v>32568</v>
      </c>
      <c r="T4191" t="s">
        <v>33167</v>
      </c>
      <c r="U4191" t="s">
        <v>37170</v>
      </c>
      <c r="W4191" t="s">
        <v>31137</v>
      </c>
      <c r="X4191" t="s">
        <v>32531</v>
      </c>
    </row>
    <row r="4192" spans="1:24">
      <c r="A4192">
        <f>HYPERLINK("https://www.philgeps.gov.ph/GEPSNONPILOT/Tender/SplashBidNoticeAbstractUI.aspx?menuIndex=3&amp;refID=7042658&amp;Result=3","7042658")</f>
        <v>0</v>
      </c>
      <c r="B4192" t="s">
        <v>1469</v>
      </c>
      <c r="C4192" t="s">
        <v>6682</v>
      </c>
      <c r="D4192" t="s">
        <v>13034</v>
      </c>
      <c r="E4192" t="s">
        <v>14828</v>
      </c>
      <c r="F4192" t="s">
        <v>22436</v>
      </c>
      <c r="G4192" t="s">
        <v>22443</v>
      </c>
      <c r="H4192" t="s">
        <v>22455</v>
      </c>
      <c r="I4192" t="s">
        <v>22486</v>
      </c>
      <c r="J4192" t="s">
        <v>24863</v>
      </c>
      <c r="K4192" t="s">
        <v>29371</v>
      </c>
      <c r="M4192" t="s">
        <v>31138</v>
      </c>
      <c r="N4192" t="s">
        <v>32524</v>
      </c>
      <c r="O4192" t="s">
        <v>32525</v>
      </c>
      <c r="P4192">
        <v>0</v>
      </c>
      <c r="Q4192">
        <v>0</v>
      </c>
      <c r="R4192" t="s">
        <v>32530</v>
      </c>
      <c r="S4192" t="s">
        <v>32568</v>
      </c>
      <c r="T4192" t="s">
        <v>33213</v>
      </c>
      <c r="U4192" t="s">
        <v>37171</v>
      </c>
      <c r="W4192" t="s">
        <v>31138</v>
      </c>
      <c r="X4192" t="s">
        <v>32531</v>
      </c>
    </row>
    <row r="4193" spans="1:24">
      <c r="A4193">
        <f>HYPERLINK("https://www.philgeps.gov.ph/GEPSNONPILOT/Tender/SplashBidNoticeAbstractUI.aspx?menuIndex=3&amp;refID=7042645&amp;Result=3","7042645")</f>
        <v>0</v>
      </c>
      <c r="B4193" t="s">
        <v>166</v>
      </c>
      <c r="C4193" t="s">
        <v>6683</v>
      </c>
      <c r="D4193" t="s">
        <v>13022</v>
      </c>
      <c r="E4193" t="s">
        <v>16838</v>
      </c>
      <c r="F4193" t="s">
        <v>22436</v>
      </c>
      <c r="G4193" t="s">
        <v>22444</v>
      </c>
      <c r="H4193" t="s">
        <v>22452</v>
      </c>
      <c r="I4193" t="s">
        <v>22479</v>
      </c>
      <c r="J4193" t="s">
        <v>23387</v>
      </c>
      <c r="K4193" t="s">
        <v>29335</v>
      </c>
      <c r="M4193" t="s">
        <v>29813</v>
      </c>
      <c r="N4193" t="s">
        <v>32524</v>
      </c>
      <c r="O4193" t="s">
        <v>32525</v>
      </c>
      <c r="P4193">
        <v>0</v>
      </c>
      <c r="Q4193">
        <v>5</v>
      </c>
      <c r="R4193" t="s">
        <v>32530</v>
      </c>
      <c r="S4193" t="s">
        <v>32568</v>
      </c>
      <c r="T4193" t="s">
        <v>33405</v>
      </c>
      <c r="U4193" t="s">
        <v>37172</v>
      </c>
      <c r="W4193" t="s">
        <v>29813</v>
      </c>
      <c r="X4193" t="s">
        <v>32531</v>
      </c>
    </row>
    <row r="4194" spans="1:24">
      <c r="A4194">
        <f>HYPERLINK("https://www.philgeps.gov.ph/GEPSNONPILOT/Tender/SplashBidNoticeAbstractUI.aspx?menuIndex=3&amp;refID=7042631&amp;Result=3","7042631")</f>
        <v>0</v>
      </c>
      <c r="B4194" t="s">
        <v>1470</v>
      </c>
      <c r="C4194" t="s">
        <v>6684</v>
      </c>
      <c r="D4194" t="s">
        <v>13000</v>
      </c>
      <c r="E4194" t="s">
        <v>16839</v>
      </c>
      <c r="F4194" t="s">
        <v>22436</v>
      </c>
      <c r="G4194" t="s">
        <v>22444</v>
      </c>
      <c r="H4194" t="s">
        <v>22452</v>
      </c>
      <c r="I4194" t="s">
        <v>7738</v>
      </c>
      <c r="J4194" t="s">
        <v>25354</v>
      </c>
      <c r="K4194" t="s">
        <v>29335</v>
      </c>
      <c r="M4194" t="s">
        <v>31139</v>
      </c>
      <c r="N4194" t="s">
        <v>32524</v>
      </c>
      <c r="O4194" t="s">
        <v>32525</v>
      </c>
      <c r="P4194">
        <v>0</v>
      </c>
      <c r="Q4194">
        <v>0</v>
      </c>
      <c r="R4194" t="s">
        <v>32530</v>
      </c>
      <c r="S4194" t="s">
        <v>32568</v>
      </c>
      <c r="T4194" t="s">
        <v>33301</v>
      </c>
      <c r="U4194" t="s">
        <v>37173</v>
      </c>
      <c r="V4194" t="s">
        <v>42874</v>
      </c>
      <c r="W4194" t="s">
        <v>31139</v>
      </c>
      <c r="X4194" t="s">
        <v>32531</v>
      </c>
    </row>
    <row r="4195" spans="1:24">
      <c r="A4195">
        <f>HYPERLINK("https://www.philgeps.gov.ph/GEPSNONPILOT/Tender/SplashBidNoticeAbstractUI.aspx?menuIndex=3&amp;refID=7042647&amp;Result=3","7042647")</f>
        <v>0</v>
      </c>
      <c r="B4195" t="s">
        <v>1442</v>
      </c>
      <c r="C4195" t="s">
        <v>6685</v>
      </c>
      <c r="D4195" t="s">
        <v>13038</v>
      </c>
      <c r="E4195" t="s">
        <v>6685</v>
      </c>
      <c r="F4195" t="s">
        <v>22436</v>
      </c>
      <c r="G4195" t="s">
        <v>22443</v>
      </c>
      <c r="H4195" t="s">
        <v>22452</v>
      </c>
      <c r="I4195" t="s">
        <v>3381</v>
      </c>
      <c r="J4195" t="s">
        <v>22893</v>
      </c>
      <c r="K4195" t="s">
        <v>29335</v>
      </c>
      <c r="M4195" t="s">
        <v>31105</v>
      </c>
      <c r="N4195" t="s">
        <v>32524</v>
      </c>
      <c r="O4195" t="s">
        <v>32525</v>
      </c>
      <c r="P4195">
        <v>0</v>
      </c>
      <c r="Q4195">
        <v>0</v>
      </c>
      <c r="R4195" t="s">
        <v>32530</v>
      </c>
      <c r="S4195" t="s">
        <v>32568</v>
      </c>
      <c r="T4195" t="s">
        <v>33372</v>
      </c>
      <c r="U4195" t="s">
        <v>37174</v>
      </c>
      <c r="V4195" t="s">
        <v>42875</v>
      </c>
      <c r="W4195" t="s">
        <v>31105</v>
      </c>
      <c r="X4195" t="s">
        <v>32531</v>
      </c>
    </row>
    <row r="4196" spans="1:24">
      <c r="A4196">
        <f>HYPERLINK("https://www.philgeps.gov.ph/GEPSNONPILOT/Tender/SplashBidNoticeAbstractUI.aspx?menuIndex=3&amp;refID=7042639&amp;Result=3","7042639")</f>
        <v>0</v>
      </c>
      <c r="B4196" t="s">
        <v>1386</v>
      </c>
      <c r="C4196" t="s">
        <v>6686</v>
      </c>
      <c r="D4196" t="s">
        <v>13037</v>
      </c>
      <c r="E4196" t="s">
        <v>16840</v>
      </c>
      <c r="F4196" t="s">
        <v>22436</v>
      </c>
      <c r="G4196" t="s">
        <v>22444</v>
      </c>
      <c r="H4196" t="s">
        <v>22454</v>
      </c>
      <c r="I4196" t="s">
        <v>7738</v>
      </c>
      <c r="J4196" t="s">
        <v>22877</v>
      </c>
      <c r="K4196" t="s">
        <v>29333</v>
      </c>
      <c r="M4196" t="s">
        <v>31044</v>
      </c>
      <c r="N4196" t="s">
        <v>32524</v>
      </c>
      <c r="O4196" t="s">
        <v>32525</v>
      </c>
      <c r="P4196">
        <v>0</v>
      </c>
      <c r="Q4196">
        <v>0</v>
      </c>
      <c r="R4196" t="s">
        <v>32530</v>
      </c>
      <c r="S4196" t="s">
        <v>32568</v>
      </c>
      <c r="T4196" t="s">
        <v>33443</v>
      </c>
      <c r="U4196" t="s">
        <v>37175</v>
      </c>
      <c r="W4196" t="s">
        <v>31044</v>
      </c>
      <c r="X4196" t="s">
        <v>32531</v>
      </c>
    </row>
    <row r="4197" spans="1:24">
      <c r="A4197">
        <f>HYPERLINK("https://www.philgeps.gov.ph/GEPSNONPILOT/Tender/SplashBidNoticeAbstractUI.aspx?menuIndex=3&amp;refID=7042674&amp;Result=3","7042674")</f>
        <v>0</v>
      </c>
      <c r="B4197" t="s">
        <v>1436</v>
      </c>
      <c r="C4197" t="s">
        <v>6687</v>
      </c>
      <c r="D4197" t="s">
        <v>13004</v>
      </c>
      <c r="E4197" t="s">
        <v>16841</v>
      </c>
      <c r="F4197" t="s">
        <v>22436</v>
      </c>
      <c r="G4197" t="s">
        <v>22444</v>
      </c>
      <c r="H4197" t="s">
        <v>22452</v>
      </c>
      <c r="I4197" t="s">
        <v>22484</v>
      </c>
      <c r="J4197" t="s">
        <v>24063</v>
      </c>
      <c r="K4197" t="s">
        <v>29333</v>
      </c>
      <c r="M4197" t="s">
        <v>31099</v>
      </c>
      <c r="N4197" t="s">
        <v>32524</v>
      </c>
      <c r="O4197" t="s">
        <v>32525</v>
      </c>
      <c r="P4197">
        <v>0</v>
      </c>
      <c r="Q4197">
        <v>12</v>
      </c>
      <c r="R4197" t="s">
        <v>32530</v>
      </c>
      <c r="S4197" t="s">
        <v>32568</v>
      </c>
      <c r="T4197" t="s">
        <v>33440</v>
      </c>
      <c r="U4197" t="s">
        <v>37176</v>
      </c>
      <c r="V4197" t="s">
        <v>42428</v>
      </c>
      <c r="W4197" t="s">
        <v>31099</v>
      </c>
      <c r="X4197" t="s">
        <v>32531</v>
      </c>
    </row>
    <row r="4198" spans="1:24">
      <c r="A4198">
        <f>HYPERLINK("https://www.philgeps.gov.ph/GEPSNONPILOT/Tender/SplashBidNoticeAbstractUI.aspx?menuIndex=3&amp;refID=7042686&amp;Result=3","7042686")</f>
        <v>0</v>
      </c>
      <c r="B4198" t="s">
        <v>1471</v>
      </c>
      <c r="C4198" t="s">
        <v>6688</v>
      </c>
      <c r="D4198" t="s">
        <v>13039</v>
      </c>
      <c r="E4198" t="s">
        <v>16842</v>
      </c>
      <c r="F4198" t="s">
        <v>22436</v>
      </c>
      <c r="G4198" t="s">
        <v>22444</v>
      </c>
      <c r="H4198" t="s">
        <v>22452</v>
      </c>
      <c r="I4198" t="s">
        <v>22476</v>
      </c>
      <c r="J4198" t="s">
        <v>23235</v>
      </c>
      <c r="K4198" t="s">
        <v>29341</v>
      </c>
      <c r="M4198" t="s">
        <v>31140</v>
      </c>
      <c r="N4198" t="s">
        <v>32524</v>
      </c>
      <c r="O4198" t="s">
        <v>32525</v>
      </c>
      <c r="P4198">
        <v>0</v>
      </c>
      <c r="Q4198">
        <v>1</v>
      </c>
      <c r="R4198" t="s">
        <v>32530</v>
      </c>
      <c r="S4198" t="s">
        <v>32568</v>
      </c>
      <c r="T4198" t="s">
        <v>33163</v>
      </c>
      <c r="U4198" t="s">
        <v>37177</v>
      </c>
      <c r="W4198" t="s">
        <v>31140</v>
      </c>
      <c r="X4198" t="s">
        <v>32531</v>
      </c>
    </row>
    <row r="4199" spans="1:24">
      <c r="A4199">
        <f>HYPERLINK("https://www.philgeps.gov.ph/GEPSNONPILOT/Tender/SplashBidNoticeAbstractUI.aspx?menuIndex=3&amp;refID=7042641&amp;Result=3","7042641")</f>
        <v>0</v>
      </c>
      <c r="B4199" t="s">
        <v>1461</v>
      </c>
      <c r="C4199" t="s">
        <v>6689</v>
      </c>
      <c r="D4199" t="s">
        <v>12994</v>
      </c>
      <c r="E4199" t="s">
        <v>16843</v>
      </c>
      <c r="F4199" t="s">
        <v>22436</v>
      </c>
      <c r="G4199" t="s">
        <v>22444</v>
      </c>
      <c r="H4199" t="s">
        <v>22454</v>
      </c>
      <c r="I4199" t="s">
        <v>7738</v>
      </c>
      <c r="J4199" t="s">
        <v>25355</v>
      </c>
      <c r="K4199" t="s">
        <v>29388</v>
      </c>
      <c r="M4199" t="s">
        <v>31129</v>
      </c>
      <c r="N4199" t="s">
        <v>32524</v>
      </c>
      <c r="O4199" t="s">
        <v>32525</v>
      </c>
      <c r="P4199">
        <v>0</v>
      </c>
      <c r="Q4199">
        <v>22</v>
      </c>
      <c r="R4199" t="s">
        <v>32530</v>
      </c>
      <c r="S4199" t="s">
        <v>32568</v>
      </c>
      <c r="T4199" t="s">
        <v>33261</v>
      </c>
      <c r="U4199" t="s">
        <v>37144</v>
      </c>
      <c r="W4199" t="s">
        <v>31129</v>
      </c>
      <c r="X4199" t="s">
        <v>32531</v>
      </c>
    </row>
    <row r="4200" spans="1:24">
      <c r="A4200">
        <f>HYPERLINK("https://www.philgeps.gov.ph/GEPSNONPILOT/Tender/SplashBidNoticeAbstractUI.aspx?menuIndex=3&amp;refID=7042678&amp;Result=3","7042678")</f>
        <v>0</v>
      </c>
      <c r="B4200" t="s">
        <v>1464</v>
      </c>
      <c r="C4200" t="s">
        <v>6690</v>
      </c>
      <c r="D4200" t="s">
        <v>13018</v>
      </c>
      <c r="E4200" t="s">
        <v>16844</v>
      </c>
      <c r="F4200" t="s">
        <v>22437</v>
      </c>
      <c r="G4200" t="s">
        <v>22443</v>
      </c>
      <c r="H4200" t="s">
        <v>22453</v>
      </c>
      <c r="I4200" t="s">
        <v>22545</v>
      </c>
      <c r="J4200" t="s">
        <v>22585</v>
      </c>
      <c r="K4200" t="s">
        <v>29371</v>
      </c>
      <c r="M4200" t="s">
        <v>31133</v>
      </c>
      <c r="N4200" t="s">
        <v>32524</v>
      </c>
      <c r="O4200" t="s">
        <v>32525</v>
      </c>
      <c r="P4200">
        <v>0</v>
      </c>
      <c r="Q4200">
        <v>1</v>
      </c>
      <c r="R4200" t="s">
        <v>32530</v>
      </c>
      <c r="S4200" t="s">
        <v>32568</v>
      </c>
      <c r="T4200" t="s">
        <v>33154</v>
      </c>
      <c r="U4200" t="s">
        <v>37178</v>
      </c>
      <c r="W4200" t="s">
        <v>31133</v>
      </c>
      <c r="X4200" t="s">
        <v>32531</v>
      </c>
    </row>
    <row r="4201" spans="1:24">
      <c r="A4201">
        <f>HYPERLINK("https://www.philgeps.gov.ph/GEPSNONPILOT/Tender/SplashBidNoticeAbstractUI.aspx?menuIndex=3&amp;refID=7042682&amp;Result=3","7042682")</f>
        <v>0</v>
      </c>
      <c r="B4201" t="s">
        <v>1465</v>
      </c>
      <c r="C4201" t="s">
        <v>6691</v>
      </c>
      <c r="E4201" t="s">
        <v>16845</v>
      </c>
      <c r="F4201" t="s">
        <v>22436</v>
      </c>
      <c r="G4201" t="s">
        <v>22443</v>
      </c>
      <c r="H4201" t="s">
        <v>22452</v>
      </c>
      <c r="I4201" t="s">
        <v>3529</v>
      </c>
      <c r="J4201" t="s">
        <v>23576</v>
      </c>
      <c r="K4201" t="s">
        <v>29337</v>
      </c>
      <c r="M4201" t="s">
        <v>31134</v>
      </c>
      <c r="N4201" t="s">
        <v>32524</v>
      </c>
      <c r="O4201" t="s">
        <v>32525</v>
      </c>
      <c r="P4201">
        <v>0</v>
      </c>
      <c r="Q4201">
        <v>1</v>
      </c>
      <c r="R4201" t="s">
        <v>32530</v>
      </c>
      <c r="S4201" t="s">
        <v>32568</v>
      </c>
      <c r="T4201" t="s">
        <v>33167</v>
      </c>
      <c r="U4201" t="s">
        <v>37179</v>
      </c>
      <c r="W4201" t="s">
        <v>31134</v>
      </c>
      <c r="X4201" t="s">
        <v>32531</v>
      </c>
    </row>
    <row r="4202" spans="1:24">
      <c r="A4202">
        <f>HYPERLINK("https://www.philgeps.gov.ph/GEPSNONPILOT/Tender/SplashBidNoticeAbstractUI.aspx?menuIndex=3&amp;refID=7042704&amp;Result=3","7042704")</f>
        <v>0</v>
      </c>
      <c r="B4202" t="s">
        <v>799</v>
      </c>
      <c r="C4202" t="s">
        <v>6692</v>
      </c>
      <c r="D4202" t="s">
        <v>12988</v>
      </c>
      <c r="E4202" t="s">
        <v>16846</v>
      </c>
      <c r="F4202" t="s">
        <v>22436</v>
      </c>
      <c r="G4202" t="s">
        <v>22445</v>
      </c>
      <c r="H4202" t="s">
        <v>22452</v>
      </c>
      <c r="I4202" t="s">
        <v>2981</v>
      </c>
      <c r="J4202" t="s">
        <v>22785</v>
      </c>
      <c r="K4202" t="s">
        <v>29341</v>
      </c>
      <c r="M4202" t="s">
        <v>30864</v>
      </c>
      <c r="N4202" t="s">
        <v>32524</v>
      </c>
      <c r="O4202" t="s">
        <v>32525</v>
      </c>
      <c r="P4202">
        <v>0</v>
      </c>
      <c r="Q4202">
        <v>4</v>
      </c>
      <c r="R4202" t="s">
        <v>32530</v>
      </c>
      <c r="S4202" t="s">
        <v>32568</v>
      </c>
      <c r="T4202" t="s">
        <v>33323</v>
      </c>
      <c r="U4202" t="s">
        <v>36535</v>
      </c>
      <c r="V4202" t="s">
        <v>42871</v>
      </c>
      <c r="W4202" t="s">
        <v>30864</v>
      </c>
      <c r="X4202" t="s">
        <v>32531</v>
      </c>
    </row>
    <row r="4203" spans="1:24">
      <c r="A4203">
        <f>HYPERLINK("https://www.philgeps.gov.ph/GEPSNONPILOT/Tender/SplashBidNoticeAbstractUI.aspx?menuIndex=3&amp;refID=7042688&amp;Result=3","7042688")</f>
        <v>0</v>
      </c>
      <c r="B4203" t="s">
        <v>662</v>
      </c>
      <c r="C4203" t="s">
        <v>6693</v>
      </c>
      <c r="D4203" t="s">
        <v>13001</v>
      </c>
      <c r="E4203" t="s">
        <v>6693</v>
      </c>
      <c r="F4203" t="s">
        <v>22436</v>
      </c>
      <c r="G4203" t="s">
        <v>22444</v>
      </c>
      <c r="H4203" t="s">
        <v>22452</v>
      </c>
      <c r="I4203" t="s">
        <v>22471</v>
      </c>
      <c r="J4203" t="s">
        <v>25356</v>
      </c>
      <c r="K4203" t="s">
        <v>29338</v>
      </c>
      <c r="M4203" t="s">
        <v>30254</v>
      </c>
      <c r="N4203" t="s">
        <v>32524</v>
      </c>
      <c r="O4203" t="s">
        <v>32525</v>
      </c>
      <c r="P4203">
        <v>0</v>
      </c>
      <c r="Q4203">
        <v>6</v>
      </c>
      <c r="R4203" t="s">
        <v>32530</v>
      </c>
      <c r="S4203" t="s">
        <v>32568</v>
      </c>
      <c r="T4203" t="s">
        <v>33444</v>
      </c>
      <c r="U4203" t="s">
        <v>37180</v>
      </c>
      <c r="W4203" t="s">
        <v>30254</v>
      </c>
      <c r="X4203" t="s">
        <v>32531</v>
      </c>
    </row>
    <row r="4204" spans="1:24">
      <c r="A4204">
        <f>HYPERLINK("https://www.philgeps.gov.ph/GEPSNONPILOT/Tender/SplashBidNoticeAbstractUI.aspx?menuIndex=3&amp;refID=7042708&amp;Result=3","7042708")</f>
        <v>0</v>
      </c>
      <c r="B4204" t="s">
        <v>1436</v>
      </c>
      <c r="C4204" t="s">
        <v>6694</v>
      </c>
      <c r="D4204" t="s">
        <v>13004</v>
      </c>
      <c r="E4204" t="s">
        <v>16847</v>
      </c>
      <c r="F4204" t="s">
        <v>22436</v>
      </c>
      <c r="G4204" t="s">
        <v>22444</v>
      </c>
      <c r="H4204" t="s">
        <v>22452</v>
      </c>
      <c r="I4204" t="s">
        <v>22463</v>
      </c>
      <c r="J4204" t="s">
        <v>25357</v>
      </c>
      <c r="K4204" t="s">
        <v>29337</v>
      </c>
      <c r="M4204" t="s">
        <v>31099</v>
      </c>
      <c r="N4204" t="s">
        <v>32524</v>
      </c>
      <c r="O4204" t="s">
        <v>32525</v>
      </c>
      <c r="P4204">
        <v>0</v>
      </c>
      <c r="Q4204">
        <v>20</v>
      </c>
      <c r="R4204" t="s">
        <v>32530</v>
      </c>
      <c r="S4204" t="s">
        <v>32568</v>
      </c>
      <c r="T4204" t="s">
        <v>33440</v>
      </c>
      <c r="U4204" t="s">
        <v>37181</v>
      </c>
      <c r="V4204" t="s">
        <v>42428</v>
      </c>
      <c r="W4204" t="s">
        <v>31099</v>
      </c>
      <c r="X4204" t="s">
        <v>32531</v>
      </c>
    </row>
    <row r="4205" spans="1:24">
      <c r="A4205">
        <f>HYPERLINK("https://www.philgeps.gov.ph/GEPSNONPILOT/Tender/SplashBidNoticeAbstractUI.aspx?menuIndex=3&amp;refID=7042690&amp;Result=3","7042690")</f>
        <v>0</v>
      </c>
      <c r="B4205" t="s">
        <v>1472</v>
      </c>
      <c r="C4205" t="s">
        <v>6695</v>
      </c>
      <c r="D4205" t="s">
        <v>12988</v>
      </c>
      <c r="E4205" t="s">
        <v>16848</v>
      </c>
      <c r="F4205" t="s">
        <v>22436</v>
      </c>
      <c r="G4205" t="s">
        <v>22443</v>
      </c>
      <c r="H4205" t="s">
        <v>22452</v>
      </c>
      <c r="I4205" t="s">
        <v>11896</v>
      </c>
      <c r="J4205" t="s">
        <v>22798</v>
      </c>
      <c r="K4205" t="s">
        <v>29338</v>
      </c>
      <c r="M4205" t="s">
        <v>31141</v>
      </c>
      <c r="N4205" t="s">
        <v>32524</v>
      </c>
      <c r="O4205" t="s">
        <v>32525</v>
      </c>
      <c r="P4205">
        <v>0</v>
      </c>
      <c r="Q4205">
        <v>1</v>
      </c>
      <c r="R4205" t="s">
        <v>32530</v>
      </c>
      <c r="S4205" t="s">
        <v>32568</v>
      </c>
      <c r="T4205" t="s">
        <v>33304</v>
      </c>
      <c r="U4205" t="s">
        <v>37182</v>
      </c>
      <c r="W4205" t="s">
        <v>43720</v>
      </c>
      <c r="X4205" t="s">
        <v>32531</v>
      </c>
    </row>
    <row r="4206" spans="1:24">
      <c r="A4206">
        <f>HYPERLINK("https://www.philgeps.gov.ph/GEPSNONPILOT/Tender/SplashBidNoticeAbstractUI.aspx?menuIndex=3&amp;refID=7042703&amp;Result=3","7042703")</f>
        <v>0</v>
      </c>
      <c r="B4206" t="s">
        <v>311</v>
      </c>
      <c r="C4206" t="s">
        <v>6696</v>
      </c>
      <c r="D4206" t="s">
        <v>13035</v>
      </c>
      <c r="E4206" t="s">
        <v>16849</v>
      </c>
      <c r="F4206" t="s">
        <v>22436</v>
      </c>
      <c r="G4206" t="s">
        <v>22444</v>
      </c>
      <c r="H4206" t="s">
        <v>22452</v>
      </c>
      <c r="I4206" t="s">
        <v>22468</v>
      </c>
      <c r="J4206" t="s">
        <v>25358</v>
      </c>
      <c r="K4206" t="s">
        <v>29338</v>
      </c>
      <c r="M4206" t="s">
        <v>29886</v>
      </c>
      <c r="N4206" t="s">
        <v>32524</v>
      </c>
      <c r="O4206" t="s">
        <v>32525</v>
      </c>
      <c r="P4206">
        <v>0</v>
      </c>
      <c r="Q4206">
        <v>0</v>
      </c>
      <c r="R4206" t="s">
        <v>32530</v>
      </c>
      <c r="S4206" t="s">
        <v>32568</v>
      </c>
      <c r="T4206" t="s">
        <v>33180</v>
      </c>
      <c r="U4206" t="s">
        <v>37183</v>
      </c>
      <c r="W4206" t="s">
        <v>29886</v>
      </c>
      <c r="X4206" t="s">
        <v>32531</v>
      </c>
    </row>
    <row r="4207" spans="1:24">
      <c r="A4207">
        <f>HYPERLINK("https://www.philgeps.gov.ph/GEPSNONPILOT/Tender/SplashBidNoticeAbstractUI.aspx?menuIndex=3&amp;refID=7042683&amp;Result=3","7042683")</f>
        <v>0</v>
      </c>
      <c r="B4207" t="s">
        <v>452</v>
      </c>
      <c r="C4207" t="s">
        <v>6697</v>
      </c>
      <c r="D4207" t="s">
        <v>12988</v>
      </c>
      <c r="E4207" t="s">
        <v>16850</v>
      </c>
      <c r="F4207" t="s">
        <v>22436</v>
      </c>
      <c r="G4207" t="s">
        <v>22445</v>
      </c>
      <c r="H4207" t="s">
        <v>22452</v>
      </c>
      <c r="I4207" t="s">
        <v>2981</v>
      </c>
      <c r="J4207" t="s">
        <v>22847</v>
      </c>
      <c r="K4207" t="s">
        <v>29341</v>
      </c>
      <c r="M4207" t="s">
        <v>30034</v>
      </c>
      <c r="N4207" t="s">
        <v>32524</v>
      </c>
      <c r="O4207" t="s">
        <v>32525</v>
      </c>
      <c r="P4207">
        <v>0</v>
      </c>
      <c r="Q4207">
        <v>0</v>
      </c>
      <c r="R4207" t="s">
        <v>32530</v>
      </c>
      <c r="S4207" t="s">
        <v>32568</v>
      </c>
      <c r="T4207" t="s">
        <v>33419</v>
      </c>
      <c r="U4207" t="s">
        <v>37184</v>
      </c>
      <c r="V4207" t="s">
        <v>37184</v>
      </c>
      <c r="W4207" t="s">
        <v>30034</v>
      </c>
      <c r="X4207" t="s">
        <v>32531</v>
      </c>
    </row>
    <row r="4208" spans="1:24">
      <c r="A4208">
        <f>HYPERLINK("https://www.philgeps.gov.ph/GEPSNONPILOT/Tender/SplashBidNoticeAbstractUI.aspx?menuIndex=3&amp;refID=7042697&amp;Result=3","7042697")</f>
        <v>0</v>
      </c>
      <c r="B4208" t="s">
        <v>411</v>
      </c>
      <c r="C4208" t="s">
        <v>6698</v>
      </c>
      <c r="D4208" t="s">
        <v>13015</v>
      </c>
      <c r="E4208" t="s">
        <v>16851</v>
      </c>
      <c r="F4208" t="s">
        <v>22436</v>
      </c>
      <c r="G4208" t="s">
        <v>22443</v>
      </c>
      <c r="H4208" t="s">
        <v>22452</v>
      </c>
      <c r="I4208" t="s">
        <v>22494</v>
      </c>
      <c r="J4208" t="s">
        <v>25359</v>
      </c>
      <c r="K4208" t="s">
        <v>29341</v>
      </c>
      <c r="M4208" t="s">
        <v>29990</v>
      </c>
      <c r="N4208" t="s">
        <v>32524</v>
      </c>
      <c r="O4208" t="s">
        <v>32525</v>
      </c>
      <c r="P4208">
        <v>0</v>
      </c>
      <c r="Q4208">
        <v>0</v>
      </c>
      <c r="R4208" t="s">
        <v>32530</v>
      </c>
      <c r="S4208" t="s">
        <v>32568</v>
      </c>
      <c r="T4208" t="s">
        <v>33213</v>
      </c>
      <c r="U4208" t="s">
        <v>37185</v>
      </c>
      <c r="W4208" t="s">
        <v>29990</v>
      </c>
      <c r="X4208" t="s">
        <v>32531</v>
      </c>
    </row>
    <row r="4209" spans="1:24">
      <c r="A4209">
        <f>HYPERLINK("https://www.philgeps.gov.ph/GEPSNONPILOT/Tender/SplashBidNoticeAbstractUI.aspx?menuIndex=3&amp;refID=7042706&amp;Result=3","7042706")</f>
        <v>0</v>
      </c>
      <c r="B4209" t="s">
        <v>1442</v>
      </c>
      <c r="C4209" t="s">
        <v>6699</v>
      </c>
      <c r="D4209" t="s">
        <v>13038</v>
      </c>
      <c r="E4209" t="s">
        <v>6699</v>
      </c>
      <c r="F4209" t="s">
        <v>22436</v>
      </c>
      <c r="G4209" t="s">
        <v>22443</v>
      </c>
      <c r="H4209" t="s">
        <v>22452</v>
      </c>
      <c r="I4209" t="s">
        <v>3381</v>
      </c>
      <c r="J4209" t="s">
        <v>23093</v>
      </c>
      <c r="K4209" t="s">
        <v>29335</v>
      </c>
      <c r="M4209" t="s">
        <v>31105</v>
      </c>
      <c r="N4209" t="s">
        <v>32524</v>
      </c>
      <c r="O4209" t="s">
        <v>32525</v>
      </c>
      <c r="P4209">
        <v>0</v>
      </c>
      <c r="Q4209">
        <v>0</v>
      </c>
      <c r="R4209" t="s">
        <v>32530</v>
      </c>
      <c r="S4209" t="s">
        <v>32568</v>
      </c>
      <c r="T4209" t="s">
        <v>33372</v>
      </c>
      <c r="U4209" t="s">
        <v>37186</v>
      </c>
      <c r="V4209" t="s">
        <v>42876</v>
      </c>
      <c r="W4209" t="s">
        <v>31105</v>
      </c>
      <c r="X4209" t="s">
        <v>32531</v>
      </c>
    </row>
    <row r="4210" spans="1:24">
      <c r="A4210">
        <f>HYPERLINK("https://www.philgeps.gov.ph/GEPSNONPILOT/Tender/SplashBidNoticeAbstractUI.aspx?menuIndex=3&amp;refID=7042698&amp;Result=3","7042698")</f>
        <v>0</v>
      </c>
      <c r="B4210" t="s">
        <v>1473</v>
      </c>
      <c r="C4210" t="s">
        <v>6700</v>
      </c>
      <c r="D4210" t="s">
        <v>13046</v>
      </c>
      <c r="E4210" t="s">
        <v>13182</v>
      </c>
      <c r="F4210" t="s">
        <v>22436</v>
      </c>
      <c r="G4210" t="s">
        <v>22444</v>
      </c>
      <c r="H4210" t="s">
        <v>22452</v>
      </c>
      <c r="I4210" t="s">
        <v>22467</v>
      </c>
      <c r="J4210" t="s">
        <v>22957</v>
      </c>
      <c r="K4210" t="s">
        <v>29341</v>
      </c>
      <c r="L4210" t="s">
        <v>1473</v>
      </c>
      <c r="M4210" t="s">
        <v>31142</v>
      </c>
      <c r="N4210" t="s">
        <v>32524</v>
      </c>
      <c r="O4210" t="s">
        <v>32525</v>
      </c>
      <c r="P4210">
        <v>0</v>
      </c>
      <c r="Q4210">
        <v>1</v>
      </c>
      <c r="R4210" t="s">
        <v>32530</v>
      </c>
      <c r="S4210" t="s">
        <v>32568</v>
      </c>
      <c r="T4210" t="s">
        <v>33211</v>
      </c>
      <c r="U4210" t="s">
        <v>37187</v>
      </c>
      <c r="V4210" t="s">
        <v>42877</v>
      </c>
      <c r="W4210" t="s">
        <v>31142</v>
      </c>
      <c r="X4210" t="s">
        <v>32531</v>
      </c>
    </row>
    <row r="4211" spans="1:24">
      <c r="A4211">
        <f>HYPERLINK("https://www.philgeps.gov.ph/GEPSNONPILOT/Tender/SplashBidNoticeAbstractUI.aspx?menuIndex=3&amp;refID=7042714&amp;Result=3","7042714")</f>
        <v>0</v>
      </c>
      <c r="B4211" t="s">
        <v>106</v>
      </c>
      <c r="C4211" t="s">
        <v>6701</v>
      </c>
      <c r="D4211" t="s">
        <v>13000</v>
      </c>
      <c r="E4211" t="s">
        <v>16852</v>
      </c>
      <c r="F4211" t="s">
        <v>22436</v>
      </c>
      <c r="G4211" t="s">
        <v>22444</v>
      </c>
      <c r="H4211" t="s">
        <v>22454</v>
      </c>
      <c r="I4211" t="s">
        <v>7738</v>
      </c>
      <c r="J4211" t="s">
        <v>25360</v>
      </c>
      <c r="K4211" t="s">
        <v>29345</v>
      </c>
      <c r="M4211" t="s">
        <v>29678</v>
      </c>
      <c r="N4211" t="s">
        <v>32524</v>
      </c>
      <c r="O4211" t="s">
        <v>32525</v>
      </c>
      <c r="P4211">
        <v>0</v>
      </c>
      <c r="Q4211">
        <v>0</v>
      </c>
      <c r="R4211" t="s">
        <v>32530</v>
      </c>
      <c r="S4211" t="s">
        <v>32568</v>
      </c>
      <c r="T4211" t="s">
        <v>33423</v>
      </c>
      <c r="U4211" t="s">
        <v>37188</v>
      </c>
      <c r="V4211" t="s">
        <v>42878</v>
      </c>
      <c r="W4211" t="s">
        <v>29678</v>
      </c>
      <c r="X4211" t="s">
        <v>32531</v>
      </c>
    </row>
    <row r="4212" spans="1:24">
      <c r="A4212">
        <f>HYPERLINK("https://www.philgeps.gov.ph/GEPSNONPILOT/Tender/SplashBidNoticeAbstractUI.aspx?menuIndex=3&amp;refID=7042692&amp;Result=3","7042692")</f>
        <v>0</v>
      </c>
      <c r="B4212" t="s">
        <v>1474</v>
      </c>
      <c r="C4212" t="s">
        <v>6702</v>
      </c>
      <c r="D4212" t="s">
        <v>13008</v>
      </c>
      <c r="E4212" t="s">
        <v>16853</v>
      </c>
      <c r="F4212" t="s">
        <v>22436</v>
      </c>
      <c r="G4212" t="s">
        <v>22443</v>
      </c>
      <c r="H4212" t="s">
        <v>22452</v>
      </c>
      <c r="I4212" t="s">
        <v>22565</v>
      </c>
      <c r="J4212" t="s">
        <v>25361</v>
      </c>
      <c r="K4212" t="s">
        <v>29341</v>
      </c>
      <c r="M4212" t="s">
        <v>31143</v>
      </c>
      <c r="N4212" t="s">
        <v>32524</v>
      </c>
      <c r="O4212" t="s">
        <v>32525</v>
      </c>
      <c r="P4212">
        <v>0</v>
      </c>
      <c r="Q4212">
        <v>1</v>
      </c>
      <c r="R4212" t="s">
        <v>32530</v>
      </c>
      <c r="S4212" t="s">
        <v>32568</v>
      </c>
      <c r="T4212" t="s">
        <v>33402</v>
      </c>
      <c r="U4212" t="s">
        <v>37189</v>
      </c>
      <c r="W4212" t="s">
        <v>31143</v>
      </c>
      <c r="X4212" t="s">
        <v>32531</v>
      </c>
    </row>
    <row r="4213" spans="1:24">
      <c r="A4213">
        <f>HYPERLINK("https://www.philgeps.gov.ph/GEPSNONPILOT/Tender/SplashBidNoticeAbstractUI.aspx?menuIndex=3&amp;refID=7042702&amp;Result=3","7042702")</f>
        <v>0</v>
      </c>
      <c r="B4213" t="s">
        <v>1475</v>
      </c>
      <c r="C4213" t="s">
        <v>6703</v>
      </c>
      <c r="D4213" t="s">
        <v>12994</v>
      </c>
      <c r="E4213" t="s">
        <v>16854</v>
      </c>
      <c r="F4213" t="s">
        <v>22436</v>
      </c>
      <c r="G4213" t="s">
        <v>22445</v>
      </c>
      <c r="H4213" t="s">
        <v>22452</v>
      </c>
      <c r="I4213" t="s">
        <v>22460</v>
      </c>
      <c r="J4213" t="s">
        <v>25362</v>
      </c>
      <c r="K4213" t="s">
        <v>29335</v>
      </c>
      <c r="M4213" t="s">
        <v>31144</v>
      </c>
      <c r="N4213" t="s">
        <v>32524</v>
      </c>
      <c r="O4213" t="s">
        <v>32525</v>
      </c>
      <c r="P4213">
        <v>0</v>
      </c>
      <c r="Q4213">
        <v>4</v>
      </c>
      <c r="R4213" t="s">
        <v>32530</v>
      </c>
      <c r="S4213" t="s">
        <v>32568</v>
      </c>
      <c r="T4213" t="s">
        <v>33203</v>
      </c>
      <c r="U4213" t="s">
        <v>37190</v>
      </c>
      <c r="W4213" t="s">
        <v>31144</v>
      </c>
      <c r="X4213" t="s">
        <v>32531</v>
      </c>
    </row>
    <row r="4214" spans="1:24">
      <c r="A4214">
        <f>HYPERLINK("https://www.philgeps.gov.ph/GEPSNONPILOT/Tender/SplashBidNoticeAbstractUI.aspx?menuIndex=3&amp;refID=7042713&amp;Result=3","7042713")</f>
        <v>0</v>
      </c>
      <c r="B4214" t="s">
        <v>1450</v>
      </c>
      <c r="C4214" t="s">
        <v>6704</v>
      </c>
      <c r="D4214" t="s">
        <v>13011</v>
      </c>
      <c r="E4214" t="s">
        <v>16855</v>
      </c>
      <c r="F4214" t="s">
        <v>22436</v>
      </c>
      <c r="G4214" t="s">
        <v>22444</v>
      </c>
      <c r="H4214" t="s">
        <v>22454</v>
      </c>
      <c r="I4214" t="s">
        <v>7738</v>
      </c>
      <c r="J4214" t="s">
        <v>25363</v>
      </c>
      <c r="K4214" t="s">
        <v>29345</v>
      </c>
      <c r="M4214" t="s">
        <v>31114</v>
      </c>
      <c r="N4214" t="s">
        <v>32524</v>
      </c>
      <c r="O4214" t="s">
        <v>32525</v>
      </c>
      <c r="P4214">
        <v>0</v>
      </c>
      <c r="Q4214">
        <v>3</v>
      </c>
      <c r="R4214" t="s">
        <v>32530</v>
      </c>
      <c r="S4214" t="s">
        <v>32568</v>
      </c>
      <c r="T4214" t="s">
        <v>33212</v>
      </c>
      <c r="U4214" t="s">
        <v>37116</v>
      </c>
      <c r="V4214" t="s">
        <v>42866</v>
      </c>
      <c r="W4214" t="s">
        <v>31114</v>
      </c>
      <c r="X4214" t="s">
        <v>32531</v>
      </c>
    </row>
    <row r="4215" spans="1:24">
      <c r="A4215">
        <f>HYPERLINK("https://www.philgeps.gov.ph/GEPSNONPILOT/Tender/SplashBidNoticeAbstractUI.aspx?menuIndex=3&amp;refID=7042699&amp;Result=3","7042699")</f>
        <v>0</v>
      </c>
      <c r="B4215" t="s">
        <v>1476</v>
      </c>
      <c r="C4215" t="s">
        <v>6705</v>
      </c>
      <c r="D4215" t="s">
        <v>13040</v>
      </c>
      <c r="E4215" t="s">
        <v>16433</v>
      </c>
      <c r="F4215" t="s">
        <v>22436</v>
      </c>
      <c r="G4215" t="s">
        <v>22443</v>
      </c>
      <c r="H4215" t="s">
        <v>22452</v>
      </c>
      <c r="I4215" t="s">
        <v>22456</v>
      </c>
      <c r="J4215" t="s">
        <v>23191</v>
      </c>
      <c r="K4215" t="s">
        <v>29356</v>
      </c>
      <c r="M4215" t="s">
        <v>31145</v>
      </c>
      <c r="N4215" t="s">
        <v>32524</v>
      </c>
      <c r="O4215" t="s">
        <v>32525</v>
      </c>
      <c r="P4215">
        <v>0</v>
      </c>
      <c r="Q4215">
        <v>2</v>
      </c>
      <c r="R4215" t="s">
        <v>32530</v>
      </c>
      <c r="S4215" t="s">
        <v>32568</v>
      </c>
      <c r="T4215" t="s">
        <v>33185</v>
      </c>
      <c r="U4215" t="s">
        <v>37191</v>
      </c>
      <c r="W4215" t="s">
        <v>31145</v>
      </c>
      <c r="X4215" t="s">
        <v>32531</v>
      </c>
    </row>
    <row r="4216" spans="1:24">
      <c r="A4216">
        <f>HYPERLINK("https://www.philgeps.gov.ph/GEPSNONPILOT/Tender/SplashBidNoticeAbstractUI.aspx?menuIndex=3&amp;refID=7042716&amp;Result=3","7042716")</f>
        <v>0</v>
      </c>
      <c r="B4216" t="s">
        <v>1477</v>
      </c>
      <c r="C4216" t="s">
        <v>6706</v>
      </c>
      <c r="D4216" t="s">
        <v>12988</v>
      </c>
      <c r="E4216" t="s">
        <v>16856</v>
      </c>
      <c r="F4216" t="s">
        <v>22436</v>
      </c>
      <c r="G4216" t="s">
        <v>22445</v>
      </c>
      <c r="H4216" t="s">
        <v>22452</v>
      </c>
      <c r="I4216" t="s">
        <v>22460</v>
      </c>
      <c r="J4216" t="s">
        <v>25353</v>
      </c>
      <c r="K4216" t="s">
        <v>29335</v>
      </c>
      <c r="M4216" t="s">
        <v>31146</v>
      </c>
      <c r="N4216" t="s">
        <v>32524</v>
      </c>
      <c r="O4216" t="s">
        <v>32525</v>
      </c>
      <c r="P4216">
        <v>0</v>
      </c>
      <c r="Q4216">
        <v>14</v>
      </c>
      <c r="R4216" t="s">
        <v>32530</v>
      </c>
      <c r="S4216" t="s">
        <v>32568</v>
      </c>
      <c r="T4216" t="s">
        <v>33310</v>
      </c>
      <c r="U4216" t="s">
        <v>37192</v>
      </c>
      <c r="V4216" t="s">
        <v>42879</v>
      </c>
      <c r="W4216" t="s">
        <v>31146</v>
      </c>
      <c r="X4216" t="s">
        <v>32531</v>
      </c>
    </row>
    <row r="4217" spans="1:24">
      <c r="A4217">
        <f>HYPERLINK("https://www.philgeps.gov.ph/GEPSNONPILOT/Tender/SplashBidNoticeAbstractUI.aspx?menuIndex=3&amp;refID=7042694&amp;Result=3","7042694")</f>
        <v>0</v>
      </c>
      <c r="B4217" t="s">
        <v>1450</v>
      </c>
      <c r="C4217" t="s">
        <v>6707</v>
      </c>
      <c r="D4217" t="s">
        <v>13011</v>
      </c>
      <c r="E4217" t="s">
        <v>16857</v>
      </c>
      <c r="F4217" t="s">
        <v>22436</v>
      </c>
      <c r="G4217" t="s">
        <v>22444</v>
      </c>
      <c r="H4217" t="s">
        <v>22454</v>
      </c>
      <c r="I4217" t="s">
        <v>7738</v>
      </c>
      <c r="J4217" t="s">
        <v>25333</v>
      </c>
      <c r="K4217" t="s">
        <v>29344</v>
      </c>
      <c r="M4217" t="s">
        <v>31114</v>
      </c>
      <c r="N4217" t="s">
        <v>32524</v>
      </c>
      <c r="O4217" t="s">
        <v>32525</v>
      </c>
      <c r="P4217">
        <v>0</v>
      </c>
      <c r="Q4217">
        <v>1</v>
      </c>
      <c r="R4217" t="s">
        <v>32530</v>
      </c>
      <c r="S4217" t="s">
        <v>32568</v>
      </c>
      <c r="T4217" t="s">
        <v>33212</v>
      </c>
      <c r="U4217" t="s">
        <v>37116</v>
      </c>
      <c r="V4217" t="s">
        <v>42866</v>
      </c>
      <c r="W4217" t="s">
        <v>31114</v>
      </c>
      <c r="X4217" t="s">
        <v>32531</v>
      </c>
    </row>
    <row r="4218" spans="1:24">
      <c r="A4218">
        <f>HYPERLINK("https://www.philgeps.gov.ph/GEPSNONPILOT/Tender/SplashBidNoticeAbstractUI.aspx?menuIndex=3&amp;refID=7042711&amp;Result=3","7042711")</f>
        <v>0</v>
      </c>
      <c r="B4218" t="s">
        <v>1468</v>
      </c>
      <c r="C4218" t="s">
        <v>6708</v>
      </c>
      <c r="D4218" t="s">
        <v>13022</v>
      </c>
      <c r="E4218" t="s">
        <v>16858</v>
      </c>
      <c r="F4218" t="s">
        <v>22437</v>
      </c>
      <c r="G4218" t="s">
        <v>22444</v>
      </c>
      <c r="H4218" t="s">
        <v>22452</v>
      </c>
      <c r="I4218" t="s">
        <v>22530</v>
      </c>
      <c r="J4218" t="s">
        <v>23509</v>
      </c>
      <c r="K4218" t="s">
        <v>29335</v>
      </c>
      <c r="M4218" t="s">
        <v>31137</v>
      </c>
      <c r="N4218" t="s">
        <v>32524</v>
      </c>
      <c r="O4218" t="s">
        <v>32525</v>
      </c>
      <c r="P4218">
        <v>0</v>
      </c>
      <c r="Q4218">
        <v>4</v>
      </c>
      <c r="R4218" t="s">
        <v>32530</v>
      </c>
      <c r="S4218" t="s">
        <v>32568</v>
      </c>
      <c r="T4218" t="s">
        <v>33345</v>
      </c>
      <c r="U4218" t="s">
        <v>37193</v>
      </c>
      <c r="V4218" t="s">
        <v>42880</v>
      </c>
      <c r="W4218" t="s">
        <v>31137</v>
      </c>
      <c r="X4218" t="s">
        <v>32531</v>
      </c>
    </row>
    <row r="4219" spans="1:24">
      <c r="A4219">
        <f>HYPERLINK("https://www.philgeps.gov.ph/GEPSNONPILOT/Tender/SplashBidNoticeAbstractUI.aspx?menuIndex=3&amp;refID=7042730&amp;Result=3","7042730")</f>
        <v>0</v>
      </c>
      <c r="B4219" t="s">
        <v>1478</v>
      </c>
      <c r="C4219" t="s">
        <v>6709</v>
      </c>
      <c r="D4219" t="s">
        <v>13050</v>
      </c>
      <c r="E4219" t="s">
        <v>16859</v>
      </c>
      <c r="F4219" t="s">
        <v>22436</v>
      </c>
      <c r="G4219" t="s">
        <v>22444</v>
      </c>
      <c r="H4219" t="s">
        <v>22454</v>
      </c>
      <c r="I4219" t="s">
        <v>7738</v>
      </c>
      <c r="J4219" t="s">
        <v>22669</v>
      </c>
      <c r="K4219" t="s">
        <v>29423</v>
      </c>
      <c r="M4219" t="s">
        <v>31147</v>
      </c>
      <c r="N4219" t="s">
        <v>32524</v>
      </c>
      <c r="O4219" t="s">
        <v>32525</v>
      </c>
      <c r="P4219">
        <v>0</v>
      </c>
      <c r="Q4219">
        <v>7</v>
      </c>
      <c r="R4219" t="s">
        <v>32530</v>
      </c>
      <c r="S4219" t="s">
        <v>32568</v>
      </c>
      <c r="T4219" t="s">
        <v>33165</v>
      </c>
      <c r="U4219" t="s">
        <v>37194</v>
      </c>
      <c r="W4219" t="s">
        <v>31147</v>
      </c>
      <c r="X4219" t="s">
        <v>32531</v>
      </c>
    </row>
    <row r="4220" spans="1:24">
      <c r="A4220">
        <f>HYPERLINK("https://www.philgeps.gov.ph/GEPSNONPILOT/Tender/SplashBidNoticeAbstractUI.aspx?menuIndex=3&amp;refID=7042720&amp;Result=3","7042720")</f>
        <v>0</v>
      </c>
      <c r="B4220" t="s">
        <v>411</v>
      </c>
      <c r="C4220" t="s">
        <v>6710</v>
      </c>
      <c r="D4220" t="s">
        <v>13015</v>
      </c>
      <c r="E4220" t="s">
        <v>16860</v>
      </c>
      <c r="F4220" t="s">
        <v>22436</v>
      </c>
      <c r="G4220" t="s">
        <v>22443</v>
      </c>
      <c r="H4220" t="s">
        <v>22452</v>
      </c>
      <c r="I4220" t="s">
        <v>22467</v>
      </c>
      <c r="J4220" t="s">
        <v>25364</v>
      </c>
      <c r="K4220" t="s">
        <v>29341</v>
      </c>
      <c r="M4220" t="s">
        <v>29990</v>
      </c>
      <c r="N4220" t="s">
        <v>32524</v>
      </c>
      <c r="O4220" t="s">
        <v>32525</v>
      </c>
      <c r="P4220">
        <v>0</v>
      </c>
      <c r="Q4220">
        <v>0</v>
      </c>
      <c r="R4220" t="s">
        <v>32530</v>
      </c>
      <c r="S4220" t="s">
        <v>32568</v>
      </c>
      <c r="T4220" t="s">
        <v>33213</v>
      </c>
      <c r="U4220" t="s">
        <v>37195</v>
      </c>
      <c r="W4220" t="s">
        <v>29990</v>
      </c>
      <c r="X4220" t="s">
        <v>32531</v>
      </c>
    </row>
    <row r="4221" spans="1:24">
      <c r="A4221">
        <f>HYPERLINK("https://www.philgeps.gov.ph/GEPSNONPILOT/Tender/SplashBidNoticeAbstractUI.aspx?menuIndex=3&amp;refID=7042729&amp;Result=3","7042729")</f>
        <v>0</v>
      </c>
      <c r="B4221" t="s">
        <v>1457</v>
      </c>
      <c r="C4221" t="s">
        <v>6711</v>
      </c>
      <c r="E4221" t="s">
        <v>16861</v>
      </c>
      <c r="F4221" t="s">
        <v>22436</v>
      </c>
      <c r="G4221" t="s">
        <v>22443</v>
      </c>
      <c r="H4221" t="s">
        <v>22452</v>
      </c>
      <c r="I4221" t="s">
        <v>11896</v>
      </c>
      <c r="J4221" t="s">
        <v>22654</v>
      </c>
      <c r="K4221" t="s">
        <v>29338</v>
      </c>
      <c r="M4221" t="s">
        <v>31148</v>
      </c>
      <c r="N4221" t="s">
        <v>32524</v>
      </c>
      <c r="O4221" t="s">
        <v>32525</v>
      </c>
      <c r="P4221">
        <v>0</v>
      </c>
      <c r="Q4221">
        <v>2</v>
      </c>
      <c r="R4221" t="s">
        <v>32530</v>
      </c>
      <c r="S4221" t="s">
        <v>32568</v>
      </c>
      <c r="T4221" t="s">
        <v>33209</v>
      </c>
      <c r="U4221" t="s">
        <v>37196</v>
      </c>
      <c r="W4221" t="s">
        <v>31148</v>
      </c>
      <c r="X4221" t="s">
        <v>32531</v>
      </c>
    </row>
    <row r="4222" spans="1:24">
      <c r="A4222">
        <f>HYPERLINK("https://www.philgeps.gov.ph/GEPSNONPILOT/Tender/SplashBidNoticeAbstractUI.aspx?menuIndex=3&amp;refID=7042742&amp;Result=3","7042742")</f>
        <v>0</v>
      </c>
      <c r="B4222" t="s">
        <v>799</v>
      </c>
      <c r="C4222" t="s">
        <v>6712</v>
      </c>
      <c r="D4222" t="s">
        <v>12988</v>
      </c>
      <c r="E4222" t="s">
        <v>16862</v>
      </c>
      <c r="F4222" t="s">
        <v>22436</v>
      </c>
      <c r="G4222" t="s">
        <v>22445</v>
      </c>
      <c r="H4222" t="s">
        <v>22452</v>
      </c>
      <c r="I4222" t="s">
        <v>3827</v>
      </c>
      <c r="J4222" t="s">
        <v>22588</v>
      </c>
      <c r="K4222" t="s">
        <v>29341</v>
      </c>
      <c r="M4222" t="s">
        <v>30864</v>
      </c>
      <c r="N4222" t="s">
        <v>32524</v>
      </c>
      <c r="O4222" t="s">
        <v>32525</v>
      </c>
      <c r="P4222">
        <v>0</v>
      </c>
      <c r="Q4222">
        <v>11</v>
      </c>
      <c r="R4222" t="s">
        <v>32530</v>
      </c>
      <c r="S4222" t="s">
        <v>32568</v>
      </c>
      <c r="T4222" t="s">
        <v>33323</v>
      </c>
      <c r="U4222" t="s">
        <v>36535</v>
      </c>
      <c r="V4222" t="s">
        <v>42871</v>
      </c>
      <c r="W4222" t="s">
        <v>30864</v>
      </c>
      <c r="X4222" t="s">
        <v>32531</v>
      </c>
    </row>
    <row r="4223" spans="1:24">
      <c r="A4223">
        <f>HYPERLINK("https://www.philgeps.gov.ph/GEPSNONPILOT/Tender/SplashBidNoticeAbstractUI.aspx?menuIndex=3&amp;refID=7042722&amp;Result=3","7042722")</f>
        <v>0</v>
      </c>
      <c r="B4223" t="s">
        <v>1479</v>
      </c>
      <c r="C4223" t="s">
        <v>6713</v>
      </c>
      <c r="D4223" t="s">
        <v>13013</v>
      </c>
      <c r="E4223" t="s">
        <v>16863</v>
      </c>
      <c r="F4223" t="s">
        <v>22436</v>
      </c>
      <c r="G4223" t="s">
        <v>22443</v>
      </c>
      <c r="H4223" t="s">
        <v>22453</v>
      </c>
      <c r="I4223" t="s">
        <v>22519</v>
      </c>
      <c r="J4223" t="s">
        <v>25365</v>
      </c>
      <c r="K4223" t="s">
        <v>29331</v>
      </c>
      <c r="M4223" t="s">
        <v>31149</v>
      </c>
      <c r="N4223" t="s">
        <v>32524</v>
      </c>
      <c r="O4223" t="s">
        <v>32525</v>
      </c>
      <c r="P4223">
        <v>0</v>
      </c>
      <c r="Q4223">
        <v>0</v>
      </c>
      <c r="R4223" t="s">
        <v>32530</v>
      </c>
      <c r="S4223" t="s">
        <v>32568</v>
      </c>
      <c r="T4223" t="s">
        <v>33296</v>
      </c>
      <c r="U4223" t="s">
        <v>37197</v>
      </c>
      <c r="W4223" t="s">
        <v>43721</v>
      </c>
      <c r="X4223" t="s">
        <v>32531</v>
      </c>
    </row>
    <row r="4224" spans="1:24">
      <c r="A4224">
        <f>HYPERLINK("https://www.philgeps.gov.ph/GEPSNONPILOT/Tender/SplashBidNoticeAbstractUI.aspx?menuIndex=3&amp;refID=7042735&amp;Result=3","7042735")</f>
        <v>0</v>
      </c>
      <c r="B4224" t="s">
        <v>398</v>
      </c>
      <c r="C4224" t="s">
        <v>6714</v>
      </c>
      <c r="D4224" t="s">
        <v>13018</v>
      </c>
      <c r="E4224" t="s">
        <v>16864</v>
      </c>
      <c r="F4224" t="s">
        <v>22436</v>
      </c>
      <c r="G4224" t="s">
        <v>22444</v>
      </c>
      <c r="H4224" t="s">
        <v>22452</v>
      </c>
      <c r="I4224" t="s">
        <v>22479</v>
      </c>
      <c r="J4224" t="s">
        <v>25366</v>
      </c>
      <c r="K4224" t="s">
        <v>29333</v>
      </c>
      <c r="M4224" t="s">
        <v>29977</v>
      </c>
      <c r="N4224" t="s">
        <v>32524</v>
      </c>
      <c r="O4224" t="s">
        <v>32525</v>
      </c>
      <c r="P4224">
        <v>0</v>
      </c>
      <c r="Q4224">
        <v>3</v>
      </c>
      <c r="R4224" t="s">
        <v>32530</v>
      </c>
      <c r="S4224" t="s">
        <v>32568</v>
      </c>
      <c r="T4224" t="s">
        <v>33164</v>
      </c>
      <c r="U4224" t="s">
        <v>37156</v>
      </c>
      <c r="W4224" t="s">
        <v>29977</v>
      </c>
      <c r="X4224" t="s">
        <v>32531</v>
      </c>
    </row>
    <row r="4225" spans="1:24">
      <c r="A4225">
        <f>HYPERLINK("https://www.philgeps.gov.ph/GEPSNONPILOT/Tender/SplashBidNoticeAbstractUI.aspx?menuIndex=3&amp;refID=7042727&amp;Result=3","7042727")</f>
        <v>0</v>
      </c>
      <c r="B4225" t="s">
        <v>1436</v>
      </c>
      <c r="C4225" t="s">
        <v>6715</v>
      </c>
      <c r="D4225" t="s">
        <v>13004</v>
      </c>
      <c r="E4225" t="s">
        <v>16865</v>
      </c>
      <c r="F4225" t="s">
        <v>22436</v>
      </c>
      <c r="G4225" t="s">
        <v>22444</v>
      </c>
      <c r="H4225" t="s">
        <v>22452</v>
      </c>
      <c r="I4225" t="s">
        <v>22463</v>
      </c>
      <c r="J4225" t="s">
        <v>25367</v>
      </c>
      <c r="K4225" t="s">
        <v>29337</v>
      </c>
      <c r="M4225" t="s">
        <v>31099</v>
      </c>
      <c r="N4225" t="s">
        <v>32524</v>
      </c>
      <c r="O4225" t="s">
        <v>32525</v>
      </c>
      <c r="P4225">
        <v>0</v>
      </c>
      <c r="Q4225">
        <v>15</v>
      </c>
      <c r="R4225" t="s">
        <v>32530</v>
      </c>
      <c r="S4225" t="s">
        <v>32568</v>
      </c>
      <c r="T4225" t="s">
        <v>33440</v>
      </c>
      <c r="U4225" t="s">
        <v>37198</v>
      </c>
      <c r="V4225" t="s">
        <v>42428</v>
      </c>
      <c r="W4225" t="s">
        <v>31099</v>
      </c>
      <c r="X4225" t="s">
        <v>32531</v>
      </c>
    </row>
    <row r="4226" spans="1:24">
      <c r="A4226">
        <f>HYPERLINK("https://www.philgeps.gov.ph/GEPSNONPILOT/Tender/SplashBidNoticeAbstractUI.aspx?menuIndex=3&amp;refID=7042744&amp;Result=3","7042744")</f>
        <v>0</v>
      </c>
      <c r="B4226" t="s">
        <v>460</v>
      </c>
      <c r="C4226" t="s">
        <v>6716</v>
      </c>
      <c r="D4226" t="s">
        <v>13023</v>
      </c>
      <c r="E4226" t="s">
        <v>16866</v>
      </c>
      <c r="F4226" t="s">
        <v>22436</v>
      </c>
      <c r="G4226" t="s">
        <v>22444</v>
      </c>
      <c r="H4226" t="s">
        <v>22454</v>
      </c>
      <c r="I4226" t="s">
        <v>7738</v>
      </c>
      <c r="J4226" t="s">
        <v>25368</v>
      </c>
      <c r="K4226" t="s">
        <v>29380</v>
      </c>
      <c r="M4226" t="s">
        <v>30042</v>
      </c>
      <c r="N4226" t="s">
        <v>32524</v>
      </c>
      <c r="O4226" t="s">
        <v>32525</v>
      </c>
      <c r="P4226">
        <v>0</v>
      </c>
      <c r="Q4226">
        <v>0</v>
      </c>
      <c r="R4226" t="s">
        <v>32530</v>
      </c>
      <c r="S4226" t="s">
        <v>32568</v>
      </c>
      <c r="T4226" t="s">
        <v>33163</v>
      </c>
      <c r="U4226" t="s">
        <v>37199</v>
      </c>
      <c r="W4226" t="s">
        <v>30042</v>
      </c>
      <c r="X4226" t="s">
        <v>32531</v>
      </c>
    </row>
    <row r="4227" spans="1:24">
      <c r="A4227">
        <f>HYPERLINK("https://www.philgeps.gov.ph/GEPSNONPILOT/Tender/SplashBidNoticeAbstractUI.aspx?menuIndex=3&amp;refID=7042728&amp;Result=3","7042728")</f>
        <v>0</v>
      </c>
      <c r="B4227" t="s">
        <v>1434</v>
      </c>
      <c r="C4227" t="s">
        <v>6717</v>
      </c>
      <c r="D4227" t="s">
        <v>13019</v>
      </c>
      <c r="E4227" t="s">
        <v>16867</v>
      </c>
      <c r="F4227" t="s">
        <v>22436</v>
      </c>
      <c r="G4227" t="s">
        <v>22444</v>
      </c>
      <c r="H4227" t="s">
        <v>22452</v>
      </c>
      <c r="I4227" t="s">
        <v>22456</v>
      </c>
      <c r="J4227" t="s">
        <v>24255</v>
      </c>
      <c r="K4227" t="s">
        <v>29363</v>
      </c>
      <c r="M4227" t="s">
        <v>31097</v>
      </c>
      <c r="N4227" t="s">
        <v>32524</v>
      </c>
      <c r="O4227" t="s">
        <v>32525</v>
      </c>
      <c r="P4227">
        <v>0</v>
      </c>
      <c r="Q4227">
        <v>3</v>
      </c>
      <c r="R4227" t="s">
        <v>32530</v>
      </c>
      <c r="S4227" t="s">
        <v>32568</v>
      </c>
      <c r="T4227" t="s">
        <v>33439</v>
      </c>
      <c r="U4227" t="s">
        <v>37200</v>
      </c>
      <c r="W4227" t="s">
        <v>31097</v>
      </c>
      <c r="X4227" t="s">
        <v>32531</v>
      </c>
    </row>
    <row r="4228" spans="1:24">
      <c r="A4228">
        <f>HYPERLINK("https://www.philgeps.gov.ph/GEPSNONPILOT/Tender/SplashBidNoticeAbstractUI.aspx?menuIndex=3&amp;refID=7042739&amp;Result=3","7042739")</f>
        <v>0</v>
      </c>
      <c r="B4228" t="s">
        <v>1450</v>
      </c>
      <c r="C4228" t="s">
        <v>6718</v>
      </c>
      <c r="D4228" t="s">
        <v>13011</v>
      </c>
      <c r="E4228" t="s">
        <v>16868</v>
      </c>
      <c r="F4228" t="s">
        <v>22436</v>
      </c>
      <c r="G4228" t="s">
        <v>22444</v>
      </c>
      <c r="H4228" t="s">
        <v>22454</v>
      </c>
      <c r="I4228" t="s">
        <v>7738</v>
      </c>
      <c r="J4228" t="s">
        <v>25369</v>
      </c>
      <c r="K4228" t="s">
        <v>29346</v>
      </c>
      <c r="M4228" t="s">
        <v>31114</v>
      </c>
      <c r="N4228" t="s">
        <v>32524</v>
      </c>
      <c r="O4228" t="s">
        <v>32525</v>
      </c>
      <c r="P4228">
        <v>0</v>
      </c>
      <c r="Q4228">
        <v>3</v>
      </c>
      <c r="R4228" t="s">
        <v>32530</v>
      </c>
      <c r="S4228" t="s">
        <v>32568</v>
      </c>
      <c r="T4228" t="s">
        <v>33212</v>
      </c>
      <c r="U4228" t="s">
        <v>37116</v>
      </c>
      <c r="V4228" t="s">
        <v>42866</v>
      </c>
      <c r="W4228" t="s">
        <v>31114</v>
      </c>
      <c r="X4228" t="s">
        <v>32531</v>
      </c>
    </row>
    <row r="4229" spans="1:24">
      <c r="A4229">
        <f>HYPERLINK("https://www.philgeps.gov.ph/GEPSNONPILOT/Tender/SplashBidNoticeAbstractUI.aspx?menuIndex=3&amp;refID=7042731&amp;Result=3","7042731")</f>
        <v>0</v>
      </c>
      <c r="B4229" t="s">
        <v>799</v>
      </c>
      <c r="C4229" t="s">
        <v>6719</v>
      </c>
      <c r="D4229" t="s">
        <v>12988</v>
      </c>
      <c r="E4229" t="s">
        <v>16869</v>
      </c>
      <c r="F4229" t="s">
        <v>22436</v>
      </c>
      <c r="G4229" t="s">
        <v>22445</v>
      </c>
      <c r="H4229" t="s">
        <v>22452</v>
      </c>
      <c r="I4229" t="s">
        <v>22460</v>
      </c>
      <c r="J4229" t="s">
        <v>25370</v>
      </c>
      <c r="K4229" t="s">
        <v>29341</v>
      </c>
      <c r="M4229" t="s">
        <v>30864</v>
      </c>
      <c r="N4229" t="s">
        <v>32524</v>
      </c>
      <c r="O4229" t="s">
        <v>32525</v>
      </c>
      <c r="P4229">
        <v>0</v>
      </c>
      <c r="Q4229">
        <v>7</v>
      </c>
      <c r="R4229" t="s">
        <v>32530</v>
      </c>
      <c r="S4229" t="s">
        <v>32568</v>
      </c>
      <c r="T4229" t="s">
        <v>33323</v>
      </c>
      <c r="U4229" t="s">
        <v>36535</v>
      </c>
      <c r="V4229" t="s">
        <v>42871</v>
      </c>
      <c r="W4229" t="s">
        <v>30864</v>
      </c>
      <c r="X4229" t="s">
        <v>32531</v>
      </c>
    </row>
    <row r="4230" spans="1:24">
      <c r="A4230">
        <f>HYPERLINK("https://www.philgeps.gov.ph/GEPSNONPILOT/Tender/SplashBidNoticeAbstractUI.aspx?menuIndex=3&amp;refID=7042760&amp;Result=3","7042760")</f>
        <v>0</v>
      </c>
      <c r="B4230" t="s">
        <v>1450</v>
      </c>
      <c r="C4230" t="s">
        <v>6720</v>
      </c>
      <c r="D4230" t="s">
        <v>13011</v>
      </c>
      <c r="E4230" t="s">
        <v>16870</v>
      </c>
      <c r="F4230" t="s">
        <v>22436</v>
      </c>
      <c r="G4230" t="s">
        <v>22444</v>
      </c>
      <c r="H4230" t="s">
        <v>22454</v>
      </c>
      <c r="I4230" t="s">
        <v>7738</v>
      </c>
      <c r="J4230" t="s">
        <v>25346</v>
      </c>
      <c r="K4230" t="s">
        <v>29457</v>
      </c>
      <c r="M4230" t="s">
        <v>31114</v>
      </c>
      <c r="N4230" t="s">
        <v>32524</v>
      </c>
      <c r="O4230" t="s">
        <v>32525</v>
      </c>
      <c r="P4230">
        <v>0</v>
      </c>
      <c r="Q4230">
        <v>3</v>
      </c>
      <c r="R4230" t="s">
        <v>32530</v>
      </c>
      <c r="S4230" t="s">
        <v>32568</v>
      </c>
      <c r="T4230" t="s">
        <v>33212</v>
      </c>
      <c r="U4230" t="s">
        <v>37116</v>
      </c>
      <c r="V4230" t="s">
        <v>42866</v>
      </c>
      <c r="W4230" t="s">
        <v>31114</v>
      </c>
      <c r="X4230" t="s">
        <v>32531</v>
      </c>
    </row>
    <row r="4231" spans="1:24">
      <c r="A4231">
        <f>HYPERLINK("https://www.philgeps.gov.ph/GEPSNONPILOT/Tender/SplashBidNoticeAbstractUI.aspx?menuIndex=3&amp;refID=7042726&amp;Result=3","7042726")</f>
        <v>0</v>
      </c>
      <c r="B4231" t="s">
        <v>1450</v>
      </c>
      <c r="C4231" t="s">
        <v>6721</v>
      </c>
      <c r="D4231" t="s">
        <v>13011</v>
      </c>
      <c r="E4231" t="s">
        <v>16871</v>
      </c>
      <c r="F4231" t="s">
        <v>22436</v>
      </c>
      <c r="G4231" t="s">
        <v>22444</v>
      </c>
      <c r="H4231" t="s">
        <v>22454</v>
      </c>
      <c r="I4231" t="s">
        <v>7738</v>
      </c>
      <c r="J4231" t="s">
        <v>25363</v>
      </c>
      <c r="K4231" t="s">
        <v>29345</v>
      </c>
      <c r="M4231" t="s">
        <v>31114</v>
      </c>
      <c r="N4231" t="s">
        <v>32524</v>
      </c>
      <c r="O4231" t="s">
        <v>32525</v>
      </c>
      <c r="P4231">
        <v>0</v>
      </c>
      <c r="Q4231">
        <v>3</v>
      </c>
      <c r="R4231" t="s">
        <v>32530</v>
      </c>
      <c r="S4231" t="s">
        <v>32568</v>
      </c>
      <c r="T4231" t="s">
        <v>33212</v>
      </c>
      <c r="U4231" t="s">
        <v>37116</v>
      </c>
      <c r="V4231" t="s">
        <v>42866</v>
      </c>
      <c r="W4231" t="s">
        <v>31114</v>
      </c>
      <c r="X4231" t="s">
        <v>32531</v>
      </c>
    </row>
    <row r="4232" spans="1:24">
      <c r="A4232">
        <f>HYPERLINK("https://www.philgeps.gov.ph/GEPSNONPILOT/Tender/SplashBidNoticeAbstractUI.aspx?menuIndex=3&amp;refID=7042759&amp;Result=3","7042759")</f>
        <v>0</v>
      </c>
      <c r="B4232" t="s">
        <v>799</v>
      </c>
      <c r="C4232" t="s">
        <v>6722</v>
      </c>
      <c r="D4232" t="s">
        <v>12988</v>
      </c>
      <c r="E4232" t="s">
        <v>16872</v>
      </c>
      <c r="F4232" t="s">
        <v>22436</v>
      </c>
      <c r="G4232" t="s">
        <v>22445</v>
      </c>
      <c r="H4232" t="s">
        <v>22452</v>
      </c>
      <c r="I4232" t="s">
        <v>3827</v>
      </c>
      <c r="J4232" t="s">
        <v>25371</v>
      </c>
      <c r="K4232" t="s">
        <v>29341</v>
      </c>
      <c r="M4232" t="s">
        <v>30864</v>
      </c>
      <c r="N4232" t="s">
        <v>32524</v>
      </c>
      <c r="O4232" t="s">
        <v>32525</v>
      </c>
      <c r="P4232">
        <v>0</v>
      </c>
      <c r="Q4232">
        <v>7</v>
      </c>
      <c r="R4232" t="s">
        <v>32530</v>
      </c>
      <c r="S4232" t="s">
        <v>32568</v>
      </c>
      <c r="T4232" t="s">
        <v>33323</v>
      </c>
      <c r="U4232" t="s">
        <v>36535</v>
      </c>
      <c r="V4232" t="s">
        <v>42871</v>
      </c>
      <c r="W4232" t="s">
        <v>30864</v>
      </c>
      <c r="X4232" t="s">
        <v>32531</v>
      </c>
    </row>
    <row r="4233" spans="1:24">
      <c r="A4233">
        <f>HYPERLINK("https://www.philgeps.gov.ph/GEPSNONPILOT/Tender/SplashBidNoticeAbstractUI.aspx?menuIndex=3&amp;refID=7042734&amp;Result=3","7042734")</f>
        <v>0</v>
      </c>
      <c r="B4233" t="s">
        <v>1394</v>
      </c>
      <c r="C4233" t="s">
        <v>6723</v>
      </c>
      <c r="D4233" t="s">
        <v>12988</v>
      </c>
      <c r="E4233" t="s">
        <v>13760</v>
      </c>
      <c r="F4233" t="s">
        <v>22436</v>
      </c>
      <c r="G4233" t="s">
        <v>22443</v>
      </c>
      <c r="H4233" t="s">
        <v>22452</v>
      </c>
      <c r="I4233" t="s">
        <v>22469</v>
      </c>
      <c r="J4233" t="s">
        <v>25372</v>
      </c>
      <c r="K4233" t="s">
        <v>29335</v>
      </c>
      <c r="M4233" t="s">
        <v>31052</v>
      </c>
      <c r="N4233" t="s">
        <v>32524</v>
      </c>
      <c r="O4233" t="s">
        <v>32525</v>
      </c>
      <c r="P4233">
        <v>0</v>
      </c>
      <c r="Q4233">
        <v>18</v>
      </c>
      <c r="R4233" t="s">
        <v>32530</v>
      </c>
      <c r="S4233" t="s">
        <v>32568</v>
      </c>
      <c r="T4233" t="s">
        <v>33209</v>
      </c>
      <c r="U4233" t="s">
        <v>37201</v>
      </c>
      <c r="W4233" t="s">
        <v>31052</v>
      </c>
      <c r="X4233" t="s">
        <v>32531</v>
      </c>
    </row>
    <row r="4234" spans="1:24">
      <c r="A4234">
        <f>HYPERLINK("https://www.philgeps.gov.ph/GEPSNONPILOT/Tender/SplashBidNoticeAbstractUI.aspx?menuIndex=3&amp;refID=7042747&amp;Result=3","7042747")</f>
        <v>0</v>
      </c>
      <c r="B4234" t="s">
        <v>1436</v>
      </c>
      <c r="C4234" t="s">
        <v>6724</v>
      </c>
      <c r="D4234" t="s">
        <v>13004</v>
      </c>
      <c r="E4234" t="s">
        <v>16873</v>
      </c>
      <c r="F4234" t="s">
        <v>22436</v>
      </c>
      <c r="G4234" t="s">
        <v>22444</v>
      </c>
      <c r="H4234" t="s">
        <v>22452</v>
      </c>
      <c r="I4234" t="s">
        <v>22463</v>
      </c>
      <c r="J4234" t="s">
        <v>25373</v>
      </c>
      <c r="K4234" t="s">
        <v>29337</v>
      </c>
      <c r="M4234" t="s">
        <v>31099</v>
      </c>
      <c r="N4234" t="s">
        <v>32524</v>
      </c>
      <c r="O4234" t="s">
        <v>32525</v>
      </c>
      <c r="P4234">
        <v>0</v>
      </c>
      <c r="Q4234">
        <v>6</v>
      </c>
      <c r="R4234" t="s">
        <v>32530</v>
      </c>
      <c r="S4234" t="s">
        <v>32568</v>
      </c>
      <c r="T4234" t="s">
        <v>33440</v>
      </c>
      <c r="U4234" t="s">
        <v>37202</v>
      </c>
      <c r="V4234" t="s">
        <v>42428</v>
      </c>
      <c r="W4234" t="s">
        <v>31099</v>
      </c>
      <c r="X4234" t="s">
        <v>32531</v>
      </c>
    </row>
    <row r="4235" spans="1:24">
      <c r="A4235">
        <f>HYPERLINK("https://www.philgeps.gov.ph/GEPSNONPILOT/Tender/SplashBidNoticeAbstractUI.aspx?menuIndex=3&amp;refID=7042756&amp;Result=3","7042756")</f>
        <v>0</v>
      </c>
      <c r="B4235" t="s">
        <v>1480</v>
      </c>
      <c r="C4235" t="s">
        <v>6725</v>
      </c>
      <c r="E4235" t="s">
        <v>16874</v>
      </c>
      <c r="F4235" t="s">
        <v>22436</v>
      </c>
      <c r="G4235" t="s">
        <v>22444</v>
      </c>
      <c r="H4235" t="s">
        <v>22452</v>
      </c>
      <c r="I4235" t="s">
        <v>22474</v>
      </c>
      <c r="J4235" t="s">
        <v>22877</v>
      </c>
      <c r="K4235" t="s">
        <v>29338</v>
      </c>
      <c r="M4235" t="s">
        <v>31150</v>
      </c>
      <c r="N4235" t="s">
        <v>32524</v>
      </c>
      <c r="O4235" t="s">
        <v>32525</v>
      </c>
      <c r="P4235">
        <v>0</v>
      </c>
      <c r="Q4235">
        <v>2</v>
      </c>
      <c r="R4235" t="s">
        <v>32530</v>
      </c>
      <c r="S4235" t="s">
        <v>32568</v>
      </c>
      <c r="T4235" t="s">
        <v>33329</v>
      </c>
      <c r="U4235" t="s">
        <v>37203</v>
      </c>
      <c r="V4235" t="s">
        <v>42461</v>
      </c>
      <c r="W4235" t="s">
        <v>31150</v>
      </c>
      <c r="X4235" t="s">
        <v>32531</v>
      </c>
    </row>
    <row r="4236" spans="1:24">
      <c r="A4236">
        <f>HYPERLINK("https://www.philgeps.gov.ph/GEPSNONPILOT/Tender/SplashBidNoticeAbstractUI.aspx?menuIndex=3&amp;refID=7042732&amp;Result=3","7042732")</f>
        <v>0</v>
      </c>
      <c r="B4236" t="s">
        <v>1481</v>
      </c>
      <c r="C4236" t="s">
        <v>6726</v>
      </c>
      <c r="D4236" t="s">
        <v>13023</v>
      </c>
      <c r="E4236" t="s">
        <v>16875</v>
      </c>
      <c r="F4236" t="s">
        <v>22436</v>
      </c>
      <c r="G4236" t="s">
        <v>22444</v>
      </c>
      <c r="H4236" t="s">
        <v>22454</v>
      </c>
      <c r="I4236" t="s">
        <v>7738</v>
      </c>
      <c r="J4236" t="s">
        <v>25374</v>
      </c>
      <c r="K4236" t="s">
        <v>29335</v>
      </c>
      <c r="M4236" t="s">
        <v>31151</v>
      </c>
      <c r="N4236" t="s">
        <v>32524</v>
      </c>
      <c r="O4236" t="s">
        <v>32525</v>
      </c>
      <c r="P4236">
        <v>0</v>
      </c>
      <c r="Q4236">
        <v>2</v>
      </c>
      <c r="R4236" t="s">
        <v>32530</v>
      </c>
      <c r="S4236" t="s">
        <v>32568</v>
      </c>
      <c r="T4236" t="s">
        <v>33157</v>
      </c>
      <c r="U4236" t="s">
        <v>37204</v>
      </c>
      <c r="W4236" t="s">
        <v>43722</v>
      </c>
      <c r="X4236" t="s">
        <v>32531</v>
      </c>
    </row>
    <row r="4237" spans="1:24">
      <c r="A4237">
        <f>HYPERLINK("https://www.philgeps.gov.ph/GEPSNONPILOT/Tender/SplashBidNoticeAbstractUI.aspx?menuIndex=3&amp;refID=7042745&amp;Result=3","7042745")</f>
        <v>0</v>
      </c>
      <c r="B4237" t="s">
        <v>411</v>
      </c>
      <c r="C4237" t="s">
        <v>6727</v>
      </c>
      <c r="D4237" t="s">
        <v>13015</v>
      </c>
      <c r="E4237" t="s">
        <v>16876</v>
      </c>
      <c r="F4237" t="s">
        <v>22436</v>
      </c>
      <c r="G4237" t="s">
        <v>22443</v>
      </c>
      <c r="H4237" t="s">
        <v>22452</v>
      </c>
      <c r="I4237" t="s">
        <v>22467</v>
      </c>
      <c r="J4237" t="s">
        <v>25375</v>
      </c>
      <c r="K4237" t="s">
        <v>29341</v>
      </c>
      <c r="M4237" t="s">
        <v>29990</v>
      </c>
      <c r="N4237" t="s">
        <v>32524</v>
      </c>
      <c r="O4237" t="s">
        <v>32525</v>
      </c>
      <c r="P4237">
        <v>0</v>
      </c>
      <c r="Q4237">
        <v>0</v>
      </c>
      <c r="R4237" t="s">
        <v>32530</v>
      </c>
      <c r="S4237" t="s">
        <v>32568</v>
      </c>
      <c r="T4237" t="s">
        <v>33213</v>
      </c>
      <c r="U4237" t="s">
        <v>37205</v>
      </c>
      <c r="W4237" t="s">
        <v>29990</v>
      </c>
      <c r="X4237" t="s">
        <v>32531</v>
      </c>
    </row>
    <row r="4238" spans="1:24">
      <c r="A4238">
        <f>HYPERLINK("https://www.philgeps.gov.ph/GEPSNONPILOT/Tender/SplashBidNoticeAbstractUI.aspx?menuIndex=3&amp;refID=7042769&amp;Result=3","7042769")</f>
        <v>0</v>
      </c>
      <c r="B4238" t="s">
        <v>1450</v>
      </c>
      <c r="C4238" t="s">
        <v>6728</v>
      </c>
      <c r="D4238" t="s">
        <v>13011</v>
      </c>
      <c r="E4238" t="s">
        <v>16877</v>
      </c>
      <c r="F4238" t="s">
        <v>22436</v>
      </c>
      <c r="G4238" t="s">
        <v>22444</v>
      </c>
      <c r="H4238" t="s">
        <v>22454</v>
      </c>
      <c r="I4238" t="s">
        <v>7738</v>
      </c>
      <c r="J4238" t="s">
        <v>25346</v>
      </c>
      <c r="K4238" t="s">
        <v>29345</v>
      </c>
      <c r="M4238" t="s">
        <v>31114</v>
      </c>
      <c r="N4238" t="s">
        <v>32524</v>
      </c>
      <c r="O4238" t="s">
        <v>32525</v>
      </c>
      <c r="P4238">
        <v>0</v>
      </c>
      <c r="Q4238">
        <v>2</v>
      </c>
      <c r="R4238" t="s">
        <v>32530</v>
      </c>
      <c r="S4238" t="s">
        <v>32568</v>
      </c>
      <c r="T4238" t="s">
        <v>33212</v>
      </c>
      <c r="U4238" t="s">
        <v>37116</v>
      </c>
      <c r="V4238" t="s">
        <v>42866</v>
      </c>
      <c r="W4238" t="s">
        <v>31114</v>
      </c>
      <c r="X4238" t="s">
        <v>32531</v>
      </c>
    </row>
    <row r="4239" spans="1:24">
      <c r="A4239">
        <f>HYPERLINK("https://www.philgeps.gov.ph/GEPSNONPILOT/Tender/SplashBidNoticeAbstractUI.aspx?menuIndex=3&amp;refID=7042770&amp;Result=3","7042770")</f>
        <v>0</v>
      </c>
      <c r="B4239" t="s">
        <v>317</v>
      </c>
      <c r="C4239" t="s">
        <v>6729</v>
      </c>
      <c r="D4239" t="s">
        <v>13031</v>
      </c>
      <c r="E4239" t="s">
        <v>16878</v>
      </c>
      <c r="F4239" t="s">
        <v>22436</v>
      </c>
      <c r="G4239" t="s">
        <v>22444</v>
      </c>
      <c r="H4239" t="s">
        <v>22454</v>
      </c>
      <c r="I4239" t="s">
        <v>7738</v>
      </c>
      <c r="J4239" t="s">
        <v>22634</v>
      </c>
      <c r="K4239" t="s">
        <v>29329</v>
      </c>
      <c r="M4239" t="s">
        <v>31152</v>
      </c>
      <c r="N4239" t="s">
        <v>32524</v>
      </c>
      <c r="O4239" t="s">
        <v>32525</v>
      </c>
      <c r="P4239">
        <v>0</v>
      </c>
      <c r="Q4239">
        <v>0</v>
      </c>
      <c r="R4239" t="s">
        <v>32530</v>
      </c>
      <c r="S4239" t="s">
        <v>32568</v>
      </c>
      <c r="T4239" t="s">
        <v>33181</v>
      </c>
      <c r="U4239" t="s">
        <v>37206</v>
      </c>
      <c r="W4239" t="s">
        <v>31152</v>
      </c>
      <c r="X4239" t="s">
        <v>32531</v>
      </c>
    </row>
    <row r="4240" spans="1:24">
      <c r="A4240">
        <f>HYPERLINK("https://www.philgeps.gov.ph/GEPSNONPILOT/Tender/SplashBidNoticeAbstractUI.aspx?menuIndex=3&amp;refID=7042779&amp;Result=3","7042779")</f>
        <v>0</v>
      </c>
      <c r="B4240" t="s">
        <v>1355</v>
      </c>
      <c r="C4240" t="s">
        <v>6730</v>
      </c>
      <c r="D4240" t="s">
        <v>12999</v>
      </c>
      <c r="E4240" t="s">
        <v>14329</v>
      </c>
      <c r="F4240" t="s">
        <v>22436</v>
      </c>
      <c r="G4240" t="s">
        <v>22443</v>
      </c>
      <c r="H4240" t="s">
        <v>22452</v>
      </c>
      <c r="I4240" t="s">
        <v>22456</v>
      </c>
      <c r="J4240" t="s">
        <v>25376</v>
      </c>
      <c r="K4240" t="s">
        <v>29338</v>
      </c>
      <c r="M4240" t="s">
        <v>31011</v>
      </c>
      <c r="N4240" t="s">
        <v>32524</v>
      </c>
      <c r="O4240" t="s">
        <v>32525</v>
      </c>
      <c r="P4240">
        <v>0</v>
      </c>
      <c r="Q4240">
        <v>3</v>
      </c>
      <c r="R4240" t="s">
        <v>32530</v>
      </c>
      <c r="S4240" t="s">
        <v>32568</v>
      </c>
      <c r="T4240" t="s">
        <v>33372</v>
      </c>
      <c r="U4240" t="s">
        <v>37207</v>
      </c>
      <c r="W4240" t="s">
        <v>31011</v>
      </c>
      <c r="X4240" t="s">
        <v>32531</v>
      </c>
    </row>
    <row r="4241" spans="1:24">
      <c r="A4241">
        <f>HYPERLINK("https://www.philgeps.gov.ph/GEPSNONPILOT/Tender/SplashBidNoticeAbstractUI.aspx?menuIndex=3&amp;refID=7042764&amp;Result=3","7042764")</f>
        <v>0</v>
      </c>
      <c r="B4241" t="s">
        <v>1338</v>
      </c>
      <c r="C4241" t="s">
        <v>6731</v>
      </c>
      <c r="D4241" t="s">
        <v>13046</v>
      </c>
      <c r="E4241" t="s">
        <v>16879</v>
      </c>
      <c r="F4241" t="s">
        <v>22436</v>
      </c>
      <c r="G4241" t="s">
        <v>22444</v>
      </c>
      <c r="H4241" t="s">
        <v>22454</v>
      </c>
      <c r="I4241" t="s">
        <v>7738</v>
      </c>
      <c r="J4241" t="s">
        <v>24431</v>
      </c>
      <c r="K4241" t="s">
        <v>29329</v>
      </c>
      <c r="M4241" t="s">
        <v>31153</v>
      </c>
      <c r="N4241" t="s">
        <v>32524</v>
      </c>
      <c r="O4241" t="s">
        <v>32525</v>
      </c>
      <c r="P4241">
        <v>0</v>
      </c>
      <c r="Q4241">
        <v>0</v>
      </c>
      <c r="R4241" t="s">
        <v>32530</v>
      </c>
      <c r="S4241" t="s">
        <v>32568</v>
      </c>
      <c r="T4241" t="s">
        <v>33423</v>
      </c>
      <c r="U4241" t="s">
        <v>37208</v>
      </c>
      <c r="V4241" t="s">
        <v>38851</v>
      </c>
      <c r="W4241" t="s">
        <v>31153</v>
      </c>
      <c r="X4241" t="s">
        <v>32531</v>
      </c>
    </row>
    <row r="4242" spans="1:24">
      <c r="A4242">
        <f>HYPERLINK("https://www.philgeps.gov.ph/GEPSNONPILOT/Tender/SplashBidNoticeAbstractUI.aspx?menuIndex=3&amp;refID=7042780&amp;Result=3","7042780")</f>
        <v>0</v>
      </c>
      <c r="B4242" t="s">
        <v>892</v>
      </c>
      <c r="C4242" t="s">
        <v>6732</v>
      </c>
      <c r="D4242" t="s">
        <v>13032</v>
      </c>
      <c r="E4242" t="s">
        <v>16880</v>
      </c>
      <c r="F4242" t="s">
        <v>22436</v>
      </c>
      <c r="G4242" t="s">
        <v>22444</v>
      </c>
      <c r="H4242" t="s">
        <v>22454</v>
      </c>
      <c r="I4242" t="s">
        <v>7738</v>
      </c>
      <c r="J4242" t="s">
        <v>25377</v>
      </c>
      <c r="K4242" t="s">
        <v>29347</v>
      </c>
      <c r="M4242" t="s">
        <v>30503</v>
      </c>
      <c r="N4242" t="s">
        <v>32524</v>
      </c>
      <c r="O4242" t="s">
        <v>32525</v>
      </c>
      <c r="P4242">
        <v>0</v>
      </c>
      <c r="Q4242">
        <v>0</v>
      </c>
      <c r="R4242" t="s">
        <v>32530</v>
      </c>
      <c r="S4242" t="s">
        <v>32568</v>
      </c>
      <c r="T4242" t="s">
        <v>33211</v>
      </c>
      <c r="U4242" t="s">
        <v>37209</v>
      </c>
      <c r="W4242" t="s">
        <v>30503</v>
      </c>
      <c r="X4242" t="s">
        <v>32531</v>
      </c>
    </row>
    <row r="4243" spans="1:24">
      <c r="A4243">
        <f>HYPERLINK("https://www.philgeps.gov.ph/GEPSNONPILOT/Tender/SplashBidNoticeAbstractUI.aspx?menuIndex=3&amp;refID=7042782&amp;Result=3","7042782")</f>
        <v>0</v>
      </c>
      <c r="B4243" t="s">
        <v>1480</v>
      </c>
      <c r="C4243" t="s">
        <v>6733</v>
      </c>
      <c r="E4243" t="s">
        <v>16881</v>
      </c>
      <c r="F4243" t="s">
        <v>22436</v>
      </c>
      <c r="G4243" t="s">
        <v>22444</v>
      </c>
      <c r="H4243" t="s">
        <v>22452</v>
      </c>
      <c r="I4243" t="s">
        <v>22540</v>
      </c>
      <c r="J4243" t="s">
        <v>22936</v>
      </c>
      <c r="K4243" t="s">
        <v>29338</v>
      </c>
      <c r="M4243" t="s">
        <v>31150</v>
      </c>
      <c r="N4243" t="s">
        <v>32524</v>
      </c>
      <c r="O4243" t="s">
        <v>32525</v>
      </c>
      <c r="P4243">
        <v>0</v>
      </c>
      <c r="Q4243">
        <v>2</v>
      </c>
      <c r="R4243" t="s">
        <v>32530</v>
      </c>
      <c r="S4243" t="s">
        <v>32568</v>
      </c>
      <c r="T4243" t="s">
        <v>33329</v>
      </c>
      <c r="U4243" t="s">
        <v>37203</v>
      </c>
      <c r="V4243" t="s">
        <v>42461</v>
      </c>
      <c r="W4243" t="s">
        <v>31150</v>
      </c>
      <c r="X4243" t="s">
        <v>32531</v>
      </c>
    </row>
    <row r="4244" spans="1:24">
      <c r="A4244">
        <f>HYPERLINK("https://www.philgeps.gov.ph/GEPSNONPILOT/Tender/SplashBidNoticeAbstractUI.aspx?menuIndex=3&amp;refID=7042781&amp;Result=3","7042781")</f>
        <v>0</v>
      </c>
      <c r="B4244" t="s">
        <v>1457</v>
      </c>
      <c r="C4244" t="s">
        <v>6639</v>
      </c>
      <c r="D4244" t="s">
        <v>13015</v>
      </c>
      <c r="E4244" t="s">
        <v>13326</v>
      </c>
      <c r="F4244" t="s">
        <v>22436</v>
      </c>
      <c r="G4244" t="s">
        <v>22443</v>
      </c>
      <c r="H4244" t="s">
        <v>22452</v>
      </c>
      <c r="I4244" t="s">
        <v>22464</v>
      </c>
      <c r="J4244" t="s">
        <v>22692</v>
      </c>
      <c r="K4244" t="s">
        <v>29336</v>
      </c>
      <c r="M4244" t="s">
        <v>31123</v>
      </c>
      <c r="N4244" t="s">
        <v>32524</v>
      </c>
      <c r="O4244" t="s">
        <v>32525</v>
      </c>
      <c r="P4244">
        <v>0</v>
      </c>
      <c r="Q4244">
        <v>0</v>
      </c>
      <c r="R4244" t="s">
        <v>32530</v>
      </c>
      <c r="S4244" t="s">
        <v>32568</v>
      </c>
      <c r="T4244" t="s">
        <v>33154</v>
      </c>
      <c r="U4244" t="s">
        <v>37210</v>
      </c>
      <c r="W4244" t="s">
        <v>31123</v>
      </c>
      <c r="X4244" t="s">
        <v>32531</v>
      </c>
    </row>
    <row r="4245" spans="1:24">
      <c r="A4245">
        <f>HYPERLINK("https://www.philgeps.gov.ph/GEPSNONPILOT/Tender/SplashBidNoticeAbstractUI.aspx?menuIndex=3&amp;refID=7042777&amp;Result=3","7042777")</f>
        <v>0</v>
      </c>
      <c r="B4245" t="s">
        <v>1436</v>
      </c>
      <c r="C4245" t="s">
        <v>6734</v>
      </c>
      <c r="D4245" t="s">
        <v>13004</v>
      </c>
      <c r="E4245" t="s">
        <v>16882</v>
      </c>
      <c r="F4245" t="s">
        <v>22436</v>
      </c>
      <c r="G4245" t="s">
        <v>22444</v>
      </c>
      <c r="H4245" t="s">
        <v>22452</v>
      </c>
      <c r="I4245" t="s">
        <v>6421</v>
      </c>
      <c r="J4245" t="s">
        <v>25378</v>
      </c>
      <c r="K4245" t="s">
        <v>29337</v>
      </c>
      <c r="M4245" t="s">
        <v>31099</v>
      </c>
      <c r="N4245" t="s">
        <v>32524</v>
      </c>
      <c r="O4245" t="s">
        <v>32525</v>
      </c>
      <c r="P4245">
        <v>0</v>
      </c>
      <c r="Q4245">
        <v>8</v>
      </c>
      <c r="R4245" t="s">
        <v>32530</v>
      </c>
      <c r="S4245" t="s">
        <v>32568</v>
      </c>
      <c r="T4245" t="s">
        <v>33440</v>
      </c>
      <c r="U4245" t="s">
        <v>37211</v>
      </c>
      <c r="V4245" t="s">
        <v>42428</v>
      </c>
      <c r="W4245" t="s">
        <v>31099</v>
      </c>
      <c r="X4245" t="s">
        <v>32531</v>
      </c>
    </row>
    <row r="4246" spans="1:24">
      <c r="A4246">
        <f>HYPERLINK("https://www.philgeps.gov.ph/GEPSNONPILOT/Tender/SplashBidNoticeAbstractUI.aspx?menuIndex=3&amp;refID=7042803&amp;Result=3","7042803")</f>
        <v>0</v>
      </c>
      <c r="B4246" t="s">
        <v>317</v>
      </c>
      <c r="C4246" t="s">
        <v>6735</v>
      </c>
      <c r="D4246" t="s">
        <v>13031</v>
      </c>
      <c r="E4246" t="s">
        <v>16883</v>
      </c>
      <c r="F4246" t="s">
        <v>22436</v>
      </c>
      <c r="G4246" t="s">
        <v>22444</v>
      </c>
      <c r="H4246" t="s">
        <v>22454</v>
      </c>
      <c r="I4246" t="s">
        <v>7738</v>
      </c>
      <c r="J4246" t="s">
        <v>22936</v>
      </c>
      <c r="K4246" t="s">
        <v>29333</v>
      </c>
      <c r="M4246" t="s">
        <v>31152</v>
      </c>
      <c r="N4246" t="s">
        <v>32524</v>
      </c>
      <c r="O4246" t="s">
        <v>32525</v>
      </c>
      <c r="P4246">
        <v>0</v>
      </c>
      <c r="Q4246">
        <v>0</v>
      </c>
      <c r="R4246" t="s">
        <v>32530</v>
      </c>
      <c r="S4246" t="s">
        <v>32568</v>
      </c>
      <c r="T4246" t="s">
        <v>33166</v>
      </c>
      <c r="U4246" t="s">
        <v>37212</v>
      </c>
      <c r="W4246" t="s">
        <v>31152</v>
      </c>
      <c r="X4246" t="s">
        <v>32531</v>
      </c>
    </row>
    <row r="4247" spans="1:24">
      <c r="A4247">
        <f>HYPERLINK("https://www.philgeps.gov.ph/GEPSNONPILOT/Tender/SplashBidNoticeAbstractUI.aspx?menuIndex=3&amp;refID=7042802&amp;Result=3","7042802")</f>
        <v>0</v>
      </c>
      <c r="B4247" t="s">
        <v>1450</v>
      </c>
      <c r="C4247" t="s">
        <v>6736</v>
      </c>
      <c r="D4247" t="s">
        <v>13011</v>
      </c>
      <c r="E4247" t="s">
        <v>16884</v>
      </c>
      <c r="F4247" t="s">
        <v>22436</v>
      </c>
      <c r="G4247" t="s">
        <v>22444</v>
      </c>
      <c r="H4247" t="s">
        <v>22454</v>
      </c>
      <c r="I4247" t="s">
        <v>7738</v>
      </c>
      <c r="J4247" t="s">
        <v>25379</v>
      </c>
      <c r="K4247" t="s">
        <v>29412</v>
      </c>
      <c r="M4247" t="s">
        <v>31114</v>
      </c>
      <c r="N4247" t="s">
        <v>32524</v>
      </c>
      <c r="O4247" t="s">
        <v>32525</v>
      </c>
      <c r="P4247">
        <v>0</v>
      </c>
      <c r="Q4247">
        <v>4</v>
      </c>
      <c r="R4247" t="s">
        <v>32530</v>
      </c>
      <c r="S4247" t="s">
        <v>32568</v>
      </c>
      <c r="T4247" t="s">
        <v>33212</v>
      </c>
      <c r="U4247" t="s">
        <v>37116</v>
      </c>
      <c r="V4247" t="s">
        <v>42866</v>
      </c>
      <c r="W4247" t="s">
        <v>31114</v>
      </c>
      <c r="X4247" t="s">
        <v>32531</v>
      </c>
    </row>
    <row r="4248" spans="1:24">
      <c r="A4248">
        <f>HYPERLINK("https://www.philgeps.gov.ph/GEPSNONPILOT/Tender/SplashBidNoticeAbstractUI.aspx?menuIndex=3&amp;refID=7042792&amp;Result=3","7042792")</f>
        <v>0</v>
      </c>
      <c r="B4248" t="s">
        <v>1476</v>
      </c>
      <c r="C4248" t="s">
        <v>6737</v>
      </c>
      <c r="D4248" t="s">
        <v>13040</v>
      </c>
      <c r="E4248" t="s">
        <v>16433</v>
      </c>
      <c r="F4248" t="s">
        <v>22436</v>
      </c>
      <c r="G4248" t="s">
        <v>22443</v>
      </c>
      <c r="H4248" t="s">
        <v>22454</v>
      </c>
      <c r="I4248" t="s">
        <v>22475</v>
      </c>
      <c r="J4248" t="s">
        <v>23234</v>
      </c>
      <c r="K4248" t="s">
        <v>29368</v>
      </c>
      <c r="M4248" t="s">
        <v>31145</v>
      </c>
      <c r="N4248" t="s">
        <v>32524</v>
      </c>
      <c r="O4248" t="s">
        <v>32525</v>
      </c>
      <c r="P4248">
        <v>0</v>
      </c>
      <c r="Q4248">
        <v>0</v>
      </c>
      <c r="R4248" t="s">
        <v>32530</v>
      </c>
      <c r="S4248" t="s">
        <v>32568</v>
      </c>
      <c r="T4248" t="s">
        <v>33185</v>
      </c>
      <c r="U4248" t="s">
        <v>37213</v>
      </c>
      <c r="W4248" t="s">
        <v>31145</v>
      </c>
      <c r="X4248" t="s">
        <v>32531</v>
      </c>
    </row>
    <row r="4249" spans="1:24">
      <c r="A4249">
        <f>HYPERLINK("https://www.philgeps.gov.ph/GEPSNONPILOT/Tender/SplashBidNoticeAbstractUI.aspx?menuIndex=3&amp;refID=7042796&amp;Result=3","7042796")</f>
        <v>0</v>
      </c>
      <c r="B4249" t="s">
        <v>67</v>
      </c>
      <c r="C4249" t="s">
        <v>6738</v>
      </c>
      <c r="D4249" t="s">
        <v>12990</v>
      </c>
      <c r="E4249" t="s">
        <v>16885</v>
      </c>
      <c r="F4249" t="s">
        <v>22436</v>
      </c>
      <c r="G4249" t="s">
        <v>22444</v>
      </c>
      <c r="H4249" t="s">
        <v>22454</v>
      </c>
      <c r="I4249" t="s">
        <v>7738</v>
      </c>
      <c r="J4249" t="s">
        <v>25380</v>
      </c>
      <c r="K4249" t="s">
        <v>29333</v>
      </c>
      <c r="M4249" t="s">
        <v>30938</v>
      </c>
      <c r="N4249" t="s">
        <v>32524</v>
      </c>
      <c r="O4249" t="s">
        <v>32525</v>
      </c>
      <c r="P4249">
        <v>0</v>
      </c>
      <c r="Q4249">
        <v>0</v>
      </c>
      <c r="R4249" t="s">
        <v>32530</v>
      </c>
      <c r="S4249" t="s">
        <v>32568</v>
      </c>
      <c r="T4249" t="s">
        <v>33194</v>
      </c>
      <c r="U4249" t="s">
        <v>37214</v>
      </c>
      <c r="W4249" t="s">
        <v>30938</v>
      </c>
      <c r="X4249" t="s">
        <v>32531</v>
      </c>
    </row>
    <row r="4250" spans="1:24">
      <c r="A4250">
        <f>HYPERLINK("https://www.philgeps.gov.ph/GEPSNONPILOT/Tender/SplashBidNoticeAbstractUI.aspx?menuIndex=3&amp;refID=7042789&amp;Result=3","7042789")</f>
        <v>0</v>
      </c>
      <c r="B4250" t="s">
        <v>411</v>
      </c>
      <c r="C4250" t="s">
        <v>6739</v>
      </c>
      <c r="D4250" t="s">
        <v>13015</v>
      </c>
      <c r="E4250" t="s">
        <v>16886</v>
      </c>
      <c r="F4250" t="s">
        <v>22436</v>
      </c>
      <c r="G4250" t="s">
        <v>22443</v>
      </c>
      <c r="H4250" t="s">
        <v>22452</v>
      </c>
      <c r="I4250" t="s">
        <v>22467</v>
      </c>
      <c r="J4250" t="s">
        <v>23860</v>
      </c>
      <c r="K4250" t="s">
        <v>29341</v>
      </c>
      <c r="M4250" t="s">
        <v>29990</v>
      </c>
      <c r="N4250" t="s">
        <v>32524</v>
      </c>
      <c r="O4250" t="s">
        <v>32525</v>
      </c>
      <c r="P4250">
        <v>0</v>
      </c>
      <c r="Q4250">
        <v>0</v>
      </c>
      <c r="R4250" t="s">
        <v>32530</v>
      </c>
      <c r="S4250" t="s">
        <v>32568</v>
      </c>
      <c r="T4250" t="s">
        <v>33213</v>
      </c>
      <c r="U4250" t="s">
        <v>37215</v>
      </c>
      <c r="W4250" t="s">
        <v>29990</v>
      </c>
      <c r="X4250" t="s">
        <v>32531</v>
      </c>
    </row>
    <row r="4251" spans="1:24">
      <c r="A4251">
        <f>HYPERLINK("https://www.philgeps.gov.ph/GEPSNONPILOT/Tender/SplashBidNoticeAbstractUI.aspx?menuIndex=3&amp;refID=7042793&amp;Result=3","7042793")</f>
        <v>0</v>
      </c>
      <c r="B4251" t="s">
        <v>1450</v>
      </c>
      <c r="C4251" t="s">
        <v>6740</v>
      </c>
      <c r="D4251" t="s">
        <v>13011</v>
      </c>
      <c r="E4251" t="s">
        <v>16887</v>
      </c>
      <c r="F4251" t="s">
        <v>22436</v>
      </c>
      <c r="G4251" t="s">
        <v>22444</v>
      </c>
      <c r="H4251" t="s">
        <v>22454</v>
      </c>
      <c r="I4251" t="s">
        <v>7738</v>
      </c>
      <c r="J4251" t="s">
        <v>25381</v>
      </c>
      <c r="K4251" t="s">
        <v>29412</v>
      </c>
      <c r="M4251" t="s">
        <v>31114</v>
      </c>
      <c r="N4251" t="s">
        <v>32524</v>
      </c>
      <c r="O4251" t="s">
        <v>32525</v>
      </c>
      <c r="P4251">
        <v>0</v>
      </c>
      <c r="Q4251">
        <v>3</v>
      </c>
      <c r="R4251" t="s">
        <v>32530</v>
      </c>
      <c r="S4251" t="s">
        <v>32568</v>
      </c>
      <c r="T4251" t="s">
        <v>33212</v>
      </c>
      <c r="U4251" t="s">
        <v>37116</v>
      </c>
      <c r="V4251" t="s">
        <v>42866</v>
      </c>
      <c r="W4251" t="s">
        <v>31114</v>
      </c>
      <c r="X4251" t="s">
        <v>32531</v>
      </c>
    </row>
    <row r="4252" spans="1:24">
      <c r="A4252">
        <f>HYPERLINK("https://www.philgeps.gov.ph/GEPSNONPILOT/Tender/SplashBidNoticeAbstractUI.aspx?menuIndex=3&amp;refID=7042784&amp;Result=3","7042784")</f>
        <v>0</v>
      </c>
      <c r="B4252" t="s">
        <v>1432</v>
      </c>
      <c r="C4252" t="s">
        <v>6741</v>
      </c>
      <c r="D4252" t="s">
        <v>12988</v>
      </c>
      <c r="E4252" t="s">
        <v>16888</v>
      </c>
      <c r="F4252" t="s">
        <v>22436</v>
      </c>
      <c r="G4252" t="s">
        <v>22444</v>
      </c>
      <c r="H4252" t="s">
        <v>22452</v>
      </c>
      <c r="I4252" t="s">
        <v>3827</v>
      </c>
      <c r="J4252" t="s">
        <v>25382</v>
      </c>
      <c r="K4252" t="s">
        <v>29334</v>
      </c>
      <c r="M4252" t="s">
        <v>31154</v>
      </c>
      <c r="N4252" t="s">
        <v>32524</v>
      </c>
      <c r="O4252" t="s">
        <v>32525</v>
      </c>
      <c r="P4252">
        <v>0</v>
      </c>
      <c r="Q4252">
        <v>13</v>
      </c>
      <c r="R4252" t="s">
        <v>32530</v>
      </c>
      <c r="S4252" t="s">
        <v>32568</v>
      </c>
      <c r="T4252" t="s">
        <v>33253</v>
      </c>
      <c r="U4252" t="s">
        <v>37216</v>
      </c>
      <c r="V4252" t="s">
        <v>42881</v>
      </c>
      <c r="W4252" t="s">
        <v>31154</v>
      </c>
      <c r="X4252" t="s">
        <v>32531</v>
      </c>
    </row>
    <row r="4253" spans="1:24">
      <c r="A4253">
        <f>HYPERLINK("https://www.philgeps.gov.ph/GEPSNONPILOT/Tender/SplashBidNoticeAbstractUI.aspx?menuIndex=3&amp;refID=7042798&amp;Result=3","7042798")</f>
        <v>0</v>
      </c>
      <c r="B4253" t="s">
        <v>398</v>
      </c>
      <c r="C4253" t="s">
        <v>6742</v>
      </c>
      <c r="D4253" t="s">
        <v>13018</v>
      </c>
      <c r="E4253" t="s">
        <v>16889</v>
      </c>
      <c r="F4253" t="s">
        <v>22436</v>
      </c>
      <c r="G4253" t="s">
        <v>22444</v>
      </c>
      <c r="H4253" t="s">
        <v>22452</v>
      </c>
      <c r="I4253" t="s">
        <v>22476</v>
      </c>
      <c r="J4253" t="s">
        <v>25383</v>
      </c>
      <c r="K4253" t="s">
        <v>29335</v>
      </c>
      <c r="M4253" t="s">
        <v>29977</v>
      </c>
      <c r="N4253" t="s">
        <v>32524</v>
      </c>
      <c r="O4253" t="s">
        <v>32525</v>
      </c>
      <c r="P4253">
        <v>0</v>
      </c>
      <c r="Q4253">
        <v>1</v>
      </c>
      <c r="R4253" t="s">
        <v>32530</v>
      </c>
      <c r="S4253" t="s">
        <v>32568</v>
      </c>
      <c r="T4253" t="s">
        <v>33168</v>
      </c>
      <c r="U4253" t="s">
        <v>37156</v>
      </c>
      <c r="W4253" t="s">
        <v>29977</v>
      </c>
      <c r="X4253" t="s">
        <v>32531</v>
      </c>
    </row>
    <row r="4254" spans="1:24">
      <c r="A4254">
        <f>HYPERLINK("https://www.philgeps.gov.ph/GEPSNONPILOT/Tender/SplashBidNoticeAbstractUI.aspx?menuIndex=3&amp;refID=7042773&amp;Result=3","7042773")</f>
        <v>0</v>
      </c>
      <c r="B4254" t="s">
        <v>1482</v>
      </c>
      <c r="C4254" t="s">
        <v>6743</v>
      </c>
      <c r="D4254" t="s">
        <v>13051</v>
      </c>
      <c r="E4254" t="s">
        <v>16890</v>
      </c>
      <c r="F4254" t="s">
        <v>22436</v>
      </c>
      <c r="G4254" t="s">
        <v>22444</v>
      </c>
      <c r="H4254" t="s">
        <v>22454</v>
      </c>
      <c r="I4254" t="s">
        <v>7738</v>
      </c>
      <c r="J4254" t="s">
        <v>25384</v>
      </c>
      <c r="K4254" t="s">
        <v>29334</v>
      </c>
      <c r="M4254" t="s">
        <v>31155</v>
      </c>
      <c r="N4254" t="s">
        <v>32524</v>
      </c>
      <c r="O4254" t="s">
        <v>32525</v>
      </c>
      <c r="P4254">
        <v>0</v>
      </c>
      <c r="Q4254">
        <v>0</v>
      </c>
      <c r="R4254" t="s">
        <v>32530</v>
      </c>
      <c r="S4254" t="s">
        <v>32568</v>
      </c>
      <c r="T4254" t="s">
        <v>33423</v>
      </c>
      <c r="U4254" t="s">
        <v>37217</v>
      </c>
      <c r="W4254" t="s">
        <v>31155</v>
      </c>
      <c r="X4254" t="s">
        <v>32531</v>
      </c>
    </row>
    <row r="4255" spans="1:24">
      <c r="A4255">
        <f>HYPERLINK("https://www.philgeps.gov.ph/GEPSNONPILOT/Tender/SplashBidNoticeAbstractUI.aspx?menuIndex=3&amp;refID=7042804&amp;Result=3","7042804")</f>
        <v>0</v>
      </c>
      <c r="B4255" t="s">
        <v>411</v>
      </c>
      <c r="C4255" t="s">
        <v>6744</v>
      </c>
      <c r="D4255" t="s">
        <v>13015</v>
      </c>
      <c r="E4255" t="s">
        <v>16891</v>
      </c>
      <c r="F4255" t="s">
        <v>22436</v>
      </c>
      <c r="G4255" t="s">
        <v>22443</v>
      </c>
      <c r="H4255" t="s">
        <v>22452</v>
      </c>
      <c r="I4255" t="s">
        <v>12358</v>
      </c>
      <c r="J4255" t="s">
        <v>25385</v>
      </c>
      <c r="K4255" t="s">
        <v>29341</v>
      </c>
      <c r="M4255" t="s">
        <v>29990</v>
      </c>
      <c r="N4255" t="s">
        <v>32524</v>
      </c>
      <c r="O4255" t="s">
        <v>32525</v>
      </c>
      <c r="P4255">
        <v>0</v>
      </c>
      <c r="Q4255">
        <v>0</v>
      </c>
      <c r="R4255" t="s">
        <v>32530</v>
      </c>
      <c r="S4255" t="s">
        <v>32568</v>
      </c>
      <c r="T4255" t="s">
        <v>33213</v>
      </c>
      <c r="U4255" t="s">
        <v>37218</v>
      </c>
      <c r="W4255" t="s">
        <v>29990</v>
      </c>
      <c r="X4255" t="s">
        <v>32531</v>
      </c>
    </row>
    <row r="4256" spans="1:24">
      <c r="A4256">
        <f>HYPERLINK("https://www.philgeps.gov.ph/GEPSNONPILOT/Tender/SplashBidNoticeAbstractUI.aspx?menuIndex=3&amp;refID=7042772&amp;Result=3","7042772")</f>
        <v>0</v>
      </c>
      <c r="B4256" t="s">
        <v>223</v>
      </c>
      <c r="C4256" t="s">
        <v>6745</v>
      </c>
      <c r="D4256" t="s">
        <v>13024</v>
      </c>
      <c r="E4256" t="s">
        <v>16892</v>
      </c>
      <c r="F4256" t="s">
        <v>22436</v>
      </c>
      <c r="G4256" t="s">
        <v>22444</v>
      </c>
      <c r="H4256" t="s">
        <v>22452</v>
      </c>
      <c r="I4256" t="s">
        <v>22467</v>
      </c>
      <c r="J4256" t="s">
        <v>25386</v>
      </c>
      <c r="K4256" t="s">
        <v>29336</v>
      </c>
      <c r="M4256" t="s">
        <v>29796</v>
      </c>
      <c r="N4256" t="s">
        <v>32524</v>
      </c>
      <c r="O4256" t="s">
        <v>32525</v>
      </c>
      <c r="P4256">
        <v>0</v>
      </c>
      <c r="Q4256">
        <v>0</v>
      </c>
      <c r="R4256" t="s">
        <v>32530</v>
      </c>
      <c r="S4256" t="s">
        <v>32568</v>
      </c>
      <c r="T4256" t="s">
        <v>33155</v>
      </c>
      <c r="U4256" t="s">
        <v>37219</v>
      </c>
      <c r="W4256" t="s">
        <v>29796</v>
      </c>
      <c r="X4256" t="s">
        <v>32531</v>
      </c>
    </row>
    <row r="4257" spans="1:24">
      <c r="A4257">
        <f>HYPERLINK("https://www.philgeps.gov.ph/GEPSNONPILOT/Tender/SplashBidNoticeAbstractUI.aspx?menuIndex=3&amp;refID=7042786&amp;Result=3","7042786")</f>
        <v>0</v>
      </c>
      <c r="B4257" t="s">
        <v>1450</v>
      </c>
      <c r="C4257" t="s">
        <v>6746</v>
      </c>
      <c r="D4257" t="s">
        <v>13011</v>
      </c>
      <c r="E4257" t="s">
        <v>16893</v>
      </c>
      <c r="F4257" t="s">
        <v>22436</v>
      </c>
      <c r="G4257" t="s">
        <v>22444</v>
      </c>
      <c r="H4257" t="s">
        <v>22454</v>
      </c>
      <c r="I4257" t="s">
        <v>7738</v>
      </c>
      <c r="J4257" t="s">
        <v>25355</v>
      </c>
      <c r="K4257" t="s">
        <v>29412</v>
      </c>
      <c r="M4257" t="s">
        <v>31114</v>
      </c>
      <c r="N4257" t="s">
        <v>32524</v>
      </c>
      <c r="O4257" t="s">
        <v>32525</v>
      </c>
      <c r="P4257">
        <v>0</v>
      </c>
      <c r="Q4257">
        <v>2</v>
      </c>
      <c r="R4257" t="s">
        <v>32530</v>
      </c>
      <c r="S4257" t="s">
        <v>32568</v>
      </c>
      <c r="T4257" t="s">
        <v>33212</v>
      </c>
      <c r="U4257" t="s">
        <v>37116</v>
      </c>
      <c r="V4257" t="s">
        <v>42866</v>
      </c>
      <c r="W4257" t="s">
        <v>31114</v>
      </c>
      <c r="X4257" t="s">
        <v>32531</v>
      </c>
    </row>
    <row r="4258" spans="1:24">
      <c r="A4258">
        <f>HYPERLINK("https://www.philgeps.gov.ph/GEPSNONPILOT/Tender/SplashBidNoticeAbstractUI.aspx?menuIndex=3&amp;refID=7042818&amp;Result=3","7042818")</f>
        <v>0</v>
      </c>
      <c r="B4258" t="s">
        <v>1482</v>
      </c>
      <c r="C4258" t="s">
        <v>6747</v>
      </c>
      <c r="D4258" t="s">
        <v>13051</v>
      </c>
      <c r="E4258" t="s">
        <v>16894</v>
      </c>
      <c r="F4258" t="s">
        <v>22436</v>
      </c>
      <c r="G4258" t="s">
        <v>22444</v>
      </c>
      <c r="H4258" t="s">
        <v>22454</v>
      </c>
      <c r="I4258" t="s">
        <v>7738</v>
      </c>
      <c r="J4258" t="s">
        <v>22587</v>
      </c>
      <c r="K4258" t="s">
        <v>29344</v>
      </c>
      <c r="M4258" t="s">
        <v>31155</v>
      </c>
      <c r="N4258" t="s">
        <v>32524</v>
      </c>
      <c r="O4258" t="s">
        <v>32525</v>
      </c>
      <c r="P4258">
        <v>0</v>
      </c>
      <c r="Q4258">
        <v>0</v>
      </c>
      <c r="R4258" t="s">
        <v>32530</v>
      </c>
      <c r="S4258" t="s">
        <v>32568</v>
      </c>
      <c r="T4258" t="s">
        <v>33423</v>
      </c>
      <c r="U4258" t="s">
        <v>37220</v>
      </c>
      <c r="W4258" t="s">
        <v>31155</v>
      </c>
      <c r="X4258" t="s">
        <v>32531</v>
      </c>
    </row>
    <row r="4259" spans="1:24">
      <c r="A4259">
        <f>HYPERLINK("https://www.philgeps.gov.ph/GEPSNONPILOT/Tender/SplashBidNoticeAbstractUI.aspx?menuIndex=3&amp;refID=7042771&amp;Result=3","7042771")</f>
        <v>0</v>
      </c>
      <c r="B4259" t="s">
        <v>1471</v>
      </c>
      <c r="C4259" t="s">
        <v>6748</v>
      </c>
      <c r="D4259" t="s">
        <v>13039</v>
      </c>
      <c r="E4259" t="s">
        <v>16895</v>
      </c>
      <c r="F4259" t="s">
        <v>22436</v>
      </c>
      <c r="G4259" t="s">
        <v>22444</v>
      </c>
      <c r="H4259" t="s">
        <v>22452</v>
      </c>
      <c r="I4259" t="s">
        <v>22471</v>
      </c>
      <c r="J4259" t="s">
        <v>23093</v>
      </c>
      <c r="K4259" t="s">
        <v>29335</v>
      </c>
      <c r="M4259" t="s">
        <v>31140</v>
      </c>
      <c r="N4259" t="s">
        <v>32524</v>
      </c>
      <c r="O4259" t="s">
        <v>32525</v>
      </c>
      <c r="P4259">
        <v>0</v>
      </c>
      <c r="Q4259">
        <v>3</v>
      </c>
      <c r="R4259" t="s">
        <v>32530</v>
      </c>
      <c r="S4259" t="s">
        <v>32568</v>
      </c>
      <c r="T4259" t="s">
        <v>33337</v>
      </c>
      <c r="U4259" t="s">
        <v>37221</v>
      </c>
      <c r="W4259" t="s">
        <v>31140</v>
      </c>
      <c r="X4259" t="s">
        <v>32531</v>
      </c>
    </row>
    <row r="4260" spans="1:24">
      <c r="A4260">
        <f>HYPERLINK("https://www.philgeps.gov.ph/GEPSNONPILOT/Tender/SplashBidNoticeAbstractUI.aspx?menuIndex=3&amp;refID=7042825&amp;Result=3","7042825")</f>
        <v>0</v>
      </c>
      <c r="B4260" t="s">
        <v>892</v>
      </c>
      <c r="C4260" t="s">
        <v>6749</v>
      </c>
      <c r="D4260" t="s">
        <v>13032</v>
      </c>
      <c r="E4260" t="s">
        <v>16896</v>
      </c>
      <c r="F4260" t="s">
        <v>22436</v>
      </c>
      <c r="G4260" t="s">
        <v>22444</v>
      </c>
      <c r="H4260" t="s">
        <v>22454</v>
      </c>
      <c r="I4260" t="s">
        <v>7738</v>
      </c>
      <c r="J4260" t="s">
        <v>25387</v>
      </c>
      <c r="K4260" t="s">
        <v>29347</v>
      </c>
      <c r="M4260" t="s">
        <v>30503</v>
      </c>
      <c r="N4260" t="s">
        <v>32524</v>
      </c>
      <c r="O4260" t="s">
        <v>32525</v>
      </c>
      <c r="P4260">
        <v>0</v>
      </c>
      <c r="Q4260">
        <v>0</v>
      </c>
      <c r="R4260" t="s">
        <v>32530</v>
      </c>
      <c r="S4260" t="s">
        <v>32568</v>
      </c>
      <c r="T4260" t="s">
        <v>33211</v>
      </c>
      <c r="U4260" t="s">
        <v>37222</v>
      </c>
      <c r="W4260" t="s">
        <v>30503</v>
      </c>
      <c r="X4260" t="s">
        <v>32531</v>
      </c>
    </row>
    <row r="4261" spans="1:24">
      <c r="A4261">
        <f>HYPERLINK("https://www.philgeps.gov.ph/GEPSNONPILOT/Tender/SplashBidNoticeAbstractUI.aspx?menuIndex=3&amp;refID=7042846&amp;Result=3","7042846")</f>
        <v>0</v>
      </c>
      <c r="B4261" t="s">
        <v>1475</v>
      </c>
      <c r="C4261" t="s">
        <v>6750</v>
      </c>
      <c r="D4261" t="s">
        <v>12994</v>
      </c>
      <c r="E4261" t="s">
        <v>16897</v>
      </c>
      <c r="F4261" t="s">
        <v>22436</v>
      </c>
      <c r="G4261" t="s">
        <v>22443</v>
      </c>
      <c r="H4261" t="s">
        <v>22452</v>
      </c>
      <c r="I4261" t="s">
        <v>5194</v>
      </c>
      <c r="J4261" t="s">
        <v>25388</v>
      </c>
      <c r="K4261" t="s">
        <v>29335</v>
      </c>
      <c r="M4261" t="s">
        <v>31144</v>
      </c>
      <c r="N4261" t="s">
        <v>32524</v>
      </c>
      <c r="O4261" t="s">
        <v>32525</v>
      </c>
      <c r="P4261">
        <v>0</v>
      </c>
      <c r="Q4261">
        <v>9</v>
      </c>
      <c r="R4261" t="s">
        <v>32530</v>
      </c>
      <c r="S4261" t="s">
        <v>32568</v>
      </c>
      <c r="T4261" t="s">
        <v>33203</v>
      </c>
      <c r="U4261" t="s">
        <v>37190</v>
      </c>
      <c r="W4261" t="s">
        <v>31144</v>
      </c>
      <c r="X4261" t="s">
        <v>32531</v>
      </c>
    </row>
    <row r="4262" spans="1:24">
      <c r="A4262">
        <f>HYPERLINK("https://www.philgeps.gov.ph/GEPSNONPILOT/Tender/SplashBidNoticeAbstractUI.aspx?menuIndex=3&amp;refID=7042816&amp;Result=3","7042816")</f>
        <v>0</v>
      </c>
      <c r="B4262" t="s">
        <v>1480</v>
      </c>
      <c r="C4262" t="s">
        <v>6751</v>
      </c>
      <c r="E4262" t="s">
        <v>16898</v>
      </c>
      <c r="F4262" t="s">
        <v>22436</v>
      </c>
      <c r="G4262" t="s">
        <v>22444</v>
      </c>
      <c r="H4262" t="s">
        <v>22454</v>
      </c>
      <c r="I4262" t="s">
        <v>7738</v>
      </c>
      <c r="J4262" t="s">
        <v>25389</v>
      </c>
      <c r="K4262" t="s">
        <v>29338</v>
      </c>
      <c r="M4262" t="s">
        <v>31150</v>
      </c>
      <c r="N4262" t="s">
        <v>32524</v>
      </c>
      <c r="O4262" t="s">
        <v>32525</v>
      </c>
      <c r="P4262">
        <v>0</v>
      </c>
      <c r="Q4262">
        <v>0</v>
      </c>
      <c r="R4262" t="s">
        <v>32530</v>
      </c>
      <c r="S4262" t="s">
        <v>32568</v>
      </c>
      <c r="T4262" t="s">
        <v>33329</v>
      </c>
      <c r="U4262" t="s">
        <v>37223</v>
      </c>
      <c r="V4262" t="s">
        <v>42461</v>
      </c>
      <c r="W4262" t="s">
        <v>31150</v>
      </c>
      <c r="X4262" t="s">
        <v>32531</v>
      </c>
    </row>
    <row r="4263" spans="1:24">
      <c r="A4263">
        <f>HYPERLINK("https://www.philgeps.gov.ph/GEPSNONPILOT/Tender/SplashBidNoticeAbstractUI.aspx?menuIndex=3&amp;refID=7042845&amp;Result=3","7042845")</f>
        <v>0</v>
      </c>
      <c r="B4263" t="s">
        <v>1482</v>
      </c>
      <c r="C4263" t="s">
        <v>6752</v>
      </c>
      <c r="D4263" t="s">
        <v>13051</v>
      </c>
      <c r="E4263" t="s">
        <v>16899</v>
      </c>
      <c r="F4263" t="s">
        <v>22436</v>
      </c>
      <c r="G4263" t="s">
        <v>22444</v>
      </c>
      <c r="H4263" t="s">
        <v>22454</v>
      </c>
      <c r="I4263" t="s">
        <v>7738</v>
      </c>
      <c r="J4263" t="s">
        <v>25390</v>
      </c>
      <c r="K4263" t="s">
        <v>29388</v>
      </c>
      <c r="M4263" t="s">
        <v>31155</v>
      </c>
      <c r="N4263" t="s">
        <v>32524</v>
      </c>
      <c r="O4263" t="s">
        <v>32525</v>
      </c>
      <c r="P4263">
        <v>0</v>
      </c>
      <c r="Q4263">
        <v>1</v>
      </c>
      <c r="R4263" t="s">
        <v>32530</v>
      </c>
      <c r="S4263" t="s">
        <v>32568</v>
      </c>
      <c r="T4263" t="s">
        <v>33423</v>
      </c>
      <c r="U4263" t="s">
        <v>37224</v>
      </c>
      <c r="W4263" t="s">
        <v>31155</v>
      </c>
      <c r="X4263" t="s">
        <v>32531</v>
      </c>
    </row>
    <row r="4264" spans="1:24">
      <c r="A4264">
        <f>HYPERLINK("https://www.philgeps.gov.ph/GEPSNONPILOT/Tender/SplashBidNoticeAbstractUI.aspx?menuIndex=3&amp;refID=7042810&amp;Result=3","7042810")</f>
        <v>0</v>
      </c>
      <c r="B4264" t="s">
        <v>1483</v>
      </c>
      <c r="C4264" t="s">
        <v>6753</v>
      </c>
      <c r="D4264" t="s">
        <v>12990</v>
      </c>
      <c r="E4264" t="s">
        <v>16900</v>
      </c>
      <c r="F4264" t="s">
        <v>22436</v>
      </c>
      <c r="G4264" t="s">
        <v>22446</v>
      </c>
      <c r="H4264" t="s">
        <v>22452</v>
      </c>
      <c r="I4264" t="s">
        <v>22468</v>
      </c>
      <c r="J4264" t="s">
        <v>23356</v>
      </c>
      <c r="K4264" t="s">
        <v>29340</v>
      </c>
      <c r="M4264" t="s">
        <v>31156</v>
      </c>
      <c r="N4264" t="s">
        <v>32524</v>
      </c>
      <c r="O4264" t="s">
        <v>32525</v>
      </c>
      <c r="P4264">
        <v>0</v>
      </c>
      <c r="Q4264">
        <v>4</v>
      </c>
      <c r="R4264" t="s">
        <v>32530</v>
      </c>
      <c r="S4264" t="s">
        <v>32568</v>
      </c>
      <c r="T4264" t="s">
        <v>33209</v>
      </c>
      <c r="U4264" t="s">
        <v>37225</v>
      </c>
      <c r="W4264" t="s">
        <v>31156</v>
      </c>
      <c r="X4264" t="s">
        <v>32531</v>
      </c>
    </row>
    <row r="4265" spans="1:24">
      <c r="A4265">
        <f>HYPERLINK("https://www.philgeps.gov.ph/GEPSNONPILOT/Tender/SplashBidNoticeAbstractUI.aspx?menuIndex=3&amp;refID=7042823&amp;Result=3","7042823")</f>
        <v>0</v>
      </c>
      <c r="B4265" t="s">
        <v>411</v>
      </c>
      <c r="C4265" t="s">
        <v>6754</v>
      </c>
      <c r="D4265" t="s">
        <v>13015</v>
      </c>
      <c r="E4265" t="s">
        <v>16901</v>
      </c>
      <c r="F4265" t="s">
        <v>22436</v>
      </c>
      <c r="G4265" t="s">
        <v>22443</v>
      </c>
      <c r="H4265" t="s">
        <v>22452</v>
      </c>
      <c r="I4265" t="s">
        <v>22471</v>
      </c>
      <c r="J4265" t="s">
        <v>25391</v>
      </c>
      <c r="K4265" t="s">
        <v>29341</v>
      </c>
      <c r="M4265" t="s">
        <v>29990</v>
      </c>
      <c r="N4265" t="s">
        <v>32524</v>
      </c>
      <c r="O4265" t="s">
        <v>32525</v>
      </c>
      <c r="P4265">
        <v>0</v>
      </c>
      <c r="Q4265">
        <v>1</v>
      </c>
      <c r="R4265" t="s">
        <v>32530</v>
      </c>
      <c r="S4265" t="s">
        <v>32568</v>
      </c>
      <c r="T4265" t="s">
        <v>33213</v>
      </c>
      <c r="U4265" t="s">
        <v>37226</v>
      </c>
      <c r="W4265" t="s">
        <v>29990</v>
      </c>
      <c r="X4265" t="s">
        <v>32531</v>
      </c>
    </row>
    <row r="4266" spans="1:24">
      <c r="A4266">
        <f>HYPERLINK("https://www.philgeps.gov.ph/GEPSNONPILOT/Tender/SplashBidNoticeAbstractUI.aspx?menuIndex=3&amp;refID=7042843&amp;Result=3","7042843")</f>
        <v>0</v>
      </c>
      <c r="B4266" t="s">
        <v>1483</v>
      </c>
      <c r="C4266" t="s">
        <v>6755</v>
      </c>
      <c r="D4266" t="s">
        <v>12990</v>
      </c>
      <c r="E4266" t="s">
        <v>16902</v>
      </c>
      <c r="F4266" t="s">
        <v>22436</v>
      </c>
      <c r="G4266" t="s">
        <v>22446</v>
      </c>
      <c r="H4266" t="s">
        <v>22452</v>
      </c>
      <c r="I4266" t="s">
        <v>22471</v>
      </c>
      <c r="J4266" t="s">
        <v>22673</v>
      </c>
      <c r="K4266" t="s">
        <v>29340</v>
      </c>
      <c r="M4266" t="s">
        <v>31156</v>
      </c>
      <c r="N4266" t="s">
        <v>32524</v>
      </c>
      <c r="O4266" t="s">
        <v>32525</v>
      </c>
      <c r="P4266">
        <v>0</v>
      </c>
      <c r="Q4266">
        <v>4</v>
      </c>
      <c r="R4266" t="s">
        <v>32530</v>
      </c>
      <c r="S4266" t="s">
        <v>32568</v>
      </c>
      <c r="T4266" t="s">
        <v>33209</v>
      </c>
      <c r="U4266" t="s">
        <v>37227</v>
      </c>
      <c r="W4266" t="s">
        <v>31156</v>
      </c>
      <c r="X4266" t="s">
        <v>32531</v>
      </c>
    </row>
    <row r="4267" spans="1:24">
      <c r="A4267">
        <f>HYPERLINK("https://www.philgeps.gov.ph/GEPSNONPILOT/Tender/SplashBidNoticeAbstractUI.aspx?menuIndex=3&amp;refID=7042841&amp;Result=3","7042841")</f>
        <v>0</v>
      </c>
      <c r="B4267" t="s">
        <v>1464</v>
      </c>
      <c r="C4267" t="s">
        <v>6666</v>
      </c>
      <c r="D4267" t="s">
        <v>13018</v>
      </c>
      <c r="E4267" t="s">
        <v>16903</v>
      </c>
      <c r="F4267" t="s">
        <v>22437</v>
      </c>
      <c r="G4267" t="s">
        <v>22443</v>
      </c>
      <c r="H4267" t="s">
        <v>22453</v>
      </c>
      <c r="I4267" t="s">
        <v>22545</v>
      </c>
      <c r="J4267" t="s">
        <v>22654</v>
      </c>
      <c r="K4267" t="s">
        <v>29371</v>
      </c>
      <c r="M4267" t="s">
        <v>31133</v>
      </c>
      <c r="N4267" t="s">
        <v>32524</v>
      </c>
      <c r="O4267" t="s">
        <v>32525</v>
      </c>
      <c r="P4267">
        <v>0</v>
      </c>
      <c r="Q4267">
        <v>1</v>
      </c>
      <c r="R4267" t="s">
        <v>32530</v>
      </c>
      <c r="S4267" t="s">
        <v>32568</v>
      </c>
      <c r="T4267" t="s">
        <v>33154</v>
      </c>
      <c r="U4267" t="s">
        <v>37228</v>
      </c>
      <c r="W4267" t="s">
        <v>31133</v>
      </c>
      <c r="X4267" t="s">
        <v>32531</v>
      </c>
    </row>
    <row r="4268" spans="1:24">
      <c r="A4268">
        <f>HYPERLINK("https://www.philgeps.gov.ph/GEPSNONPILOT/Tender/SplashBidNoticeAbstractUI.aspx?menuIndex=3&amp;refID=7042820&amp;Result=3","7042820")</f>
        <v>0</v>
      </c>
      <c r="B4268" t="s">
        <v>1450</v>
      </c>
      <c r="C4268" t="s">
        <v>6756</v>
      </c>
      <c r="D4268" t="s">
        <v>13011</v>
      </c>
      <c r="E4268" t="s">
        <v>16904</v>
      </c>
      <c r="F4268" t="s">
        <v>22436</v>
      </c>
      <c r="G4268" t="s">
        <v>22444</v>
      </c>
      <c r="H4268" t="s">
        <v>22454</v>
      </c>
      <c r="I4268" t="s">
        <v>7738</v>
      </c>
      <c r="J4268" t="s">
        <v>24904</v>
      </c>
      <c r="K4268" t="s">
        <v>29401</v>
      </c>
      <c r="M4268" t="s">
        <v>31114</v>
      </c>
      <c r="N4268" t="s">
        <v>32524</v>
      </c>
      <c r="O4268" t="s">
        <v>32525</v>
      </c>
      <c r="P4268">
        <v>0</v>
      </c>
      <c r="Q4268">
        <v>4</v>
      </c>
      <c r="R4268" t="s">
        <v>32530</v>
      </c>
      <c r="S4268" t="s">
        <v>32568</v>
      </c>
      <c r="T4268" t="s">
        <v>33212</v>
      </c>
      <c r="U4268" t="s">
        <v>37116</v>
      </c>
      <c r="V4268" t="s">
        <v>42866</v>
      </c>
      <c r="W4268" t="s">
        <v>31114</v>
      </c>
      <c r="X4268" t="s">
        <v>32531</v>
      </c>
    </row>
    <row r="4269" spans="1:24">
      <c r="A4269">
        <f>HYPERLINK("https://www.philgeps.gov.ph/GEPSNONPILOT/Tender/SplashBidNoticeAbstractUI.aspx?menuIndex=3&amp;refID=7042835&amp;Result=3","7042835")</f>
        <v>0</v>
      </c>
      <c r="B4269" t="s">
        <v>1158</v>
      </c>
      <c r="C4269" t="s">
        <v>6757</v>
      </c>
      <c r="D4269" t="s">
        <v>12988</v>
      </c>
      <c r="E4269" t="s">
        <v>16905</v>
      </c>
      <c r="F4269" t="s">
        <v>22436</v>
      </c>
      <c r="G4269" t="s">
        <v>22444</v>
      </c>
      <c r="H4269" t="s">
        <v>22455</v>
      </c>
      <c r="I4269" t="s">
        <v>22455</v>
      </c>
      <c r="J4269" t="s">
        <v>22587</v>
      </c>
      <c r="K4269" t="s">
        <v>29375</v>
      </c>
      <c r="M4269" t="s">
        <v>30804</v>
      </c>
      <c r="N4269" t="s">
        <v>32524</v>
      </c>
      <c r="O4269" t="s">
        <v>32525</v>
      </c>
      <c r="P4269">
        <v>0</v>
      </c>
      <c r="Q4269">
        <v>8</v>
      </c>
      <c r="R4269" t="s">
        <v>32530</v>
      </c>
      <c r="S4269" t="s">
        <v>32568</v>
      </c>
      <c r="T4269" t="s">
        <v>33197</v>
      </c>
      <c r="U4269" t="s">
        <v>37229</v>
      </c>
      <c r="V4269" t="s">
        <v>42882</v>
      </c>
      <c r="W4269" t="s">
        <v>30804</v>
      </c>
      <c r="X4269" t="s">
        <v>32531</v>
      </c>
    </row>
    <row r="4270" spans="1:24">
      <c r="A4270">
        <f>HYPERLINK("https://www.philgeps.gov.ph/GEPSNONPILOT/Tender/SplashBidNoticeAbstractUI.aspx?menuIndex=3&amp;refID=7042840&amp;Result=3","7042840")</f>
        <v>0</v>
      </c>
      <c r="B4270" t="s">
        <v>317</v>
      </c>
      <c r="C4270" t="s">
        <v>6758</v>
      </c>
      <c r="D4270" t="s">
        <v>13031</v>
      </c>
      <c r="E4270" t="s">
        <v>16906</v>
      </c>
      <c r="F4270" t="s">
        <v>22436</v>
      </c>
      <c r="G4270" t="s">
        <v>22444</v>
      </c>
      <c r="H4270" t="s">
        <v>22454</v>
      </c>
      <c r="I4270" t="s">
        <v>7738</v>
      </c>
      <c r="J4270" t="s">
        <v>22634</v>
      </c>
      <c r="K4270" t="s">
        <v>29337</v>
      </c>
      <c r="M4270" t="s">
        <v>31152</v>
      </c>
      <c r="N4270" t="s">
        <v>32524</v>
      </c>
      <c r="O4270" t="s">
        <v>32525</v>
      </c>
      <c r="P4270">
        <v>0</v>
      </c>
      <c r="Q4270">
        <v>0</v>
      </c>
      <c r="R4270" t="s">
        <v>32530</v>
      </c>
      <c r="S4270" t="s">
        <v>32568</v>
      </c>
      <c r="T4270" t="s">
        <v>33200</v>
      </c>
      <c r="U4270" t="s">
        <v>37212</v>
      </c>
      <c r="W4270" t="s">
        <v>31152</v>
      </c>
      <c r="X4270" t="s">
        <v>32531</v>
      </c>
    </row>
    <row r="4271" spans="1:24">
      <c r="A4271">
        <f>HYPERLINK("https://www.philgeps.gov.ph/GEPSNONPILOT/Tender/SplashBidNoticeAbstractUI.aspx?menuIndex=3&amp;refID=7042844&amp;Result=3","7042844")</f>
        <v>0</v>
      </c>
      <c r="B4271" t="s">
        <v>1484</v>
      </c>
      <c r="C4271" t="s">
        <v>6759</v>
      </c>
      <c r="D4271" t="s">
        <v>12988</v>
      </c>
      <c r="E4271" t="s">
        <v>16907</v>
      </c>
      <c r="F4271" t="s">
        <v>22436</v>
      </c>
      <c r="G4271" t="s">
        <v>22443</v>
      </c>
      <c r="H4271" t="s">
        <v>22452</v>
      </c>
      <c r="I4271" t="s">
        <v>22531</v>
      </c>
      <c r="J4271" t="s">
        <v>25392</v>
      </c>
      <c r="K4271" t="s">
        <v>29335</v>
      </c>
      <c r="M4271" t="s">
        <v>31157</v>
      </c>
      <c r="N4271" t="s">
        <v>32524</v>
      </c>
      <c r="O4271" t="s">
        <v>32525</v>
      </c>
      <c r="P4271">
        <v>0</v>
      </c>
      <c r="Q4271">
        <v>2</v>
      </c>
      <c r="R4271" t="s">
        <v>32530</v>
      </c>
      <c r="S4271" t="s">
        <v>32568</v>
      </c>
      <c r="T4271" t="s">
        <v>33296</v>
      </c>
      <c r="U4271" t="s">
        <v>37230</v>
      </c>
      <c r="V4271" t="s">
        <v>42883</v>
      </c>
      <c r="W4271" t="s">
        <v>31157</v>
      </c>
      <c r="X4271" t="s">
        <v>32531</v>
      </c>
    </row>
    <row r="4272" spans="1:24">
      <c r="A4272">
        <f>HYPERLINK("https://www.philgeps.gov.ph/GEPSNONPILOT/Tender/SplashBidNoticeAbstractUI.aspx?menuIndex=3&amp;refID=7042837&amp;Result=3","7042837")</f>
        <v>0</v>
      </c>
      <c r="B4272" t="s">
        <v>1485</v>
      </c>
      <c r="C4272" t="s">
        <v>6760</v>
      </c>
      <c r="D4272" t="s">
        <v>13031</v>
      </c>
      <c r="E4272" t="s">
        <v>16908</v>
      </c>
      <c r="F4272" t="s">
        <v>22436</v>
      </c>
      <c r="G4272" t="s">
        <v>22444</v>
      </c>
      <c r="H4272" t="s">
        <v>22452</v>
      </c>
      <c r="I4272" t="s">
        <v>22547</v>
      </c>
      <c r="J4272" t="s">
        <v>25393</v>
      </c>
      <c r="K4272" t="s">
        <v>29333</v>
      </c>
      <c r="M4272" t="s">
        <v>31158</v>
      </c>
      <c r="N4272" t="s">
        <v>32524</v>
      </c>
      <c r="O4272" t="s">
        <v>32525</v>
      </c>
      <c r="P4272">
        <v>0</v>
      </c>
      <c r="Q4272">
        <v>1</v>
      </c>
      <c r="R4272" t="s">
        <v>32530</v>
      </c>
      <c r="S4272" t="s">
        <v>32568</v>
      </c>
      <c r="T4272" t="s">
        <v>33169</v>
      </c>
      <c r="U4272" t="s">
        <v>37231</v>
      </c>
      <c r="V4272" t="s">
        <v>42884</v>
      </c>
      <c r="W4272" t="s">
        <v>31158</v>
      </c>
      <c r="X4272" t="s">
        <v>32531</v>
      </c>
    </row>
    <row r="4273" spans="1:24">
      <c r="A4273">
        <f>HYPERLINK("https://www.philgeps.gov.ph/GEPSNONPILOT/Tender/SplashBidNoticeAbstractUI.aspx?menuIndex=3&amp;refID=7042812&amp;Result=3","7042812")</f>
        <v>0</v>
      </c>
      <c r="B4273" t="s">
        <v>1486</v>
      </c>
      <c r="C4273" t="s">
        <v>6761</v>
      </c>
      <c r="D4273" t="s">
        <v>13037</v>
      </c>
      <c r="E4273" t="s">
        <v>13181</v>
      </c>
      <c r="F4273" t="s">
        <v>22436</v>
      </c>
      <c r="G4273" t="s">
        <v>22444</v>
      </c>
      <c r="H4273" t="s">
        <v>22452</v>
      </c>
      <c r="I4273" t="s">
        <v>3827</v>
      </c>
      <c r="J4273" t="s">
        <v>25394</v>
      </c>
      <c r="K4273" t="s">
        <v>29336</v>
      </c>
      <c r="M4273" t="s">
        <v>31159</v>
      </c>
      <c r="N4273" t="s">
        <v>32524</v>
      </c>
      <c r="O4273" t="s">
        <v>32525</v>
      </c>
      <c r="P4273">
        <v>0</v>
      </c>
      <c r="Q4273">
        <v>3</v>
      </c>
      <c r="R4273" t="s">
        <v>32530</v>
      </c>
      <c r="S4273" t="s">
        <v>32568</v>
      </c>
      <c r="T4273" t="s">
        <v>33167</v>
      </c>
      <c r="U4273" t="s">
        <v>37232</v>
      </c>
      <c r="W4273" t="s">
        <v>31159</v>
      </c>
      <c r="X4273" t="s">
        <v>32531</v>
      </c>
    </row>
    <row r="4274" spans="1:24">
      <c r="A4274">
        <f>HYPERLINK("https://www.philgeps.gov.ph/GEPSNONPILOT/Tender/SplashBidNoticeAbstractUI.aspx?menuIndex=3&amp;refID=7042833&amp;Result=3","7042833")</f>
        <v>0</v>
      </c>
      <c r="B4274" t="s">
        <v>223</v>
      </c>
      <c r="C4274" t="s">
        <v>6762</v>
      </c>
      <c r="D4274" t="s">
        <v>13024</v>
      </c>
      <c r="E4274" t="s">
        <v>16909</v>
      </c>
      <c r="F4274" t="s">
        <v>22436</v>
      </c>
      <c r="G4274" t="s">
        <v>22444</v>
      </c>
      <c r="H4274" t="s">
        <v>22452</v>
      </c>
      <c r="I4274" t="s">
        <v>22467</v>
      </c>
      <c r="J4274" t="s">
        <v>25395</v>
      </c>
      <c r="K4274" t="s">
        <v>29336</v>
      </c>
      <c r="M4274" t="s">
        <v>29796</v>
      </c>
      <c r="N4274" t="s">
        <v>32524</v>
      </c>
      <c r="O4274" t="s">
        <v>32525</v>
      </c>
      <c r="P4274">
        <v>0</v>
      </c>
      <c r="Q4274">
        <v>0</v>
      </c>
      <c r="R4274" t="s">
        <v>32530</v>
      </c>
      <c r="S4274" t="s">
        <v>32568</v>
      </c>
      <c r="T4274" t="s">
        <v>33155</v>
      </c>
      <c r="U4274" t="s">
        <v>37233</v>
      </c>
      <c r="W4274" t="s">
        <v>29796</v>
      </c>
      <c r="X4274" t="s">
        <v>32531</v>
      </c>
    </row>
    <row r="4275" spans="1:24">
      <c r="A4275">
        <f>HYPERLINK("https://www.philgeps.gov.ph/GEPSNONPILOT/Tender/SplashBidNoticeAbstractUI.aspx?menuIndex=3&amp;refID=7042847&amp;Result=3","7042847")</f>
        <v>0</v>
      </c>
      <c r="B4275" t="s">
        <v>1487</v>
      </c>
      <c r="C4275" t="s">
        <v>6763</v>
      </c>
      <c r="D4275" t="s">
        <v>13011</v>
      </c>
      <c r="E4275" t="s">
        <v>16910</v>
      </c>
      <c r="F4275" t="s">
        <v>22436</v>
      </c>
      <c r="G4275" t="s">
        <v>22445</v>
      </c>
      <c r="H4275" t="s">
        <v>22452</v>
      </c>
      <c r="I4275" t="s">
        <v>5194</v>
      </c>
      <c r="J4275" t="s">
        <v>25396</v>
      </c>
      <c r="K4275" t="s">
        <v>29356</v>
      </c>
      <c r="M4275" t="s">
        <v>31160</v>
      </c>
      <c r="N4275" t="s">
        <v>32524</v>
      </c>
      <c r="O4275" t="s">
        <v>32525</v>
      </c>
      <c r="P4275">
        <v>0</v>
      </c>
      <c r="Q4275">
        <v>7</v>
      </c>
      <c r="R4275" t="s">
        <v>32530</v>
      </c>
      <c r="S4275" t="s">
        <v>32568</v>
      </c>
      <c r="T4275" t="s">
        <v>33296</v>
      </c>
      <c r="U4275" t="s">
        <v>33876</v>
      </c>
      <c r="W4275" t="s">
        <v>31160</v>
      </c>
      <c r="X4275" t="s">
        <v>32531</v>
      </c>
    </row>
    <row r="4276" spans="1:24">
      <c r="A4276">
        <f>HYPERLINK("https://www.philgeps.gov.ph/GEPSNONPILOT/Tender/SplashBidNoticeAbstractUI.aspx?menuIndex=3&amp;refID=7042872&amp;Result=3","7042872")</f>
        <v>0</v>
      </c>
      <c r="B4276" t="s">
        <v>223</v>
      </c>
      <c r="C4276" t="s">
        <v>6764</v>
      </c>
      <c r="D4276" t="s">
        <v>13024</v>
      </c>
      <c r="E4276" t="s">
        <v>16911</v>
      </c>
      <c r="F4276" t="s">
        <v>22436</v>
      </c>
      <c r="G4276" t="s">
        <v>22444</v>
      </c>
      <c r="H4276" t="s">
        <v>22452</v>
      </c>
      <c r="I4276" t="s">
        <v>22467</v>
      </c>
      <c r="J4276" t="s">
        <v>22809</v>
      </c>
      <c r="K4276" t="s">
        <v>29336</v>
      </c>
      <c r="M4276" t="s">
        <v>29796</v>
      </c>
      <c r="N4276" t="s">
        <v>32524</v>
      </c>
      <c r="O4276" t="s">
        <v>32525</v>
      </c>
      <c r="P4276">
        <v>0</v>
      </c>
      <c r="Q4276">
        <v>0</v>
      </c>
      <c r="R4276" t="s">
        <v>32530</v>
      </c>
      <c r="S4276" t="s">
        <v>32568</v>
      </c>
      <c r="T4276" t="s">
        <v>33155</v>
      </c>
      <c r="U4276" t="s">
        <v>37234</v>
      </c>
      <c r="W4276" t="s">
        <v>29796</v>
      </c>
      <c r="X4276" t="s">
        <v>32531</v>
      </c>
    </row>
    <row r="4277" spans="1:24">
      <c r="A4277">
        <f>HYPERLINK("https://www.philgeps.gov.ph/GEPSNONPILOT/Tender/SplashBidNoticeAbstractUI.aspx?menuIndex=3&amp;refID=7042836&amp;Result=3","7042836")</f>
        <v>0</v>
      </c>
      <c r="B4277" t="s">
        <v>1450</v>
      </c>
      <c r="C4277" t="s">
        <v>6765</v>
      </c>
      <c r="D4277" t="s">
        <v>13011</v>
      </c>
      <c r="E4277" t="s">
        <v>16912</v>
      </c>
      <c r="F4277" t="s">
        <v>22436</v>
      </c>
      <c r="G4277" t="s">
        <v>22444</v>
      </c>
      <c r="H4277" t="s">
        <v>22454</v>
      </c>
      <c r="I4277" t="s">
        <v>7738</v>
      </c>
      <c r="J4277" t="s">
        <v>24904</v>
      </c>
      <c r="K4277" t="s">
        <v>29401</v>
      </c>
      <c r="M4277" t="s">
        <v>31114</v>
      </c>
      <c r="N4277" t="s">
        <v>32524</v>
      </c>
      <c r="O4277" t="s">
        <v>32525</v>
      </c>
      <c r="P4277">
        <v>0</v>
      </c>
      <c r="Q4277">
        <v>4</v>
      </c>
      <c r="R4277" t="s">
        <v>32530</v>
      </c>
      <c r="S4277" t="s">
        <v>32568</v>
      </c>
      <c r="T4277" t="s">
        <v>33262</v>
      </c>
      <c r="U4277" t="s">
        <v>37116</v>
      </c>
      <c r="V4277" t="s">
        <v>42866</v>
      </c>
      <c r="W4277" t="s">
        <v>31114</v>
      </c>
      <c r="X4277" t="s">
        <v>32531</v>
      </c>
    </row>
    <row r="4278" spans="1:24">
      <c r="A4278">
        <f>HYPERLINK("https://www.philgeps.gov.ph/GEPSNONPILOT/Tender/SplashBidNoticeAbstractUI.aspx?menuIndex=3&amp;refID=7042834&amp;Result=3","7042834")</f>
        <v>0</v>
      </c>
      <c r="B4278" t="s">
        <v>1488</v>
      </c>
      <c r="C4278" t="s">
        <v>6766</v>
      </c>
      <c r="D4278" t="s">
        <v>12995</v>
      </c>
      <c r="E4278" t="s">
        <v>16913</v>
      </c>
      <c r="F4278" t="s">
        <v>22436</v>
      </c>
      <c r="G4278" t="s">
        <v>22446</v>
      </c>
      <c r="H4278" t="s">
        <v>22452</v>
      </c>
      <c r="I4278" t="s">
        <v>6421</v>
      </c>
      <c r="J4278" t="s">
        <v>22616</v>
      </c>
      <c r="K4278" t="s">
        <v>29336</v>
      </c>
      <c r="M4278" t="s">
        <v>31161</v>
      </c>
      <c r="N4278" t="s">
        <v>32524</v>
      </c>
      <c r="O4278" t="s">
        <v>32525</v>
      </c>
      <c r="P4278">
        <v>0</v>
      </c>
      <c r="Q4278">
        <v>5</v>
      </c>
      <c r="R4278" t="s">
        <v>32530</v>
      </c>
      <c r="S4278" t="s">
        <v>32568</v>
      </c>
      <c r="T4278" t="s">
        <v>33209</v>
      </c>
      <c r="U4278" t="s">
        <v>37235</v>
      </c>
      <c r="V4278" t="s">
        <v>42885</v>
      </c>
      <c r="W4278" t="s">
        <v>31161</v>
      </c>
      <c r="X4278" t="s">
        <v>32531</v>
      </c>
    </row>
    <row r="4279" spans="1:24">
      <c r="A4279">
        <f>HYPERLINK("https://www.philgeps.gov.ph/GEPSNONPILOT/Tender/SplashBidNoticeAbstractUI.aspx?menuIndex=3&amp;refID=7042870&amp;Result=3","7042870")</f>
        <v>0</v>
      </c>
      <c r="B4279" t="s">
        <v>1442</v>
      </c>
      <c r="C4279" t="s">
        <v>6767</v>
      </c>
      <c r="D4279" t="s">
        <v>13038</v>
      </c>
      <c r="E4279" t="s">
        <v>6767</v>
      </c>
      <c r="F4279" t="s">
        <v>22436</v>
      </c>
      <c r="G4279" t="s">
        <v>22443</v>
      </c>
      <c r="H4279" t="s">
        <v>22452</v>
      </c>
      <c r="I4279" t="s">
        <v>3381</v>
      </c>
      <c r="J4279" t="s">
        <v>22853</v>
      </c>
      <c r="K4279" t="s">
        <v>29335</v>
      </c>
      <c r="M4279" t="s">
        <v>31105</v>
      </c>
      <c r="N4279" t="s">
        <v>32524</v>
      </c>
      <c r="O4279" t="s">
        <v>32525</v>
      </c>
      <c r="P4279">
        <v>0</v>
      </c>
      <c r="Q4279">
        <v>1</v>
      </c>
      <c r="R4279" t="s">
        <v>32530</v>
      </c>
      <c r="S4279" t="s">
        <v>32568</v>
      </c>
      <c r="T4279" t="s">
        <v>33372</v>
      </c>
      <c r="U4279" t="s">
        <v>37236</v>
      </c>
      <c r="V4279" t="s">
        <v>42886</v>
      </c>
      <c r="W4279" t="s">
        <v>31105</v>
      </c>
      <c r="X4279" t="s">
        <v>32531</v>
      </c>
    </row>
    <row r="4280" spans="1:24">
      <c r="A4280">
        <f>HYPERLINK("https://www.philgeps.gov.ph/GEPSNONPILOT/Tender/SplashBidNoticeAbstractUI.aspx?menuIndex=3&amp;refID=7042869&amp;Result=3","7042869")</f>
        <v>0</v>
      </c>
      <c r="B4280" t="s">
        <v>1464</v>
      </c>
      <c r="C4280" t="s">
        <v>6666</v>
      </c>
      <c r="D4280" t="s">
        <v>13018</v>
      </c>
      <c r="E4280" t="s">
        <v>16914</v>
      </c>
      <c r="F4280" t="s">
        <v>22437</v>
      </c>
      <c r="G4280" t="s">
        <v>22443</v>
      </c>
      <c r="H4280" t="s">
        <v>22453</v>
      </c>
      <c r="I4280" t="s">
        <v>22545</v>
      </c>
      <c r="J4280" t="s">
        <v>22874</v>
      </c>
      <c r="K4280" t="s">
        <v>29371</v>
      </c>
      <c r="M4280" t="s">
        <v>31133</v>
      </c>
      <c r="N4280" t="s">
        <v>32524</v>
      </c>
      <c r="O4280" t="s">
        <v>32525</v>
      </c>
      <c r="P4280">
        <v>0</v>
      </c>
      <c r="Q4280">
        <v>1</v>
      </c>
      <c r="R4280" t="s">
        <v>32530</v>
      </c>
      <c r="S4280" t="s">
        <v>32568</v>
      </c>
      <c r="T4280" t="s">
        <v>33154</v>
      </c>
      <c r="U4280" t="s">
        <v>37237</v>
      </c>
      <c r="W4280" t="s">
        <v>31133</v>
      </c>
      <c r="X4280" t="s">
        <v>32531</v>
      </c>
    </row>
    <row r="4281" spans="1:24">
      <c r="A4281">
        <f>HYPERLINK("https://www.philgeps.gov.ph/GEPSNONPILOT/Tender/SplashBidNoticeAbstractUI.aspx?menuIndex=3&amp;refID=7042864&amp;Result=3","7042864")</f>
        <v>0</v>
      </c>
      <c r="B4281" t="s">
        <v>1483</v>
      </c>
      <c r="C4281" t="s">
        <v>6768</v>
      </c>
      <c r="D4281" t="s">
        <v>12990</v>
      </c>
      <c r="E4281" t="s">
        <v>16915</v>
      </c>
      <c r="F4281" t="s">
        <v>22436</v>
      </c>
      <c r="G4281" t="s">
        <v>22446</v>
      </c>
      <c r="H4281" t="s">
        <v>22452</v>
      </c>
      <c r="I4281" t="s">
        <v>3529</v>
      </c>
      <c r="J4281" t="s">
        <v>22798</v>
      </c>
      <c r="K4281" t="s">
        <v>29340</v>
      </c>
      <c r="M4281" t="s">
        <v>31156</v>
      </c>
      <c r="N4281" t="s">
        <v>32524</v>
      </c>
      <c r="O4281" t="s">
        <v>32525</v>
      </c>
      <c r="P4281">
        <v>0</v>
      </c>
      <c r="Q4281">
        <v>0</v>
      </c>
      <c r="R4281" t="s">
        <v>32530</v>
      </c>
      <c r="S4281" t="s">
        <v>32568</v>
      </c>
      <c r="T4281" t="s">
        <v>33209</v>
      </c>
      <c r="U4281" t="s">
        <v>37238</v>
      </c>
      <c r="W4281" t="s">
        <v>31156</v>
      </c>
      <c r="X4281" t="s">
        <v>32531</v>
      </c>
    </row>
    <row r="4282" spans="1:24">
      <c r="A4282">
        <f>HYPERLINK("https://www.philgeps.gov.ph/GEPSNONPILOT/Tender/SplashBidNoticeAbstractUI.aspx?menuIndex=3&amp;refID=7042829&amp;Result=3","7042829")</f>
        <v>0</v>
      </c>
      <c r="B4282" t="s">
        <v>1489</v>
      </c>
      <c r="C4282" t="s">
        <v>6769</v>
      </c>
      <c r="D4282" t="s">
        <v>13020</v>
      </c>
      <c r="E4282" t="s">
        <v>16916</v>
      </c>
      <c r="F4282" t="s">
        <v>22436</v>
      </c>
      <c r="G4282" t="s">
        <v>22443</v>
      </c>
      <c r="H4282" t="s">
        <v>22453</v>
      </c>
      <c r="I4282" t="s">
        <v>22496</v>
      </c>
      <c r="J4282" t="s">
        <v>25397</v>
      </c>
      <c r="K4282" t="s">
        <v>29335</v>
      </c>
      <c r="M4282" t="s">
        <v>31162</v>
      </c>
      <c r="N4282" t="s">
        <v>32524</v>
      </c>
      <c r="O4282" t="s">
        <v>32525</v>
      </c>
      <c r="P4282">
        <v>0</v>
      </c>
      <c r="Q4282">
        <v>0</v>
      </c>
      <c r="R4282" t="s">
        <v>32530</v>
      </c>
      <c r="S4282" t="s">
        <v>32568</v>
      </c>
      <c r="T4282" t="s">
        <v>33230</v>
      </c>
      <c r="U4282" t="s">
        <v>37239</v>
      </c>
      <c r="W4282" t="s">
        <v>31162</v>
      </c>
      <c r="X4282" t="s">
        <v>32531</v>
      </c>
    </row>
    <row r="4283" spans="1:24">
      <c r="A4283">
        <f>HYPERLINK("https://www.philgeps.gov.ph/GEPSNONPILOT/Tender/SplashBidNoticeAbstractUI.aspx?menuIndex=3&amp;refID=7042853&amp;Result=3","7042853")</f>
        <v>0</v>
      </c>
      <c r="B4283" t="s">
        <v>1480</v>
      </c>
      <c r="C4283" t="s">
        <v>6770</v>
      </c>
      <c r="D4283" t="s">
        <v>13009</v>
      </c>
      <c r="E4283" t="s">
        <v>16917</v>
      </c>
      <c r="F4283" t="s">
        <v>22436</v>
      </c>
      <c r="G4283" t="s">
        <v>22444</v>
      </c>
      <c r="H4283" t="s">
        <v>22454</v>
      </c>
      <c r="I4283" t="s">
        <v>7738</v>
      </c>
      <c r="J4283" t="s">
        <v>22779</v>
      </c>
      <c r="K4283" t="s">
        <v>29338</v>
      </c>
      <c r="M4283" t="s">
        <v>31150</v>
      </c>
      <c r="N4283" t="s">
        <v>32524</v>
      </c>
      <c r="O4283" t="s">
        <v>32525</v>
      </c>
      <c r="P4283">
        <v>0</v>
      </c>
      <c r="Q4283">
        <v>2</v>
      </c>
      <c r="R4283" t="s">
        <v>32530</v>
      </c>
      <c r="S4283" t="s">
        <v>32568</v>
      </c>
      <c r="T4283" t="s">
        <v>33329</v>
      </c>
      <c r="U4283" t="s">
        <v>37240</v>
      </c>
      <c r="V4283" t="s">
        <v>42461</v>
      </c>
      <c r="W4283" t="s">
        <v>31150</v>
      </c>
      <c r="X4283" t="s">
        <v>32531</v>
      </c>
    </row>
    <row r="4284" spans="1:24">
      <c r="A4284">
        <f>HYPERLINK("https://www.philgeps.gov.ph/GEPSNONPILOT/Tender/SplashBidNoticeAbstractUI.aspx?menuIndex=3&amp;refID=7042854&amp;Result=3","7042854")</f>
        <v>0</v>
      </c>
      <c r="B4284" t="s">
        <v>78</v>
      </c>
      <c r="C4284" t="s">
        <v>6771</v>
      </c>
      <c r="E4284" t="s">
        <v>16918</v>
      </c>
      <c r="F4284" t="s">
        <v>22436</v>
      </c>
      <c r="G4284" t="s">
        <v>22444</v>
      </c>
      <c r="H4284" t="s">
        <v>22454</v>
      </c>
      <c r="I4284" t="s">
        <v>22464</v>
      </c>
      <c r="J4284" t="s">
        <v>25398</v>
      </c>
      <c r="K4284" t="s">
        <v>29338</v>
      </c>
      <c r="M4284" t="s">
        <v>29650</v>
      </c>
      <c r="N4284" t="s">
        <v>32524</v>
      </c>
      <c r="O4284" t="s">
        <v>32525</v>
      </c>
      <c r="P4284">
        <v>0</v>
      </c>
      <c r="Q4284">
        <v>0</v>
      </c>
      <c r="R4284" t="s">
        <v>32530</v>
      </c>
      <c r="S4284" t="s">
        <v>32568</v>
      </c>
      <c r="T4284" t="s">
        <v>33154</v>
      </c>
      <c r="U4284" t="s">
        <v>35253</v>
      </c>
      <c r="W4284" t="s">
        <v>29650</v>
      </c>
      <c r="X4284" t="s">
        <v>32531</v>
      </c>
    </row>
    <row r="4285" spans="1:24">
      <c r="A4285">
        <f>HYPERLINK("https://www.philgeps.gov.ph/GEPSNONPILOT/Tender/SplashBidNoticeAbstractUI.aspx?menuIndex=3&amp;refID=7042875&amp;Result=3","7042875")</f>
        <v>0</v>
      </c>
      <c r="B4285" t="s">
        <v>788</v>
      </c>
      <c r="C4285" t="s">
        <v>6772</v>
      </c>
      <c r="D4285" t="s">
        <v>12994</v>
      </c>
      <c r="E4285" t="s">
        <v>16919</v>
      </c>
      <c r="F4285" t="s">
        <v>22436</v>
      </c>
      <c r="G4285" t="s">
        <v>22443</v>
      </c>
      <c r="H4285" t="s">
        <v>22452</v>
      </c>
      <c r="I4285" t="s">
        <v>3827</v>
      </c>
      <c r="J4285" t="s">
        <v>24094</v>
      </c>
      <c r="K4285" t="s">
        <v>29334</v>
      </c>
      <c r="M4285" t="s">
        <v>30389</v>
      </c>
      <c r="N4285" t="s">
        <v>32524</v>
      </c>
      <c r="O4285" t="s">
        <v>32525</v>
      </c>
      <c r="Q4285">
        <v>0</v>
      </c>
      <c r="R4285" t="s">
        <v>32530</v>
      </c>
      <c r="S4285" t="s">
        <v>32578</v>
      </c>
      <c r="T4285" t="s">
        <v>33167</v>
      </c>
      <c r="U4285" t="s">
        <v>37241</v>
      </c>
      <c r="W4285" t="s">
        <v>30389</v>
      </c>
      <c r="X4285" t="s">
        <v>32531</v>
      </c>
    </row>
    <row r="4286" spans="1:24">
      <c r="A4286">
        <f>HYPERLINK("https://www.philgeps.gov.ph/GEPSNONPILOT/Tender/SplashBidNoticeAbstractUI.aspx?menuIndex=3&amp;refID=7042880&amp;Result=3","7042880")</f>
        <v>0</v>
      </c>
      <c r="B4286" t="s">
        <v>1444</v>
      </c>
      <c r="C4286" t="s">
        <v>6773</v>
      </c>
      <c r="D4286" t="s">
        <v>13076</v>
      </c>
      <c r="E4286" t="s">
        <v>16920</v>
      </c>
      <c r="F4286" t="s">
        <v>22436</v>
      </c>
      <c r="G4286" t="s">
        <v>22444</v>
      </c>
      <c r="H4286" t="s">
        <v>22452</v>
      </c>
      <c r="I4286" t="s">
        <v>22479</v>
      </c>
      <c r="J4286" t="s">
        <v>25399</v>
      </c>
      <c r="K4286" t="s">
        <v>29344</v>
      </c>
      <c r="M4286" t="s">
        <v>31163</v>
      </c>
      <c r="N4286" t="s">
        <v>32524</v>
      </c>
      <c r="O4286" t="s">
        <v>32525</v>
      </c>
      <c r="P4286">
        <v>0</v>
      </c>
      <c r="Q4286">
        <v>8</v>
      </c>
      <c r="R4286" t="s">
        <v>32530</v>
      </c>
      <c r="S4286" t="s">
        <v>32568</v>
      </c>
      <c r="T4286" t="s">
        <v>33354</v>
      </c>
      <c r="U4286" t="s">
        <v>37242</v>
      </c>
      <c r="V4286" t="s">
        <v>42887</v>
      </c>
      <c r="W4286" t="s">
        <v>31163</v>
      </c>
      <c r="X4286" t="s">
        <v>32531</v>
      </c>
    </row>
    <row r="4287" spans="1:24">
      <c r="A4287">
        <f>HYPERLINK("https://www.philgeps.gov.ph/GEPSNONPILOT/Tender/SplashBidNoticeAbstractUI.aspx?menuIndex=3&amp;refID=7042876&amp;Result=3","7042876")</f>
        <v>0</v>
      </c>
      <c r="B4287" t="s">
        <v>1490</v>
      </c>
      <c r="C4287" t="s">
        <v>6774</v>
      </c>
      <c r="D4287" t="s">
        <v>13015</v>
      </c>
      <c r="E4287" t="s">
        <v>16921</v>
      </c>
      <c r="F4287" t="s">
        <v>22436</v>
      </c>
      <c r="G4287" t="s">
        <v>22444</v>
      </c>
      <c r="H4287" t="s">
        <v>22454</v>
      </c>
      <c r="I4287" t="s">
        <v>7738</v>
      </c>
      <c r="J4287" t="s">
        <v>25400</v>
      </c>
      <c r="K4287" t="s">
        <v>29414</v>
      </c>
      <c r="M4287" t="s">
        <v>31164</v>
      </c>
      <c r="N4287" t="s">
        <v>32524</v>
      </c>
      <c r="O4287" t="s">
        <v>32525</v>
      </c>
      <c r="P4287">
        <v>0</v>
      </c>
      <c r="Q4287">
        <v>0</v>
      </c>
      <c r="R4287" t="s">
        <v>32530</v>
      </c>
      <c r="S4287" t="s">
        <v>32568</v>
      </c>
      <c r="T4287" t="s">
        <v>33227</v>
      </c>
      <c r="U4287" t="s">
        <v>37243</v>
      </c>
      <c r="W4287" t="s">
        <v>31164</v>
      </c>
      <c r="X4287" t="s">
        <v>32531</v>
      </c>
    </row>
    <row r="4288" spans="1:24">
      <c r="A4288">
        <f>HYPERLINK("https://www.philgeps.gov.ph/GEPSNONPILOT/Tender/SplashBidNoticeAbstractUI.aspx?menuIndex=3&amp;refID=7042861&amp;Result=3","7042861")</f>
        <v>0</v>
      </c>
      <c r="B4288" t="s">
        <v>1491</v>
      </c>
      <c r="C4288" t="s">
        <v>6775</v>
      </c>
      <c r="D4288" t="s">
        <v>13041</v>
      </c>
      <c r="E4288" t="s">
        <v>13416</v>
      </c>
      <c r="F4288" t="s">
        <v>22436</v>
      </c>
      <c r="G4288" t="s">
        <v>22443</v>
      </c>
      <c r="H4288" t="s">
        <v>22452</v>
      </c>
      <c r="I4288" t="s">
        <v>3827</v>
      </c>
      <c r="J4288" t="s">
        <v>22654</v>
      </c>
      <c r="K4288" t="s">
        <v>29331</v>
      </c>
      <c r="M4288" t="s">
        <v>31165</v>
      </c>
      <c r="N4288" t="s">
        <v>32524</v>
      </c>
      <c r="O4288" t="s">
        <v>32525</v>
      </c>
      <c r="P4288">
        <v>0</v>
      </c>
      <c r="Q4288">
        <v>2</v>
      </c>
      <c r="R4288" t="s">
        <v>32530</v>
      </c>
      <c r="S4288" t="s">
        <v>32568</v>
      </c>
      <c r="T4288" t="s">
        <v>33213</v>
      </c>
      <c r="U4288" t="s">
        <v>37244</v>
      </c>
      <c r="V4288" t="s">
        <v>42888</v>
      </c>
      <c r="W4288" t="s">
        <v>31165</v>
      </c>
      <c r="X4288" t="s">
        <v>32531</v>
      </c>
    </row>
    <row r="4289" spans="1:24">
      <c r="A4289">
        <f>HYPERLINK("https://www.philgeps.gov.ph/GEPSNONPILOT/Tender/SplashBidNoticeAbstractUI.aspx?menuIndex=3&amp;refID=7042851&amp;Result=3","7042851")</f>
        <v>0</v>
      </c>
      <c r="B4289" t="s">
        <v>1477</v>
      </c>
      <c r="C4289" t="s">
        <v>6776</v>
      </c>
      <c r="D4289" t="s">
        <v>12988</v>
      </c>
      <c r="E4289" t="s">
        <v>16922</v>
      </c>
      <c r="F4289" t="s">
        <v>22436</v>
      </c>
      <c r="G4289" t="s">
        <v>22443</v>
      </c>
      <c r="H4289" t="s">
        <v>22452</v>
      </c>
      <c r="I4289" t="s">
        <v>22478</v>
      </c>
      <c r="J4289" t="s">
        <v>23437</v>
      </c>
      <c r="K4289" t="s">
        <v>29329</v>
      </c>
      <c r="M4289" t="s">
        <v>31146</v>
      </c>
      <c r="N4289" t="s">
        <v>32524</v>
      </c>
      <c r="O4289" t="s">
        <v>32525</v>
      </c>
      <c r="P4289">
        <v>0</v>
      </c>
      <c r="Q4289">
        <v>7</v>
      </c>
      <c r="R4289" t="s">
        <v>32530</v>
      </c>
      <c r="S4289" t="s">
        <v>32568</v>
      </c>
      <c r="T4289" t="s">
        <v>33310</v>
      </c>
      <c r="U4289" t="s">
        <v>37245</v>
      </c>
      <c r="V4289" t="s">
        <v>42889</v>
      </c>
      <c r="W4289" t="s">
        <v>31146</v>
      </c>
      <c r="X4289" t="s">
        <v>32531</v>
      </c>
    </row>
    <row r="4290" spans="1:24">
      <c r="A4290">
        <f>HYPERLINK("https://www.philgeps.gov.ph/GEPSNONPILOT/Tender/SplashBidNoticeAbstractUI.aspx?menuIndex=3&amp;refID=7042874&amp;Result=3","7042874")</f>
        <v>0</v>
      </c>
      <c r="B4290" t="s">
        <v>411</v>
      </c>
      <c r="C4290" t="s">
        <v>6777</v>
      </c>
      <c r="D4290" t="s">
        <v>13015</v>
      </c>
      <c r="E4290" t="s">
        <v>16923</v>
      </c>
      <c r="F4290" t="s">
        <v>22436</v>
      </c>
      <c r="G4290" t="s">
        <v>22443</v>
      </c>
      <c r="H4290" t="s">
        <v>22452</v>
      </c>
      <c r="I4290" t="s">
        <v>3529</v>
      </c>
      <c r="J4290" t="s">
        <v>25401</v>
      </c>
      <c r="K4290" t="s">
        <v>29341</v>
      </c>
      <c r="M4290" t="s">
        <v>29990</v>
      </c>
      <c r="N4290" t="s">
        <v>32524</v>
      </c>
      <c r="O4290" t="s">
        <v>32525</v>
      </c>
      <c r="P4290">
        <v>0</v>
      </c>
      <c r="Q4290">
        <v>0</v>
      </c>
      <c r="R4290" t="s">
        <v>32530</v>
      </c>
      <c r="S4290" t="s">
        <v>32568</v>
      </c>
      <c r="T4290" t="s">
        <v>33213</v>
      </c>
      <c r="U4290" t="s">
        <v>37246</v>
      </c>
      <c r="W4290" t="s">
        <v>29990</v>
      </c>
      <c r="X4290" t="s">
        <v>32531</v>
      </c>
    </row>
    <row r="4291" spans="1:24">
      <c r="A4291">
        <f>HYPERLINK("https://www.philgeps.gov.ph/GEPSNONPILOT/Tender/SplashBidNoticeAbstractUI.aspx?menuIndex=3&amp;refID=7042879&amp;Result=3","7042879")</f>
        <v>0</v>
      </c>
      <c r="B4291" t="s">
        <v>317</v>
      </c>
      <c r="C4291" t="s">
        <v>6778</v>
      </c>
      <c r="D4291" t="s">
        <v>13031</v>
      </c>
      <c r="E4291" t="s">
        <v>16924</v>
      </c>
      <c r="F4291" t="s">
        <v>22436</v>
      </c>
      <c r="G4291" t="s">
        <v>22443</v>
      </c>
      <c r="H4291" t="s">
        <v>22452</v>
      </c>
      <c r="I4291" t="s">
        <v>3027</v>
      </c>
      <c r="J4291" t="s">
        <v>22640</v>
      </c>
      <c r="K4291" t="s">
        <v>29336</v>
      </c>
      <c r="M4291" t="s">
        <v>29893</v>
      </c>
      <c r="N4291" t="s">
        <v>32524</v>
      </c>
      <c r="O4291" t="s">
        <v>32525</v>
      </c>
      <c r="P4291">
        <v>0</v>
      </c>
      <c r="Q4291">
        <v>0</v>
      </c>
      <c r="R4291" t="s">
        <v>32530</v>
      </c>
      <c r="S4291" t="s">
        <v>32568</v>
      </c>
      <c r="T4291" t="s">
        <v>33296</v>
      </c>
      <c r="U4291" t="s">
        <v>37050</v>
      </c>
      <c r="W4291" t="s">
        <v>43677</v>
      </c>
      <c r="X4291" t="s">
        <v>32531</v>
      </c>
    </row>
    <row r="4292" spans="1:24">
      <c r="A4292">
        <f>HYPERLINK("https://www.philgeps.gov.ph/GEPSNONPILOT/Tender/SplashBidNoticeAbstractUI.aspx?menuIndex=3&amp;refID=7042849&amp;Result=3","7042849")</f>
        <v>0</v>
      </c>
      <c r="B4292" t="s">
        <v>317</v>
      </c>
      <c r="C4292" t="s">
        <v>6778</v>
      </c>
      <c r="D4292" t="s">
        <v>13031</v>
      </c>
      <c r="E4292" t="s">
        <v>16925</v>
      </c>
      <c r="F4292" t="s">
        <v>22436</v>
      </c>
      <c r="G4292" t="s">
        <v>22443</v>
      </c>
      <c r="H4292" t="s">
        <v>22452</v>
      </c>
      <c r="I4292" t="s">
        <v>3027</v>
      </c>
      <c r="J4292" t="s">
        <v>23243</v>
      </c>
      <c r="K4292" t="s">
        <v>29336</v>
      </c>
      <c r="M4292" t="s">
        <v>29893</v>
      </c>
      <c r="N4292" t="s">
        <v>32524</v>
      </c>
      <c r="O4292" t="s">
        <v>32525</v>
      </c>
      <c r="P4292">
        <v>0</v>
      </c>
      <c r="Q4292">
        <v>0</v>
      </c>
      <c r="R4292" t="s">
        <v>32530</v>
      </c>
      <c r="S4292" t="s">
        <v>32568</v>
      </c>
      <c r="T4292" t="s">
        <v>33296</v>
      </c>
      <c r="U4292" t="s">
        <v>37050</v>
      </c>
      <c r="W4292" t="s">
        <v>43677</v>
      </c>
      <c r="X4292" t="s">
        <v>32531</v>
      </c>
    </row>
    <row r="4293" spans="1:24">
      <c r="A4293">
        <f>HYPERLINK("https://www.philgeps.gov.ph/GEPSNONPILOT/Tender/SplashBidNoticeAbstractUI.aspx?menuIndex=3&amp;refID=7042859&amp;Result=3","7042859")</f>
        <v>0</v>
      </c>
      <c r="B4293" t="s">
        <v>1288</v>
      </c>
      <c r="C4293" t="s">
        <v>6779</v>
      </c>
      <c r="D4293" t="s">
        <v>13010</v>
      </c>
      <c r="E4293" t="s">
        <v>16926</v>
      </c>
      <c r="F4293" t="s">
        <v>22436</v>
      </c>
      <c r="G4293" t="s">
        <v>22445</v>
      </c>
      <c r="H4293" t="s">
        <v>22452</v>
      </c>
      <c r="I4293" t="s">
        <v>22561</v>
      </c>
      <c r="J4293" t="s">
        <v>22806</v>
      </c>
      <c r="K4293" t="s">
        <v>29335</v>
      </c>
      <c r="M4293" t="s">
        <v>30942</v>
      </c>
      <c r="N4293" t="s">
        <v>32524</v>
      </c>
      <c r="O4293" t="s">
        <v>32525</v>
      </c>
      <c r="P4293">
        <v>0</v>
      </c>
      <c r="Q4293">
        <v>3</v>
      </c>
      <c r="R4293" t="s">
        <v>32530</v>
      </c>
      <c r="S4293" t="s">
        <v>32568</v>
      </c>
      <c r="T4293" t="s">
        <v>33215</v>
      </c>
      <c r="U4293" t="s">
        <v>37247</v>
      </c>
      <c r="V4293" t="s">
        <v>42780</v>
      </c>
      <c r="W4293" t="s">
        <v>30942</v>
      </c>
      <c r="X4293" t="s">
        <v>32531</v>
      </c>
    </row>
    <row r="4294" spans="1:24">
      <c r="A4294">
        <f>HYPERLINK("https://www.philgeps.gov.ph/GEPSNONPILOT/Tender/SplashBidNoticeAbstractUI.aspx?menuIndex=3&amp;refID=7042852&amp;Result=3","7042852")</f>
        <v>0</v>
      </c>
      <c r="B4294" t="s">
        <v>1490</v>
      </c>
      <c r="C4294" t="s">
        <v>6780</v>
      </c>
      <c r="D4294" t="s">
        <v>13015</v>
      </c>
      <c r="E4294" t="s">
        <v>16921</v>
      </c>
      <c r="F4294" t="s">
        <v>22436</v>
      </c>
      <c r="G4294" t="s">
        <v>22444</v>
      </c>
      <c r="H4294" t="s">
        <v>22454</v>
      </c>
      <c r="I4294" t="s">
        <v>7738</v>
      </c>
      <c r="J4294" t="s">
        <v>25402</v>
      </c>
      <c r="K4294" t="s">
        <v>29335</v>
      </c>
      <c r="M4294" t="s">
        <v>31164</v>
      </c>
      <c r="N4294" t="s">
        <v>32524</v>
      </c>
      <c r="O4294" t="s">
        <v>32525</v>
      </c>
      <c r="P4294">
        <v>0</v>
      </c>
      <c r="Q4294">
        <v>0</v>
      </c>
      <c r="R4294" t="s">
        <v>32530</v>
      </c>
      <c r="S4294" t="s">
        <v>32568</v>
      </c>
      <c r="T4294" t="s">
        <v>33227</v>
      </c>
      <c r="U4294" t="s">
        <v>37248</v>
      </c>
      <c r="W4294" t="s">
        <v>31164</v>
      </c>
      <c r="X4294" t="s">
        <v>32531</v>
      </c>
    </row>
    <row r="4295" spans="1:24">
      <c r="A4295">
        <f>HYPERLINK("https://www.philgeps.gov.ph/GEPSNONPILOT/Tender/SplashBidNoticeAbstractUI.aspx?menuIndex=3&amp;refID=7042881&amp;Result=3","7042881")</f>
        <v>0</v>
      </c>
      <c r="B4295" t="s">
        <v>1254</v>
      </c>
      <c r="C4295" t="s">
        <v>6781</v>
      </c>
      <c r="D4295" t="s">
        <v>12988</v>
      </c>
      <c r="E4295" t="s">
        <v>16927</v>
      </c>
      <c r="F4295" t="s">
        <v>22436</v>
      </c>
      <c r="G4295" t="s">
        <v>22446</v>
      </c>
      <c r="H4295" t="s">
        <v>22452</v>
      </c>
      <c r="I4295" t="s">
        <v>22466</v>
      </c>
      <c r="J4295" t="s">
        <v>22673</v>
      </c>
      <c r="K4295" t="s">
        <v>29336</v>
      </c>
      <c r="M4295" t="s">
        <v>30907</v>
      </c>
      <c r="N4295" t="s">
        <v>32524</v>
      </c>
      <c r="O4295" t="s">
        <v>32525</v>
      </c>
      <c r="P4295">
        <v>0</v>
      </c>
      <c r="Q4295">
        <v>15</v>
      </c>
      <c r="R4295" t="s">
        <v>32530</v>
      </c>
      <c r="S4295" t="s">
        <v>32568</v>
      </c>
      <c r="T4295" t="s">
        <v>33206</v>
      </c>
      <c r="U4295" t="s">
        <v>37249</v>
      </c>
      <c r="W4295" t="s">
        <v>30907</v>
      </c>
      <c r="X4295" t="s">
        <v>32531</v>
      </c>
    </row>
    <row r="4296" spans="1:24">
      <c r="A4296">
        <f>HYPERLINK("https://www.philgeps.gov.ph/GEPSNONPILOT/Tender/SplashBidNoticeAbstractUI.aspx?menuIndex=3&amp;refID=7042882&amp;Result=3","7042882")</f>
        <v>0</v>
      </c>
      <c r="B4296" t="s">
        <v>114</v>
      </c>
      <c r="C4296" t="s">
        <v>6782</v>
      </c>
      <c r="D4296" t="s">
        <v>12999</v>
      </c>
      <c r="E4296" t="s">
        <v>16928</v>
      </c>
      <c r="F4296" t="s">
        <v>22436</v>
      </c>
      <c r="G4296" t="s">
        <v>22444</v>
      </c>
      <c r="H4296" t="s">
        <v>22452</v>
      </c>
      <c r="I4296" t="s">
        <v>2981</v>
      </c>
      <c r="J4296" t="s">
        <v>22634</v>
      </c>
      <c r="K4296" t="s">
        <v>29335</v>
      </c>
      <c r="M4296" t="s">
        <v>29686</v>
      </c>
      <c r="N4296" t="s">
        <v>32524</v>
      </c>
      <c r="O4296" t="s">
        <v>32525</v>
      </c>
      <c r="P4296">
        <v>0</v>
      </c>
      <c r="Q4296">
        <v>1</v>
      </c>
      <c r="R4296" t="s">
        <v>32530</v>
      </c>
      <c r="S4296" t="s">
        <v>32568</v>
      </c>
      <c r="T4296" t="s">
        <v>33164</v>
      </c>
      <c r="U4296" t="s">
        <v>37250</v>
      </c>
      <c r="W4296" t="s">
        <v>29686</v>
      </c>
      <c r="X4296" t="s">
        <v>32531</v>
      </c>
    </row>
    <row r="4297" spans="1:24">
      <c r="A4297">
        <f>HYPERLINK("https://www.philgeps.gov.ph/GEPSNONPILOT/Tender/SplashBidNoticeAbstractUI.aspx?menuIndex=3&amp;refID=7042848&amp;Result=3","7042848")</f>
        <v>0</v>
      </c>
      <c r="B4297" t="s">
        <v>1219</v>
      </c>
      <c r="C4297" t="s">
        <v>6783</v>
      </c>
      <c r="D4297" t="s">
        <v>13048</v>
      </c>
      <c r="E4297" t="s">
        <v>16929</v>
      </c>
      <c r="F4297" t="s">
        <v>22436</v>
      </c>
      <c r="G4297" t="s">
        <v>22443</v>
      </c>
      <c r="H4297" t="s">
        <v>22452</v>
      </c>
      <c r="I4297" t="s">
        <v>2981</v>
      </c>
      <c r="J4297" t="s">
        <v>25403</v>
      </c>
      <c r="K4297" t="s">
        <v>29338</v>
      </c>
      <c r="M4297" t="s">
        <v>30870</v>
      </c>
      <c r="N4297" t="s">
        <v>32524</v>
      </c>
      <c r="O4297" t="s">
        <v>32525</v>
      </c>
      <c r="P4297">
        <v>0</v>
      </c>
      <c r="Q4297">
        <v>1</v>
      </c>
      <c r="R4297" t="s">
        <v>32530</v>
      </c>
      <c r="S4297" t="s">
        <v>32568</v>
      </c>
      <c r="T4297" t="s">
        <v>33197</v>
      </c>
      <c r="U4297" t="s">
        <v>37251</v>
      </c>
      <c r="V4297" t="s">
        <v>42763</v>
      </c>
      <c r="W4297" t="s">
        <v>30870</v>
      </c>
      <c r="X4297" t="s">
        <v>32531</v>
      </c>
    </row>
    <row r="4298" spans="1:24">
      <c r="A4298">
        <f>HYPERLINK("https://www.philgeps.gov.ph/GEPSNONPILOT/Tender/SplashBidNoticeAbstractUI.aspx?menuIndex=3&amp;refID=7042886&amp;Result=3","7042886")</f>
        <v>0</v>
      </c>
      <c r="B4298" t="s">
        <v>1464</v>
      </c>
      <c r="C4298" t="s">
        <v>6784</v>
      </c>
      <c r="D4298" t="s">
        <v>13018</v>
      </c>
      <c r="E4298" t="s">
        <v>16930</v>
      </c>
      <c r="F4298" t="s">
        <v>22437</v>
      </c>
      <c r="G4298" t="s">
        <v>22443</v>
      </c>
      <c r="H4298" t="s">
        <v>22453</v>
      </c>
      <c r="I4298" t="s">
        <v>22545</v>
      </c>
      <c r="J4298" t="s">
        <v>22874</v>
      </c>
      <c r="K4298" t="s">
        <v>29371</v>
      </c>
      <c r="M4298" t="s">
        <v>31133</v>
      </c>
      <c r="N4298" t="s">
        <v>32524</v>
      </c>
      <c r="O4298" t="s">
        <v>32525</v>
      </c>
      <c r="P4298">
        <v>0</v>
      </c>
      <c r="Q4298">
        <v>1</v>
      </c>
      <c r="R4298" t="s">
        <v>32530</v>
      </c>
      <c r="S4298" t="s">
        <v>32568</v>
      </c>
      <c r="T4298" t="s">
        <v>33154</v>
      </c>
      <c r="U4298" t="s">
        <v>37252</v>
      </c>
      <c r="W4298" t="s">
        <v>31133</v>
      </c>
      <c r="X4298" t="s">
        <v>32531</v>
      </c>
    </row>
    <row r="4299" spans="1:24">
      <c r="A4299">
        <f>HYPERLINK("https://www.philgeps.gov.ph/GEPSNONPILOT/Tender/SplashBidNoticeAbstractUI.aspx?menuIndex=3&amp;refID=7042915&amp;Result=3","7042915")</f>
        <v>0</v>
      </c>
      <c r="B4299" t="s">
        <v>411</v>
      </c>
      <c r="C4299" t="s">
        <v>6785</v>
      </c>
      <c r="D4299" t="s">
        <v>13015</v>
      </c>
      <c r="E4299" t="s">
        <v>16931</v>
      </c>
      <c r="F4299" t="s">
        <v>22436</v>
      </c>
      <c r="G4299" t="s">
        <v>22443</v>
      </c>
      <c r="H4299" t="s">
        <v>22452</v>
      </c>
      <c r="I4299" t="s">
        <v>3529</v>
      </c>
      <c r="J4299" t="s">
        <v>25404</v>
      </c>
      <c r="K4299" t="s">
        <v>29341</v>
      </c>
      <c r="M4299" t="s">
        <v>29990</v>
      </c>
      <c r="N4299" t="s">
        <v>32524</v>
      </c>
      <c r="O4299" t="s">
        <v>32525</v>
      </c>
      <c r="P4299">
        <v>0</v>
      </c>
      <c r="Q4299">
        <v>0</v>
      </c>
      <c r="R4299" t="s">
        <v>32530</v>
      </c>
      <c r="S4299" t="s">
        <v>32568</v>
      </c>
      <c r="T4299" t="s">
        <v>33213</v>
      </c>
      <c r="U4299" t="s">
        <v>37253</v>
      </c>
      <c r="W4299" t="s">
        <v>29990</v>
      </c>
      <c r="X4299" t="s">
        <v>32531</v>
      </c>
    </row>
    <row r="4300" spans="1:24">
      <c r="A4300">
        <f>HYPERLINK("https://www.philgeps.gov.ph/GEPSNONPILOT/Tender/SplashBidNoticeAbstractUI.aspx?menuIndex=3&amp;refID=7042908&amp;Result=3","7042908")</f>
        <v>0</v>
      </c>
      <c r="B4300" t="s">
        <v>1044</v>
      </c>
      <c r="C4300" t="s">
        <v>6786</v>
      </c>
      <c r="D4300" t="s">
        <v>12991</v>
      </c>
      <c r="E4300" t="s">
        <v>16932</v>
      </c>
      <c r="F4300" t="s">
        <v>22436</v>
      </c>
      <c r="G4300" t="s">
        <v>22444</v>
      </c>
      <c r="H4300" t="s">
        <v>22452</v>
      </c>
      <c r="I4300" t="s">
        <v>3529</v>
      </c>
      <c r="J4300" t="s">
        <v>25405</v>
      </c>
      <c r="K4300" t="s">
        <v>29331</v>
      </c>
      <c r="M4300" t="s">
        <v>30676</v>
      </c>
      <c r="N4300" t="s">
        <v>32524</v>
      </c>
      <c r="O4300" t="s">
        <v>32525</v>
      </c>
      <c r="P4300">
        <v>0</v>
      </c>
      <c r="Q4300">
        <v>0</v>
      </c>
      <c r="R4300" t="s">
        <v>32530</v>
      </c>
      <c r="S4300" t="s">
        <v>32568</v>
      </c>
      <c r="T4300" t="s">
        <v>33182</v>
      </c>
      <c r="U4300" t="s">
        <v>37254</v>
      </c>
      <c r="W4300" t="s">
        <v>30676</v>
      </c>
      <c r="X4300" t="s">
        <v>32531</v>
      </c>
    </row>
    <row r="4301" spans="1:24">
      <c r="A4301">
        <f>HYPERLINK("https://www.philgeps.gov.ph/GEPSNONPILOT/Tender/SplashBidNoticeAbstractUI.aspx?menuIndex=3&amp;refID=7042911&amp;Result=3","7042911")</f>
        <v>0</v>
      </c>
      <c r="B4301" t="s">
        <v>1490</v>
      </c>
      <c r="C4301" t="s">
        <v>6787</v>
      </c>
      <c r="D4301" t="s">
        <v>13015</v>
      </c>
      <c r="E4301" t="s">
        <v>16933</v>
      </c>
      <c r="F4301" t="s">
        <v>22436</v>
      </c>
      <c r="G4301" t="s">
        <v>22444</v>
      </c>
      <c r="H4301" t="s">
        <v>22454</v>
      </c>
      <c r="I4301" t="s">
        <v>7738</v>
      </c>
      <c r="J4301" t="s">
        <v>25406</v>
      </c>
      <c r="K4301" t="s">
        <v>29335</v>
      </c>
      <c r="M4301" t="s">
        <v>31164</v>
      </c>
      <c r="N4301" t="s">
        <v>32524</v>
      </c>
      <c r="O4301" t="s">
        <v>32525</v>
      </c>
      <c r="P4301">
        <v>0</v>
      </c>
      <c r="Q4301">
        <v>0</v>
      </c>
      <c r="R4301" t="s">
        <v>32530</v>
      </c>
      <c r="S4301" t="s">
        <v>32568</v>
      </c>
      <c r="T4301" t="s">
        <v>33227</v>
      </c>
      <c r="U4301" t="s">
        <v>37255</v>
      </c>
      <c r="W4301" t="s">
        <v>31164</v>
      </c>
      <c r="X4301" t="s">
        <v>32531</v>
      </c>
    </row>
    <row r="4302" spans="1:24">
      <c r="A4302">
        <f>HYPERLINK("https://www.philgeps.gov.ph/GEPSNONPILOT/Tender/SplashBidNoticeAbstractUI.aspx?menuIndex=3&amp;refID=7042904&amp;Result=3","7042904")</f>
        <v>0</v>
      </c>
      <c r="B4302" t="s">
        <v>1492</v>
      </c>
      <c r="C4302" t="s">
        <v>6788</v>
      </c>
      <c r="D4302" t="s">
        <v>13004</v>
      </c>
      <c r="E4302" t="s">
        <v>16934</v>
      </c>
      <c r="F4302" t="s">
        <v>22436</v>
      </c>
      <c r="G4302" t="s">
        <v>22444</v>
      </c>
      <c r="H4302" t="s">
        <v>22452</v>
      </c>
      <c r="I4302" t="s">
        <v>22471</v>
      </c>
      <c r="J4302" t="s">
        <v>25407</v>
      </c>
      <c r="K4302" t="s">
        <v>29341</v>
      </c>
      <c r="M4302" t="s">
        <v>31166</v>
      </c>
      <c r="N4302" t="s">
        <v>32524</v>
      </c>
      <c r="O4302" t="s">
        <v>32525</v>
      </c>
      <c r="P4302">
        <v>0</v>
      </c>
      <c r="Q4302">
        <v>1</v>
      </c>
      <c r="R4302" t="s">
        <v>32530</v>
      </c>
      <c r="S4302" t="s">
        <v>32568</v>
      </c>
      <c r="T4302" t="s">
        <v>33197</v>
      </c>
      <c r="U4302" t="s">
        <v>37256</v>
      </c>
      <c r="W4302" t="s">
        <v>31166</v>
      </c>
      <c r="X4302" t="s">
        <v>32531</v>
      </c>
    </row>
    <row r="4303" spans="1:24">
      <c r="A4303">
        <f>HYPERLINK("https://www.philgeps.gov.ph/GEPSNONPILOT/Tender/SplashBidNoticeAbstractUI.aspx?menuIndex=3&amp;refID=7042906&amp;Result=3","7042906")</f>
        <v>0</v>
      </c>
      <c r="B4303" t="s">
        <v>1480</v>
      </c>
      <c r="C4303" t="s">
        <v>6789</v>
      </c>
      <c r="E4303" t="s">
        <v>16935</v>
      </c>
      <c r="F4303" t="s">
        <v>22436</v>
      </c>
      <c r="G4303" t="s">
        <v>22444</v>
      </c>
      <c r="H4303" t="s">
        <v>22452</v>
      </c>
      <c r="I4303" t="s">
        <v>3529</v>
      </c>
      <c r="J4303" t="s">
        <v>25408</v>
      </c>
      <c r="K4303" t="s">
        <v>29338</v>
      </c>
      <c r="M4303" t="s">
        <v>31150</v>
      </c>
      <c r="N4303" t="s">
        <v>32524</v>
      </c>
      <c r="O4303" t="s">
        <v>32525</v>
      </c>
      <c r="P4303">
        <v>0</v>
      </c>
      <c r="Q4303">
        <v>0</v>
      </c>
      <c r="R4303" t="s">
        <v>32530</v>
      </c>
      <c r="S4303" t="s">
        <v>32568</v>
      </c>
      <c r="T4303" t="s">
        <v>33168</v>
      </c>
      <c r="U4303" t="s">
        <v>37203</v>
      </c>
      <c r="V4303" t="s">
        <v>42461</v>
      </c>
      <c r="W4303" t="s">
        <v>31150</v>
      </c>
      <c r="X4303" t="s">
        <v>32531</v>
      </c>
    </row>
    <row r="4304" spans="1:24">
      <c r="A4304">
        <f>HYPERLINK("https://www.philgeps.gov.ph/GEPSNONPILOT/Tender/SplashBidNoticeAbstractUI.aspx?menuIndex=3&amp;refID=7042919&amp;Result=3","7042919")</f>
        <v>0</v>
      </c>
      <c r="B4304" t="s">
        <v>1483</v>
      </c>
      <c r="C4304" t="s">
        <v>6790</v>
      </c>
      <c r="D4304" t="s">
        <v>12990</v>
      </c>
      <c r="E4304" t="s">
        <v>16936</v>
      </c>
      <c r="F4304" t="s">
        <v>22436</v>
      </c>
      <c r="G4304" t="s">
        <v>22446</v>
      </c>
      <c r="H4304" t="s">
        <v>22452</v>
      </c>
      <c r="I4304" t="s">
        <v>22485</v>
      </c>
      <c r="J4304" t="s">
        <v>22605</v>
      </c>
      <c r="K4304" t="s">
        <v>29340</v>
      </c>
      <c r="M4304" t="s">
        <v>31156</v>
      </c>
      <c r="N4304" t="s">
        <v>32524</v>
      </c>
      <c r="O4304" t="s">
        <v>32525</v>
      </c>
      <c r="P4304">
        <v>0</v>
      </c>
      <c r="Q4304">
        <v>3</v>
      </c>
      <c r="R4304" t="s">
        <v>32530</v>
      </c>
      <c r="S4304" t="s">
        <v>32568</v>
      </c>
      <c r="T4304" t="s">
        <v>33209</v>
      </c>
      <c r="U4304" t="s">
        <v>37257</v>
      </c>
      <c r="W4304" t="s">
        <v>31156</v>
      </c>
      <c r="X4304" t="s">
        <v>32531</v>
      </c>
    </row>
    <row r="4305" spans="1:24">
      <c r="A4305">
        <f>HYPERLINK("https://www.philgeps.gov.ph/GEPSNONPILOT/Tender/SplashBidNoticeAbstractUI.aspx?menuIndex=3&amp;refID=7042910&amp;Result=3","7042910")</f>
        <v>0</v>
      </c>
      <c r="B4305" t="s">
        <v>1464</v>
      </c>
      <c r="C4305" t="s">
        <v>6784</v>
      </c>
      <c r="D4305" t="s">
        <v>13015</v>
      </c>
      <c r="E4305" t="s">
        <v>16937</v>
      </c>
      <c r="F4305" t="s">
        <v>22437</v>
      </c>
      <c r="G4305" t="s">
        <v>22443</v>
      </c>
      <c r="H4305" t="s">
        <v>22453</v>
      </c>
      <c r="I4305" t="s">
        <v>22545</v>
      </c>
      <c r="J4305" t="s">
        <v>23120</v>
      </c>
      <c r="K4305" t="s">
        <v>29371</v>
      </c>
      <c r="M4305" t="s">
        <v>31133</v>
      </c>
      <c r="N4305" t="s">
        <v>32524</v>
      </c>
      <c r="O4305" t="s">
        <v>32525</v>
      </c>
      <c r="P4305">
        <v>0</v>
      </c>
      <c r="Q4305">
        <v>1</v>
      </c>
      <c r="R4305" t="s">
        <v>32530</v>
      </c>
      <c r="S4305" t="s">
        <v>32568</v>
      </c>
      <c r="T4305" t="s">
        <v>33154</v>
      </c>
      <c r="U4305" t="s">
        <v>37258</v>
      </c>
      <c r="W4305" t="s">
        <v>31133</v>
      </c>
      <c r="X4305" t="s">
        <v>32531</v>
      </c>
    </row>
    <row r="4306" spans="1:24">
      <c r="A4306">
        <f>HYPERLINK("https://www.philgeps.gov.ph/GEPSNONPILOT/Tender/SplashBidNoticeAbstractUI.aspx?menuIndex=3&amp;refID=7042898&amp;Result=3","7042898")</f>
        <v>0</v>
      </c>
      <c r="B4306" t="s">
        <v>223</v>
      </c>
      <c r="C4306" t="s">
        <v>6791</v>
      </c>
      <c r="D4306" t="s">
        <v>13024</v>
      </c>
      <c r="E4306" t="s">
        <v>16938</v>
      </c>
      <c r="F4306" t="s">
        <v>22436</v>
      </c>
      <c r="G4306" t="s">
        <v>22444</v>
      </c>
      <c r="H4306" t="s">
        <v>22452</v>
      </c>
      <c r="I4306" t="s">
        <v>6421</v>
      </c>
      <c r="J4306" t="s">
        <v>25409</v>
      </c>
      <c r="K4306" t="s">
        <v>29336</v>
      </c>
      <c r="M4306" t="s">
        <v>29796</v>
      </c>
      <c r="N4306" t="s">
        <v>32524</v>
      </c>
      <c r="O4306" t="s">
        <v>32525</v>
      </c>
      <c r="P4306">
        <v>0</v>
      </c>
      <c r="Q4306">
        <v>3</v>
      </c>
      <c r="R4306" t="s">
        <v>32530</v>
      </c>
      <c r="S4306" t="s">
        <v>32568</v>
      </c>
      <c r="T4306" t="s">
        <v>33155</v>
      </c>
      <c r="U4306" t="s">
        <v>37259</v>
      </c>
      <c r="W4306" t="s">
        <v>29796</v>
      </c>
      <c r="X4306" t="s">
        <v>32531</v>
      </c>
    </row>
    <row r="4307" spans="1:24">
      <c r="A4307">
        <f>HYPERLINK("https://www.philgeps.gov.ph/GEPSNONPILOT/Tender/SplashBidNoticeAbstractUI.aspx?menuIndex=3&amp;refID=7042931&amp;Result=3","7042931")</f>
        <v>0</v>
      </c>
      <c r="B4307" t="s">
        <v>746</v>
      </c>
      <c r="C4307" t="s">
        <v>6792</v>
      </c>
      <c r="E4307" t="s">
        <v>16939</v>
      </c>
      <c r="F4307" t="s">
        <v>22436</v>
      </c>
      <c r="G4307" t="s">
        <v>22443</v>
      </c>
      <c r="H4307" t="s">
        <v>22452</v>
      </c>
      <c r="I4307" t="s">
        <v>22463</v>
      </c>
      <c r="J4307" t="s">
        <v>25017</v>
      </c>
      <c r="K4307" t="s">
        <v>29338</v>
      </c>
      <c r="M4307" t="s">
        <v>30347</v>
      </c>
      <c r="N4307" t="s">
        <v>32524</v>
      </c>
      <c r="O4307" t="s">
        <v>32525</v>
      </c>
      <c r="P4307">
        <v>0</v>
      </c>
      <c r="Q4307">
        <v>11</v>
      </c>
      <c r="R4307" t="s">
        <v>32530</v>
      </c>
      <c r="S4307" t="s">
        <v>32568</v>
      </c>
      <c r="T4307" t="s">
        <v>33372</v>
      </c>
      <c r="U4307" t="s">
        <v>35216</v>
      </c>
      <c r="V4307" t="s">
        <v>42604</v>
      </c>
      <c r="W4307" t="s">
        <v>30347</v>
      </c>
      <c r="X4307" t="s">
        <v>32531</v>
      </c>
    </row>
    <row r="4308" spans="1:24">
      <c r="A4308">
        <f>HYPERLINK("https://www.philgeps.gov.ph/GEPSNONPILOT/Tender/SplashBidNoticeAbstractUI.aspx?menuIndex=3&amp;refID=7042930&amp;Result=3","7042930")</f>
        <v>0</v>
      </c>
      <c r="B4308" t="s">
        <v>73</v>
      </c>
      <c r="C4308" t="s">
        <v>6793</v>
      </c>
      <c r="D4308" t="s">
        <v>13004</v>
      </c>
      <c r="E4308" t="s">
        <v>16940</v>
      </c>
      <c r="F4308" t="s">
        <v>22436</v>
      </c>
      <c r="G4308" t="s">
        <v>22444</v>
      </c>
      <c r="H4308" t="s">
        <v>22452</v>
      </c>
      <c r="I4308" t="s">
        <v>22471</v>
      </c>
      <c r="J4308" t="s">
        <v>25410</v>
      </c>
      <c r="K4308" t="s">
        <v>29335</v>
      </c>
      <c r="M4308" t="s">
        <v>29645</v>
      </c>
      <c r="N4308" t="s">
        <v>32524</v>
      </c>
      <c r="O4308" t="s">
        <v>32525</v>
      </c>
      <c r="P4308">
        <v>0</v>
      </c>
      <c r="Q4308">
        <v>8</v>
      </c>
      <c r="R4308" t="s">
        <v>32530</v>
      </c>
      <c r="S4308" t="s">
        <v>32568</v>
      </c>
      <c r="T4308" t="s">
        <v>33261</v>
      </c>
      <c r="U4308" t="s">
        <v>37260</v>
      </c>
      <c r="V4308" t="s">
        <v>42890</v>
      </c>
      <c r="W4308" t="s">
        <v>29645</v>
      </c>
      <c r="X4308" t="s">
        <v>32531</v>
      </c>
    </row>
    <row r="4309" spans="1:24">
      <c r="A4309">
        <f>HYPERLINK("https://www.philgeps.gov.ph/GEPSNONPILOT/Tender/SplashBidNoticeAbstractUI.aspx?menuIndex=3&amp;refID=7042922&amp;Result=3","7042922")</f>
        <v>0</v>
      </c>
      <c r="B4309" t="s">
        <v>114</v>
      </c>
      <c r="C4309" t="s">
        <v>6794</v>
      </c>
      <c r="D4309" t="s">
        <v>12999</v>
      </c>
      <c r="E4309" t="s">
        <v>16941</v>
      </c>
      <c r="F4309" t="s">
        <v>22436</v>
      </c>
      <c r="G4309" t="s">
        <v>22444</v>
      </c>
      <c r="H4309" t="s">
        <v>22452</v>
      </c>
      <c r="I4309" t="s">
        <v>22474</v>
      </c>
      <c r="J4309" t="s">
        <v>24049</v>
      </c>
      <c r="K4309" t="s">
        <v>29333</v>
      </c>
      <c r="M4309" t="s">
        <v>29686</v>
      </c>
      <c r="N4309" t="s">
        <v>32524</v>
      </c>
      <c r="O4309" t="s">
        <v>32525</v>
      </c>
      <c r="P4309">
        <v>0</v>
      </c>
      <c r="Q4309">
        <v>7</v>
      </c>
      <c r="R4309" t="s">
        <v>32530</v>
      </c>
      <c r="S4309" t="s">
        <v>32568</v>
      </c>
      <c r="T4309" t="s">
        <v>33164</v>
      </c>
      <c r="U4309" t="s">
        <v>37261</v>
      </c>
      <c r="W4309" t="s">
        <v>29686</v>
      </c>
      <c r="X4309" t="s">
        <v>32531</v>
      </c>
    </row>
    <row r="4310" spans="1:24">
      <c r="A4310">
        <f>HYPERLINK("https://www.philgeps.gov.ph/GEPSNONPILOT/Tender/SplashBidNoticeAbstractUI.aspx?menuIndex=3&amp;refID=7042921&amp;Result=3","7042921")</f>
        <v>0</v>
      </c>
      <c r="B4310" t="s">
        <v>1493</v>
      </c>
      <c r="C4310" t="s">
        <v>6795</v>
      </c>
      <c r="D4310" t="s">
        <v>13010</v>
      </c>
      <c r="E4310" t="s">
        <v>16942</v>
      </c>
      <c r="F4310" t="s">
        <v>22436</v>
      </c>
      <c r="G4310" t="s">
        <v>22444</v>
      </c>
      <c r="H4310" t="s">
        <v>22454</v>
      </c>
      <c r="I4310" t="s">
        <v>7738</v>
      </c>
      <c r="J4310" t="s">
        <v>22669</v>
      </c>
      <c r="K4310" t="s">
        <v>29388</v>
      </c>
      <c r="M4310" t="s">
        <v>31167</v>
      </c>
      <c r="N4310" t="s">
        <v>32524</v>
      </c>
      <c r="O4310" t="s">
        <v>32525</v>
      </c>
      <c r="P4310">
        <v>0</v>
      </c>
      <c r="Q4310">
        <v>2</v>
      </c>
      <c r="R4310" t="s">
        <v>32530</v>
      </c>
      <c r="S4310" t="s">
        <v>32568</v>
      </c>
      <c r="T4310" t="s">
        <v>33345</v>
      </c>
      <c r="U4310" t="s">
        <v>37262</v>
      </c>
      <c r="V4310" t="s">
        <v>42891</v>
      </c>
      <c r="W4310" t="s">
        <v>31167</v>
      </c>
      <c r="X4310" t="s">
        <v>32531</v>
      </c>
    </row>
    <row r="4311" spans="1:24">
      <c r="A4311">
        <f>HYPERLINK("https://www.philgeps.gov.ph/GEPSNONPILOT/Tender/SplashBidNoticeAbstractUI.aspx?menuIndex=3&amp;refID=7042925&amp;Result=3","7042925")</f>
        <v>0</v>
      </c>
      <c r="B4311" t="s">
        <v>752</v>
      </c>
      <c r="C4311" t="s">
        <v>6796</v>
      </c>
      <c r="D4311" t="s">
        <v>13040</v>
      </c>
      <c r="E4311" t="s">
        <v>16943</v>
      </c>
      <c r="F4311" t="s">
        <v>22436</v>
      </c>
      <c r="G4311" t="s">
        <v>22443</v>
      </c>
      <c r="H4311" t="s">
        <v>22452</v>
      </c>
      <c r="I4311" t="s">
        <v>22469</v>
      </c>
      <c r="J4311" t="s">
        <v>25411</v>
      </c>
      <c r="K4311" t="s">
        <v>29352</v>
      </c>
      <c r="M4311" t="s">
        <v>30353</v>
      </c>
      <c r="N4311" t="s">
        <v>32524</v>
      </c>
      <c r="O4311" t="s">
        <v>32525</v>
      </c>
      <c r="P4311">
        <v>0</v>
      </c>
      <c r="Q4311">
        <v>7</v>
      </c>
      <c r="R4311" t="s">
        <v>32530</v>
      </c>
      <c r="S4311" t="s">
        <v>32568</v>
      </c>
      <c r="T4311" t="s">
        <v>33372</v>
      </c>
      <c r="U4311" t="s">
        <v>35234</v>
      </c>
      <c r="W4311" t="s">
        <v>30353</v>
      </c>
      <c r="X4311" t="s">
        <v>32531</v>
      </c>
    </row>
    <row r="4312" spans="1:24">
      <c r="A4312">
        <f>HYPERLINK("https://www.philgeps.gov.ph/GEPSNONPILOT/Tender/SplashBidNoticeAbstractUI.aspx?menuIndex=3&amp;refID=7042945&amp;Result=3","7042945")</f>
        <v>0</v>
      </c>
      <c r="B4312" t="s">
        <v>114</v>
      </c>
      <c r="C4312" t="s">
        <v>6797</v>
      </c>
      <c r="D4312" t="s">
        <v>12999</v>
      </c>
      <c r="E4312" t="s">
        <v>16944</v>
      </c>
      <c r="F4312" t="s">
        <v>22436</v>
      </c>
      <c r="G4312" t="s">
        <v>22444</v>
      </c>
      <c r="H4312" t="s">
        <v>22452</v>
      </c>
      <c r="I4312" t="s">
        <v>22474</v>
      </c>
      <c r="J4312" t="s">
        <v>25412</v>
      </c>
      <c r="K4312" t="s">
        <v>29333</v>
      </c>
      <c r="M4312" t="s">
        <v>29686</v>
      </c>
      <c r="N4312" t="s">
        <v>32524</v>
      </c>
      <c r="O4312" t="s">
        <v>32525</v>
      </c>
      <c r="P4312">
        <v>0</v>
      </c>
      <c r="Q4312">
        <v>5</v>
      </c>
      <c r="R4312" t="s">
        <v>32530</v>
      </c>
      <c r="S4312" t="s">
        <v>32568</v>
      </c>
      <c r="T4312" t="s">
        <v>33164</v>
      </c>
      <c r="U4312" t="s">
        <v>37263</v>
      </c>
      <c r="W4312" t="s">
        <v>29686</v>
      </c>
      <c r="X4312" t="s">
        <v>32531</v>
      </c>
    </row>
    <row r="4313" spans="1:24">
      <c r="A4313">
        <f>HYPERLINK("https://www.philgeps.gov.ph/GEPSNONPILOT/Tender/SplashBidNoticeAbstractUI.aspx?menuIndex=3&amp;refID=7042943&amp;Result=3","7042943")</f>
        <v>0</v>
      </c>
      <c r="B4313" t="s">
        <v>1494</v>
      </c>
      <c r="C4313" t="s">
        <v>6798</v>
      </c>
      <c r="E4313" t="s">
        <v>16945</v>
      </c>
      <c r="F4313" t="s">
        <v>22436</v>
      </c>
      <c r="G4313" t="s">
        <v>22443</v>
      </c>
      <c r="H4313" t="s">
        <v>22452</v>
      </c>
      <c r="I4313" t="s">
        <v>22465</v>
      </c>
      <c r="J4313" t="s">
        <v>23062</v>
      </c>
      <c r="K4313" t="s">
        <v>29338</v>
      </c>
      <c r="M4313" t="s">
        <v>31168</v>
      </c>
      <c r="N4313" t="s">
        <v>32524</v>
      </c>
      <c r="O4313" t="s">
        <v>32525</v>
      </c>
      <c r="P4313">
        <v>0</v>
      </c>
      <c r="Q4313">
        <v>13</v>
      </c>
      <c r="R4313" t="s">
        <v>32530</v>
      </c>
      <c r="S4313" t="s">
        <v>32568</v>
      </c>
      <c r="T4313" t="s">
        <v>33328</v>
      </c>
      <c r="U4313" t="s">
        <v>37264</v>
      </c>
      <c r="V4313" t="s">
        <v>42892</v>
      </c>
      <c r="W4313" t="s">
        <v>43723</v>
      </c>
      <c r="X4313" t="s">
        <v>32531</v>
      </c>
    </row>
    <row r="4314" spans="1:24">
      <c r="A4314">
        <f>HYPERLINK("https://www.philgeps.gov.ph/GEPSNONPILOT/Tender/SplashBidNoticeAbstractUI.aspx?menuIndex=3&amp;refID=7042934&amp;Result=3","7042934")</f>
        <v>0</v>
      </c>
      <c r="B4314" t="s">
        <v>1457</v>
      </c>
      <c r="C4314" t="s">
        <v>6799</v>
      </c>
      <c r="E4314" t="s">
        <v>16946</v>
      </c>
      <c r="F4314" t="s">
        <v>22436</v>
      </c>
      <c r="G4314" t="s">
        <v>22443</v>
      </c>
      <c r="H4314" t="s">
        <v>22452</v>
      </c>
      <c r="I4314" t="s">
        <v>22461</v>
      </c>
      <c r="J4314" t="s">
        <v>25413</v>
      </c>
      <c r="K4314" t="s">
        <v>29338</v>
      </c>
      <c r="M4314" t="s">
        <v>31148</v>
      </c>
      <c r="N4314" t="s">
        <v>32524</v>
      </c>
      <c r="O4314" t="s">
        <v>32525</v>
      </c>
      <c r="P4314">
        <v>0</v>
      </c>
      <c r="Q4314">
        <v>0</v>
      </c>
      <c r="R4314" t="s">
        <v>32530</v>
      </c>
      <c r="S4314" t="s">
        <v>32568</v>
      </c>
      <c r="T4314" t="s">
        <v>33209</v>
      </c>
      <c r="U4314" t="s">
        <v>37265</v>
      </c>
      <c r="W4314" t="s">
        <v>31148</v>
      </c>
      <c r="X4314" t="s">
        <v>32531</v>
      </c>
    </row>
    <row r="4315" spans="1:24">
      <c r="A4315">
        <f>HYPERLINK("https://www.philgeps.gov.ph/GEPSNONPILOT/Tender/SplashBidNoticeAbstractUI.aspx?menuIndex=3&amp;refID=7042971&amp;Result=3","7042971")</f>
        <v>0</v>
      </c>
      <c r="B4315" t="s">
        <v>1495</v>
      </c>
      <c r="C4315" t="s">
        <v>6800</v>
      </c>
      <c r="D4315" t="s">
        <v>13024</v>
      </c>
      <c r="E4315" t="s">
        <v>16947</v>
      </c>
      <c r="F4315" t="s">
        <v>22436</v>
      </c>
      <c r="G4315" t="s">
        <v>22444</v>
      </c>
      <c r="H4315" t="s">
        <v>22452</v>
      </c>
      <c r="I4315" t="s">
        <v>5194</v>
      </c>
      <c r="J4315" t="s">
        <v>25414</v>
      </c>
      <c r="K4315" t="s">
        <v>29335</v>
      </c>
      <c r="M4315" t="s">
        <v>31169</v>
      </c>
      <c r="N4315" t="s">
        <v>32524</v>
      </c>
      <c r="O4315" t="s">
        <v>32525</v>
      </c>
      <c r="P4315">
        <v>0</v>
      </c>
      <c r="Q4315">
        <v>1</v>
      </c>
      <c r="R4315" t="s">
        <v>32530</v>
      </c>
      <c r="S4315" t="s">
        <v>32568</v>
      </c>
      <c r="T4315" t="s">
        <v>33445</v>
      </c>
      <c r="U4315" t="s">
        <v>37266</v>
      </c>
      <c r="V4315" t="s">
        <v>42893</v>
      </c>
      <c r="W4315" t="s">
        <v>31169</v>
      </c>
      <c r="X4315" t="s">
        <v>32531</v>
      </c>
    </row>
    <row r="4316" spans="1:24">
      <c r="A4316">
        <f>HYPERLINK("https://www.philgeps.gov.ph/GEPSNONPILOT/Tender/SplashBidNoticeAbstractUI.aspx?menuIndex=3&amp;refID=7042935&amp;Result=3","7042935")</f>
        <v>0</v>
      </c>
      <c r="B4316" t="s">
        <v>757</v>
      </c>
      <c r="C4316" t="s">
        <v>6801</v>
      </c>
      <c r="D4316" t="s">
        <v>13001</v>
      </c>
      <c r="E4316" t="s">
        <v>16948</v>
      </c>
      <c r="F4316" t="s">
        <v>22436</v>
      </c>
      <c r="G4316" t="s">
        <v>22443</v>
      </c>
      <c r="H4316" t="s">
        <v>22454</v>
      </c>
      <c r="I4316" t="s">
        <v>22501</v>
      </c>
      <c r="J4316" t="s">
        <v>25415</v>
      </c>
      <c r="K4316" t="s">
        <v>29333</v>
      </c>
      <c r="M4316" t="s">
        <v>30358</v>
      </c>
      <c r="N4316" t="s">
        <v>32524</v>
      </c>
      <c r="O4316" t="s">
        <v>32525</v>
      </c>
      <c r="Q4316">
        <v>5</v>
      </c>
      <c r="R4316" t="s">
        <v>32530</v>
      </c>
      <c r="S4316" t="s">
        <v>32550</v>
      </c>
      <c r="T4316" t="s">
        <v>33214</v>
      </c>
      <c r="U4316" t="s">
        <v>37267</v>
      </c>
      <c r="W4316" t="s">
        <v>30358</v>
      </c>
      <c r="X4316" t="s">
        <v>32531</v>
      </c>
    </row>
    <row r="4317" spans="1:24">
      <c r="A4317">
        <f>HYPERLINK("https://www.philgeps.gov.ph/GEPSNONPILOT/Tender/SplashBidNoticeAbstractUI.aspx?menuIndex=3&amp;refID=7042900&amp;Result=3","7042900")</f>
        <v>0</v>
      </c>
      <c r="B4317" t="s">
        <v>317</v>
      </c>
      <c r="C4317" t="s">
        <v>6778</v>
      </c>
      <c r="D4317" t="s">
        <v>13031</v>
      </c>
      <c r="E4317" t="s">
        <v>16949</v>
      </c>
      <c r="F4317" t="s">
        <v>22436</v>
      </c>
      <c r="G4317" t="s">
        <v>22443</v>
      </c>
      <c r="H4317" t="s">
        <v>22452</v>
      </c>
      <c r="I4317" t="s">
        <v>3027</v>
      </c>
      <c r="J4317" t="s">
        <v>22616</v>
      </c>
      <c r="K4317" t="s">
        <v>29336</v>
      </c>
      <c r="M4317" t="s">
        <v>29893</v>
      </c>
      <c r="N4317" t="s">
        <v>32524</v>
      </c>
      <c r="O4317" t="s">
        <v>32525</v>
      </c>
      <c r="P4317">
        <v>0</v>
      </c>
      <c r="Q4317">
        <v>0</v>
      </c>
      <c r="R4317" t="s">
        <v>32530</v>
      </c>
      <c r="S4317" t="s">
        <v>32568</v>
      </c>
      <c r="T4317" t="s">
        <v>33296</v>
      </c>
      <c r="U4317" t="s">
        <v>37050</v>
      </c>
      <c r="W4317" t="s">
        <v>43677</v>
      </c>
      <c r="X4317" t="s">
        <v>32531</v>
      </c>
    </row>
    <row r="4318" spans="1:24">
      <c r="A4318">
        <f>HYPERLINK("https://www.philgeps.gov.ph/GEPSNONPILOT/Tender/SplashBidNoticeAbstractUI.aspx?menuIndex=3&amp;refID=7042986&amp;Result=3","7042986")</f>
        <v>0</v>
      </c>
      <c r="B4318" t="s">
        <v>1496</v>
      </c>
      <c r="C4318" t="s">
        <v>6802</v>
      </c>
      <c r="D4318" t="s">
        <v>12988</v>
      </c>
      <c r="E4318" t="s">
        <v>16950</v>
      </c>
      <c r="F4318" t="s">
        <v>22436</v>
      </c>
      <c r="G4318" t="s">
        <v>22445</v>
      </c>
      <c r="H4318" t="s">
        <v>22452</v>
      </c>
      <c r="I4318" t="s">
        <v>22456</v>
      </c>
      <c r="J4318" t="s">
        <v>25416</v>
      </c>
      <c r="K4318" t="s">
        <v>29337</v>
      </c>
      <c r="M4318" t="s">
        <v>31170</v>
      </c>
      <c r="N4318" t="s">
        <v>32524</v>
      </c>
      <c r="O4318" t="s">
        <v>32525</v>
      </c>
      <c r="P4318">
        <v>0</v>
      </c>
      <c r="Q4318">
        <v>13</v>
      </c>
      <c r="R4318" t="s">
        <v>32530</v>
      </c>
      <c r="S4318" t="s">
        <v>32568</v>
      </c>
      <c r="T4318" t="s">
        <v>33310</v>
      </c>
      <c r="U4318" t="s">
        <v>37268</v>
      </c>
      <c r="W4318" t="s">
        <v>31170</v>
      </c>
      <c r="X4318" t="s">
        <v>32531</v>
      </c>
    </row>
    <row r="4319" spans="1:24">
      <c r="A4319">
        <f>HYPERLINK("https://www.philgeps.gov.ph/GEPSNONPILOT/Tender/SplashBidNoticeAbstractUI.aspx?menuIndex=3&amp;refID=7042984&amp;Result=3","7042984")</f>
        <v>0</v>
      </c>
      <c r="B4319" t="s">
        <v>1219</v>
      </c>
      <c r="C4319" t="s">
        <v>6803</v>
      </c>
      <c r="D4319" t="s">
        <v>13050</v>
      </c>
      <c r="E4319" t="s">
        <v>16951</v>
      </c>
      <c r="F4319" t="s">
        <v>22436</v>
      </c>
      <c r="G4319" t="s">
        <v>22443</v>
      </c>
      <c r="H4319" t="s">
        <v>22452</v>
      </c>
      <c r="I4319" t="s">
        <v>2981</v>
      </c>
      <c r="J4319" t="s">
        <v>23090</v>
      </c>
      <c r="K4319" t="s">
        <v>29338</v>
      </c>
      <c r="M4319" t="s">
        <v>30870</v>
      </c>
      <c r="N4319" t="s">
        <v>32524</v>
      </c>
      <c r="O4319" t="s">
        <v>32525</v>
      </c>
      <c r="P4319">
        <v>0</v>
      </c>
      <c r="Q4319">
        <v>3</v>
      </c>
      <c r="R4319" t="s">
        <v>32530</v>
      </c>
      <c r="S4319" t="s">
        <v>32568</v>
      </c>
      <c r="T4319" t="s">
        <v>33197</v>
      </c>
      <c r="U4319" t="s">
        <v>37269</v>
      </c>
      <c r="V4319" t="s">
        <v>42763</v>
      </c>
      <c r="W4319" t="s">
        <v>30870</v>
      </c>
      <c r="X4319" t="s">
        <v>32531</v>
      </c>
    </row>
    <row r="4320" spans="1:24">
      <c r="A4320">
        <f>HYPERLINK("https://www.philgeps.gov.ph/GEPSNONPILOT/Tender/SplashBidNoticeAbstractUI.aspx?menuIndex=3&amp;refID=7042903&amp;Result=3","7042903")</f>
        <v>0</v>
      </c>
      <c r="B4320" t="s">
        <v>114</v>
      </c>
      <c r="C4320" t="s">
        <v>6804</v>
      </c>
      <c r="D4320" t="s">
        <v>12999</v>
      </c>
      <c r="E4320" t="s">
        <v>16952</v>
      </c>
      <c r="F4320" t="s">
        <v>22436</v>
      </c>
      <c r="G4320" t="s">
        <v>22444</v>
      </c>
      <c r="H4320" t="s">
        <v>22452</v>
      </c>
      <c r="I4320" t="s">
        <v>22467</v>
      </c>
      <c r="J4320" t="s">
        <v>25417</v>
      </c>
      <c r="K4320" t="s">
        <v>29338</v>
      </c>
      <c r="M4320" t="s">
        <v>29686</v>
      </c>
      <c r="N4320" t="s">
        <v>32524</v>
      </c>
      <c r="O4320" t="s">
        <v>32525</v>
      </c>
      <c r="P4320">
        <v>0</v>
      </c>
      <c r="Q4320">
        <v>1</v>
      </c>
      <c r="R4320" t="s">
        <v>32530</v>
      </c>
      <c r="S4320" t="s">
        <v>32568</v>
      </c>
      <c r="T4320" t="s">
        <v>33200</v>
      </c>
      <c r="U4320" t="s">
        <v>37270</v>
      </c>
      <c r="W4320" t="s">
        <v>29686</v>
      </c>
      <c r="X4320" t="s">
        <v>32531</v>
      </c>
    </row>
    <row r="4321" spans="1:24">
      <c r="A4321">
        <f>HYPERLINK("https://www.philgeps.gov.ph/GEPSNONPILOT/Tender/SplashBidNoticeAbstractUI.aspx?menuIndex=3&amp;refID=7042982&amp;Result=3","7042982")</f>
        <v>0</v>
      </c>
      <c r="B4321" t="s">
        <v>752</v>
      </c>
      <c r="C4321" t="s">
        <v>6805</v>
      </c>
      <c r="D4321" t="s">
        <v>13040</v>
      </c>
      <c r="E4321" t="s">
        <v>16953</v>
      </c>
      <c r="F4321" t="s">
        <v>22436</v>
      </c>
      <c r="G4321" t="s">
        <v>22444</v>
      </c>
      <c r="H4321" t="s">
        <v>22454</v>
      </c>
      <c r="I4321" t="s">
        <v>7738</v>
      </c>
      <c r="J4321" t="s">
        <v>22669</v>
      </c>
      <c r="K4321" t="s">
        <v>29334</v>
      </c>
      <c r="M4321" t="s">
        <v>30353</v>
      </c>
      <c r="N4321" t="s">
        <v>32524</v>
      </c>
      <c r="O4321" t="s">
        <v>32525</v>
      </c>
      <c r="P4321">
        <v>0</v>
      </c>
      <c r="Q4321">
        <v>2</v>
      </c>
      <c r="R4321" t="s">
        <v>32530</v>
      </c>
      <c r="S4321" t="s">
        <v>32568</v>
      </c>
      <c r="T4321" t="s">
        <v>33446</v>
      </c>
      <c r="U4321" t="s">
        <v>37271</v>
      </c>
      <c r="W4321" t="s">
        <v>30353</v>
      </c>
      <c r="X4321" t="s">
        <v>32531</v>
      </c>
    </row>
    <row r="4322" spans="1:24">
      <c r="A4322">
        <f>HYPERLINK("https://www.philgeps.gov.ph/GEPSNONPILOT/Tender/SplashBidNoticeAbstractUI.aspx?menuIndex=3&amp;refID=7042916&amp;Result=3","7042916")</f>
        <v>0</v>
      </c>
      <c r="B4322" t="s">
        <v>1288</v>
      </c>
      <c r="C4322" t="s">
        <v>6806</v>
      </c>
      <c r="D4322" t="s">
        <v>13010</v>
      </c>
      <c r="E4322" t="s">
        <v>16954</v>
      </c>
      <c r="F4322" t="s">
        <v>22436</v>
      </c>
      <c r="G4322" t="s">
        <v>22445</v>
      </c>
      <c r="H4322" t="s">
        <v>22452</v>
      </c>
      <c r="I4322" t="s">
        <v>3827</v>
      </c>
      <c r="J4322" t="s">
        <v>22616</v>
      </c>
      <c r="K4322" t="s">
        <v>29335</v>
      </c>
      <c r="M4322" t="s">
        <v>30942</v>
      </c>
      <c r="N4322" t="s">
        <v>32524</v>
      </c>
      <c r="O4322" t="s">
        <v>32525</v>
      </c>
      <c r="P4322">
        <v>0</v>
      </c>
      <c r="Q4322">
        <v>1</v>
      </c>
      <c r="R4322" t="s">
        <v>32530</v>
      </c>
      <c r="S4322" t="s">
        <v>32568</v>
      </c>
      <c r="T4322" t="s">
        <v>33215</v>
      </c>
      <c r="U4322" t="s">
        <v>37272</v>
      </c>
      <c r="V4322" t="s">
        <v>42780</v>
      </c>
      <c r="W4322" t="s">
        <v>30942</v>
      </c>
      <c r="X4322" t="s">
        <v>32531</v>
      </c>
    </row>
    <row r="4323" spans="1:24">
      <c r="A4323">
        <f>HYPERLINK("https://www.philgeps.gov.ph/GEPSNONPILOT/Tender/SplashBidNoticeAbstractUI.aspx?menuIndex=3&amp;refID=7042978&amp;Result=3","7042978")</f>
        <v>0</v>
      </c>
      <c r="B4323" t="s">
        <v>398</v>
      </c>
      <c r="C4323" t="s">
        <v>6807</v>
      </c>
      <c r="D4323" t="s">
        <v>13018</v>
      </c>
      <c r="E4323" t="s">
        <v>16955</v>
      </c>
      <c r="F4323" t="s">
        <v>22436</v>
      </c>
      <c r="G4323" t="s">
        <v>22444</v>
      </c>
      <c r="H4323" t="s">
        <v>22452</v>
      </c>
      <c r="I4323" t="s">
        <v>12358</v>
      </c>
      <c r="J4323" t="s">
        <v>25418</v>
      </c>
      <c r="K4323" t="s">
        <v>29335</v>
      </c>
      <c r="M4323" t="s">
        <v>29977</v>
      </c>
      <c r="N4323" t="s">
        <v>32524</v>
      </c>
      <c r="O4323" t="s">
        <v>32525</v>
      </c>
      <c r="P4323">
        <v>0</v>
      </c>
      <c r="Q4323">
        <v>1</v>
      </c>
      <c r="R4323" t="s">
        <v>32530</v>
      </c>
      <c r="S4323" t="s">
        <v>32568</v>
      </c>
      <c r="T4323" t="s">
        <v>33168</v>
      </c>
      <c r="U4323" t="s">
        <v>37156</v>
      </c>
      <c r="W4323" t="s">
        <v>29977</v>
      </c>
      <c r="X4323" t="s">
        <v>32531</v>
      </c>
    </row>
    <row r="4324" spans="1:24">
      <c r="A4324">
        <f>HYPERLINK("https://www.philgeps.gov.ph/GEPSNONPILOT/Tender/SplashBidNoticeAbstractUI.aspx?menuIndex=3&amp;refID=7042977&amp;Result=3","7042977")</f>
        <v>0</v>
      </c>
      <c r="B4324" t="s">
        <v>326</v>
      </c>
      <c r="C4324" t="s">
        <v>6808</v>
      </c>
      <c r="D4324" t="s">
        <v>13046</v>
      </c>
      <c r="E4324" t="s">
        <v>16956</v>
      </c>
      <c r="F4324" t="s">
        <v>22436</v>
      </c>
      <c r="G4324" t="s">
        <v>22443</v>
      </c>
      <c r="H4324" t="s">
        <v>22452</v>
      </c>
      <c r="I4324" t="s">
        <v>22482</v>
      </c>
      <c r="J4324" t="s">
        <v>25419</v>
      </c>
      <c r="K4324" t="s">
        <v>29341</v>
      </c>
      <c r="M4324" t="s">
        <v>29902</v>
      </c>
      <c r="N4324" t="s">
        <v>32524</v>
      </c>
      <c r="O4324" t="s">
        <v>32525</v>
      </c>
      <c r="P4324">
        <v>0</v>
      </c>
      <c r="Q4324">
        <v>8</v>
      </c>
      <c r="R4324" t="s">
        <v>32530</v>
      </c>
      <c r="S4324" t="s">
        <v>32568</v>
      </c>
      <c r="T4324" t="s">
        <v>33296</v>
      </c>
      <c r="U4324" t="s">
        <v>37273</v>
      </c>
      <c r="W4324" t="s">
        <v>29902</v>
      </c>
      <c r="X4324" t="s">
        <v>32531</v>
      </c>
    </row>
    <row r="4325" spans="1:24">
      <c r="A4325">
        <f>HYPERLINK("https://www.philgeps.gov.ph/GEPSNONPILOT/Tender/SplashBidNoticeAbstractUI.aspx?menuIndex=3&amp;refID=7042981&amp;Result=3","7042981")</f>
        <v>0</v>
      </c>
      <c r="B4325" t="s">
        <v>1497</v>
      </c>
      <c r="C4325" t="s">
        <v>6809</v>
      </c>
      <c r="D4325" t="s">
        <v>12988</v>
      </c>
      <c r="E4325" t="s">
        <v>16957</v>
      </c>
      <c r="F4325" t="s">
        <v>22436</v>
      </c>
      <c r="G4325" t="s">
        <v>22444</v>
      </c>
      <c r="H4325" t="s">
        <v>22452</v>
      </c>
      <c r="I4325" t="s">
        <v>22460</v>
      </c>
      <c r="J4325" t="s">
        <v>25420</v>
      </c>
      <c r="K4325" t="s">
        <v>29341</v>
      </c>
      <c r="M4325" t="s">
        <v>31171</v>
      </c>
      <c r="N4325" t="s">
        <v>32524</v>
      </c>
      <c r="O4325" t="s">
        <v>32525</v>
      </c>
      <c r="P4325">
        <v>0</v>
      </c>
      <c r="Q4325">
        <v>1</v>
      </c>
      <c r="R4325" t="s">
        <v>32530</v>
      </c>
      <c r="S4325" t="s">
        <v>32568</v>
      </c>
      <c r="T4325" t="s">
        <v>33253</v>
      </c>
      <c r="U4325" t="s">
        <v>34065</v>
      </c>
      <c r="W4325" t="s">
        <v>31171</v>
      </c>
      <c r="X4325" t="s">
        <v>32531</v>
      </c>
    </row>
    <row r="4326" spans="1:24">
      <c r="A4326">
        <f>HYPERLINK("https://www.philgeps.gov.ph/GEPSNONPILOT/Tender/SplashBidNoticeAbstractUI.aspx?menuIndex=3&amp;refID=7042985&amp;Result=3","7042985")</f>
        <v>0</v>
      </c>
      <c r="B4326" t="s">
        <v>1457</v>
      </c>
      <c r="C4326" t="s">
        <v>6810</v>
      </c>
      <c r="E4326" t="s">
        <v>16958</v>
      </c>
      <c r="F4326" t="s">
        <v>22436</v>
      </c>
      <c r="G4326" t="s">
        <v>22443</v>
      </c>
      <c r="H4326" t="s">
        <v>22452</v>
      </c>
      <c r="I4326" t="s">
        <v>22479</v>
      </c>
      <c r="J4326" t="s">
        <v>25421</v>
      </c>
      <c r="K4326" t="s">
        <v>29338</v>
      </c>
      <c r="M4326" t="s">
        <v>31148</v>
      </c>
      <c r="N4326" t="s">
        <v>32524</v>
      </c>
      <c r="O4326" t="s">
        <v>32525</v>
      </c>
      <c r="P4326">
        <v>0</v>
      </c>
      <c r="Q4326">
        <v>1</v>
      </c>
      <c r="R4326" t="s">
        <v>32530</v>
      </c>
      <c r="S4326" t="s">
        <v>32568</v>
      </c>
      <c r="T4326" t="s">
        <v>33185</v>
      </c>
      <c r="U4326" t="s">
        <v>37265</v>
      </c>
      <c r="W4326" t="s">
        <v>31148</v>
      </c>
      <c r="X4326" t="s">
        <v>32531</v>
      </c>
    </row>
    <row r="4327" spans="1:24">
      <c r="A4327">
        <f>HYPERLINK("https://www.philgeps.gov.ph/GEPSNONPILOT/Tender/SplashBidNoticeAbstractUI.aspx?menuIndex=3&amp;refID=7042962&amp;Result=3","7042962")</f>
        <v>0</v>
      </c>
      <c r="B4327" t="s">
        <v>1498</v>
      </c>
      <c r="C4327" t="s">
        <v>6811</v>
      </c>
      <c r="D4327" t="s">
        <v>13045</v>
      </c>
      <c r="E4327" t="s">
        <v>16959</v>
      </c>
      <c r="F4327" t="s">
        <v>22436</v>
      </c>
      <c r="G4327" t="s">
        <v>22444</v>
      </c>
      <c r="H4327" t="s">
        <v>22454</v>
      </c>
      <c r="I4327" t="s">
        <v>7738</v>
      </c>
      <c r="J4327" t="s">
        <v>24103</v>
      </c>
      <c r="K4327" t="s">
        <v>29388</v>
      </c>
      <c r="M4327" t="s">
        <v>31172</v>
      </c>
      <c r="N4327" t="s">
        <v>32524</v>
      </c>
      <c r="O4327" t="s">
        <v>32525</v>
      </c>
      <c r="P4327">
        <v>0</v>
      </c>
      <c r="Q4327">
        <v>0</v>
      </c>
      <c r="R4327" t="s">
        <v>32530</v>
      </c>
      <c r="S4327" t="s">
        <v>32568</v>
      </c>
      <c r="T4327" t="s">
        <v>33188</v>
      </c>
      <c r="U4327" t="s">
        <v>37274</v>
      </c>
      <c r="W4327" t="s">
        <v>31172</v>
      </c>
      <c r="X4327" t="s">
        <v>32531</v>
      </c>
    </row>
    <row r="4328" spans="1:24">
      <c r="A4328">
        <f>HYPERLINK("https://www.philgeps.gov.ph/GEPSNONPILOT/Tender/SplashBidNoticeAbstractUI.aspx?menuIndex=3&amp;refID=7042890&amp;Result=3","7042890")</f>
        <v>0</v>
      </c>
      <c r="B4328" t="s">
        <v>1499</v>
      </c>
      <c r="C4328" t="s">
        <v>6812</v>
      </c>
      <c r="D4328" t="s">
        <v>13051</v>
      </c>
      <c r="E4328" t="s">
        <v>16960</v>
      </c>
      <c r="F4328" t="s">
        <v>22436</v>
      </c>
      <c r="G4328" t="s">
        <v>22444</v>
      </c>
      <c r="H4328" t="s">
        <v>22452</v>
      </c>
      <c r="I4328" t="s">
        <v>3529</v>
      </c>
      <c r="J4328" t="s">
        <v>22589</v>
      </c>
      <c r="K4328" t="s">
        <v>29331</v>
      </c>
      <c r="M4328" t="s">
        <v>31173</v>
      </c>
      <c r="N4328" t="s">
        <v>32524</v>
      </c>
      <c r="O4328" t="s">
        <v>32525</v>
      </c>
      <c r="P4328">
        <v>0</v>
      </c>
      <c r="Q4328">
        <v>1</v>
      </c>
      <c r="R4328" t="s">
        <v>32530</v>
      </c>
      <c r="S4328" t="s">
        <v>32568</v>
      </c>
      <c r="T4328" t="s">
        <v>33228</v>
      </c>
      <c r="U4328" t="s">
        <v>37275</v>
      </c>
      <c r="V4328" t="s">
        <v>42894</v>
      </c>
      <c r="W4328" t="s">
        <v>31173</v>
      </c>
      <c r="X4328" t="s">
        <v>32531</v>
      </c>
    </row>
    <row r="4329" spans="1:24">
      <c r="A4329">
        <f>HYPERLINK("https://www.philgeps.gov.ph/GEPSNONPILOT/Tender/SplashBidNoticeAbstractUI.aspx?menuIndex=3&amp;refID=7042888&amp;Result=3","7042888")</f>
        <v>0</v>
      </c>
      <c r="B4329" t="s">
        <v>1500</v>
      </c>
      <c r="C4329" t="s">
        <v>6813</v>
      </c>
      <c r="D4329" t="s">
        <v>13019</v>
      </c>
      <c r="E4329" t="s">
        <v>13182</v>
      </c>
      <c r="F4329" t="s">
        <v>22436</v>
      </c>
      <c r="G4329" t="s">
        <v>22444</v>
      </c>
      <c r="H4329" t="s">
        <v>22454</v>
      </c>
      <c r="I4329" t="s">
        <v>3529</v>
      </c>
      <c r="J4329" t="s">
        <v>25422</v>
      </c>
      <c r="K4329" t="s">
        <v>29336</v>
      </c>
      <c r="M4329" t="s">
        <v>31174</v>
      </c>
      <c r="N4329" t="s">
        <v>32524</v>
      </c>
      <c r="O4329" t="s">
        <v>32525</v>
      </c>
      <c r="P4329">
        <v>0</v>
      </c>
      <c r="Q4329">
        <v>0</v>
      </c>
      <c r="R4329" t="s">
        <v>32530</v>
      </c>
      <c r="S4329" t="s">
        <v>32568</v>
      </c>
      <c r="T4329" t="s">
        <v>33405</v>
      </c>
      <c r="U4329" t="s">
        <v>37276</v>
      </c>
      <c r="W4329" t="s">
        <v>31174</v>
      </c>
      <c r="X4329" t="s">
        <v>32531</v>
      </c>
    </row>
    <row r="4330" spans="1:24">
      <c r="A4330">
        <f>HYPERLINK("https://www.philgeps.gov.ph/GEPSNONPILOT/Tender/SplashBidNoticeAbstractUI.aspx?menuIndex=3&amp;refID=7042953&amp;Result=3","7042953")</f>
        <v>0</v>
      </c>
      <c r="B4330" t="s">
        <v>1501</v>
      </c>
      <c r="C4330" t="s">
        <v>6814</v>
      </c>
      <c r="D4330" t="s">
        <v>13039</v>
      </c>
      <c r="E4330" t="s">
        <v>16961</v>
      </c>
      <c r="F4330" t="s">
        <v>22436</v>
      </c>
      <c r="G4330" t="s">
        <v>22444</v>
      </c>
      <c r="H4330" t="s">
        <v>22454</v>
      </c>
      <c r="I4330" t="s">
        <v>7738</v>
      </c>
      <c r="J4330" t="s">
        <v>24134</v>
      </c>
      <c r="K4330" t="s">
        <v>29458</v>
      </c>
      <c r="M4330" t="s">
        <v>31175</v>
      </c>
      <c r="N4330" t="s">
        <v>32524</v>
      </c>
      <c r="O4330" t="s">
        <v>32525</v>
      </c>
      <c r="P4330">
        <v>0</v>
      </c>
      <c r="Q4330">
        <v>3</v>
      </c>
      <c r="R4330" t="s">
        <v>32530</v>
      </c>
      <c r="S4330" t="s">
        <v>32568</v>
      </c>
      <c r="T4330" t="s">
        <v>33218</v>
      </c>
      <c r="U4330" t="s">
        <v>37277</v>
      </c>
      <c r="W4330" t="s">
        <v>31175</v>
      </c>
      <c r="X4330" t="s">
        <v>32531</v>
      </c>
    </row>
    <row r="4331" spans="1:24">
      <c r="A4331">
        <f>HYPERLINK("https://www.philgeps.gov.ph/GEPSNONPILOT/Tender/SplashBidNoticeAbstractUI.aspx?menuIndex=3&amp;refID=7042966&amp;Result=3","7042966")</f>
        <v>0</v>
      </c>
      <c r="B4331" t="s">
        <v>1497</v>
      </c>
      <c r="C4331" t="s">
        <v>6815</v>
      </c>
      <c r="D4331" t="s">
        <v>12988</v>
      </c>
      <c r="E4331" t="s">
        <v>16962</v>
      </c>
      <c r="F4331" t="s">
        <v>22436</v>
      </c>
      <c r="G4331" t="s">
        <v>22444</v>
      </c>
      <c r="H4331" t="s">
        <v>22452</v>
      </c>
      <c r="I4331" t="s">
        <v>22460</v>
      </c>
      <c r="J4331" t="s">
        <v>25423</v>
      </c>
      <c r="K4331" t="s">
        <v>29341</v>
      </c>
      <c r="M4331" t="s">
        <v>31171</v>
      </c>
      <c r="N4331" t="s">
        <v>32524</v>
      </c>
      <c r="O4331" t="s">
        <v>32525</v>
      </c>
      <c r="P4331">
        <v>0</v>
      </c>
      <c r="Q4331">
        <v>1</v>
      </c>
      <c r="R4331" t="s">
        <v>32530</v>
      </c>
      <c r="S4331" t="s">
        <v>32568</v>
      </c>
      <c r="T4331" t="s">
        <v>33253</v>
      </c>
      <c r="U4331" t="s">
        <v>34065</v>
      </c>
      <c r="W4331" t="s">
        <v>31171</v>
      </c>
      <c r="X4331" t="s">
        <v>32531</v>
      </c>
    </row>
    <row r="4332" spans="1:24">
      <c r="A4332">
        <f>HYPERLINK("https://www.philgeps.gov.ph/GEPSNONPILOT/Tender/SplashBidNoticeAbstractUI.aspx?menuIndex=3&amp;refID=7042955&amp;Result=3","7042955")</f>
        <v>0</v>
      </c>
      <c r="B4332" t="s">
        <v>1502</v>
      </c>
      <c r="C4332" t="s">
        <v>6816</v>
      </c>
      <c r="D4332" t="s">
        <v>13041</v>
      </c>
      <c r="E4332" t="s">
        <v>16963</v>
      </c>
      <c r="F4332" t="s">
        <v>22436</v>
      </c>
      <c r="G4332" t="s">
        <v>22444</v>
      </c>
      <c r="H4332" t="s">
        <v>22454</v>
      </c>
      <c r="I4332" t="s">
        <v>22490</v>
      </c>
      <c r="J4332" t="s">
        <v>25424</v>
      </c>
      <c r="K4332" t="s">
        <v>29388</v>
      </c>
      <c r="M4332" t="s">
        <v>31176</v>
      </c>
      <c r="N4332" t="s">
        <v>32524</v>
      </c>
      <c r="O4332" t="s">
        <v>32525</v>
      </c>
      <c r="P4332">
        <v>0</v>
      </c>
      <c r="Q4332">
        <v>4</v>
      </c>
      <c r="R4332" t="s">
        <v>32530</v>
      </c>
      <c r="S4332" t="s">
        <v>32568</v>
      </c>
      <c r="T4332" t="s">
        <v>33166</v>
      </c>
      <c r="U4332" t="s">
        <v>37278</v>
      </c>
      <c r="W4332" t="s">
        <v>31176</v>
      </c>
      <c r="X4332" t="s">
        <v>32531</v>
      </c>
    </row>
    <row r="4333" spans="1:24">
      <c r="A4333">
        <f>HYPERLINK("https://www.philgeps.gov.ph/GEPSNONPILOT/Tender/SplashBidNoticeAbstractUI.aspx?menuIndex=3&amp;refID=7042993&amp;Result=3","7042993")</f>
        <v>0</v>
      </c>
      <c r="B4333" t="s">
        <v>1503</v>
      </c>
      <c r="C4333" t="s">
        <v>6817</v>
      </c>
      <c r="D4333" t="s">
        <v>13068</v>
      </c>
      <c r="E4333" t="s">
        <v>16964</v>
      </c>
      <c r="F4333" t="s">
        <v>22436</v>
      </c>
      <c r="G4333" t="s">
        <v>22444</v>
      </c>
      <c r="H4333" t="s">
        <v>22454</v>
      </c>
      <c r="I4333" t="s">
        <v>7738</v>
      </c>
      <c r="J4333" t="s">
        <v>22788</v>
      </c>
      <c r="K4333" t="s">
        <v>29342</v>
      </c>
      <c r="M4333" t="s">
        <v>31177</v>
      </c>
      <c r="N4333" t="s">
        <v>32524</v>
      </c>
      <c r="O4333" t="s">
        <v>32525</v>
      </c>
      <c r="P4333">
        <v>0</v>
      </c>
      <c r="Q4333">
        <v>0</v>
      </c>
      <c r="R4333" t="s">
        <v>32530</v>
      </c>
      <c r="S4333" t="s">
        <v>32568</v>
      </c>
      <c r="T4333" t="s">
        <v>33297</v>
      </c>
      <c r="U4333" t="s">
        <v>37279</v>
      </c>
      <c r="W4333" t="s">
        <v>31177</v>
      </c>
      <c r="X4333" t="s">
        <v>32531</v>
      </c>
    </row>
    <row r="4334" spans="1:24">
      <c r="A4334">
        <f>HYPERLINK("https://www.philgeps.gov.ph/GEPSNONPILOT/Tender/SplashBidNoticeAbstractUI.aspx?menuIndex=3&amp;refID=7042952&amp;Result=3","7042952")</f>
        <v>0</v>
      </c>
      <c r="B4334" t="s">
        <v>317</v>
      </c>
      <c r="C4334" t="s">
        <v>6818</v>
      </c>
      <c r="D4334" t="s">
        <v>13031</v>
      </c>
      <c r="E4334" t="s">
        <v>16965</v>
      </c>
      <c r="F4334" t="s">
        <v>22436</v>
      </c>
      <c r="G4334" t="s">
        <v>22445</v>
      </c>
      <c r="H4334" t="s">
        <v>22452</v>
      </c>
      <c r="I4334" t="s">
        <v>22460</v>
      </c>
      <c r="J4334" t="s">
        <v>22712</v>
      </c>
      <c r="K4334" t="s">
        <v>29336</v>
      </c>
      <c r="M4334" t="s">
        <v>29893</v>
      </c>
      <c r="N4334" t="s">
        <v>32524</v>
      </c>
      <c r="O4334" t="s">
        <v>32525</v>
      </c>
      <c r="P4334">
        <v>0</v>
      </c>
      <c r="Q4334">
        <v>3</v>
      </c>
      <c r="R4334" t="s">
        <v>32530</v>
      </c>
      <c r="S4334" t="s">
        <v>32568</v>
      </c>
      <c r="T4334" t="s">
        <v>33296</v>
      </c>
      <c r="U4334" t="s">
        <v>37280</v>
      </c>
      <c r="W4334" t="s">
        <v>43677</v>
      </c>
      <c r="X4334" t="s">
        <v>32531</v>
      </c>
    </row>
    <row r="4335" spans="1:24">
      <c r="A4335">
        <f>HYPERLINK("https://www.philgeps.gov.ph/GEPSNONPILOT/Tender/SplashBidNoticeAbstractUI.aspx?menuIndex=3&amp;refID=7042961&amp;Result=3","7042961")</f>
        <v>0</v>
      </c>
      <c r="B4335" t="s">
        <v>411</v>
      </c>
      <c r="C4335" t="s">
        <v>6819</v>
      </c>
      <c r="D4335" t="s">
        <v>13015</v>
      </c>
      <c r="E4335" t="s">
        <v>16966</v>
      </c>
      <c r="F4335" t="s">
        <v>22436</v>
      </c>
      <c r="G4335" t="s">
        <v>22443</v>
      </c>
      <c r="H4335" t="s">
        <v>22452</v>
      </c>
      <c r="I4335" t="s">
        <v>3529</v>
      </c>
      <c r="J4335" t="s">
        <v>25425</v>
      </c>
      <c r="K4335" t="s">
        <v>29341</v>
      </c>
      <c r="M4335" t="s">
        <v>29990</v>
      </c>
      <c r="N4335" t="s">
        <v>32524</v>
      </c>
      <c r="O4335" t="s">
        <v>32525</v>
      </c>
      <c r="P4335">
        <v>0</v>
      </c>
      <c r="Q4335">
        <v>0</v>
      </c>
      <c r="R4335" t="s">
        <v>32530</v>
      </c>
      <c r="S4335" t="s">
        <v>32568</v>
      </c>
      <c r="T4335" t="s">
        <v>33213</v>
      </c>
      <c r="U4335" t="s">
        <v>37281</v>
      </c>
      <c r="W4335" t="s">
        <v>29990</v>
      </c>
      <c r="X4335" t="s">
        <v>32531</v>
      </c>
    </row>
    <row r="4336" spans="1:24">
      <c r="A4336">
        <f>HYPERLINK("https://www.philgeps.gov.ph/GEPSNONPILOT/Tender/SplashBidNoticeAbstractUI.aspx?menuIndex=3&amp;refID=7042969&amp;Result=3","7042969")</f>
        <v>0</v>
      </c>
      <c r="B4336" t="s">
        <v>1011</v>
      </c>
      <c r="C4336" t="s">
        <v>6820</v>
      </c>
      <c r="D4336" t="s">
        <v>13045</v>
      </c>
      <c r="E4336" t="s">
        <v>13321</v>
      </c>
      <c r="F4336" t="s">
        <v>22436</v>
      </c>
      <c r="G4336" t="s">
        <v>22444</v>
      </c>
      <c r="H4336" t="s">
        <v>22452</v>
      </c>
      <c r="I4336" t="s">
        <v>22474</v>
      </c>
      <c r="J4336" t="s">
        <v>25426</v>
      </c>
      <c r="K4336" t="s">
        <v>29335</v>
      </c>
      <c r="M4336" t="s">
        <v>30639</v>
      </c>
      <c r="N4336" t="s">
        <v>32524</v>
      </c>
      <c r="O4336" t="s">
        <v>32525</v>
      </c>
      <c r="P4336">
        <v>0</v>
      </c>
      <c r="Q4336">
        <v>5</v>
      </c>
      <c r="R4336" t="s">
        <v>32530</v>
      </c>
      <c r="S4336" t="s">
        <v>32568</v>
      </c>
      <c r="T4336" t="s">
        <v>33447</v>
      </c>
      <c r="U4336" t="s">
        <v>37282</v>
      </c>
      <c r="W4336" t="s">
        <v>30639</v>
      </c>
      <c r="X4336" t="s">
        <v>32531</v>
      </c>
    </row>
    <row r="4337" spans="1:24">
      <c r="A4337">
        <f>HYPERLINK("https://www.philgeps.gov.ph/GEPSNONPILOT/Tender/SplashBidNoticeAbstractUI.aspx?menuIndex=3&amp;refID=7042987&amp;Result=3","7042987")</f>
        <v>0</v>
      </c>
      <c r="B4337" t="s">
        <v>1494</v>
      </c>
      <c r="C4337" t="s">
        <v>6821</v>
      </c>
      <c r="E4337" t="s">
        <v>16967</v>
      </c>
      <c r="F4337" t="s">
        <v>22436</v>
      </c>
      <c r="G4337" t="s">
        <v>22443</v>
      </c>
      <c r="H4337" t="s">
        <v>22452</v>
      </c>
      <c r="I4337" t="s">
        <v>6236</v>
      </c>
      <c r="J4337" t="s">
        <v>23439</v>
      </c>
      <c r="K4337" t="s">
        <v>29338</v>
      </c>
      <c r="M4337" t="s">
        <v>31168</v>
      </c>
      <c r="N4337" t="s">
        <v>32524</v>
      </c>
      <c r="O4337" t="s">
        <v>32525</v>
      </c>
      <c r="P4337">
        <v>0</v>
      </c>
      <c r="Q4337">
        <v>0</v>
      </c>
      <c r="R4337" t="s">
        <v>32530</v>
      </c>
      <c r="S4337" t="s">
        <v>32568</v>
      </c>
      <c r="T4337" t="s">
        <v>33171</v>
      </c>
      <c r="U4337" t="s">
        <v>37283</v>
      </c>
      <c r="V4337" t="s">
        <v>42895</v>
      </c>
      <c r="W4337" t="s">
        <v>43723</v>
      </c>
      <c r="X4337" t="s">
        <v>32531</v>
      </c>
    </row>
    <row r="4338" spans="1:24">
      <c r="A4338">
        <f>HYPERLINK("https://www.philgeps.gov.ph/GEPSNONPILOT/Tender/SplashBidNoticeAbstractUI.aspx?menuIndex=3&amp;refID=7043020&amp;Result=3","7043020")</f>
        <v>0</v>
      </c>
      <c r="B4338" t="s">
        <v>1219</v>
      </c>
      <c r="C4338" t="s">
        <v>6822</v>
      </c>
      <c r="D4338" t="s">
        <v>13050</v>
      </c>
      <c r="E4338" t="s">
        <v>14698</v>
      </c>
      <c r="F4338" t="s">
        <v>22436</v>
      </c>
      <c r="G4338" t="s">
        <v>22443</v>
      </c>
      <c r="H4338" t="s">
        <v>22452</v>
      </c>
      <c r="I4338" t="s">
        <v>22482</v>
      </c>
      <c r="J4338" t="s">
        <v>25427</v>
      </c>
      <c r="K4338" t="s">
        <v>29338</v>
      </c>
      <c r="M4338" t="s">
        <v>30870</v>
      </c>
      <c r="N4338" t="s">
        <v>32524</v>
      </c>
      <c r="O4338" t="s">
        <v>32525</v>
      </c>
      <c r="P4338">
        <v>0</v>
      </c>
      <c r="Q4338">
        <v>3</v>
      </c>
      <c r="R4338" t="s">
        <v>32530</v>
      </c>
      <c r="S4338" t="s">
        <v>32568</v>
      </c>
      <c r="T4338" t="s">
        <v>33197</v>
      </c>
      <c r="U4338" t="s">
        <v>37284</v>
      </c>
      <c r="V4338" t="s">
        <v>42763</v>
      </c>
      <c r="W4338" t="s">
        <v>30870</v>
      </c>
      <c r="X4338" t="s">
        <v>32531</v>
      </c>
    </row>
    <row r="4339" spans="1:24">
      <c r="A4339">
        <f>HYPERLINK("https://www.philgeps.gov.ph/GEPSNONPILOT/Tender/SplashBidNoticeAbstractUI.aspx?menuIndex=3&amp;refID=7043016&amp;Result=3","7043016")</f>
        <v>0</v>
      </c>
      <c r="B4339" t="s">
        <v>1497</v>
      </c>
      <c r="C4339" t="s">
        <v>6823</v>
      </c>
      <c r="D4339" t="s">
        <v>12988</v>
      </c>
      <c r="E4339" t="s">
        <v>16968</v>
      </c>
      <c r="F4339" t="s">
        <v>22436</v>
      </c>
      <c r="G4339" t="s">
        <v>22444</v>
      </c>
      <c r="H4339" t="s">
        <v>22452</v>
      </c>
      <c r="I4339" t="s">
        <v>22460</v>
      </c>
      <c r="J4339" t="s">
        <v>25428</v>
      </c>
      <c r="K4339" t="s">
        <v>29341</v>
      </c>
      <c r="M4339" t="s">
        <v>31171</v>
      </c>
      <c r="N4339" t="s">
        <v>32524</v>
      </c>
      <c r="O4339" t="s">
        <v>32525</v>
      </c>
      <c r="P4339">
        <v>0</v>
      </c>
      <c r="Q4339">
        <v>0</v>
      </c>
      <c r="R4339" t="s">
        <v>32530</v>
      </c>
      <c r="S4339" t="s">
        <v>32568</v>
      </c>
      <c r="T4339" t="s">
        <v>33253</v>
      </c>
      <c r="U4339" t="s">
        <v>34065</v>
      </c>
      <c r="W4339" t="s">
        <v>31171</v>
      </c>
      <c r="X4339" t="s">
        <v>32531</v>
      </c>
    </row>
    <row r="4340" spans="1:24">
      <c r="A4340">
        <f>HYPERLINK("https://www.philgeps.gov.ph/GEPSNONPILOT/Tender/SplashBidNoticeAbstractUI.aspx?menuIndex=3&amp;refID=7043018&amp;Result=3","7043018")</f>
        <v>0</v>
      </c>
      <c r="B4340" t="s">
        <v>1504</v>
      </c>
      <c r="C4340" t="s">
        <v>6824</v>
      </c>
      <c r="D4340" t="s">
        <v>13029</v>
      </c>
      <c r="E4340" t="s">
        <v>16969</v>
      </c>
      <c r="F4340" t="s">
        <v>22436</v>
      </c>
      <c r="G4340" t="s">
        <v>22446</v>
      </c>
      <c r="H4340" t="s">
        <v>22452</v>
      </c>
      <c r="I4340" t="s">
        <v>22466</v>
      </c>
      <c r="J4340" t="s">
        <v>22798</v>
      </c>
      <c r="K4340" t="s">
        <v>29331</v>
      </c>
      <c r="M4340" t="s">
        <v>31178</v>
      </c>
      <c r="N4340" t="s">
        <v>32524</v>
      </c>
      <c r="O4340" t="s">
        <v>32525</v>
      </c>
      <c r="P4340">
        <v>0</v>
      </c>
      <c r="Q4340">
        <v>1</v>
      </c>
      <c r="R4340" t="s">
        <v>32530</v>
      </c>
      <c r="S4340" t="s">
        <v>32568</v>
      </c>
      <c r="T4340" t="s">
        <v>33215</v>
      </c>
      <c r="U4340" t="s">
        <v>37285</v>
      </c>
      <c r="W4340" t="s">
        <v>43724</v>
      </c>
      <c r="X4340" t="s">
        <v>32531</v>
      </c>
    </row>
    <row r="4341" spans="1:24">
      <c r="A4341">
        <f>HYPERLINK("https://www.philgeps.gov.ph/GEPSNONPILOT/Tender/SplashBidNoticeAbstractUI.aspx?menuIndex=3&amp;refID=7043008&amp;Result=3","7043008")</f>
        <v>0</v>
      </c>
      <c r="B4341" t="s">
        <v>752</v>
      </c>
      <c r="C4341" t="s">
        <v>6825</v>
      </c>
      <c r="D4341" t="s">
        <v>13040</v>
      </c>
      <c r="E4341" t="s">
        <v>16970</v>
      </c>
      <c r="F4341" t="s">
        <v>22436</v>
      </c>
      <c r="G4341" t="s">
        <v>22444</v>
      </c>
      <c r="H4341" t="s">
        <v>22452</v>
      </c>
      <c r="I4341" t="s">
        <v>22482</v>
      </c>
      <c r="J4341" t="s">
        <v>25429</v>
      </c>
      <c r="K4341" t="s">
        <v>29335</v>
      </c>
      <c r="M4341" t="s">
        <v>30353</v>
      </c>
      <c r="N4341" t="s">
        <v>32524</v>
      </c>
      <c r="O4341" t="s">
        <v>32525</v>
      </c>
      <c r="P4341">
        <v>0</v>
      </c>
      <c r="Q4341">
        <v>14</v>
      </c>
      <c r="R4341" t="s">
        <v>32530</v>
      </c>
      <c r="S4341" t="s">
        <v>32568</v>
      </c>
      <c r="T4341" t="s">
        <v>33405</v>
      </c>
      <c r="U4341" t="s">
        <v>37271</v>
      </c>
      <c r="W4341" t="s">
        <v>30353</v>
      </c>
      <c r="X4341" t="s">
        <v>32531</v>
      </c>
    </row>
    <row r="4342" spans="1:24">
      <c r="A4342">
        <f>HYPERLINK("https://www.philgeps.gov.ph/GEPSNONPILOT/Tender/SplashBidNoticeAbstractUI.aspx?menuIndex=3&amp;refID=7043014&amp;Result=3","7043014")</f>
        <v>0</v>
      </c>
      <c r="B4342" t="s">
        <v>1503</v>
      </c>
      <c r="C4342" t="s">
        <v>6826</v>
      </c>
      <c r="D4342" t="s">
        <v>13068</v>
      </c>
      <c r="E4342" t="s">
        <v>16971</v>
      </c>
      <c r="F4342" t="s">
        <v>22436</v>
      </c>
      <c r="G4342" t="s">
        <v>22444</v>
      </c>
      <c r="H4342" t="s">
        <v>22454</v>
      </c>
      <c r="I4342" t="s">
        <v>7738</v>
      </c>
      <c r="J4342" t="s">
        <v>22634</v>
      </c>
      <c r="K4342" t="s">
        <v>29329</v>
      </c>
      <c r="M4342" t="s">
        <v>31177</v>
      </c>
      <c r="N4342" t="s">
        <v>32524</v>
      </c>
      <c r="O4342" t="s">
        <v>32525</v>
      </c>
      <c r="P4342">
        <v>0</v>
      </c>
      <c r="Q4342">
        <v>0</v>
      </c>
      <c r="R4342" t="s">
        <v>32530</v>
      </c>
      <c r="S4342" t="s">
        <v>32568</v>
      </c>
      <c r="T4342" t="s">
        <v>33297</v>
      </c>
      <c r="U4342" t="s">
        <v>37286</v>
      </c>
      <c r="W4342" t="s">
        <v>31177</v>
      </c>
      <c r="X4342" t="s">
        <v>32531</v>
      </c>
    </row>
    <row r="4343" spans="1:24">
      <c r="A4343">
        <f>HYPERLINK("https://www.philgeps.gov.ph/GEPSNONPILOT/Tender/SplashBidNoticeAbstractUI.aspx?menuIndex=3&amp;refID=7043005&amp;Result=3","7043005")</f>
        <v>0</v>
      </c>
      <c r="B4343" t="s">
        <v>1505</v>
      </c>
      <c r="C4343" t="s">
        <v>6827</v>
      </c>
      <c r="D4343" t="s">
        <v>13040</v>
      </c>
      <c r="E4343" t="s">
        <v>16972</v>
      </c>
      <c r="F4343" t="s">
        <v>22436</v>
      </c>
      <c r="G4343" t="s">
        <v>22444</v>
      </c>
      <c r="H4343" t="s">
        <v>22454</v>
      </c>
      <c r="I4343" t="s">
        <v>7738</v>
      </c>
      <c r="J4343" t="s">
        <v>22640</v>
      </c>
      <c r="K4343" t="s">
        <v>29355</v>
      </c>
      <c r="M4343" t="s">
        <v>31179</v>
      </c>
      <c r="N4343" t="s">
        <v>32524</v>
      </c>
      <c r="O4343" t="s">
        <v>32525</v>
      </c>
      <c r="P4343">
        <v>0</v>
      </c>
      <c r="Q4343">
        <v>1</v>
      </c>
      <c r="R4343" t="s">
        <v>32530</v>
      </c>
      <c r="S4343" t="s">
        <v>32568</v>
      </c>
      <c r="T4343" t="s">
        <v>33448</v>
      </c>
      <c r="U4343" t="s">
        <v>37287</v>
      </c>
      <c r="W4343" t="s">
        <v>31179</v>
      </c>
      <c r="X4343" t="s">
        <v>32531</v>
      </c>
    </row>
    <row r="4344" spans="1:24">
      <c r="A4344">
        <f>HYPERLINK("https://www.philgeps.gov.ph/GEPSNONPILOT/Tender/SplashBidNoticeAbstractUI.aspx?menuIndex=3&amp;refID=7043006&amp;Result=3","7043006")</f>
        <v>0</v>
      </c>
      <c r="B4344" t="s">
        <v>1497</v>
      </c>
      <c r="C4344" t="s">
        <v>6828</v>
      </c>
      <c r="D4344" t="s">
        <v>12988</v>
      </c>
      <c r="E4344" t="s">
        <v>16973</v>
      </c>
      <c r="F4344" t="s">
        <v>22436</v>
      </c>
      <c r="G4344" t="s">
        <v>22444</v>
      </c>
      <c r="H4344" t="s">
        <v>22452</v>
      </c>
      <c r="I4344" t="s">
        <v>22460</v>
      </c>
      <c r="J4344" t="s">
        <v>25430</v>
      </c>
      <c r="K4344" t="s">
        <v>29341</v>
      </c>
      <c r="M4344" t="s">
        <v>31171</v>
      </c>
      <c r="N4344" t="s">
        <v>32524</v>
      </c>
      <c r="O4344" t="s">
        <v>32525</v>
      </c>
      <c r="P4344">
        <v>0</v>
      </c>
      <c r="Q4344">
        <v>1</v>
      </c>
      <c r="R4344" t="s">
        <v>32530</v>
      </c>
      <c r="S4344" t="s">
        <v>32568</v>
      </c>
      <c r="T4344" t="s">
        <v>33253</v>
      </c>
      <c r="U4344" t="s">
        <v>34065</v>
      </c>
      <c r="W4344" t="s">
        <v>31171</v>
      </c>
      <c r="X4344" t="s">
        <v>32531</v>
      </c>
    </row>
    <row r="4345" spans="1:24">
      <c r="A4345">
        <f>HYPERLINK("https://www.philgeps.gov.ph/GEPSNONPILOT/Tender/SplashBidNoticeAbstractUI.aspx?menuIndex=3&amp;refID=7043015&amp;Result=3","7043015")</f>
        <v>0</v>
      </c>
      <c r="B4345" t="s">
        <v>1495</v>
      </c>
      <c r="C4345" t="s">
        <v>6829</v>
      </c>
      <c r="D4345" t="s">
        <v>13024</v>
      </c>
      <c r="E4345" t="s">
        <v>16974</v>
      </c>
      <c r="F4345" t="s">
        <v>22436</v>
      </c>
      <c r="G4345" t="s">
        <v>22444</v>
      </c>
      <c r="H4345" t="s">
        <v>22454</v>
      </c>
      <c r="I4345" t="s">
        <v>7738</v>
      </c>
      <c r="J4345" t="s">
        <v>25431</v>
      </c>
      <c r="K4345" t="s">
        <v>29347</v>
      </c>
      <c r="M4345" t="s">
        <v>31169</v>
      </c>
      <c r="N4345" t="s">
        <v>32524</v>
      </c>
      <c r="O4345" t="s">
        <v>32525</v>
      </c>
      <c r="P4345">
        <v>0</v>
      </c>
      <c r="Q4345">
        <v>1</v>
      </c>
      <c r="R4345" t="s">
        <v>32530</v>
      </c>
      <c r="S4345" t="s">
        <v>32568</v>
      </c>
      <c r="T4345" t="s">
        <v>33445</v>
      </c>
      <c r="U4345" t="s">
        <v>37288</v>
      </c>
      <c r="V4345" t="s">
        <v>42896</v>
      </c>
      <c r="W4345" t="s">
        <v>31169</v>
      </c>
      <c r="X4345" t="s">
        <v>32531</v>
      </c>
    </row>
    <row r="4346" spans="1:24">
      <c r="A4346">
        <f>HYPERLINK("https://www.philgeps.gov.ph/GEPSNONPILOT/Tender/SplashBidNoticeAbstractUI.aspx?menuIndex=3&amp;refID=7043000&amp;Result=3","7043000")</f>
        <v>0</v>
      </c>
      <c r="B4346" t="s">
        <v>1498</v>
      </c>
      <c r="C4346" t="s">
        <v>6830</v>
      </c>
      <c r="D4346" t="s">
        <v>13045</v>
      </c>
      <c r="E4346" t="s">
        <v>16975</v>
      </c>
      <c r="F4346" t="s">
        <v>22436</v>
      </c>
      <c r="G4346" t="s">
        <v>22444</v>
      </c>
      <c r="H4346" t="s">
        <v>22454</v>
      </c>
      <c r="I4346" t="s">
        <v>7738</v>
      </c>
      <c r="J4346" t="s">
        <v>25263</v>
      </c>
      <c r="K4346" t="s">
        <v>29339</v>
      </c>
      <c r="M4346" t="s">
        <v>31172</v>
      </c>
      <c r="N4346" t="s">
        <v>32524</v>
      </c>
      <c r="O4346" t="s">
        <v>32525</v>
      </c>
      <c r="P4346">
        <v>0</v>
      </c>
      <c r="Q4346">
        <v>2</v>
      </c>
      <c r="R4346" t="s">
        <v>32530</v>
      </c>
      <c r="S4346" t="s">
        <v>32568</v>
      </c>
      <c r="T4346" t="s">
        <v>33188</v>
      </c>
      <c r="U4346" t="s">
        <v>37289</v>
      </c>
      <c r="W4346" t="s">
        <v>31172</v>
      </c>
      <c r="X4346" t="s">
        <v>32531</v>
      </c>
    </row>
    <row r="4347" spans="1:24">
      <c r="A4347">
        <f>HYPERLINK("https://www.philgeps.gov.ph/GEPSNONPILOT/Tender/SplashBidNoticeAbstractUI.aspx?menuIndex=3&amp;refID=7042994&amp;Result=3","7042994")</f>
        <v>0</v>
      </c>
      <c r="B4347" t="s">
        <v>892</v>
      </c>
      <c r="C4347" t="s">
        <v>6831</v>
      </c>
      <c r="D4347" t="s">
        <v>13032</v>
      </c>
      <c r="E4347" t="s">
        <v>16976</v>
      </c>
      <c r="F4347" t="s">
        <v>22436</v>
      </c>
      <c r="G4347" t="s">
        <v>22445</v>
      </c>
      <c r="H4347" t="s">
        <v>22452</v>
      </c>
      <c r="I4347" t="s">
        <v>2962</v>
      </c>
      <c r="J4347" t="s">
        <v>25432</v>
      </c>
      <c r="K4347" t="s">
        <v>29336</v>
      </c>
      <c r="M4347" t="s">
        <v>30503</v>
      </c>
      <c r="N4347" t="s">
        <v>32524</v>
      </c>
      <c r="O4347" t="s">
        <v>32525</v>
      </c>
      <c r="P4347">
        <v>0</v>
      </c>
      <c r="Q4347">
        <v>0</v>
      </c>
      <c r="R4347" t="s">
        <v>32530</v>
      </c>
      <c r="S4347" t="s">
        <v>32568</v>
      </c>
      <c r="T4347" t="s">
        <v>33197</v>
      </c>
      <c r="U4347" t="s">
        <v>37290</v>
      </c>
      <c r="W4347" t="s">
        <v>30503</v>
      </c>
      <c r="X4347" t="s">
        <v>32531</v>
      </c>
    </row>
    <row r="4348" spans="1:24">
      <c r="A4348">
        <f>HYPERLINK("https://www.philgeps.gov.ph/GEPSNONPILOT/Tender/SplashBidNoticeAbstractUI.aspx?menuIndex=3&amp;refID=7043001&amp;Result=3","7043001")</f>
        <v>0</v>
      </c>
      <c r="B4348" t="s">
        <v>1506</v>
      </c>
      <c r="C4348" t="s">
        <v>6832</v>
      </c>
      <c r="D4348" t="s">
        <v>12996</v>
      </c>
      <c r="E4348" t="s">
        <v>16977</v>
      </c>
      <c r="F4348" t="s">
        <v>22436</v>
      </c>
      <c r="G4348" t="s">
        <v>22443</v>
      </c>
      <c r="H4348" t="s">
        <v>22452</v>
      </c>
      <c r="I4348" t="s">
        <v>5194</v>
      </c>
      <c r="J4348" t="s">
        <v>23036</v>
      </c>
      <c r="K4348" t="s">
        <v>29335</v>
      </c>
      <c r="M4348" t="s">
        <v>31180</v>
      </c>
      <c r="N4348" t="s">
        <v>32524</v>
      </c>
      <c r="O4348" t="s">
        <v>32525</v>
      </c>
      <c r="P4348">
        <v>0</v>
      </c>
      <c r="Q4348">
        <v>1</v>
      </c>
      <c r="R4348" t="s">
        <v>32530</v>
      </c>
      <c r="S4348" t="s">
        <v>32568</v>
      </c>
      <c r="T4348" t="s">
        <v>33310</v>
      </c>
      <c r="U4348" t="s">
        <v>37291</v>
      </c>
      <c r="W4348" t="s">
        <v>31180</v>
      </c>
      <c r="X4348" t="s">
        <v>32531</v>
      </c>
    </row>
    <row r="4349" spans="1:24">
      <c r="A4349">
        <f>HYPERLINK("https://www.philgeps.gov.ph/GEPSNONPILOT/Tender/SplashBidNoticeAbstractUI.aspx?menuIndex=3&amp;refID=7042989&amp;Result=3","7042989")</f>
        <v>0</v>
      </c>
      <c r="B4349" t="s">
        <v>1470</v>
      </c>
      <c r="C4349" t="s">
        <v>6833</v>
      </c>
      <c r="D4349" t="s">
        <v>13000</v>
      </c>
      <c r="E4349" t="s">
        <v>16978</v>
      </c>
      <c r="F4349" t="s">
        <v>22436</v>
      </c>
      <c r="G4349" t="s">
        <v>22444</v>
      </c>
      <c r="H4349" t="s">
        <v>22452</v>
      </c>
      <c r="I4349" t="s">
        <v>7738</v>
      </c>
      <c r="J4349" t="s">
        <v>22605</v>
      </c>
      <c r="K4349" t="s">
        <v>29335</v>
      </c>
      <c r="M4349" t="s">
        <v>31139</v>
      </c>
      <c r="N4349" t="s">
        <v>32524</v>
      </c>
      <c r="O4349" t="s">
        <v>32525</v>
      </c>
      <c r="P4349">
        <v>0</v>
      </c>
      <c r="Q4349">
        <v>0</v>
      </c>
      <c r="R4349" t="s">
        <v>32530</v>
      </c>
      <c r="S4349" t="s">
        <v>32568</v>
      </c>
      <c r="T4349" t="s">
        <v>33301</v>
      </c>
      <c r="U4349" t="s">
        <v>37292</v>
      </c>
      <c r="V4349" t="s">
        <v>42897</v>
      </c>
      <c r="W4349" t="s">
        <v>31139</v>
      </c>
      <c r="X4349" t="s">
        <v>32531</v>
      </c>
    </row>
    <row r="4350" spans="1:24">
      <c r="A4350">
        <f>HYPERLINK("https://www.philgeps.gov.ph/GEPSNONPILOT/Tender/SplashBidNoticeAbstractUI.aspx?menuIndex=3&amp;refID=7043013&amp;Result=3","7043013")</f>
        <v>0</v>
      </c>
      <c r="B4350" t="s">
        <v>892</v>
      </c>
      <c r="C4350" t="s">
        <v>6834</v>
      </c>
      <c r="D4350" t="s">
        <v>13032</v>
      </c>
      <c r="E4350" t="s">
        <v>16979</v>
      </c>
      <c r="F4350" t="s">
        <v>22436</v>
      </c>
      <c r="G4350" t="s">
        <v>22445</v>
      </c>
      <c r="H4350" t="s">
        <v>22452</v>
      </c>
      <c r="I4350" t="s">
        <v>12358</v>
      </c>
      <c r="J4350" t="s">
        <v>25433</v>
      </c>
      <c r="K4350" t="s">
        <v>29336</v>
      </c>
      <c r="M4350" t="s">
        <v>30503</v>
      </c>
      <c r="N4350" t="s">
        <v>32524</v>
      </c>
      <c r="O4350" t="s">
        <v>32525</v>
      </c>
      <c r="P4350">
        <v>0</v>
      </c>
      <c r="Q4350">
        <v>0</v>
      </c>
      <c r="R4350" t="s">
        <v>32530</v>
      </c>
      <c r="S4350" t="s">
        <v>32568</v>
      </c>
      <c r="T4350" t="s">
        <v>33197</v>
      </c>
      <c r="U4350" t="s">
        <v>37293</v>
      </c>
      <c r="W4350" t="s">
        <v>30503</v>
      </c>
      <c r="X4350" t="s">
        <v>32531</v>
      </c>
    </row>
    <row r="4351" spans="1:24">
      <c r="A4351">
        <f>HYPERLINK("https://www.philgeps.gov.ph/GEPSNONPILOT/Tender/SplashBidNoticeAbstractUI.aspx?menuIndex=3&amp;refID=7042947&amp;Result=3","7042947")</f>
        <v>0</v>
      </c>
      <c r="B4351" t="s">
        <v>1477</v>
      </c>
      <c r="C4351" t="s">
        <v>6835</v>
      </c>
      <c r="D4351" t="s">
        <v>12988</v>
      </c>
      <c r="E4351" t="s">
        <v>16980</v>
      </c>
      <c r="F4351" t="s">
        <v>22436</v>
      </c>
      <c r="G4351" t="s">
        <v>22443</v>
      </c>
      <c r="H4351" t="s">
        <v>22452</v>
      </c>
      <c r="I4351" t="s">
        <v>22469</v>
      </c>
      <c r="J4351" t="s">
        <v>23120</v>
      </c>
      <c r="K4351" t="s">
        <v>29459</v>
      </c>
      <c r="M4351" t="s">
        <v>31146</v>
      </c>
      <c r="N4351" t="s">
        <v>32524</v>
      </c>
      <c r="O4351" t="s">
        <v>32525</v>
      </c>
      <c r="P4351">
        <v>0</v>
      </c>
      <c r="Q4351">
        <v>6</v>
      </c>
      <c r="R4351" t="s">
        <v>32530</v>
      </c>
      <c r="S4351" t="s">
        <v>32568</v>
      </c>
      <c r="T4351" t="s">
        <v>33310</v>
      </c>
      <c r="U4351" t="s">
        <v>37294</v>
      </c>
      <c r="V4351" t="s">
        <v>42879</v>
      </c>
      <c r="W4351" t="s">
        <v>31146</v>
      </c>
      <c r="X4351" t="s">
        <v>32531</v>
      </c>
    </row>
    <row r="4352" spans="1:24">
      <c r="A4352">
        <f>HYPERLINK("https://www.philgeps.gov.ph/GEPSNONPILOT/Tender/SplashBidNoticeAbstractUI.aspx?menuIndex=3&amp;refID=7042946&amp;Result=3","7042946")</f>
        <v>0</v>
      </c>
      <c r="B4352" t="s">
        <v>1492</v>
      </c>
      <c r="C4352" t="s">
        <v>6836</v>
      </c>
      <c r="D4352" t="s">
        <v>13004</v>
      </c>
      <c r="E4352" t="s">
        <v>16981</v>
      </c>
      <c r="F4352" t="s">
        <v>22436</v>
      </c>
      <c r="G4352" t="s">
        <v>22444</v>
      </c>
      <c r="H4352" t="s">
        <v>22452</v>
      </c>
      <c r="I4352" t="s">
        <v>3529</v>
      </c>
      <c r="J4352" t="s">
        <v>25434</v>
      </c>
      <c r="K4352" t="s">
        <v>29341</v>
      </c>
      <c r="M4352" t="s">
        <v>31166</v>
      </c>
      <c r="N4352" t="s">
        <v>32524</v>
      </c>
      <c r="O4352" t="s">
        <v>32525</v>
      </c>
      <c r="P4352">
        <v>0</v>
      </c>
      <c r="Q4352">
        <v>0</v>
      </c>
      <c r="R4352" t="s">
        <v>32530</v>
      </c>
      <c r="S4352" t="s">
        <v>32568</v>
      </c>
      <c r="T4352" t="s">
        <v>33197</v>
      </c>
      <c r="U4352" t="s">
        <v>37295</v>
      </c>
      <c r="W4352" t="s">
        <v>31166</v>
      </c>
      <c r="X4352" t="s">
        <v>32531</v>
      </c>
    </row>
    <row r="4353" spans="1:24">
      <c r="A4353">
        <f>HYPERLINK("https://www.philgeps.gov.ph/GEPSNONPILOT/Tender/SplashBidNoticeAbstractUI.aspx?menuIndex=3&amp;refID=7042999&amp;Result=3","7042999")</f>
        <v>0</v>
      </c>
      <c r="B4353" t="s">
        <v>752</v>
      </c>
      <c r="C4353" t="s">
        <v>6837</v>
      </c>
      <c r="D4353" t="s">
        <v>13040</v>
      </c>
      <c r="E4353" t="s">
        <v>16982</v>
      </c>
      <c r="F4353" t="s">
        <v>22436</v>
      </c>
      <c r="G4353" t="s">
        <v>22444</v>
      </c>
      <c r="H4353" t="s">
        <v>22452</v>
      </c>
      <c r="I4353" t="s">
        <v>22469</v>
      </c>
      <c r="J4353" t="s">
        <v>25435</v>
      </c>
      <c r="K4353" t="s">
        <v>29335</v>
      </c>
      <c r="M4353" t="s">
        <v>30353</v>
      </c>
      <c r="N4353" t="s">
        <v>32524</v>
      </c>
      <c r="O4353" t="s">
        <v>32525</v>
      </c>
      <c r="P4353">
        <v>0</v>
      </c>
      <c r="Q4353">
        <v>8</v>
      </c>
      <c r="R4353" t="s">
        <v>32530</v>
      </c>
      <c r="S4353" t="s">
        <v>32568</v>
      </c>
      <c r="T4353" t="s">
        <v>33405</v>
      </c>
      <c r="U4353" t="s">
        <v>37271</v>
      </c>
      <c r="W4353" t="s">
        <v>30353</v>
      </c>
      <c r="X4353" t="s">
        <v>32531</v>
      </c>
    </row>
    <row r="4354" spans="1:24">
      <c r="A4354">
        <f>HYPERLINK("https://www.philgeps.gov.ph/GEPSNONPILOT/Tender/SplashBidNoticeAbstractUI.aspx?menuIndex=3&amp;refID=7042988&amp;Result=3","7042988")</f>
        <v>0</v>
      </c>
      <c r="B4354" t="s">
        <v>752</v>
      </c>
      <c r="C4354" t="s">
        <v>6838</v>
      </c>
      <c r="D4354" t="s">
        <v>13040</v>
      </c>
      <c r="E4354" t="s">
        <v>16983</v>
      </c>
      <c r="F4354" t="s">
        <v>22436</v>
      </c>
      <c r="G4354" t="s">
        <v>22444</v>
      </c>
      <c r="H4354" t="s">
        <v>22452</v>
      </c>
      <c r="I4354" t="s">
        <v>22502</v>
      </c>
      <c r="J4354" t="s">
        <v>25436</v>
      </c>
      <c r="K4354" t="s">
        <v>29333</v>
      </c>
      <c r="M4354" t="s">
        <v>30353</v>
      </c>
      <c r="N4354" t="s">
        <v>32524</v>
      </c>
      <c r="O4354" t="s">
        <v>32525</v>
      </c>
      <c r="P4354">
        <v>0</v>
      </c>
      <c r="Q4354">
        <v>18</v>
      </c>
      <c r="R4354" t="s">
        <v>32530</v>
      </c>
      <c r="S4354" t="s">
        <v>32568</v>
      </c>
      <c r="T4354" t="s">
        <v>33405</v>
      </c>
      <c r="U4354" t="s">
        <v>37271</v>
      </c>
      <c r="W4354" t="s">
        <v>30353</v>
      </c>
      <c r="X4354" t="s">
        <v>32531</v>
      </c>
    </row>
    <row r="4355" spans="1:24">
      <c r="A4355">
        <f>HYPERLINK("https://www.philgeps.gov.ph/GEPSNONPILOT/Tender/SplashBidNoticeAbstractUI.aspx?menuIndex=3&amp;refID=7043012&amp;Result=3","7043012")</f>
        <v>0</v>
      </c>
      <c r="B4355" t="s">
        <v>1506</v>
      </c>
      <c r="C4355" t="s">
        <v>6839</v>
      </c>
      <c r="D4355" t="s">
        <v>12996</v>
      </c>
      <c r="E4355" t="s">
        <v>16984</v>
      </c>
      <c r="F4355" t="s">
        <v>22436</v>
      </c>
      <c r="G4355" t="s">
        <v>22443</v>
      </c>
      <c r="H4355" t="s">
        <v>22452</v>
      </c>
      <c r="I4355" t="s">
        <v>12358</v>
      </c>
      <c r="J4355" t="s">
        <v>23794</v>
      </c>
      <c r="K4355" t="s">
        <v>29335</v>
      </c>
      <c r="M4355" t="s">
        <v>31180</v>
      </c>
      <c r="N4355" t="s">
        <v>32524</v>
      </c>
      <c r="O4355" t="s">
        <v>32525</v>
      </c>
      <c r="P4355">
        <v>0</v>
      </c>
      <c r="Q4355">
        <v>0</v>
      </c>
      <c r="R4355" t="s">
        <v>32530</v>
      </c>
      <c r="S4355" t="s">
        <v>32568</v>
      </c>
      <c r="T4355" t="s">
        <v>33310</v>
      </c>
      <c r="U4355" t="s">
        <v>37296</v>
      </c>
      <c r="W4355" t="s">
        <v>31180</v>
      </c>
      <c r="X4355" t="s">
        <v>32531</v>
      </c>
    </row>
    <row r="4356" spans="1:24">
      <c r="A4356">
        <f>HYPERLINK("https://www.philgeps.gov.ph/GEPSNONPILOT/Tender/SplashBidNoticeAbstractUI.aspx?menuIndex=3&amp;refID=7042995&amp;Result=3","7042995")</f>
        <v>0</v>
      </c>
      <c r="B4356" t="s">
        <v>1495</v>
      </c>
      <c r="C4356" t="s">
        <v>6840</v>
      </c>
      <c r="D4356" t="s">
        <v>13024</v>
      </c>
      <c r="E4356" t="s">
        <v>16985</v>
      </c>
      <c r="F4356" t="s">
        <v>22436</v>
      </c>
      <c r="G4356" t="s">
        <v>22444</v>
      </c>
      <c r="H4356" t="s">
        <v>22454</v>
      </c>
      <c r="I4356" t="s">
        <v>7738</v>
      </c>
      <c r="J4356" t="s">
        <v>25437</v>
      </c>
      <c r="K4356" t="s">
        <v>29347</v>
      </c>
      <c r="M4356" t="s">
        <v>31169</v>
      </c>
      <c r="N4356" t="s">
        <v>32524</v>
      </c>
      <c r="O4356" t="s">
        <v>32525</v>
      </c>
      <c r="P4356">
        <v>0</v>
      </c>
      <c r="Q4356">
        <v>1</v>
      </c>
      <c r="R4356" t="s">
        <v>32530</v>
      </c>
      <c r="S4356" t="s">
        <v>32568</v>
      </c>
      <c r="T4356" t="s">
        <v>33445</v>
      </c>
      <c r="U4356" t="s">
        <v>37288</v>
      </c>
      <c r="V4356" t="s">
        <v>42896</v>
      </c>
      <c r="W4356" t="s">
        <v>31169</v>
      </c>
      <c r="X4356" t="s">
        <v>32531</v>
      </c>
    </row>
    <row r="4357" spans="1:24">
      <c r="A4357">
        <f>HYPERLINK("https://www.philgeps.gov.ph/GEPSNONPILOT/Tender/SplashBidNoticeAbstractUI.aspx?menuIndex=3&amp;refID=7042992&amp;Result=3","7042992")</f>
        <v>0</v>
      </c>
      <c r="B4357" t="s">
        <v>1507</v>
      </c>
      <c r="C4357" t="s">
        <v>6841</v>
      </c>
      <c r="D4357" t="s">
        <v>13011</v>
      </c>
      <c r="E4357" t="s">
        <v>13190</v>
      </c>
      <c r="F4357" t="s">
        <v>22436</v>
      </c>
      <c r="G4357" t="s">
        <v>22444</v>
      </c>
      <c r="H4357" t="s">
        <v>22452</v>
      </c>
      <c r="I4357" t="s">
        <v>22476</v>
      </c>
      <c r="J4357" t="s">
        <v>25438</v>
      </c>
      <c r="K4357" t="s">
        <v>29338</v>
      </c>
      <c r="M4357" t="s">
        <v>31181</v>
      </c>
      <c r="N4357" t="s">
        <v>32524</v>
      </c>
      <c r="O4357" t="s">
        <v>32525</v>
      </c>
      <c r="P4357">
        <v>0</v>
      </c>
      <c r="Q4357">
        <v>0</v>
      </c>
      <c r="R4357" t="s">
        <v>32530</v>
      </c>
      <c r="S4357" t="s">
        <v>32568</v>
      </c>
      <c r="T4357" t="s">
        <v>33389</v>
      </c>
      <c r="U4357" t="s">
        <v>37297</v>
      </c>
      <c r="W4357" t="s">
        <v>31181</v>
      </c>
      <c r="X4357" t="s">
        <v>32531</v>
      </c>
    </row>
    <row r="4358" spans="1:24">
      <c r="A4358">
        <f>HYPERLINK("https://www.philgeps.gov.ph/GEPSNONPILOT/Tender/SplashBidNoticeAbstractUI.aspx?menuIndex=3&amp;refID=7043024&amp;Result=3","7043024")</f>
        <v>0</v>
      </c>
      <c r="B4358" t="s">
        <v>1503</v>
      </c>
      <c r="C4358" t="s">
        <v>6842</v>
      </c>
      <c r="D4358" t="s">
        <v>13068</v>
      </c>
      <c r="E4358" t="s">
        <v>16986</v>
      </c>
      <c r="F4358" t="s">
        <v>22436</v>
      </c>
      <c r="G4358" t="s">
        <v>22444</v>
      </c>
      <c r="H4358" t="s">
        <v>22454</v>
      </c>
      <c r="I4358" t="s">
        <v>7738</v>
      </c>
      <c r="J4358" t="s">
        <v>25439</v>
      </c>
      <c r="K4358" t="s">
        <v>29329</v>
      </c>
      <c r="M4358" t="s">
        <v>31177</v>
      </c>
      <c r="N4358" t="s">
        <v>32524</v>
      </c>
      <c r="O4358" t="s">
        <v>32525</v>
      </c>
      <c r="P4358">
        <v>0</v>
      </c>
      <c r="Q4358">
        <v>0</v>
      </c>
      <c r="R4358" t="s">
        <v>32530</v>
      </c>
      <c r="S4358" t="s">
        <v>32568</v>
      </c>
      <c r="T4358" t="s">
        <v>33297</v>
      </c>
      <c r="U4358" t="s">
        <v>37298</v>
      </c>
      <c r="W4358" t="s">
        <v>31177</v>
      </c>
      <c r="X4358" t="s">
        <v>32531</v>
      </c>
    </row>
    <row r="4359" spans="1:24">
      <c r="A4359">
        <f>HYPERLINK("https://www.philgeps.gov.ph/GEPSNONPILOT/Tender/SplashBidNoticeAbstractUI.aspx?menuIndex=3&amp;refID=7043027&amp;Result=3","7043027")</f>
        <v>0</v>
      </c>
      <c r="B4359" t="s">
        <v>1497</v>
      </c>
      <c r="C4359" t="s">
        <v>6843</v>
      </c>
      <c r="D4359" t="s">
        <v>12988</v>
      </c>
      <c r="E4359" t="s">
        <v>16987</v>
      </c>
      <c r="F4359" t="s">
        <v>22436</v>
      </c>
      <c r="G4359" t="s">
        <v>22444</v>
      </c>
      <c r="H4359" t="s">
        <v>22452</v>
      </c>
      <c r="I4359" t="s">
        <v>2981</v>
      </c>
      <c r="J4359" t="s">
        <v>25440</v>
      </c>
      <c r="K4359" t="s">
        <v>29341</v>
      </c>
      <c r="M4359" t="s">
        <v>31171</v>
      </c>
      <c r="N4359" t="s">
        <v>32524</v>
      </c>
      <c r="O4359" t="s">
        <v>32525</v>
      </c>
      <c r="P4359">
        <v>0</v>
      </c>
      <c r="Q4359">
        <v>0</v>
      </c>
      <c r="R4359" t="s">
        <v>32530</v>
      </c>
      <c r="S4359" t="s">
        <v>32568</v>
      </c>
      <c r="T4359" t="s">
        <v>33253</v>
      </c>
      <c r="U4359" t="s">
        <v>37299</v>
      </c>
      <c r="W4359" t="s">
        <v>31171</v>
      </c>
      <c r="X4359" t="s">
        <v>32531</v>
      </c>
    </row>
    <row r="4360" spans="1:24">
      <c r="A4360">
        <f>HYPERLINK("https://www.philgeps.gov.ph/GEPSNONPILOT/Tender/SplashBidNoticeAbstractUI.aspx?menuIndex=3&amp;refID=7043030&amp;Result=3","7043030")</f>
        <v>0</v>
      </c>
      <c r="B4360" t="s">
        <v>1457</v>
      </c>
      <c r="C4360" t="s">
        <v>6844</v>
      </c>
      <c r="D4360" t="s">
        <v>13031</v>
      </c>
      <c r="E4360" t="s">
        <v>14434</v>
      </c>
      <c r="F4360" t="s">
        <v>22436</v>
      </c>
      <c r="G4360" t="s">
        <v>22445</v>
      </c>
      <c r="H4360" t="s">
        <v>22452</v>
      </c>
      <c r="I4360" t="s">
        <v>22460</v>
      </c>
      <c r="J4360" t="s">
        <v>22704</v>
      </c>
      <c r="K4360" t="s">
        <v>29336</v>
      </c>
      <c r="M4360" t="s">
        <v>31182</v>
      </c>
      <c r="N4360" t="s">
        <v>32524</v>
      </c>
      <c r="O4360" t="s">
        <v>32525</v>
      </c>
      <c r="P4360">
        <v>0</v>
      </c>
      <c r="Q4360">
        <v>2</v>
      </c>
      <c r="R4360" t="s">
        <v>32530</v>
      </c>
      <c r="S4360" t="s">
        <v>32568</v>
      </c>
      <c r="T4360" t="s">
        <v>33304</v>
      </c>
      <c r="U4360" t="s">
        <v>37300</v>
      </c>
      <c r="W4360" t="s">
        <v>31182</v>
      </c>
      <c r="X4360" t="s">
        <v>32531</v>
      </c>
    </row>
    <row r="4361" spans="1:24">
      <c r="A4361">
        <f>HYPERLINK("https://www.philgeps.gov.ph/GEPSNONPILOT/Tender/SplashBidNoticeAbstractUI.aspx?menuIndex=3&amp;refID=7043064&amp;Result=3","7043064")</f>
        <v>0</v>
      </c>
      <c r="B4361" t="s">
        <v>1508</v>
      </c>
      <c r="C4361" t="s">
        <v>6845</v>
      </c>
      <c r="D4361" t="s">
        <v>13039</v>
      </c>
      <c r="E4361" t="s">
        <v>15628</v>
      </c>
      <c r="F4361" t="s">
        <v>22436</v>
      </c>
      <c r="G4361" t="s">
        <v>22444</v>
      </c>
      <c r="H4361" t="s">
        <v>22455</v>
      </c>
      <c r="I4361" t="s">
        <v>22455</v>
      </c>
      <c r="J4361" t="s">
        <v>25441</v>
      </c>
      <c r="K4361" t="s">
        <v>29344</v>
      </c>
      <c r="M4361" t="s">
        <v>31183</v>
      </c>
      <c r="N4361" t="s">
        <v>32524</v>
      </c>
      <c r="O4361" t="s">
        <v>32525</v>
      </c>
      <c r="Q4361">
        <v>4</v>
      </c>
      <c r="R4361" t="s">
        <v>32530</v>
      </c>
      <c r="S4361" t="s">
        <v>32579</v>
      </c>
      <c r="T4361" t="s">
        <v>33410</v>
      </c>
      <c r="U4361" t="s">
        <v>37301</v>
      </c>
      <c r="V4361" t="s">
        <v>42898</v>
      </c>
      <c r="W4361" t="s">
        <v>31183</v>
      </c>
      <c r="X4361" t="s">
        <v>32531</v>
      </c>
    </row>
    <row r="4362" spans="1:24">
      <c r="A4362">
        <f>HYPERLINK("https://www.philgeps.gov.ph/GEPSNONPILOT/Tender/SplashBidNoticeAbstractUI.aspx?menuIndex=3&amp;refID=7043034&amp;Result=3","7043034")</f>
        <v>0</v>
      </c>
      <c r="B4362" t="s">
        <v>1498</v>
      </c>
      <c r="C4362" t="s">
        <v>6846</v>
      </c>
      <c r="D4362" t="s">
        <v>13045</v>
      </c>
      <c r="E4362" t="s">
        <v>16988</v>
      </c>
      <c r="F4362" t="s">
        <v>22436</v>
      </c>
      <c r="G4362" t="s">
        <v>22444</v>
      </c>
      <c r="H4362" t="s">
        <v>22454</v>
      </c>
      <c r="I4362" t="s">
        <v>7738</v>
      </c>
      <c r="J4362" t="s">
        <v>22634</v>
      </c>
      <c r="K4362" t="s">
        <v>29344</v>
      </c>
      <c r="M4362" t="s">
        <v>31172</v>
      </c>
      <c r="N4362" t="s">
        <v>32524</v>
      </c>
      <c r="O4362" t="s">
        <v>32525</v>
      </c>
      <c r="P4362">
        <v>0</v>
      </c>
      <c r="Q4362">
        <v>0</v>
      </c>
      <c r="R4362" t="s">
        <v>32530</v>
      </c>
      <c r="S4362" t="s">
        <v>32568</v>
      </c>
      <c r="T4362" t="s">
        <v>33188</v>
      </c>
      <c r="U4362" t="s">
        <v>37302</v>
      </c>
      <c r="W4362" t="s">
        <v>31172</v>
      </c>
      <c r="X4362" t="s">
        <v>32531</v>
      </c>
    </row>
    <row r="4363" spans="1:24">
      <c r="A4363">
        <f>HYPERLINK("https://www.philgeps.gov.ph/GEPSNONPILOT/Tender/SplashBidNoticeAbstractUI.aspx?menuIndex=3&amp;refID=7043061&amp;Result=3","7043061")</f>
        <v>0</v>
      </c>
      <c r="B4363" t="s">
        <v>1509</v>
      </c>
      <c r="C4363" t="s">
        <v>6847</v>
      </c>
      <c r="E4363" t="s">
        <v>16989</v>
      </c>
      <c r="F4363" t="s">
        <v>22436</v>
      </c>
      <c r="G4363" t="s">
        <v>22444</v>
      </c>
      <c r="H4363" t="s">
        <v>22455</v>
      </c>
      <c r="I4363" t="s">
        <v>22455</v>
      </c>
      <c r="J4363" t="s">
        <v>25442</v>
      </c>
      <c r="K4363" t="s">
        <v>29380</v>
      </c>
      <c r="M4363" t="s">
        <v>31184</v>
      </c>
      <c r="N4363" t="s">
        <v>32524</v>
      </c>
      <c r="O4363" t="s">
        <v>32525</v>
      </c>
      <c r="P4363">
        <v>0</v>
      </c>
      <c r="Q4363">
        <v>6</v>
      </c>
      <c r="R4363" t="s">
        <v>32530</v>
      </c>
      <c r="S4363" t="s">
        <v>32568</v>
      </c>
      <c r="T4363" t="s">
        <v>33161</v>
      </c>
      <c r="U4363" t="s">
        <v>37303</v>
      </c>
      <c r="W4363" t="s">
        <v>31184</v>
      </c>
      <c r="X4363" t="s">
        <v>32531</v>
      </c>
    </row>
    <row r="4364" spans="1:24">
      <c r="A4364">
        <f>HYPERLINK("https://www.philgeps.gov.ph/GEPSNONPILOT/Tender/SplashBidNoticeAbstractUI.aspx?menuIndex=3&amp;refID=7043062&amp;Result=3","7043062")</f>
        <v>0</v>
      </c>
      <c r="B4364" t="s">
        <v>1497</v>
      </c>
      <c r="C4364" t="s">
        <v>6848</v>
      </c>
      <c r="D4364" t="s">
        <v>12988</v>
      </c>
      <c r="E4364" t="s">
        <v>16990</v>
      </c>
      <c r="F4364" t="s">
        <v>22436</v>
      </c>
      <c r="G4364" t="s">
        <v>22444</v>
      </c>
      <c r="H4364" t="s">
        <v>22452</v>
      </c>
      <c r="I4364" t="s">
        <v>2981</v>
      </c>
      <c r="J4364" t="s">
        <v>25443</v>
      </c>
      <c r="K4364" t="s">
        <v>29341</v>
      </c>
      <c r="M4364" t="s">
        <v>31171</v>
      </c>
      <c r="N4364" t="s">
        <v>32524</v>
      </c>
      <c r="O4364" t="s">
        <v>32525</v>
      </c>
      <c r="P4364">
        <v>0</v>
      </c>
      <c r="Q4364">
        <v>1</v>
      </c>
      <c r="R4364" t="s">
        <v>32530</v>
      </c>
      <c r="S4364" t="s">
        <v>32568</v>
      </c>
      <c r="T4364" t="s">
        <v>33253</v>
      </c>
      <c r="U4364" t="s">
        <v>37299</v>
      </c>
      <c r="W4364" t="s">
        <v>31171</v>
      </c>
      <c r="X4364" t="s">
        <v>32531</v>
      </c>
    </row>
    <row r="4365" spans="1:24">
      <c r="A4365">
        <f>HYPERLINK("https://www.philgeps.gov.ph/GEPSNONPILOT/Tender/SplashBidNoticeAbstractUI.aspx?menuIndex=3&amp;refID=7043063&amp;Result=3","7043063")</f>
        <v>0</v>
      </c>
      <c r="B4365" t="s">
        <v>879</v>
      </c>
      <c r="C4365" t="s">
        <v>5960</v>
      </c>
      <c r="D4365" t="s">
        <v>12988</v>
      </c>
      <c r="E4365" t="s">
        <v>16991</v>
      </c>
      <c r="F4365" t="s">
        <v>22436</v>
      </c>
      <c r="G4365" t="s">
        <v>22446</v>
      </c>
      <c r="H4365" t="s">
        <v>22452</v>
      </c>
      <c r="I4365" t="s">
        <v>22460</v>
      </c>
      <c r="J4365" t="s">
        <v>25444</v>
      </c>
      <c r="K4365" t="s">
        <v>29338</v>
      </c>
      <c r="M4365" t="s">
        <v>30487</v>
      </c>
      <c r="N4365" t="s">
        <v>32524</v>
      </c>
      <c r="O4365" t="s">
        <v>32525</v>
      </c>
      <c r="P4365">
        <v>0</v>
      </c>
      <c r="Q4365">
        <v>11</v>
      </c>
      <c r="R4365" t="s">
        <v>32530</v>
      </c>
      <c r="S4365" t="s">
        <v>32568</v>
      </c>
      <c r="T4365" t="s">
        <v>33220</v>
      </c>
      <c r="U4365" t="s">
        <v>37304</v>
      </c>
      <c r="W4365" t="s">
        <v>30487</v>
      </c>
      <c r="X4365" t="s">
        <v>32531</v>
      </c>
    </row>
    <row r="4366" spans="1:24">
      <c r="A4366">
        <f>HYPERLINK("https://www.philgeps.gov.ph/GEPSNONPILOT/Tender/SplashBidNoticeAbstractUI.aspx?menuIndex=3&amp;refID=7043051&amp;Result=3","7043051")</f>
        <v>0</v>
      </c>
      <c r="B4366" t="s">
        <v>1510</v>
      </c>
      <c r="C4366" t="s">
        <v>6849</v>
      </c>
      <c r="D4366" t="s">
        <v>12988</v>
      </c>
      <c r="E4366" t="s">
        <v>16992</v>
      </c>
      <c r="F4366" t="s">
        <v>22436</v>
      </c>
      <c r="G4366" t="s">
        <v>22444</v>
      </c>
      <c r="H4366" t="s">
        <v>22454</v>
      </c>
      <c r="I4366" t="s">
        <v>7738</v>
      </c>
      <c r="J4366" t="s">
        <v>25445</v>
      </c>
      <c r="K4366" t="s">
        <v>29334</v>
      </c>
      <c r="M4366" t="s">
        <v>31185</v>
      </c>
      <c r="N4366" t="s">
        <v>32524</v>
      </c>
      <c r="O4366" t="s">
        <v>32525</v>
      </c>
      <c r="P4366">
        <v>0</v>
      </c>
      <c r="Q4366">
        <v>16</v>
      </c>
      <c r="R4366" t="s">
        <v>32530</v>
      </c>
      <c r="S4366" t="s">
        <v>32568</v>
      </c>
      <c r="T4366" t="s">
        <v>33262</v>
      </c>
      <c r="U4366" t="s">
        <v>37305</v>
      </c>
      <c r="V4366" t="s">
        <v>42899</v>
      </c>
      <c r="W4366" t="s">
        <v>31185</v>
      </c>
      <c r="X4366" t="s">
        <v>32531</v>
      </c>
    </row>
    <row r="4367" spans="1:24">
      <c r="A4367">
        <f>HYPERLINK("https://www.philgeps.gov.ph/GEPSNONPILOT/Tender/SplashBidNoticeAbstractUI.aspx?menuIndex=3&amp;refID=7043040&amp;Result=3","7043040")</f>
        <v>0</v>
      </c>
      <c r="B4367" t="s">
        <v>1497</v>
      </c>
      <c r="C4367" t="s">
        <v>6850</v>
      </c>
      <c r="D4367" t="s">
        <v>12988</v>
      </c>
      <c r="E4367" t="s">
        <v>16993</v>
      </c>
      <c r="F4367" t="s">
        <v>22436</v>
      </c>
      <c r="G4367" t="s">
        <v>22444</v>
      </c>
      <c r="H4367" t="s">
        <v>22452</v>
      </c>
      <c r="I4367" t="s">
        <v>2981</v>
      </c>
      <c r="J4367" t="s">
        <v>25446</v>
      </c>
      <c r="K4367" t="s">
        <v>29341</v>
      </c>
      <c r="M4367" t="s">
        <v>31171</v>
      </c>
      <c r="N4367" t="s">
        <v>32524</v>
      </c>
      <c r="O4367" t="s">
        <v>32525</v>
      </c>
      <c r="P4367">
        <v>0</v>
      </c>
      <c r="Q4367">
        <v>0</v>
      </c>
      <c r="R4367" t="s">
        <v>32530</v>
      </c>
      <c r="S4367" t="s">
        <v>32568</v>
      </c>
      <c r="T4367" t="s">
        <v>33253</v>
      </c>
      <c r="U4367" t="s">
        <v>37299</v>
      </c>
      <c r="W4367" t="s">
        <v>31171</v>
      </c>
      <c r="X4367" t="s">
        <v>32531</v>
      </c>
    </row>
    <row r="4368" spans="1:24">
      <c r="A4368">
        <f>HYPERLINK("https://www.philgeps.gov.ph/GEPSNONPILOT/Tender/SplashBidNoticeAbstractUI.aspx?menuIndex=3&amp;refID=7043050&amp;Result=3","7043050")</f>
        <v>0</v>
      </c>
      <c r="B4368" t="s">
        <v>1497</v>
      </c>
      <c r="C4368" t="s">
        <v>6851</v>
      </c>
      <c r="D4368" t="s">
        <v>12988</v>
      </c>
      <c r="E4368" t="s">
        <v>16994</v>
      </c>
      <c r="F4368" t="s">
        <v>22436</v>
      </c>
      <c r="G4368" t="s">
        <v>22444</v>
      </c>
      <c r="H4368" t="s">
        <v>22452</v>
      </c>
      <c r="I4368" t="s">
        <v>2981</v>
      </c>
      <c r="J4368" t="s">
        <v>25447</v>
      </c>
      <c r="K4368" t="s">
        <v>29341</v>
      </c>
      <c r="M4368" t="s">
        <v>31171</v>
      </c>
      <c r="N4368" t="s">
        <v>32524</v>
      </c>
      <c r="O4368" t="s">
        <v>32525</v>
      </c>
      <c r="P4368">
        <v>0</v>
      </c>
      <c r="Q4368">
        <v>1</v>
      </c>
      <c r="R4368" t="s">
        <v>32530</v>
      </c>
      <c r="S4368" t="s">
        <v>32568</v>
      </c>
      <c r="T4368" t="s">
        <v>33253</v>
      </c>
      <c r="U4368" t="s">
        <v>37299</v>
      </c>
      <c r="W4368" t="s">
        <v>31171</v>
      </c>
      <c r="X4368" t="s">
        <v>32531</v>
      </c>
    </row>
    <row r="4369" spans="1:24">
      <c r="A4369">
        <f>HYPERLINK("https://www.philgeps.gov.ph/GEPSNONPILOT/Tender/SplashBidNoticeAbstractUI.aspx?menuIndex=3&amp;refID=7043058&amp;Result=3","7043058")</f>
        <v>0</v>
      </c>
      <c r="B4369" t="s">
        <v>1497</v>
      </c>
      <c r="C4369" t="s">
        <v>6852</v>
      </c>
      <c r="D4369" t="s">
        <v>12988</v>
      </c>
      <c r="E4369" t="s">
        <v>16995</v>
      </c>
      <c r="F4369" t="s">
        <v>22436</v>
      </c>
      <c r="G4369" t="s">
        <v>22444</v>
      </c>
      <c r="H4369" t="s">
        <v>22452</v>
      </c>
      <c r="I4369" t="s">
        <v>2981</v>
      </c>
      <c r="J4369" t="s">
        <v>25448</v>
      </c>
      <c r="K4369" t="s">
        <v>29341</v>
      </c>
      <c r="M4369" t="s">
        <v>31171</v>
      </c>
      <c r="N4369" t="s">
        <v>32524</v>
      </c>
      <c r="O4369" t="s">
        <v>32525</v>
      </c>
      <c r="P4369">
        <v>0</v>
      </c>
      <c r="Q4369">
        <v>1</v>
      </c>
      <c r="R4369" t="s">
        <v>32530</v>
      </c>
      <c r="S4369" t="s">
        <v>32568</v>
      </c>
      <c r="T4369" t="s">
        <v>33253</v>
      </c>
      <c r="U4369" t="s">
        <v>37299</v>
      </c>
      <c r="W4369" t="s">
        <v>31171</v>
      </c>
      <c r="X4369" t="s">
        <v>32531</v>
      </c>
    </row>
    <row r="4370" spans="1:24">
      <c r="A4370">
        <f>HYPERLINK("https://www.philgeps.gov.ph/GEPSNONPILOT/Tender/SplashBidNoticeAbstractUI.aspx?menuIndex=3&amp;refID=7043043&amp;Result=3","7043043")</f>
        <v>0</v>
      </c>
      <c r="B4370" t="s">
        <v>1511</v>
      </c>
      <c r="C4370" t="s">
        <v>6853</v>
      </c>
      <c r="D4370" t="s">
        <v>12988</v>
      </c>
      <c r="E4370" t="s">
        <v>16996</v>
      </c>
      <c r="F4370" t="s">
        <v>22441</v>
      </c>
      <c r="G4370" t="s">
        <v>22444</v>
      </c>
      <c r="H4370" t="s">
        <v>22452</v>
      </c>
      <c r="I4370" t="s">
        <v>2981</v>
      </c>
      <c r="J4370" t="s">
        <v>22806</v>
      </c>
      <c r="K4370" t="s">
        <v>29336</v>
      </c>
      <c r="M4370" t="s">
        <v>31186</v>
      </c>
      <c r="N4370" t="s">
        <v>32524</v>
      </c>
      <c r="O4370" t="s">
        <v>32525</v>
      </c>
      <c r="P4370">
        <v>0</v>
      </c>
      <c r="Q4370">
        <v>0</v>
      </c>
      <c r="R4370" t="s">
        <v>32530</v>
      </c>
      <c r="S4370" t="s">
        <v>32568</v>
      </c>
      <c r="T4370" t="s">
        <v>33324</v>
      </c>
      <c r="U4370" t="s">
        <v>37306</v>
      </c>
      <c r="W4370" t="s">
        <v>31186</v>
      </c>
      <c r="X4370" t="s">
        <v>32531</v>
      </c>
    </row>
    <row r="4371" spans="1:24">
      <c r="A4371">
        <f>HYPERLINK("https://www.philgeps.gov.ph/GEPSNONPILOT/Tender/SplashBidNoticeAbstractUI.aspx?menuIndex=3&amp;refID=7043048&amp;Result=3","7043048")</f>
        <v>0</v>
      </c>
      <c r="B4371" t="s">
        <v>1498</v>
      </c>
      <c r="C4371" t="s">
        <v>6854</v>
      </c>
      <c r="D4371" t="s">
        <v>13045</v>
      </c>
      <c r="E4371" t="s">
        <v>16997</v>
      </c>
      <c r="F4371" t="s">
        <v>22436</v>
      </c>
      <c r="G4371" t="s">
        <v>22444</v>
      </c>
      <c r="H4371" t="s">
        <v>22454</v>
      </c>
      <c r="I4371" t="s">
        <v>7738</v>
      </c>
      <c r="J4371" t="s">
        <v>25449</v>
      </c>
      <c r="K4371" t="s">
        <v>29333</v>
      </c>
      <c r="M4371" t="s">
        <v>31172</v>
      </c>
      <c r="N4371" t="s">
        <v>32524</v>
      </c>
      <c r="O4371" t="s">
        <v>32525</v>
      </c>
      <c r="P4371">
        <v>0</v>
      </c>
      <c r="Q4371">
        <v>0</v>
      </c>
      <c r="R4371" t="s">
        <v>32530</v>
      </c>
      <c r="S4371" t="s">
        <v>32568</v>
      </c>
      <c r="T4371" t="s">
        <v>33188</v>
      </c>
      <c r="U4371" t="s">
        <v>37307</v>
      </c>
      <c r="W4371" t="s">
        <v>31172</v>
      </c>
      <c r="X4371" t="s">
        <v>32531</v>
      </c>
    </row>
    <row r="4372" spans="1:24">
      <c r="A4372">
        <f>HYPERLINK("https://www.philgeps.gov.ph/GEPSNONPILOT/Tender/SplashBidNoticeAbstractUI.aspx?menuIndex=3&amp;refID=7043031&amp;Result=3","7043031")</f>
        <v>0</v>
      </c>
      <c r="B4372" t="s">
        <v>1497</v>
      </c>
      <c r="C4372" t="s">
        <v>6855</v>
      </c>
      <c r="D4372" t="s">
        <v>12988</v>
      </c>
      <c r="E4372" t="s">
        <v>16998</v>
      </c>
      <c r="F4372" t="s">
        <v>22436</v>
      </c>
      <c r="G4372" t="s">
        <v>22444</v>
      </c>
      <c r="H4372" t="s">
        <v>22452</v>
      </c>
      <c r="I4372" t="s">
        <v>2981</v>
      </c>
      <c r="J4372" t="s">
        <v>25450</v>
      </c>
      <c r="K4372" t="s">
        <v>29341</v>
      </c>
      <c r="M4372" t="s">
        <v>31171</v>
      </c>
      <c r="N4372" t="s">
        <v>32524</v>
      </c>
      <c r="O4372" t="s">
        <v>32525</v>
      </c>
      <c r="P4372">
        <v>0</v>
      </c>
      <c r="Q4372">
        <v>0</v>
      </c>
      <c r="R4372" t="s">
        <v>32530</v>
      </c>
      <c r="S4372" t="s">
        <v>32568</v>
      </c>
      <c r="T4372" t="s">
        <v>33253</v>
      </c>
      <c r="U4372" t="s">
        <v>37299</v>
      </c>
      <c r="W4372" t="s">
        <v>31171</v>
      </c>
      <c r="X4372" t="s">
        <v>32531</v>
      </c>
    </row>
    <row r="4373" spans="1:24">
      <c r="A4373">
        <f>HYPERLINK("https://www.philgeps.gov.ph/GEPSNONPILOT/Tender/SplashBidNoticeAbstractUI.aspx?menuIndex=3&amp;refID=7043066&amp;Result=3","7043066")</f>
        <v>0</v>
      </c>
      <c r="B4373" t="s">
        <v>1497</v>
      </c>
      <c r="C4373" t="s">
        <v>6856</v>
      </c>
      <c r="D4373" t="s">
        <v>12988</v>
      </c>
      <c r="E4373" t="s">
        <v>16999</v>
      </c>
      <c r="F4373" t="s">
        <v>22436</v>
      </c>
      <c r="G4373" t="s">
        <v>22444</v>
      </c>
      <c r="H4373" t="s">
        <v>22452</v>
      </c>
      <c r="I4373" t="s">
        <v>3122</v>
      </c>
      <c r="J4373" t="s">
        <v>25451</v>
      </c>
      <c r="K4373" t="s">
        <v>29341</v>
      </c>
      <c r="M4373" t="s">
        <v>31171</v>
      </c>
      <c r="N4373" t="s">
        <v>32524</v>
      </c>
      <c r="O4373" t="s">
        <v>32525</v>
      </c>
      <c r="P4373">
        <v>0</v>
      </c>
      <c r="Q4373">
        <v>0</v>
      </c>
      <c r="R4373" t="s">
        <v>32530</v>
      </c>
      <c r="S4373" t="s">
        <v>32568</v>
      </c>
      <c r="T4373" t="s">
        <v>33253</v>
      </c>
      <c r="U4373" t="s">
        <v>37308</v>
      </c>
      <c r="W4373" t="s">
        <v>31171</v>
      </c>
      <c r="X4373" t="s">
        <v>32531</v>
      </c>
    </row>
    <row r="4374" spans="1:24">
      <c r="A4374">
        <f>HYPERLINK("https://www.philgeps.gov.ph/GEPSNONPILOT/Tender/SplashBidNoticeAbstractUI.aspx?menuIndex=3&amp;refID=7043090&amp;Result=3","7043090")</f>
        <v>0</v>
      </c>
      <c r="B4374" t="s">
        <v>1381</v>
      </c>
      <c r="C4374" t="s">
        <v>6857</v>
      </c>
      <c r="D4374" t="s">
        <v>13035</v>
      </c>
      <c r="E4374" t="s">
        <v>17000</v>
      </c>
      <c r="F4374" t="s">
        <v>22436</v>
      </c>
      <c r="G4374" t="s">
        <v>22444</v>
      </c>
      <c r="H4374" t="s">
        <v>22452</v>
      </c>
      <c r="I4374" t="s">
        <v>5194</v>
      </c>
      <c r="J4374" t="s">
        <v>25452</v>
      </c>
      <c r="K4374" t="s">
        <v>29337</v>
      </c>
      <c r="M4374" t="s">
        <v>31039</v>
      </c>
      <c r="N4374" t="s">
        <v>32524</v>
      </c>
      <c r="O4374" t="s">
        <v>32525</v>
      </c>
      <c r="P4374">
        <v>0</v>
      </c>
      <c r="Q4374">
        <v>3</v>
      </c>
      <c r="R4374" t="s">
        <v>32530</v>
      </c>
      <c r="S4374" t="s">
        <v>32568</v>
      </c>
      <c r="T4374" t="s">
        <v>33405</v>
      </c>
      <c r="U4374" t="s">
        <v>37309</v>
      </c>
      <c r="V4374" t="s">
        <v>42900</v>
      </c>
      <c r="W4374" t="s">
        <v>31039</v>
      </c>
      <c r="X4374" t="s">
        <v>32531</v>
      </c>
    </row>
    <row r="4375" spans="1:24">
      <c r="A4375">
        <f>HYPERLINK("https://www.philgeps.gov.ph/GEPSNONPILOT/Tender/SplashBidNoticeAbstractUI.aspx?menuIndex=3&amp;refID=7043032&amp;Result=3","7043032")</f>
        <v>0</v>
      </c>
      <c r="B4375" t="s">
        <v>1512</v>
      </c>
      <c r="C4375" t="s">
        <v>6858</v>
      </c>
      <c r="D4375" t="s">
        <v>13002</v>
      </c>
      <c r="E4375" t="s">
        <v>17001</v>
      </c>
      <c r="F4375" t="s">
        <v>22436</v>
      </c>
      <c r="G4375" t="s">
        <v>22444</v>
      </c>
      <c r="H4375" t="s">
        <v>22454</v>
      </c>
      <c r="I4375" t="s">
        <v>7738</v>
      </c>
      <c r="J4375" t="s">
        <v>25355</v>
      </c>
      <c r="K4375" t="s">
        <v>29460</v>
      </c>
      <c r="L4375" t="s">
        <v>1512</v>
      </c>
      <c r="M4375" t="s">
        <v>31187</v>
      </c>
      <c r="N4375" t="s">
        <v>32524</v>
      </c>
      <c r="O4375" t="s">
        <v>32525</v>
      </c>
      <c r="P4375">
        <v>0</v>
      </c>
      <c r="Q4375">
        <v>0</v>
      </c>
      <c r="R4375" t="s">
        <v>32530</v>
      </c>
      <c r="S4375" t="s">
        <v>32568</v>
      </c>
      <c r="T4375" t="s">
        <v>33345</v>
      </c>
      <c r="U4375" t="s">
        <v>37310</v>
      </c>
      <c r="W4375" t="s">
        <v>31187</v>
      </c>
      <c r="X4375" t="s">
        <v>32531</v>
      </c>
    </row>
    <row r="4376" spans="1:24">
      <c r="A4376">
        <f>HYPERLINK("https://www.philgeps.gov.ph/GEPSNONPILOT/Tender/SplashBidNoticeAbstractUI.aspx?menuIndex=3&amp;refID=7043044&amp;Result=3","7043044")</f>
        <v>0</v>
      </c>
      <c r="B4376" t="s">
        <v>752</v>
      </c>
      <c r="C4376" t="s">
        <v>6859</v>
      </c>
      <c r="D4376" t="s">
        <v>13040</v>
      </c>
      <c r="E4376" t="s">
        <v>17002</v>
      </c>
      <c r="F4376" t="s">
        <v>22436</v>
      </c>
      <c r="G4376" t="s">
        <v>22443</v>
      </c>
      <c r="H4376" t="s">
        <v>22452</v>
      </c>
      <c r="I4376" t="s">
        <v>5194</v>
      </c>
      <c r="J4376" t="s">
        <v>25453</v>
      </c>
      <c r="K4376" t="s">
        <v>29330</v>
      </c>
      <c r="M4376" t="s">
        <v>30353</v>
      </c>
      <c r="N4376" t="s">
        <v>32524</v>
      </c>
      <c r="O4376" t="s">
        <v>32525</v>
      </c>
      <c r="P4376">
        <v>0</v>
      </c>
      <c r="Q4376">
        <v>10</v>
      </c>
      <c r="R4376" t="s">
        <v>32530</v>
      </c>
      <c r="S4376" t="s">
        <v>32568</v>
      </c>
      <c r="T4376" t="s">
        <v>33372</v>
      </c>
      <c r="U4376" t="s">
        <v>35234</v>
      </c>
      <c r="W4376" t="s">
        <v>30353</v>
      </c>
      <c r="X4376" t="s">
        <v>32531</v>
      </c>
    </row>
    <row r="4377" spans="1:24">
      <c r="A4377">
        <f>HYPERLINK("https://www.philgeps.gov.ph/GEPSNONPILOT/Tender/SplashBidNoticeAbstractUI.aspx?menuIndex=3&amp;refID=7043047&amp;Result=3","7043047")</f>
        <v>0</v>
      </c>
      <c r="B4377" t="s">
        <v>879</v>
      </c>
      <c r="C4377" t="s">
        <v>6860</v>
      </c>
      <c r="D4377" t="s">
        <v>12988</v>
      </c>
      <c r="E4377" t="s">
        <v>17003</v>
      </c>
      <c r="F4377" t="s">
        <v>22436</v>
      </c>
      <c r="G4377" t="s">
        <v>22446</v>
      </c>
      <c r="H4377" t="s">
        <v>22452</v>
      </c>
      <c r="I4377" t="s">
        <v>22469</v>
      </c>
      <c r="J4377" t="s">
        <v>25454</v>
      </c>
      <c r="K4377" t="s">
        <v>29338</v>
      </c>
      <c r="M4377" t="s">
        <v>30487</v>
      </c>
      <c r="N4377" t="s">
        <v>32524</v>
      </c>
      <c r="O4377" t="s">
        <v>32525</v>
      </c>
      <c r="P4377">
        <v>0</v>
      </c>
      <c r="Q4377">
        <v>10</v>
      </c>
      <c r="R4377" t="s">
        <v>32530</v>
      </c>
      <c r="S4377" t="s">
        <v>32568</v>
      </c>
      <c r="T4377" t="s">
        <v>33220</v>
      </c>
      <c r="U4377" t="s">
        <v>37304</v>
      </c>
      <c r="W4377" t="s">
        <v>30487</v>
      </c>
      <c r="X4377" t="s">
        <v>32531</v>
      </c>
    </row>
    <row r="4378" spans="1:24">
      <c r="A4378">
        <f>HYPERLINK("https://www.philgeps.gov.ph/GEPSNONPILOT/Tender/SplashBidNoticeAbstractUI.aspx?menuIndex=3&amp;refID=7043103&amp;Result=3","7043103")</f>
        <v>0</v>
      </c>
      <c r="B4378" t="s">
        <v>1235</v>
      </c>
      <c r="C4378" t="s">
        <v>6861</v>
      </c>
      <c r="D4378" t="s">
        <v>13011</v>
      </c>
      <c r="E4378" t="s">
        <v>17004</v>
      </c>
      <c r="F4378" t="s">
        <v>22436</v>
      </c>
      <c r="G4378" t="s">
        <v>22443</v>
      </c>
      <c r="H4378" t="s">
        <v>22452</v>
      </c>
      <c r="I4378" t="s">
        <v>22461</v>
      </c>
      <c r="J4378" t="s">
        <v>25455</v>
      </c>
      <c r="K4378" t="s">
        <v>29330</v>
      </c>
      <c r="M4378" t="s">
        <v>30887</v>
      </c>
      <c r="N4378" t="s">
        <v>32524</v>
      </c>
      <c r="O4378" t="s">
        <v>32525</v>
      </c>
      <c r="P4378">
        <v>0</v>
      </c>
      <c r="Q4378">
        <v>1</v>
      </c>
      <c r="R4378" t="s">
        <v>32530</v>
      </c>
      <c r="S4378" t="s">
        <v>32568</v>
      </c>
      <c r="T4378" t="s">
        <v>33323</v>
      </c>
      <c r="U4378" t="s">
        <v>37311</v>
      </c>
      <c r="W4378" t="s">
        <v>30887</v>
      </c>
      <c r="X4378" t="s">
        <v>32531</v>
      </c>
    </row>
    <row r="4379" spans="1:24">
      <c r="A4379">
        <f>HYPERLINK("https://www.philgeps.gov.ph/GEPSNONPILOT/Tender/SplashBidNoticeAbstractUI.aspx?menuIndex=3&amp;refID=7043102&amp;Result=3","7043102")</f>
        <v>0</v>
      </c>
      <c r="B4379" t="s">
        <v>1513</v>
      </c>
      <c r="C4379" t="s">
        <v>6862</v>
      </c>
      <c r="D4379" t="s">
        <v>13036</v>
      </c>
      <c r="E4379" t="s">
        <v>17005</v>
      </c>
      <c r="F4379" t="s">
        <v>22436</v>
      </c>
      <c r="G4379" t="s">
        <v>22444</v>
      </c>
      <c r="H4379" t="s">
        <v>22452</v>
      </c>
      <c r="I4379" t="s">
        <v>3529</v>
      </c>
      <c r="J4379" t="s">
        <v>22605</v>
      </c>
      <c r="K4379" t="s">
        <v>29338</v>
      </c>
      <c r="M4379" t="s">
        <v>31188</v>
      </c>
      <c r="N4379" t="s">
        <v>32524</v>
      </c>
      <c r="O4379" t="s">
        <v>32525</v>
      </c>
      <c r="P4379">
        <v>0</v>
      </c>
      <c r="Q4379">
        <v>0</v>
      </c>
      <c r="R4379" t="s">
        <v>32530</v>
      </c>
      <c r="S4379" t="s">
        <v>32568</v>
      </c>
      <c r="T4379" t="s">
        <v>33190</v>
      </c>
      <c r="U4379" t="s">
        <v>37312</v>
      </c>
      <c r="W4379" t="s">
        <v>31188</v>
      </c>
      <c r="X4379" t="s">
        <v>32531</v>
      </c>
    </row>
    <row r="4380" spans="1:24">
      <c r="A4380">
        <f>HYPERLINK("https://www.philgeps.gov.ph/GEPSNONPILOT/Tender/SplashBidNoticeAbstractUI.aspx?menuIndex=3&amp;refID=7043085&amp;Result=3","7043085")</f>
        <v>0</v>
      </c>
      <c r="B4380" t="s">
        <v>1477</v>
      </c>
      <c r="C4380" t="s">
        <v>6863</v>
      </c>
      <c r="D4380" t="s">
        <v>12988</v>
      </c>
      <c r="E4380" t="s">
        <v>17006</v>
      </c>
      <c r="F4380" t="s">
        <v>22436</v>
      </c>
      <c r="G4380" t="s">
        <v>22443</v>
      </c>
      <c r="H4380" t="s">
        <v>22452</v>
      </c>
      <c r="I4380" t="s">
        <v>22469</v>
      </c>
      <c r="J4380" t="s">
        <v>22800</v>
      </c>
      <c r="K4380" t="s">
        <v>29371</v>
      </c>
      <c r="M4380" t="s">
        <v>31146</v>
      </c>
      <c r="N4380" t="s">
        <v>32524</v>
      </c>
      <c r="O4380" t="s">
        <v>32525</v>
      </c>
      <c r="P4380">
        <v>0</v>
      </c>
      <c r="Q4380">
        <v>2</v>
      </c>
      <c r="R4380" t="s">
        <v>32530</v>
      </c>
      <c r="S4380" t="s">
        <v>32568</v>
      </c>
      <c r="T4380" t="s">
        <v>33310</v>
      </c>
      <c r="U4380" t="s">
        <v>37313</v>
      </c>
      <c r="V4380" t="s">
        <v>42879</v>
      </c>
      <c r="W4380" t="s">
        <v>31146</v>
      </c>
      <c r="X4380" t="s">
        <v>32531</v>
      </c>
    </row>
    <row r="4381" spans="1:24">
      <c r="A4381">
        <f>HYPERLINK("https://www.philgeps.gov.ph/GEPSNONPILOT/Tender/SplashBidNoticeAbstractUI.aspx?menuIndex=3&amp;refID=7043045&amp;Result=3","7043045")</f>
        <v>0</v>
      </c>
      <c r="B4381" t="s">
        <v>1495</v>
      </c>
      <c r="C4381" t="s">
        <v>6864</v>
      </c>
      <c r="D4381" t="s">
        <v>13024</v>
      </c>
      <c r="E4381" t="s">
        <v>17007</v>
      </c>
      <c r="F4381" t="s">
        <v>22436</v>
      </c>
      <c r="G4381" t="s">
        <v>22444</v>
      </c>
      <c r="H4381" t="s">
        <v>22454</v>
      </c>
      <c r="I4381" t="s">
        <v>7738</v>
      </c>
      <c r="J4381" t="s">
        <v>25456</v>
      </c>
      <c r="K4381" t="s">
        <v>29347</v>
      </c>
      <c r="M4381" t="s">
        <v>31169</v>
      </c>
      <c r="N4381" t="s">
        <v>32524</v>
      </c>
      <c r="O4381" t="s">
        <v>32525</v>
      </c>
      <c r="P4381">
        <v>0</v>
      </c>
      <c r="Q4381">
        <v>0</v>
      </c>
      <c r="R4381" t="s">
        <v>32530</v>
      </c>
      <c r="S4381" t="s">
        <v>32568</v>
      </c>
      <c r="T4381" t="s">
        <v>33445</v>
      </c>
      <c r="U4381" t="s">
        <v>37288</v>
      </c>
      <c r="V4381" t="s">
        <v>42896</v>
      </c>
      <c r="W4381" t="s">
        <v>31169</v>
      </c>
      <c r="X4381" t="s">
        <v>32531</v>
      </c>
    </row>
    <row r="4382" spans="1:24">
      <c r="A4382">
        <f>HYPERLINK("https://www.philgeps.gov.ph/GEPSNONPILOT/Tender/SplashBidNoticeAbstractUI.aspx?menuIndex=3&amp;refID=7043097&amp;Result=3","7043097")</f>
        <v>0</v>
      </c>
      <c r="B4382" t="s">
        <v>1514</v>
      </c>
      <c r="C4382" t="s">
        <v>6865</v>
      </c>
      <c r="D4382" t="s">
        <v>13034</v>
      </c>
      <c r="E4382" t="s">
        <v>17008</v>
      </c>
      <c r="F4382" t="s">
        <v>22436</v>
      </c>
      <c r="G4382" t="s">
        <v>22444</v>
      </c>
      <c r="H4382" t="s">
        <v>22452</v>
      </c>
      <c r="I4382" t="s">
        <v>7738</v>
      </c>
      <c r="J4382" t="s">
        <v>25457</v>
      </c>
      <c r="K4382" t="s">
        <v>29461</v>
      </c>
      <c r="M4382" t="s">
        <v>31189</v>
      </c>
      <c r="N4382" t="s">
        <v>32524</v>
      </c>
      <c r="O4382" t="s">
        <v>32525</v>
      </c>
      <c r="P4382">
        <v>0</v>
      </c>
      <c r="Q4382">
        <v>0</v>
      </c>
      <c r="R4382" t="s">
        <v>32530</v>
      </c>
      <c r="S4382" t="s">
        <v>32568</v>
      </c>
      <c r="T4382" t="s">
        <v>33449</v>
      </c>
      <c r="U4382" t="s">
        <v>37314</v>
      </c>
      <c r="W4382" t="s">
        <v>31189</v>
      </c>
      <c r="X4382" t="s">
        <v>32531</v>
      </c>
    </row>
    <row r="4383" spans="1:24">
      <c r="A4383">
        <f>HYPERLINK("https://www.philgeps.gov.ph/GEPSNONPILOT/Tender/SplashBidNoticeAbstractUI.aspx?menuIndex=3&amp;refID=7043100&amp;Result=3","7043100")</f>
        <v>0</v>
      </c>
      <c r="B4383" t="s">
        <v>1381</v>
      </c>
      <c r="C4383" t="s">
        <v>6866</v>
      </c>
      <c r="D4383" t="s">
        <v>13035</v>
      </c>
      <c r="E4383" t="s">
        <v>17009</v>
      </c>
      <c r="F4383" t="s">
        <v>22436</v>
      </c>
      <c r="G4383" t="s">
        <v>22444</v>
      </c>
      <c r="H4383" t="s">
        <v>22452</v>
      </c>
      <c r="I4383" t="s">
        <v>3529</v>
      </c>
      <c r="J4383" t="s">
        <v>25458</v>
      </c>
      <c r="K4383" t="s">
        <v>29337</v>
      </c>
      <c r="M4383" t="s">
        <v>31039</v>
      </c>
      <c r="N4383" t="s">
        <v>32524</v>
      </c>
      <c r="O4383" t="s">
        <v>32525</v>
      </c>
      <c r="P4383">
        <v>0</v>
      </c>
      <c r="Q4383">
        <v>2</v>
      </c>
      <c r="R4383" t="s">
        <v>32530</v>
      </c>
      <c r="S4383" t="s">
        <v>32568</v>
      </c>
      <c r="T4383" t="s">
        <v>33405</v>
      </c>
      <c r="U4383" t="s">
        <v>36957</v>
      </c>
      <c r="V4383" t="s">
        <v>42901</v>
      </c>
      <c r="W4383" t="s">
        <v>31039</v>
      </c>
      <c r="X4383" t="s">
        <v>32531</v>
      </c>
    </row>
    <row r="4384" spans="1:24">
      <c r="A4384">
        <f>HYPERLINK("https://www.philgeps.gov.ph/GEPSNONPILOT/Tender/SplashBidNoticeAbstractUI.aspx?menuIndex=3&amp;refID=7043096&amp;Result=3","7043096")</f>
        <v>0</v>
      </c>
      <c r="B4384" t="s">
        <v>1497</v>
      </c>
      <c r="C4384" t="s">
        <v>6867</v>
      </c>
      <c r="D4384" t="s">
        <v>12988</v>
      </c>
      <c r="E4384" t="s">
        <v>17010</v>
      </c>
      <c r="F4384" t="s">
        <v>22436</v>
      </c>
      <c r="G4384" t="s">
        <v>22444</v>
      </c>
      <c r="H4384" t="s">
        <v>22452</v>
      </c>
      <c r="I4384" t="s">
        <v>22460</v>
      </c>
      <c r="J4384" t="s">
        <v>25459</v>
      </c>
      <c r="K4384" t="s">
        <v>29341</v>
      </c>
      <c r="M4384" t="s">
        <v>31171</v>
      </c>
      <c r="N4384" t="s">
        <v>32524</v>
      </c>
      <c r="O4384" t="s">
        <v>32525</v>
      </c>
      <c r="P4384">
        <v>0</v>
      </c>
      <c r="Q4384">
        <v>0</v>
      </c>
      <c r="R4384" t="s">
        <v>32530</v>
      </c>
      <c r="S4384" t="s">
        <v>32568</v>
      </c>
      <c r="T4384" t="s">
        <v>33253</v>
      </c>
      <c r="U4384" t="s">
        <v>34065</v>
      </c>
      <c r="W4384" t="s">
        <v>31171</v>
      </c>
      <c r="X4384" t="s">
        <v>32531</v>
      </c>
    </row>
    <row r="4385" spans="1:24">
      <c r="A4385">
        <f>HYPERLINK("https://www.philgeps.gov.ph/GEPSNONPILOT/Tender/SplashBidNoticeAbstractUI.aspx?menuIndex=3&amp;refID=7043093&amp;Result=3","7043093")</f>
        <v>0</v>
      </c>
      <c r="B4385" t="s">
        <v>1513</v>
      </c>
      <c r="C4385" t="s">
        <v>6868</v>
      </c>
      <c r="D4385" t="s">
        <v>13036</v>
      </c>
      <c r="E4385" t="s">
        <v>13137</v>
      </c>
      <c r="F4385" t="s">
        <v>22436</v>
      </c>
      <c r="G4385" t="s">
        <v>22444</v>
      </c>
      <c r="H4385" t="s">
        <v>22452</v>
      </c>
      <c r="I4385" t="s">
        <v>3529</v>
      </c>
      <c r="J4385" t="s">
        <v>25460</v>
      </c>
      <c r="K4385" t="s">
        <v>29338</v>
      </c>
      <c r="M4385" t="s">
        <v>31188</v>
      </c>
      <c r="N4385" t="s">
        <v>32524</v>
      </c>
      <c r="O4385" t="s">
        <v>32525</v>
      </c>
      <c r="P4385">
        <v>0</v>
      </c>
      <c r="Q4385">
        <v>0</v>
      </c>
      <c r="R4385" t="s">
        <v>32530</v>
      </c>
      <c r="S4385" t="s">
        <v>32568</v>
      </c>
      <c r="T4385" t="s">
        <v>33190</v>
      </c>
      <c r="U4385" t="s">
        <v>37312</v>
      </c>
      <c r="W4385" t="s">
        <v>31188</v>
      </c>
      <c r="X4385" t="s">
        <v>32531</v>
      </c>
    </row>
    <row r="4386" spans="1:24">
      <c r="A4386">
        <f>HYPERLINK("https://www.philgeps.gov.ph/GEPSNONPILOT/Tender/SplashBidNoticeAbstractUI.aspx?menuIndex=3&amp;refID=7043098&amp;Result=3","7043098")</f>
        <v>0</v>
      </c>
      <c r="B4386" t="s">
        <v>1508</v>
      </c>
      <c r="C4386" t="s">
        <v>6869</v>
      </c>
      <c r="D4386" t="s">
        <v>13039</v>
      </c>
      <c r="E4386" t="s">
        <v>13131</v>
      </c>
      <c r="F4386" t="s">
        <v>22436</v>
      </c>
      <c r="G4386" t="s">
        <v>22444</v>
      </c>
      <c r="H4386" t="s">
        <v>22455</v>
      </c>
      <c r="I4386" t="s">
        <v>22455</v>
      </c>
      <c r="J4386" t="s">
        <v>25428</v>
      </c>
      <c r="K4386" t="s">
        <v>29334</v>
      </c>
      <c r="M4386" t="s">
        <v>31183</v>
      </c>
      <c r="N4386" t="s">
        <v>32524</v>
      </c>
      <c r="O4386" t="s">
        <v>32525</v>
      </c>
      <c r="Q4386">
        <v>2</v>
      </c>
      <c r="R4386" t="s">
        <v>32530</v>
      </c>
      <c r="S4386" t="s">
        <v>32580</v>
      </c>
      <c r="T4386" t="s">
        <v>33403</v>
      </c>
      <c r="U4386" t="s">
        <v>37315</v>
      </c>
      <c r="V4386" t="s">
        <v>42902</v>
      </c>
      <c r="W4386" t="s">
        <v>31183</v>
      </c>
      <c r="X4386" t="s">
        <v>32531</v>
      </c>
    </row>
    <row r="4387" spans="1:24">
      <c r="A4387">
        <f>HYPERLINK("https://www.philgeps.gov.ph/GEPSNONPILOT/Tender/SplashBidNoticeAbstractUI.aspx?menuIndex=3&amp;refID=7043029&amp;Result=3","7043029")</f>
        <v>0</v>
      </c>
      <c r="B4387" t="s">
        <v>1495</v>
      </c>
      <c r="C4387" t="s">
        <v>6870</v>
      </c>
      <c r="D4387" t="s">
        <v>13024</v>
      </c>
      <c r="E4387" t="s">
        <v>17011</v>
      </c>
      <c r="F4387" t="s">
        <v>22436</v>
      </c>
      <c r="G4387" t="s">
        <v>22444</v>
      </c>
      <c r="H4387" t="s">
        <v>22454</v>
      </c>
      <c r="I4387" t="s">
        <v>7738</v>
      </c>
      <c r="J4387" t="s">
        <v>25461</v>
      </c>
      <c r="K4387" t="s">
        <v>29347</v>
      </c>
      <c r="M4387" t="s">
        <v>31169</v>
      </c>
      <c r="N4387" t="s">
        <v>32524</v>
      </c>
      <c r="O4387" t="s">
        <v>32525</v>
      </c>
      <c r="P4387">
        <v>0</v>
      </c>
      <c r="Q4387">
        <v>1</v>
      </c>
      <c r="R4387" t="s">
        <v>32530</v>
      </c>
      <c r="S4387" t="s">
        <v>32568</v>
      </c>
      <c r="T4387" t="s">
        <v>33445</v>
      </c>
      <c r="U4387" t="s">
        <v>37288</v>
      </c>
      <c r="V4387" t="s">
        <v>42896</v>
      </c>
      <c r="W4387" t="s">
        <v>31169</v>
      </c>
      <c r="X4387" t="s">
        <v>32531</v>
      </c>
    </row>
    <row r="4388" spans="1:24">
      <c r="A4388">
        <f>HYPERLINK("https://www.philgeps.gov.ph/GEPSNONPILOT/Tender/SplashBidNoticeAbstractUI.aspx?menuIndex=3&amp;refID=7043099&amp;Result=3","7043099")</f>
        <v>0</v>
      </c>
      <c r="B4388" t="s">
        <v>1497</v>
      </c>
      <c r="C4388" t="s">
        <v>6871</v>
      </c>
      <c r="D4388" t="s">
        <v>12988</v>
      </c>
      <c r="E4388" t="s">
        <v>17012</v>
      </c>
      <c r="F4388" t="s">
        <v>22436</v>
      </c>
      <c r="G4388" t="s">
        <v>22444</v>
      </c>
      <c r="H4388" t="s">
        <v>22452</v>
      </c>
      <c r="I4388" t="s">
        <v>22460</v>
      </c>
      <c r="J4388" t="s">
        <v>22936</v>
      </c>
      <c r="K4388" t="s">
        <v>29341</v>
      </c>
      <c r="M4388" t="s">
        <v>31171</v>
      </c>
      <c r="N4388" t="s">
        <v>32524</v>
      </c>
      <c r="O4388" t="s">
        <v>32525</v>
      </c>
      <c r="P4388">
        <v>0</v>
      </c>
      <c r="Q4388">
        <v>1</v>
      </c>
      <c r="R4388" t="s">
        <v>32530</v>
      </c>
      <c r="S4388" t="s">
        <v>32568</v>
      </c>
      <c r="T4388" t="s">
        <v>33253</v>
      </c>
      <c r="U4388" t="s">
        <v>34065</v>
      </c>
      <c r="W4388" t="s">
        <v>31171</v>
      </c>
      <c r="X4388" t="s">
        <v>32531</v>
      </c>
    </row>
    <row r="4389" spans="1:24">
      <c r="A4389">
        <f>HYPERLINK("https://www.philgeps.gov.ph/GEPSNONPILOT/Tender/SplashBidNoticeAbstractUI.aspx?menuIndex=3&amp;refID=7043091&amp;Result=3","7043091")</f>
        <v>0</v>
      </c>
      <c r="B4389" t="s">
        <v>1497</v>
      </c>
      <c r="C4389" t="s">
        <v>6872</v>
      </c>
      <c r="D4389" t="s">
        <v>12988</v>
      </c>
      <c r="E4389" t="s">
        <v>17013</v>
      </c>
      <c r="F4389" t="s">
        <v>22436</v>
      </c>
      <c r="G4389" t="s">
        <v>22444</v>
      </c>
      <c r="H4389" t="s">
        <v>22452</v>
      </c>
      <c r="I4389" t="s">
        <v>22460</v>
      </c>
      <c r="J4389" t="s">
        <v>25462</v>
      </c>
      <c r="K4389" t="s">
        <v>29341</v>
      </c>
      <c r="M4389" t="s">
        <v>31171</v>
      </c>
      <c r="N4389" t="s">
        <v>32524</v>
      </c>
      <c r="O4389" t="s">
        <v>32525</v>
      </c>
      <c r="P4389">
        <v>0</v>
      </c>
      <c r="Q4389">
        <v>0</v>
      </c>
      <c r="R4389" t="s">
        <v>32530</v>
      </c>
      <c r="S4389" t="s">
        <v>32568</v>
      </c>
      <c r="T4389" t="s">
        <v>33253</v>
      </c>
      <c r="U4389" t="s">
        <v>34065</v>
      </c>
      <c r="W4389" t="s">
        <v>31171</v>
      </c>
      <c r="X4389" t="s">
        <v>32531</v>
      </c>
    </row>
    <row r="4390" spans="1:24">
      <c r="A4390">
        <f>HYPERLINK("https://www.philgeps.gov.ph/GEPSNONPILOT/Tender/SplashBidNoticeAbstractUI.aspx?menuIndex=3&amp;refID=7043081&amp;Result=3","7043081")</f>
        <v>0</v>
      </c>
      <c r="B4390" t="s">
        <v>1494</v>
      </c>
      <c r="C4390" t="s">
        <v>6873</v>
      </c>
      <c r="E4390" t="s">
        <v>17014</v>
      </c>
      <c r="F4390" t="s">
        <v>22436</v>
      </c>
      <c r="G4390" t="s">
        <v>22443</v>
      </c>
      <c r="H4390" t="s">
        <v>22452</v>
      </c>
      <c r="I4390" t="s">
        <v>22544</v>
      </c>
      <c r="J4390" t="s">
        <v>24046</v>
      </c>
      <c r="K4390" t="s">
        <v>29338</v>
      </c>
      <c r="M4390" t="s">
        <v>31168</v>
      </c>
      <c r="N4390" t="s">
        <v>32524</v>
      </c>
      <c r="O4390" t="s">
        <v>32525</v>
      </c>
      <c r="P4390">
        <v>0</v>
      </c>
      <c r="Q4390">
        <v>1</v>
      </c>
      <c r="R4390" t="s">
        <v>32530</v>
      </c>
      <c r="S4390" t="s">
        <v>32568</v>
      </c>
      <c r="T4390" t="s">
        <v>33328</v>
      </c>
      <c r="U4390" t="s">
        <v>37316</v>
      </c>
      <c r="V4390" t="s">
        <v>42892</v>
      </c>
      <c r="W4390" t="s">
        <v>43723</v>
      </c>
      <c r="X4390" t="s">
        <v>32531</v>
      </c>
    </row>
    <row r="4391" spans="1:24">
      <c r="A4391">
        <f>HYPERLINK("https://www.philgeps.gov.ph/GEPSNONPILOT/Tender/SplashBidNoticeAbstractUI.aspx?menuIndex=3&amp;refID=7043070&amp;Result=3","7043070")</f>
        <v>0</v>
      </c>
      <c r="B4391" t="s">
        <v>1515</v>
      </c>
      <c r="C4391" t="s">
        <v>6874</v>
      </c>
      <c r="D4391" t="s">
        <v>13001</v>
      </c>
      <c r="E4391" t="s">
        <v>16114</v>
      </c>
      <c r="F4391" t="s">
        <v>22436</v>
      </c>
      <c r="G4391" t="s">
        <v>22443</v>
      </c>
      <c r="H4391" t="s">
        <v>22453</v>
      </c>
      <c r="I4391" t="s">
        <v>22501</v>
      </c>
      <c r="J4391" t="s">
        <v>22874</v>
      </c>
      <c r="K4391" t="s">
        <v>29335</v>
      </c>
      <c r="M4391" t="s">
        <v>31190</v>
      </c>
      <c r="N4391" t="s">
        <v>32524</v>
      </c>
      <c r="O4391" t="s">
        <v>32525</v>
      </c>
      <c r="P4391">
        <v>0</v>
      </c>
      <c r="Q4391">
        <v>1</v>
      </c>
      <c r="R4391" t="s">
        <v>32530</v>
      </c>
      <c r="S4391" t="s">
        <v>32568</v>
      </c>
      <c r="T4391" t="s">
        <v>33238</v>
      </c>
      <c r="U4391" t="s">
        <v>37317</v>
      </c>
      <c r="W4391" t="s">
        <v>31190</v>
      </c>
      <c r="X4391" t="s">
        <v>32531</v>
      </c>
    </row>
    <row r="4392" spans="1:24">
      <c r="A4392">
        <f>HYPERLINK("https://www.philgeps.gov.ph/GEPSNONPILOT/Tender/SplashBidNoticeAbstractUI.aspx?menuIndex=3&amp;refID=7043077&amp;Result=3","7043077")</f>
        <v>0</v>
      </c>
      <c r="B4392" t="s">
        <v>1515</v>
      </c>
      <c r="C4392" t="s">
        <v>6875</v>
      </c>
      <c r="D4392" t="s">
        <v>13001</v>
      </c>
      <c r="E4392" t="s">
        <v>13915</v>
      </c>
      <c r="F4392" t="s">
        <v>22436</v>
      </c>
      <c r="G4392" t="s">
        <v>22443</v>
      </c>
      <c r="H4392" t="s">
        <v>22453</v>
      </c>
      <c r="I4392" t="s">
        <v>22501</v>
      </c>
      <c r="J4392" t="s">
        <v>25463</v>
      </c>
      <c r="K4392" t="s">
        <v>29335</v>
      </c>
      <c r="M4392" t="s">
        <v>31190</v>
      </c>
      <c r="N4392" t="s">
        <v>32524</v>
      </c>
      <c r="O4392" t="s">
        <v>32525</v>
      </c>
      <c r="P4392">
        <v>0</v>
      </c>
      <c r="Q4392">
        <v>1</v>
      </c>
      <c r="R4392" t="s">
        <v>32530</v>
      </c>
      <c r="S4392" t="s">
        <v>32568</v>
      </c>
      <c r="T4392" t="s">
        <v>33238</v>
      </c>
      <c r="U4392" t="s">
        <v>37318</v>
      </c>
      <c r="W4392" t="s">
        <v>31190</v>
      </c>
      <c r="X4392" t="s">
        <v>32531</v>
      </c>
    </row>
    <row r="4393" spans="1:24">
      <c r="A4393">
        <f>HYPERLINK("https://www.philgeps.gov.ph/GEPSNONPILOT/Tender/SplashBidNoticeAbstractUI.aspx?menuIndex=3&amp;refID=7043094&amp;Result=3","7043094")</f>
        <v>0</v>
      </c>
      <c r="B4393" t="s">
        <v>1516</v>
      </c>
      <c r="C4393" t="s">
        <v>6876</v>
      </c>
      <c r="D4393" t="s">
        <v>12998</v>
      </c>
      <c r="E4393" t="s">
        <v>17015</v>
      </c>
      <c r="F4393" t="s">
        <v>22436</v>
      </c>
      <c r="G4393" t="s">
        <v>22446</v>
      </c>
      <c r="H4393" t="s">
        <v>22452</v>
      </c>
      <c r="I4393" t="s">
        <v>22460</v>
      </c>
      <c r="J4393" t="s">
        <v>25464</v>
      </c>
      <c r="K4393" t="s">
        <v>29336</v>
      </c>
      <c r="M4393" t="s">
        <v>31191</v>
      </c>
      <c r="N4393" t="s">
        <v>32524</v>
      </c>
      <c r="O4393" t="s">
        <v>32525</v>
      </c>
      <c r="P4393">
        <v>0</v>
      </c>
      <c r="Q4393">
        <v>3</v>
      </c>
      <c r="R4393" t="s">
        <v>32530</v>
      </c>
      <c r="S4393" t="s">
        <v>32568</v>
      </c>
      <c r="T4393" t="s">
        <v>33169</v>
      </c>
      <c r="U4393" t="s">
        <v>37319</v>
      </c>
      <c r="W4393" t="s">
        <v>31191</v>
      </c>
      <c r="X4393" t="s">
        <v>32531</v>
      </c>
    </row>
    <row r="4394" spans="1:24">
      <c r="A4394">
        <f>HYPERLINK("https://www.philgeps.gov.ph/GEPSNONPILOT/Tender/SplashBidNoticeAbstractUI.aspx?menuIndex=3&amp;refID=7043068&amp;Result=3","7043068")</f>
        <v>0</v>
      </c>
      <c r="B4394" t="s">
        <v>1517</v>
      </c>
      <c r="C4394" t="s">
        <v>6877</v>
      </c>
      <c r="E4394" t="s">
        <v>17016</v>
      </c>
      <c r="F4394" t="s">
        <v>22436</v>
      </c>
      <c r="G4394" t="s">
        <v>22443</v>
      </c>
      <c r="H4394" t="s">
        <v>22452</v>
      </c>
      <c r="I4394" t="s">
        <v>22461</v>
      </c>
      <c r="J4394" t="s">
        <v>22874</v>
      </c>
      <c r="K4394" t="s">
        <v>29341</v>
      </c>
      <c r="M4394" t="s">
        <v>31192</v>
      </c>
      <c r="N4394" t="s">
        <v>32524</v>
      </c>
      <c r="O4394" t="s">
        <v>32525</v>
      </c>
      <c r="P4394">
        <v>0</v>
      </c>
      <c r="Q4394">
        <v>0</v>
      </c>
      <c r="R4394" t="s">
        <v>32530</v>
      </c>
      <c r="S4394" t="s">
        <v>32568</v>
      </c>
      <c r="T4394" t="s">
        <v>33167</v>
      </c>
      <c r="U4394" t="s">
        <v>37320</v>
      </c>
      <c r="V4394" t="s">
        <v>42903</v>
      </c>
      <c r="W4394" t="s">
        <v>31192</v>
      </c>
      <c r="X4394" t="s">
        <v>32531</v>
      </c>
    </row>
    <row r="4395" spans="1:24">
      <c r="A4395">
        <f>HYPERLINK("https://www.philgeps.gov.ph/GEPSNONPILOT/Tender/SplashBidNoticeAbstractUI.aspx?menuIndex=3&amp;refID=7043067&amp;Result=3","7043067")</f>
        <v>0</v>
      </c>
      <c r="B4395" t="s">
        <v>1498</v>
      </c>
      <c r="C4395" t="s">
        <v>6878</v>
      </c>
      <c r="D4395" t="s">
        <v>13045</v>
      </c>
      <c r="E4395" t="s">
        <v>17017</v>
      </c>
      <c r="F4395" t="s">
        <v>22436</v>
      </c>
      <c r="G4395" t="s">
        <v>22444</v>
      </c>
      <c r="H4395" t="s">
        <v>22454</v>
      </c>
      <c r="I4395" t="s">
        <v>7738</v>
      </c>
      <c r="J4395" t="s">
        <v>25465</v>
      </c>
      <c r="K4395" t="s">
        <v>29334</v>
      </c>
      <c r="M4395" t="s">
        <v>31172</v>
      </c>
      <c r="N4395" t="s">
        <v>32524</v>
      </c>
      <c r="O4395" t="s">
        <v>32525</v>
      </c>
      <c r="P4395">
        <v>0</v>
      </c>
      <c r="Q4395">
        <v>0</v>
      </c>
      <c r="R4395" t="s">
        <v>32530</v>
      </c>
      <c r="S4395" t="s">
        <v>32568</v>
      </c>
      <c r="T4395" t="s">
        <v>33188</v>
      </c>
      <c r="U4395" t="s">
        <v>37307</v>
      </c>
      <c r="W4395" t="s">
        <v>31172</v>
      </c>
      <c r="X4395" t="s">
        <v>32531</v>
      </c>
    </row>
    <row r="4396" spans="1:24">
      <c r="A4396">
        <f>HYPERLINK("https://www.philgeps.gov.ph/GEPSNONPILOT/Tender/SplashBidNoticeAbstractUI.aspx?menuIndex=3&amp;refID=7043104&amp;Result=3","7043104")</f>
        <v>0</v>
      </c>
      <c r="B4396" t="s">
        <v>1235</v>
      </c>
      <c r="C4396" t="s">
        <v>6879</v>
      </c>
      <c r="D4396" t="s">
        <v>13011</v>
      </c>
      <c r="E4396" t="s">
        <v>17018</v>
      </c>
      <c r="F4396" t="s">
        <v>22436</v>
      </c>
      <c r="G4396" t="s">
        <v>22443</v>
      </c>
      <c r="H4396" t="s">
        <v>22452</v>
      </c>
      <c r="I4396" t="s">
        <v>2981</v>
      </c>
      <c r="J4396" t="s">
        <v>25466</v>
      </c>
      <c r="K4396" t="s">
        <v>29330</v>
      </c>
      <c r="M4396" t="s">
        <v>30887</v>
      </c>
      <c r="N4396" t="s">
        <v>32524</v>
      </c>
      <c r="O4396" t="s">
        <v>32525</v>
      </c>
      <c r="P4396">
        <v>0</v>
      </c>
      <c r="Q4396">
        <v>1</v>
      </c>
      <c r="R4396" t="s">
        <v>32530</v>
      </c>
      <c r="S4396" t="s">
        <v>32568</v>
      </c>
      <c r="T4396" t="s">
        <v>33323</v>
      </c>
      <c r="U4396" t="s">
        <v>37321</v>
      </c>
      <c r="W4396" t="s">
        <v>30887</v>
      </c>
      <c r="X4396" t="s">
        <v>32531</v>
      </c>
    </row>
    <row r="4397" spans="1:24">
      <c r="A4397">
        <f>HYPERLINK("https://www.philgeps.gov.ph/GEPSNONPILOT/Tender/SplashBidNoticeAbstractUI.aspx?menuIndex=3&amp;refID=7043069&amp;Result=3","7043069")</f>
        <v>0</v>
      </c>
      <c r="B4397" t="s">
        <v>1516</v>
      </c>
      <c r="C4397" t="s">
        <v>6880</v>
      </c>
      <c r="D4397" t="s">
        <v>12998</v>
      </c>
      <c r="E4397" t="s">
        <v>17019</v>
      </c>
      <c r="F4397" t="s">
        <v>22436</v>
      </c>
      <c r="G4397" t="s">
        <v>22446</v>
      </c>
      <c r="H4397" t="s">
        <v>22452</v>
      </c>
      <c r="I4397" t="s">
        <v>3827</v>
      </c>
      <c r="J4397" t="s">
        <v>23120</v>
      </c>
      <c r="K4397" t="s">
        <v>29336</v>
      </c>
      <c r="M4397" t="s">
        <v>31191</v>
      </c>
      <c r="N4397" t="s">
        <v>32524</v>
      </c>
      <c r="O4397" t="s">
        <v>32525</v>
      </c>
      <c r="P4397">
        <v>0</v>
      </c>
      <c r="Q4397">
        <v>5</v>
      </c>
      <c r="R4397" t="s">
        <v>32530</v>
      </c>
      <c r="S4397" t="s">
        <v>32568</v>
      </c>
      <c r="T4397" t="s">
        <v>33169</v>
      </c>
      <c r="U4397" t="s">
        <v>35225</v>
      </c>
      <c r="W4397" t="s">
        <v>31191</v>
      </c>
      <c r="X4397" t="s">
        <v>32531</v>
      </c>
    </row>
    <row r="4398" spans="1:24">
      <c r="A4398">
        <f>HYPERLINK("https://www.philgeps.gov.ph/GEPSNONPILOT/Tender/SplashBidNoticeAbstractUI.aspx?menuIndex=3&amp;refID=7043106&amp;Result=3","7043106")</f>
        <v>0</v>
      </c>
      <c r="B4398" t="s">
        <v>1518</v>
      </c>
      <c r="C4398" t="s">
        <v>6881</v>
      </c>
      <c r="E4398" t="s">
        <v>17020</v>
      </c>
      <c r="F4398" t="s">
        <v>22436</v>
      </c>
      <c r="G4398" t="s">
        <v>22443</v>
      </c>
      <c r="H4398" t="s">
        <v>22452</v>
      </c>
      <c r="I4398" t="s">
        <v>22459</v>
      </c>
      <c r="J4398" t="s">
        <v>25467</v>
      </c>
      <c r="K4398" t="s">
        <v>29338</v>
      </c>
      <c r="M4398" t="s">
        <v>31193</v>
      </c>
      <c r="N4398" t="s">
        <v>32524</v>
      </c>
      <c r="O4398" t="s">
        <v>32525</v>
      </c>
      <c r="P4398">
        <v>0</v>
      </c>
      <c r="Q4398">
        <v>1</v>
      </c>
      <c r="R4398" t="s">
        <v>32530</v>
      </c>
      <c r="S4398" t="s">
        <v>32568</v>
      </c>
      <c r="T4398" t="s">
        <v>33323</v>
      </c>
      <c r="U4398" t="s">
        <v>37322</v>
      </c>
      <c r="W4398" t="s">
        <v>31193</v>
      </c>
      <c r="X4398" t="s">
        <v>32531</v>
      </c>
    </row>
    <row r="4399" spans="1:24">
      <c r="A4399">
        <f>HYPERLINK("https://www.philgeps.gov.ph/GEPSNONPILOT/Tender/SplashBidNoticeAbstractUI.aspx?menuIndex=3&amp;refID=7043129&amp;Result=3","7043129")</f>
        <v>0</v>
      </c>
      <c r="B4399" t="s">
        <v>1031</v>
      </c>
      <c r="C4399" t="s">
        <v>6882</v>
      </c>
      <c r="D4399" t="s">
        <v>12995</v>
      </c>
      <c r="E4399" t="s">
        <v>17021</v>
      </c>
      <c r="F4399" t="s">
        <v>22436</v>
      </c>
      <c r="G4399" t="s">
        <v>22446</v>
      </c>
      <c r="H4399" t="s">
        <v>22452</v>
      </c>
      <c r="I4399" t="s">
        <v>22463</v>
      </c>
      <c r="J4399" t="s">
        <v>25468</v>
      </c>
      <c r="K4399" t="s">
        <v>29341</v>
      </c>
      <c r="M4399" t="s">
        <v>30661</v>
      </c>
      <c r="N4399" t="s">
        <v>32524</v>
      </c>
      <c r="O4399" t="s">
        <v>32525</v>
      </c>
      <c r="P4399">
        <v>0</v>
      </c>
      <c r="Q4399">
        <v>10</v>
      </c>
      <c r="R4399" t="s">
        <v>32530</v>
      </c>
      <c r="S4399" t="s">
        <v>32568</v>
      </c>
      <c r="T4399" t="s">
        <v>33327</v>
      </c>
      <c r="U4399" t="s">
        <v>37323</v>
      </c>
      <c r="W4399" t="s">
        <v>30661</v>
      </c>
      <c r="X4399" t="s">
        <v>32531</v>
      </c>
    </row>
    <row r="4400" spans="1:24">
      <c r="A4400">
        <f>HYPERLINK("https://www.philgeps.gov.ph/GEPSNONPILOT/Tender/SplashBidNoticeAbstractUI.aspx?menuIndex=3&amp;refID=7043108&amp;Result=3","7043108")</f>
        <v>0</v>
      </c>
      <c r="B4400" t="s">
        <v>1235</v>
      </c>
      <c r="C4400" t="s">
        <v>6883</v>
      </c>
      <c r="D4400" t="s">
        <v>13011</v>
      </c>
      <c r="E4400" t="s">
        <v>17022</v>
      </c>
      <c r="F4400" t="s">
        <v>22436</v>
      </c>
      <c r="G4400" t="s">
        <v>22443</v>
      </c>
      <c r="H4400" t="s">
        <v>22452</v>
      </c>
      <c r="I4400" t="s">
        <v>22504</v>
      </c>
      <c r="J4400" t="s">
        <v>25469</v>
      </c>
      <c r="K4400" t="s">
        <v>29352</v>
      </c>
      <c r="M4400" t="s">
        <v>30887</v>
      </c>
      <c r="N4400" t="s">
        <v>32524</v>
      </c>
      <c r="O4400" t="s">
        <v>32525</v>
      </c>
      <c r="P4400">
        <v>0</v>
      </c>
      <c r="Q4400">
        <v>2</v>
      </c>
      <c r="R4400" t="s">
        <v>32530</v>
      </c>
      <c r="S4400" t="s">
        <v>32568</v>
      </c>
      <c r="T4400" t="s">
        <v>33323</v>
      </c>
      <c r="U4400" t="s">
        <v>37324</v>
      </c>
      <c r="W4400" t="s">
        <v>30887</v>
      </c>
      <c r="X4400" t="s">
        <v>32531</v>
      </c>
    </row>
    <row r="4401" spans="1:24">
      <c r="A4401">
        <f>HYPERLINK("https://www.philgeps.gov.ph/GEPSNONPILOT/Tender/SplashBidNoticeAbstractUI.aspx?menuIndex=3&amp;refID=7043073&amp;Result=3","7043073")</f>
        <v>0</v>
      </c>
      <c r="B4401" t="s">
        <v>1497</v>
      </c>
      <c r="C4401" t="s">
        <v>6884</v>
      </c>
      <c r="D4401" t="s">
        <v>12988</v>
      </c>
      <c r="E4401" t="s">
        <v>17023</v>
      </c>
      <c r="F4401" t="s">
        <v>22436</v>
      </c>
      <c r="G4401" t="s">
        <v>22444</v>
      </c>
      <c r="H4401" t="s">
        <v>22452</v>
      </c>
      <c r="I4401" t="s">
        <v>3122</v>
      </c>
      <c r="J4401" t="s">
        <v>25470</v>
      </c>
      <c r="K4401" t="s">
        <v>29341</v>
      </c>
      <c r="M4401" t="s">
        <v>31171</v>
      </c>
      <c r="N4401" t="s">
        <v>32524</v>
      </c>
      <c r="O4401" t="s">
        <v>32525</v>
      </c>
      <c r="P4401">
        <v>0</v>
      </c>
      <c r="Q4401">
        <v>0</v>
      </c>
      <c r="R4401" t="s">
        <v>32530</v>
      </c>
      <c r="S4401" t="s">
        <v>32568</v>
      </c>
      <c r="T4401" t="s">
        <v>33253</v>
      </c>
      <c r="U4401" t="s">
        <v>37308</v>
      </c>
      <c r="W4401" t="s">
        <v>31171</v>
      </c>
      <c r="X4401" t="s">
        <v>32531</v>
      </c>
    </row>
    <row r="4402" spans="1:24">
      <c r="A4402">
        <f>HYPERLINK("https://www.philgeps.gov.ph/GEPSNONPILOT/Tender/SplashBidNoticeAbstractUI.aspx?menuIndex=3&amp;refID=7043123&amp;Result=3","7043123")</f>
        <v>0</v>
      </c>
      <c r="B4402" t="s">
        <v>1519</v>
      </c>
      <c r="C4402" t="s">
        <v>6885</v>
      </c>
      <c r="D4402" t="s">
        <v>13006</v>
      </c>
      <c r="E4402" t="s">
        <v>17024</v>
      </c>
      <c r="F4402" t="s">
        <v>22436</v>
      </c>
      <c r="G4402" t="s">
        <v>22443</v>
      </c>
      <c r="H4402" t="s">
        <v>22452</v>
      </c>
      <c r="I4402" t="s">
        <v>3827</v>
      </c>
      <c r="J4402" t="s">
        <v>25471</v>
      </c>
      <c r="K4402" t="s">
        <v>29342</v>
      </c>
      <c r="M4402" t="s">
        <v>31194</v>
      </c>
      <c r="N4402" t="s">
        <v>32524</v>
      </c>
      <c r="O4402" t="s">
        <v>32525</v>
      </c>
      <c r="P4402">
        <v>0</v>
      </c>
      <c r="Q4402">
        <v>2</v>
      </c>
      <c r="R4402" t="s">
        <v>32530</v>
      </c>
      <c r="S4402" t="s">
        <v>32568</v>
      </c>
      <c r="T4402" t="s">
        <v>33220</v>
      </c>
      <c r="U4402" t="s">
        <v>37325</v>
      </c>
      <c r="W4402" t="s">
        <v>31194</v>
      </c>
      <c r="X4402" t="s">
        <v>32531</v>
      </c>
    </row>
    <row r="4403" spans="1:24">
      <c r="A4403">
        <f>HYPERLINK("https://www.philgeps.gov.ph/GEPSNONPILOT/Tender/SplashBidNoticeAbstractUI.aspx?menuIndex=3&amp;refID=7043130&amp;Result=3","7043130")</f>
        <v>0</v>
      </c>
      <c r="B4403" t="s">
        <v>1520</v>
      </c>
      <c r="C4403" t="s">
        <v>6886</v>
      </c>
      <c r="D4403" t="s">
        <v>12998</v>
      </c>
      <c r="E4403" t="s">
        <v>17025</v>
      </c>
      <c r="F4403" t="s">
        <v>22436</v>
      </c>
      <c r="G4403" t="s">
        <v>22444</v>
      </c>
      <c r="H4403" t="s">
        <v>22454</v>
      </c>
      <c r="I4403" t="s">
        <v>7738</v>
      </c>
      <c r="J4403" t="s">
        <v>25472</v>
      </c>
      <c r="K4403" t="s">
        <v>29344</v>
      </c>
      <c r="M4403" t="s">
        <v>31195</v>
      </c>
      <c r="N4403" t="s">
        <v>32524</v>
      </c>
      <c r="O4403" t="s">
        <v>32525</v>
      </c>
      <c r="P4403">
        <v>0</v>
      </c>
      <c r="Q4403">
        <v>18</v>
      </c>
      <c r="R4403" t="s">
        <v>32530</v>
      </c>
      <c r="S4403" t="s">
        <v>32568</v>
      </c>
      <c r="T4403" t="s">
        <v>33234</v>
      </c>
      <c r="U4403" t="s">
        <v>37326</v>
      </c>
      <c r="V4403" t="s">
        <v>42904</v>
      </c>
      <c r="W4403" t="s">
        <v>31195</v>
      </c>
      <c r="X4403" t="s">
        <v>32531</v>
      </c>
    </row>
    <row r="4404" spans="1:24">
      <c r="A4404">
        <f>HYPERLINK("https://www.philgeps.gov.ph/GEPSNONPILOT/Tender/SplashBidNoticeAbstractUI.aspx?menuIndex=3&amp;refID=7043136&amp;Result=3","7043136")</f>
        <v>0</v>
      </c>
      <c r="B4404" t="s">
        <v>1497</v>
      </c>
      <c r="C4404" t="s">
        <v>6887</v>
      </c>
      <c r="D4404" t="s">
        <v>12988</v>
      </c>
      <c r="E4404" t="s">
        <v>17026</v>
      </c>
      <c r="F4404" t="s">
        <v>22436</v>
      </c>
      <c r="G4404" t="s">
        <v>22444</v>
      </c>
      <c r="H4404" t="s">
        <v>22452</v>
      </c>
      <c r="I4404" t="s">
        <v>3122</v>
      </c>
      <c r="J4404" t="s">
        <v>25473</v>
      </c>
      <c r="K4404" t="s">
        <v>29341</v>
      </c>
      <c r="M4404" t="s">
        <v>31171</v>
      </c>
      <c r="N4404" t="s">
        <v>32524</v>
      </c>
      <c r="O4404" t="s">
        <v>32525</v>
      </c>
      <c r="P4404">
        <v>0</v>
      </c>
      <c r="Q4404">
        <v>0</v>
      </c>
      <c r="R4404" t="s">
        <v>32530</v>
      </c>
      <c r="S4404" t="s">
        <v>32568</v>
      </c>
      <c r="T4404" t="s">
        <v>33253</v>
      </c>
      <c r="U4404" t="s">
        <v>37308</v>
      </c>
      <c r="W4404" t="s">
        <v>31171</v>
      </c>
      <c r="X4404" t="s">
        <v>32531</v>
      </c>
    </row>
    <row r="4405" spans="1:24">
      <c r="A4405">
        <f>HYPERLINK("https://www.philgeps.gov.ph/GEPSNONPILOT/Tender/SplashBidNoticeAbstractUI.aspx?menuIndex=3&amp;refID=7043126&amp;Result=3","7043126")</f>
        <v>0</v>
      </c>
      <c r="B4405" t="s">
        <v>1521</v>
      </c>
      <c r="C4405" t="s">
        <v>6888</v>
      </c>
      <c r="D4405" t="s">
        <v>13066</v>
      </c>
      <c r="E4405" t="s">
        <v>17027</v>
      </c>
      <c r="F4405" t="s">
        <v>22441</v>
      </c>
      <c r="G4405" t="s">
        <v>22444</v>
      </c>
      <c r="H4405" t="s">
        <v>22452</v>
      </c>
      <c r="I4405" t="s">
        <v>3529</v>
      </c>
      <c r="J4405" t="s">
        <v>25474</v>
      </c>
      <c r="K4405" t="s">
        <v>29331</v>
      </c>
      <c r="M4405" t="s">
        <v>31196</v>
      </c>
      <c r="N4405" t="s">
        <v>32524</v>
      </c>
      <c r="O4405" t="s">
        <v>32525</v>
      </c>
      <c r="P4405">
        <v>0</v>
      </c>
      <c r="Q4405">
        <v>0</v>
      </c>
      <c r="R4405" t="s">
        <v>32530</v>
      </c>
      <c r="S4405" t="s">
        <v>32568</v>
      </c>
      <c r="T4405" t="s">
        <v>33324</v>
      </c>
      <c r="U4405" t="s">
        <v>37327</v>
      </c>
      <c r="W4405" t="s">
        <v>31196</v>
      </c>
      <c r="X4405" t="s">
        <v>32531</v>
      </c>
    </row>
    <row r="4406" spans="1:24">
      <c r="A4406">
        <f>HYPERLINK("https://www.philgeps.gov.ph/GEPSNONPILOT/Tender/SplashBidNoticeAbstractUI.aspx?menuIndex=3&amp;refID=7043119&amp;Result=3","7043119")</f>
        <v>0</v>
      </c>
      <c r="B4406" t="s">
        <v>45</v>
      </c>
      <c r="C4406" t="s">
        <v>6889</v>
      </c>
      <c r="D4406" t="s">
        <v>13005</v>
      </c>
      <c r="E4406" t="s">
        <v>17028</v>
      </c>
      <c r="F4406" t="s">
        <v>22436</v>
      </c>
      <c r="G4406" t="s">
        <v>22444</v>
      </c>
      <c r="H4406" t="s">
        <v>22452</v>
      </c>
      <c r="I4406" t="s">
        <v>22464</v>
      </c>
      <c r="J4406" t="s">
        <v>25475</v>
      </c>
      <c r="K4406" t="s">
        <v>29334</v>
      </c>
      <c r="M4406" t="s">
        <v>29616</v>
      </c>
      <c r="N4406" t="s">
        <v>32524</v>
      </c>
      <c r="O4406" t="s">
        <v>32525</v>
      </c>
      <c r="P4406">
        <v>0</v>
      </c>
      <c r="Q4406">
        <v>2</v>
      </c>
      <c r="R4406" t="s">
        <v>32530</v>
      </c>
      <c r="S4406" t="s">
        <v>32568</v>
      </c>
      <c r="T4406" t="s">
        <v>33169</v>
      </c>
      <c r="U4406" t="s">
        <v>37328</v>
      </c>
      <c r="V4406" t="s">
        <v>42905</v>
      </c>
      <c r="W4406" t="s">
        <v>29616</v>
      </c>
      <c r="X4406" t="s">
        <v>32531</v>
      </c>
    </row>
    <row r="4407" spans="1:24">
      <c r="A4407">
        <f>HYPERLINK("https://www.philgeps.gov.ph/GEPSNONPILOT/Tender/SplashBidNoticeAbstractUI.aspx?menuIndex=3&amp;refID=7043122&amp;Result=3","7043122")</f>
        <v>0</v>
      </c>
      <c r="B4407" t="s">
        <v>1522</v>
      </c>
      <c r="C4407" t="s">
        <v>6890</v>
      </c>
      <c r="D4407" t="s">
        <v>13041</v>
      </c>
      <c r="E4407" t="s">
        <v>17029</v>
      </c>
      <c r="F4407" t="s">
        <v>22436</v>
      </c>
      <c r="G4407" t="s">
        <v>22444</v>
      </c>
      <c r="H4407" t="s">
        <v>22452</v>
      </c>
      <c r="I4407" t="s">
        <v>22463</v>
      </c>
      <c r="J4407" t="s">
        <v>25476</v>
      </c>
      <c r="K4407" t="s">
        <v>29335</v>
      </c>
      <c r="M4407" t="s">
        <v>31197</v>
      </c>
      <c r="N4407" t="s">
        <v>32524</v>
      </c>
      <c r="O4407" t="s">
        <v>32525</v>
      </c>
      <c r="P4407">
        <v>0</v>
      </c>
      <c r="Q4407">
        <v>0</v>
      </c>
      <c r="R4407" t="s">
        <v>32530</v>
      </c>
      <c r="S4407" t="s">
        <v>32568</v>
      </c>
      <c r="T4407" t="s">
        <v>33423</v>
      </c>
      <c r="U4407" t="s">
        <v>37329</v>
      </c>
      <c r="W4407" t="s">
        <v>31197</v>
      </c>
      <c r="X4407" t="s">
        <v>32531</v>
      </c>
    </row>
    <row r="4408" spans="1:24">
      <c r="A4408">
        <f>HYPERLINK("https://www.philgeps.gov.ph/GEPSNONPILOT/Tender/SplashBidNoticeAbstractUI.aspx?menuIndex=3&amp;refID=7043133&amp;Result=3","7043133")</f>
        <v>0</v>
      </c>
      <c r="B4408" t="s">
        <v>1522</v>
      </c>
      <c r="C4408" t="s">
        <v>6891</v>
      </c>
      <c r="D4408" t="s">
        <v>12990</v>
      </c>
      <c r="E4408" t="s">
        <v>17030</v>
      </c>
      <c r="F4408" t="s">
        <v>22436</v>
      </c>
      <c r="G4408" t="s">
        <v>22444</v>
      </c>
      <c r="H4408" t="s">
        <v>22452</v>
      </c>
      <c r="I4408" t="s">
        <v>6421</v>
      </c>
      <c r="J4408" t="s">
        <v>25477</v>
      </c>
      <c r="K4408" t="s">
        <v>29362</v>
      </c>
      <c r="M4408" t="s">
        <v>31197</v>
      </c>
      <c r="N4408" t="s">
        <v>32524</v>
      </c>
      <c r="O4408" t="s">
        <v>32525</v>
      </c>
      <c r="P4408">
        <v>0</v>
      </c>
      <c r="Q4408">
        <v>2</v>
      </c>
      <c r="R4408" t="s">
        <v>32530</v>
      </c>
      <c r="S4408" t="s">
        <v>32568</v>
      </c>
      <c r="T4408" t="s">
        <v>33423</v>
      </c>
      <c r="U4408" t="s">
        <v>37330</v>
      </c>
      <c r="W4408" t="s">
        <v>31197</v>
      </c>
      <c r="X4408" t="s">
        <v>32531</v>
      </c>
    </row>
    <row r="4409" spans="1:24">
      <c r="A4409">
        <f>HYPERLINK("https://www.philgeps.gov.ph/GEPSNONPILOT/Tender/SplashBidNoticeAbstractUI.aspx?menuIndex=3&amp;refID=7043117&amp;Result=3","7043117")</f>
        <v>0</v>
      </c>
      <c r="B4409" t="s">
        <v>1235</v>
      </c>
      <c r="C4409" t="s">
        <v>6892</v>
      </c>
      <c r="D4409" t="s">
        <v>13011</v>
      </c>
      <c r="E4409" t="s">
        <v>17031</v>
      </c>
      <c r="F4409" t="s">
        <v>22436</v>
      </c>
      <c r="G4409" t="s">
        <v>22443</v>
      </c>
      <c r="H4409" t="s">
        <v>22454</v>
      </c>
      <c r="I4409" t="s">
        <v>7738</v>
      </c>
      <c r="J4409" t="s">
        <v>25478</v>
      </c>
      <c r="K4409" t="s">
        <v>29335</v>
      </c>
      <c r="M4409" t="s">
        <v>30887</v>
      </c>
      <c r="N4409" t="s">
        <v>32524</v>
      </c>
      <c r="O4409" t="s">
        <v>32525</v>
      </c>
      <c r="P4409">
        <v>0</v>
      </c>
      <c r="Q4409">
        <v>0</v>
      </c>
      <c r="R4409" t="s">
        <v>32530</v>
      </c>
      <c r="S4409" t="s">
        <v>32568</v>
      </c>
      <c r="T4409" t="s">
        <v>33323</v>
      </c>
      <c r="U4409" t="s">
        <v>37331</v>
      </c>
      <c r="W4409" t="s">
        <v>30887</v>
      </c>
      <c r="X4409" t="s">
        <v>32531</v>
      </c>
    </row>
    <row r="4410" spans="1:24">
      <c r="A4410">
        <f>HYPERLINK("https://www.philgeps.gov.ph/GEPSNONPILOT/Tender/SplashBidNoticeAbstractUI.aspx?menuIndex=3&amp;refID=7043110&amp;Result=3","7043110")</f>
        <v>0</v>
      </c>
      <c r="B4410" t="s">
        <v>1235</v>
      </c>
      <c r="C4410" t="s">
        <v>6893</v>
      </c>
      <c r="D4410" t="s">
        <v>13011</v>
      </c>
      <c r="E4410" t="s">
        <v>17032</v>
      </c>
      <c r="F4410" t="s">
        <v>22436</v>
      </c>
      <c r="G4410" t="s">
        <v>22443</v>
      </c>
      <c r="H4410" t="s">
        <v>22452</v>
      </c>
      <c r="I4410" t="s">
        <v>2981</v>
      </c>
      <c r="J4410" t="s">
        <v>25479</v>
      </c>
      <c r="K4410" t="s">
        <v>29330</v>
      </c>
      <c r="M4410" t="s">
        <v>30887</v>
      </c>
      <c r="N4410" t="s">
        <v>32524</v>
      </c>
      <c r="O4410" t="s">
        <v>32525</v>
      </c>
      <c r="P4410">
        <v>0</v>
      </c>
      <c r="Q4410">
        <v>2</v>
      </c>
      <c r="R4410" t="s">
        <v>32530</v>
      </c>
      <c r="S4410" t="s">
        <v>32568</v>
      </c>
      <c r="T4410" t="s">
        <v>33323</v>
      </c>
      <c r="U4410" t="s">
        <v>37332</v>
      </c>
      <c r="W4410" t="s">
        <v>30887</v>
      </c>
      <c r="X4410" t="s">
        <v>32531</v>
      </c>
    </row>
    <row r="4411" spans="1:24">
      <c r="A4411">
        <f>HYPERLINK("https://www.philgeps.gov.ph/GEPSNONPILOT/Tender/SplashBidNoticeAbstractUI.aspx?menuIndex=3&amp;refID=7043121&amp;Result=3","7043121")</f>
        <v>0</v>
      </c>
      <c r="B4411" t="s">
        <v>1523</v>
      </c>
      <c r="C4411" t="s">
        <v>6894</v>
      </c>
      <c r="D4411" t="s">
        <v>13037</v>
      </c>
      <c r="E4411" t="s">
        <v>17033</v>
      </c>
      <c r="F4411" t="s">
        <v>22436</v>
      </c>
      <c r="G4411" t="s">
        <v>22444</v>
      </c>
      <c r="H4411" t="s">
        <v>22455</v>
      </c>
      <c r="I4411" t="s">
        <v>22455</v>
      </c>
      <c r="J4411" t="s">
        <v>25480</v>
      </c>
      <c r="K4411" t="s">
        <v>29388</v>
      </c>
      <c r="M4411" t="s">
        <v>31198</v>
      </c>
      <c r="N4411" t="s">
        <v>32524</v>
      </c>
      <c r="O4411" t="s">
        <v>32525</v>
      </c>
      <c r="Q4411">
        <v>3</v>
      </c>
      <c r="R4411" t="s">
        <v>32530</v>
      </c>
      <c r="S4411" t="s">
        <v>32581</v>
      </c>
      <c r="T4411" t="s">
        <v>33257</v>
      </c>
      <c r="U4411" t="s">
        <v>37333</v>
      </c>
      <c r="W4411" t="s">
        <v>31198</v>
      </c>
      <c r="X4411" t="s">
        <v>32531</v>
      </c>
    </row>
    <row r="4412" spans="1:24">
      <c r="A4412">
        <f>HYPERLINK("https://www.philgeps.gov.ph/GEPSNONPILOT/Tender/SplashBidNoticeAbstractUI.aspx?menuIndex=3&amp;refID=7043105&amp;Result=3","7043105")</f>
        <v>0</v>
      </c>
      <c r="B4412" t="s">
        <v>1381</v>
      </c>
      <c r="C4412" t="s">
        <v>6895</v>
      </c>
      <c r="D4412" t="s">
        <v>13035</v>
      </c>
      <c r="E4412" t="s">
        <v>17034</v>
      </c>
      <c r="F4412" t="s">
        <v>22436</v>
      </c>
      <c r="G4412" t="s">
        <v>22444</v>
      </c>
      <c r="H4412" t="s">
        <v>22452</v>
      </c>
      <c r="I4412" t="s">
        <v>3529</v>
      </c>
      <c r="J4412" t="s">
        <v>25481</v>
      </c>
      <c r="K4412" t="s">
        <v>29337</v>
      </c>
      <c r="M4412" t="s">
        <v>31039</v>
      </c>
      <c r="N4412" t="s">
        <v>32524</v>
      </c>
      <c r="O4412" t="s">
        <v>32525</v>
      </c>
      <c r="P4412">
        <v>0</v>
      </c>
      <c r="Q4412">
        <v>0</v>
      </c>
      <c r="R4412" t="s">
        <v>32530</v>
      </c>
      <c r="S4412" t="s">
        <v>32568</v>
      </c>
      <c r="T4412" t="s">
        <v>33405</v>
      </c>
      <c r="U4412" t="s">
        <v>36957</v>
      </c>
      <c r="V4412" t="s">
        <v>42906</v>
      </c>
      <c r="W4412" t="s">
        <v>31039</v>
      </c>
      <c r="X4412" t="s">
        <v>32531</v>
      </c>
    </row>
    <row r="4413" spans="1:24">
      <c r="A4413">
        <f>HYPERLINK("https://www.philgeps.gov.ph/GEPSNONPILOT/Tender/SplashBidNoticeAbstractUI.aspx?menuIndex=3&amp;refID=7043131&amp;Result=3","7043131")</f>
        <v>0</v>
      </c>
      <c r="B4413" t="s">
        <v>1497</v>
      </c>
      <c r="C4413" t="s">
        <v>6896</v>
      </c>
      <c r="D4413" t="s">
        <v>12988</v>
      </c>
      <c r="E4413" t="s">
        <v>17035</v>
      </c>
      <c r="F4413" t="s">
        <v>22436</v>
      </c>
      <c r="G4413" t="s">
        <v>22444</v>
      </c>
      <c r="H4413" t="s">
        <v>22452</v>
      </c>
      <c r="I4413" t="s">
        <v>3122</v>
      </c>
      <c r="J4413" t="s">
        <v>22936</v>
      </c>
      <c r="K4413" t="s">
        <v>29341</v>
      </c>
      <c r="M4413" t="s">
        <v>31171</v>
      </c>
      <c r="N4413" t="s">
        <v>32524</v>
      </c>
      <c r="O4413" t="s">
        <v>32525</v>
      </c>
      <c r="P4413">
        <v>0</v>
      </c>
      <c r="Q4413">
        <v>1</v>
      </c>
      <c r="R4413" t="s">
        <v>32530</v>
      </c>
      <c r="S4413" t="s">
        <v>32568</v>
      </c>
      <c r="T4413" t="s">
        <v>33253</v>
      </c>
      <c r="U4413" t="s">
        <v>37308</v>
      </c>
      <c r="W4413" t="s">
        <v>31171</v>
      </c>
      <c r="X4413" t="s">
        <v>32531</v>
      </c>
    </row>
    <row r="4414" spans="1:24">
      <c r="A4414">
        <f>HYPERLINK("https://www.philgeps.gov.ph/GEPSNONPILOT/Tender/SplashBidNoticeAbstractUI.aspx?menuIndex=3&amp;refID=7043142&amp;Result=3","7043142")</f>
        <v>0</v>
      </c>
      <c r="B4414" t="s">
        <v>1520</v>
      </c>
      <c r="C4414" t="s">
        <v>6897</v>
      </c>
      <c r="D4414" t="s">
        <v>12998</v>
      </c>
      <c r="E4414" t="s">
        <v>17036</v>
      </c>
      <c r="F4414" t="s">
        <v>22436</v>
      </c>
      <c r="G4414" t="s">
        <v>22444</v>
      </c>
      <c r="H4414" t="s">
        <v>22454</v>
      </c>
      <c r="I4414" t="s">
        <v>7738</v>
      </c>
      <c r="J4414" t="s">
        <v>25482</v>
      </c>
      <c r="K4414" t="s">
        <v>29344</v>
      </c>
      <c r="M4414" t="s">
        <v>31195</v>
      </c>
      <c r="N4414" t="s">
        <v>32524</v>
      </c>
      <c r="O4414" t="s">
        <v>32525</v>
      </c>
      <c r="P4414">
        <v>0</v>
      </c>
      <c r="Q4414">
        <v>19</v>
      </c>
      <c r="R4414" t="s">
        <v>32530</v>
      </c>
      <c r="S4414" t="s">
        <v>32568</v>
      </c>
      <c r="T4414" t="s">
        <v>33234</v>
      </c>
      <c r="U4414" t="s">
        <v>37334</v>
      </c>
      <c r="V4414" t="s">
        <v>42904</v>
      </c>
      <c r="W4414" t="s">
        <v>31195</v>
      </c>
      <c r="X4414" t="s">
        <v>32531</v>
      </c>
    </row>
    <row r="4415" spans="1:24">
      <c r="A4415">
        <f>HYPERLINK("https://www.philgeps.gov.ph/GEPSNONPILOT/Tender/SplashBidNoticeAbstractUI.aspx?menuIndex=3&amp;refID=7043109&amp;Result=3","7043109")</f>
        <v>0</v>
      </c>
      <c r="B4415" t="s">
        <v>1497</v>
      </c>
      <c r="C4415" t="s">
        <v>6898</v>
      </c>
      <c r="D4415" t="s">
        <v>12988</v>
      </c>
      <c r="E4415" t="s">
        <v>17037</v>
      </c>
      <c r="F4415" t="s">
        <v>22436</v>
      </c>
      <c r="G4415" t="s">
        <v>22444</v>
      </c>
      <c r="H4415" t="s">
        <v>22452</v>
      </c>
      <c r="I4415" t="s">
        <v>22460</v>
      </c>
      <c r="J4415" t="s">
        <v>25483</v>
      </c>
      <c r="K4415" t="s">
        <v>29341</v>
      </c>
      <c r="M4415" t="s">
        <v>31171</v>
      </c>
      <c r="N4415" t="s">
        <v>32524</v>
      </c>
      <c r="O4415" t="s">
        <v>32525</v>
      </c>
      <c r="P4415">
        <v>0</v>
      </c>
      <c r="Q4415">
        <v>0</v>
      </c>
      <c r="R4415" t="s">
        <v>32530</v>
      </c>
      <c r="S4415" t="s">
        <v>32568</v>
      </c>
      <c r="T4415" t="s">
        <v>33253</v>
      </c>
      <c r="U4415" t="s">
        <v>34065</v>
      </c>
      <c r="W4415" t="s">
        <v>31171</v>
      </c>
      <c r="X4415" t="s">
        <v>32531</v>
      </c>
    </row>
    <row r="4416" spans="1:24">
      <c r="A4416">
        <f>HYPERLINK("https://www.philgeps.gov.ph/GEPSNONPILOT/Tender/SplashBidNoticeAbstractUI.aspx?menuIndex=3&amp;refID=7043118&amp;Result=3","7043118")</f>
        <v>0</v>
      </c>
      <c r="B4416" t="s">
        <v>1497</v>
      </c>
      <c r="C4416" t="s">
        <v>6899</v>
      </c>
      <c r="D4416" t="s">
        <v>12988</v>
      </c>
      <c r="E4416" t="s">
        <v>17038</v>
      </c>
      <c r="F4416" t="s">
        <v>22436</v>
      </c>
      <c r="G4416" t="s">
        <v>22444</v>
      </c>
      <c r="H4416" t="s">
        <v>22452</v>
      </c>
      <c r="I4416" t="s">
        <v>22460</v>
      </c>
      <c r="J4416" t="s">
        <v>25484</v>
      </c>
      <c r="K4416" t="s">
        <v>29341</v>
      </c>
      <c r="M4416" t="s">
        <v>31171</v>
      </c>
      <c r="N4416" t="s">
        <v>32524</v>
      </c>
      <c r="O4416" t="s">
        <v>32525</v>
      </c>
      <c r="P4416">
        <v>0</v>
      </c>
      <c r="Q4416">
        <v>0</v>
      </c>
      <c r="R4416" t="s">
        <v>32530</v>
      </c>
      <c r="S4416" t="s">
        <v>32568</v>
      </c>
      <c r="T4416" t="s">
        <v>33253</v>
      </c>
      <c r="U4416" t="s">
        <v>34065</v>
      </c>
      <c r="W4416" t="s">
        <v>31171</v>
      </c>
      <c r="X4416" t="s">
        <v>32531</v>
      </c>
    </row>
    <row r="4417" spans="1:24">
      <c r="A4417">
        <f>HYPERLINK("https://www.philgeps.gov.ph/GEPSNONPILOT/Tender/SplashBidNoticeAbstractUI.aspx?menuIndex=3&amp;refID=7043125&amp;Result=3","7043125")</f>
        <v>0</v>
      </c>
      <c r="B4417" t="s">
        <v>1497</v>
      </c>
      <c r="C4417" t="s">
        <v>6900</v>
      </c>
      <c r="D4417" t="s">
        <v>12988</v>
      </c>
      <c r="E4417" t="s">
        <v>17039</v>
      </c>
      <c r="F4417" t="s">
        <v>22436</v>
      </c>
      <c r="G4417" t="s">
        <v>22444</v>
      </c>
      <c r="H4417" t="s">
        <v>22452</v>
      </c>
      <c r="I4417" t="s">
        <v>22460</v>
      </c>
      <c r="J4417" t="s">
        <v>25485</v>
      </c>
      <c r="K4417" t="s">
        <v>29341</v>
      </c>
      <c r="M4417" t="s">
        <v>31171</v>
      </c>
      <c r="N4417" t="s">
        <v>32524</v>
      </c>
      <c r="O4417" t="s">
        <v>32525</v>
      </c>
      <c r="P4417">
        <v>0</v>
      </c>
      <c r="Q4417">
        <v>1</v>
      </c>
      <c r="R4417" t="s">
        <v>32530</v>
      </c>
      <c r="S4417" t="s">
        <v>32568</v>
      </c>
      <c r="T4417" t="s">
        <v>33253</v>
      </c>
      <c r="U4417" t="s">
        <v>34065</v>
      </c>
      <c r="W4417" t="s">
        <v>31171</v>
      </c>
      <c r="X4417" t="s">
        <v>32531</v>
      </c>
    </row>
    <row r="4418" spans="1:24">
      <c r="A4418">
        <f>HYPERLINK("https://www.philgeps.gov.ph/GEPSNONPILOT/Tender/SplashBidNoticeAbstractUI.aspx?menuIndex=3&amp;refID=7043163&amp;Result=3","7043163")</f>
        <v>0</v>
      </c>
      <c r="B4418" t="s">
        <v>1520</v>
      </c>
      <c r="C4418" t="s">
        <v>6901</v>
      </c>
      <c r="D4418" t="s">
        <v>12998</v>
      </c>
      <c r="E4418" t="s">
        <v>17040</v>
      </c>
      <c r="F4418" t="s">
        <v>22436</v>
      </c>
      <c r="G4418" t="s">
        <v>22444</v>
      </c>
      <c r="H4418" t="s">
        <v>22454</v>
      </c>
      <c r="I4418" t="s">
        <v>7738</v>
      </c>
      <c r="J4418" t="s">
        <v>25486</v>
      </c>
      <c r="K4418" t="s">
        <v>29401</v>
      </c>
      <c r="M4418" t="s">
        <v>31195</v>
      </c>
      <c r="N4418" t="s">
        <v>32524</v>
      </c>
      <c r="O4418" t="s">
        <v>32525</v>
      </c>
      <c r="P4418">
        <v>0</v>
      </c>
      <c r="Q4418">
        <v>21</v>
      </c>
      <c r="R4418" t="s">
        <v>32530</v>
      </c>
      <c r="S4418" t="s">
        <v>32568</v>
      </c>
      <c r="T4418" t="s">
        <v>33234</v>
      </c>
      <c r="U4418" t="s">
        <v>37335</v>
      </c>
      <c r="V4418" t="s">
        <v>42904</v>
      </c>
      <c r="W4418" t="s">
        <v>31195</v>
      </c>
      <c r="X4418" t="s">
        <v>32531</v>
      </c>
    </row>
    <row r="4419" spans="1:24">
      <c r="A4419">
        <f>HYPERLINK("https://www.philgeps.gov.ph/GEPSNONPILOT/Tender/SplashBidNoticeAbstractUI.aspx?menuIndex=3&amp;refID=7043114&amp;Result=3","7043114")</f>
        <v>0</v>
      </c>
      <c r="B4419" t="s">
        <v>1235</v>
      </c>
      <c r="C4419" t="s">
        <v>6902</v>
      </c>
      <c r="D4419" t="s">
        <v>13011</v>
      </c>
      <c r="E4419" t="s">
        <v>17041</v>
      </c>
      <c r="F4419" t="s">
        <v>22436</v>
      </c>
      <c r="G4419" t="s">
        <v>22443</v>
      </c>
      <c r="H4419" t="s">
        <v>22452</v>
      </c>
      <c r="I4419" t="s">
        <v>22476</v>
      </c>
      <c r="J4419" t="s">
        <v>25487</v>
      </c>
      <c r="K4419" t="s">
        <v>29336</v>
      </c>
      <c r="M4419" t="s">
        <v>30887</v>
      </c>
      <c r="N4419" t="s">
        <v>32524</v>
      </c>
      <c r="O4419" t="s">
        <v>32525</v>
      </c>
      <c r="P4419">
        <v>0</v>
      </c>
      <c r="Q4419">
        <v>2</v>
      </c>
      <c r="R4419" t="s">
        <v>32530</v>
      </c>
      <c r="S4419" t="s">
        <v>32568</v>
      </c>
      <c r="T4419" t="s">
        <v>33323</v>
      </c>
      <c r="U4419" t="s">
        <v>37336</v>
      </c>
      <c r="W4419" t="s">
        <v>30887</v>
      </c>
      <c r="X4419" t="s">
        <v>32531</v>
      </c>
    </row>
    <row r="4420" spans="1:24">
      <c r="A4420">
        <f>HYPERLINK("https://www.philgeps.gov.ph/GEPSNONPILOT/Tender/SplashBidNoticeAbstractUI.aspx?menuIndex=3&amp;refID=7043138&amp;Result=3","7043138")</f>
        <v>0</v>
      </c>
      <c r="B4420" t="s">
        <v>1523</v>
      </c>
      <c r="C4420" t="s">
        <v>6903</v>
      </c>
      <c r="D4420" t="s">
        <v>13037</v>
      </c>
      <c r="E4420" t="s">
        <v>17042</v>
      </c>
      <c r="F4420" t="s">
        <v>22436</v>
      </c>
      <c r="G4420" t="s">
        <v>22444</v>
      </c>
      <c r="H4420" t="s">
        <v>22455</v>
      </c>
      <c r="I4420" t="s">
        <v>22455</v>
      </c>
      <c r="J4420" t="s">
        <v>25488</v>
      </c>
      <c r="K4420" t="s">
        <v>29335</v>
      </c>
      <c r="M4420" t="s">
        <v>31198</v>
      </c>
      <c r="N4420" t="s">
        <v>32524</v>
      </c>
      <c r="O4420" t="s">
        <v>32525</v>
      </c>
      <c r="Q4420">
        <v>3</v>
      </c>
      <c r="R4420" t="s">
        <v>32530</v>
      </c>
      <c r="S4420" t="s">
        <v>32582</v>
      </c>
      <c r="T4420" t="s">
        <v>33257</v>
      </c>
      <c r="U4420" t="s">
        <v>37337</v>
      </c>
      <c r="W4420" t="s">
        <v>31198</v>
      </c>
      <c r="X4420" t="s">
        <v>32531</v>
      </c>
    </row>
    <row r="4421" spans="1:24">
      <c r="A4421">
        <f>HYPERLINK("https://www.philgeps.gov.ph/GEPSNONPILOT/Tender/SplashBidNoticeAbstractUI.aspx?menuIndex=3&amp;refID=7043160&amp;Result=3","7043160")</f>
        <v>0</v>
      </c>
      <c r="B4421" t="s">
        <v>1497</v>
      </c>
      <c r="C4421" t="s">
        <v>6904</v>
      </c>
      <c r="D4421" t="s">
        <v>12988</v>
      </c>
      <c r="E4421" t="s">
        <v>17043</v>
      </c>
      <c r="F4421" t="s">
        <v>22436</v>
      </c>
      <c r="G4421" t="s">
        <v>22444</v>
      </c>
      <c r="H4421" t="s">
        <v>22452</v>
      </c>
      <c r="I4421" t="s">
        <v>3122</v>
      </c>
      <c r="J4421" t="s">
        <v>25489</v>
      </c>
      <c r="K4421" t="s">
        <v>29341</v>
      </c>
      <c r="M4421" t="s">
        <v>31171</v>
      </c>
      <c r="N4421" t="s">
        <v>32524</v>
      </c>
      <c r="O4421" t="s">
        <v>32525</v>
      </c>
      <c r="P4421">
        <v>0</v>
      </c>
      <c r="Q4421">
        <v>0</v>
      </c>
      <c r="R4421" t="s">
        <v>32530</v>
      </c>
      <c r="S4421" t="s">
        <v>32568</v>
      </c>
      <c r="T4421" t="s">
        <v>33253</v>
      </c>
      <c r="U4421" t="s">
        <v>37308</v>
      </c>
      <c r="W4421" t="s">
        <v>31171</v>
      </c>
      <c r="X4421" t="s">
        <v>32531</v>
      </c>
    </row>
    <row r="4422" spans="1:24">
      <c r="A4422">
        <f>HYPERLINK("https://www.philgeps.gov.ph/GEPSNONPILOT/Tender/SplashBidNoticeAbstractUI.aspx?menuIndex=3&amp;refID=7043157&amp;Result=3","7043157")</f>
        <v>0</v>
      </c>
      <c r="B4422" t="s">
        <v>1224</v>
      </c>
      <c r="C4422" t="s">
        <v>6905</v>
      </c>
      <c r="D4422" t="s">
        <v>13031</v>
      </c>
      <c r="E4422" t="s">
        <v>17044</v>
      </c>
      <c r="F4422" t="s">
        <v>22436</v>
      </c>
      <c r="G4422" t="s">
        <v>22444</v>
      </c>
      <c r="H4422" t="s">
        <v>22452</v>
      </c>
      <c r="I4422" t="s">
        <v>22467</v>
      </c>
      <c r="J4422" t="s">
        <v>25490</v>
      </c>
      <c r="K4422" t="s">
        <v>29357</v>
      </c>
      <c r="M4422" t="s">
        <v>30876</v>
      </c>
      <c r="N4422" t="s">
        <v>32524</v>
      </c>
      <c r="O4422" t="s">
        <v>32525</v>
      </c>
      <c r="P4422">
        <v>0</v>
      </c>
      <c r="Q4422">
        <v>0</v>
      </c>
      <c r="R4422" t="s">
        <v>32530</v>
      </c>
      <c r="S4422" t="s">
        <v>32568</v>
      </c>
      <c r="T4422" t="s">
        <v>33450</v>
      </c>
      <c r="U4422" t="s">
        <v>37338</v>
      </c>
      <c r="V4422" t="s">
        <v>42428</v>
      </c>
      <c r="W4422" t="s">
        <v>30876</v>
      </c>
      <c r="X4422" t="s">
        <v>32531</v>
      </c>
    </row>
    <row r="4423" spans="1:24">
      <c r="A4423">
        <f>HYPERLINK("https://www.philgeps.gov.ph/GEPSNONPILOT/Tender/SplashBidNoticeAbstractUI.aspx?menuIndex=3&amp;refID=7043149&amp;Result=3","7043149")</f>
        <v>0</v>
      </c>
      <c r="B4423" t="s">
        <v>1520</v>
      </c>
      <c r="C4423" t="s">
        <v>6906</v>
      </c>
      <c r="D4423" t="s">
        <v>12998</v>
      </c>
      <c r="E4423" t="s">
        <v>17045</v>
      </c>
      <c r="F4423" t="s">
        <v>22436</v>
      </c>
      <c r="G4423" t="s">
        <v>22444</v>
      </c>
      <c r="H4423" t="s">
        <v>22454</v>
      </c>
      <c r="I4423" t="s">
        <v>7738</v>
      </c>
      <c r="J4423" t="s">
        <v>25491</v>
      </c>
      <c r="K4423" t="s">
        <v>29344</v>
      </c>
      <c r="M4423" t="s">
        <v>31195</v>
      </c>
      <c r="N4423" t="s">
        <v>32524</v>
      </c>
      <c r="O4423" t="s">
        <v>32525</v>
      </c>
      <c r="P4423">
        <v>0</v>
      </c>
      <c r="Q4423">
        <v>21</v>
      </c>
      <c r="R4423" t="s">
        <v>32530</v>
      </c>
      <c r="S4423" t="s">
        <v>32568</v>
      </c>
      <c r="T4423" t="s">
        <v>33234</v>
      </c>
      <c r="U4423" t="s">
        <v>37339</v>
      </c>
      <c r="V4423" t="s">
        <v>42904</v>
      </c>
      <c r="W4423" t="s">
        <v>31195</v>
      </c>
      <c r="X4423" t="s">
        <v>32531</v>
      </c>
    </row>
    <row r="4424" spans="1:24">
      <c r="A4424">
        <f>HYPERLINK("https://www.philgeps.gov.ph/GEPSNONPILOT/Tender/SplashBidNoticeAbstractUI.aspx?menuIndex=3&amp;refID=7043161&amp;Result=3","7043161")</f>
        <v>0</v>
      </c>
      <c r="B4424" t="s">
        <v>1524</v>
      </c>
      <c r="C4424" t="s">
        <v>6907</v>
      </c>
      <c r="E4424" t="s">
        <v>17046</v>
      </c>
      <c r="F4424" t="s">
        <v>22436</v>
      </c>
      <c r="G4424" t="s">
        <v>22444</v>
      </c>
      <c r="H4424" t="s">
        <v>22455</v>
      </c>
      <c r="I4424" t="s">
        <v>22455</v>
      </c>
      <c r="J4424" t="s">
        <v>25492</v>
      </c>
      <c r="K4424" t="s">
        <v>29338</v>
      </c>
      <c r="M4424" t="s">
        <v>31199</v>
      </c>
      <c r="N4424" t="s">
        <v>32524</v>
      </c>
      <c r="O4424" t="s">
        <v>32525</v>
      </c>
      <c r="P4424">
        <v>0</v>
      </c>
      <c r="Q4424">
        <v>1</v>
      </c>
      <c r="R4424" t="s">
        <v>32530</v>
      </c>
      <c r="S4424" t="s">
        <v>32568</v>
      </c>
      <c r="T4424" t="s">
        <v>33230</v>
      </c>
      <c r="U4424" t="s">
        <v>37340</v>
      </c>
      <c r="V4424" t="s">
        <v>42907</v>
      </c>
      <c r="W4424" t="s">
        <v>43725</v>
      </c>
      <c r="X4424" t="s">
        <v>32531</v>
      </c>
    </row>
    <row r="4425" spans="1:24">
      <c r="A4425">
        <f>HYPERLINK("https://www.philgeps.gov.ph/GEPSNONPILOT/Tender/SplashBidNoticeAbstractUI.aspx?menuIndex=3&amp;refID=7043168&amp;Result=3","7043168")</f>
        <v>0</v>
      </c>
      <c r="B4425" t="s">
        <v>1224</v>
      </c>
      <c r="C4425" t="s">
        <v>6908</v>
      </c>
      <c r="D4425" t="s">
        <v>13031</v>
      </c>
      <c r="E4425" t="s">
        <v>17047</v>
      </c>
      <c r="F4425" t="s">
        <v>22436</v>
      </c>
      <c r="G4425" t="s">
        <v>22444</v>
      </c>
      <c r="H4425" t="s">
        <v>22452</v>
      </c>
      <c r="I4425" t="s">
        <v>22460</v>
      </c>
      <c r="J4425" t="s">
        <v>25493</v>
      </c>
      <c r="K4425" t="s">
        <v>29357</v>
      </c>
      <c r="M4425" t="s">
        <v>30876</v>
      </c>
      <c r="N4425" t="s">
        <v>32524</v>
      </c>
      <c r="O4425" t="s">
        <v>32525</v>
      </c>
      <c r="P4425">
        <v>0</v>
      </c>
      <c r="Q4425">
        <v>4</v>
      </c>
      <c r="R4425" t="s">
        <v>32530</v>
      </c>
      <c r="S4425" t="s">
        <v>32568</v>
      </c>
      <c r="T4425" t="s">
        <v>33450</v>
      </c>
      <c r="U4425" t="s">
        <v>37341</v>
      </c>
      <c r="V4425" t="s">
        <v>42428</v>
      </c>
      <c r="W4425" t="s">
        <v>30876</v>
      </c>
      <c r="X4425" t="s">
        <v>32531</v>
      </c>
    </row>
    <row r="4426" spans="1:24">
      <c r="A4426">
        <f>HYPERLINK("https://www.philgeps.gov.ph/GEPSNONPILOT/Tender/SplashBidNoticeAbstractUI.aspx?menuIndex=3&amp;refID=7043173&amp;Result=3","7043173")</f>
        <v>0</v>
      </c>
      <c r="B4426" t="s">
        <v>1224</v>
      </c>
      <c r="C4426" t="s">
        <v>6909</v>
      </c>
      <c r="D4426" t="s">
        <v>13031</v>
      </c>
      <c r="E4426" t="s">
        <v>17048</v>
      </c>
      <c r="F4426" t="s">
        <v>22436</v>
      </c>
      <c r="G4426" t="s">
        <v>22444</v>
      </c>
      <c r="H4426" t="s">
        <v>22452</v>
      </c>
      <c r="I4426" t="s">
        <v>2981</v>
      </c>
      <c r="J4426" t="s">
        <v>25494</v>
      </c>
      <c r="K4426" t="s">
        <v>29357</v>
      </c>
      <c r="M4426" t="s">
        <v>30876</v>
      </c>
      <c r="N4426" t="s">
        <v>32524</v>
      </c>
      <c r="O4426" t="s">
        <v>32525</v>
      </c>
      <c r="P4426">
        <v>0</v>
      </c>
      <c r="Q4426">
        <v>2</v>
      </c>
      <c r="R4426" t="s">
        <v>32530</v>
      </c>
      <c r="S4426" t="s">
        <v>32568</v>
      </c>
      <c r="T4426" t="s">
        <v>33450</v>
      </c>
      <c r="U4426" t="s">
        <v>37342</v>
      </c>
      <c r="V4426" t="s">
        <v>42428</v>
      </c>
      <c r="W4426" t="s">
        <v>30876</v>
      </c>
      <c r="X4426" t="s">
        <v>32531</v>
      </c>
    </row>
    <row r="4427" spans="1:24">
      <c r="A4427">
        <f>HYPERLINK("https://www.philgeps.gov.ph/GEPSNONPILOT/Tender/SplashBidNoticeAbstractUI.aspx?menuIndex=3&amp;refID=7043171&amp;Result=3","7043171")</f>
        <v>0</v>
      </c>
      <c r="B4427" t="s">
        <v>1525</v>
      </c>
      <c r="C4427" t="s">
        <v>6910</v>
      </c>
      <c r="D4427" t="s">
        <v>13068</v>
      </c>
      <c r="E4427" t="s">
        <v>17049</v>
      </c>
      <c r="F4427" t="s">
        <v>22440</v>
      </c>
      <c r="G4427" t="s">
        <v>22444</v>
      </c>
      <c r="H4427" t="s">
        <v>22452</v>
      </c>
      <c r="I4427" t="s">
        <v>3529</v>
      </c>
      <c r="J4427" t="s">
        <v>25495</v>
      </c>
      <c r="K4427" t="s">
        <v>29335</v>
      </c>
      <c r="M4427" t="s">
        <v>31200</v>
      </c>
      <c r="N4427" t="s">
        <v>32524</v>
      </c>
      <c r="O4427" t="s">
        <v>32525</v>
      </c>
      <c r="P4427">
        <v>0</v>
      </c>
      <c r="Q4427">
        <v>0</v>
      </c>
      <c r="R4427" t="s">
        <v>32530</v>
      </c>
      <c r="S4427" t="s">
        <v>32568</v>
      </c>
      <c r="T4427" t="s">
        <v>33342</v>
      </c>
      <c r="U4427" t="s">
        <v>37343</v>
      </c>
      <c r="W4427" t="s">
        <v>31200</v>
      </c>
      <c r="X4427" t="s">
        <v>32531</v>
      </c>
    </row>
    <row r="4428" spans="1:24">
      <c r="A4428">
        <f>HYPERLINK("https://www.philgeps.gov.ph/GEPSNONPILOT/Tender/SplashBidNoticeAbstractUI.aspx?menuIndex=3&amp;refID=7043154&amp;Result=3","7043154")</f>
        <v>0</v>
      </c>
      <c r="B4428" t="s">
        <v>1523</v>
      </c>
      <c r="C4428" t="s">
        <v>6911</v>
      </c>
      <c r="D4428" t="s">
        <v>13037</v>
      </c>
      <c r="E4428" t="s">
        <v>17050</v>
      </c>
      <c r="F4428" t="s">
        <v>22436</v>
      </c>
      <c r="G4428" t="s">
        <v>22444</v>
      </c>
      <c r="H4428" t="s">
        <v>22454</v>
      </c>
      <c r="I4428" t="s">
        <v>7738</v>
      </c>
      <c r="J4428" t="s">
        <v>25496</v>
      </c>
      <c r="K4428" t="s">
        <v>29344</v>
      </c>
      <c r="M4428" t="s">
        <v>31198</v>
      </c>
      <c r="N4428" t="s">
        <v>32524</v>
      </c>
      <c r="O4428" t="s">
        <v>32525</v>
      </c>
      <c r="P4428">
        <v>0</v>
      </c>
      <c r="Q4428">
        <v>0</v>
      </c>
      <c r="R4428" t="s">
        <v>32530</v>
      </c>
      <c r="S4428" t="s">
        <v>32568</v>
      </c>
      <c r="T4428" t="s">
        <v>33212</v>
      </c>
      <c r="U4428" t="s">
        <v>37344</v>
      </c>
      <c r="W4428" t="s">
        <v>31198</v>
      </c>
      <c r="X4428" t="s">
        <v>32531</v>
      </c>
    </row>
    <row r="4429" spans="1:24">
      <c r="A4429">
        <f>HYPERLINK("https://www.philgeps.gov.ph/GEPSNONPILOT/Tender/SplashBidNoticeAbstractUI.aspx?menuIndex=3&amp;refID=7043166&amp;Result=3","7043166")</f>
        <v>0</v>
      </c>
      <c r="B4429" t="s">
        <v>1497</v>
      </c>
      <c r="C4429" t="s">
        <v>6912</v>
      </c>
      <c r="D4429" t="s">
        <v>12988</v>
      </c>
      <c r="E4429" t="s">
        <v>17051</v>
      </c>
      <c r="F4429" t="s">
        <v>22436</v>
      </c>
      <c r="G4429" t="s">
        <v>22444</v>
      </c>
      <c r="H4429" t="s">
        <v>22452</v>
      </c>
      <c r="I4429" t="s">
        <v>3122</v>
      </c>
      <c r="J4429" t="s">
        <v>25497</v>
      </c>
      <c r="K4429" t="s">
        <v>29341</v>
      </c>
      <c r="M4429" t="s">
        <v>31171</v>
      </c>
      <c r="N4429" t="s">
        <v>32524</v>
      </c>
      <c r="O4429" t="s">
        <v>32525</v>
      </c>
      <c r="P4429">
        <v>0</v>
      </c>
      <c r="Q4429">
        <v>0</v>
      </c>
      <c r="R4429" t="s">
        <v>32530</v>
      </c>
      <c r="S4429" t="s">
        <v>32568</v>
      </c>
      <c r="T4429" t="s">
        <v>33253</v>
      </c>
      <c r="U4429" t="s">
        <v>37308</v>
      </c>
      <c r="W4429" t="s">
        <v>31171</v>
      </c>
      <c r="X4429" t="s">
        <v>32531</v>
      </c>
    </row>
    <row r="4430" spans="1:24">
      <c r="A4430">
        <f>HYPERLINK("https://www.philgeps.gov.ph/GEPSNONPILOT/Tender/SplashBidNoticeAbstractUI.aspx?menuIndex=3&amp;refID=7043167&amp;Result=3","7043167")</f>
        <v>0</v>
      </c>
      <c r="B4430" t="s">
        <v>1524</v>
      </c>
      <c r="C4430" t="s">
        <v>6913</v>
      </c>
      <c r="E4430" t="s">
        <v>17052</v>
      </c>
      <c r="F4430" t="s">
        <v>22436</v>
      </c>
      <c r="G4430" t="s">
        <v>22444</v>
      </c>
      <c r="H4430" t="s">
        <v>22455</v>
      </c>
      <c r="I4430" t="s">
        <v>7738</v>
      </c>
      <c r="J4430" t="s">
        <v>25498</v>
      </c>
      <c r="K4430" t="s">
        <v>29338</v>
      </c>
      <c r="M4430" t="s">
        <v>31199</v>
      </c>
      <c r="N4430" t="s">
        <v>32524</v>
      </c>
      <c r="O4430" t="s">
        <v>32525</v>
      </c>
      <c r="P4430">
        <v>0</v>
      </c>
      <c r="Q4430">
        <v>0</v>
      </c>
      <c r="R4430" t="s">
        <v>32530</v>
      </c>
      <c r="S4430" t="s">
        <v>32568</v>
      </c>
      <c r="T4430" t="s">
        <v>33230</v>
      </c>
      <c r="U4430" t="s">
        <v>37345</v>
      </c>
      <c r="V4430" t="s">
        <v>42908</v>
      </c>
      <c r="W4430" t="s">
        <v>43725</v>
      </c>
      <c r="X4430" t="s">
        <v>32531</v>
      </c>
    </row>
    <row r="4431" spans="1:24">
      <c r="A4431">
        <f>HYPERLINK("https://www.philgeps.gov.ph/GEPSNONPILOT/Tender/SplashBidNoticeAbstractUI.aspx?menuIndex=3&amp;refID=7043186&amp;Result=3","7043186")</f>
        <v>0</v>
      </c>
      <c r="B4431" t="s">
        <v>1520</v>
      </c>
      <c r="C4431" t="s">
        <v>6914</v>
      </c>
      <c r="D4431" t="s">
        <v>12998</v>
      </c>
      <c r="E4431" t="s">
        <v>17053</v>
      </c>
      <c r="F4431" t="s">
        <v>22436</v>
      </c>
      <c r="G4431" t="s">
        <v>22444</v>
      </c>
      <c r="H4431" t="s">
        <v>22454</v>
      </c>
      <c r="I4431" t="s">
        <v>7738</v>
      </c>
      <c r="J4431" t="s">
        <v>25499</v>
      </c>
      <c r="K4431" t="s">
        <v>29462</v>
      </c>
      <c r="M4431" t="s">
        <v>31195</v>
      </c>
      <c r="N4431" t="s">
        <v>32524</v>
      </c>
      <c r="O4431" t="s">
        <v>32525</v>
      </c>
      <c r="P4431">
        <v>0</v>
      </c>
      <c r="Q4431">
        <v>14</v>
      </c>
      <c r="R4431" t="s">
        <v>32530</v>
      </c>
      <c r="S4431" t="s">
        <v>32568</v>
      </c>
      <c r="T4431" t="s">
        <v>33234</v>
      </c>
      <c r="U4431" t="s">
        <v>37346</v>
      </c>
      <c r="V4431" t="s">
        <v>42904</v>
      </c>
      <c r="W4431" t="s">
        <v>31195</v>
      </c>
      <c r="X4431" t="s">
        <v>32531</v>
      </c>
    </row>
    <row r="4432" spans="1:24">
      <c r="A4432">
        <f>HYPERLINK("https://www.philgeps.gov.ph/GEPSNONPILOT/Tender/SplashBidNoticeAbstractUI.aspx?menuIndex=3&amp;refID=7043185&amp;Result=3","7043185")</f>
        <v>0</v>
      </c>
      <c r="B4432" t="s">
        <v>1224</v>
      </c>
      <c r="C4432" t="s">
        <v>6915</v>
      </c>
      <c r="D4432" t="s">
        <v>13031</v>
      </c>
      <c r="E4432" t="s">
        <v>17054</v>
      </c>
      <c r="F4432" t="s">
        <v>22436</v>
      </c>
      <c r="G4432" t="s">
        <v>22444</v>
      </c>
      <c r="H4432" t="s">
        <v>22452</v>
      </c>
      <c r="I4432" t="s">
        <v>6421</v>
      </c>
      <c r="J4432" t="s">
        <v>25500</v>
      </c>
      <c r="K4432" t="s">
        <v>29357</v>
      </c>
      <c r="M4432" t="s">
        <v>30876</v>
      </c>
      <c r="N4432" t="s">
        <v>32524</v>
      </c>
      <c r="O4432" t="s">
        <v>32525</v>
      </c>
      <c r="P4432">
        <v>0</v>
      </c>
      <c r="Q4432">
        <v>4</v>
      </c>
      <c r="R4432" t="s">
        <v>32530</v>
      </c>
      <c r="S4432" t="s">
        <v>32568</v>
      </c>
      <c r="T4432" t="s">
        <v>33450</v>
      </c>
      <c r="U4432" t="s">
        <v>37347</v>
      </c>
      <c r="V4432" t="s">
        <v>42428</v>
      </c>
      <c r="W4432" t="s">
        <v>30876</v>
      </c>
      <c r="X4432" t="s">
        <v>32531</v>
      </c>
    </row>
    <row r="4433" spans="1:24">
      <c r="A4433">
        <f>HYPERLINK("https://www.philgeps.gov.ph/GEPSNONPILOT/Tender/SplashBidNoticeAbstractUI.aspx?menuIndex=3&amp;refID=7043175&amp;Result=3","7043175")</f>
        <v>0</v>
      </c>
      <c r="B4433" t="s">
        <v>1497</v>
      </c>
      <c r="C4433" t="s">
        <v>6916</v>
      </c>
      <c r="D4433" t="s">
        <v>12988</v>
      </c>
      <c r="E4433" t="s">
        <v>17055</v>
      </c>
      <c r="F4433" t="s">
        <v>22436</v>
      </c>
      <c r="G4433" t="s">
        <v>22444</v>
      </c>
      <c r="H4433" t="s">
        <v>22452</v>
      </c>
      <c r="I4433" t="s">
        <v>2981</v>
      </c>
      <c r="J4433" t="s">
        <v>25501</v>
      </c>
      <c r="K4433" t="s">
        <v>29341</v>
      </c>
      <c r="M4433" t="s">
        <v>31171</v>
      </c>
      <c r="N4433" t="s">
        <v>32524</v>
      </c>
      <c r="O4433" t="s">
        <v>32525</v>
      </c>
      <c r="P4433">
        <v>0</v>
      </c>
      <c r="Q4433">
        <v>0</v>
      </c>
      <c r="R4433" t="s">
        <v>32530</v>
      </c>
      <c r="S4433" t="s">
        <v>32568</v>
      </c>
      <c r="T4433" t="s">
        <v>33253</v>
      </c>
      <c r="U4433" t="s">
        <v>37299</v>
      </c>
      <c r="W4433" t="s">
        <v>31171</v>
      </c>
      <c r="X4433" t="s">
        <v>32531</v>
      </c>
    </row>
    <row r="4434" spans="1:24">
      <c r="A4434">
        <f>HYPERLINK("https://www.philgeps.gov.ph/GEPSNONPILOT/Tender/SplashBidNoticeAbstractUI.aspx?menuIndex=3&amp;refID=7043143&amp;Result=3","7043143")</f>
        <v>0</v>
      </c>
      <c r="B4434" t="s">
        <v>1523</v>
      </c>
      <c r="C4434" t="s">
        <v>6917</v>
      </c>
      <c r="D4434" t="s">
        <v>13037</v>
      </c>
      <c r="E4434" t="s">
        <v>17056</v>
      </c>
      <c r="F4434" t="s">
        <v>22436</v>
      </c>
      <c r="G4434" t="s">
        <v>22444</v>
      </c>
      <c r="H4434" t="s">
        <v>22455</v>
      </c>
      <c r="I4434" t="s">
        <v>22455</v>
      </c>
      <c r="J4434" t="s">
        <v>25488</v>
      </c>
      <c r="K4434" t="s">
        <v>29335</v>
      </c>
      <c r="M4434" t="s">
        <v>31198</v>
      </c>
      <c r="N4434" t="s">
        <v>32524</v>
      </c>
      <c r="O4434" t="s">
        <v>32525</v>
      </c>
      <c r="Q4434">
        <v>3</v>
      </c>
      <c r="R4434" t="s">
        <v>32530</v>
      </c>
      <c r="S4434" t="s">
        <v>32583</v>
      </c>
      <c r="T4434" t="s">
        <v>33257</v>
      </c>
      <c r="U4434" t="s">
        <v>37348</v>
      </c>
      <c r="W4434" t="s">
        <v>31198</v>
      </c>
      <c r="X4434" t="s">
        <v>32531</v>
      </c>
    </row>
    <row r="4435" spans="1:24">
      <c r="A4435">
        <f>HYPERLINK("https://www.philgeps.gov.ph/GEPSNONPILOT/Tender/SplashBidNoticeAbstractUI.aspx?menuIndex=3&amp;refID=7043188&amp;Result=3","7043188")</f>
        <v>0</v>
      </c>
      <c r="B4435" t="s">
        <v>1509</v>
      </c>
      <c r="C4435" t="s">
        <v>6918</v>
      </c>
      <c r="E4435" t="s">
        <v>17057</v>
      </c>
      <c r="F4435" t="s">
        <v>22436</v>
      </c>
      <c r="G4435" t="s">
        <v>22444</v>
      </c>
      <c r="H4435" t="s">
        <v>22454</v>
      </c>
      <c r="I4435" t="s">
        <v>7738</v>
      </c>
      <c r="J4435" t="s">
        <v>25502</v>
      </c>
      <c r="K4435" t="s">
        <v>29338</v>
      </c>
      <c r="M4435" t="s">
        <v>31201</v>
      </c>
      <c r="N4435" t="s">
        <v>32524</v>
      </c>
      <c r="O4435" t="s">
        <v>32525</v>
      </c>
      <c r="P4435">
        <v>0</v>
      </c>
      <c r="Q4435">
        <v>0</v>
      </c>
      <c r="R4435" t="s">
        <v>32530</v>
      </c>
      <c r="S4435" t="s">
        <v>32568</v>
      </c>
      <c r="T4435" t="s">
        <v>33405</v>
      </c>
      <c r="U4435" t="s">
        <v>37349</v>
      </c>
      <c r="W4435" t="s">
        <v>31201</v>
      </c>
      <c r="X4435" t="s">
        <v>32531</v>
      </c>
    </row>
    <row r="4436" spans="1:24">
      <c r="A4436">
        <f>HYPERLINK("https://www.philgeps.gov.ph/GEPSNONPILOT/Tender/SplashBidNoticeAbstractUI.aspx?menuIndex=3&amp;refID=7043180&amp;Result=3","7043180")</f>
        <v>0</v>
      </c>
      <c r="B4436" t="s">
        <v>1497</v>
      </c>
      <c r="C4436" t="s">
        <v>6919</v>
      </c>
      <c r="D4436" t="s">
        <v>12988</v>
      </c>
      <c r="E4436" t="s">
        <v>17058</v>
      </c>
      <c r="F4436" t="s">
        <v>22436</v>
      </c>
      <c r="G4436" t="s">
        <v>22444</v>
      </c>
      <c r="H4436" t="s">
        <v>22452</v>
      </c>
      <c r="I4436" t="s">
        <v>2981</v>
      </c>
      <c r="J4436" t="s">
        <v>25503</v>
      </c>
      <c r="K4436" t="s">
        <v>29341</v>
      </c>
      <c r="M4436" t="s">
        <v>31171</v>
      </c>
      <c r="N4436" t="s">
        <v>32524</v>
      </c>
      <c r="O4436" t="s">
        <v>32525</v>
      </c>
      <c r="P4436">
        <v>0</v>
      </c>
      <c r="Q4436">
        <v>0</v>
      </c>
      <c r="R4436" t="s">
        <v>32530</v>
      </c>
      <c r="S4436" t="s">
        <v>32568</v>
      </c>
      <c r="T4436" t="s">
        <v>33253</v>
      </c>
      <c r="U4436" t="s">
        <v>37299</v>
      </c>
      <c r="W4436" t="s">
        <v>31171</v>
      </c>
      <c r="X4436" t="s">
        <v>32531</v>
      </c>
    </row>
    <row r="4437" spans="1:24">
      <c r="A4437">
        <f>HYPERLINK("https://www.philgeps.gov.ph/GEPSNONPILOT/Tender/SplashBidNoticeAbstractUI.aspx?menuIndex=3&amp;refID=7043191&amp;Result=3","7043191")</f>
        <v>0</v>
      </c>
      <c r="B4437" t="s">
        <v>1526</v>
      </c>
      <c r="C4437" t="s">
        <v>6920</v>
      </c>
      <c r="D4437" t="s">
        <v>12992</v>
      </c>
      <c r="E4437" t="s">
        <v>17059</v>
      </c>
      <c r="F4437" t="s">
        <v>22437</v>
      </c>
      <c r="G4437" t="s">
        <v>22444</v>
      </c>
      <c r="H4437" t="s">
        <v>22453</v>
      </c>
      <c r="I4437" t="s">
        <v>6387</v>
      </c>
      <c r="J4437" t="s">
        <v>24245</v>
      </c>
      <c r="K4437" t="s">
        <v>29341</v>
      </c>
      <c r="M4437" t="s">
        <v>31202</v>
      </c>
      <c r="N4437" t="s">
        <v>32524</v>
      </c>
      <c r="O4437" t="s">
        <v>32525</v>
      </c>
      <c r="P4437">
        <v>0</v>
      </c>
      <c r="Q4437">
        <v>1</v>
      </c>
      <c r="R4437" t="s">
        <v>32530</v>
      </c>
      <c r="S4437" t="s">
        <v>32568</v>
      </c>
      <c r="T4437" t="s">
        <v>33261</v>
      </c>
      <c r="U4437" t="s">
        <v>37350</v>
      </c>
      <c r="W4437" t="s">
        <v>43726</v>
      </c>
      <c r="X4437" t="s">
        <v>32531</v>
      </c>
    </row>
    <row r="4438" spans="1:24">
      <c r="A4438">
        <f>HYPERLINK("https://www.philgeps.gov.ph/GEPSNONPILOT/Tender/SplashBidNoticeAbstractUI.aspx?menuIndex=3&amp;refID=7043174&amp;Result=3","7043174")</f>
        <v>0</v>
      </c>
      <c r="B4438" t="s">
        <v>1522</v>
      </c>
      <c r="C4438" t="s">
        <v>6921</v>
      </c>
      <c r="D4438" t="s">
        <v>12990</v>
      </c>
      <c r="E4438" t="s">
        <v>17060</v>
      </c>
      <c r="F4438" t="s">
        <v>22436</v>
      </c>
      <c r="G4438" t="s">
        <v>22444</v>
      </c>
      <c r="H4438" t="s">
        <v>22452</v>
      </c>
      <c r="I4438" t="s">
        <v>22463</v>
      </c>
      <c r="J4438" t="s">
        <v>25504</v>
      </c>
      <c r="K4438" t="s">
        <v>29362</v>
      </c>
      <c r="M4438" t="s">
        <v>31197</v>
      </c>
      <c r="N4438" t="s">
        <v>32524</v>
      </c>
      <c r="O4438" t="s">
        <v>32525</v>
      </c>
      <c r="P4438">
        <v>0</v>
      </c>
      <c r="Q4438">
        <v>2</v>
      </c>
      <c r="R4438" t="s">
        <v>32530</v>
      </c>
      <c r="S4438" t="s">
        <v>32568</v>
      </c>
      <c r="T4438" t="s">
        <v>33423</v>
      </c>
      <c r="U4438" t="s">
        <v>37351</v>
      </c>
      <c r="W4438" t="s">
        <v>31197</v>
      </c>
      <c r="X4438" t="s">
        <v>32531</v>
      </c>
    </row>
    <row r="4439" spans="1:24">
      <c r="A4439">
        <f>HYPERLINK("https://www.philgeps.gov.ph/GEPSNONPILOT/Tender/SplashBidNoticeAbstractUI.aspx?menuIndex=3&amp;refID=7043193&amp;Result=3","7043193")</f>
        <v>0</v>
      </c>
      <c r="B4439" t="s">
        <v>1497</v>
      </c>
      <c r="C4439" t="s">
        <v>6922</v>
      </c>
      <c r="D4439" t="s">
        <v>12988</v>
      </c>
      <c r="E4439" t="s">
        <v>17061</v>
      </c>
      <c r="F4439" t="s">
        <v>22436</v>
      </c>
      <c r="G4439" t="s">
        <v>22444</v>
      </c>
      <c r="H4439" t="s">
        <v>22452</v>
      </c>
      <c r="I4439" t="s">
        <v>2981</v>
      </c>
      <c r="J4439" t="s">
        <v>22779</v>
      </c>
      <c r="K4439" t="s">
        <v>29341</v>
      </c>
      <c r="M4439" t="s">
        <v>31171</v>
      </c>
      <c r="N4439" t="s">
        <v>32524</v>
      </c>
      <c r="O4439" t="s">
        <v>32525</v>
      </c>
      <c r="P4439">
        <v>0</v>
      </c>
      <c r="Q4439">
        <v>0</v>
      </c>
      <c r="R4439" t="s">
        <v>32530</v>
      </c>
      <c r="S4439" t="s">
        <v>32568</v>
      </c>
      <c r="T4439" t="s">
        <v>33253</v>
      </c>
      <c r="U4439" t="s">
        <v>37299</v>
      </c>
      <c r="W4439" t="s">
        <v>31171</v>
      </c>
      <c r="X4439" t="s">
        <v>32531</v>
      </c>
    </row>
    <row r="4440" spans="1:24">
      <c r="A4440">
        <f>HYPERLINK("https://www.philgeps.gov.ph/GEPSNONPILOT/Tender/SplashBidNoticeAbstractUI.aspx?menuIndex=3&amp;refID=7043204&amp;Result=3","7043204")</f>
        <v>0</v>
      </c>
      <c r="B4440" t="s">
        <v>1520</v>
      </c>
      <c r="C4440" t="s">
        <v>6923</v>
      </c>
      <c r="D4440" t="s">
        <v>12998</v>
      </c>
      <c r="E4440" t="s">
        <v>17062</v>
      </c>
      <c r="F4440" t="s">
        <v>22436</v>
      </c>
      <c r="G4440" t="s">
        <v>22444</v>
      </c>
      <c r="H4440" t="s">
        <v>22454</v>
      </c>
      <c r="I4440" t="s">
        <v>7738</v>
      </c>
      <c r="J4440" t="s">
        <v>25505</v>
      </c>
      <c r="K4440" t="s">
        <v>29380</v>
      </c>
      <c r="M4440" t="s">
        <v>31195</v>
      </c>
      <c r="N4440" t="s">
        <v>32524</v>
      </c>
      <c r="O4440" t="s">
        <v>32525</v>
      </c>
      <c r="P4440">
        <v>0</v>
      </c>
      <c r="Q4440">
        <v>14</v>
      </c>
      <c r="R4440" t="s">
        <v>32530</v>
      </c>
      <c r="S4440" t="s">
        <v>32568</v>
      </c>
      <c r="T4440" t="s">
        <v>33234</v>
      </c>
      <c r="U4440" t="s">
        <v>37352</v>
      </c>
      <c r="V4440" t="s">
        <v>42904</v>
      </c>
      <c r="W4440" t="s">
        <v>31195</v>
      </c>
      <c r="X4440" t="s">
        <v>32531</v>
      </c>
    </row>
    <row r="4441" spans="1:24">
      <c r="A4441">
        <f>HYPERLINK("https://www.philgeps.gov.ph/GEPSNONPILOT/Tender/SplashBidNoticeAbstractUI.aspx?menuIndex=3&amp;refID=7043206&amp;Result=3","7043206")</f>
        <v>0</v>
      </c>
      <c r="B4441" t="s">
        <v>1527</v>
      </c>
      <c r="C4441" t="s">
        <v>6924</v>
      </c>
      <c r="D4441" t="s">
        <v>13018</v>
      </c>
      <c r="E4441" t="s">
        <v>17063</v>
      </c>
      <c r="F4441" t="s">
        <v>22436</v>
      </c>
      <c r="G4441" t="s">
        <v>22444</v>
      </c>
      <c r="H4441" t="s">
        <v>22452</v>
      </c>
      <c r="I4441" t="s">
        <v>3529</v>
      </c>
      <c r="J4441" t="s">
        <v>25506</v>
      </c>
      <c r="K4441" t="s">
        <v>29345</v>
      </c>
      <c r="M4441" t="s">
        <v>31203</v>
      </c>
      <c r="N4441" t="s">
        <v>32524</v>
      </c>
      <c r="O4441" t="s">
        <v>32525</v>
      </c>
      <c r="P4441">
        <v>0</v>
      </c>
      <c r="Q4441">
        <v>0</v>
      </c>
      <c r="R4441" t="s">
        <v>32530</v>
      </c>
      <c r="S4441" t="s">
        <v>32568</v>
      </c>
      <c r="T4441" t="s">
        <v>33253</v>
      </c>
      <c r="U4441" t="s">
        <v>37353</v>
      </c>
      <c r="W4441" t="s">
        <v>31203</v>
      </c>
      <c r="X4441" t="s">
        <v>32531</v>
      </c>
    </row>
    <row r="4442" spans="1:24">
      <c r="A4442">
        <f>HYPERLINK("https://www.philgeps.gov.ph/GEPSNONPILOT/Tender/SplashBidNoticeAbstractUI.aspx?menuIndex=3&amp;refID=7043195&amp;Result=3","7043195")</f>
        <v>0</v>
      </c>
      <c r="B4442" t="s">
        <v>1528</v>
      </c>
      <c r="C4442" t="s">
        <v>6925</v>
      </c>
      <c r="D4442" t="s">
        <v>13068</v>
      </c>
      <c r="E4442" t="s">
        <v>17064</v>
      </c>
      <c r="F4442" t="s">
        <v>22436</v>
      </c>
      <c r="G4442" t="s">
        <v>22444</v>
      </c>
      <c r="H4442" t="s">
        <v>22452</v>
      </c>
      <c r="I4442" t="s">
        <v>3529</v>
      </c>
      <c r="J4442" t="s">
        <v>25507</v>
      </c>
      <c r="K4442" t="s">
        <v>29335</v>
      </c>
      <c r="M4442" t="s">
        <v>31204</v>
      </c>
      <c r="N4442" t="s">
        <v>32524</v>
      </c>
      <c r="O4442" t="s">
        <v>32525</v>
      </c>
      <c r="P4442">
        <v>0</v>
      </c>
      <c r="Q4442">
        <v>0</v>
      </c>
      <c r="R4442" t="s">
        <v>32530</v>
      </c>
      <c r="S4442" t="s">
        <v>32568</v>
      </c>
      <c r="T4442" t="s">
        <v>33339</v>
      </c>
      <c r="U4442" t="s">
        <v>37354</v>
      </c>
      <c r="W4442" t="s">
        <v>31204</v>
      </c>
      <c r="X4442" t="s">
        <v>32531</v>
      </c>
    </row>
    <row r="4443" spans="1:24">
      <c r="A4443">
        <f>HYPERLINK("https://www.philgeps.gov.ph/GEPSNONPILOT/Tender/SplashBidNoticeAbstractUI.aspx?menuIndex=3&amp;refID=7043192&amp;Result=3","7043192")</f>
        <v>0</v>
      </c>
      <c r="B4443" t="s">
        <v>1224</v>
      </c>
      <c r="C4443" t="s">
        <v>6926</v>
      </c>
      <c r="D4443" t="s">
        <v>13031</v>
      </c>
      <c r="E4443" t="s">
        <v>17065</v>
      </c>
      <c r="F4443" t="s">
        <v>22436</v>
      </c>
      <c r="G4443" t="s">
        <v>22444</v>
      </c>
      <c r="H4443" t="s">
        <v>22452</v>
      </c>
      <c r="I4443" t="s">
        <v>22466</v>
      </c>
      <c r="J4443" t="s">
        <v>25508</v>
      </c>
      <c r="K4443" t="s">
        <v>29357</v>
      </c>
      <c r="M4443" t="s">
        <v>30876</v>
      </c>
      <c r="N4443" t="s">
        <v>32524</v>
      </c>
      <c r="O4443" t="s">
        <v>32525</v>
      </c>
      <c r="P4443">
        <v>0</v>
      </c>
      <c r="Q4443">
        <v>5</v>
      </c>
      <c r="R4443" t="s">
        <v>32530</v>
      </c>
      <c r="S4443" t="s">
        <v>32568</v>
      </c>
      <c r="T4443" t="s">
        <v>33450</v>
      </c>
      <c r="U4443" t="s">
        <v>37355</v>
      </c>
      <c r="V4443" t="s">
        <v>42428</v>
      </c>
      <c r="W4443" t="s">
        <v>30876</v>
      </c>
      <c r="X4443" t="s">
        <v>32531</v>
      </c>
    </row>
    <row r="4444" spans="1:24">
      <c r="A4444">
        <f>HYPERLINK("https://www.philgeps.gov.ph/GEPSNONPILOT/Tender/SplashBidNoticeAbstractUI.aspx?menuIndex=3&amp;refID=7043205&amp;Result=3","7043205")</f>
        <v>0</v>
      </c>
      <c r="B4444" t="s">
        <v>1529</v>
      </c>
      <c r="C4444" t="s">
        <v>6927</v>
      </c>
      <c r="D4444" t="s">
        <v>13040</v>
      </c>
      <c r="E4444" t="s">
        <v>13165</v>
      </c>
      <c r="F4444" t="s">
        <v>22436</v>
      </c>
      <c r="G4444" t="s">
        <v>22444</v>
      </c>
      <c r="H4444" t="s">
        <v>22454</v>
      </c>
      <c r="I4444" t="s">
        <v>7738</v>
      </c>
      <c r="J4444" t="s">
        <v>23424</v>
      </c>
      <c r="K4444" t="s">
        <v>29341</v>
      </c>
      <c r="M4444" t="s">
        <v>31205</v>
      </c>
      <c r="N4444" t="s">
        <v>32524</v>
      </c>
      <c r="O4444" t="s">
        <v>32525</v>
      </c>
      <c r="P4444">
        <v>0</v>
      </c>
      <c r="Q4444">
        <v>0</v>
      </c>
      <c r="R4444" t="s">
        <v>32530</v>
      </c>
      <c r="S4444" t="s">
        <v>32568</v>
      </c>
      <c r="T4444" t="s">
        <v>33154</v>
      </c>
      <c r="U4444" t="s">
        <v>37356</v>
      </c>
      <c r="W4444" t="s">
        <v>31205</v>
      </c>
      <c r="X4444" t="s">
        <v>32531</v>
      </c>
    </row>
    <row r="4445" spans="1:24">
      <c r="A4445">
        <f>HYPERLINK("https://www.philgeps.gov.ph/GEPSNONPILOT/Tender/SplashBidNoticeAbstractUI.aspx?menuIndex=3&amp;refID=7043212&amp;Result=3","7043212")</f>
        <v>0</v>
      </c>
      <c r="B4445" t="s">
        <v>709</v>
      </c>
      <c r="C4445" t="s">
        <v>6928</v>
      </c>
      <c r="D4445" t="s">
        <v>12988</v>
      </c>
      <c r="E4445" t="s">
        <v>17066</v>
      </c>
      <c r="F4445" t="s">
        <v>22436</v>
      </c>
      <c r="G4445" t="s">
        <v>22444</v>
      </c>
      <c r="H4445" t="s">
        <v>22455</v>
      </c>
      <c r="I4445" t="s">
        <v>22455</v>
      </c>
      <c r="J4445" t="s">
        <v>23350</v>
      </c>
      <c r="K4445" t="s">
        <v>29334</v>
      </c>
      <c r="M4445" t="s">
        <v>30306</v>
      </c>
      <c r="N4445" t="s">
        <v>32524</v>
      </c>
      <c r="O4445" t="s">
        <v>32525</v>
      </c>
      <c r="P4445">
        <v>0</v>
      </c>
      <c r="Q4445">
        <v>3</v>
      </c>
      <c r="R4445" t="s">
        <v>32530</v>
      </c>
      <c r="S4445" t="s">
        <v>32568</v>
      </c>
      <c r="T4445" t="s">
        <v>33164</v>
      </c>
      <c r="U4445" t="s">
        <v>37357</v>
      </c>
      <c r="W4445" t="s">
        <v>30306</v>
      </c>
      <c r="X4445" t="s">
        <v>32531</v>
      </c>
    </row>
    <row r="4446" spans="1:24">
      <c r="A4446">
        <f>HYPERLINK("https://www.philgeps.gov.ph/GEPSNONPILOT/Tender/SplashBidNoticeAbstractUI.aspx?menuIndex=3&amp;refID=7043196&amp;Result=3","7043196")</f>
        <v>0</v>
      </c>
      <c r="B4446" t="s">
        <v>1224</v>
      </c>
      <c r="C4446" t="s">
        <v>6929</v>
      </c>
      <c r="D4446" t="s">
        <v>13031</v>
      </c>
      <c r="E4446" t="s">
        <v>17067</v>
      </c>
      <c r="F4446" t="s">
        <v>22436</v>
      </c>
      <c r="G4446" t="s">
        <v>22444</v>
      </c>
      <c r="H4446" t="s">
        <v>22452</v>
      </c>
      <c r="I4446" t="s">
        <v>22566</v>
      </c>
      <c r="J4446" t="s">
        <v>25509</v>
      </c>
      <c r="K4446" t="s">
        <v>29357</v>
      </c>
      <c r="M4446" t="s">
        <v>30876</v>
      </c>
      <c r="N4446" t="s">
        <v>32524</v>
      </c>
      <c r="O4446" t="s">
        <v>32525</v>
      </c>
      <c r="P4446">
        <v>0</v>
      </c>
      <c r="Q4446">
        <v>1</v>
      </c>
      <c r="R4446" t="s">
        <v>32530</v>
      </c>
      <c r="S4446" t="s">
        <v>32568</v>
      </c>
      <c r="T4446" t="s">
        <v>33450</v>
      </c>
      <c r="U4446" t="s">
        <v>37358</v>
      </c>
      <c r="V4446" t="s">
        <v>42428</v>
      </c>
      <c r="W4446" t="s">
        <v>30876</v>
      </c>
      <c r="X4446" t="s">
        <v>32531</v>
      </c>
    </row>
    <row r="4447" spans="1:24">
      <c r="A4447">
        <f>HYPERLINK("https://www.philgeps.gov.ph/GEPSNONPILOT/Tender/SplashBidNoticeAbstractUI.aspx?menuIndex=3&amp;refID=7043213&amp;Result=3","7043213")</f>
        <v>0</v>
      </c>
      <c r="B4447" t="s">
        <v>1527</v>
      </c>
      <c r="C4447" t="s">
        <v>6930</v>
      </c>
      <c r="D4447" t="s">
        <v>13018</v>
      </c>
      <c r="E4447" t="s">
        <v>17068</v>
      </c>
      <c r="F4447" t="s">
        <v>22436</v>
      </c>
      <c r="G4447" t="s">
        <v>22444</v>
      </c>
      <c r="H4447" t="s">
        <v>22454</v>
      </c>
      <c r="I4447" t="s">
        <v>7738</v>
      </c>
      <c r="J4447" t="s">
        <v>25510</v>
      </c>
      <c r="K4447" t="s">
        <v>29463</v>
      </c>
      <c r="M4447" t="s">
        <v>31203</v>
      </c>
      <c r="N4447" t="s">
        <v>32524</v>
      </c>
      <c r="O4447" t="s">
        <v>32525</v>
      </c>
      <c r="P4447">
        <v>0</v>
      </c>
      <c r="Q4447">
        <v>4</v>
      </c>
      <c r="R4447" t="s">
        <v>32530</v>
      </c>
      <c r="S4447" t="s">
        <v>32568</v>
      </c>
      <c r="T4447" t="s">
        <v>33253</v>
      </c>
      <c r="U4447" t="s">
        <v>37359</v>
      </c>
      <c r="W4447" t="s">
        <v>31203</v>
      </c>
      <c r="X4447" t="s">
        <v>32531</v>
      </c>
    </row>
    <row r="4448" spans="1:24">
      <c r="A4448">
        <f>HYPERLINK("https://www.philgeps.gov.ph/GEPSNONPILOT/Tender/SplashBidNoticeAbstractUI.aspx?menuIndex=3&amp;refID=7043208&amp;Result=3","7043208")</f>
        <v>0</v>
      </c>
      <c r="B4448" t="s">
        <v>1530</v>
      </c>
      <c r="C4448" t="s">
        <v>6931</v>
      </c>
      <c r="D4448" t="s">
        <v>13000</v>
      </c>
      <c r="E4448" t="s">
        <v>17069</v>
      </c>
      <c r="F4448" t="s">
        <v>22436</v>
      </c>
      <c r="G4448" t="s">
        <v>22444</v>
      </c>
      <c r="H4448" t="s">
        <v>22454</v>
      </c>
      <c r="I4448" t="s">
        <v>7738</v>
      </c>
      <c r="J4448" t="s">
        <v>22605</v>
      </c>
      <c r="K4448" t="s">
        <v>29335</v>
      </c>
      <c r="M4448" t="s">
        <v>31206</v>
      </c>
      <c r="N4448" t="s">
        <v>32524</v>
      </c>
      <c r="O4448" t="s">
        <v>32525</v>
      </c>
      <c r="P4448">
        <v>0</v>
      </c>
      <c r="Q4448">
        <v>0</v>
      </c>
      <c r="R4448" t="s">
        <v>32530</v>
      </c>
      <c r="S4448" t="s">
        <v>32568</v>
      </c>
      <c r="T4448" t="s">
        <v>33167</v>
      </c>
      <c r="U4448" t="s">
        <v>37360</v>
      </c>
      <c r="W4448" t="s">
        <v>31206</v>
      </c>
      <c r="X4448" t="s">
        <v>32531</v>
      </c>
    </row>
    <row r="4449" spans="1:24">
      <c r="A4449">
        <f>HYPERLINK("https://www.philgeps.gov.ph/GEPSNONPILOT/Tender/SplashBidNoticeAbstractUI.aspx?menuIndex=3&amp;refID=7043224&amp;Result=3","7043224")</f>
        <v>0</v>
      </c>
      <c r="B4449" t="s">
        <v>1531</v>
      </c>
      <c r="C4449" t="s">
        <v>6932</v>
      </c>
      <c r="D4449" t="s">
        <v>13045</v>
      </c>
      <c r="E4449" t="s">
        <v>16606</v>
      </c>
      <c r="F4449" t="s">
        <v>22436</v>
      </c>
      <c r="G4449" t="s">
        <v>22447</v>
      </c>
      <c r="H4449" t="s">
        <v>22452</v>
      </c>
      <c r="I4449" t="s">
        <v>6387</v>
      </c>
      <c r="J4449" t="s">
        <v>25511</v>
      </c>
      <c r="K4449" t="s">
        <v>29341</v>
      </c>
      <c r="M4449" t="s">
        <v>31207</v>
      </c>
      <c r="N4449" t="s">
        <v>32524</v>
      </c>
      <c r="O4449" t="s">
        <v>32525</v>
      </c>
      <c r="P4449">
        <v>0</v>
      </c>
      <c r="Q4449">
        <v>0</v>
      </c>
      <c r="R4449" t="s">
        <v>32530</v>
      </c>
      <c r="S4449" t="s">
        <v>32568</v>
      </c>
      <c r="T4449" t="s">
        <v>33304</v>
      </c>
      <c r="U4449" t="s">
        <v>37361</v>
      </c>
      <c r="W4449" t="s">
        <v>31207</v>
      </c>
      <c r="X4449" t="s">
        <v>32531</v>
      </c>
    </row>
    <row r="4450" spans="1:24">
      <c r="A4450">
        <f>HYPERLINK("https://www.philgeps.gov.ph/GEPSNONPILOT/Tender/SplashBidNoticeAbstractUI.aspx?menuIndex=3&amp;refID=7043228&amp;Result=3","7043228")</f>
        <v>0</v>
      </c>
      <c r="B4450" t="s">
        <v>1209</v>
      </c>
      <c r="C4450" t="s">
        <v>6933</v>
      </c>
      <c r="E4450" t="s">
        <v>17070</v>
      </c>
      <c r="F4450" t="s">
        <v>22436</v>
      </c>
      <c r="G4450" t="s">
        <v>22444</v>
      </c>
      <c r="H4450" t="s">
        <v>22452</v>
      </c>
      <c r="I4450" t="s">
        <v>22557</v>
      </c>
      <c r="J4450" t="s">
        <v>25512</v>
      </c>
      <c r="K4450" t="s">
        <v>29338</v>
      </c>
      <c r="M4450" t="s">
        <v>31208</v>
      </c>
      <c r="N4450" t="s">
        <v>32524</v>
      </c>
      <c r="O4450" t="s">
        <v>32525</v>
      </c>
      <c r="P4450">
        <v>0</v>
      </c>
      <c r="Q4450">
        <v>0</v>
      </c>
      <c r="R4450" t="s">
        <v>32530</v>
      </c>
      <c r="S4450" t="s">
        <v>32568</v>
      </c>
      <c r="T4450" t="s">
        <v>33196</v>
      </c>
      <c r="U4450" t="s">
        <v>37362</v>
      </c>
      <c r="W4450" t="s">
        <v>31208</v>
      </c>
      <c r="X4450" t="s">
        <v>32531</v>
      </c>
    </row>
    <row r="4451" spans="1:24">
      <c r="A4451">
        <f>HYPERLINK("https://www.philgeps.gov.ph/GEPSNONPILOT/Tender/SplashBidNoticeAbstractUI.aspx?menuIndex=3&amp;refID=7043223&amp;Result=3","7043223")</f>
        <v>0</v>
      </c>
      <c r="B4451" t="s">
        <v>1532</v>
      </c>
      <c r="C4451" t="s">
        <v>6934</v>
      </c>
      <c r="D4451" t="s">
        <v>13000</v>
      </c>
      <c r="E4451" t="s">
        <v>17071</v>
      </c>
      <c r="F4451" t="s">
        <v>22436</v>
      </c>
      <c r="G4451" t="s">
        <v>22444</v>
      </c>
      <c r="H4451" t="s">
        <v>22452</v>
      </c>
      <c r="I4451" t="s">
        <v>3529</v>
      </c>
      <c r="J4451" t="s">
        <v>22657</v>
      </c>
      <c r="K4451" t="s">
        <v>29337</v>
      </c>
      <c r="M4451" t="s">
        <v>31209</v>
      </c>
      <c r="N4451" t="s">
        <v>32524</v>
      </c>
      <c r="O4451" t="s">
        <v>32525</v>
      </c>
      <c r="P4451">
        <v>0</v>
      </c>
      <c r="Q4451">
        <v>0</v>
      </c>
      <c r="R4451" t="s">
        <v>32530</v>
      </c>
      <c r="S4451" t="s">
        <v>32568</v>
      </c>
      <c r="T4451" t="s">
        <v>33161</v>
      </c>
      <c r="U4451" t="s">
        <v>37363</v>
      </c>
      <c r="W4451" t="s">
        <v>31209</v>
      </c>
      <c r="X4451" t="s">
        <v>32531</v>
      </c>
    </row>
    <row r="4452" spans="1:24">
      <c r="A4452">
        <f>HYPERLINK("https://www.philgeps.gov.ph/GEPSNONPILOT/Tender/SplashBidNoticeAbstractUI.aspx?menuIndex=3&amp;refID=7043207&amp;Result=3","7043207")</f>
        <v>0</v>
      </c>
      <c r="B4452" t="s">
        <v>1533</v>
      </c>
      <c r="C4452" t="s">
        <v>6935</v>
      </c>
      <c r="D4452" t="s">
        <v>12988</v>
      </c>
      <c r="E4452" t="s">
        <v>13181</v>
      </c>
      <c r="F4452" t="s">
        <v>22436</v>
      </c>
      <c r="G4452" t="s">
        <v>22443</v>
      </c>
      <c r="H4452" t="s">
        <v>22452</v>
      </c>
      <c r="I4452" t="s">
        <v>22502</v>
      </c>
      <c r="J4452" t="s">
        <v>25513</v>
      </c>
      <c r="K4452" t="s">
        <v>29333</v>
      </c>
      <c r="M4452" t="s">
        <v>31210</v>
      </c>
      <c r="N4452" t="s">
        <v>32524</v>
      </c>
      <c r="O4452" t="s">
        <v>32525</v>
      </c>
      <c r="P4452">
        <v>0</v>
      </c>
      <c r="Q4452">
        <v>5</v>
      </c>
      <c r="R4452" t="s">
        <v>32530</v>
      </c>
      <c r="S4452" t="s">
        <v>32568</v>
      </c>
      <c r="T4452" t="s">
        <v>33451</v>
      </c>
      <c r="U4452" t="s">
        <v>37364</v>
      </c>
      <c r="W4452" t="s">
        <v>31210</v>
      </c>
      <c r="X4452" t="s">
        <v>32531</v>
      </c>
    </row>
    <row r="4453" spans="1:24">
      <c r="A4453">
        <f>HYPERLINK("https://www.philgeps.gov.ph/GEPSNONPILOT/Tender/SplashBidNoticeAbstractUI.aspx?menuIndex=3&amp;refID=7043226&amp;Result=3","7043226")</f>
        <v>0</v>
      </c>
      <c r="B4453" t="s">
        <v>1251</v>
      </c>
      <c r="C4453" t="s">
        <v>6936</v>
      </c>
      <c r="E4453" t="s">
        <v>17072</v>
      </c>
      <c r="F4453" t="s">
        <v>22436</v>
      </c>
      <c r="G4453" t="s">
        <v>22443</v>
      </c>
      <c r="H4453" t="s">
        <v>22452</v>
      </c>
      <c r="I4453" t="s">
        <v>22485</v>
      </c>
      <c r="J4453" t="s">
        <v>22695</v>
      </c>
      <c r="K4453" t="s">
        <v>29338</v>
      </c>
      <c r="M4453" t="s">
        <v>30904</v>
      </c>
      <c r="N4453" t="s">
        <v>32524</v>
      </c>
      <c r="O4453" t="s">
        <v>32525</v>
      </c>
      <c r="P4453">
        <v>0</v>
      </c>
      <c r="Q4453">
        <v>0</v>
      </c>
      <c r="R4453" t="s">
        <v>32530</v>
      </c>
      <c r="S4453" t="s">
        <v>32568</v>
      </c>
      <c r="T4453" t="s">
        <v>33238</v>
      </c>
      <c r="U4453" t="s">
        <v>36629</v>
      </c>
      <c r="W4453" t="s">
        <v>30904</v>
      </c>
      <c r="X4453" t="s">
        <v>32531</v>
      </c>
    </row>
    <row r="4454" spans="1:24">
      <c r="A4454">
        <f>HYPERLINK("https://www.philgeps.gov.ph/GEPSNONPILOT/Tender/SplashBidNoticeAbstractUI.aspx?menuIndex=3&amp;refID=7043232&amp;Result=3","7043232")</f>
        <v>0</v>
      </c>
      <c r="B4454" t="s">
        <v>1534</v>
      </c>
      <c r="C4454" t="s">
        <v>5985</v>
      </c>
      <c r="D4454" t="s">
        <v>12988</v>
      </c>
      <c r="E4454" t="s">
        <v>17073</v>
      </c>
      <c r="F4454" t="s">
        <v>22436</v>
      </c>
      <c r="G4454" t="s">
        <v>22444</v>
      </c>
      <c r="H4454" t="s">
        <v>22452</v>
      </c>
      <c r="I4454" t="s">
        <v>2981</v>
      </c>
      <c r="J4454" t="s">
        <v>25514</v>
      </c>
      <c r="K4454" t="s">
        <v>29331</v>
      </c>
      <c r="M4454" t="s">
        <v>31211</v>
      </c>
      <c r="N4454" t="s">
        <v>32524</v>
      </c>
      <c r="O4454" t="s">
        <v>32525</v>
      </c>
      <c r="P4454">
        <v>0</v>
      </c>
      <c r="Q4454">
        <v>0</v>
      </c>
      <c r="R4454" t="s">
        <v>32530</v>
      </c>
      <c r="S4454" t="s">
        <v>32568</v>
      </c>
      <c r="T4454" t="s">
        <v>33161</v>
      </c>
      <c r="U4454" t="s">
        <v>37365</v>
      </c>
      <c r="W4454" t="s">
        <v>31211</v>
      </c>
      <c r="X4454" t="s">
        <v>32531</v>
      </c>
    </row>
    <row r="4455" spans="1:24">
      <c r="A4455">
        <f>HYPERLINK("https://www.philgeps.gov.ph/GEPSNONPILOT/Tender/SplashBidNoticeAbstractUI.aspx?menuIndex=3&amp;refID=7043221&amp;Result=3","7043221")</f>
        <v>0</v>
      </c>
      <c r="B4455" t="s">
        <v>194</v>
      </c>
      <c r="C4455" t="s">
        <v>6937</v>
      </c>
      <c r="D4455" t="s">
        <v>13031</v>
      </c>
      <c r="E4455" t="s">
        <v>13695</v>
      </c>
      <c r="F4455" t="s">
        <v>22436</v>
      </c>
      <c r="G4455" t="s">
        <v>22444</v>
      </c>
      <c r="H4455" t="s">
        <v>22452</v>
      </c>
      <c r="I4455" t="s">
        <v>6387</v>
      </c>
      <c r="J4455" t="s">
        <v>25515</v>
      </c>
      <c r="K4455" t="s">
        <v>29338</v>
      </c>
      <c r="M4455" t="s">
        <v>29767</v>
      </c>
      <c r="N4455" t="s">
        <v>32524</v>
      </c>
      <c r="O4455" t="s">
        <v>32525</v>
      </c>
      <c r="P4455">
        <v>0</v>
      </c>
      <c r="Q4455">
        <v>3</v>
      </c>
      <c r="R4455" t="s">
        <v>32530</v>
      </c>
      <c r="S4455" t="s">
        <v>32568</v>
      </c>
      <c r="T4455" t="s">
        <v>33417</v>
      </c>
      <c r="U4455" t="s">
        <v>37366</v>
      </c>
      <c r="W4455" t="s">
        <v>29767</v>
      </c>
      <c r="X4455" t="s">
        <v>32531</v>
      </c>
    </row>
    <row r="4456" spans="1:24">
      <c r="A4456">
        <f>HYPERLINK("https://www.philgeps.gov.ph/GEPSNONPILOT/Tender/SplashBidNoticeAbstractUI.aspx?menuIndex=3&amp;refID=7043250&amp;Result=3","7043250")</f>
        <v>0</v>
      </c>
      <c r="B4456" t="s">
        <v>684</v>
      </c>
      <c r="C4456" t="s">
        <v>6938</v>
      </c>
      <c r="D4456" t="s">
        <v>13010</v>
      </c>
      <c r="E4456" t="s">
        <v>17074</v>
      </c>
      <c r="F4456" t="s">
        <v>22436</v>
      </c>
      <c r="G4456" t="s">
        <v>22445</v>
      </c>
      <c r="H4456" t="s">
        <v>22452</v>
      </c>
      <c r="I4456" t="s">
        <v>12358</v>
      </c>
      <c r="J4456" t="s">
        <v>25516</v>
      </c>
      <c r="K4456" t="s">
        <v>29335</v>
      </c>
      <c r="M4456" t="s">
        <v>30278</v>
      </c>
      <c r="N4456" t="s">
        <v>32524</v>
      </c>
      <c r="O4456" t="s">
        <v>32525</v>
      </c>
      <c r="P4456">
        <v>0</v>
      </c>
      <c r="Q4456">
        <v>0</v>
      </c>
      <c r="R4456" t="s">
        <v>32530</v>
      </c>
      <c r="S4456" t="s">
        <v>32568</v>
      </c>
      <c r="T4456" t="s">
        <v>33220</v>
      </c>
      <c r="U4456" t="s">
        <v>37367</v>
      </c>
      <c r="W4456" t="s">
        <v>30278</v>
      </c>
      <c r="X4456" t="s">
        <v>32531</v>
      </c>
    </row>
    <row r="4457" spans="1:24">
      <c r="A4457">
        <f>HYPERLINK("https://www.philgeps.gov.ph/GEPSNONPILOT/Tender/SplashBidNoticeAbstractUI.aspx?menuIndex=3&amp;refID=7043233&amp;Result=3","7043233")</f>
        <v>0</v>
      </c>
      <c r="B4457" t="s">
        <v>194</v>
      </c>
      <c r="C4457" t="s">
        <v>6939</v>
      </c>
      <c r="D4457" t="s">
        <v>13031</v>
      </c>
      <c r="E4457" t="s">
        <v>13765</v>
      </c>
      <c r="F4457" t="s">
        <v>22436</v>
      </c>
      <c r="G4457" t="s">
        <v>22444</v>
      </c>
      <c r="H4457" t="s">
        <v>22452</v>
      </c>
      <c r="I4457" t="s">
        <v>6387</v>
      </c>
      <c r="J4457" t="s">
        <v>25517</v>
      </c>
      <c r="K4457" t="s">
        <v>29338</v>
      </c>
      <c r="M4457" t="s">
        <v>29767</v>
      </c>
      <c r="N4457" t="s">
        <v>32524</v>
      </c>
      <c r="O4457" t="s">
        <v>32525</v>
      </c>
      <c r="P4457">
        <v>0</v>
      </c>
      <c r="Q4457">
        <v>4</v>
      </c>
      <c r="R4457" t="s">
        <v>32530</v>
      </c>
      <c r="S4457" t="s">
        <v>32568</v>
      </c>
      <c r="T4457" t="s">
        <v>33417</v>
      </c>
      <c r="U4457" t="s">
        <v>37366</v>
      </c>
      <c r="W4457" t="s">
        <v>29767</v>
      </c>
      <c r="X4457" t="s">
        <v>32531</v>
      </c>
    </row>
    <row r="4458" spans="1:24">
      <c r="A4458">
        <f>HYPERLINK("https://www.philgeps.gov.ph/GEPSNONPILOT/Tender/SplashBidNoticeAbstractUI.aspx?menuIndex=3&amp;refID=7043225&amp;Result=3","7043225")</f>
        <v>0</v>
      </c>
      <c r="B4458" t="s">
        <v>1527</v>
      </c>
      <c r="C4458" t="s">
        <v>6940</v>
      </c>
      <c r="D4458" t="s">
        <v>13018</v>
      </c>
      <c r="E4458" t="s">
        <v>17075</v>
      </c>
      <c r="F4458" t="s">
        <v>22436</v>
      </c>
      <c r="G4458" t="s">
        <v>22444</v>
      </c>
      <c r="H4458" t="s">
        <v>22454</v>
      </c>
      <c r="I4458" t="s">
        <v>7738</v>
      </c>
      <c r="J4458" t="s">
        <v>25518</v>
      </c>
      <c r="K4458" t="s">
        <v>29463</v>
      </c>
      <c r="M4458" t="s">
        <v>31203</v>
      </c>
      <c r="N4458" t="s">
        <v>32524</v>
      </c>
      <c r="O4458" t="s">
        <v>32525</v>
      </c>
      <c r="P4458">
        <v>0</v>
      </c>
      <c r="Q4458">
        <v>4</v>
      </c>
      <c r="R4458" t="s">
        <v>32530</v>
      </c>
      <c r="S4458" t="s">
        <v>32568</v>
      </c>
      <c r="T4458" t="s">
        <v>33253</v>
      </c>
      <c r="U4458" t="s">
        <v>37368</v>
      </c>
      <c r="W4458" t="s">
        <v>31203</v>
      </c>
      <c r="X4458" t="s">
        <v>32531</v>
      </c>
    </row>
    <row r="4459" spans="1:24">
      <c r="A4459">
        <f>HYPERLINK("https://www.philgeps.gov.ph/GEPSNONPILOT/Tender/SplashBidNoticeAbstractUI.aspx?menuIndex=3&amp;refID=7043247&amp;Result=3","7043247")</f>
        <v>0</v>
      </c>
      <c r="B4459" t="s">
        <v>1477</v>
      </c>
      <c r="C4459" t="s">
        <v>6941</v>
      </c>
      <c r="D4459" t="s">
        <v>12988</v>
      </c>
      <c r="E4459" t="s">
        <v>17076</v>
      </c>
      <c r="F4459" t="s">
        <v>22436</v>
      </c>
      <c r="G4459" t="s">
        <v>22443</v>
      </c>
      <c r="H4459" t="s">
        <v>22452</v>
      </c>
      <c r="I4459" t="s">
        <v>22456</v>
      </c>
      <c r="J4459" t="s">
        <v>23120</v>
      </c>
      <c r="K4459" t="s">
        <v>29329</v>
      </c>
      <c r="M4459" t="s">
        <v>31146</v>
      </c>
      <c r="N4459" t="s">
        <v>32524</v>
      </c>
      <c r="O4459" t="s">
        <v>32525</v>
      </c>
      <c r="P4459">
        <v>0</v>
      </c>
      <c r="Q4459">
        <v>5</v>
      </c>
      <c r="R4459" t="s">
        <v>32530</v>
      </c>
      <c r="S4459" t="s">
        <v>32568</v>
      </c>
      <c r="T4459" t="s">
        <v>33310</v>
      </c>
      <c r="U4459" t="s">
        <v>37369</v>
      </c>
      <c r="V4459" t="s">
        <v>42889</v>
      </c>
      <c r="W4459" t="s">
        <v>31146</v>
      </c>
      <c r="X4459" t="s">
        <v>32531</v>
      </c>
    </row>
    <row r="4460" spans="1:24">
      <c r="A4460">
        <f>HYPERLINK("https://www.philgeps.gov.ph/GEPSNONPILOT/Tender/SplashBidNoticeAbstractUI.aspx?menuIndex=3&amp;refID=7043229&amp;Result=3","7043229")</f>
        <v>0</v>
      </c>
      <c r="B4460" t="s">
        <v>1535</v>
      </c>
      <c r="C4460" t="s">
        <v>6942</v>
      </c>
      <c r="D4460" t="s">
        <v>13000</v>
      </c>
      <c r="E4460" t="s">
        <v>17077</v>
      </c>
      <c r="F4460" t="s">
        <v>22436</v>
      </c>
      <c r="G4460" t="s">
        <v>22444</v>
      </c>
      <c r="H4460" t="s">
        <v>22452</v>
      </c>
      <c r="I4460" t="s">
        <v>22504</v>
      </c>
      <c r="J4460" t="s">
        <v>25519</v>
      </c>
      <c r="K4460" t="s">
        <v>29357</v>
      </c>
      <c r="M4460" t="s">
        <v>31212</v>
      </c>
      <c r="N4460" t="s">
        <v>32524</v>
      </c>
      <c r="O4460" t="s">
        <v>32525</v>
      </c>
      <c r="P4460">
        <v>0</v>
      </c>
      <c r="Q4460">
        <v>0</v>
      </c>
      <c r="R4460" t="s">
        <v>32530</v>
      </c>
      <c r="S4460" t="s">
        <v>32568</v>
      </c>
      <c r="T4460" t="s">
        <v>33154</v>
      </c>
      <c r="U4460" t="s">
        <v>37370</v>
      </c>
      <c r="W4460" t="s">
        <v>31212</v>
      </c>
      <c r="X4460" t="s">
        <v>32531</v>
      </c>
    </row>
    <row r="4461" spans="1:24">
      <c r="A4461">
        <f>HYPERLINK("https://www.philgeps.gov.ph/GEPSNONPILOT/Tender/SplashBidNoticeAbstractUI.aspx?menuIndex=3&amp;refID=7043241&amp;Result=3","7043241")</f>
        <v>0</v>
      </c>
      <c r="B4461" t="s">
        <v>684</v>
      </c>
      <c r="C4461" t="s">
        <v>6943</v>
      </c>
      <c r="D4461" t="s">
        <v>13010</v>
      </c>
      <c r="E4461" t="s">
        <v>17078</v>
      </c>
      <c r="F4461" t="s">
        <v>22436</v>
      </c>
      <c r="G4461" t="s">
        <v>22444</v>
      </c>
      <c r="H4461" t="s">
        <v>22452</v>
      </c>
      <c r="I4461" t="s">
        <v>5194</v>
      </c>
      <c r="J4461" t="s">
        <v>25520</v>
      </c>
      <c r="K4461" t="s">
        <v>29335</v>
      </c>
      <c r="M4461" t="s">
        <v>30278</v>
      </c>
      <c r="N4461" t="s">
        <v>32524</v>
      </c>
      <c r="O4461" t="s">
        <v>32525</v>
      </c>
      <c r="P4461">
        <v>0</v>
      </c>
      <c r="Q4461">
        <v>5</v>
      </c>
      <c r="R4461" t="s">
        <v>32530</v>
      </c>
      <c r="S4461" t="s">
        <v>32568</v>
      </c>
      <c r="T4461" t="s">
        <v>33154</v>
      </c>
      <c r="U4461" t="s">
        <v>37371</v>
      </c>
      <c r="W4461" t="s">
        <v>30278</v>
      </c>
      <c r="X4461" t="s">
        <v>32531</v>
      </c>
    </row>
    <row r="4462" spans="1:24">
      <c r="A4462">
        <f>HYPERLINK("https://www.philgeps.gov.ph/GEPSNONPILOT/Tender/SplashBidNoticeAbstractUI.aspx?menuIndex=3&amp;refID=7043202&amp;Result=3","7043202")</f>
        <v>0</v>
      </c>
      <c r="B4462" t="s">
        <v>1533</v>
      </c>
      <c r="C4462" t="s">
        <v>6944</v>
      </c>
      <c r="D4462" t="s">
        <v>12988</v>
      </c>
      <c r="E4462" t="s">
        <v>13092</v>
      </c>
      <c r="F4462" t="s">
        <v>22436</v>
      </c>
      <c r="G4462" t="s">
        <v>22443</v>
      </c>
      <c r="H4462" t="s">
        <v>22452</v>
      </c>
      <c r="I4462" t="s">
        <v>22502</v>
      </c>
      <c r="J4462" t="s">
        <v>25513</v>
      </c>
      <c r="K4462" t="s">
        <v>29333</v>
      </c>
      <c r="M4462" t="s">
        <v>31210</v>
      </c>
      <c r="N4462" t="s">
        <v>32524</v>
      </c>
      <c r="O4462" t="s">
        <v>32525</v>
      </c>
      <c r="P4462">
        <v>0</v>
      </c>
      <c r="Q4462">
        <v>28</v>
      </c>
      <c r="R4462" t="s">
        <v>32530</v>
      </c>
      <c r="S4462" t="s">
        <v>32568</v>
      </c>
      <c r="T4462" t="s">
        <v>33451</v>
      </c>
      <c r="U4462" t="s">
        <v>37372</v>
      </c>
      <c r="W4462" t="s">
        <v>31210</v>
      </c>
      <c r="X4462" t="s">
        <v>32531</v>
      </c>
    </row>
    <row r="4463" spans="1:24">
      <c r="A4463">
        <f>HYPERLINK("https://www.philgeps.gov.ph/GEPSNONPILOT/Tender/SplashBidNoticeAbstractUI.aspx?menuIndex=3&amp;refID=7043249&amp;Result=3","7043249")</f>
        <v>0</v>
      </c>
      <c r="B4463" t="s">
        <v>669</v>
      </c>
      <c r="C4463" t="s">
        <v>6945</v>
      </c>
      <c r="D4463" t="s">
        <v>12988</v>
      </c>
      <c r="E4463" t="s">
        <v>17079</v>
      </c>
      <c r="F4463" t="s">
        <v>22436</v>
      </c>
      <c r="G4463" t="s">
        <v>22444</v>
      </c>
      <c r="H4463" t="s">
        <v>22452</v>
      </c>
      <c r="I4463" t="s">
        <v>22547</v>
      </c>
      <c r="J4463" t="s">
        <v>25521</v>
      </c>
      <c r="K4463" t="s">
        <v>29464</v>
      </c>
      <c r="M4463" t="s">
        <v>31213</v>
      </c>
      <c r="N4463" t="s">
        <v>32524</v>
      </c>
      <c r="O4463" t="s">
        <v>32525</v>
      </c>
      <c r="P4463">
        <v>0</v>
      </c>
      <c r="Q4463">
        <v>10</v>
      </c>
      <c r="R4463" t="s">
        <v>32530</v>
      </c>
      <c r="S4463" t="s">
        <v>32568</v>
      </c>
      <c r="T4463" t="s">
        <v>33397</v>
      </c>
      <c r="U4463" t="s">
        <v>37373</v>
      </c>
      <c r="W4463" t="s">
        <v>31213</v>
      </c>
      <c r="X4463" t="s">
        <v>32531</v>
      </c>
    </row>
    <row r="4464" spans="1:24">
      <c r="A4464">
        <f>HYPERLINK("https://www.philgeps.gov.ph/GEPSNONPILOT/Tender/SplashBidNoticeAbstractUI.aspx?menuIndex=3&amp;refID=7043203&amp;Result=3","7043203")</f>
        <v>0</v>
      </c>
      <c r="B4464" t="s">
        <v>1528</v>
      </c>
      <c r="C4464" t="s">
        <v>6946</v>
      </c>
      <c r="D4464" t="s">
        <v>13068</v>
      </c>
      <c r="E4464" t="s">
        <v>17080</v>
      </c>
      <c r="F4464" t="s">
        <v>22436</v>
      </c>
      <c r="G4464" t="s">
        <v>22444</v>
      </c>
      <c r="H4464" t="s">
        <v>22452</v>
      </c>
      <c r="I4464" t="s">
        <v>22504</v>
      </c>
      <c r="J4464" t="s">
        <v>25522</v>
      </c>
      <c r="K4464" t="s">
        <v>29335</v>
      </c>
      <c r="M4464" t="s">
        <v>31204</v>
      </c>
      <c r="N4464" t="s">
        <v>32524</v>
      </c>
      <c r="O4464" t="s">
        <v>32525</v>
      </c>
      <c r="P4464">
        <v>0</v>
      </c>
      <c r="Q4464">
        <v>0</v>
      </c>
      <c r="R4464" t="s">
        <v>32530</v>
      </c>
      <c r="S4464" t="s">
        <v>32568</v>
      </c>
      <c r="T4464" t="s">
        <v>33339</v>
      </c>
      <c r="U4464" t="s">
        <v>37374</v>
      </c>
      <c r="W4464" t="s">
        <v>31204</v>
      </c>
      <c r="X4464" t="s">
        <v>32531</v>
      </c>
    </row>
    <row r="4465" spans="1:24">
      <c r="A4465">
        <f>HYPERLINK("https://www.philgeps.gov.ph/GEPSNONPILOT/Tender/SplashBidNoticeAbstractUI.aspx?menuIndex=3&amp;refID=7043244&amp;Result=3","7043244")</f>
        <v>0</v>
      </c>
      <c r="B4465" t="s">
        <v>684</v>
      </c>
      <c r="C4465" t="s">
        <v>6947</v>
      </c>
      <c r="D4465" t="s">
        <v>13010</v>
      </c>
      <c r="E4465" t="s">
        <v>17081</v>
      </c>
      <c r="F4465" t="s">
        <v>22436</v>
      </c>
      <c r="G4465" t="s">
        <v>22443</v>
      </c>
      <c r="H4465" t="s">
        <v>22452</v>
      </c>
      <c r="I4465" t="s">
        <v>3529</v>
      </c>
      <c r="J4465" t="s">
        <v>25523</v>
      </c>
      <c r="K4465" t="s">
        <v>29335</v>
      </c>
      <c r="M4465" t="s">
        <v>30278</v>
      </c>
      <c r="N4465" t="s">
        <v>32524</v>
      </c>
      <c r="O4465" t="s">
        <v>32525</v>
      </c>
      <c r="P4465">
        <v>0</v>
      </c>
      <c r="Q4465">
        <v>0</v>
      </c>
      <c r="R4465" t="s">
        <v>32530</v>
      </c>
      <c r="S4465" t="s">
        <v>32568</v>
      </c>
      <c r="T4465" t="s">
        <v>33220</v>
      </c>
      <c r="U4465" t="s">
        <v>35070</v>
      </c>
      <c r="W4465" t="s">
        <v>30278</v>
      </c>
      <c r="X4465" t="s">
        <v>32531</v>
      </c>
    </row>
    <row r="4466" spans="1:24">
      <c r="A4466">
        <f>HYPERLINK("https://www.philgeps.gov.ph/GEPSNONPILOT/Tender/SplashBidNoticeAbstractUI.aspx?menuIndex=3&amp;refID=7043240&amp;Result=3","7043240")</f>
        <v>0</v>
      </c>
      <c r="B4466" t="s">
        <v>1536</v>
      </c>
      <c r="C4466" t="s">
        <v>6948</v>
      </c>
      <c r="D4466" t="s">
        <v>12988</v>
      </c>
      <c r="E4466" t="s">
        <v>17082</v>
      </c>
      <c r="F4466" t="s">
        <v>22436</v>
      </c>
      <c r="G4466" t="s">
        <v>22444</v>
      </c>
      <c r="H4466" t="s">
        <v>22452</v>
      </c>
      <c r="I4466" t="s">
        <v>22502</v>
      </c>
      <c r="J4466" t="s">
        <v>23350</v>
      </c>
      <c r="K4466" t="s">
        <v>29333</v>
      </c>
      <c r="M4466" t="s">
        <v>31214</v>
      </c>
      <c r="N4466" t="s">
        <v>32524</v>
      </c>
      <c r="O4466" t="s">
        <v>32525</v>
      </c>
      <c r="P4466">
        <v>0</v>
      </c>
      <c r="Q4466">
        <v>8</v>
      </c>
      <c r="R4466" t="s">
        <v>32530</v>
      </c>
      <c r="S4466" t="s">
        <v>32568</v>
      </c>
      <c r="T4466" t="s">
        <v>33165</v>
      </c>
      <c r="U4466" t="s">
        <v>37375</v>
      </c>
      <c r="W4466" t="s">
        <v>31214</v>
      </c>
      <c r="X4466" t="s">
        <v>32531</v>
      </c>
    </row>
    <row r="4467" spans="1:24">
      <c r="A4467">
        <f>HYPERLINK("https://www.philgeps.gov.ph/GEPSNONPILOT/Tender/SplashBidNoticeAbstractUI.aspx?menuIndex=3&amp;refID=7043243&amp;Result=3","7043243")</f>
        <v>0</v>
      </c>
      <c r="B4467" t="s">
        <v>1537</v>
      </c>
      <c r="C4467" t="s">
        <v>6949</v>
      </c>
      <c r="D4467" t="s">
        <v>12990</v>
      </c>
      <c r="E4467" t="s">
        <v>17083</v>
      </c>
      <c r="F4467" t="s">
        <v>22436</v>
      </c>
      <c r="G4467" t="s">
        <v>22443</v>
      </c>
      <c r="H4467" t="s">
        <v>22452</v>
      </c>
      <c r="I4467" t="s">
        <v>22466</v>
      </c>
      <c r="J4467" t="s">
        <v>25524</v>
      </c>
      <c r="K4467" t="s">
        <v>29336</v>
      </c>
      <c r="M4467" t="s">
        <v>31215</v>
      </c>
      <c r="N4467" t="s">
        <v>32524</v>
      </c>
      <c r="O4467" t="s">
        <v>32525</v>
      </c>
      <c r="P4467">
        <v>0</v>
      </c>
      <c r="Q4467">
        <v>3</v>
      </c>
      <c r="R4467" t="s">
        <v>32530</v>
      </c>
      <c r="S4467" t="s">
        <v>32568</v>
      </c>
      <c r="T4467" t="s">
        <v>33209</v>
      </c>
      <c r="U4467" t="s">
        <v>37376</v>
      </c>
      <c r="W4467" t="s">
        <v>31215</v>
      </c>
      <c r="X4467" t="s">
        <v>32531</v>
      </c>
    </row>
    <row r="4468" spans="1:24">
      <c r="A4468">
        <f>HYPERLINK("https://www.philgeps.gov.ph/GEPSNONPILOT/Tender/SplashBidNoticeAbstractUI.aspx?menuIndex=3&amp;refID=7043261&amp;Result=3","7043261")</f>
        <v>0</v>
      </c>
      <c r="B4468" t="s">
        <v>1538</v>
      </c>
      <c r="C4468" t="s">
        <v>5985</v>
      </c>
      <c r="D4468" t="s">
        <v>12988</v>
      </c>
      <c r="E4468" t="s">
        <v>17084</v>
      </c>
      <c r="F4468" t="s">
        <v>22436</v>
      </c>
      <c r="G4468" t="s">
        <v>22444</v>
      </c>
      <c r="H4468" t="s">
        <v>22452</v>
      </c>
      <c r="I4468" t="s">
        <v>2981</v>
      </c>
      <c r="J4468" t="s">
        <v>25525</v>
      </c>
      <c r="K4468" t="s">
        <v>29331</v>
      </c>
      <c r="M4468" t="s">
        <v>31216</v>
      </c>
      <c r="N4468" t="s">
        <v>32524</v>
      </c>
      <c r="O4468" t="s">
        <v>32525</v>
      </c>
      <c r="P4468">
        <v>0</v>
      </c>
      <c r="Q4468">
        <v>5</v>
      </c>
      <c r="R4468" t="s">
        <v>32530</v>
      </c>
      <c r="S4468" t="s">
        <v>32568</v>
      </c>
      <c r="T4468" t="s">
        <v>33161</v>
      </c>
      <c r="U4468" t="s">
        <v>37377</v>
      </c>
      <c r="W4468" t="s">
        <v>31216</v>
      </c>
      <c r="X4468" t="s">
        <v>32531</v>
      </c>
    </row>
    <row r="4469" spans="1:24">
      <c r="A4469">
        <f>HYPERLINK("https://www.philgeps.gov.ph/GEPSNONPILOT/Tender/SplashBidNoticeAbstractUI.aspx?menuIndex=3&amp;refID=7043239&amp;Result=3","7043239")</f>
        <v>0</v>
      </c>
      <c r="B4469" t="s">
        <v>194</v>
      </c>
      <c r="C4469" t="s">
        <v>6950</v>
      </c>
      <c r="D4469" t="s">
        <v>13031</v>
      </c>
      <c r="E4469" t="s">
        <v>14577</v>
      </c>
      <c r="F4469" t="s">
        <v>22436</v>
      </c>
      <c r="G4469" t="s">
        <v>22444</v>
      </c>
      <c r="H4469" t="s">
        <v>22452</v>
      </c>
      <c r="I4469" t="s">
        <v>6387</v>
      </c>
      <c r="J4469" t="s">
        <v>25526</v>
      </c>
      <c r="K4469" t="s">
        <v>29338</v>
      </c>
      <c r="M4469" t="s">
        <v>29767</v>
      </c>
      <c r="N4469" t="s">
        <v>32524</v>
      </c>
      <c r="O4469" t="s">
        <v>32525</v>
      </c>
      <c r="P4469">
        <v>0</v>
      </c>
      <c r="Q4469">
        <v>1</v>
      </c>
      <c r="R4469" t="s">
        <v>32530</v>
      </c>
      <c r="S4469" t="s">
        <v>32568</v>
      </c>
      <c r="T4469" t="s">
        <v>33417</v>
      </c>
      <c r="U4469" t="s">
        <v>37366</v>
      </c>
      <c r="W4469" t="s">
        <v>29767</v>
      </c>
      <c r="X4469" t="s">
        <v>32531</v>
      </c>
    </row>
    <row r="4470" spans="1:24">
      <c r="A4470">
        <f>HYPERLINK("https://www.philgeps.gov.ph/GEPSNONPILOT/Tender/SplashBidNoticeAbstractUI.aspx?menuIndex=3&amp;refID=7043257&amp;Result=3","7043257")</f>
        <v>0</v>
      </c>
      <c r="B4470" t="s">
        <v>216</v>
      </c>
      <c r="C4470" t="s">
        <v>6951</v>
      </c>
      <c r="D4470" t="s">
        <v>13000</v>
      </c>
      <c r="E4470" t="s">
        <v>17085</v>
      </c>
      <c r="F4470" t="s">
        <v>22436</v>
      </c>
      <c r="G4470" t="s">
        <v>22444</v>
      </c>
      <c r="H4470" t="s">
        <v>22452</v>
      </c>
      <c r="I4470" t="s">
        <v>22499</v>
      </c>
      <c r="J4470" t="s">
        <v>22960</v>
      </c>
      <c r="K4470" t="s">
        <v>29341</v>
      </c>
      <c r="M4470" t="s">
        <v>29789</v>
      </c>
      <c r="N4470" t="s">
        <v>32524</v>
      </c>
      <c r="O4470" t="s">
        <v>32525</v>
      </c>
      <c r="P4470">
        <v>0</v>
      </c>
      <c r="Q4470">
        <v>5</v>
      </c>
      <c r="R4470" t="s">
        <v>32530</v>
      </c>
      <c r="S4470" t="s">
        <v>32568</v>
      </c>
      <c r="T4470" t="s">
        <v>33345</v>
      </c>
      <c r="U4470" t="s">
        <v>37378</v>
      </c>
      <c r="W4470" t="s">
        <v>29789</v>
      </c>
      <c r="X4470" t="s">
        <v>32531</v>
      </c>
    </row>
    <row r="4471" spans="1:24">
      <c r="A4471">
        <f>HYPERLINK("https://www.philgeps.gov.ph/GEPSNONPILOT/Tender/SplashBidNoticeAbstractUI.aspx?menuIndex=3&amp;refID=7043260&amp;Result=3","7043260")</f>
        <v>0</v>
      </c>
      <c r="B4471" t="s">
        <v>216</v>
      </c>
      <c r="C4471" t="s">
        <v>6952</v>
      </c>
      <c r="D4471" t="s">
        <v>13000</v>
      </c>
      <c r="E4471" t="s">
        <v>17086</v>
      </c>
      <c r="F4471" t="s">
        <v>22436</v>
      </c>
      <c r="G4471" t="s">
        <v>22444</v>
      </c>
      <c r="H4471" t="s">
        <v>22452</v>
      </c>
      <c r="I4471" t="s">
        <v>22476</v>
      </c>
      <c r="J4471" t="s">
        <v>25527</v>
      </c>
      <c r="K4471" t="s">
        <v>29341</v>
      </c>
      <c r="M4471" t="s">
        <v>29789</v>
      </c>
      <c r="N4471" t="s">
        <v>32524</v>
      </c>
      <c r="O4471" t="s">
        <v>32525</v>
      </c>
      <c r="P4471">
        <v>0</v>
      </c>
      <c r="Q4471">
        <v>9</v>
      </c>
      <c r="R4471" t="s">
        <v>32530</v>
      </c>
      <c r="S4471" t="s">
        <v>32568</v>
      </c>
      <c r="T4471" t="s">
        <v>33345</v>
      </c>
      <c r="U4471" t="s">
        <v>37379</v>
      </c>
      <c r="W4471" t="s">
        <v>29789</v>
      </c>
      <c r="X4471" t="s">
        <v>32531</v>
      </c>
    </row>
    <row r="4472" spans="1:24">
      <c r="A4472">
        <f>HYPERLINK("https://www.philgeps.gov.ph/GEPSNONPILOT/Tender/SplashBidNoticeAbstractUI.aspx?menuIndex=3&amp;refID=7043256&amp;Result=3","7043256")</f>
        <v>0</v>
      </c>
      <c r="B4472" t="s">
        <v>684</v>
      </c>
      <c r="C4472" t="s">
        <v>6953</v>
      </c>
      <c r="D4472" t="s">
        <v>13010</v>
      </c>
      <c r="E4472" t="s">
        <v>17087</v>
      </c>
      <c r="F4472" t="s">
        <v>22436</v>
      </c>
      <c r="G4472" t="s">
        <v>22445</v>
      </c>
      <c r="H4472" t="s">
        <v>22452</v>
      </c>
      <c r="I4472" t="s">
        <v>22467</v>
      </c>
      <c r="J4472" t="s">
        <v>22743</v>
      </c>
      <c r="K4472" t="s">
        <v>29335</v>
      </c>
      <c r="M4472" t="s">
        <v>30278</v>
      </c>
      <c r="N4472" t="s">
        <v>32524</v>
      </c>
      <c r="O4472" t="s">
        <v>32525</v>
      </c>
      <c r="P4472">
        <v>0</v>
      </c>
      <c r="Q4472">
        <v>0</v>
      </c>
      <c r="R4472" t="s">
        <v>32530</v>
      </c>
      <c r="S4472" t="s">
        <v>32568</v>
      </c>
      <c r="T4472" t="s">
        <v>33220</v>
      </c>
      <c r="U4472" t="s">
        <v>35070</v>
      </c>
      <c r="W4472" t="s">
        <v>30278</v>
      </c>
      <c r="X4472" t="s">
        <v>32531</v>
      </c>
    </row>
    <row r="4473" spans="1:24">
      <c r="A4473">
        <f>HYPERLINK("https://www.philgeps.gov.ph/GEPSNONPILOT/Tender/SplashBidNoticeAbstractUI.aspx?menuIndex=3&amp;refID=7043258&amp;Result=3","7043258")</f>
        <v>0</v>
      </c>
      <c r="B4473" t="s">
        <v>1539</v>
      </c>
      <c r="C4473" t="s">
        <v>6954</v>
      </c>
      <c r="D4473" t="s">
        <v>13033</v>
      </c>
      <c r="E4473" t="s">
        <v>17088</v>
      </c>
      <c r="F4473" t="s">
        <v>22436</v>
      </c>
      <c r="G4473" t="s">
        <v>22444</v>
      </c>
      <c r="H4473" t="s">
        <v>22454</v>
      </c>
      <c r="I4473" t="s">
        <v>7738</v>
      </c>
      <c r="J4473" t="s">
        <v>23120</v>
      </c>
      <c r="K4473" t="s">
        <v>29336</v>
      </c>
      <c r="M4473" t="s">
        <v>31217</v>
      </c>
      <c r="N4473" t="s">
        <v>32524</v>
      </c>
      <c r="O4473" t="s">
        <v>32525</v>
      </c>
      <c r="P4473">
        <v>0</v>
      </c>
      <c r="Q4473">
        <v>0</v>
      </c>
      <c r="R4473" t="s">
        <v>32530</v>
      </c>
      <c r="S4473" t="s">
        <v>32568</v>
      </c>
      <c r="T4473" t="s">
        <v>33167</v>
      </c>
      <c r="U4473" t="s">
        <v>37380</v>
      </c>
      <c r="W4473" t="s">
        <v>31217</v>
      </c>
      <c r="X4473" t="s">
        <v>32531</v>
      </c>
    </row>
    <row r="4474" spans="1:24">
      <c r="A4474">
        <f>HYPERLINK("https://www.philgeps.gov.ph/GEPSNONPILOT/Tender/SplashBidNoticeAbstractUI.aspx?menuIndex=3&amp;refID=7043265&amp;Result=3","7043265")</f>
        <v>0</v>
      </c>
      <c r="B4474" t="s">
        <v>1540</v>
      </c>
      <c r="C4474" t="s">
        <v>6955</v>
      </c>
      <c r="D4474" t="s">
        <v>13070</v>
      </c>
      <c r="E4474" t="s">
        <v>17089</v>
      </c>
      <c r="F4474" t="s">
        <v>22436</v>
      </c>
      <c r="G4474" t="s">
        <v>22443</v>
      </c>
      <c r="H4474" t="s">
        <v>22452</v>
      </c>
      <c r="I4474" t="s">
        <v>22529</v>
      </c>
      <c r="J4474" t="s">
        <v>25528</v>
      </c>
      <c r="K4474" t="s">
        <v>29331</v>
      </c>
      <c r="M4474" t="s">
        <v>31218</v>
      </c>
      <c r="N4474" t="s">
        <v>32524</v>
      </c>
      <c r="O4474" t="s">
        <v>32525</v>
      </c>
      <c r="P4474">
        <v>0</v>
      </c>
      <c r="Q4474">
        <v>2</v>
      </c>
      <c r="R4474" t="s">
        <v>32530</v>
      </c>
      <c r="S4474" t="s">
        <v>32568</v>
      </c>
      <c r="T4474" t="s">
        <v>33372</v>
      </c>
      <c r="U4474" t="s">
        <v>37381</v>
      </c>
      <c r="V4474" t="s">
        <v>42909</v>
      </c>
      <c r="W4474" t="s">
        <v>31218</v>
      </c>
      <c r="X4474" t="s">
        <v>32531</v>
      </c>
    </row>
    <row r="4475" spans="1:24">
      <c r="A4475">
        <f>HYPERLINK("https://www.philgeps.gov.ph/GEPSNONPILOT/Tender/SplashBidNoticeAbstractUI.aspx?menuIndex=3&amp;refID=7043263&amp;Result=3","7043263")</f>
        <v>0</v>
      </c>
      <c r="B4475" t="s">
        <v>1539</v>
      </c>
      <c r="C4475" t="s">
        <v>6956</v>
      </c>
      <c r="D4475" t="s">
        <v>13033</v>
      </c>
      <c r="E4475" t="s">
        <v>17090</v>
      </c>
      <c r="F4475" t="s">
        <v>22436</v>
      </c>
      <c r="G4475" t="s">
        <v>22444</v>
      </c>
      <c r="H4475" t="s">
        <v>22454</v>
      </c>
      <c r="I4475" t="s">
        <v>7738</v>
      </c>
      <c r="J4475" t="s">
        <v>22588</v>
      </c>
      <c r="K4475" t="s">
        <v>29360</v>
      </c>
      <c r="M4475" t="s">
        <v>31217</v>
      </c>
      <c r="N4475" t="s">
        <v>32524</v>
      </c>
      <c r="O4475" t="s">
        <v>32525</v>
      </c>
      <c r="P4475">
        <v>0</v>
      </c>
      <c r="Q4475">
        <v>0</v>
      </c>
      <c r="R4475" t="s">
        <v>32530</v>
      </c>
      <c r="S4475" t="s">
        <v>32568</v>
      </c>
      <c r="T4475" t="s">
        <v>33167</v>
      </c>
      <c r="U4475" t="s">
        <v>37382</v>
      </c>
      <c r="W4475" t="s">
        <v>31217</v>
      </c>
      <c r="X4475" t="s">
        <v>32531</v>
      </c>
    </row>
    <row r="4476" spans="1:24">
      <c r="A4476">
        <f>HYPERLINK("https://www.philgeps.gov.ph/GEPSNONPILOT/Tender/SplashBidNoticeAbstractUI.aspx?menuIndex=3&amp;refID=7043254&amp;Result=3","7043254")</f>
        <v>0</v>
      </c>
      <c r="B4476" t="s">
        <v>1540</v>
      </c>
      <c r="C4476" t="s">
        <v>6957</v>
      </c>
      <c r="D4476" t="s">
        <v>13004</v>
      </c>
      <c r="E4476" t="s">
        <v>17091</v>
      </c>
      <c r="F4476" t="s">
        <v>22436</v>
      </c>
      <c r="G4476" t="s">
        <v>22443</v>
      </c>
      <c r="H4476" t="s">
        <v>22452</v>
      </c>
      <c r="I4476" t="s">
        <v>22529</v>
      </c>
      <c r="J4476" t="s">
        <v>25528</v>
      </c>
      <c r="K4476" t="s">
        <v>29331</v>
      </c>
      <c r="M4476" t="s">
        <v>31218</v>
      </c>
      <c r="N4476" t="s">
        <v>32524</v>
      </c>
      <c r="O4476" t="s">
        <v>32525</v>
      </c>
      <c r="P4476">
        <v>0</v>
      </c>
      <c r="Q4476">
        <v>2</v>
      </c>
      <c r="R4476" t="s">
        <v>32530</v>
      </c>
      <c r="S4476" t="s">
        <v>32568</v>
      </c>
      <c r="T4476" t="s">
        <v>33372</v>
      </c>
      <c r="U4476" t="s">
        <v>37381</v>
      </c>
      <c r="W4476" t="s">
        <v>31218</v>
      </c>
      <c r="X4476" t="s">
        <v>32531</v>
      </c>
    </row>
    <row r="4477" spans="1:24">
      <c r="A4477">
        <f>HYPERLINK("https://www.philgeps.gov.ph/GEPSNONPILOT/Tender/SplashBidNoticeAbstractUI.aspx?menuIndex=3&amp;refID=7043282&amp;Result=3","7043282")</f>
        <v>0</v>
      </c>
      <c r="B4477" t="s">
        <v>87</v>
      </c>
      <c r="C4477" t="s">
        <v>6958</v>
      </c>
      <c r="E4477" t="s">
        <v>17092</v>
      </c>
      <c r="F4477" t="s">
        <v>22436</v>
      </c>
      <c r="G4477" t="s">
        <v>22447</v>
      </c>
      <c r="H4477" t="s">
        <v>22452</v>
      </c>
      <c r="I4477" t="s">
        <v>22459</v>
      </c>
      <c r="J4477" t="s">
        <v>25529</v>
      </c>
      <c r="K4477" t="s">
        <v>29338</v>
      </c>
      <c r="M4477" t="s">
        <v>29659</v>
      </c>
      <c r="N4477" t="s">
        <v>32524</v>
      </c>
      <c r="O4477" t="s">
        <v>32525</v>
      </c>
      <c r="Q4477">
        <v>1</v>
      </c>
      <c r="R4477" t="s">
        <v>32530</v>
      </c>
      <c r="S4477" t="s">
        <v>32584</v>
      </c>
      <c r="T4477" t="s">
        <v>33212</v>
      </c>
      <c r="U4477" t="s">
        <v>37383</v>
      </c>
      <c r="V4477" t="s">
        <v>42910</v>
      </c>
      <c r="W4477" t="s">
        <v>29659</v>
      </c>
      <c r="X4477" t="s">
        <v>32531</v>
      </c>
    </row>
    <row r="4478" spans="1:24">
      <c r="A4478">
        <f>HYPERLINK("https://www.philgeps.gov.ph/GEPSNONPILOT/Tender/SplashBidNoticeAbstractUI.aspx?menuIndex=3&amp;refID=7043252&amp;Result=3","7043252")</f>
        <v>0</v>
      </c>
      <c r="B4478" t="s">
        <v>1534</v>
      </c>
      <c r="C4478" t="s">
        <v>5985</v>
      </c>
      <c r="D4478" t="s">
        <v>12988</v>
      </c>
      <c r="E4478" t="s">
        <v>17093</v>
      </c>
      <c r="F4478" t="s">
        <v>22436</v>
      </c>
      <c r="G4478" t="s">
        <v>22444</v>
      </c>
      <c r="H4478" t="s">
        <v>22452</v>
      </c>
      <c r="I4478" t="s">
        <v>2981</v>
      </c>
      <c r="J4478" t="s">
        <v>25530</v>
      </c>
      <c r="K4478" t="s">
        <v>29331</v>
      </c>
      <c r="M4478" t="s">
        <v>31211</v>
      </c>
      <c r="N4478" t="s">
        <v>32524</v>
      </c>
      <c r="O4478" t="s">
        <v>32525</v>
      </c>
      <c r="P4478">
        <v>0</v>
      </c>
      <c r="Q4478">
        <v>0</v>
      </c>
      <c r="R4478" t="s">
        <v>32530</v>
      </c>
      <c r="S4478" t="s">
        <v>32568</v>
      </c>
      <c r="T4478" t="s">
        <v>33197</v>
      </c>
      <c r="U4478" t="s">
        <v>37384</v>
      </c>
      <c r="W4478" t="s">
        <v>31211</v>
      </c>
      <c r="X4478" t="s">
        <v>32531</v>
      </c>
    </row>
    <row r="4479" spans="1:24">
      <c r="A4479">
        <f>HYPERLINK("https://www.philgeps.gov.ph/GEPSNONPILOT/Tender/SplashBidNoticeAbstractUI.aspx?menuIndex=3&amp;refID=7043259&amp;Result=3","7043259")</f>
        <v>0</v>
      </c>
      <c r="B4479" t="s">
        <v>1540</v>
      </c>
      <c r="C4479" t="s">
        <v>6959</v>
      </c>
      <c r="D4479" t="s">
        <v>13004</v>
      </c>
      <c r="E4479" t="s">
        <v>17094</v>
      </c>
      <c r="F4479" t="s">
        <v>22436</v>
      </c>
      <c r="G4479" t="s">
        <v>22443</v>
      </c>
      <c r="H4479" t="s">
        <v>22452</v>
      </c>
      <c r="I4479" t="s">
        <v>22529</v>
      </c>
      <c r="J4479" t="s">
        <v>25528</v>
      </c>
      <c r="K4479" t="s">
        <v>29331</v>
      </c>
      <c r="M4479" t="s">
        <v>31218</v>
      </c>
      <c r="N4479" t="s">
        <v>32524</v>
      </c>
      <c r="O4479" t="s">
        <v>32525</v>
      </c>
      <c r="P4479">
        <v>0</v>
      </c>
      <c r="Q4479">
        <v>2</v>
      </c>
      <c r="R4479" t="s">
        <v>32530</v>
      </c>
      <c r="S4479" t="s">
        <v>32568</v>
      </c>
      <c r="T4479" t="s">
        <v>33372</v>
      </c>
      <c r="U4479" t="s">
        <v>37381</v>
      </c>
      <c r="W4479" t="s">
        <v>31218</v>
      </c>
      <c r="X4479" t="s">
        <v>32531</v>
      </c>
    </row>
    <row r="4480" spans="1:24">
      <c r="A4480">
        <f>HYPERLINK("https://www.philgeps.gov.ph/GEPSNONPILOT/Tender/SplashBidNoticeAbstractUI.aspx?menuIndex=3&amp;refID=7043278&amp;Result=3","7043278")</f>
        <v>0</v>
      </c>
      <c r="B4480" t="s">
        <v>1541</v>
      </c>
      <c r="C4480" t="s">
        <v>6960</v>
      </c>
      <c r="D4480" t="s">
        <v>13002</v>
      </c>
      <c r="E4480" t="s">
        <v>17095</v>
      </c>
      <c r="F4480" t="s">
        <v>22436</v>
      </c>
      <c r="G4480" t="s">
        <v>22444</v>
      </c>
      <c r="H4480" t="s">
        <v>22454</v>
      </c>
      <c r="I4480" t="s">
        <v>7738</v>
      </c>
      <c r="J4480" t="s">
        <v>24891</v>
      </c>
      <c r="K4480" t="s">
        <v>29465</v>
      </c>
      <c r="L4480" t="s">
        <v>1541</v>
      </c>
      <c r="M4480" t="s">
        <v>31219</v>
      </c>
      <c r="N4480" t="s">
        <v>32524</v>
      </c>
      <c r="O4480" t="s">
        <v>32525</v>
      </c>
      <c r="P4480">
        <v>0</v>
      </c>
      <c r="Q4480">
        <v>0</v>
      </c>
      <c r="R4480" t="s">
        <v>32530</v>
      </c>
      <c r="S4480" t="s">
        <v>32568</v>
      </c>
      <c r="T4480" t="s">
        <v>33345</v>
      </c>
      <c r="U4480" t="s">
        <v>37385</v>
      </c>
      <c r="W4480" t="s">
        <v>31219</v>
      </c>
      <c r="X4480" t="s">
        <v>32531</v>
      </c>
    </row>
    <row r="4481" spans="1:24">
      <c r="A4481">
        <f>HYPERLINK("https://www.philgeps.gov.ph/GEPSNONPILOT/Tender/SplashBidNoticeAbstractUI.aspx?menuIndex=3&amp;refID=7043277&amp;Result=3","7043277")</f>
        <v>0</v>
      </c>
      <c r="B4481" t="s">
        <v>1541</v>
      </c>
      <c r="C4481" t="s">
        <v>6961</v>
      </c>
      <c r="D4481" t="s">
        <v>13002</v>
      </c>
      <c r="E4481" t="s">
        <v>17096</v>
      </c>
      <c r="F4481" t="s">
        <v>22436</v>
      </c>
      <c r="G4481" t="s">
        <v>22444</v>
      </c>
      <c r="H4481" t="s">
        <v>22454</v>
      </c>
      <c r="I4481" t="s">
        <v>7738</v>
      </c>
      <c r="J4481" t="s">
        <v>24103</v>
      </c>
      <c r="K4481" t="s">
        <v>29334</v>
      </c>
      <c r="L4481" t="s">
        <v>1541</v>
      </c>
      <c r="M4481" t="s">
        <v>31219</v>
      </c>
      <c r="N4481" t="s">
        <v>32524</v>
      </c>
      <c r="O4481" t="s">
        <v>32525</v>
      </c>
      <c r="P4481">
        <v>0</v>
      </c>
      <c r="Q4481">
        <v>1</v>
      </c>
      <c r="R4481" t="s">
        <v>32530</v>
      </c>
      <c r="S4481" t="s">
        <v>32568</v>
      </c>
      <c r="T4481" t="s">
        <v>33345</v>
      </c>
      <c r="U4481" t="s">
        <v>37386</v>
      </c>
      <c r="W4481" t="s">
        <v>31219</v>
      </c>
      <c r="X4481" t="s">
        <v>32531</v>
      </c>
    </row>
    <row r="4482" spans="1:24">
      <c r="A4482">
        <f>HYPERLINK("https://www.philgeps.gov.ph/GEPSNONPILOT/Tender/SplashBidNoticeAbstractUI.aspx?menuIndex=3&amp;refID=7043279&amp;Result=3","7043279")</f>
        <v>0</v>
      </c>
      <c r="B4482" t="s">
        <v>1356</v>
      </c>
      <c r="C4482" t="s">
        <v>6962</v>
      </c>
      <c r="D4482" t="s">
        <v>13019</v>
      </c>
      <c r="E4482" t="s">
        <v>17097</v>
      </c>
      <c r="F4482" t="s">
        <v>22436</v>
      </c>
      <c r="G4482" t="s">
        <v>22443</v>
      </c>
      <c r="H4482" t="s">
        <v>22452</v>
      </c>
      <c r="I4482" t="s">
        <v>2981</v>
      </c>
      <c r="J4482" t="s">
        <v>22640</v>
      </c>
      <c r="K4482" t="s">
        <v>29336</v>
      </c>
      <c r="M4482" t="s">
        <v>31012</v>
      </c>
      <c r="N4482" t="s">
        <v>32524</v>
      </c>
      <c r="O4482" t="s">
        <v>32525</v>
      </c>
      <c r="P4482">
        <v>0</v>
      </c>
      <c r="Q4482">
        <v>0</v>
      </c>
      <c r="R4482" t="s">
        <v>32530</v>
      </c>
      <c r="S4482" t="s">
        <v>32568</v>
      </c>
      <c r="T4482" t="s">
        <v>33220</v>
      </c>
      <c r="U4482" t="s">
        <v>37387</v>
      </c>
      <c r="V4482" t="s">
        <v>42911</v>
      </c>
      <c r="W4482" t="s">
        <v>31012</v>
      </c>
      <c r="X4482" t="s">
        <v>32531</v>
      </c>
    </row>
    <row r="4483" spans="1:24">
      <c r="A4483">
        <f>HYPERLINK("https://www.philgeps.gov.ph/GEPSNONPILOT/Tender/SplashBidNoticeAbstractUI.aspx?menuIndex=3&amp;refID=7043262&amp;Result=3","7043262")</f>
        <v>0</v>
      </c>
      <c r="B4483" t="s">
        <v>216</v>
      </c>
      <c r="C4483" t="s">
        <v>6963</v>
      </c>
      <c r="D4483" t="s">
        <v>13000</v>
      </c>
      <c r="E4483" t="s">
        <v>17098</v>
      </c>
      <c r="F4483" t="s">
        <v>22436</v>
      </c>
      <c r="G4483" t="s">
        <v>22444</v>
      </c>
      <c r="H4483" t="s">
        <v>22452</v>
      </c>
      <c r="I4483" t="s">
        <v>22469</v>
      </c>
      <c r="J4483" t="s">
        <v>22587</v>
      </c>
      <c r="K4483" t="s">
        <v>29341</v>
      </c>
      <c r="M4483" t="s">
        <v>29789</v>
      </c>
      <c r="N4483" t="s">
        <v>32524</v>
      </c>
      <c r="O4483" t="s">
        <v>32525</v>
      </c>
      <c r="P4483">
        <v>0</v>
      </c>
      <c r="Q4483">
        <v>2</v>
      </c>
      <c r="R4483" t="s">
        <v>32530</v>
      </c>
      <c r="S4483" t="s">
        <v>32568</v>
      </c>
      <c r="T4483" t="s">
        <v>33345</v>
      </c>
      <c r="U4483" t="s">
        <v>37388</v>
      </c>
      <c r="V4483" t="s">
        <v>42912</v>
      </c>
      <c r="W4483" t="s">
        <v>29789</v>
      </c>
      <c r="X4483" t="s">
        <v>32531</v>
      </c>
    </row>
    <row r="4484" spans="1:24">
      <c r="A4484">
        <f>HYPERLINK("https://www.philgeps.gov.ph/GEPSNONPILOT/Tender/SplashBidNoticeAbstractUI.aspx?menuIndex=3&amp;refID=7043274&amp;Result=3","7043274")</f>
        <v>0</v>
      </c>
      <c r="B4484" t="s">
        <v>1539</v>
      </c>
      <c r="C4484" t="s">
        <v>6964</v>
      </c>
      <c r="D4484" t="s">
        <v>13033</v>
      </c>
      <c r="E4484" t="s">
        <v>17099</v>
      </c>
      <c r="F4484" t="s">
        <v>22436</v>
      </c>
      <c r="G4484" t="s">
        <v>22444</v>
      </c>
      <c r="H4484" t="s">
        <v>22454</v>
      </c>
      <c r="I4484" t="s">
        <v>7738</v>
      </c>
      <c r="J4484" t="s">
        <v>23093</v>
      </c>
      <c r="K4484" t="s">
        <v>29341</v>
      </c>
      <c r="M4484" t="s">
        <v>31217</v>
      </c>
      <c r="N4484" t="s">
        <v>32524</v>
      </c>
      <c r="O4484" t="s">
        <v>32525</v>
      </c>
      <c r="P4484">
        <v>0</v>
      </c>
      <c r="Q4484">
        <v>0</v>
      </c>
      <c r="R4484" t="s">
        <v>32530</v>
      </c>
      <c r="S4484" t="s">
        <v>32568</v>
      </c>
      <c r="T4484" t="s">
        <v>33167</v>
      </c>
      <c r="U4484" t="s">
        <v>37389</v>
      </c>
      <c r="W4484" t="s">
        <v>31217</v>
      </c>
      <c r="X4484" t="s">
        <v>32531</v>
      </c>
    </row>
    <row r="4485" spans="1:24">
      <c r="A4485">
        <f>HYPERLINK("https://www.philgeps.gov.ph/GEPSNONPILOT/Tender/SplashBidNoticeAbstractUI.aspx?menuIndex=3&amp;refID=7043276&amp;Result=3","7043276")</f>
        <v>0</v>
      </c>
      <c r="B4485" t="s">
        <v>1356</v>
      </c>
      <c r="C4485" t="s">
        <v>6965</v>
      </c>
      <c r="D4485" t="s">
        <v>13019</v>
      </c>
      <c r="E4485" t="s">
        <v>17100</v>
      </c>
      <c r="F4485" t="s">
        <v>22436</v>
      </c>
      <c r="G4485" t="s">
        <v>22446</v>
      </c>
      <c r="H4485" t="s">
        <v>22452</v>
      </c>
      <c r="I4485" t="s">
        <v>22494</v>
      </c>
      <c r="J4485" t="s">
        <v>22640</v>
      </c>
      <c r="K4485" t="s">
        <v>29336</v>
      </c>
      <c r="M4485" t="s">
        <v>31012</v>
      </c>
      <c r="N4485" t="s">
        <v>32524</v>
      </c>
      <c r="O4485" t="s">
        <v>32525</v>
      </c>
      <c r="P4485">
        <v>0</v>
      </c>
      <c r="Q4485">
        <v>0</v>
      </c>
      <c r="R4485" t="s">
        <v>32530</v>
      </c>
      <c r="S4485" t="s">
        <v>32568</v>
      </c>
      <c r="T4485" t="s">
        <v>33220</v>
      </c>
      <c r="U4485" t="s">
        <v>37390</v>
      </c>
      <c r="V4485" t="s">
        <v>42913</v>
      </c>
      <c r="W4485" t="s">
        <v>31012</v>
      </c>
      <c r="X4485" t="s">
        <v>32531</v>
      </c>
    </row>
    <row r="4486" spans="1:24">
      <c r="A4486">
        <f>HYPERLINK("https://www.philgeps.gov.ph/GEPSNONPILOT/Tender/SplashBidNoticeAbstractUI.aspx?menuIndex=3&amp;refID=7043292&amp;Result=3","7043292")</f>
        <v>0</v>
      </c>
      <c r="B4486" t="s">
        <v>1541</v>
      </c>
      <c r="C4486" t="s">
        <v>6966</v>
      </c>
      <c r="D4486" t="s">
        <v>13002</v>
      </c>
      <c r="E4486" t="s">
        <v>17101</v>
      </c>
      <c r="F4486" t="s">
        <v>22436</v>
      </c>
      <c r="G4486" t="s">
        <v>22444</v>
      </c>
      <c r="H4486" t="s">
        <v>22452</v>
      </c>
      <c r="I4486" t="s">
        <v>22464</v>
      </c>
      <c r="J4486" t="s">
        <v>25531</v>
      </c>
      <c r="K4486" t="s">
        <v>29377</v>
      </c>
      <c r="L4486" t="s">
        <v>1541</v>
      </c>
      <c r="M4486" t="s">
        <v>31219</v>
      </c>
      <c r="N4486" t="s">
        <v>32524</v>
      </c>
      <c r="O4486" t="s">
        <v>32525</v>
      </c>
      <c r="P4486">
        <v>0</v>
      </c>
      <c r="Q4486">
        <v>0</v>
      </c>
      <c r="R4486" t="s">
        <v>32530</v>
      </c>
      <c r="S4486" t="s">
        <v>32568</v>
      </c>
      <c r="T4486" t="s">
        <v>33167</v>
      </c>
      <c r="U4486" t="s">
        <v>37391</v>
      </c>
      <c r="W4486" t="s">
        <v>31219</v>
      </c>
      <c r="X4486" t="s">
        <v>32531</v>
      </c>
    </row>
    <row r="4487" spans="1:24">
      <c r="A4487">
        <f>HYPERLINK("https://www.philgeps.gov.ph/GEPSNONPILOT/Tender/SplashBidNoticeAbstractUI.aspx?menuIndex=3&amp;refID=7043273&amp;Result=3","7043273")</f>
        <v>0</v>
      </c>
      <c r="B4487" t="s">
        <v>1541</v>
      </c>
      <c r="C4487" t="s">
        <v>6967</v>
      </c>
      <c r="D4487" t="s">
        <v>13002</v>
      </c>
      <c r="E4487" t="s">
        <v>17102</v>
      </c>
      <c r="F4487" t="s">
        <v>22436</v>
      </c>
      <c r="G4487" t="s">
        <v>22444</v>
      </c>
      <c r="H4487" t="s">
        <v>22454</v>
      </c>
      <c r="I4487" t="s">
        <v>7738</v>
      </c>
      <c r="J4487" t="s">
        <v>25346</v>
      </c>
      <c r="K4487" t="s">
        <v>29388</v>
      </c>
      <c r="L4487" t="s">
        <v>1541</v>
      </c>
      <c r="M4487" t="s">
        <v>31219</v>
      </c>
      <c r="N4487" t="s">
        <v>32524</v>
      </c>
      <c r="O4487" t="s">
        <v>32525</v>
      </c>
      <c r="P4487">
        <v>0</v>
      </c>
      <c r="Q4487">
        <v>2</v>
      </c>
      <c r="R4487" t="s">
        <v>32530</v>
      </c>
      <c r="S4487" t="s">
        <v>32568</v>
      </c>
      <c r="T4487" t="s">
        <v>33345</v>
      </c>
      <c r="U4487" t="s">
        <v>37392</v>
      </c>
      <c r="W4487" t="s">
        <v>31219</v>
      </c>
      <c r="X4487" t="s">
        <v>32531</v>
      </c>
    </row>
    <row r="4488" spans="1:24">
      <c r="A4488">
        <f>HYPERLINK("https://www.philgeps.gov.ph/GEPSNONPILOT/Tender/SplashBidNoticeAbstractUI.aspx?menuIndex=3&amp;refID=7043287&amp;Result=3","7043287")</f>
        <v>0</v>
      </c>
      <c r="B4488" t="s">
        <v>1541</v>
      </c>
      <c r="C4488" t="s">
        <v>6968</v>
      </c>
      <c r="D4488" t="s">
        <v>13002</v>
      </c>
      <c r="E4488" t="s">
        <v>17103</v>
      </c>
      <c r="F4488" t="s">
        <v>22436</v>
      </c>
      <c r="G4488" t="s">
        <v>22444</v>
      </c>
      <c r="H4488" t="s">
        <v>22452</v>
      </c>
      <c r="I4488" t="s">
        <v>22464</v>
      </c>
      <c r="J4488" t="s">
        <v>25532</v>
      </c>
      <c r="K4488" t="s">
        <v>29377</v>
      </c>
      <c r="L4488" t="s">
        <v>1541</v>
      </c>
      <c r="M4488" t="s">
        <v>31219</v>
      </c>
      <c r="N4488" t="s">
        <v>32524</v>
      </c>
      <c r="O4488" t="s">
        <v>32525</v>
      </c>
      <c r="P4488">
        <v>0</v>
      </c>
      <c r="Q4488">
        <v>0</v>
      </c>
      <c r="R4488" t="s">
        <v>32530</v>
      </c>
      <c r="S4488" t="s">
        <v>32568</v>
      </c>
      <c r="T4488" t="s">
        <v>33167</v>
      </c>
      <c r="U4488" t="s">
        <v>37393</v>
      </c>
      <c r="W4488" t="s">
        <v>31219</v>
      </c>
      <c r="X4488" t="s">
        <v>32531</v>
      </c>
    </row>
    <row r="4489" spans="1:24">
      <c r="A4489">
        <f>HYPERLINK("https://www.philgeps.gov.ph/GEPSNONPILOT/Tender/SplashBidNoticeAbstractUI.aspx?menuIndex=3&amp;refID=7043286&amp;Result=3","7043286")</f>
        <v>0</v>
      </c>
      <c r="B4489" t="s">
        <v>1542</v>
      </c>
      <c r="C4489" t="s">
        <v>6969</v>
      </c>
      <c r="D4489" t="s">
        <v>13031</v>
      </c>
      <c r="E4489" t="s">
        <v>17104</v>
      </c>
      <c r="F4489" t="s">
        <v>22436</v>
      </c>
      <c r="G4489" t="s">
        <v>22444</v>
      </c>
      <c r="H4489" t="s">
        <v>22454</v>
      </c>
      <c r="I4489" t="s">
        <v>7738</v>
      </c>
      <c r="J4489" t="s">
        <v>23349</v>
      </c>
      <c r="K4489" t="s">
        <v>29337</v>
      </c>
      <c r="M4489" t="s">
        <v>31220</v>
      </c>
      <c r="N4489" t="s">
        <v>32524</v>
      </c>
      <c r="O4489" t="s">
        <v>32525</v>
      </c>
      <c r="P4489">
        <v>0</v>
      </c>
      <c r="Q4489">
        <v>0</v>
      </c>
      <c r="R4489" t="s">
        <v>32530</v>
      </c>
      <c r="S4489" t="s">
        <v>32568</v>
      </c>
      <c r="T4489" t="s">
        <v>33162</v>
      </c>
      <c r="U4489" t="s">
        <v>37394</v>
      </c>
      <c r="W4489" t="s">
        <v>31220</v>
      </c>
      <c r="X4489" t="s">
        <v>32531</v>
      </c>
    </row>
    <row r="4490" spans="1:24">
      <c r="A4490">
        <f>HYPERLINK("https://www.philgeps.gov.ph/GEPSNONPILOT/Tender/SplashBidNoticeAbstractUI.aspx?menuIndex=3&amp;refID=7043267&amp;Result=3","7043267")</f>
        <v>0</v>
      </c>
      <c r="B4490" t="s">
        <v>1477</v>
      </c>
      <c r="C4490" t="s">
        <v>6970</v>
      </c>
      <c r="D4490" t="s">
        <v>12988</v>
      </c>
      <c r="E4490" t="s">
        <v>17105</v>
      </c>
      <c r="F4490" t="s">
        <v>22436</v>
      </c>
      <c r="G4490" t="s">
        <v>22443</v>
      </c>
      <c r="H4490" t="s">
        <v>22452</v>
      </c>
      <c r="I4490" t="s">
        <v>22469</v>
      </c>
      <c r="J4490" t="s">
        <v>22858</v>
      </c>
      <c r="K4490" t="s">
        <v>29335</v>
      </c>
      <c r="M4490" t="s">
        <v>31146</v>
      </c>
      <c r="N4490" t="s">
        <v>32524</v>
      </c>
      <c r="O4490" t="s">
        <v>32525</v>
      </c>
      <c r="P4490">
        <v>0</v>
      </c>
      <c r="Q4490">
        <v>2</v>
      </c>
      <c r="R4490" t="s">
        <v>32530</v>
      </c>
      <c r="S4490" t="s">
        <v>32568</v>
      </c>
      <c r="T4490" t="s">
        <v>33310</v>
      </c>
      <c r="U4490" t="s">
        <v>37395</v>
      </c>
      <c r="V4490" t="s">
        <v>42879</v>
      </c>
      <c r="W4490" t="s">
        <v>31146</v>
      </c>
      <c r="X4490" t="s">
        <v>32531</v>
      </c>
    </row>
    <row r="4491" spans="1:24">
      <c r="A4491">
        <f>HYPERLINK("https://www.philgeps.gov.ph/GEPSNONPILOT/Tender/SplashBidNoticeAbstractUI.aspx?menuIndex=3&amp;refID=7043272&amp;Result=3","7043272")</f>
        <v>0</v>
      </c>
      <c r="B4491" t="s">
        <v>1539</v>
      </c>
      <c r="C4491" t="s">
        <v>6971</v>
      </c>
      <c r="D4491" t="s">
        <v>13033</v>
      </c>
      <c r="E4491" t="s">
        <v>17106</v>
      </c>
      <c r="F4491" t="s">
        <v>22436</v>
      </c>
      <c r="G4491" t="s">
        <v>22444</v>
      </c>
      <c r="H4491" t="s">
        <v>22454</v>
      </c>
      <c r="I4491" t="s">
        <v>7738</v>
      </c>
      <c r="J4491" t="s">
        <v>25533</v>
      </c>
      <c r="K4491" t="s">
        <v>29383</v>
      </c>
      <c r="M4491" t="s">
        <v>31217</v>
      </c>
      <c r="N4491" t="s">
        <v>32524</v>
      </c>
      <c r="O4491" t="s">
        <v>32525</v>
      </c>
      <c r="P4491">
        <v>0</v>
      </c>
      <c r="Q4491">
        <v>0</v>
      </c>
      <c r="R4491" t="s">
        <v>32530</v>
      </c>
      <c r="S4491" t="s">
        <v>32568</v>
      </c>
      <c r="T4491" t="s">
        <v>33167</v>
      </c>
      <c r="U4491" t="s">
        <v>37396</v>
      </c>
      <c r="W4491" t="s">
        <v>31217</v>
      </c>
      <c r="X4491" t="s">
        <v>32531</v>
      </c>
    </row>
    <row r="4492" spans="1:24">
      <c r="A4492">
        <f>HYPERLINK("https://www.philgeps.gov.ph/GEPSNONPILOT/Tender/SplashBidNoticeAbstractUI.aspx?menuIndex=3&amp;refID=7043266&amp;Result=3","7043266")</f>
        <v>0</v>
      </c>
      <c r="B4492" t="s">
        <v>1539</v>
      </c>
      <c r="C4492" t="s">
        <v>6972</v>
      </c>
      <c r="D4492" t="s">
        <v>13033</v>
      </c>
      <c r="E4492" t="s">
        <v>17107</v>
      </c>
      <c r="F4492" t="s">
        <v>22436</v>
      </c>
      <c r="G4492" t="s">
        <v>22444</v>
      </c>
      <c r="H4492" t="s">
        <v>22454</v>
      </c>
      <c r="I4492" t="s">
        <v>7738</v>
      </c>
      <c r="J4492" t="s">
        <v>22657</v>
      </c>
      <c r="K4492" t="s">
        <v>29357</v>
      </c>
      <c r="M4492" t="s">
        <v>31217</v>
      </c>
      <c r="N4492" t="s">
        <v>32524</v>
      </c>
      <c r="O4492" t="s">
        <v>32525</v>
      </c>
      <c r="P4492">
        <v>0</v>
      </c>
      <c r="Q4492">
        <v>0</v>
      </c>
      <c r="R4492" t="s">
        <v>32530</v>
      </c>
      <c r="S4492" t="s">
        <v>32568</v>
      </c>
      <c r="T4492" t="s">
        <v>33167</v>
      </c>
      <c r="U4492" t="s">
        <v>37397</v>
      </c>
      <c r="W4492" t="s">
        <v>31217</v>
      </c>
      <c r="X4492" t="s">
        <v>32531</v>
      </c>
    </row>
    <row r="4493" spans="1:24">
      <c r="A4493">
        <f>HYPERLINK("https://www.philgeps.gov.ph/GEPSNONPILOT/Tender/SplashBidNoticeAbstractUI.aspx?menuIndex=3&amp;refID=7043284&amp;Result=3","7043284")</f>
        <v>0</v>
      </c>
      <c r="B4493" t="s">
        <v>1543</v>
      </c>
      <c r="C4493" t="s">
        <v>6973</v>
      </c>
      <c r="D4493" t="s">
        <v>13007</v>
      </c>
      <c r="E4493" t="s">
        <v>17108</v>
      </c>
      <c r="F4493" t="s">
        <v>22436</v>
      </c>
      <c r="G4493" t="s">
        <v>22443</v>
      </c>
      <c r="H4493" t="s">
        <v>22452</v>
      </c>
      <c r="I4493" t="s">
        <v>3529</v>
      </c>
      <c r="J4493" t="s">
        <v>25534</v>
      </c>
      <c r="K4493" t="s">
        <v>29331</v>
      </c>
      <c r="M4493" t="s">
        <v>31221</v>
      </c>
      <c r="N4493" t="s">
        <v>32524</v>
      </c>
      <c r="O4493" t="s">
        <v>32525</v>
      </c>
      <c r="P4493">
        <v>0</v>
      </c>
      <c r="Q4493">
        <v>0</v>
      </c>
      <c r="R4493" t="s">
        <v>32530</v>
      </c>
      <c r="S4493" t="s">
        <v>32568</v>
      </c>
      <c r="T4493" t="s">
        <v>33401</v>
      </c>
      <c r="U4493" t="s">
        <v>37398</v>
      </c>
      <c r="W4493" t="s">
        <v>31221</v>
      </c>
      <c r="X4493" t="s">
        <v>32531</v>
      </c>
    </row>
    <row r="4494" spans="1:24">
      <c r="A4494">
        <f>HYPERLINK("https://www.philgeps.gov.ph/GEPSNONPILOT/Tender/SplashBidNoticeAbstractUI.aspx?menuIndex=3&amp;refID=7043285&amp;Result=3","7043285")</f>
        <v>0</v>
      </c>
      <c r="B4494" t="s">
        <v>183</v>
      </c>
      <c r="C4494" t="s">
        <v>6974</v>
      </c>
      <c r="D4494" t="s">
        <v>12998</v>
      </c>
      <c r="E4494" t="s">
        <v>13681</v>
      </c>
      <c r="F4494" t="s">
        <v>22436</v>
      </c>
      <c r="G4494" t="s">
        <v>22444</v>
      </c>
      <c r="H4494" t="s">
        <v>22452</v>
      </c>
      <c r="I4494" t="s">
        <v>22567</v>
      </c>
      <c r="J4494" t="s">
        <v>25535</v>
      </c>
      <c r="K4494" t="s">
        <v>29335</v>
      </c>
      <c r="M4494" t="s">
        <v>31222</v>
      </c>
      <c r="N4494" t="s">
        <v>32524</v>
      </c>
      <c r="O4494" t="s">
        <v>32525</v>
      </c>
      <c r="Q4494">
        <v>6</v>
      </c>
      <c r="R4494" t="s">
        <v>32530</v>
      </c>
      <c r="S4494" t="s">
        <v>32585</v>
      </c>
      <c r="T4494" t="s">
        <v>33440</v>
      </c>
      <c r="U4494" t="s">
        <v>37399</v>
      </c>
      <c r="W4494" t="s">
        <v>31222</v>
      </c>
      <c r="X4494" t="s">
        <v>32531</v>
      </c>
    </row>
    <row r="4495" spans="1:24">
      <c r="A4495">
        <f>HYPERLINK("https://www.philgeps.gov.ph/GEPSNONPILOT/Tender/SplashBidNoticeAbstractUI.aspx?menuIndex=3&amp;refID=7043283&amp;Result=3","7043283")</f>
        <v>0</v>
      </c>
      <c r="B4495" t="s">
        <v>1544</v>
      </c>
      <c r="C4495" t="s">
        <v>6975</v>
      </c>
      <c r="E4495" t="s">
        <v>17109</v>
      </c>
      <c r="F4495" t="s">
        <v>22436</v>
      </c>
      <c r="G4495" t="s">
        <v>22443</v>
      </c>
      <c r="H4495" t="s">
        <v>22454</v>
      </c>
      <c r="I4495" t="s">
        <v>7738</v>
      </c>
      <c r="J4495" t="s">
        <v>22989</v>
      </c>
      <c r="K4495" t="s">
        <v>29338</v>
      </c>
      <c r="M4495" t="s">
        <v>31223</v>
      </c>
      <c r="N4495" t="s">
        <v>32524</v>
      </c>
      <c r="O4495" t="s">
        <v>32525</v>
      </c>
      <c r="P4495">
        <v>0</v>
      </c>
      <c r="Q4495">
        <v>3</v>
      </c>
      <c r="R4495" t="s">
        <v>32530</v>
      </c>
      <c r="S4495" t="s">
        <v>32568</v>
      </c>
      <c r="T4495" t="s">
        <v>33351</v>
      </c>
      <c r="U4495" t="s">
        <v>37400</v>
      </c>
      <c r="W4495" t="s">
        <v>31223</v>
      </c>
      <c r="X4495" t="s">
        <v>32531</v>
      </c>
    </row>
    <row r="4496" spans="1:24">
      <c r="A4496">
        <f>HYPERLINK("https://www.philgeps.gov.ph/GEPSNONPILOT/Tender/SplashBidNoticeAbstractUI.aspx?menuIndex=3&amp;refID=7043289&amp;Result=3","7043289")</f>
        <v>0</v>
      </c>
      <c r="B4496" t="s">
        <v>1541</v>
      </c>
      <c r="C4496" t="s">
        <v>6976</v>
      </c>
      <c r="D4496" t="s">
        <v>13002</v>
      </c>
      <c r="E4496" t="s">
        <v>17110</v>
      </c>
      <c r="F4496" t="s">
        <v>22436</v>
      </c>
      <c r="G4496" t="s">
        <v>22444</v>
      </c>
      <c r="H4496" t="s">
        <v>22452</v>
      </c>
      <c r="I4496" t="s">
        <v>22464</v>
      </c>
      <c r="J4496" t="s">
        <v>25536</v>
      </c>
      <c r="K4496" t="s">
        <v>29341</v>
      </c>
      <c r="L4496" t="s">
        <v>1541</v>
      </c>
      <c r="M4496" t="s">
        <v>31219</v>
      </c>
      <c r="N4496" t="s">
        <v>32524</v>
      </c>
      <c r="O4496" t="s">
        <v>32525</v>
      </c>
      <c r="P4496">
        <v>0</v>
      </c>
      <c r="Q4496">
        <v>0</v>
      </c>
      <c r="R4496" t="s">
        <v>32530</v>
      </c>
      <c r="S4496" t="s">
        <v>32568</v>
      </c>
      <c r="T4496" t="s">
        <v>33167</v>
      </c>
      <c r="U4496" t="s">
        <v>37401</v>
      </c>
      <c r="W4496" t="s">
        <v>31219</v>
      </c>
      <c r="X4496" t="s">
        <v>32531</v>
      </c>
    </row>
    <row r="4497" spans="1:24">
      <c r="A4497">
        <f>HYPERLINK("https://www.philgeps.gov.ph/GEPSNONPILOT/Tender/SplashBidNoticeAbstractUI.aspx?menuIndex=3&amp;refID=7043294&amp;Result=3","7043294")</f>
        <v>0</v>
      </c>
      <c r="B4497" t="s">
        <v>1541</v>
      </c>
      <c r="C4497" t="s">
        <v>6977</v>
      </c>
      <c r="D4497" t="s">
        <v>13002</v>
      </c>
      <c r="E4497" t="s">
        <v>17111</v>
      </c>
      <c r="F4497" t="s">
        <v>22436</v>
      </c>
      <c r="G4497" t="s">
        <v>22444</v>
      </c>
      <c r="H4497" t="s">
        <v>22452</v>
      </c>
      <c r="I4497" t="s">
        <v>22464</v>
      </c>
      <c r="J4497" t="s">
        <v>25532</v>
      </c>
      <c r="K4497" t="s">
        <v>29377</v>
      </c>
      <c r="L4497" t="s">
        <v>1541</v>
      </c>
      <c r="M4497" t="s">
        <v>31219</v>
      </c>
      <c r="N4497" t="s">
        <v>32524</v>
      </c>
      <c r="O4497" t="s">
        <v>32525</v>
      </c>
      <c r="P4497">
        <v>0</v>
      </c>
      <c r="Q4497">
        <v>0</v>
      </c>
      <c r="R4497" t="s">
        <v>32530</v>
      </c>
      <c r="S4497" t="s">
        <v>32568</v>
      </c>
      <c r="T4497" t="s">
        <v>33167</v>
      </c>
      <c r="U4497" t="s">
        <v>37402</v>
      </c>
      <c r="W4497" t="s">
        <v>31219</v>
      </c>
      <c r="X4497" t="s">
        <v>32531</v>
      </c>
    </row>
    <row r="4498" spans="1:24">
      <c r="A4498">
        <f>HYPERLINK("https://www.philgeps.gov.ph/GEPSNONPILOT/Tender/SplashBidNoticeAbstractUI.aspx?menuIndex=3&amp;refID=6807454&amp;Result=3","6807454")</f>
        <v>0</v>
      </c>
      <c r="B4498" t="s">
        <v>1545</v>
      </c>
      <c r="C4498" t="s">
        <v>6978</v>
      </c>
      <c r="D4498" t="s">
        <v>13006</v>
      </c>
      <c r="E4498" t="s">
        <v>17112</v>
      </c>
      <c r="F4498" t="s">
        <v>22436</v>
      </c>
      <c r="G4498" t="s">
        <v>22444</v>
      </c>
      <c r="H4498" t="s">
        <v>22452</v>
      </c>
      <c r="I4498" t="s">
        <v>22474</v>
      </c>
      <c r="J4498" t="s">
        <v>22966</v>
      </c>
      <c r="K4498" t="s">
        <v>29333</v>
      </c>
      <c r="M4498" t="s">
        <v>31224</v>
      </c>
      <c r="N4498" t="s">
        <v>32524</v>
      </c>
      <c r="O4498" t="s">
        <v>32525</v>
      </c>
      <c r="P4498">
        <v>0</v>
      </c>
      <c r="Q4498">
        <v>5</v>
      </c>
      <c r="R4498" t="s">
        <v>32531</v>
      </c>
      <c r="S4498" t="s">
        <v>32586</v>
      </c>
      <c r="T4498" t="s">
        <v>33253</v>
      </c>
      <c r="U4498" t="s">
        <v>37403</v>
      </c>
      <c r="W4498" t="s">
        <v>31224</v>
      </c>
      <c r="X4498" t="s">
        <v>43789</v>
      </c>
    </row>
    <row r="4499" spans="1:24">
      <c r="A4499">
        <f>HYPERLINK("https://www.philgeps.gov.ph/GEPSNONPILOT/Tender/SplashBidNoticeAbstractUI.aspx?menuIndex=3&amp;refID=7043270&amp;Result=3","7043270")</f>
        <v>0</v>
      </c>
      <c r="B4499" t="s">
        <v>1541</v>
      </c>
      <c r="C4499" t="s">
        <v>6979</v>
      </c>
      <c r="D4499" t="s">
        <v>13002</v>
      </c>
      <c r="E4499" t="s">
        <v>17113</v>
      </c>
      <c r="F4499" t="s">
        <v>22436</v>
      </c>
      <c r="G4499" t="s">
        <v>22444</v>
      </c>
      <c r="H4499" t="s">
        <v>22454</v>
      </c>
      <c r="I4499" t="s">
        <v>7738</v>
      </c>
      <c r="J4499" t="s">
        <v>25537</v>
      </c>
      <c r="K4499" t="s">
        <v>29334</v>
      </c>
      <c r="L4499" t="s">
        <v>1541</v>
      </c>
      <c r="M4499" t="s">
        <v>31219</v>
      </c>
      <c r="N4499" t="s">
        <v>32524</v>
      </c>
      <c r="O4499" t="s">
        <v>32525</v>
      </c>
      <c r="P4499">
        <v>0</v>
      </c>
      <c r="Q4499">
        <v>1</v>
      </c>
      <c r="R4499" t="s">
        <v>32530</v>
      </c>
      <c r="S4499" t="s">
        <v>32568</v>
      </c>
      <c r="T4499" t="s">
        <v>33345</v>
      </c>
      <c r="U4499" t="s">
        <v>37404</v>
      </c>
      <c r="W4499" t="s">
        <v>31219</v>
      </c>
      <c r="X4499" t="s">
        <v>32531</v>
      </c>
    </row>
    <row r="4500" spans="1:24">
      <c r="A4500">
        <f>HYPERLINK("https://www.philgeps.gov.ph/GEPSNONPILOT/Tender/SplashBidNoticeAbstractUI.aspx?menuIndex=3&amp;refID=7018107&amp;Result=3","7018107")</f>
        <v>0</v>
      </c>
      <c r="B4500" t="s">
        <v>691</v>
      </c>
      <c r="C4500" t="s">
        <v>6980</v>
      </c>
      <c r="D4500" t="s">
        <v>13037</v>
      </c>
      <c r="E4500" t="s">
        <v>16991</v>
      </c>
      <c r="F4500" t="s">
        <v>22436</v>
      </c>
      <c r="G4500" t="s">
        <v>22444</v>
      </c>
      <c r="H4500" t="s">
        <v>22454</v>
      </c>
      <c r="I4500" t="s">
        <v>7738</v>
      </c>
      <c r="J4500" t="s">
        <v>25538</v>
      </c>
      <c r="K4500" t="s">
        <v>29329</v>
      </c>
      <c r="M4500" t="s">
        <v>30285</v>
      </c>
      <c r="N4500" t="s">
        <v>32524</v>
      </c>
      <c r="O4500" t="s">
        <v>32525</v>
      </c>
      <c r="P4500">
        <v>0</v>
      </c>
      <c r="Q4500">
        <v>1</v>
      </c>
      <c r="R4500" t="s">
        <v>32531</v>
      </c>
      <c r="S4500" t="s">
        <v>32586</v>
      </c>
      <c r="T4500" t="s">
        <v>33405</v>
      </c>
      <c r="U4500" t="s">
        <v>37405</v>
      </c>
      <c r="V4500" t="s">
        <v>42914</v>
      </c>
      <c r="W4500" t="s">
        <v>30285</v>
      </c>
      <c r="X4500" t="s">
        <v>43782</v>
      </c>
    </row>
    <row r="4501" spans="1:24">
      <c r="A4501">
        <f>HYPERLINK("https://www.philgeps.gov.ph/GEPSNONPILOT/Tender/SplashBidNoticeAbstractUI.aspx?menuIndex=3&amp;refID=7043293&amp;Result=3","7043293")</f>
        <v>0</v>
      </c>
      <c r="B4501" t="s">
        <v>1546</v>
      </c>
      <c r="C4501" t="s">
        <v>6981</v>
      </c>
      <c r="D4501" t="s">
        <v>13022</v>
      </c>
      <c r="E4501" t="s">
        <v>17114</v>
      </c>
      <c r="F4501" t="s">
        <v>22436</v>
      </c>
      <c r="G4501" t="s">
        <v>22444</v>
      </c>
      <c r="H4501" t="s">
        <v>22454</v>
      </c>
      <c r="I4501" t="s">
        <v>7738</v>
      </c>
      <c r="J4501" t="s">
        <v>25539</v>
      </c>
      <c r="K4501" t="s">
        <v>29346</v>
      </c>
      <c r="M4501" t="s">
        <v>31225</v>
      </c>
      <c r="N4501" t="s">
        <v>32524</v>
      </c>
      <c r="O4501" t="s">
        <v>32525</v>
      </c>
      <c r="P4501">
        <v>0</v>
      </c>
      <c r="Q4501">
        <v>0</v>
      </c>
      <c r="R4501" t="s">
        <v>32530</v>
      </c>
      <c r="S4501" t="s">
        <v>32568</v>
      </c>
      <c r="T4501" t="s">
        <v>33166</v>
      </c>
      <c r="U4501" t="s">
        <v>37406</v>
      </c>
      <c r="W4501" t="s">
        <v>31225</v>
      </c>
      <c r="X4501" t="s">
        <v>32531</v>
      </c>
    </row>
    <row r="4502" spans="1:24">
      <c r="A4502">
        <f>HYPERLINK("https://www.philgeps.gov.ph/GEPSNONPILOT/Tender/SplashBidNoticeAbstractUI.aspx?menuIndex=3&amp;refID=7043299&amp;Result=3","7043299")</f>
        <v>0</v>
      </c>
      <c r="B4502" t="s">
        <v>1546</v>
      </c>
      <c r="C4502" t="s">
        <v>5193</v>
      </c>
      <c r="D4502" t="s">
        <v>13022</v>
      </c>
      <c r="E4502" t="s">
        <v>17115</v>
      </c>
      <c r="F4502" t="s">
        <v>22436</v>
      </c>
      <c r="G4502" t="s">
        <v>22444</v>
      </c>
      <c r="H4502" t="s">
        <v>22454</v>
      </c>
      <c r="I4502" t="s">
        <v>7738</v>
      </c>
      <c r="J4502" t="s">
        <v>25540</v>
      </c>
      <c r="K4502" t="s">
        <v>29354</v>
      </c>
      <c r="M4502" t="s">
        <v>31225</v>
      </c>
      <c r="N4502" t="s">
        <v>32524</v>
      </c>
      <c r="O4502" t="s">
        <v>32525</v>
      </c>
      <c r="P4502">
        <v>0</v>
      </c>
      <c r="Q4502">
        <v>0</v>
      </c>
      <c r="R4502" t="s">
        <v>32530</v>
      </c>
      <c r="S4502" t="s">
        <v>32568</v>
      </c>
      <c r="T4502" t="s">
        <v>33166</v>
      </c>
      <c r="U4502" t="s">
        <v>37407</v>
      </c>
      <c r="W4502" t="s">
        <v>31225</v>
      </c>
      <c r="X4502" t="s">
        <v>32531</v>
      </c>
    </row>
    <row r="4503" spans="1:24">
      <c r="A4503">
        <f>HYPERLINK("https://www.philgeps.gov.ph/GEPSNONPILOT/Tender/SplashBidNoticeAbstractUI.aspx?menuIndex=3&amp;refID=7011163&amp;Result=3","7011163")</f>
        <v>0</v>
      </c>
      <c r="B4503" t="s">
        <v>1547</v>
      </c>
      <c r="C4503" t="s">
        <v>6982</v>
      </c>
      <c r="E4503" t="s">
        <v>17116</v>
      </c>
      <c r="F4503" t="s">
        <v>22436</v>
      </c>
      <c r="G4503" t="s">
        <v>22443</v>
      </c>
      <c r="H4503" t="s">
        <v>22452</v>
      </c>
      <c r="I4503" t="s">
        <v>22479</v>
      </c>
      <c r="J4503" t="s">
        <v>22617</v>
      </c>
      <c r="K4503" t="s">
        <v>29335</v>
      </c>
      <c r="M4503" t="s">
        <v>31226</v>
      </c>
      <c r="N4503" t="s">
        <v>32524</v>
      </c>
      <c r="O4503" t="s">
        <v>32525</v>
      </c>
      <c r="P4503">
        <v>0</v>
      </c>
      <c r="Q4503">
        <v>2</v>
      </c>
      <c r="R4503" t="s">
        <v>32531</v>
      </c>
      <c r="S4503" t="s">
        <v>32586</v>
      </c>
      <c r="T4503" t="s">
        <v>33256</v>
      </c>
      <c r="U4503" t="s">
        <v>37408</v>
      </c>
      <c r="W4503" t="s">
        <v>43727</v>
      </c>
      <c r="X4503" t="s">
        <v>43778</v>
      </c>
    </row>
    <row r="4504" spans="1:24">
      <c r="A4504">
        <f>HYPERLINK("https://www.philgeps.gov.ph/GEPSNONPILOT/Tender/SplashBidNoticeAbstractUI.aspx?menuIndex=3&amp;refID=7017985&amp;Result=3","7017985")</f>
        <v>0</v>
      </c>
      <c r="B4504" t="s">
        <v>691</v>
      </c>
      <c r="C4504" t="s">
        <v>6983</v>
      </c>
      <c r="D4504" t="s">
        <v>13037</v>
      </c>
      <c r="E4504" t="s">
        <v>17003</v>
      </c>
      <c r="F4504" t="s">
        <v>22436</v>
      </c>
      <c r="G4504" t="s">
        <v>22444</v>
      </c>
      <c r="H4504" t="s">
        <v>22454</v>
      </c>
      <c r="I4504" t="s">
        <v>7738</v>
      </c>
      <c r="J4504" t="s">
        <v>22587</v>
      </c>
      <c r="K4504" t="s">
        <v>29344</v>
      </c>
      <c r="M4504" t="s">
        <v>30285</v>
      </c>
      <c r="N4504" t="s">
        <v>32524</v>
      </c>
      <c r="O4504" t="s">
        <v>32525</v>
      </c>
      <c r="P4504">
        <v>0</v>
      </c>
      <c r="Q4504">
        <v>0</v>
      </c>
      <c r="R4504" t="s">
        <v>32531</v>
      </c>
      <c r="S4504" t="s">
        <v>32586</v>
      </c>
      <c r="T4504" t="s">
        <v>33405</v>
      </c>
      <c r="U4504" t="s">
        <v>37409</v>
      </c>
      <c r="V4504" t="s">
        <v>42914</v>
      </c>
      <c r="W4504" t="s">
        <v>30285</v>
      </c>
      <c r="X4504" t="s">
        <v>43782</v>
      </c>
    </row>
    <row r="4505" spans="1:24">
      <c r="A4505">
        <f>HYPERLINK("https://www.philgeps.gov.ph/GEPSNONPILOT/Tender/SplashBidNoticeAbstractUI.aspx?menuIndex=3&amp;refID=7043298&amp;Result=3","7043298")</f>
        <v>0</v>
      </c>
      <c r="B4505" t="s">
        <v>525</v>
      </c>
      <c r="C4505" t="s">
        <v>6984</v>
      </c>
      <c r="D4505" t="s">
        <v>13038</v>
      </c>
      <c r="E4505" t="s">
        <v>17117</v>
      </c>
      <c r="F4505" t="s">
        <v>22436</v>
      </c>
      <c r="G4505" t="s">
        <v>22444</v>
      </c>
      <c r="H4505" t="s">
        <v>22454</v>
      </c>
      <c r="I4505" t="s">
        <v>7738</v>
      </c>
      <c r="J4505" t="s">
        <v>25541</v>
      </c>
      <c r="K4505" t="s">
        <v>29334</v>
      </c>
      <c r="M4505" t="s">
        <v>31227</v>
      </c>
      <c r="N4505" t="s">
        <v>32524</v>
      </c>
      <c r="O4505" t="s">
        <v>32525</v>
      </c>
      <c r="P4505">
        <v>0</v>
      </c>
      <c r="Q4505">
        <v>1</v>
      </c>
      <c r="R4505" t="s">
        <v>32530</v>
      </c>
      <c r="S4505" t="s">
        <v>32568</v>
      </c>
      <c r="T4505" t="s">
        <v>33409</v>
      </c>
      <c r="U4505" t="s">
        <v>37410</v>
      </c>
      <c r="W4505" t="s">
        <v>31227</v>
      </c>
      <c r="X4505" t="s">
        <v>32531</v>
      </c>
    </row>
    <row r="4506" spans="1:24">
      <c r="A4506">
        <f>HYPERLINK("https://www.philgeps.gov.ph/GEPSNONPILOT/Tender/SplashBidNoticeAbstractUI.aspx?menuIndex=3&amp;refID=6999268&amp;Result=3","6999268")</f>
        <v>0</v>
      </c>
      <c r="B4506" t="s">
        <v>1548</v>
      </c>
      <c r="C4506" t="s">
        <v>6985</v>
      </c>
      <c r="D4506" t="s">
        <v>13019</v>
      </c>
      <c r="E4506" t="s">
        <v>17118</v>
      </c>
      <c r="F4506" t="s">
        <v>22436</v>
      </c>
      <c r="G4506" t="s">
        <v>22444</v>
      </c>
      <c r="H4506" t="s">
        <v>22454</v>
      </c>
      <c r="I4506" t="s">
        <v>22526</v>
      </c>
      <c r="J4506" t="s">
        <v>22758</v>
      </c>
      <c r="K4506" t="s">
        <v>29421</v>
      </c>
      <c r="M4506" t="s">
        <v>31228</v>
      </c>
      <c r="N4506" t="s">
        <v>32524</v>
      </c>
      <c r="O4506" t="s">
        <v>32525</v>
      </c>
      <c r="P4506">
        <v>0</v>
      </c>
      <c r="Q4506">
        <v>0</v>
      </c>
      <c r="R4506" t="s">
        <v>32531</v>
      </c>
      <c r="S4506" t="s">
        <v>32586</v>
      </c>
      <c r="T4506" t="s">
        <v>33442</v>
      </c>
      <c r="U4506" t="s">
        <v>37411</v>
      </c>
      <c r="W4506" t="s">
        <v>31228</v>
      </c>
      <c r="X4506" t="s">
        <v>43786</v>
      </c>
    </row>
    <row r="4507" spans="1:24">
      <c r="A4507">
        <f>HYPERLINK("https://www.philgeps.gov.ph/GEPSNONPILOT/Tender/SplashBidNoticeAbstractUI.aspx?menuIndex=3&amp;refID=6984749&amp;Result=3","6984749")</f>
        <v>0</v>
      </c>
      <c r="B4507" t="s">
        <v>46</v>
      </c>
      <c r="C4507" t="s">
        <v>6986</v>
      </c>
      <c r="D4507" t="s">
        <v>13006</v>
      </c>
      <c r="E4507" t="s">
        <v>17119</v>
      </c>
      <c r="F4507" t="s">
        <v>22436</v>
      </c>
      <c r="G4507" t="s">
        <v>22444</v>
      </c>
      <c r="H4507" t="s">
        <v>22452</v>
      </c>
      <c r="I4507" t="s">
        <v>3529</v>
      </c>
      <c r="J4507" t="s">
        <v>25542</v>
      </c>
      <c r="K4507" t="s">
        <v>29330</v>
      </c>
      <c r="M4507" t="s">
        <v>29760</v>
      </c>
      <c r="N4507" t="s">
        <v>32524</v>
      </c>
      <c r="O4507" t="s">
        <v>32525</v>
      </c>
      <c r="P4507">
        <v>0</v>
      </c>
      <c r="Q4507">
        <v>0</v>
      </c>
      <c r="R4507" t="s">
        <v>32531</v>
      </c>
      <c r="S4507" t="s">
        <v>32586</v>
      </c>
      <c r="T4507" t="s">
        <v>33161</v>
      </c>
      <c r="U4507" t="s">
        <v>37412</v>
      </c>
      <c r="W4507" t="s">
        <v>29760</v>
      </c>
      <c r="X4507" t="s">
        <v>43790</v>
      </c>
    </row>
    <row r="4508" spans="1:24">
      <c r="A4508">
        <f>HYPERLINK("https://www.philgeps.gov.ph/GEPSNONPILOT/Tender/SplashBidNoticeAbstractUI.aspx?menuIndex=3&amp;refID=6947611&amp;Result=3","6947611")</f>
        <v>0</v>
      </c>
      <c r="B4508" t="s">
        <v>1549</v>
      </c>
      <c r="C4508" t="s">
        <v>6987</v>
      </c>
      <c r="D4508" t="s">
        <v>13045</v>
      </c>
      <c r="E4508" t="s">
        <v>17120</v>
      </c>
      <c r="F4508" t="s">
        <v>22436</v>
      </c>
      <c r="G4508" t="s">
        <v>22444</v>
      </c>
      <c r="H4508" t="s">
        <v>22452</v>
      </c>
      <c r="I4508" t="s">
        <v>6421</v>
      </c>
      <c r="J4508" t="s">
        <v>22674</v>
      </c>
      <c r="K4508" t="s">
        <v>29335</v>
      </c>
      <c r="M4508" t="s">
        <v>31229</v>
      </c>
      <c r="N4508" t="s">
        <v>32524</v>
      </c>
      <c r="O4508" t="s">
        <v>32525</v>
      </c>
      <c r="P4508">
        <v>0</v>
      </c>
      <c r="Q4508">
        <v>6</v>
      </c>
      <c r="R4508" t="s">
        <v>32531</v>
      </c>
      <c r="S4508" t="s">
        <v>32586</v>
      </c>
      <c r="T4508" t="s">
        <v>33397</v>
      </c>
      <c r="U4508" t="s">
        <v>37413</v>
      </c>
      <c r="V4508" t="s">
        <v>42915</v>
      </c>
      <c r="W4508" t="s">
        <v>31229</v>
      </c>
      <c r="X4508" t="s">
        <v>43784</v>
      </c>
    </row>
    <row r="4509" spans="1:24">
      <c r="A4509">
        <f>HYPERLINK("https://www.philgeps.gov.ph/GEPSNONPILOT/Tender/SplashBidNoticeAbstractUI.aspx?menuIndex=3&amp;refID=7010943&amp;Result=3","7010943")</f>
        <v>0</v>
      </c>
      <c r="B4509" t="s">
        <v>1547</v>
      </c>
      <c r="C4509" t="s">
        <v>6988</v>
      </c>
      <c r="E4509" t="s">
        <v>17121</v>
      </c>
      <c r="F4509" t="s">
        <v>22436</v>
      </c>
      <c r="G4509" t="s">
        <v>22443</v>
      </c>
      <c r="H4509" t="s">
        <v>22452</v>
      </c>
      <c r="I4509" t="s">
        <v>22540</v>
      </c>
      <c r="J4509" t="s">
        <v>24482</v>
      </c>
      <c r="K4509" t="s">
        <v>29335</v>
      </c>
      <c r="M4509" t="s">
        <v>31226</v>
      </c>
      <c r="N4509" t="s">
        <v>32524</v>
      </c>
      <c r="O4509" t="s">
        <v>32525</v>
      </c>
      <c r="Q4509">
        <v>3</v>
      </c>
      <c r="R4509" t="s">
        <v>32531</v>
      </c>
      <c r="S4509" t="s">
        <v>32587</v>
      </c>
      <c r="T4509" t="s">
        <v>33256</v>
      </c>
      <c r="U4509" t="s">
        <v>37414</v>
      </c>
      <c r="W4509" t="s">
        <v>43727</v>
      </c>
      <c r="X4509" t="s">
        <v>43778</v>
      </c>
    </row>
    <row r="4510" spans="1:24">
      <c r="A4510">
        <f>HYPERLINK("https://www.philgeps.gov.ph/GEPSNONPILOT/Tender/SplashBidNoticeAbstractUI.aspx?menuIndex=3&amp;refID=6947170&amp;Result=3","6947170")</f>
        <v>0</v>
      </c>
      <c r="B4510" t="s">
        <v>1549</v>
      </c>
      <c r="C4510" t="s">
        <v>6989</v>
      </c>
      <c r="D4510" t="s">
        <v>13045</v>
      </c>
      <c r="E4510" t="s">
        <v>17122</v>
      </c>
      <c r="F4510" t="s">
        <v>22436</v>
      </c>
      <c r="G4510" t="s">
        <v>22444</v>
      </c>
      <c r="H4510" t="s">
        <v>22452</v>
      </c>
      <c r="I4510" t="s">
        <v>22463</v>
      </c>
      <c r="J4510" t="s">
        <v>25543</v>
      </c>
      <c r="K4510" t="s">
        <v>29371</v>
      </c>
      <c r="M4510" t="s">
        <v>31229</v>
      </c>
      <c r="N4510" t="s">
        <v>32524</v>
      </c>
      <c r="O4510" t="s">
        <v>32525</v>
      </c>
      <c r="P4510">
        <v>0</v>
      </c>
      <c r="Q4510">
        <v>3</v>
      </c>
      <c r="R4510" t="s">
        <v>32531</v>
      </c>
      <c r="S4510" t="s">
        <v>32586</v>
      </c>
      <c r="T4510" t="s">
        <v>33397</v>
      </c>
      <c r="U4510" t="s">
        <v>37415</v>
      </c>
      <c r="V4510" t="s">
        <v>42915</v>
      </c>
      <c r="W4510" t="s">
        <v>31229</v>
      </c>
      <c r="X4510" t="s">
        <v>43784</v>
      </c>
    </row>
    <row r="4511" spans="1:24">
      <c r="A4511">
        <f>HYPERLINK("https://www.philgeps.gov.ph/GEPSNONPILOT/Tender/SplashBidNoticeAbstractUI.aspx?menuIndex=3&amp;refID=6984702&amp;Result=3","6984702")</f>
        <v>0</v>
      </c>
      <c r="B4511" t="s">
        <v>46</v>
      </c>
      <c r="C4511" t="s">
        <v>6990</v>
      </c>
      <c r="D4511" t="s">
        <v>13006</v>
      </c>
      <c r="E4511" t="s">
        <v>17123</v>
      </c>
      <c r="F4511" t="s">
        <v>22436</v>
      </c>
      <c r="G4511" t="s">
        <v>22444</v>
      </c>
      <c r="H4511" t="s">
        <v>22452</v>
      </c>
      <c r="I4511" t="s">
        <v>3529</v>
      </c>
      <c r="J4511" t="s">
        <v>25544</v>
      </c>
      <c r="K4511" t="s">
        <v>29331</v>
      </c>
      <c r="M4511" t="s">
        <v>29760</v>
      </c>
      <c r="N4511" t="s">
        <v>32524</v>
      </c>
      <c r="O4511" t="s">
        <v>32525</v>
      </c>
      <c r="P4511">
        <v>0</v>
      </c>
      <c r="Q4511">
        <v>0</v>
      </c>
      <c r="R4511" t="s">
        <v>32531</v>
      </c>
      <c r="S4511" t="s">
        <v>32586</v>
      </c>
      <c r="T4511" t="s">
        <v>33161</v>
      </c>
      <c r="U4511" t="s">
        <v>37416</v>
      </c>
      <c r="W4511" t="s">
        <v>29760</v>
      </c>
      <c r="X4511" t="s">
        <v>43790</v>
      </c>
    </row>
    <row r="4512" spans="1:24">
      <c r="A4512">
        <f>HYPERLINK("https://www.philgeps.gov.ph/GEPSNONPILOT/Tender/SplashBidNoticeAbstractUI.aspx?menuIndex=3&amp;refID=7018772&amp;Result=3","7018772")</f>
        <v>0</v>
      </c>
      <c r="B4512" t="s">
        <v>1550</v>
      </c>
      <c r="C4512" t="s">
        <v>6991</v>
      </c>
      <c r="D4512" t="s">
        <v>12988</v>
      </c>
      <c r="E4512" t="s">
        <v>17124</v>
      </c>
      <c r="F4512" t="s">
        <v>22436</v>
      </c>
      <c r="G4512" t="s">
        <v>22443</v>
      </c>
      <c r="H4512" t="s">
        <v>22452</v>
      </c>
      <c r="I4512" t="s">
        <v>2981</v>
      </c>
      <c r="J4512" t="s">
        <v>22634</v>
      </c>
      <c r="K4512" t="s">
        <v>29336</v>
      </c>
      <c r="M4512" t="s">
        <v>31230</v>
      </c>
      <c r="N4512" t="s">
        <v>32524</v>
      </c>
      <c r="O4512" t="s">
        <v>32525</v>
      </c>
      <c r="P4512">
        <v>0</v>
      </c>
      <c r="Q4512">
        <v>6</v>
      </c>
      <c r="R4512" t="s">
        <v>32531</v>
      </c>
      <c r="S4512" t="s">
        <v>32586</v>
      </c>
      <c r="T4512" t="s">
        <v>33185</v>
      </c>
      <c r="U4512" t="s">
        <v>37417</v>
      </c>
      <c r="W4512" t="s">
        <v>31230</v>
      </c>
      <c r="X4512" t="s">
        <v>43780</v>
      </c>
    </row>
    <row r="4513" spans="1:24">
      <c r="A4513">
        <f>HYPERLINK("https://www.philgeps.gov.ph/GEPSNONPILOT/Tender/SplashBidNoticeAbstractUI.aspx?menuIndex=3&amp;refID=6860806&amp;Result=3","6860806")</f>
        <v>0</v>
      </c>
      <c r="B4513" t="s">
        <v>1551</v>
      </c>
      <c r="C4513" t="s">
        <v>6992</v>
      </c>
      <c r="D4513" t="s">
        <v>12994</v>
      </c>
      <c r="E4513" t="s">
        <v>17125</v>
      </c>
      <c r="F4513" t="s">
        <v>22436</v>
      </c>
      <c r="G4513" t="s">
        <v>22444</v>
      </c>
      <c r="H4513" t="s">
        <v>22452</v>
      </c>
      <c r="I4513" t="s">
        <v>22465</v>
      </c>
      <c r="J4513" t="s">
        <v>25545</v>
      </c>
      <c r="K4513" t="s">
        <v>29357</v>
      </c>
      <c r="M4513" t="s">
        <v>31231</v>
      </c>
      <c r="N4513" t="s">
        <v>32524</v>
      </c>
      <c r="O4513" t="s">
        <v>32525</v>
      </c>
      <c r="P4513">
        <v>0</v>
      </c>
      <c r="Q4513">
        <v>0</v>
      </c>
      <c r="R4513" t="s">
        <v>32531</v>
      </c>
      <c r="S4513" t="s">
        <v>32586</v>
      </c>
      <c r="T4513" t="s">
        <v>33169</v>
      </c>
      <c r="U4513" t="s">
        <v>37418</v>
      </c>
      <c r="V4513" t="s">
        <v>42461</v>
      </c>
      <c r="W4513" t="s">
        <v>31231</v>
      </c>
      <c r="X4513" t="s">
        <v>43791</v>
      </c>
    </row>
    <row r="4514" spans="1:24">
      <c r="A4514">
        <f>HYPERLINK("https://www.philgeps.gov.ph/GEPSNONPILOT/Tender/SplashBidNoticeAbstractUI.aspx?menuIndex=3&amp;refID=7010886&amp;Result=3","7010886")</f>
        <v>0</v>
      </c>
      <c r="B4514" t="s">
        <v>1547</v>
      </c>
      <c r="C4514" t="s">
        <v>6993</v>
      </c>
      <c r="E4514" t="s">
        <v>17126</v>
      </c>
      <c r="F4514" t="s">
        <v>22436</v>
      </c>
      <c r="G4514" t="s">
        <v>22443</v>
      </c>
      <c r="H4514" t="s">
        <v>22452</v>
      </c>
      <c r="I4514" t="s">
        <v>22479</v>
      </c>
      <c r="J4514" t="s">
        <v>25546</v>
      </c>
      <c r="K4514" t="s">
        <v>29335</v>
      </c>
      <c r="M4514" t="s">
        <v>31226</v>
      </c>
      <c r="N4514" t="s">
        <v>32524</v>
      </c>
      <c r="O4514" t="s">
        <v>32525</v>
      </c>
      <c r="P4514">
        <v>0</v>
      </c>
      <c r="Q4514">
        <v>1</v>
      </c>
      <c r="R4514" t="s">
        <v>32531</v>
      </c>
      <c r="S4514" t="s">
        <v>32586</v>
      </c>
      <c r="T4514" t="s">
        <v>33256</v>
      </c>
      <c r="U4514" t="s">
        <v>37419</v>
      </c>
      <c r="W4514" t="s">
        <v>43727</v>
      </c>
      <c r="X4514" t="s">
        <v>43778</v>
      </c>
    </row>
    <row r="4515" spans="1:24">
      <c r="A4515">
        <f>HYPERLINK("https://www.philgeps.gov.ph/GEPSNONPILOT/Tender/SplashBidNoticeAbstractUI.aspx?menuIndex=3&amp;refID=7031018&amp;Result=3","7031018")</f>
        <v>0</v>
      </c>
      <c r="B4515" t="s">
        <v>1552</v>
      </c>
      <c r="C4515" t="s">
        <v>6994</v>
      </c>
      <c r="D4515" t="s">
        <v>13000</v>
      </c>
      <c r="E4515" t="s">
        <v>17127</v>
      </c>
      <c r="F4515" t="s">
        <v>22436</v>
      </c>
      <c r="G4515" t="s">
        <v>22444</v>
      </c>
      <c r="H4515" t="s">
        <v>22452</v>
      </c>
      <c r="I4515" t="s">
        <v>22463</v>
      </c>
      <c r="J4515" t="s">
        <v>25547</v>
      </c>
      <c r="K4515" t="s">
        <v>29338</v>
      </c>
      <c r="M4515" t="s">
        <v>31232</v>
      </c>
      <c r="N4515" t="s">
        <v>32524</v>
      </c>
      <c r="O4515" t="s">
        <v>32525</v>
      </c>
      <c r="P4515">
        <v>0</v>
      </c>
      <c r="Q4515">
        <v>2</v>
      </c>
      <c r="R4515" t="s">
        <v>32531</v>
      </c>
      <c r="S4515" t="s">
        <v>32586</v>
      </c>
      <c r="T4515" t="s">
        <v>33423</v>
      </c>
      <c r="U4515" t="s">
        <v>37420</v>
      </c>
      <c r="W4515" t="s">
        <v>31232</v>
      </c>
      <c r="X4515" t="s">
        <v>32537</v>
      </c>
    </row>
    <row r="4516" spans="1:24">
      <c r="A4516">
        <f>HYPERLINK("https://www.philgeps.gov.ph/GEPSNONPILOT/Tender/SplashBidNoticeAbstractUI.aspx?menuIndex=3&amp;refID=7017519-2&amp;Result=3","7017519-2")</f>
        <v>0</v>
      </c>
      <c r="B4516" t="s">
        <v>1553</v>
      </c>
      <c r="C4516" t="s">
        <v>6995</v>
      </c>
      <c r="D4516" t="s">
        <v>13032</v>
      </c>
      <c r="E4516" t="s">
        <v>17128</v>
      </c>
      <c r="F4516" t="s">
        <v>22436</v>
      </c>
      <c r="G4516" t="s">
        <v>22444</v>
      </c>
      <c r="H4516" t="s">
        <v>22455</v>
      </c>
      <c r="I4516" t="s">
        <v>22523</v>
      </c>
      <c r="J4516" t="s">
        <v>25548</v>
      </c>
      <c r="K4516" t="s">
        <v>29344</v>
      </c>
      <c r="M4516" t="s">
        <v>31233</v>
      </c>
      <c r="N4516" t="s">
        <v>32524</v>
      </c>
      <c r="O4516" t="s">
        <v>32525</v>
      </c>
      <c r="P4516">
        <v>0</v>
      </c>
      <c r="Q4516">
        <v>1</v>
      </c>
      <c r="R4516" t="s">
        <v>32531</v>
      </c>
      <c r="S4516" t="s">
        <v>32586</v>
      </c>
      <c r="T4516" t="s">
        <v>33209</v>
      </c>
      <c r="U4516" t="s">
        <v>37421</v>
      </c>
      <c r="W4516" t="s">
        <v>31233</v>
      </c>
      <c r="X4516" t="s">
        <v>32532</v>
      </c>
    </row>
    <row r="4517" spans="1:24">
      <c r="A4517">
        <f>HYPERLINK("https://www.philgeps.gov.ph/GEPSNONPILOT/Tender/SplashBidNoticeAbstractUI.aspx?menuIndex=3&amp;refID=7034166&amp;Result=3","7034166")</f>
        <v>0</v>
      </c>
      <c r="B4517" t="s">
        <v>1554</v>
      </c>
      <c r="C4517" t="s">
        <v>6996</v>
      </c>
      <c r="D4517" t="s">
        <v>12998</v>
      </c>
      <c r="E4517" t="s">
        <v>17129</v>
      </c>
      <c r="F4517" t="s">
        <v>22436</v>
      </c>
      <c r="G4517" t="s">
        <v>22444</v>
      </c>
      <c r="H4517" t="s">
        <v>22454</v>
      </c>
      <c r="I4517" t="s">
        <v>7738</v>
      </c>
      <c r="J4517" t="s">
        <v>24049</v>
      </c>
      <c r="K4517" t="s">
        <v>29345</v>
      </c>
      <c r="M4517" t="s">
        <v>31234</v>
      </c>
      <c r="N4517" t="s">
        <v>32524</v>
      </c>
      <c r="O4517" t="s">
        <v>32525</v>
      </c>
      <c r="P4517">
        <v>0</v>
      </c>
      <c r="Q4517">
        <v>2</v>
      </c>
      <c r="R4517" t="s">
        <v>32531</v>
      </c>
      <c r="S4517" t="s">
        <v>32586</v>
      </c>
      <c r="T4517" t="s">
        <v>33452</v>
      </c>
      <c r="U4517" t="s">
        <v>37422</v>
      </c>
      <c r="W4517" t="s">
        <v>31234</v>
      </c>
      <c r="X4517" t="s">
        <v>32534</v>
      </c>
    </row>
    <row r="4518" spans="1:24">
      <c r="A4518">
        <f>HYPERLINK("https://www.philgeps.gov.ph/GEPSNONPILOT/Tender/SplashBidNoticeAbstractUI.aspx?menuIndex=3&amp;refID=7034111&amp;Result=3","7034111")</f>
        <v>0</v>
      </c>
      <c r="B4518" t="s">
        <v>1555</v>
      </c>
      <c r="C4518" t="s">
        <v>6997</v>
      </c>
      <c r="D4518" t="s">
        <v>12999</v>
      </c>
      <c r="E4518" t="s">
        <v>17130</v>
      </c>
      <c r="F4518" t="s">
        <v>22436</v>
      </c>
      <c r="G4518" t="s">
        <v>22444</v>
      </c>
      <c r="H4518" t="s">
        <v>22452</v>
      </c>
      <c r="I4518" t="s">
        <v>22465</v>
      </c>
      <c r="J4518" t="s">
        <v>25549</v>
      </c>
      <c r="K4518" t="s">
        <v>29341</v>
      </c>
      <c r="M4518" t="s">
        <v>31235</v>
      </c>
      <c r="N4518" t="s">
        <v>32524</v>
      </c>
      <c r="O4518" t="s">
        <v>32525</v>
      </c>
      <c r="P4518">
        <v>0</v>
      </c>
      <c r="Q4518">
        <v>0</v>
      </c>
      <c r="R4518" t="s">
        <v>32531</v>
      </c>
      <c r="S4518" t="s">
        <v>32586</v>
      </c>
      <c r="T4518" t="s">
        <v>33253</v>
      </c>
      <c r="U4518" t="s">
        <v>37423</v>
      </c>
      <c r="W4518" t="s">
        <v>31235</v>
      </c>
      <c r="X4518" t="s">
        <v>32534</v>
      </c>
    </row>
    <row r="4519" spans="1:24">
      <c r="A4519">
        <f>HYPERLINK("https://www.philgeps.gov.ph/GEPSNONPILOT/Tender/SplashBidNoticeAbstractUI.aspx?menuIndex=3&amp;refID=7033810&amp;Result=3","7033810")</f>
        <v>0</v>
      </c>
      <c r="B4519" t="s">
        <v>1556</v>
      </c>
      <c r="C4519" t="s">
        <v>6998</v>
      </c>
      <c r="D4519" t="s">
        <v>12999</v>
      </c>
      <c r="E4519" t="s">
        <v>17131</v>
      </c>
      <c r="F4519" t="s">
        <v>22436</v>
      </c>
      <c r="G4519" t="s">
        <v>22444</v>
      </c>
      <c r="H4519" t="s">
        <v>22452</v>
      </c>
      <c r="I4519" t="s">
        <v>22465</v>
      </c>
      <c r="J4519" t="s">
        <v>25550</v>
      </c>
      <c r="K4519" t="s">
        <v>29341</v>
      </c>
      <c r="M4519" t="s">
        <v>31236</v>
      </c>
      <c r="N4519" t="s">
        <v>32524</v>
      </c>
      <c r="O4519" t="s">
        <v>32525</v>
      </c>
      <c r="P4519">
        <v>0</v>
      </c>
      <c r="Q4519">
        <v>2</v>
      </c>
      <c r="R4519" t="s">
        <v>32531</v>
      </c>
      <c r="S4519" t="s">
        <v>32586</v>
      </c>
      <c r="T4519" t="s">
        <v>33253</v>
      </c>
      <c r="U4519" t="s">
        <v>37424</v>
      </c>
      <c r="W4519" t="s">
        <v>31236</v>
      </c>
      <c r="X4519" t="s">
        <v>32534</v>
      </c>
    </row>
    <row r="4520" spans="1:24">
      <c r="A4520">
        <f>HYPERLINK("https://www.philgeps.gov.ph/GEPSNONPILOT/Tender/SplashBidNoticeAbstractUI.aspx?menuIndex=3&amp;refID=7031453&amp;Result=3","7031453")</f>
        <v>0</v>
      </c>
      <c r="B4520" t="s">
        <v>1557</v>
      </c>
      <c r="C4520" t="s">
        <v>6999</v>
      </c>
      <c r="D4520" t="s">
        <v>13057</v>
      </c>
      <c r="E4520" t="s">
        <v>17132</v>
      </c>
      <c r="F4520" t="s">
        <v>22436</v>
      </c>
      <c r="G4520" t="s">
        <v>22447</v>
      </c>
      <c r="H4520" t="s">
        <v>22452</v>
      </c>
      <c r="I4520" t="s">
        <v>22465</v>
      </c>
      <c r="J4520" t="s">
        <v>25551</v>
      </c>
      <c r="K4520" t="s">
        <v>29341</v>
      </c>
      <c r="M4520" t="s">
        <v>31237</v>
      </c>
      <c r="N4520" t="s">
        <v>32524</v>
      </c>
      <c r="O4520" t="s">
        <v>32525</v>
      </c>
      <c r="P4520">
        <v>0</v>
      </c>
      <c r="Q4520">
        <v>1</v>
      </c>
      <c r="R4520" t="s">
        <v>32531</v>
      </c>
      <c r="S4520" t="s">
        <v>32586</v>
      </c>
      <c r="T4520" t="s">
        <v>33241</v>
      </c>
      <c r="U4520" t="s">
        <v>37425</v>
      </c>
      <c r="W4520" t="s">
        <v>31237</v>
      </c>
      <c r="X4520" t="s">
        <v>32537</v>
      </c>
    </row>
    <row r="4521" spans="1:24">
      <c r="A4521">
        <f>HYPERLINK("https://www.philgeps.gov.ph/GEPSNONPILOT/Tender/SplashBidNoticeAbstractUI.aspx?menuIndex=3&amp;refID=7033072&amp;Result=3","7033072")</f>
        <v>0</v>
      </c>
      <c r="B4521" t="s">
        <v>1558</v>
      </c>
      <c r="C4521" t="s">
        <v>7000</v>
      </c>
      <c r="D4521" t="s">
        <v>13015</v>
      </c>
      <c r="E4521" t="s">
        <v>17133</v>
      </c>
      <c r="F4521" t="s">
        <v>22436</v>
      </c>
      <c r="G4521" t="s">
        <v>22444</v>
      </c>
      <c r="H4521" t="s">
        <v>22452</v>
      </c>
      <c r="I4521" t="s">
        <v>22486</v>
      </c>
      <c r="J4521" t="s">
        <v>25552</v>
      </c>
      <c r="K4521" t="s">
        <v>29350</v>
      </c>
      <c r="M4521" t="s">
        <v>31238</v>
      </c>
      <c r="N4521" t="s">
        <v>32524</v>
      </c>
      <c r="O4521" t="s">
        <v>32525</v>
      </c>
      <c r="P4521">
        <v>0</v>
      </c>
      <c r="Q4521">
        <v>0</v>
      </c>
      <c r="R4521" t="s">
        <v>32531</v>
      </c>
      <c r="S4521" t="s">
        <v>32586</v>
      </c>
      <c r="T4521" t="s">
        <v>33310</v>
      </c>
      <c r="U4521" t="s">
        <v>37426</v>
      </c>
      <c r="W4521" t="s">
        <v>31238</v>
      </c>
      <c r="X4521" t="s">
        <v>32534</v>
      </c>
    </row>
    <row r="4522" spans="1:24">
      <c r="A4522">
        <f>HYPERLINK("https://www.philgeps.gov.ph/GEPSNONPILOT/Tender/SplashBidNoticeAbstractUI.aspx?menuIndex=3&amp;refID=6858289&amp;Result=3","6858289")</f>
        <v>0</v>
      </c>
      <c r="B4522" t="s">
        <v>1549</v>
      </c>
      <c r="C4522" t="s">
        <v>7001</v>
      </c>
      <c r="D4522" t="s">
        <v>13045</v>
      </c>
      <c r="E4522" t="s">
        <v>17134</v>
      </c>
      <c r="F4522" t="s">
        <v>22436</v>
      </c>
      <c r="G4522" t="s">
        <v>22444</v>
      </c>
      <c r="H4522" t="s">
        <v>22452</v>
      </c>
      <c r="I4522" t="s">
        <v>6421</v>
      </c>
      <c r="J4522" t="s">
        <v>25553</v>
      </c>
      <c r="K4522" t="s">
        <v>29371</v>
      </c>
      <c r="M4522" t="s">
        <v>31229</v>
      </c>
      <c r="N4522" t="s">
        <v>32524</v>
      </c>
      <c r="O4522" t="s">
        <v>32525</v>
      </c>
      <c r="P4522">
        <v>0</v>
      </c>
      <c r="Q4522">
        <v>4</v>
      </c>
      <c r="R4522" t="s">
        <v>32531</v>
      </c>
      <c r="S4522" t="s">
        <v>32586</v>
      </c>
      <c r="T4522" t="s">
        <v>33212</v>
      </c>
      <c r="U4522" t="s">
        <v>37427</v>
      </c>
      <c r="V4522" t="s">
        <v>42916</v>
      </c>
      <c r="W4522" t="s">
        <v>31229</v>
      </c>
      <c r="X4522" t="s">
        <v>43792</v>
      </c>
    </row>
    <row r="4523" spans="1:24">
      <c r="A4523">
        <f>HYPERLINK("https://www.philgeps.gov.ph/GEPSNONPILOT/Tender/SplashBidNoticeAbstractUI.aspx?menuIndex=3&amp;refID=7043295&amp;Result=3","7043295")</f>
        <v>0</v>
      </c>
      <c r="B4523" t="s">
        <v>1541</v>
      </c>
      <c r="C4523" t="s">
        <v>7002</v>
      </c>
      <c r="D4523" t="s">
        <v>13002</v>
      </c>
      <c r="E4523" t="s">
        <v>17135</v>
      </c>
      <c r="F4523" t="s">
        <v>22436</v>
      </c>
      <c r="G4523" t="s">
        <v>22444</v>
      </c>
      <c r="H4523" t="s">
        <v>22452</v>
      </c>
      <c r="I4523" t="s">
        <v>22464</v>
      </c>
      <c r="J4523" t="s">
        <v>25531</v>
      </c>
      <c r="K4523" t="s">
        <v>29377</v>
      </c>
      <c r="L4523" t="s">
        <v>1541</v>
      </c>
      <c r="M4523" t="s">
        <v>31219</v>
      </c>
      <c r="N4523" t="s">
        <v>32524</v>
      </c>
      <c r="O4523" t="s">
        <v>32525</v>
      </c>
      <c r="P4523">
        <v>0</v>
      </c>
      <c r="Q4523">
        <v>0</v>
      </c>
      <c r="R4523" t="s">
        <v>32530</v>
      </c>
      <c r="S4523" t="s">
        <v>32568</v>
      </c>
      <c r="T4523" t="s">
        <v>33167</v>
      </c>
      <c r="U4523" t="s">
        <v>37428</v>
      </c>
      <c r="W4523" t="s">
        <v>31219</v>
      </c>
      <c r="X4523" t="s">
        <v>32531</v>
      </c>
    </row>
    <row r="4524" spans="1:24">
      <c r="A4524">
        <f>HYPERLINK("https://www.philgeps.gov.ph/GEPSNONPILOT/Tender/SplashBidNoticeAbstractUI.aspx?menuIndex=3&amp;refID=7032605&amp;Result=3","7032605")</f>
        <v>0</v>
      </c>
      <c r="B4524" t="s">
        <v>140</v>
      </c>
      <c r="C4524" t="s">
        <v>7003</v>
      </c>
      <c r="D4524" t="s">
        <v>12988</v>
      </c>
      <c r="E4524" t="s">
        <v>17136</v>
      </c>
      <c r="F4524" t="s">
        <v>22436</v>
      </c>
      <c r="G4524" t="s">
        <v>22444</v>
      </c>
      <c r="H4524" t="s">
        <v>22452</v>
      </c>
      <c r="I4524" t="s">
        <v>22463</v>
      </c>
      <c r="J4524" t="s">
        <v>23268</v>
      </c>
      <c r="K4524" t="s">
        <v>29338</v>
      </c>
      <c r="M4524" t="s">
        <v>31239</v>
      </c>
      <c r="N4524" t="s">
        <v>32524</v>
      </c>
      <c r="O4524" t="s">
        <v>32525</v>
      </c>
      <c r="P4524">
        <v>0</v>
      </c>
      <c r="Q4524">
        <v>1</v>
      </c>
      <c r="R4524" t="s">
        <v>32531</v>
      </c>
      <c r="S4524" t="s">
        <v>32586</v>
      </c>
      <c r="T4524" t="s">
        <v>33253</v>
      </c>
      <c r="U4524" t="s">
        <v>37429</v>
      </c>
      <c r="W4524" t="s">
        <v>31239</v>
      </c>
      <c r="X4524" t="s">
        <v>32535</v>
      </c>
    </row>
    <row r="4525" spans="1:24">
      <c r="A4525">
        <f>HYPERLINK("https://www.philgeps.gov.ph/GEPSNONPILOT/Tender/SplashBidNoticeAbstractUI.aspx?menuIndex=3&amp;refID=7032843&amp;Result=3","7032843")</f>
        <v>0</v>
      </c>
      <c r="B4525" t="s">
        <v>965</v>
      </c>
      <c r="C4525" t="s">
        <v>7004</v>
      </c>
      <c r="D4525" t="s">
        <v>13068</v>
      </c>
      <c r="E4525" t="s">
        <v>17137</v>
      </c>
      <c r="F4525" t="s">
        <v>22436</v>
      </c>
      <c r="G4525" t="s">
        <v>22444</v>
      </c>
      <c r="H4525" t="s">
        <v>22452</v>
      </c>
      <c r="I4525" t="s">
        <v>22474</v>
      </c>
      <c r="J4525" t="s">
        <v>25554</v>
      </c>
      <c r="K4525" t="s">
        <v>29334</v>
      </c>
      <c r="M4525" t="s">
        <v>30581</v>
      </c>
      <c r="N4525" t="s">
        <v>32524</v>
      </c>
      <c r="O4525" t="s">
        <v>32525</v>
      </c>
      <c r="P4525">
        <v>0</v>
      </c>
      <c r="Q4525">
        <v>5</v>
      </c>
      <c r="R4525" t="s">
        <v>32531</v>
      </c>
      <c r="S4525" t="s">
        <v>32586</v>
      </c>
      <c r="T4525" t="s">
        <v>33434</v>
      </c>
      <c r="U4525" t="s">
        <v>37430</v>
      </c>
      <c r="V4525" t="s">
        <v>42917</v>
      </c>
      <c r="W4525" t="s">
        <v>30581</v>
      </c>
      <c r="X4525" t="s">
        <v>32534</v>
      </c>
    </row>
    <row r="4526" spans="1:24">
      <c r="A4526">
        <f>HYPERLINK("https://www.philgeps.gov.ph/GEPSNONPILOT/Tender/SplashBidNoticeAbstractUI.aspx?menuIndex=3&amp;refID=7030280&amp;Result=3","7030280")</f>
        <v>0</v>
      </c>
      <c r="B4526" t="s">
        <v>1558</v>
      </c>
      <c r="C4526" t="s">
        <v>7005</v>
      </c>
      <c r="D4526" t="s">
        <v>13015</v>
      </c>
      <c r="E4526" t="s">
        <v>17138</v>
      </c>
      <c r="F4526" t="s">
        <v>22436</v>
      </c>
      <c r="G4526" t="s">
        <v>22444</v>
      </c>
      <c r="H4526" t="s">
        <v>22452</v>
      </c>
      <c r="I4526" t="s">
        <v>22469</v>
      </c>
      <c r="J4526" t="s">
        <v>23387</v>
      </c>
      <c r="K4526" t="s">
        <v>29333</v>
      </c>
      <c r="M4526" t="s">
        <v>31238</v>
      </c>
      <c r="N4526" t="s">
        <v>32524</v>
      </c>
      <c r="O4526" t="s">
        <v>32525</v>
      </c>
      <c r="P4526">
        <v>0</v>
      </c>
      <c r="Q4526">
        <v>3</v>
      </c>
      <c r="R4526" t="s">
        <v>32531</v>
      </c>
      <c r="S4526" t="s">
        <v>32586</v>
      </c>
      <c r="T4526" t="s">
        <v>33424</v>
      </c>
      <c r="U4526" t="s">
        <v>37431</v>
      </c>
      <c r="W4526" t="s">
        <v>31238</v>
      </c>
      <c r="X4526" t="s">
        <v>32537</v>
      </c>
    </row>
    <row r="4527" spans="1:24">
      <c r="A4527">
        <f>HYPERLINK("https://www.philgeps.gov.ph/GEPSNONPILOT/Tender/SplashBidNoticeAbstractUI.aspx?menuIndex=3&amp;refID=7033009&amp;Result=3","7033009")</f>
        <v>0</v>
      </c>
      <c r="B4527" t="s">
        <v>1558</v>
      </c>
      <c r="C4527" t="s">
        <v>7006</v>
      </c>
      <c r="D4527" t="s">
        <v>13015</v>
      </c>
      <c r="E4527" t="s">
        <v>17139</v>
      </c>
      <c r="F4527" t="s">
        <v>22436</v>
      </c>
      <c r="G4527" t="s">
        <v>22444</v>
      </c>
      <c r="H4527" t="s">
        <v>22452</v>
      </c>
      <c r="I4527" t="s">
        <v>22479</v>
      </c>
      <c r="J4527" t="s">
        <v>23093</v>
      </c>
      <c r="K4527" t="s">
        <v>29335</v>
      </c>
      <c r="M4527" t="s">
        <v>31238</v>
      </c>
      <c r="N4527" t="s">
        <v>32524</v>
      </c>
      <c r="O4527" t="s">
        <v>32525</v>
      </c>
      <c r="P4527">
        <v>0</v>
      </c>
      <c r="Q4527">
        <v>1</v>
      </c>
      <c r="R4527" t="s">
        <v>32531</v>
      </c>
      <c r="S4527" t="s">
        <v>32586</v>
      </c>
      <c r="T4527" t="s">
        <v>33310</v>
      </c>
      <c r="U4527" t="s">
        <v>37432</v>
      </c>
      <c r="W4527" t="s">
        <v>31238</v>
      </c>
      <c r="X4527" t="s">
        <v>32534</v>
      </c>
    </row>
    <row r="4528" spans="1:24">
      <c r="A4528">
        <f>HYPERLINK("https://www.philgeps.gov.ph/GEPSNONPILOT/Tender/SplashBidNoticeAbstractUI.aspx?menuIndex=3&amp;refID=7034276&amp;Result=3","7034276")</f>
        <v>0</v>
      </c>
      <c r="B4528" t="s">
        <v>1302</v>
      </c>
      <c r="C4528" t="s">
        <v>7007</v>
      </c>
      <c r="D4528" t="s">
        <v>13010</v>
      </c>
      <c r="E4528" t="s">
        <v>17140</v>
      </c>
      <c r="F4528" t="s">
        <v>22436</v>
      </c>
      <c r="G4528" t="s">
        <v>22444</v>
      </c>
      <c r="H4528" t="s">
        <v>22454</v>
      </c>
      <c r="I4528" t="s">
        <v>7738</v>
      </c>
      <c r="J4528" t="s">
        <v>25555</v>
      </c>
      <c r="K4528" t="s">
        <v>29388</v>
      </c>
      <c r="M4528" t="s">
        <v>30956</v>
      </c>
      <c r="N4528" t="s">
        <v>32524</v>
      </c>
      <c r="O4528" t="s">
        <v>32525</v>
      </c>
      <c r="P4528">
        <v>0</v>
      </c>
      <c r="Q4528">
        <v>2</v>
      </c>
      <c r="R4528" t="s">
        <v>32531</v>
      </c>
      <c r="S4528" t="s">
        <v>32586</v>
      </c>
      <c r="T4528" t="s">
        <v>33422</v>
      </c>
      <c r="U4528" t="s">
        <v>37433</v>
      </c>
      <c r="W4528" t="s">
        <v>30956</v>
      </c>
      <c r="X4528" t="s">
        <v>32534</v>
      </c>
    </row>
    <row r="4529" spans="1:24">
      <c r="A4529">
        <f>HYPERLINK("https://www.philgeps.gov.ph/GEPSNONPILOT/Tender/SplashBidNoticeAbstractUI.aspx?menuIndex=3&amp;refID=7034267&amp;Result=3","7034267")</f>
        <v>0</v>
      </c>
      <c r="B4529" t="s">
        <v>1554</v>
      </c>
      <c r="C4529" t="s">
        <v>7008</v>
      </c>
      <c r="D4529" t="s">
        <v>12998</v>
      </c>
      <c r="E4529" t="s">
        <v>17141</v>
      </c>
      <c r="F4529" t="s">
        <v>22436</v>
      </c>
      <c r="G4529" t="s">
        <v>22444</v>
      </c>
      <c r="H4529" t="s">
        <v>22454</v>
      </c>
      <c r="I4529" t="s">
        <v>7738</v>
      </c>
      <c r="J4529" t="s">
        <v>22936</v>
      </c>
      <c r="K4529" t="s">
        <v>29362</v>
      </c>
      <c r="M4529" t="s">
        <v>31234</v>
      </c>
      <c r="N4529" t="s">
        <v>32524</v>
      </c>
      <c r="O4529" t="s">
        <v>32525</v>
      </c>
      <c r="P4529">
        <v>0</v>
      </c>
      <c r="Q4529">
        <v>1</v>
      </c>
      <c r="R4529" t="s">
        <v>32531</v>
      </c>
      <c r="S4529" t="s">
        <v>32586</v>
      </c>
      <c r="T4529" t="s">
        <v>33452</v>
      </c>
      <c r="U4529" t="s">
        <v>37434</v>
      </c>
      <c r="W4529" t="s">
        <v>31234</v>
      </c>
      <c r="X4529" t="s">
        <v>32534</v>
      </c>
    </row>
    <row r="4530" spans="1:24">
      <c r="A4530">
        <f>HYPERLINK("https://www.philgeps.gov.ph/GEPSNONPILOT/Tender/SplashBidNoticeAbstractUI.aspx?menuIndex=3&amp;refID=7034236&amp;Result=3","7034236")</f>
        <v>0</v>
      </c>
      <c r="B4530" t="s">
        <v>1554</v>
      </c>
      <c r="C4530" t="s">
        <v>7009</v>
      </c>
      <c r="D4530" t="s">
        <v>12998</v>
      </c>
      <c r="E4530" t="s">
        <v>17142</v>
      </c>
      <c r="F4530" t="s">
        <v>22436</v>
      </c>
      <c r="G4530" t="s">
        <v>22444</v>
      </c>
      <c r="H4530" t="s">
        <v>22454</v>
      </c>
      <c r="I4530" t="s">
        <v>7738</v>
      </c>
      <c r="J4530" t="s">
        <v>25556</v>
      </c>
      <c r="K4530" t="s">
        <v>29345</v>
      </c>
      <c r="M4530" t="s">
        <v>31234</v>
      </c>
      <c r="N4530" t="s">
        <v>32524</v>
      </c>
      <c r="O4530" t="s">
        <v>32525</v>
      </c>
      <c r="P4530">
        <v>0</v>
      </c>
      <c r="Q4530">
        <v>2</v>
      </c>
      <c r="R4530" t="s">
        <v>32531</v>
      </c>
      <c r="S4530" t="s">
        <v>32586</v>
      </c>
      <c r="T4530" t="s">
        <v>33452</v>
      </c>
      <c r="U4530" t="s">
        <v>37435</v>
      </c>
      <c r="W4530" t="s">
        <v>31234</v>
      </c>
      <c r="X4530" t="s">
        <v>32534</v>
      </c>
    </row>
    <row r="4531" spans="1:24">
      <c r="A4531">
        <f>HYPERLINK("https://www.philgeps.gov.ph/GEPSNONPILOT/Tender/SplashBidNoticeAbstractUI.aspx?menuIndex=3&amp;refID=7032251&amp;Result=3","7032251")</f>
        <v>0</v>
      </c>
      <c r="B4531" t="s">
        <v>1364</v>
      </c>
      <c r="C4531" t="s">
        <v>7010</v>
      </c>
      <c r="D4531" t="s">
        <v>13032</v>
      </c>
      <c r="E4531" t="s">
        <v>17143</v>
      </c>
      <c r="F4531" t="s">
        <v>22436</v>
      </c>
      <c r="G4531" t="s">
        <v>22444</v>
      </c>
      <c r="H4531" t="s">
        <v>22454</v>
      </c>
      <c r="I4531" t="s">
        <v>7738</v>
      </c>
      <c r="J4531" t="s">
        <v>25557</v>
      </c>
      <c r="K4531" t="s">
        <v>29335</v>
      </c>
      <c r="M4531" t="s">
        <v>31020</v>
      </c>
      <c r="N4531" t="s">
        <v>32524</v>
      </c>
      <c r="O4531" t="s">
        <v>32525</v>
      </c>
      <c r="P4531">
        <v>0</v>
      </c>
      <c r="Q4531">
        <v>1</v>
      </c>
      <c r="R4531" t="s">
        <v>32531</v>
      </c>
      <c r="S4531" t="s">
        <v>32586</v>
      </c>
      <c r="T4531" t="s">
        <v>33453</v>
      </c>
      <c r="U4531" t="s">
        <v>37436</v>
      </c>
      <c r="W4531" t="s">
        <v>31020</v>
      </c>
      <c r="X4531" t="s">
        <v>32536</v>
      </c>
    </row>
    <row r="4532" spans="1:24">
      <c r="A4532">
        <f>HYPERLINK("https://www.philgeps.gov.ph/GEPSNONPILOT/Tender/SplashBidNoticeAbstractUI.aspx?menuIndex=3&amp;refID=7034513&amp;Result=3","7034513")</f>
        <v>0</v>
      </c>
      <c r="B4532" t="s">
        <v>1556</v>
      </c>
      <c r="C4532" t="s">
        <v>7011</v>
      </c>
      <c r="D4532" t="s">
        <v>12999</v>
      </c>
      <c r="E4532" t="s">
        <v>17144</v>
      </c>
      <c r="F4532" t="s">
        <v>22436</v>
      </c>
      <c r="G4532" t="s">
        <v>22444</v>
      </c>
      <c r="H4532" t="s">
        <v>22452</v>
      </c>
      <c r="I4532" t="s">
        <v>22465</v>
      </c>
      <c r="J4532" t="s">
        <v>25558</v>
      </c>
      <c r="K4532" t="s">
        <v>29341</v>
      </c>
      <c r="M4532" t="s">
        <v>31236</v>
      </c>
      <c r="N4532" t="s">
        <v>32524</v>
      </c>
      <c r="O4532" t="s">
        <v>32525</v>
      </c>
      <c r="P4532">
        <v>0</v>
      </c>
      <c r="Q4532">
        <v>0</v>
      </c>
      <c r="R4532" t="s">
        <v>32531</v>
      </c>
      <c r="S4532" t="s">
        <v>32586</v>
      </c>
      <c r="T4532" t="s">
        <v>33253</v>
      </c>
      <c r="U4532" t="s">
        <v>37437</v>
      </c>
      <c r="W4532" t="s">
        <v>31236</v>
      </c>
      <c r="X4532" t="s">
        <v>32534</v>
      </c>
    </row>
    <row r="4533" spans="1:24">
      <c r="A4533">
        <f>HYPERLINK("https://www.philgeps.gov.ph/GEPSNONPILOT/Tender/SplashBidNoticeAbstractUI.aspx?menuIndex=3&amp;refID=7032263&amp;Result=3","7032263")</f>
        <v>0</v>
      </c>
      <c r="B4533" t="s">
        <v>1364</v>
      </c>
      <c r="C4533" t="s">
        <v>7012</v>
      </c>
      <c r="D4533" t="s">
        <v>13032</v>
      </c>
      <c r="E4533" t="s">
        <v>17145</v>
      </c>
      <c r="F4533" t="s">
        <v>22436</v>
      </c>
      <c r="G4533" t="s">
        <v>22444</v>
      </c>
      <c r="H4533" t="s">
        <v>22454</v>
      </c>
      <c r="I4533" t="s">
        <v>7738</v>
      </c>
      <c r="J4533" t="s">
        <v>25559</v>
      </c>
      <c r="K4533" t="s">
        <v>29335</v>
      </c>
      <c r="M4533" t="s">
        <v>31020</v>
      </c>
      <c r="N4533" t="s">
        <v>32524</v>
      </c>
      <c r="O4533" t="s">
        <v>32525</v>
      </c>
      <c r="P4533">
        <v>0</v>
      </c>
      <c r="Q4533">
        <v>1</v>
      </c>
      <c r="R4533" t="s">
        <v>32531</v>
      </c>
      <c r="S4533" t="s">
        <v>32586</v>
      </c>
      <c r="T4533" t="s">
        <v>33453</v>
      </c>
      <c r="U4533" t="s">
        <v>37438</v>
      </c>
      <c r="W4533" t="s">
        <v>31020</v>
      </c>
      <c r="X4533" t="s">
        <v>32536</v>
      </c>
    </row>
    <row r="4534" spans="1:24">
      <c r="A4534">
        <f>HYPERLINK("https://www.philgeps.gov.ph/GEPSNONPILOT/Tender/SplashBidNoticeAbstractUI.aspx?menuIndex=3&amp;refID=7032256&amp;Result=3","7032256")</f>
        <v>0</v>
      </c>
      <c r="B4534" t="s">
        <v>1364</v>
      </c>
      <c r="C4534" t="s">
        <v>7013</v>
      </c>
      <c r="D4534" t="s">
        <v>13032</v>
      </c>
      <c r="E4534" t="s">
        <v>17146</v>
      </c>
      <c r="F4534" t="s">
        <v>22436</v>
      </c>
      <c r="G4534" t="s">
        <v>22444</v>
      </c>
      <c r="H4534" t="s">
        <v>22454</v>
      </c>
      <c r="I4534" t="s">
        <v>7738</v>
      </c>
      <c r="J4534" t="s">
        <v>25560</v>
      </c>
      <c r="K4534" t="s">
        <v>29378</v>
      </c>
      <c r="M4534" t="s">
        <v>31020</v>
      </c>
      <c r="N4534" t="s">
        <v>32524</v>
      </c>
      <c r="O4534" t="s">
        <v>32525</v>
      </c>
      <c r="P4534">
        <v>0</v>
      </c>
      <c r="Q4534">
        <v>1</v>
      </c>
      <c r="R4534" t="s">
        <v>32531</v>
      </c>
      <c r="S4534" t="s">
        <v>32586</v>
      </c>
      <c r="T4534" t="s">
        <v>33453</v>
      </c>
      <c r="U4534" t="s">
        <v>37439</v>
      </c>
      <c r="W4534" t="s">
        <v>31020</v>
      </c>
      <c r="X4534" t="s">
        <v>32536</v>
      </c>
    </row>
    <row r="4535" spans="1:24">
      <c r="A4535">
        <f>HYPERLINK("https://www.philgeps.gov.ph/GEPSNONPILOT/Tender/SplashBidNoticeAbstractUI.aspx?menuIndex=3&amp;refID=7034819&amp;Result=3","7034819")</f>
        <v>0</v>
      </c>
      <c r="B4535" t="s">
        <v>1559</v>
      </c>
      <c r="C4535" t="s">
        <v>7014</v>
      </c>
      <c r="E4535" t="s">
        <v>16288</v>
      </c>
      <c r="F4535" t="s">
        <v>22436</v>
      </c>
      <c r="G4535" t="s">
        <v>22444</v>
      </c>
      <c r="H4535" t="s">
        <v>22452</v>
      </c>
      <c r="I4535" t="s">
        <v>22469</v>
      </c>
      <c r="J4535" t="s">
        <v>22806</v>
      </c>
      <c r="K4535" t="s">
        <v>29331</v>
      </c>
      <c r="M4535" t="s">
        <v>31240</v>
      </c>
      <c r="N4535" t="s">
        <v>32524</v>
      </c>
      <c r="O4535" t="s">
        <v>32525</v>
      </c>
      <c r="P4535">
        <v>0</v>
      </c>
      <c r="Q4535">
        <v>6</v>
      </c>
      <c r="R4535" t="s">
        <v>32531</v>
      </c>
      <c r="S4535" t="s">
        <v>32586</v>
      </c>
      <c r="T4535" t="s">
        <v>33440</v>
      </c>
      <c r="U4535" t="s">
        <v>37440</v>
      </c>
      <c r="W4535" t="s">
        <v>31240</v>
      </c>
      <c r="X4535" t="s">
        <v>32534</v>
      </c>
    </row>
    <row r="4536" spans="1:24">
      <c r="A4536">
        <f>HYPERLINK("https://www.philgeps.gov.ph/GEPSNONPILOT/Tender/SplashBidNoticeAbstractUI.aspx?menuIndex=3&amp;refID=7035017&amp;Result=3","7035017")</f>
        <v>0</v>
      </c>
      <c r="B4536" t="s">
        <v>1560</v>
      </c>
      <c r="C4536" t="s">
        <v>7015</v>
      </c>
      <c r="D4536" t="s">
        <v>13032</v>
      </c>
      <c r="E4536" t="s">
        <v>17147</v>
      </c>
      <c r="F4536" t="s">
        <v>22436</v>
      </c>
      <c r="G4536" t="s">
        <v>22444</v>
      </c>
      <c r="H4536" t="s">
        <v>22452</v>
      </c>
      <c r="I4536" t="s">
        <v>22537</v>
      </c>
      <c r="J4536" t="s">
        <v>25561</v>
      </c>
      <c r="K4536" t="s">
        <v>29333</v>
      </c>
      <c r="M4536" t="s">
        <v>31241</v>
      </c>
      <c r="N4536" t="s">
        <v>32524</v>
      </c>
      <c r="O4536" t="s">
        <v>32525</v>
      </c>
      <c r="P4536">
        <v>0</v>
      </c>
      <c r="Q4536">
        <v>0</v>
      </c>
      <c r="R4536" t="s">
        <v>32531</v>
      </c>
      <c r="S4536" t="s">
        <v>32586</v>
      </c>
      <c r="T4536" t="s">
        <v>33252</v>
      </c>
      <c r="U4536" t="s">
        <v>37441</v>
      </c>
      <c r="W4536" t="s">
        <v>31241</v>
      </c>
      <c r="X4536" t="s">
        <v>32534</v>
      </c>
    </row>
    <row r="4537" spans="1:24">
      <c r="A4537">
        <f>HYPERLINK("https://www.philgeps.gov.ph/GEPSNONPILOT/Tender/SplashBidNoticeAbstractUI.aspx?menuIndex=3&amp;refID=7032604&amp;Result=3","7032604")</f>
        <v>0</v>
      </c>
      <c r="B4537" t="s">
        <v>43</v>
      </c>
      <c r="C4537" t="s">
        <v>7016</v>
      </c>
      <c r="D4537" t="s">
        <v>13003</v>
      </c>
      <c r="E4537" t="s">
        <v>17148</v>
      </c>
      <c r="F4537" t="s">
        <v>22436</v>
      </c>
      <c r="G4537" t="s">
        <v>22444</v>
      </c>
      <c r="H4537" t="s">
        <v>22454</v>
      </c>
      <c r="I4537" t="s">
        <v>7738</v>
      </c>
      <c r="J4537" t="s">
        <v>25562</v>
      </c>
      <c r="K4537" t="s">
        <v>29342</v>
      </c>
      <c r="M4537" t="s">
        <v>29614</v>
      </c>
      <c r="N4537" t="s">
        <v>32524</v>
      </c>
      <c r="O4537" t="s">
        <v>32525</v>
      </c>
      <c r="P4537">
        <v>0</v>
      </c>
      <c r="Q4537">
        <v>0</v>
      </c>
      <c r="R4537" t="s">
        <v>32531</v>
      </c>
      <c r="S4537" t="s">
        <v>32586</v>
      </c>
      <c r="T4537" t="s">
        <v>33213</v>
      </c>
      <c r="U4537" t="s">
        <v>37442</v>
      </c>
      <c r="W4537" t="s">
        <v>29614</v>
      </c>
      <c r="X4537" t="s">
        <v>32535</v>
      </c>
    </row>
    <row r="4538" spans="1:24">
      <c r="A4538">
        <f>HYPERLINK("https://www.philgeps.gov.ph/GEPSNONPILOT/Tender/SplashBidNoticeAbstractUI.aspx?menuIndex=3&amp;refID=7034648&amp;Result=3","7034648")</f>
        <v>0</v>
      </c>
      <c r="B4538" t="s">
        <v>339</v>
      </c>
      <c r="C4538" t="s">
        <v>7017</v>
      </c>
      <c r="D4538" t="s">
        <v>12990</v>
      </c>
      <c r="E4538" t="s">
        <v>17149</v>
      </c>
      <c r="F4538" t="s">
        <v>22436</v>
      </c>
      <c r="G4538" t="s">
        <v>22444</v>
      </c>
      <c r="H4538" t="s">
        <v>22452</v>
      </c>
      <c r="I4538" t="s">
        <v>7738</v>
      </c>
      <c r="J4538" t="s">
        <v>25563</v>
      </c>
      <c r="K4538" t="s">
        <v>29334</v>
      </c>
      <c r="M4538" t="s">
        <v>31131</v>
      </c>
      <c r="N4538" t="s">
        <v>32524</v>
      </c>
      <c r="O4538" t="s">
        <v>32525</v>
      </c>
      <c r="P4538">
        <v>0</v>
      </c>
      <c r="Q4538">
        <v>2</v>
      </c>
      <c r="R4538" t="s">
        <v>32531</v>
      </c>
      <c r="S4538" t="s">
        <v>32586</v>
      </c>
      <c r="T4538" t="s">
        <v>33297</v>
      </c>
      <c r="U4538" t="s">
        <v>37443</v>
      </c>
      <c r="W4538" t="s">
        <v>31131</v>
      </c>
      <c r="X4538" t="s">
        <v>32534</v>
      </c>
    </row>
    <row r="4539" spans="1:24">
      <c r="A4539">
        <f>HYPERLINK("https://www.philgeps.gov.ph/GEPSNONPILOT/Tender/SplashBidNoticeAbstractUI.aspx?menuIndex=3&amp;refID=7032245&amp;Result=3","7032245")</f>
        <v>0</v>
      </c>
      <c r="B4539" t="s">
        <v>1364</v>
      </c>
      <c r="C4539" t="s">
        <v>7018</v>
      </c>
      <c r="D4539" t="s">
        <v>13032</v>
      </c>
      <c r="E4539" t="s">
        <v>17150</v>
      </c>
      <c r="F4539" t="s">
        <v>22436</v>
      </c>
      <c r="G4539" t="s">
        <v>22444</v>
      </c>
      <c r="H4539" t="s">
        <v>22454</v>
      </c>
      <c r="I4539" t="s">
        <v>7738</v>
      </c>
      <c r="J4539" t="s">
        <v>25564</v>
      </c>
      <c r="K4539" t="s">
        <v>29333</v>
      </c>
      <c r="M4539" t="s">
        <v>31020</v>
      </c>
      <c r="N4539" t="s">
        <v>32524</v>
      </c>
      <c r="O4539" t="s">
        <v>32525</v>
      </c>
      <c r="P4539">
        <v>0</v>
      </c>
      <c r="Q4539">
        <v>1</v>
      </c>
      <c r="R4539" t="s">
        <v>32531</v>
      </c>
      <c r="S4539" t="s">
        <v>32586</v>
      </c>
      <c r="T4539" t="s">
        <v>33453</v>
      </c>
      <c r="U4539" t="s">
        <v>37444</v>
      </c>
      <c r="W4539" t="s">
        <v>31020</v>
      </c>
      <c r="X4539" t="s">
        <v>32536</v>
      </c>
    </row>
    <row r="4540" spans="1:24">
      <c r="A4540">
        <f>HYPERLINK("https://www.philgeps.gov.ph/GEPSNONPILOT/Tender/SplashBidNoticeAbstractUI.aspx?menuIndex=3&amp;refID=7035351&amp;Result=3","7035351")</f>
        <v>0</v>
      </c>
      <c r="B4540" t="s">
        <v>32</v>
      </c>
      <c r="C4540" t="s">
        <v>7019</v>
      </c>
      <c r="E4540" t="s">
        <v>17151</v>
      </c>
      <c r="F4540" t="s">
        <v>22436</v>
      </c>
      <c r="G4540" t="s">
        <v>22444</v>
      </c>
      <c r="H4540" t="s">
        <v>22452</v>
      </c>
      <c r="I4540" t="s">
        <v>22474</v>
      </c>
      <c r="J4540" t="s">
        <v>25565</v>
      </c>
      <c r="K4540" t="s">
        <v>29335</v>
      </c>
      <c r="M4540" t="s">
        <v>29609</v>
      </c>
      <c r="N4540" t="s">
        <v>32524</v>
      </c>
      <c r="O4540" t="s">
        <v>32525</v>
      </c>
      <c r="P4540">
        <v>0</v>
      </c>
      <c r="Q4540">
        <v>4</v>
      </c>
      <c r="R4540" t="s">
        <v>32531</v>
      </c>
      <c r="S4540" t="s">
        <v>32586</v>
      </c>
      <c r="T4540" t="s">
        <v>33422</v>
      </c>
      <c r="U4540" t="s">
        <v>37445</v>
      </c>
      <c r="W4540" t="s">
        <v>29609</v>
      </c>
      <c r="X4540" t="s">
        <v>32533</v>
      </c>
    </row>
    <row r="4541" spans="1:24">
      <c r="A4541">
        <f>HYPERLINK("https://www.philgeps.gov.ph/GEPSNONPILOT/Tender/SplashBidNoticeAbstractUI.aspx?menuIndex=3&amp;refID=7035367&amp;Result=3","7035367")</f>
        <v>0</v>
      </c>
      <c r="B4541" t="s">
        <v>1561</v>
      </c>
      <c r="C4541" t="s">
        <v>7020</v>
      </c>
      <c r="D4541" t="s">
        <v>12999</v>
      </c>
      <c r="E4541" t="s">
        <v>17152</v>
      </c>
      <c r="F4541" t="s">
        <v>22436</v>
      </c>
      <c r="G4541" t="s">
        <v>22444</v>
      </c>
      <c r="H4541" t="s">
        <v>22452</v>
      </c>
      <c r="I4541" t="s">
        <v>22465</v>
      </c>
      <c r="J4541" t="s">
        <v>25566</v>
      </c>
      <c r="K4541" t="s">
        <v>29341</v>
      </c>
      <c r="M4541" t="s">
        <v>31242</v>
      </c>
      <c r="N4541" t="s">
        <v>32524</v>
      </c>
      <c r="O4541" t="s">
        <v>32525</v>
      </c>
      <c r="P4541">
        <v>0</v>
      </c>
      <c r="Q4541">
        <v>1</v>
      </c>
      <c r="R4541" t="s">
        <v>32531</v>
      </c>
      <c r="S4541" t="s">
        <v>32586</v>
      </c>
      <c r="T4541" t="s">
        <v>33253</v>
      </c>
      <c r="U4541" t="s">
        <v>37446</v>
      </c>
      <c r="W4541" t="s">
        <v>31242</v>
      </c>
      <c r="X4541" t="s">
        <v>32533</v>
      </c>
    </row>
    <row r="4542" spans="1:24">
      <c r="A4542">
        <f>HYPERLINK("https://www.philgeps.gov.ph/GEPSNONPILOT/Tender/SplashBidNoticeAbstractUI.aspx?menuIndex=3&amp;refID=7034530&amp;Result=3","7034530")</f>
        <v>0</v>
      </c>
      <c r="B4542" t="s">
        <v>1562</v>
      </c>
      <c r="C4542" t="s">
        <v>7021</v>
      </c>
      <c r="D4542" t="s">
        <v>13009</v>
      </c>
      <c r="E4542" t="s">
        <v>14079</v>
      </c>
      <c r="F4542" t="s">
        <v>22436</v>
      </c>
      <c r="G4542" t="s">
        <v>22444</v>
      </c>
      <c r="H4542" t="s">
        <v>22454</v>
      </c>
      <c r="I4542" t="s">
        <v>3529</v>
      </c>
      <c r="J4542" t="s">
        <v>25567</v>
      </c>
      <c r="K4542" t="s">
        <v>29388</v>
      </c>
      <c r="M4542" t="s">
        <v>31243</v>
      </c>
      <c r="N4542" t="s">
        <v>32524</v>
      </c>
      <c r="O4542" t="s">
        <v>32525</v>
      </c>
      <c r="P4542">
        <v>0</v>
      </c>
      <c r="Q4542">
        <v>0</v>
      </c>
      <c r="R4542" t="s">
        <v>32531</v>
      </c>
      <c r="S4542" t="s">
        <v>32586</v>
      </c>
      <c r="T4542" t="s">
        <v>33161</v>
      </c>
      <c r="U4542" t="s">
        <v>37447</v>
      </c>
      <c r="W4542" t="s">
        <v>31243</v>
      </c>
      <c r="X4542" t="s">
        <v>32534</v>
      </c>
    </row>
    <row r="4543" spans="1:24">
      <c r="A4543">
        <f>HYPERLINK("https://www.philgeps.gov.ph/GEPSNONPILOT/Tender/SplashBidNoticeAbstractUI.aspx?menuIndex=3&amp;refID=7035534&amp;Result=3","7035534")</f>
        <v>0</v>
      </c>
      <c r="B4543" t="s">
        <v>1563</v>
      </c>
      <c r="C4543" t="s">
        <v>7022</v>
      </c>
      <c r="D4543" t="s">
        <v>13006</v>
      </c>
      <c r="E4543" t="s">
        <v>17153</v>
      </c>
      <c r="F4543" t="s">
        <v>22436</v>
      </c>
      <c r="G4543" t="s">
        <v>22444</v>
      </c>
      <c r="H4543" t="s">
        <v>22454</v>
      </c>
      <c r="I4543" t="s">
        <v>7738</v>
      </c>
      <c r="J4543" t="s">
        <v>25568</v>
      </c>
      <c r="K4543" t="s">
        <v>29450</v>
      </c>
      <c r="M4543" t="s">
        <v>31244</v>
      </c>
      <c r="N4543" t="s">
        <v>32524</v>
      </c>
      <c r="O4543" t="s">
        <v>32525</v>
      </c>
      <c r="P4543">
        <v>0</v>
      </c>
      <c r="Q4543">
        <v>1</v>
      </c>
      <c r="R4543" t="s">
        <v>32531</v>
      </c>
      <c r="S4543" t="s">
        <v>32586</v>
      </c>
      <c r="T4543" t="s">
        <v>33405</v>
      </c>
      <c r="U4543" t="s">
        <v>37448</v>
      </c>
      <c r="W4543" t="s">
        <v>31244</v>
      </c>
      <c r="X4543" t="s">
        <v>32533</v>
      </c>
    </row>
    <row r="4544" spans="1:24">
      <c r="A4544">
        <f>HYPERLINK("https://www.philgeps.gov.ph/GEPSNONPILOT/Tender/SplashBidNoticeAbstractUI.aspx?menuIndex=3&amp;refID=7035385&amp;Result=3","7035385")</f>
        <v>0</v>
      </c>
      <c r="B4544" t="s">
        <v>1563</v>
      </c>
      <c r="C4544" t="s">
        <v>7023</v>
      </c>
      <c r="D4544" t="s">
        <v>13006</v>
      </c>
      <c r="E4544" t="s">
        <v>17154</v>
      </c>
      <c r="F4544" t="s">
        <v>22436</v>
      </c>
      <c r="G4544" t="s">
        <v>22444</v>
      </c>
      <c r="H4544" t="s">
        <v>22454</v>
      </c>
      <c r="I4544" t="s">
        <v>7738</v>
      </c>
      <c r="J4544" t="s">
        <v>22893</v>
      </c>
      <c r="K4544" t="s">
        <v>29427</v>
      </c>
      <c r="M4544" t="s">
        <v>31244</v>
      </c>
      <c r="N4544" t="s">
        <v>32524</v>
      </c>
      <c r="O4544" t="s">
        <v>32525</v>
      </c>
      <c r="P4544">
        <v>0</v>
      </c>
      <c r="Q4544">
        <v>0</v>
      </c>
      <c r="R4544" t="s">
        <v>32531</v>
      </c>
      <c r="S4544" t="s">
        <v>32586</v>
      </c>
      <c r="T4544" t="s">
        <v>33213</v>
      </c>
      <c r="U4544" t="s">
        <v>37449</v>
      </c>
      <c r="W4544" t="s">
        <v>31244</v>
      </c>
      <c r="X4544" t="s">
        <v>32533</v>
      </c>
    </row>
    <row r="4545" spans="1:24">
      <c r="A4545">
        <f>HYPERLINK("https://www.philgeps.gov.ph/GEPSNONPILOT/Tender/SplashBidNoticeAbstractUI.aspx?menuIndex=3&amp;refID=7035371&amp;Result=3","7035371")</f>
        <v>0</v>
      </c>
      <c r="B4545" t="s">
        <v>46</v>
      </c>
      <c r="C4545" t="s">
        <v>7024</v>
      </c>
      <c r="D4545" t="s">
        <v>13006</v>
      </c>
      <c r="E4545" t="s">
        <v>17155</v>
      </c>
      <c r="F4545" t="s">
        <v>22436</v>
      </c>
      <c r="G4545" t="s">
        <v>22444</v>
      </c>
      <c r="H4545" t="s">
        <v>22454</v>
      </c>
      <c r="I4545" t="s">
        <v>7738</v>
      </c>
      <c r="J4545" t="s">
        <v>25569</v>
      </c>
      <c r="K4545" t="s">
        <v>29466</v>
      </c>
      <c r="M4545" t="s">
        <v>31245</v>
      </c>
      <c r="N4545" t="s">
        <v>32524</v>
      </c>
      <c r="O4545" t="s">
        <v>32525</v>
      </c>
      <c r="P4545">
        <v>0</v>
      </c>
      <c r="Q4545">
        <v>0</v>
      </c>
      <c r="R4545" t="s">
        <v>32531</v>
      </c>
      <c r="S4545" t="s">
        <v>32586</v>
      </c>
      <c r="T4545" t="s">
        <v>33335</v>
      </c>
      <c r="U4545" t="s">
        <v>35793</v>
      </c>
      <c r="V4545" t="s">
        <v>42461</v>
      </c>
      <c r="W4545" t="s">
        <v>31245</v>
      </c>
      <c r="X4545" t="s">
        <v>32533</v>
      </c>
    </row>
    <row r="4546" spans="1:24">
      <c r="A4546">
        <f>HYPERLINK("https://www.philgeps.gov.ph/GEPSNONPILOT/Tender/SplashBidNoticeAbstractUI.aspx?menuIndex=3&amp;refID=7035474&amp;Result=3","7035474")</f>
        <v>0</v>
      </c>
      <c r="B4546" t="s">
        <v>1563</v>
      </c>
      <c r="C4546" t="s">
        <v>7025</v>
      </c>
      <c r="D4546" t="s">
        <v>13006</v>
      </c>
      <c r="E4546" t="s">
        <v>17156</v>
      </c>
      <c r="F4546" t="s">
        <v>22436</v>
      </c>
      <c r="G4546" t="s">
        <v>22444</v>
      </c>
      <c r="H4546" t="s">
        <v>22454</v>
      </c>
      <c r="I4546" t="s">
        <v>7738</v>
      </c>
      <c r="J4546" t="s">
        <v>23356</v>
      </c>
      <c r="K4546" t="s">
        <v>29349</v>
      </c>
      <c r="M4546" t="s">
        <v>31244</v>
      </c>
      <c r="N4546" t="s">
        <v>32524</v>
      </c>
      <c r="O4546" t="s">
        <v>32525</v>
      </c>
      <c r="P4546">
        <v>0</v>
      </c>
      <c r="Q4546">
        <v>0</v>
      </c>
      <c r="R4546" t="s">
        <v>32531</v>
      </c>
      <c r="S4546" t="s">
        <v>32586</v>
      </c>
      <c r="T4546" t="s">
        <v>33213</v>
      </c>
      <c r="U4546" t="s">
        <v>37450</v>
      </c>
      <c r="W4546" t="s">
        <v>31244</v>
      </c>
      <c r="X4546" t="s">
        <v>32533</v>
      </c>
    </row>
    <row r="4547" spans="1:24">
      <c r="A4547">
        <f>HYPERLINK("https://www.philgeps.gov.ph/GEPSNONPILOT/Tender/SplashBidNoticeAbstractUI.aspx?menuIndex=3&amp;refID=7034681&amp;Result=3","7034681")</f>
        <v>0</v>
      </c>
      <c r="B4547" t="s">
        <v>339</v>
      </c>
      <c r="C4547" t="s">
        <v>7026</v>
      </c>
      <c r="D4547" t="s">
        <v>12990</v>
      </c>
      <c r="E4547" t="s">
        <v>17157</v>
      </c>
      <c r="F4547" t="s">
        <v>22436</v>
      </c>
      <c r="G4547" t="s">
        <v>22444</v>
      </c>
      <c r="H4547" t="s">
        <v>22452</v>
      </c>
      <c r="I4547" t="s">
        <v>7738</v>
      </c>
      <c r="J4547" t="s">
        <v>25570</v>
      </c>
      <c r="K4547" t="s">
        <v>29334</v>
      </c>
      <c r="M4547" t="s">
        <v>31131</v>
      </c>
      <c r="N4547" t="s">
        <v>32524</v>
      </c>
      <c r="O4547" t="s">
        <v>32525</v>
      </c>
      <c r="P4547">
        <v>0</v>
      </c>
      <c r="Q4547">
        <v>2</v>
      </c>
      <c r="R4547" t="s">
        <v>32531</v>
      </c>
      <c r="S4547" t="s">
        <v>32586</v>
      </c>
      <c r="T4547" t="s">
        <v>33297</v>
      </c>
      <c r="U4547" t="s">
        <v>37443</v>
      </c>
      <c r="W4547" t="s">
        <v>31131</v>
      </c>
      <c r="X4547" t="s">
        <v>32534</v>
      </c>
    </row>
    <row r="4548" spans="1:24">
      <c r="A4548">
        <f>HYPERLINK("https://www.philgeps.gov.ph/GEPSNONPILOT/Tender/SplashBidNoticeAbstractUI.aspx?menuIndex=3&amp;refID=7035334&amp;Result=3","7035334")</f>
        <v>0</v>
      </c>
      <c r="B4548" t="s">
        <v>1256</v>
      </c>
      <c r="C4548" t="s">
        <v>7027</v>
      </c>
      <c r="D4548" t="s">
        <v>13042</v>
      </c>
      <c r="E4548" t="s">
        <v>17158</v>
      </c>
      <c r="F4548" t="s">
        <v>22436</v>
      </c>
      <c r="G4548" t="s">
        <v>22446</v>
      </c>
      <c r="H4548" t="s">
        <v>22452</v>
      </c>
      <c r="I4548" t="s">
        <v>5194</v>
      </c>
      <c r="J4548" t="s">
        <v>25571</v>
      </c>
      <c r="K4548" t="s">
        <v>29335</v>
      </c>
      <c r="M4548" t="s">
        <v>30909</v>
      </c>
      <c r="N4548" t="s">
        <v>32524</v>
      </c>
      <c r="O4548" t="s">
        <v>32525</v>
      </c>
      <c r="P4548">
        <v>0</v>
      </c>
      <c r="Q4548">
        <v>8</v>
      </c>
      <c r="R4548" t="s">
        <v>32531</v>
      </c>
      <c r="S4548" t="s">
        <v>32586</v>
      </c>
      <c r="T4548" t="s">
        <v>33270</v>
      </c>
      <c r="U4548" t="s">
        <v>37451</v>
      </c>
      <c r="W4548" t="s">
        <v>30909</v>
      </c>
      <c r="X4548" t="s">
        <v>32533</v>
      </c>
    </row>
    <row r="4549" spans="1:24">
      <c r="A4549">
        <f>HYPERLINK("https://www.philgeps.gov.ph/GEPSNONPILOT/Tender/SplashBidNoticeAbstractUI.aspx?menuIndex=3&amp;refID=7035615&amp;Result=3","7035615")</f>
        <v>0</v>
      </c>
      <c r="B4549" t="s">
        <v>1564</v>
      </c>
      <c r="C4549" t="s">
        <v>7028</v>
      </c>
      <c r="D4549" t="s">
        <v>13057</v>
      </c>
      <c r="E4549" t="s">
        <v>13182</v>
      </c>
      <c r="F4549" t="s">
        <v>22436</v>
      </c>
      <c r="G4549" t="s">
        <v>22444</v>
      </c>
      <c r="H4549" t="s">
        <v>22454</v>
      </c>
      <c r="I4549" t="s">
        <v>7738</v>
      </c>
      <c r="J4549" t="s">
        <v>22788</v>
      </c>
      <c r="K4549" t="s">
        <v>29350</v>
      </c>
      <c r="M4549" t="s">
        <v>31246</v>
      </c>
      <c r="N4549" t="s">
        <v>32524</v>
      </c>
      <c r="O4549" t="s">
        <v>32525</v>
      </c>
      <c r="P4549">
        <v>0</v>
      </c>
      <c r="Q4549">
        <v>0</v>
      </c>
      <c r="R4549" t="s">
        <v>32531</v>
      </c>
      <c r="S4549" t="s">
        <v>32586</v>
      </c>
      <c r="T4549" t="s">
        <v>33209</v>
      </c>
      <c r="U4549" t="s">
        <v>37452</v>
      </c>
      <c r="W4549" t="s">
        <v>31246</v>
      </c>
      <c r="X4549" t="s">
        <v>32533</v>
      </c>
    </row>
    <row r="4550" spans="1:24">
      <c r="A4550">
        <f>HYPERLINK("https://www.philgeps.gov.ph/GEPSNONPILOT/Tender/SplashBidNoticeAbstractUI.aspx?menuIndex=3&amp;refID=7035390&amp;Result=3","7035390")</f>
        <v>0</v>
      </c>
      <c r="B4550" t="s">
        <v>1565</v>
      </c>
      <c r="C4550" t="s">
        <v>5992</v>
      </c>
      <c r="D4550" t="s">
        <v>13032</v>
      </c>
      <c r="E4550" t="s">
        <v>13182</v>
      </c>
      <c r="F4550" t="s">
        <v>22437</v>
      </c>
      <c r="G4550" t="s">
        <v>22444</v>
      </c>
      <c r="H4550" t="s">
        <v>22454</v>
      </c>
      <c r="I4550" t="s">
        <v>7738</v>
      </c>
      <c r="J4550" t="s">
        <v>22605</v>
      </c>
      <c r="K4550" t="s">
        <v>29341</v>
      </c>
      <c r="M4550" t="s">
        <v>31247</v>
      </c>
      <c r="N4550" t="s">
        <v>32524</v>
      </c>
      <c r="O4550" t="s">
        <v>32525</v>
      </c>
      <c r="P4550">
        <v>0</v>
      </c>
      <c r="Q4550">
        <v>1</v>
      </c>
      <c r="R4550" t="s">
        <v>32531</v>
      </c>
      <c r="S4550" t="s">
        <v>32586</v>
      </c>
      <c r="T4550" t="s">
        <v>33241</v>
      </c>
      <c r="U4550" t="s">
        <v>37453</v>
      </c>
      <c r="W4550" t="s">
        <v>31247</v>
      </c>
      <c r="X4550" t="s">
        <v>32533</v>
      </c>
    </row>
    <row r="4551" spans="1:24">
      <c r="A4551">
        <f>HYPERLINK("https://www.philgeps.gov.ph/GEPSNONPILOT/Tender/SplashBidNoticeAbstractUI.aspx?menuIndex=3&amp;refID=7035174&amp;Result=3","7035174")</f>
        <v>0</v>
      </c>
      <c r="B4551" t="s">
        <v>1560</v>
      </c>
      <c r="C4551" t="s">
        <v>7029</v>
      </c>
      <c r="D4551" t="s">
        <v>13032</v>
      </c>
      <c r="E4551" t="s">
        <v>17159</v>
      </c>
      <c r="F4551" t="s">
        <v>22436</v>
      </c>
      <c r="G4551" t="s">
        <v>22444</v>
      </c>
      <c r="H4551" t="s">
        <v>22454</v>
      </c>
      <c r="I4551" t="s">
        <v>7738</v>
      </c>
      <c r="J4551" t="s">
        <v>25572</v>
      </c>
      <c r="K4551" t="s">
        <v>29383</v>
      </c>
      <c r="M4551" t="s">
        <v>31241</v>
      </c>
      <c r="N4551" t="s">
        <v>32524</v>
      </c>
      <c r="O4551" t="s">
        <v>32525</v>
      </c>
      <c r="P4551">
        <v>0</v>
      </c>
      <c r="Q4551">
        <v>1</v>
      </c>
      <c r="R4551" t="s">
        <v>32531</v>
      </c>
      <c r="S4551" t="s">
        <v>32586</v>
      </c>
      <c r="T4551" t="s">
        <v>33252</v>
      </c>
      <c r="U4551" t="s">
        <v>37454</v>
      </c>
      <c r="W4551" t="s">
        <v>31241</v>
      </c>
      <c r="X4551" t="s">
        <v>32534</v>
      </c>
    </row>
    <row r="4552" spans="1:24">
      <c r="A4552">
        <f>HYPERLINK("https://www.philgeps.gov.ph/GEPSNONPILOT/Tender/SplashBidNoticeAbstractUI.aspx?menuIndex=3&amp;refID=7035462&amp;Result=3","7035462")</f>
        <v>0</v>
      </c>
      <c r="B4552" t="s">
        <v>1563</v>
      </c>
      <c r="C4552" t="s">
        <v>7030</v>
      </c>
      <c r="D4552" t="s">
        <v>13006</v>
      </c>
      <c r="E4552" t="s">
        <v>17160</v>
      </c>
      <c r="F4552" t="s">
        <v>22436</v>
      </c>
      <c r="G4552" t="s">
        <v>22444</v>
      </c>
      <c r="H4552" t="s">
        <v>22454</v>
      </c>
      <c r="I4552" t="s">
        <v>7738</v>
      </c>
      <c r="J4552" t="s">
        <v>22893</v>
      </c>
      <c r="K4552" t="s">
        <v>29335</v>
      </c>
      <c r="M4552" t="s">
        <v>31244</v>
      </c>
      <c r="N4552" t="s">
        <v>32524</v>
      </c>
      <c r="O4552" t="s">
        <v>32525</v>
      </c>
      <c r="P4552">
        <v>0</v>
      </c>
      <c r="Q4552">
        <v>0</v>
      </c>
      <c r="R4552" t="s">
        <v>32531</v>
      </c>
      <c r="S4552" t="s">
        <v>32586</v>
      </c>
      <c r="T4552" t="s">
        <v>33213</v>
      </c>
      <c r="U4552" t="s">
        <v>37455</v>
      </c>
      <c r="W4552" t="s">
        <v>31244</v>
      </c>
      <c r="X4552" t="s">
        <v>32533</v>
      </c>
    </row>
    <row r="4553" spans="1:24">
      <c r="A4553">
        <f>HYPERLINK("https://www.philgeps.gov.ph/GEPSNONPILOT/Tender/SplashBidNoticeAbstractUI.aspx?menuIndex=3&amp;refID=7035635&amp;Result=3","7035635")</f>
        <v>0</v>
      </c>
      <c r="B4553" t="s">
        <v>1563</v>
      </c>
      <c r="C4553" t="s">
        <v>7031</v>
      </c>
      <c r="D4553" t="s">
        <v>13006</v>
      </c>
      <c r="E4553" t="s">
        <v>17161</v>
      </c>
      <c r="F4553" t="s">
        <v>22436</v>
      </c>
      <c r="G4553" t="s">
        <v>22444</v>
      </c>
      <c r="H4553" t="s">
        <v>22454</v>
      </c>
      <c r="I4553" t="s">
        <v>7738</v>
      </c>
      <c r="J4553" t="s">
        <v>22779</v>
      </c>
      <c r="K4553" t="s">
        <v>29329</v>
      </c>
      <c r="M4553" t="s">
        <v>31244</v>
      </c>
      <c r="N4553" t="s">
        <v>32524</v>
      </c>
      <c r="O4553" t="s">
        <v>32525</v>
      </c>
      <c r="P4553">
        <v>0</v>
      </c>
      <c r="Q4553">
        <v>0</v>
      </c>
      <c r="R4553" t="s">
        <v>32531</v>
      </c>
      <c r="S4553" t="s">
        <v>32586</v>
      </c>
      <c r="T4553" t="s">
        <v>33405</v>
      </c>
      <c r="U4553" t="s">
        <v>37456</v>
      </c>
      <c r="W4553" t="s">
        <v>31244</v>
      </c>
      <c r="X4553" t="s">
        <v>32533</v>
      </c>
    </row>
    <row r="4554" spans="1:24">
      <c r="A4554">
        <f>HYPERLINK("https://www.philgeps.gov.ph/GEPSNONPILOT/Tender/SplashBidNoticeAbstractUI.aspx?menuIndex=3&amp;refID=7035441&amp;Result=3","7035441")</f>
        <v>0</v>
      </c>
      <c r="B4554" t="s">
        <v>1563</v>
      </c>
      <c r="C4554" t="s">
        <v>7032</v>
      </c>
      <c r="D4554" t="s">
        <v>13006</v>
      </c>
      <c r="E4554" t="s">
        <v>17162</v>
      </c>
      <c r="F4554" t="s">
        <v>22436</v>
      </c>
      <c r="G4554" t="s">
        <v>22444</v>
      </c>
      <c r="H4554" t="s">
        <v>22454</v>
      </c>
      <c r="I4554" t="s">
        <v>7738</v>
      </c>
      <c r="J4554" t="s">
        <v>22743</v>
      </c>
      <c r="K4554" t="s">
        <v>29329</v>
      </c>
      <c r="M4554" t="s">
        <v>31244</v>
      </c>
      <c r="N4554" t="s">
        <v>32524</v>
      </c>
      <c r="O4554" t="s">
        <v>32525</v>
      </c>
      <c r="P4554">
        <v>0</v>
      </c>
      <c r="Q4554">
        <v>0</v>
      </c>
      <c r="R4554" t="s">
        <v>32531</v>
      </c>
      <c r="S4554" t="s">
        <v>32586</v>
      </c>
      <c r="T4554" t="s">
        <v>33213</v>
      </c>
      <c r="U4554" t="s">
        <v>37457</v>
      </c>
      <c r="W4554" t="s">
        <v>31244</v>
      </c>
      <c r="X4554" t="s">
        <v>32533</v>
      </c>
    </row>
    <row r="4555" spans="1:24">
      <c r="A4555">
        <f>HYPERLINK("https://www.philgeps.gov.ph/GEPSNONPILOT/Tender/SplashBidNoticeAbstractUI.aspx?menuIndex=3&amp;refID=7035048&amp;Result=3","7035048")</f>
        <v>0</v>
      </c>
      <c r="B4555" t="s">
        <v>1560</v>
      </c>
      <c r="C4555" t="s">
        <v>7033</v>
      </c>
      <c r="D4555" t="s">
        <v>13032</v>
      </c>
      <c r="E4555" t="s">
        <v>17163</v>
      </c>
      <c r="F4555" t="s">
        <v>22436</v>
      </c>
      <c r="G4555" t="s">
        <v>22444</v>
      </c>
      <c r="H4555" t="s">
        <v>22452</v>
      </c>
      <c r="I4555" t="s">
        <v>3529</v>
      </c>
      <c r="J4555" t="s">
        <v>25573</v>
      </c>
      <c r="K4555" t="s">
        <v>29335</v>
      </c>
      <c r="M4555" t="s">
        <v>31241</v>
      </c>
      <c r="N4555" t="s">
        <v>32524</v>
      </c>
      <c r="O4555" t="s">
        <v>32525</v>
      </c>
      <c r="P4555">
        <v>0</v>
      </c>
      <c r="Q4555">
        <v>0</v>
      </c>
      <c r="R4555" t="s">
        <v>32531</v>
      </c>
      <c r="S4555" t="s">
        <v>32586</v>
      </c>
      <c r="T4555" t="s">
        <v>33252</v>
      </c>
      <c r="U4555" t="s">
        <v>37441</v>
      </c>
      <c r="W4555" t="s">
        <v>31241</v>
      </c>
      <c r="X4555" t="s">
        <v>32534</v>
      </c>
    </row>
    <row r="4556" spans="1:24">
      <c r="A4556">
        <f>HYPERLINK("https://www.philgeps.gov.ph/GEPSNONPILOT/Tender/SplashBidNoticeAbstractUI.aspx?menuIndex=3&amp;refID=7035241&amp;Result=3","7035241")</f>
        <v>0</v>
      </c>
      <c r="B4556" t="s">
        <v>1560</v>
      </c>
      <c r="C4556" t="s">
        <v>4484</v>
      </c>
      <c r="D4556" t="s">
        <v>13032</v>
      </c>
      <c r="E4556" t="s">
        <v>17164</v>
      </c>
      <c r="F4556" t="s">
        <v>22436</v>
      </c>
      <c r="G4556" t="s">
        <v>22443</v>
      </c>
      <c r="H4556" t="s">
        <v>22452</v>
      </c>
      <c r="I4556" t="s">
        <v>22468</v>
      </c>
      <c r="J4556" t="s">
        <v>25574</v>
      </c>
      <c r="K4556" t="s">
        <v>29341</v>
      </c>
      <c r="M4556" t="s">
        <v>31241</v>
      </c>
      <c r="N4556" t="s">
        <v>32524</v>
      </c>
      <c r="O4556" t="s">
        <v>32525</v>
      </c>
      <c r="P4556">
        <v>0</v>
      </c>
      <c r="Q4556">
        <v>2</v>
      </c>
      <c r="R4556" t="s">
        <v>32531</v>
      </c>
      <c r="S4556" t="s">
        <v>32586</v>
      </c>
      <c r="T4556" t="s">
        <v>33322</v>
      </c>
      <c r="U4556" t="s">
        <v>37441</v>
      </c>
      <c r="W4556" t="s">
        <v>31241</v>
      </c>
      <c r="X4556" t="s">
        <v>32534</v>
      </c>
    </row>
    <row r="4557" spans="1:24">
      <c r="A4557">
        <f>HYPERLINK("https://www.philgeps.gov.ph/GEPSNONPILOT/Tender/SplashBidNoticeAbstractUI.aspx?menuIndex=3&amp;refID=7035412&amp;Result=3","7035412")</f>
        <v>0</v>
      </c>
      <c r="B4557" t="s">
        <v>1563</v>
      </c>
      <c r="C4557" t="s">
        <v>7034</v>
      </c>
      <c r="D4557" t="s">
        <v>13006</v>
      </c>
      <c r="E4557" t="s">
        <v>17165</v>
      </c>
      <c r="F4557" t="s">
        <v>22436</v>
      </c>
      <c r="G4557" t="s">
        <v>22444</v>
      </c>
      <c r="H4557" t="s">
        <v>22454</v>
      </c>
      <c r="I4557" t="s">
        <v>7738</v>
      </c>
      <c r="J4557" t="s">
        <v>25575</v>
      </c>
      <c r="K4557" t="s">
        <v>29342</v>
      </c>
      <c r="M4557" t="s">
        <v>31244</v>
      </c>
      <c r="N4557" t="s">
        <v>32524</v>
      </c>
      <c r="O4557" t="s">
        <v>32525</v>
      </c>
      <c r="P4557">
        <v>0</v>
      </c>
      <c r="Q4557">
        <v>0</v>
      </c>
      <c r="R4557" t="s">
        <v>32531</v>
      </c>
      <c r="S4557" t="s">
        <v>32586</v>
      </c>
      <c r="T4557" t="s">
        <v>33213</v>
      </c>
      <c r="U4557" t="s">
        <v>37458</v>
      </c>
      <c r="W4557" t="s">
        <v>31244</v>
      </c>
      <c r="X4557" t="s">
        <v>32533</v>
      </c>
    </row>
    <row r="4558" spans="1:24">
      <c r="A4558">
        <f>HYPERLINK("https://www.philgeps.gov.ph/GEPSNONPILOT/Tender/SplashBidNoticeAbstractUI.aspx?menuIndex=3&amp;refID=7035659&amp;Result=3","7035659")</f>
        <v>0</v>
      </c>
      <c r="B4558" t="s">
        <v>1563</v>
      </c>
      <c r="C4558" t="s">
        <v>7035</v>
      </c>
      <c r="D4558" t="s">
        <v>13006</v>
      </c>
      <c r="E4558" t="s">
        <v>17166</v>
      </c>
      <c r="F4558" t="s">
        <v>22436</v>
      </c>
      <c r="G4558" t="s">
        <v>22444</v>
      </c>
      <c r="H4558" t="s">
        <v>22454</v>
      </c>
      <c r="I4558" t="s">
        <v>7738</v>
      </c>
      <c r="J4558" t="s">
        <v>23789</v>
      </c>
      <c r="K4558" t="s">
        <v>29430</v>
      </c>
      <c r="M4558" t="s">
        <v>31244</v>
      </c>
      <c r="N4558" t="s">
        <v>32524</v>
      </c>
      <c r="O4558" t="s">
        <v>32525</v>
      </c>
      <c r="P4558">
        <v>0</v>
      </c>
      <c r="Q4558">
        <v>0</v>
      </c>
      <c r="R4558" t="s">
        <v>32531</v>
      </c>
      <c r="S4558" t="s">
        <v>32586</v>
      </c>
      <c r="T4558" t="s">
        <v>33405</v>
      </c>
      <c r="U4558" t="s">
        <v>37459</v>
      </c>
      <c r="W4558" t="s">
        <v>31244</v>
      </c>
      <c r="X4558" t="s">
        <v>32533</v>
      </c>
    </row>
    <row r="4559" spans="1:24">
      <c r="A4559">
        <f>HYPERLINK("https://www.philgeps.gov.ph/GEPSNONPILOT/Tender/SplashBidNoticeAbstractUI.aspx?menuIndex=3&amp;refID=7035726&amp;Result=3","7035726")</f>
        <v>0</v>
      </c>
      <c r="B4559" t="s">
        <v>1563</v>
      </c>
      <c r="C4559" t="s">
        <v>7036</v>
      </c>
      <c r="D4559" t="s">
        <v>13006</v>
      </c>
      <c r="E4559" t="s">
        <v>17167</v>
      </c>
      <c r="F4559" t="s">
        <v>22436</v>
      </c>
      <c r="G4559" t="s">
        <v>22444</v>
      </c>
      <c r="H4559" t="s">
        <v>22454</v>
      </c>
      <c r="I4559" t="s">
        <v>7738</v>
      </c>
      <c r="J4559" t="s">
        <v>22669</v>
      </c>
      <c r="K4559" t="s">
        <v>29334</v>
      </c>
      <c r="M4559" t="s">
        <v>31244</v>
      </c>
      <c r="N4559" t="s">
        <v>32524</v>
      </c>
      <c r="O4559" t="s">
        <v>32525</v>
      </c>
      <c r="P4559">
        <v>0</v>
      </c>
      <c r="Q4559">
        <v>0</v>
      </c>
      <c r="R4559" t="s">
        <v>32531</v>
      </c>
      <c r="S4559" t="s">
        <v>32586</v>
      </c>
      <c r="T4559" t="s">
        <v>33405</v>
      </c>
      <c r="U4559" t="s">
        <v>37460</v>
      </c>
      <c r="W4559" t="s">
        <v>31244</v>
      </c>
      <c r="X4559" t="s">
        <v>32533</v>
      </c>
    </row>
    <row r="4560" spans="1:24">
      <c r="A4560">
        <f>HYPERLINK("https://www.philgeps.gov.ph/GEPSNONPILOT/Tender/SplashBidNoticeAbstractUI.aspx?menuIndex=3&amp;refID=7035688&amp;Result=3","7035688")</f>
        <v>0</v>
      </c>
      <c r="B4560" t="s">
        <v>1563</v>
      </c>
      <c r="C4560" t="s">
        <v>7037</v>
      </c>
      <c r="D4560" t="s">
        <v>13006</v>
      </c>
      <c r="E4560" t="s">
        <v>17168</v>
      </c>
      <c r="F4560" t="s">
        <v>22436</v>
      </c>
      <c r="G4560" t="s">
        <v>22444</v>
      </c>
      <c r="H4560" t="s">
        <v>22454</v>
      </c>
      <c r="I4560" t="s">
        <v>7738</v>
      </c>
      <c r="J4560" t="s">
        <v>24887</v>
      </c>
      <c r="K4560" t="s">
        <v>29430</v>
      </c>
      <c r="M4560" t="s">
        <v>31244</v>
      </c>
      <c r="N4560" t="s">
        <v>32524</v>
      </c>
      <c r="O4560" t="s">
        <v>32525</v>
      </c>
      <c r="P4560">
        <v>0</v>
      </c>
      <c r="Q4560">
        <v>1</v>
      </c>
      <c r="R4560" t="s">
        <v>32531</v>
      </c>
      <c r="S4560" t="s">
        <v>32586</v>
      </c>
      <c r="T4560" t="s">
        <v>33405</v>
      </c>
      <c r="U4560" t="s">
        <v>37461</v>
      </c>
      <c r="W4560" t="s">
        <v>31244</v>
      </c>
      <c r="X4560" t="s">
        <v>32533</v>
      </c>
    </row>
    <row r="4561" spans="1:24">
      <c r="A4561">
        <f>HYPERLINK("https://www.philgeps.gov.ph/GEPSNONPILOT/Tender/SplashBidNoticeAbstractUI.aspx?menuIndex=3&amp;refID=7035874&amp;Result=3","7035874")</f>
        <v>0</v>
      </c>
      <c r="B4561" t="s">
        <v>80</v>
      </c>
      <c r="C4561" t="s">
        <v>7038</v>
      </c>
      <c r="D4561" t="s">
        <v>13007</v>
      </c>
      <c r="E4561" t="s">
        <v>17169</v>
      </c>
      <c r="F4561" t="s">
        <v>22436</v>
      </c>
      <c r="G4561" t="s">
        <v>22446</v>
      </c>
      <c r="H4561" t="s">
        <v>22452</v>
      </c>
      <c r="I4561" t="s">
        <v>22457</v>
      </c>
      <c r="J4561" t="s">
        <v>25576</v>
      </c>
      <c r="K4561" t="s">
        <v>29341</v>
      </c>
      <c r="M4561" t="s">
        <v>29652</v>
      </c>
      <c r="N4561" t="s">
        <v>32524</v>
      </c>
      <c r="O4561" t="s">
        <v>32525</v>
      </c>
      <c r="P4561">
        <v>0</v>
      </c>
      <c r="Q4561">
        <v>0</v>
      </c>
      <c r="R4561" t="s">
        <v>32531</v>
      </c>
      <c r="S4561" t="s">
        <v>32586</v>
      </c>
      <c r="T4561" t="s">
        <v>33209</v>
      </c>
      <c r="U4561" t="s">
        <v>37462</v>
      </c>
      <c r="W4561" t="s">
        <v>29652</v>
      </c>
      <c r="X4561" t="s">
        <v>32533</v>
      </c>
    </row>
    <row r="4562" spans="1:24">
      <c r="A4562">
        <f>HYPERLINK("https://www.philgeps.gov.ph/GEPSNONPILOT/Tender/SplashBidNoticeAbstractUI.aspx?menuIndex=3&amp;refID=7035759&amp;Result=3","7035759")</f>
        <v>0</v>
      </c>
      <c r="B4562" t="s">
        <v>1563</v>
      </c>
      <c r="C4562" t="s">
        <v>7039</v>
      </c>
      <c r="D4562" t="s">
        <v>13006</v>
      </c>
      <c r="E4562" t="s">
        <v>17170</v>
      </c>
      <c r="F4562" t="s">
        <v>22436</v>
      </c>
      <c r="G4562" t="s">
        <v>22444</v>
      </c>
      <c r="H4562" t="s">
        <v>22454</v>
      </c>
      <c r="I4562" t="s">
        <v>7738</v>
      </c>
      <c r="J4562" t="s">
        <v>22779</v>
      </c>
      <c r="K4562" t="s">
        <v>29329</v>
      </c>
      <c r="M4562" t="s">
        <v>31244</v>
      </c>
      <c r="N4562" t="s">
        <v>32524</v>
      </c>
      <c r="O4562" t="s">
        <v>32525</v>
      </c>
      <c r="P4562">
        <v>0</v>
      </c>
      <c r="Q4562">
        <v>0</v>
      </c>
      <c r="R4562" t="s">
        <v>32531</v>
      </c>
      <c r="S4562" t="s">
        <v>32586</v>
      </c>
      <c r="T4562" t="s">
        <v>33405</v>
      </c>
      <c r="U4562" t="s">
        <v>37463</v>
      </c>
      <c r="W4562" t="s">
        <v>31244</v>
      </c>
      <c r="X4562" t="s">
        <v>32533</v>
      </c>
    </row>
    <row r="4563" spans="1:24">
      <c r="A4563">
        <f>HYPERLINK("https://www.philgeps.gov.ph/GEPSNONPILOT/Tender/SplashBidNoticeAbstractUI.aspx?menuIndex=3&amp;refID=7035979&amp;Result=3","7035979")</f>
        <v>0</v>
      </c>
      <c r="B4563" t="s">
        <v>1563</v>
      </c>
      <c r="C4563" t="s">
        <v>7040</v>
      </c>
      <c r="D4563" t="s">
        <v>13006</v>
      </c>
      <c r="E4563" t="s">
        <v>17171</v>
      </c>
      <c r="F4563" t="s">
        <v>22436</v>
      </c>
      <c r="G4563" t="s">
        <v>22444</v>
      </c>
      <c r="H4563" t="s">
        <v>22454</v>
      </c>
      <c r="I4563" t="s">
        <v>7738</v>
      </c>
      <c r="J4563" t="s">
        <v>25577</v>
      </c>
      <c r="K4563" t="s">
        <v>29339</v>
      </c>
      <c r="M4563" t="s">
        <v>31244</v>
      </c>
      <c r="N4563" t="s">
        <v>32524</v>
      </c>
      <c r="O4563" t="s">
        <v>32525</v>
      </c>
      <c r="P4563">
        <v>0</v>
      </c>
      <c r="Q4563">
        <v>0</v>
      </c>
      <c r="R4563" t="s">
        <v>32531</v>
      </c>
      <c r="S4563" t="s">
        <v>32586</v>
      </c>
      <c r="T4563" t="s">
        <v>33405</v>
      </c>
      <c r="U4563" t="s">
        <v>37464</v>
      </c>
      <c r="W4563" t="s">
        <v>31244</v>
      </c>
      <c r="X4563" t="s">
        <v>32533</v>
      </c>
    </row>
    <row r="4564" spans="1:24">
      <c r="A4564">
        <f>HYPERLINK("https://www.philgeps.gov.ph/GEPSNONPILOT/Tender/SplashBidNoticeAbstractUI.aspx?menuIndex=3&amp;refID=7035888&amp;Result=3","7035888")</f>
        <v>0</v>
      </c>
      <c r="B4564" t="s">
        <v>1563</v>
      </c>
      <c r="C4564" t="s">
        <v>7041</v>
      </c>
      <c r="D4564" t="s">
        <v>13006</v>
      </c>
      <c r="E4564" t="s">
        <v>17172</v>
      </c>
      <c r="F4564" t="s">
        <v>22436</v>
      </c>
      <c r="G4564" t="s">
        <v>22444</v>
      </c>
      <c r="H4564" t="s">
        <v>22454</v>
      </c>
      <c r="I4564" t="s">
        <v>7738</v>
      </c>
      <c r="J4564" t="s">
        <v>25578</v>
      </c>
      <c r="K4564" t="s">
        <v>29333</v>
      </c>
      <c r="M4564" t="s">
        <v>31244</v>
      </c>
      <c r="N4564" t="s">
        <v>32524</v>
      </c>
      <c r="O4564" t="s">
        <v>32525</v>
      </c>
      <c r="P4564">
        <v>0</v>
      </c>
      <c r="Q4564">
        <v>0</v>
      </c>
      <c r="R4564" t="s">
        <v>32531</v>
      </c>
      <c r="S4564" t="s">
        <v>32586</v>
      </c>
      <c r="T4564" t="s">
        <v>33405</v>
      </c>
      <c r="U4564" t="s">
        <v>37465</v>
      </c>
      <c r="W4564" t="s">
        <v>31244</v>
      </c>
      <c r="X4564" t="s">
        <v>32533</v>
      </c>
    </row>
    <row r="4565" spans="1:24">
      <c r="A4565">
        <f>HYPERLINK("https://www.philgeps.gov.ph/GEPSNONPILOT/Tender/SplashBidNoticeAbstractUI.aspx?menuIndex=3&amp;refID=7035790&amp;Result=3","7035790")</f>
        <v>0</v>
      </c>
      <c r="B4565" t="s">
        <v>142</v>
      </c>
      <c r="C4565" t="s">
        <v>7042</v>
      </c>
      <c r="D4565" t="s">
        <v>12996</v>
      </c>
      <c r="E4565" t="s">
        <v>17173</v>
      </c>
      <c r="F4565" t="s">
        <v>22436</v>
      </c>
      <c r="G4565" t="s">
        <v>22444</v>
      </c>
      <c r="H4565" t="s">
        <v>22452</v>
      </c>
      <c r="I4565" t="s">
        <v>3529</v>
      </c>
      <c r="J4565" t="s">
        <v>25579</v>
      </c>
      <c r="K4565" t="s">
        <v>29357</v>
      </c>
      <c r="M4565" t="s">
        <v>29714</v>
      </c>
      <c r="N4565" t="s">
        <v>32524</v>
      </c>
      <c r="O4565" t="s">
        <v>32525</v>
      </c>
      <c r="P4565">
        <v>0</v>
      </c>
      <c r="Q4565">
        <v>0</v>
      </c>
      <c r="R4565" t="s">
        <v>32531</v>
      </c>
      <c r="S4565" t="s">
        <v>32586</v>
      </c>
      <c r="T4565" t="s">
        <v>33236</v>
      </c>
      <c r="U4565" t="s">
        <v>37466</v>
      </c>
      <c r="W4565" t="s">
        <v>29714</v>
      </c>
      <c r="X4565" t="s">
        <v>32533</v>
      </c>
    </row>
    <row r="4566" spans="1:24">
      <c r="A4566">
        <f>HYPERLINK("https://www.philgeps.gov.ph/GEPSNONPILOT/Tender/SplashBidNoticeAbstractUI.aspx?menuIndex=3&amp;refID=7035844&amp;Result=3","7035844")</f>
        <v>0</v>
      </c>
      <c r="B4566" t="s">
        <v>1566</v>
      </c>
      <c r="C4566" t="s">
        <v>7043</v>
      </c>
      <c r="D4566" t="s">
        <v>13015</v>
      </c>
      <c r="E4566" t="s">
        <v>17174</v>
      </c>
      <c r="F4566" t="s">
        <v>22436</v>
      </c>
      <c r="G4566" t="s">
        <v>22443</v>
      </c>
      <c r="H4566" t="s">
        <v>22452</v>
      </c>
      <c r="I4566" t="s">
        <v>22476</v>
      </c>
      <c r="J4566" t="s">
        <v>25580</v>
      </c>
      <c r="K4566" t="s">
        <v>29335</v>
      </c>
      <c r="M4566" t="s">
        <v>31248</v>
      </c>
      <c r="N4566" t="s">
        <v>32524</v>
      </c>
      <c r="O4566" t="s">
        <v>32525</v>
      </c>
      <c r="P4566">
        <v>0</v>
      </c>
      <c r="Q4566">
        <v>0</v>
      </c>
      <c r="R4566" t="s">
        <v>32531</v>
      </c>
      <c r="S4566" t="s">
        <v>32586</v>
      </c>
      <c r="T4566" t="s">
        <v>33161</v>
      </c>
      <c r="U4566" t="s">
        <v>37467</v>
      </c>
      <c r="W4566" t="s">
        <v>31248</v>
      </c>
      <c r="X4566" t="s">
        <v>32533</v>
      </c>
    </row>
    <row r="4567" spans="1:24">
      <c r="A4567">
        <f>HYPERLINK("https://www.philgeps.gov.ph/GEPSNONPILOT/Tender/SplashBidNoticeAbstractUI.aspx?menuIndex=3&amp;refID=7035919&amp;Result=3","7035919")</f>
        <v>0</v>
      </c>
      <c r="B4567" t="s">
        <v>1563</v>
      </c>
      <c r="C4567" t="s">
        <v>7044</v>
      </c>
      <c r="D4567" t="s">
        <v>13006</v>
      </c>
      <c r="E4567" t="s">
        <v>17175</v>
      </c>
      <c r="F4567" t="s">
        <v>22436</v>
      </c>
      <c r="G4567" t="s">
        <v>22444</v>
      </c>
      <c r="H4567" t="s">
        <v>22454</v>
      </c>
      <c r="I4567" t="s">
        <v>7738</v>
      </c>
      <c r="J4567" t="s">
        <v>25581</v>
      </c>
      <c r="K4567" t="s">
        <v>29467</v>
      </c>
      <c r="M4567" t="s">
        <v>31244</v>
      </c>
      <c r="N4567" t="s">
        <v>32524</v>
      </c>
      <c r="O4567" t="s">
        <v>32525</v>
      </c>
      <c r="P4567">
        <v>0</v>
      </c>
      <c r="Q4567">
        <v>1</v>
      </c>
      <c r="R4567" t="s">
        <v>32531</v>
      </c>
      <c r="S4567" t="s">
        <v>32586</v>
      </c>
      <c r="T4567" t="s">
        <v>33405</v>
      </c>
      <c r="U4567" t="s">
        <v>37468</v>
      </c>
      <c r="W4567" t="s">
        <v>31244</v>
      </c>
      <c r="X4567" t="s">
        <v>32533</v>
      </c>
    </row>
    <row r="4568" spans="1:24">
      <c r="A4568">
        <f>HYPERLINK("https://www.philgeps.gov.ph/GEPSNONPILOT/Tender/SplashBidNoticeAbstractUI.aspx?menuIndex=3&amp;refID=7035774&amp;Result=3","7035774")</f>
        <v>0</v>
      </c>
      <c r="B4568" t="s">
        <v>1566</v>
      </c>
      <c r="C4568" t="s">
        <v>7045</v>
      </c>
      <c r="D4568" t="s">
        <v>13015</v>
      </c>
      <c r="E4568" t="s">
        <v>17176</v>
      </c>
      <c r="F4568" t="s">
        <v>22436</v>
      </c>
      <c r="G4568" t="s">
        <v>22443</v>
      </c>
      <c r="H4568" t="s">
        <v>22452</v>
      </c>
      <c r="I4568" t="s">
        <v>22469</v>
      </c>
      <c r="J4568" t="s">
        <v>25582</v>
      </c>
      <c r="K4568" t="s">
        <v>29335</v>
      </c>
      <c r="M4568" t="s">
        <v>31248</v>
      </c>
      <c r="N4568" t="s">
        <v>32524</v>
      </c>
      <c r="O4568" t="s">
        <v>32525</v>
      </c>
      <c r="P4568">
        <v>0</v>
      </c>
      <c r="Q4568">
        <v>0</v>
      </c>
      <c r="R4568" t="s">
        <v>32531</v>
      </c>
      <c r="S4568" t="s">
        <v>32586</v>
      </c>
      <c r="T4568" t="s">
        <v>33161</v>
      </c>
      <c r="U4568" t="s">
        <v>37469</v>
      </c>
      <c r="W4568" t="s">
        <v>31248</v>
      </c>
      <c r="X4568" t="s">
        <v>32533</v>
      </c>
    </row>
    <row r="4569" spans="1:24">
      <c r="A4569">
        <f>HYPERLINK("https://www.philgeps.gov.ph/GEPSNONPILOT/Tender/SplashBidNoticeAbstractUI.aspx?menuIndex=3&amp;refID=7035954&amp;Result=3","7035954")</f>
        <v>0</v>
      </c>
      <c r="B4569" t="s">
        <v>1563</v>
      </c>
      <c r="C4569" t="s">
        <v>7046</v>
      </c>
      <c r="D4569" t="s">
        <v>13006</v>
      </c>
      <c r="E4569" t="s">
        <v>17177</v>
      </c>
      <c r="F4569" t="s">
        <v>22436</v>
      </c>
      <c r="G4569" t="s">
        <v>22444</v>
      </c>
      <c r="H4569" t="s">
        <v>22454</v>
      </c>
      <c r="I4569" t="s">
        <v>7738</v>
      </c>
      <c r="J4569" t="s">
        <v>23316</v>
      </c>
      <c r="K4569" t="s">
        <v>29345</v>
      </c>
      <c r="M4569" t="s">
        <v>31244</v>
      </c>
      <c r="N4569" t="s">
        <v>32524</v>
      </c>
      <c r="O4569" t="s">
        <v>32525</v>
      </c>
      <c r="P4569">
        <v>0</v>
      </c>
      <c r="Q4569">
        <v>0</v>
      </c>
      <c r="R4569" t="s">
        <v>32531</v>
      </c>
      <c r="S4569" t="s">
        <v>32586</v>
      </c>
      <c r="T4569" t="s">
        <v>33405</v>
      </c>
      <c r="U4569" t="s">
        <v>37470</v>
      </c>
      <c r="W4569" t="s">
        <v>31244</v>
      </c>
      <c r="X4569" t="s">
        <v>32533</v>
      </c>
    </row>
    <row r="4570" spans="1:24">
      <c r="A4570">
        <f>HYPERLINK("https://www.philgeps.gov.ph/GEPSNONPILOT/Tender/SplashBidNoticeAbstractUI.aspx?menuIndex=3&amp;refID=7036079&amp;Result=3","7036079")</f>
        <v>0</v>
      </c>
      <c r="B4570" t="s">
        <v>80</v>
      </c>
      <c r="C4570" t="s">
        <v>7047</v>
      </c>
      <c r="D4570" t="s">
        <v>13007</v>
      </c>
      <c r="E4570" t="s">
        <v>17178</v>
      </c>
      <c r="F4570" t="s">
        <v>22436</v>
      </c>
      <c r="G4570" t="s">
        <v>22446</v>
      </c>
      <c r="H4570" t="s">
        <v>22452</v>
      </c>
      <c r="I4570" t="s">
        <v>22457</v>
      </c>
      <c r="J4570" t="s">
        <v>25583</v>
      </c>
      <c r="K4570" t="s">
        <v>29341</v>
      </c>
      <c r="M4570" t="s">
        <v>29652</v>
      </c>
      <c r="N4570" t="s">
        <v>32524</v>
      </c>
      <c r="O4570" t="s">
        <v>32525</v>
      </c>
      <c r="P4570">
        <v>0</v>
      </c>
      <c r="Q4570">
        <v>0</v>
      </c>
      <c r="R4570" t="s">
        <v>32531</v>
      </c>
      <c r="S4570" t="s">
        <v>32586</v>
      </c>
      <c r="T4570" t="s">
        <v>33209</v>
      </c>
      <c r="U4570" t="s">
        <v>37471</v>
      </c>
      <c r="W4570" t="s">
        <v>29652</v>
      </c>
      <c r="X4570" t="s">
        <v>32533</v>
      </c>
    </row>
    <row r="4571" spans="1:24">
      <c r="A4571">
        <f>HYPERLINK("https://www.philgeps.gov.ph/GEPSNONPILOT/Tender/SplashBidNoticeAbstractUI.aspx?menuIndex=3&amp;refID=7036019&amp;Result=3","7036019")</f>
        <v>0</v>
      </c>
      <c r="B4571" t="s">
        <v>80</v>
      </c>
      <c r="C4571" t="s">
        <v>7048</v>
      </c>
      <c r="D4571" t="s">
        <v>13007</v>
      </c>
      <c r="E4571" t="s">
        <v>17179</v>
      </c>
      <c r="F4571" t="s">
        <v>22436</v>
      </c>
      <c r="G4571" t="s">
        <v>22446</v>
      </c>
      <c r="H4571" t="s">
        <v>22452</v>
      </c>
      <c r="I4571" t="s">
        <v>22457</v>
      </c>
      <c r="J4571" t="s">
        <v>25583</v>
      </c>
      <c r="K4571" t="s">
        <v>29341</v>
      </c>
      <c r="M4571" t="s">
        <v>29652</v>
      </c>
      <c r="N4571" t="s">
        <v>32524</v>
      </c>
      <c r="O4571" t="s">
        <v>32525</v>
      </c>
      <c r="P4571">
        <v>0</v>
      </c>
      <c r="Q4571">
        <v>0</v>
      </c>
      <c r="R4571" t="s">
        <v>32531</v>
      </c>
      <c r="S4571" t="s">
        <v>32586</v>
      </c>
      <c r="T4571" t="s">
        <v>33209</v>
      </c>
      <c r="U4571" t="s">
        <v>37472</v>
      </c>
      <c r="W4571" t="s">
        <v>29652</v>
      </c>
      <c r="X4571" t="s">
        <v>32533</v>
      </c>
    </row>
    <row r="4572" spans="1:24">
      <c r="A4572">
        <f>HYPERLINK("https://www.philgeps.gov.ph/GEPSNONPILOT/Tender/SplashBidNoticeAbstractUI.aspx?menuIndex=3&amp;refID=7035788&amp;Result=3","7035788")</f>
        <v>0</v>
      </c>
      <c r="B4572" t="s">
        <v>1563</v>
      </c>
      <c r="C4572" t="s">
        <v>7049</v>
      </c>
      <c r="D4572" t="s">
        <v>13006</v>
      </c>
      <c r="E4572" t="s">
        <v>17180</v>
      </c>
      <c r="F4572" t="s">
        <v>22436</v>
      </c>
      <c r="G4572" t="s">
        <v>22444</v>
      </c>
      <c r="H4572" t="s">
        <v>22454</v>
      </c>
      <c r="I4572" t="s">
        <v>7738</v>
      </c>
      <c r="J4572" t="s">
        <v>23387</v>
      </c>
      <c r="K4572" t="s">
        <v>29430</v>
      </c>
      <c r="M4572" t="s">
        <v>31244</v>
      </c>
      <c r="N4572" t="s">
        <v>32524</v>
      </c>
      <c r="O4572" t="s">
        <v>32525</v>
      </c>
      <c r="P4572">
        <v>0</v>
      </c>
      <c r="Q4572">
        <v>0</v>
      </c>
      <c r="R4572" t="s">
        <v>32531</v>
      </c>
      <c r="S4572" t="s">
        <v>32586</v>
      </c>
      <c r="T4572" t="s">
        <v>33405</v>
      </c>
      <c r="U4572" t="s">
        <v>37473</v>
      </c>
      <c r="W4572" t="s">
        <v>31244</v>
      </c>
      <c r="X4572" t="s">
        <v>32533</v>
      </c>
    </row>
    <row r="4573" spans="1:24">
      <c r="A4573">
        <f>HYPERLINK("https://www.philgeps.gov.ph/GEPSNONPILOT/Tender/SplashBidNoticeAbstractUI.aspx?menuIndex=3&amp;refID=7036419&amp;Result=3","7036419")</f>
        <v>0</v>
      </c>
      <c r="B4573" t="s">
        <v>40</v>
      </c>
      <c r="C4573" t="s">
        <v>7050</v>
      </c>
      <c r="D4573" t="s">
        <v>13001</v>
      </c>
      <c r="E4573" t="s">
        <v>17181</v>
      </c>
      <c r="F4573" t="s">
        <v>22436</v>
      </c>
      <c r="G4573" t="s">
        <v>22444</v>
      </c>
      <c r="H4573" t="s">
        <v>22454</v>
      </c>
      <c r="I4573" t="s">
        <v>7738</v>
      </c>
      <c r="J4573" t="s">
        <v>25584</v>
      </c>
      <c r="K4573" t="s">
        <v>29334</v>
      </c>
      <c r="M4573" t="s">
        <v>29611</v>
      </c>
      <c r="N4573" t="s">
        <v>32524</v>
      </c>
      <c r="O4573" t="s">
        <v>32525</v>
      </c>
      <c r="P4573">
        <v>0</v>
      </c>
      <c r="Q4573">
        <v>13</v>
      </c>
      <c r="R4573" t="s">
        <v>32531</v>
      </c>
      <c r="S4573" t="s">
        <v>32586</v>
      </c>
      <c r="T4573" t="s">
        <v>33212</v>
      </c>
      <c r="U4573" t="s">
        <v>33644</v>
      </c>
      <c r="V4573" t="s">
        <v>42423</v>
      </c>
      <c r="W4573" t="s">
        <v>29611</v>
      </c>
      <c r="X4573" t="s">
        <v>32533</v>
      </c>
    </row>
    <row r="4574" spans="1:24">
      <c r="A4574">
        <f>HYPERLINK("https://www.philgeps.gov.ph/GEPSNONPILOT/Tender/SplashBidNoticeAbstractUI.aspx?menuIndex=3&amp;refID=7036100&amp;Result=3","7036100")</f>
        <v>0</v>
      </c>
      <c r="B4574" t="s">
        <v>364</v>
      </c>
      <c r="C4574" t="s">
        <v>7051</v>
      </c>
      <c r="D4574" t="s">
        <v>13011</v>
      </c>
      <c r="E4574" t="s">
        <v>17182</v>
      </c>
      <c r="F4574" t="s">
        <v>22436</v>
      </c>
      <c r="G4574" t="s">
        <v>22444</v>
      </c>
      <c r="H4574" t="s">
        <v>22454</v>
      </c>
      <c r="I4574" t="s">
        <v>7738</v>
      </c>
      <c r="J4574" t="s">
        <v>25577</v>
      </c>
      <c r="K4574" t="s">
        <v>29339</v>
      </c>
      <c r="M4574" t="s">
        <v>29942</v>
      </c>
      <c r="N4574" t="s">
        <v>32524</v>
      </c>
      <c r="O4574" t="s">
        <v>32525</v>
      </c>
      <c r="P4574">
        <v>0</v>
      </c>
      <c r="Q4574">
        <v>1</v>
      </c>
      <c r="R4574" t="s">
        <v>32531</v>
      </c>
      <c r="S4574" t="s">
        <v>32586</v>
      </c>
      <c r="T4574" t="s">
        <v>33212</v>
      </c>
      <c r="U4574" t="s">
        <v>37474</v>
      </c>
      <c r="W4574" t="s">
        <v>29942</v>
      </c>
      <c r="X4574" t="s">
        <v>32533</v>
      </c>
    </row>
    <row r="4575" spans="1:24">
      <c r="A4575">
        <f>HYPERLINK("https://www.philgeps.gov.ph/GEPSNONPILOT/Tender/SplashBidNoticeAbstractUI.aspx?menuIndex=3&amp;refID=7035951&amp;Result=3","7035951")</f>
        <v>0</v>
      </c>
      <c r="B4575" t="s">
        <v>80</v>
      </c>
      <c r="C4575" t="s">
        <v>7052</v>
      </c>
      <c r="D4575" t="s">
        <v>13007</v>
      </c>
      <c r="E4575" t="s">
        <v>17183</v>
      </c>
      <c r="F4575" t="s">
        <v>22436</v>
      </c>
      <c r="G4575" t="s">
        <v>22446</v>
      </c>
      <c r="H4575" t="s">
        <v>22452</v>
      </c>
      <c r="I4575" t="s">
        <v>22457</v>
      </c>
      <c r="J4575" t="s">
        <v>25583</v>
      </c>
      <c r="K4575" t="s">
        <v>29341</v>
      </c>
      <c r="M4575" t="s">
        <v>29652</v>
      </c>
      <c r="N4575" t="s">
        <v>32524</v>
      </c>
      <c r="O4575" t="s">
        <v>32525</v>
      </c>
      <c r="P4575">
        <v>0</v>
      </c>
      <c r="Q4575">
        <v>0</v>
      </c>
      <c r="R4575" t="s">
        <v>32531</v>
      </c>
      <c r="S4575" t="s">
        <v>32586</v>
      </c>
      <c r="T4575" t="s">
        <v>33209</v>
      </c>
      <c r="U4575" t="s">
        <v>37475</v>
      </c>
      <c r="W4575" t="s">
        <v>29652</v>
      </c>
      <c r="X4575" t="s">
        <v>32533</v>
      </c>
    </row>
    <row r="4576" spans="1:24">
      <c r="A4576">
        <f>HYPERLINK("https://www.philgeps.gov.ph/GEPSNONPILOT/Tender/SplashBidNoticeAbstractUI.aspx?menuIndex=3&amp;refID=7037066&amp;Result=3","7037066")</f>
        <v>0</v>
      </c>
      <c r="B4576" t="s">
        <v>1567</v>
      </c>
      <c r="C4576" t="s">
        <v>7053</v>
      </c>
      <c r="D4576" t="s">
        <v>13004</v>
      </c>
      <c r="E4576" t="s">
        <v>17184</v>
      </c>
      <c r="F4576" t="s">
        <v>22436</v>
      </c>
      <c r="G4576" t="s">
        <v>22444</v>
      </c>
      <c r="H4576" t="s">
        <v>22455</v>
      </c>
      <c r="I4576" t="s">
        <v>22455</v>
      </c>
      <c r="J4576" t="s">
        <v>25585</v>
      </c>
      <c r="K4576" t="s">
        <v>29333</v>
      </c>
      <c r="M4576" t="s">
        <v>31249</v>
      </c>
      <c r="N4576" t="s">
        <v>32524</v>
      </c>
      <c r="O4576" t="s">
        <v>32525</v>
      </c>
      <c r="P4576">
        <v>0</v>
      </c>
      <c r="Q4576">
        <v>3</v>
      </c>
      <c r="R4576" t="s">
        <v>32531</v>
      </c>
      <c r="S4576" t="s">
        <v>32586</v>
      </c>
      <c r="T4576" t="s">
        <v>33158</v>
      </c>
      <c r="U4576" t="s">
        <v>37476</v>
      </c>
      <c r="W4576" t="s">
        <v>31249</v>
      </c>
      <c r="X4576" t="s">
        <v>32533</v>
      </c>
    </row>
    <row r="4577" spans="1:24">
      <c r="A4577">
        <f>HYPERLINK("https://www.philgeps.gov.ph/GEPSNONPILOT/Tender/SplashBidNoticeAbstractUI.aspx?menuIndex=3&amp;refID=7037076&amp;Result=3","7037076")</f>
        <v>0</v>
      </c>
      <c r="B4577" t="s">
        <v>140</v>
      </c>
      <c r="C4577" t="s">
        <v>7054</v>
      </c>
      <c r="D4577" t="s">
        <v>12988</v>
      </c>
      <c r="E4577" t="s">
        <v>17185</v>
      </c>
      <c r="F4577" t="s">
        <v>22436</v>
      </c>
      <c r="G4577" t="s">
        <v>22444</v>
      </c>
      <c r="H4577" t="s">
        <v>22452</v>
      </c>
      <c r="I4577" t="s">
        <v>22460</v>
      </c>
      <c r="J4577" t="s">
        <v>25586</v>
      </c>
      <c r="K4577" t="s">
        <v>29338</v>
      </c>
      <c r="M4577" t="s">
        <v>30340</v>
      </c>
      <c r="N4577" t="s">
        <v>32524</v>
      </c>
      <c r="O4577" t="s">
        <v>32525</v>
      </c>
      <c r="P4577">
        <v>0</v>
      </c>
      <c r="Q4577">
        <v>3</v>
      </c>
      <c r="R4577" t="s">
        <v>32531</v>
      </c>
      <c r="S4577" t="s">
        <v>32586</v>
      </c>
      <c r="T4577" t="s">
        <v>33253</v>
      </c>
      <c r="U4577" t="s">
        <v>37477</v>
      </c>
      <c r="V4577" t="s">
        <v>42600</v>
      </c>
      <c r="W4577" t="s">
        <v>30340</v>
      </c>
      <c r="X4577" t="s">
        <v>32533</v>
      </c>
    </row>
    <row r="4578" spans="1:24">
      <c r="A4578">
        <f>HYPERLINK("https://www.philgeps.gov.ph/GEPSNONPILOT/Tender/SplashBidNoticeAbstractUI.aspx?menuIndex=3&amp;refID=7036290&amp;Result=3","7036290")</f>
        <v>0</v>
      </c>
      <c r="B4578" t="s">
        <v>1568</v>
      </c>
      <c r="C4578" t="s">
        <v>7055</v>
      </c>
      <c r="D4578" t="s">
        <v>13069</v>
      </c>
      <c r="E4578" t="s">
        <v>17186</v>
      </c>
      <c r="F4578" t="s">
        <v>22436</v>
      </c>
      <c r="G4578" t="s">
        <v>22444</v>
      </c>
      <c r="H4578" t="s">
        <v>22452</v>
      </c>
      <c r="I4578" t="s">
        <v>3529</v>
      </c>
      <c r="J4578" t="s">
        <v>25587</v>
      </c>
      <c r="K4578" t="s">
        <v>29338</v>
      </c>
      <c r="M4578" t="s">
        <v>31250</v>
      </c>
      <c r="N4578" t="s">
        <v>32524</v>
      </c>
      <c r="O4578" t="s">
        <v>32525</v>
      </c>
      <c r="P4578">
        <v>0</v>
      </c>
      <c r="Q4578">
        <v>4</v>
      </c>
      <c r="R4578" t="s">
        <v>32531</v>
      </c>
      <c r="S4578" t="s">
        <v>32586</v>
      </c>
      <c r="T4578" t="s">
        <v>33454</v>
      </c>
      <c r="U4578" t="s">
        <v>37478</v>
      </c>
      <c r="W4578" t="s">
        <v>31250</v>
      </c>
      <c r="X4578" t="s">
        <v>32533</v>
      </c>
    </row>
    <row r="4579" spans="1:24">
      <c r="A4579">
        <f>HYPERLINK("https://www.philgeps.gov.ph/GEPSNONPILOT/Tender/SplashBidNoticeAbstractUI.aspx?menuIndex=3&amp;refID=7036980&amp;Result=3","7036980")</f>
        <v>0</v>
      </c>
      <c r="B4579" t="s">
        <v>140</v>
      </c>
      <c r="C4579" t="s">
        <v>7056</v>
      </c>
      <c r="D4579" t="s">
        <v>12988</v>
      </c>
      <c r="E4579" t="s">
        <v>17187</v>
      </c>
      <c r="F4579" t="s">
        <v>22436</v>
      </c>
      <c r="G4579" t="s">
        <v>22444</v>
      </c>
      <c r="H4579" t="s">
        <v>22452</v>
      </c>
      <c r="I4579" t="s">
        <v>22469</v>
      </c>
      <c r="J4579" t="s">
        <v>25588</v>
      </c>
      <c r="K4579" t="s">
        <v>29338</v>
      </c>
      <c r="M4579" t="s">
        <v>30340</v>
      </c>
      <c r="N4579" t="s">
        <v>32524</v>
      </c>
      <c r="O4579" t="s">
        <v>32525</v>
      </c>
      <c r="P4579">
        <v>0</v>
      </c>
      <c r="Q4579">
        <v>14</v>
      </c>
      <c r="R4579" t="s">
        <v>32531</v>
      </c>
      <c r="S4579" t="s">
        <v>32586</v>
      </c>
      <c r="T4579" t="s">
        <v>33253</v>
      </c>
      <c r="U4579" t="s">
        <v>37479</v>
      </c>
      <c r="V4579" t="s">
        <v>42600</v>
      </c>
      <c r="W4579" t="s">
        <v>30340</v>
      </c>
      <c r="X4579" t="s">
        <v>32533</v>
      </c>
    </row>
    <row r="4580" spans="1:24">
      <c r="A4580">
        <f>HYPERLINK("https://www.philgeps.gov.ph/GEPSNONPILOT/Tender/SplashBidNoticeAbstractUI.aspx?menuIndex=3&amp;refID=7035849&amp;Result=3","7035849")</f>
        <v>0</v>
      </c>
      <c r="B4580" t="s">
        <v>1563</v>
      </c>
      <c r="C4580" t="s">
        <v>7057</v>
      </c>
      <c r="D4580" t="s">
        <v>13006</v>
      </c>
      <c r="E4580" t="s">
        <v>17188</v>
      </c>
      <c r="F4580" t="s">
        <v>22436</v>
      </c>
      <c r="G4580" t="s">
        <v>22444</v>
      </c>
      <c r="H4580" t="s">
        <v>22454</v>
      </c>
      <c r="I4580" t="s">
        <v>7738</v>
      </c>
      <c r="J4580" t="s">
        <v>22634</v>
      </c>
      <c r="K4580" t="s">
        <v>29333</v>
      </c>
      <c r="M4580" t="s">
        <v>31244</v>
      </c>
      <c r="N4580" t="s">
        <v>32524</v>
      </c>
      <c r="O4580" t="s">
        <v>32525</v>
      </c>
      <c r="P4580">
        <v>0</v>
      </c>
      <c r="Q4580">
        <v>0</v>
      </c>
      <c r="R4580" t="s">
        <v>32531</v>
      </c>
      <c r="S4580" t="s">
        <v>32586</v>
      </c>
      <c r="T4580" t="s">
        <v>33405</v>
      </c>
      <c r="U4580" t="s">
        <v>37480</v>
      </c>
      <c r="W4580" t="s">
        <v>31244</v>
      </c>
      <c r="X4580" t="s">
        <v>32533</v>
      </c>
    </row>
    <row r="4581" spans="1:24">
      <c r="A4581">
        <f>HYPERLINK("https://www.philgeps.gov.ph/GEPSNONPILOT/Tender/SplashBidNoticeAbstractUI.aspx?menuIndex=3&amp;refID=7037161&amp;Result=3","7037161")</f>
        <v>0</v>
      </c>
      <c r="B4581" t="s">
        <v>1569</v>
      </c>
      <c r="C4581" t="s">
        <v>7058</v>
      </c>
      <c r="D4581" t="s">
        <v>13003</v>
      </c>
      <c r="E4581" t="s">
        <v>17189</v>
      </c>
      <c r="F4581" t="s">
        <v>22436</v>
      </c>
      <c r="G4581" t="s">
        <v>22444</v>
      </c>
      <c r="H4581" t="s">
        <v>22454</v>
      </c>
      <c r="I4581" t="s">
        <v>7738</v>
      </c>
      <c r="J4581" t="s">
        <v>25589</v>
      </c>
      <c r="K4581" t="s">
        <v>29345</v>
      </c>
      <c r="M4581" t="s">
        <v>31251</v>
      </c>
      <c r="N4581" t="s">
        <v>32524</v>
      </c>
      <c r="O4581" t="s">
        <v>32525</v>
      </c>
      <c r="P4581">
        <v>0</v>
      </c>
      <c r="Q4581">
        <v>3</v>
      </c>
      <c r="R4581" t="s">
        <v>32531</v>
      </c>
      <c r="S4581" t="s">
        <v>32586</v>
      </c>
      <c r="T4581" t="s">
        <v>33215</v>
      </c>
      <c r="U4581" t="s">
        <v>37481</v>
      </c>
      <c r="W4581" t="s">
        <v>31251</v>
      </c>
      <c r="X4581" t="s">
        <v>32533</v>
      </c>
    </row>
    <row r="4582" spans="1:24">
      <c r="A4582">
        <f>HYPERLINK("https://www.philgeps.gov.ph/GEPSNONPILOT/Tender/SplashBidNoticeAbstractUI.aspx?menuIndex=3&amp;refID=7036110&amp;Result=3","7036110")</f>
        <v>0</v>
      </c>
      <c r="B4582" t="s">
        <v>32</v>
      </c>
      <c r="C4582" t="s">
        <v>7059</v>
      </c>
      <c r="E4582" t="s">
        <v>17190</v>
      </c>
      <c r="F4582" t="s">
        <v>22436</v>
      </c>
      <c r="G4582" t="s">
        <v>22444</v>
      </c>
      <c r="H4582" t="s">
        <v>22454</v>
      </c>
      <c r="I4582" t="s">
        <v>7738</v>
      </c>
      <c r="J4582" t="s">
        <v>25590</v>
      </c>
      <c r="K4582" t="s">
        <v>29380</v>
      </c>
      <c r="M4582" t="s">
        <v>29609</v>
      </c>
      <c r="N4582" t="s">
        <v>32524</v>
      </c>
      <c r="O4582" t="s">
        <v>32525</v>
      </c>
      <c r="P4582">
        <v>0</v>
      </c>
      <c r="Q4582">
        <v>1</v>
      </c>
      <c r="R4582" t="s">
        <v>32531</v>
      </c>
      <c r="S4582" t="s">
        <v>32586</v>
      </c>
      <c r="T4582" t="s">
        <v>33422</v>
      </c>
      <c r="U4582" t="s">
        <v>37482</v>
      </c>
      <c r="W4582" t="s">
        <v>29609</v>
      </c>
      <c r="X4582" t="s">
        <v>32533</v>
      </c>
    </row>
    <row r="4583" spans="1:24">
      <c r="A4583">
        <f>HYPERLINK("https://www.philgeps.gov.ph/GEPSNONPILOT/Tender/SplashBidNoticeAbstractUI.aspx?menuIndex=3&amp;refID=7037038&amp;Result=3","7037038")</f>
        <v>0</v>
      </c>
      <c r="B4583" t="s">
        <v>140</v>
      </c>
      <c r="C4583" t="s">
        <v>7060</v>
      </c>
      <c r="D4583" t="s">
        <v>12988</v>
      </c>
      <c r="E4583" t="s">
        <v>17191</v>
      </c>
      <c r="F4583" t="s">
        <v>22436</v>
      </c>
      <c r="G4583" t="s">
        <v>22444</v>
      </c>
      <c r="H4583" t="s">
        <v>22452</v>
      </c>
      <c r="I4583" t="s">
        <v>3027</v>
      </c>
      <c r="J4583" t="s">
        <v>22634</v>
      </c>
      <c r="K4583" t="s">
        <v>29338</v>
      </c>
      <c r="M4583" t="s">
        <v>30340</v>
      </c>
      <c r="N4583" t="s">
        <v>32524</v>
      </c>
      <c r="O4583" t="s">
        <v>32525</v>
      </c>
      <c r="P4583">
        <v>0</v>
      </c>
      <c r="Q4583">
        <v>4</v>
      </c>
      <c r="R4583" t="s">
        <v>32531</v>
      </c>
      <c r="S4583" t="s">
        <v>32586</v>
      </c>
      <c r="T4583" t="s">
        <v>33253</v>
      </c>
      <c r="U4583" t="s">
        <v>37483</v>
      </c>
      <c r="V4583" t="s">
        <v>42600</v>
      </c>
      <c r="W4583" t="s">
        <v>30340</v>
      </c>
      <c r="X4583" t="s">
        <v>32533</v>
      </c>
    </row>
    <row r="4584" spans="1:24">
      <c r="A4584">
        <f>HYPERLINK("https://www.philgeps.gov.ph/GEPSNONPILOT/Tender/SplashBidNoticeAbstractUI.aspx?menuIndex=3&amp;refID=7036953&amp;Result=3","7036953")</f>
        <v>0</v>
      </c>
      <c r="B4584" t="s">
        <v>140</v>
      </c>
      <c r="C4584" t="s">
        <v>7061</v>
      </c>
      <c r="D4584" t="s">
        <v>12988</v>
      </c>
      <c r="E4584" t="s">
        <v>17192</v>
      </c>
      <c r="F4584" t="s">
        <v>22436</v>
      </c>
      <c r="G4584" t="s">
        <v>22444</v>
      </c>
      <c r="H4584" t="s">
        <v>22452</v>
      </c>
      <c r="I4584" t="s">
        <v>22476</v>
      </c>
      <c r="J4584" t="s">
        <v>25591</v>
      </c>
      <c r="K4584" t="s">
        <v>29338</v>
      </c>
      <c r="M4584" t="s">
        <v>30340</v>
      </c>
      <c r="N4584" t="s">
        <v>32524</v>
      </c>
      <c r="O4584" t="s">
        <v>32525</v>
      </c>
      <c r="P4584">
        <v>0</v>
      </c>
      <c r="Q4584">
        <v>11</v>
      </c>
      <c r="R4584" t="s">
        <v>32531</v>
      </c>
      <c r="S4584" t="s">
        <v>32586</v>
      </c>
      <c r="T4584" t="s">
        <v>33253</v>
      </c>
      <c r="U4584" t="s">
        <v>37484</v>
      </c>
      <c r="V4584" t="s">
        <v>42600</v>
      </c>
      <c r="W4584" t="s">
        <v>30340</v>
      </c>
      <c r="X4584" t="s">
        <v>32533</v>
      </c>
    </row>
    <row r="4585" spans="1:24">
      <c r="A4585">
        <f>HYPERLINK("https://www.philgeps.gov.ph/GEPSNONPILOT/Tender/SplashBidNoticeAbstractUI.aspx?menuIndex=3&amp;refID=7036907&amp;Result=3","7036907")</f>
        <v>0</v>
      </c>
      <c r="B4585" t="s">
        <v>1192</v>
      </c>
      <c r="C4585" t="s">
        <v>7062</v>
      </c>
      <c r="D4585" t="s">
        <v>13007</v>
      </c>
      <c r="E4585" t="s">
        <v>17193</v>
      </c>
      <c r="F4585" t="s">
        <v>22436</v>
      </c>
      <c r="G4585" t="s">
        <v>22444</v>
      </c>
      <c r="H4585" t="s">
        <v>22452</v>
      </c>
      <c r="I4585" t="s">
        <v>22466</v>
      </c>
      <c r="J4585" t="s">
        <v>22605</v>
      </c>
      <c r="K4585" t="s">
        <v>29337</v>
      </c>
      <c r="M4585" t="s">
        <v>30839</v>
      </c>
      <c r="N4585" t="s">
        <v>32524</v>
      </c>
      <c r="O4585" t="s">
        <v>32525</v>
      </c>
      <c r="Q4585">
        <v>5</v>
      </c>
      <c r="R4585" t="s">
        <v>32531</v>
      </c>
      <c r="S4585" t="s">
        <v>32588</v>
      </c>
      <c r="T4585" t="s">
        <v>33416</v>
      </c>
      <c r="U4585" t="s">
        <v>37485</v>
      </c>
      <c r="W4585" t="s">
        <v>43709</v>
      </c>
      <c r="X4585" t="s">
        <v>32533</v>
      </c>
    </row>
    <row r="4586" spans="1:24">
      <c r="A4586">
        <f>HYPERLINK("https://www.philgeps.gov.ph/GEPSNONPILOT/Tender/SplashBidNoticeAbstractUI.aspx?menuIndex=3&amp;refID=7036786&amp;Result=3","7036786")</f>
        <v>0</v>
      </c>
      <c r="B4586" t="s">
        <v>1192</v>
      </c>
      <c r="C4586" t="s">
        <v>7063</v>
      </c>
      <c r="D4586" t="s">
        <v>13007</v>
      </c>
      <c r="E4586" t="s">
        <v>17194</v>
      </c>
      <c r="F4586" t="s">
        <v>22436</v>
      </c>
      <c r="G4586" t="s">
        <v>22444</v>
      </c>
      <c r="H4586" t="s">
        <v>22452</v>
      </c>
      <c r="I4586" t="s">
        <v>22547</v>
      </c>
      <c r="J4586" t="s">
        <v>25592</v>
      </c>
      <c r="K4586" t="s">
        <v>29337</v>
      </c>
      <c r="M4586" t="s">
        <v>30839</v>
      </c>
      <c r="N4586" t="s">
        <v>32524</v>
      </c>
      <c r="O4586" t="s">
        <v>32525</v>
      </c>
      <c r="Q4586">
        <v>1</v>
      </c>
      <c r="R4586" t="s">
        <v>32531</v>
      </c>
      <c r="S4586" t="s">
        <v>32589</v>
      </c>
      <c r="T4586" t="s">
        <v>33416</v>
      </c>
      <c r="U4586" t="s">
        <v>37485</v>
      </c>
      <c r="W4586" t="s">
        <v>43709</v>
      </c>
      <c r="X4586" t="s">
        <v>32533</v>
      </c>
    </row>
    <row r="4587" spans="1:24">
      <c r="A4587">
        <f>HYPERLINK("https://www.philgeps.gov.ph/GEPSNONPILOT/Tender/SplashBidNoticeAbstractUI.aspx?menuIndex=3&amp;refID=7036805&amp;Result=3","7036805")</f>
        <v>0</v>
      </c>
      <c r="B4587" t="s">
        <v>1570</v>
      </c>
      <c r="C4587" t="s">
        <v>7064</v>
      </c>
      <c r="D4587" t="s">
        <v>13059</v>
      </c>
      <c r="E4587" t="s">
        <v>17195</v>
      </c>
      <c r="F4587" t="s">
        <v>22436</v>
      </c>
      <c r="G4587" t="s">
        <v>22443</v>
      </c>
      <c r="H4587" t="s">
        <v>22452</v>
      </c>
      <c r="I4587" t="s">
        <v>22466</v>
      </c>
      <c r="J4587" t="s">
        <v>22607</v>
      </c>
      <c r="K4587" t="s">
        <v>29338</v>
      </c>
      <c r="M4587" t="s">
        <v>31252</v>
      </c>
      <c r="N4587" t="s">
        <v>32524</v>
      </c>
      <c r="O4587" t="s">
        <v>32525</v>
      </c>
      <c r="P4587">
        <v>0</v>
      </c>
      <c r="Q4587">
        <v>16</v>
      </c>
      <c r="R4587" t="s">
        <v>32531</v>
      </c>
      <c r="S4587" t="s">
        <v>32586</v>
      </c>
      <c r="T4587" t="s">
        <v>33372</v>
      </c>
      <c r="U4587" t="s">
        <v>37486</v>
      </c>
      <c r="V4587" t="s">
        <v>42918</v>
      </c>
      <c r="W4587" t="s">
        <v>31252</v>
      </c>
      <c r="X4587" t="s">
        <v>32533</v>
      </c>
    </row>
    <row r="4588" spans="1:24">
      <c r="A4588">
        <f>HYPERLINK("https://www.philgeps.gov.ph/GEPSNONPILOT/Tender/SplashBidNoticeAbstractUI.aspx?menuIndex=3&amp;refID=7037382&amp;Result=3","7037382")</f>
        <v>0</v>
      </c>
      <c r="B4588" t="s">
        <v>1571</v>
      </c>
      <c r="C4588" t="s">
        <v>7065</v>
      </c>
      <c r="D4588" t="s">
        <v>13022</v>
      </c>
      <c r="E4588" t="s">
        <v>17196</v>
      </c>
      <c r="F4588" t="s">
        <v>22436</v>
      </c>
      <c r="G4588" t="s">
        <v>22444</v>
      </c>
      <c r="H4588" t="s">
        <v>22454</v>
      </c>
      <c r="I4588" t="s">
        <v>7738</v>
      </c>
      <c r="J4588" t="s">
        <v>22960</v>
      </c>
      <c r="K4588" t="s">
        <v>29333</v>
      </c>
      <c r="M4588" t="s">
        <v>31253</v>
      </c>
      <c r="N4588" t="s">
        <v>32524</v>
      </c>
      <c r="O4588" t="s">
        <v>32525</v>
      </c>
      <c r="P4588">
        <v>0</v>
      </c>
      <c r="Q4588">
        <v>0</v>
      </c>
      <c r="R4588" t="s">
        <v>32531</v>
      </c>
      <c r="S4588" t="s">
        <v>32586</v>
      </c>
      <c r="T4588" t="s">
        <v>33234</v>
      </c>
      <c r="U4588" t="s">
        <v>37487</v>
      </c>
      <c r="W4588" t="s">
        <v>31253</v>
      </c>
      <c r="X4588" t="s">
        <v>32533</v>
      </c>
    </row>
    <row r="4589" spans="1:24">
      <c r="A4589">
        <f>HYPERLINK("https://www.philgeps.gov.ph/GEPSNONPILOT/Tender/SplashBidNoticeAbstractUI.aspx?menuIndex=3&amp;refID=7037340&amp;Result=3","7037340")</f>
        <v>0</v>
      </c>
      <c r="B4589" t="s">
        <v>264</v>
      </c>
      <c r="C4589" t="s">
        <v>7066</v>
      </c>
      <c r="D4589" t="s">
        <v>13018</v>
      </c>
      <c r="E4589" t="s">
        <v>17197</v>
      </c>
      <c r="F4589" t="s">
        <v>22436</v>
      </c>
      <c r="G4589" t="s">
        <v>22446</v>
      </c>
      <c r="H4589" t="s">
        <v>22452</v>
      </c>
      <c r="I4589" t="s">
        <v>22463</v>
      </c>
      <c r="J4589" t="s">
        <v>25593</v>
      </c>
      <c r="K4589" t="s">
        <v>29338</v>
      </c>
      <c r="M4589" t="s">
        <v>29838</v>
      </c>
      <c r="N4589" t="s">
        <v>32524</v>
      </c>
      <c r="O4589" t="s">
        <v>32525</v>
      </c>
      <c r="P4589">
        <v>0</v>
      </c>
      <c r="Q4589">
        <v>3</v>
      </c>
      <c r="R4589" t="s">
        <v>32531</v>
      </c>
      <c r="S4589" t="s">
        <v>32586</v>
      </c>
      <c r="T4589" t="s">
        <v>33215</v>
      </c>
      <c r="U4589" t="s">
        <v>37488</v>
      </c>
      <c r="W4589" t="s">
        <v>29838</v>
      </c>
      <c r="X4589" t="s">
        <v>32533</v>
      </c>
    </row>
    <row r="4590" spans="1:24">
      <c r="A4590">
        <f>HYPERLINK("https://www.philgeps.gov.ph/GEPSNONPILOT/Tender/SplashBidNoticeAbstractUI.aspx?menuIndex=3&amp;refID=7037291&amp;Result=3","7037291")</f>
        <v>0</v>
      </c>
      <c r="B4590" t="s">
        <v>1572</v>
      </c>
      <c r="C4590" t="s">
        <v>7067</v>
      </c>
      <c r="D4590" t="s">
        <v>12988</v>
      </c>
      <c r="E4590" t="s">
        <v>17198</v>
      </c>
      <c r="F4590" t="s">
        <v>22436</v>
      </c>
      <c r="G4590" t="s">
        <v>22443</v>
      </c>
      <c r="H4590" t="s">
        <v>22452</v>
      </c>
      <c r="I4590" t="s">
        <v>2981</v>
      </c>
      <c r="J4590" t="s">
        <v>25594</v>
      </c>
      <c r="K4590" t="s">
        <v>29341</v>
      </c>
      <c r="M4590" t="s">
        <v>31254</v>
      </c>
      <c r="N4590" t="s">
        <v>32524</v>
      </c>
      <c r="O4590" t="s">
        <v>32525</v>
      </c>
      <c r="P4590">
        <v>0</v>
      </c>
      <c r="Q4590">
        <v>2</v>
      </c>
      <c r="R4590" t="s">
        <v>32531</v>
      </c>
      <c r="S4590" t="s">
        <v>32586</v>
      </c>
      <c r="T4590" t="s">
        <v>33213</v>
      </c>
      <c r="U4590" t="s">
        <v>36615</v>
      </c>
      <c r="W4590" t="s">
        <v>31254</v>
      </c>
      <c r="X4590" t="s">
        <v>32533</v>
      </c>
    </row>
    <row r="4591" spans="1:24">
      <c r="A4591">
        <f>HYPERLINK("https://www.philgeps.gov.ph/GEPSNONPILOT/Tender/SplashBidNoticeAbstractUI.aspx?menuIndex=3&amp;refID=7036436&amp;Result=3","7036436")</f>
        <v>0</v>
      </c>
      <c r="B4591" t="s">
        <v>1573</v>
      </c>
      <c r="C4591" t="s">
        <v>7068</v>
      </c>
      <c r="D4591" t="s">
        <v>13037</v>
      </c>
      <c r="E4591" t="s">
        <v>17199</v>
      </c>
      <c r="F4591" t="s">
        <v>22436</v>
      </c>
      <c r="G4591" t="s">
        <v>22444</v>
      </c>
      <c r="H4591" t="s">
        <v>22454</v>
      </c>
      <c r="I4591" t="s">
        <v>7738</v>
      </c>
      <c r="J4591" t="s">
        <v>25595</v>
      </c>
      <c r="K4591" t="s">
        <v>29334</v>
      </c>
      <c r="M4591" t="s">
        <v>31255</v>
      </c>
      <c r="N4591" t="s">
        <v>32524</v>
      </c>
      <c r="O4591" t="s">
        <v>32525</v>
      </c>
      <c r="P4591">
        <v>0</v>
      </c>
      <c r="Q4591">
        <v>1</v>
      </c>
      <c r="R4591" t="s">
        <v>32531</v>
      </c>
      <c r="S4591" t="s">
        <v>32586</v>
      </c>
      <c r="T4591" t="s">
        <v>33188</v>
      </c>
      <c r="U4591" t="s">
        <v>37489</v>
      </c>
      <c r="W4591" t="s">
        <v>31255</v>
      </c>
      <c r="X4591" t="s">
        <v>32533</v>
      </c>
    </row>
    <row r="4592" spans="1:24">
      <c r="A4592">
        <f>HYPERLINK("https://www.philgeps.gov.ph/GEPSNONPILOT/Tender/SplashBidNoticeAbstractUI.aspx?menuIndex=3&amp;refID=7037500&amp;Result=3","7037500")</f>
        <v>0</v>
      </c>
      <c r="B4592" t="s">
        <v>1192</v>
      </c>
      <c r="C4592" t="s">
        <v>7069</v>
      </c>
      <c r="D4592" t="s">
        <v>13007</v>
      </c>
      <c r="E4592" t="s">
        <v>17200</v>
      </c>
      <c r="F4592" t="s">
        <v>22436</v>
      </c>
      <c r="G4592" t="s">
        <v>22444</v>
      </c>
      <c r="H4592" t="s">
        <v>22452</v>
      </c>
      <c r="I4592" t="s">
        <v>22568</v>
      </c>
      <c r="J4592" t="s">
        <v>25596</v>
      </c>
      <c r="K4592" t="s">
        <v>29337</v>
      </c>
      <c r="M4592" t="s">
        <v>30839</v>
      </c>
      <c r="N4592" t="s">
        <v>32524</v>
      </c>
      <c r="O4592" t="s">
        <v>32525</v>
      </c>
      <c r="P4592">
        <v>0</v>
      </c>
      <c r="Q4592">
        <v>2</v>
      </c>
      <c r="R4592" t="s">
        <v>32531</v>
      </c>
      <c r="S4592" t="s">
        <v>32586</v>
      </c>
      <c r="T4592" t="s">
        <v>33455</v>
      </c>
      <c r="U4592" t="s">
        <v>37485</v>
      </c>
      <c r="W4592" t="s">
        <v>43709</v>
      </c>
      <c r="X4592" t="s">
        <v>32533</v>
      </c>
    </row>
    <row r="4593" spans="1:24">
      <c r="A4593">
        <f>HYPERLINK("https://www.philgeps.gov.ph/GEPSNONPILOT/Tender/SplashBidNoticeAbstractUI.aspx?menuIndex=3&amp;refID=7037362&amp;Result=3","7037362")</f>
        <v>0</v>
      </c>
      <c r="B4593" t="s">
        <v>1192</v>
      </c>
      <c r="C4593" t="s">
        <v>7070</v>
      </c>
      <c r="D4593" t="s">
        <v>13007</v>
      </c>
      <c r="E4593" t="s">
        <v>17201</v>
      </c>
      <c r="F4593" t="s">
        <v>22436</v>
      </c>
      <c r="G4593" t="s">
        <v>22444</v>
      </c>
      <c r="H4593" t="s">
        <v>22452</v>
      </c>
      <c r="I4593" t="s">
        <v>22469</v>
      </c>
      <c r="J4593" t="s">
        <v>25597</v>
      </c>
      <c r="K4593" t="s">
        <v>29337</v>
      </c>
      <c r="M4593" t="s">
        <v>30839</v>
      </c>
      <c r="N4593" t="s">
        <v>32524</v>
      </c>
      <c r="O4593" t="s">
        <v>32525</v>
      </c>
      <c r="Q4593">
        <v>3</v>
      </c>
      <c r="R4593" t="s">
        <v>32531</v>
      </c>
      <c r="S4593" t="s">
        <v>32590</v>
      </c>
      <c r="T4593" t="s">
        <v>33416</v>
      </c>
      <c r="U4593" t="s">
        <v>37485</v>
      </c>
      <c r="W4593" t="s">
        <v>43709</v>
      </c>
      <c r="X4593" t="s">
        <v>32533</v>
      </c>
    </row>
    <row r="4594" spans="1:24">
      <c r="A4594">
        <f>HYPERLINK("https://www.philgeps.gov.ph/GEPSNONPILOT/Tender/SplashBidNoticeAbstractUI.aspx?menuIndex=3&amp;refID=7036541&amp;Result=3","7036541")</f>
        <v>0</v>
      </c>
      <c r="B4594" t="s">
        <v>1574</v>
      </c>
      <c r="C4594" t="s">
        <v>7071</v>
      </c>
      <c r="D4594" t="s">
        <v>13008</v>
      </c>
      <c r="E4594" t="s">
        <v>17202</v>
      </c>
      <c r="F4594" t="s">
        <v>22436</v>
      </c>
      <c r="G4594" t="s">
        <v>22447</v>
      </c>
      <c r="H4594" t="s">
        <v>22452</v>
      </c>
      <c r="I4594" t="s">
        <v>22488</v>
      </c>
      <c r="J4594" t="s">
        <v>25598</v>
      </c>
      <c r="K4594" t="s">
        <v>29338</v>
      </c>
      <c r="M4594" t="s">
        <v>31256</v>
      </c>
      <c r="N4594" t="s">
        <v>32524</v>
      </c>
      <c r="O4594" t="s">
        <v>32525</v>
      </c>
      <c r="P4594">
        <v>0</v>
      </c>
      <c r="Q4594">
        <v>0</v>
      </c>
      <c r="R4594" t="s">
        <v>32531</v>
      </c>
      <c r="S4594" t="s">
        <v>32586</v>
      </c>
      <c r="T4594" t="s">
        <v>33167</v>
      </c>
      <c r="U4594" t="s">
        <v>37490</v>
      </c>
      <c r="W4594" t="s">
        <v>31256</v>
      </c>
      <c r="X4594" t="s">
        <v>32533</v>
      </c>
    </row>
    <row r="4595" spans="1:24">
      <c r="A4595">
        <f>HYPERLINK("https://www.philgeps.gov.ph/GEPSNONPILOT/Tender/SplashBidNoticeAbstractUI.aspx?menuIndex=3&amp;refID=7037308&amp;Result=3","7037308")</f>
        <v>0</v>
      </c>
      <c r="B4595" t="s">
        <v>1192</v>
      </c>
      <c r="C4595" t="s">
        <v>7072</v>
      </c>
      <c r="D4595" t="s">
        <v>13007</v>
      </c>
      <c r="E4595" t="s">
        <v>17203</v>
      </c>
      <c r="F4595" t="s">
        <v>22436</v>
      </c>
      <c r="G4595" t="s">
        <v>22444</v>
      </c>
      <c r="H4595" t="s">
        <v>22452</v>
      </c>
      <c r="I4595" t="s">
        <v>22469</v>
      </c>
      <c r="J4595" t="s">
        <v>25599</v>
      </c>
      <c r="K4595" t="s">
        <v>29337</v>
      </c>
      <c r="M4595" t="s">
        <v>30839</v>
      </c>
      <c r="N4595" t="s">
        <v>32524</v>
      </c>
      <c r="O4595" t="s">
        <v>32525</v>
      </c>
      <c r="Q4595">
        <v>3</v>
      </c>
      <c r="R4595" t="s">
        <v>32531</v>
      </c>
      <c r="S4595" t="s">
        <v>32591</v>
      </c>
      <c r="T4595" t="s">
        <v>33416</v>
      </c>
      <c r="U4595" t="s">
        <v>37485</v>
      </c>
      <c r="W4595" t="s">
        <v>43709</v>
      </c>
      <c r="X4595" t="s">
        <v>32533</v>
      </c>
    </row>
    <row r="4596" spans="1:24">
      <c r="A4596">
        <f>HYPERLINK("https://www.philgeps.gov.ph/GEPSNONPILOT/Tender/SplashBidNoticeAbstractUI.aspx?menuIndex=3&amp;refID=7036636&amp;Result=3","7036636")</f>
        <v>0</v>
      </c>
      <c r="B4596" t="s">
        <v>1573</v>
      </c>
      <c r="C4596" t="s">
        <v>7073</v>
      </c>
      <c r="D4596" t="s">
        <v>13037</v>
      </c>
      <c r="E4596" t="s">
        <v>17204</v>
      </c>
      <c r="F4596" t="s">
        <v>22436</v>
      </c>
      <c r="G4596" t="s">
        <v>22444</v>
      </c>
      <c r="H4596" t="s">
        <v>22454</v>
      </c>
      <c r="I4596" t="s">
        <v>7738</v>
      </c>
      <c r="J4596" t="s">
        <v>25600</v>
      </c>
      <c r="K4596" t="s">
        <v>29334</v>
      </c>
      <c r="M4596" t="s">
        <v>31255</v>
      </c>
      <c r="N4596" t="s">
        <v>32524</v>
      </c>
      <c r="O4596" t="s">
        <v>32525</v>
      </c>
      <c r="P4596">
        <v>0</v>
      </c>
      <c r="Q4596">
        <v>1</v>
      </c>
      <c r="R4596" t="s">
        <v>32531</v>
      </c>
      <c r="S4596" t="s">
        <v>32586</v>
      </c>
      <c r="T4596" t="s">
        <v>33188</v>
      </c>
      <c r="U4596" t="s">
        <v>37491</v>
      </c>
      <c r="W4596" t="s">
        <v>31255</v>
      </c>
      <c r="X4596" t="s">
        <v>32533</v>
      </c>
    </row>
    <row r="4597" spans="1:24">
      <c r="A4597">
        <f>HYPERLINK("https://www.philgeps.gov.ph/GEPSNONPILOT/Tender/SplashBidNoticeAbstractUI.aspx?menuIndex=3&amp;refID=7037685&amp;Result=3","7037685")</f>
        <v>0</v>
      </c>
      <c r="B4597" t="s">
        <v>1192</v>
      </c>
      <c r="C4597" t="s">
        <v>7074</v>
      </c>
      <c r="D4597" t="s">
        <v>13007</v>
      </c>
      <c r="E4597" t="s">
        <v>17205</v>
      </c>
      <c r="F4597" t="s">
        <v>22436</v>
      </c>
      <c r="G4597" t="s">
        <v>22444</v>
      </c>
      <c r="H4597" t="s">
        <v>22452</v>
      </c>
      <c r="I4597" t="s">
        <v>3381</v>
      </c>
      <c r="J4597" t="s">
        <v>22936</v>
      </c>
      <c r="K4597" t="s">
        <v>29337</v>
      </c>
      <c r="M4597" t="s">
        <v>30839</v>
      </c>
      <c r="N4597" t="s">
        <v>32524</v>
      </c>
      <c r="O4597" t="s">
        <v>32525</v>
      </c>
      <c r="P4597">
        <v>0</v>
      </c>
      <c r="Q4597">
        <v>3</v>
      </c>
      <c r="R4597" t="s">
        <v>32531</v>
      </c>
      <c r="S4597" t="s">
        <v>32586</v>
      </c>
      <c r="T4597" t="s">
        <v>33455</v>
      </c>
      <c r="U4597" t="s">
        <v>37485</v>
      </c>
      <c r="W4597" t="s">
        <v>43709</v>
      </c>
      <c r="X4597" t="s">
        <v>32533</v>
      </c>
    </row>
    <row r="4598" spans="1:24">
      <c r="A4598">
        <f>HYPERLINK("https://www.philgeps.gov.ph/GEPSNONPILOT/Tender/SplashBidNoticeAbstractUI.aspx?menuIndex=3&amp;refID=7037662&amp;Result=3","7037662")</f>
        <v>0</v>
      </c>
      <c r="B4598" t="s">
        <v>242</v>
      </c>
      <c r="C4598" t="s">
        <v>7075</v>
      </c>
      <c r="D4598" t="s">
        <v>13039</v>
      </c>
      <c r="E4598" t="s">
        <v>17206</v>
      </c>
      <c r="F4598" t="s">
        <v>22437</v>
      </c>
      <c r="G4598" t="s">
        <v>22446</v>
      </c>
      <c r="H4598" t="s">
        <v>22452</v>
      </c>
      <c r="I4598" t="s">
        <v>7110</v>
      </c>
      <c r="J4598" t="s">
        <v>24275</v>
      </c>
      <c r="K4598" t="s">
        <v>29331</v>
      </c>
      <c r="M4598" t="s">
        <v>29816</v>
      </c>
      <c r="N4598" t="s">
        <v>32524</v>
      </c>
      <c r="O4598" t="s">
        <v>32525</v>
      </c>
      <c r="P4598">
        <v>0</v>
      </c>
      <c r="Q4598">
        <v>7</v>
      </c>
      <c r="R4598" t="s">
        <v>32531</v>
      </c>
      <c r="S4598" t="s">
        <v>32586</v>
      </c>
      <c r="T4598" t="s">
        <v>33211</v>
      </c>
      <c r="U4598" t="s">
        <v>37492</v>
      </c>
      <c r="W4598" t="s">
        <v>29816</v>
      </c>
      <c r="X4598" t="s">
        <v>32533</v>
      </c>
    </row>
    <row r="4599" spans="1:24">
      <c r="A4599">
        <f>HYPERLINK("https://www.philgeps.gov.ph/GEPSNONPILOT/Tender/SplashBidNoticeAbstractUI.aspx?menuIndex=3&amp;refID=7037940&amp;Result=3","7037940")</f>
        <v>0</v>
      </c>
      <c r="B4599" t="s">
        <v>1008</v>
      </c>
      <c r="C4599" t="s">
        <v>7076</v>
      </c>
      <c r="D4599" t="s">
        <v>13037</v>
      </c>
      <c r="E4599" t="s">
        <v>17207</v>
      </c>
      <c r="F4599" t="s">
        <v>22436</v>
      </c>
      <c r="G4599" t="s">
        <v>22444</v>
      </c>
      <c r="H4599" t="s">
        <v>22454</v>
      </c>
      <c r="I4599" t="s">
        <v>7738</v>
      </c>
      <c r="J4599" t="s">
        <v>25601</v>
      </c>
      <c r="K4599" t="s">
        <v>29335</v>
      </c>
      <c r="M4599" t="s">
        <v>30636</v>
      </c>
      <c r="N4599" t="s">
        <v>32524</v>
      </c>
      <c r="O4599" t="s">
        <v>32525</v>
      </c>
      <c r="P4599">
        <v>0</v>
      </c>
      <c r="Q4599">
        <v>0</v>
      </c>
      <c r="R4599" t="s">
        <v>32531</v>
      </c>
      <c r="S4599" t="s">
        <v>32586</v>
      </c>
      <c r="T4599" t="s">
        <v>33234</v>
      </c>
      <c r="U4599" t="s">
        <v>35903</v>
      </c>
      <c r="W4599" t="s">
        <v>30636</v>
      </c>
      <c r="X4599" t="s">
        <v>32533</v>
      </c>
    </row>
    <row r="4600" spans="1:24">
      <c r="A4600">
        <f>HYPERLINK("https://www.philgeps.gov.ph/GEPSNONPILOT/Tender/SplashBidNoticeAbstractUI.aspx?menuIndex=3&amp;refID=7037931&amp;Result=3","7037931")</f>
        <v>0</v>
      </c>
      <c r="B4600" t="s">
        <v>1008</v>
      </c>
      <c r="C4600" t="s">
        <v>7077</v>
      </c>
      <c r="D4600" t="s">
        <v>13037</v>
      </c>
      <c r="E4600" t="s">
        <v>17208</v>
      </c>
      <c r="F4600" t="s">
        <v>22436</v>
      </c>
      <c r="G4600" t="s">
        <v>22444</v>
      </c>
      <c r="H4600" t="s">
        <v>22454</v>
      </c>
      <c r="I4600" t="s">
        <v>7738</v>
      </c>
      <c r="J4600" t="s">
        <v>22669</v>
      </c>
      <c r="K4600" t="s">
        <v>29379</v>
      </c>
      <c r="M4600" t="s">
        <v>30636</v>
      </c>
      <c r="N4600" t="s">
        <v>32524</v>
      </c>
      <c r="O4600" t="s">
        <v>32525</v>
      </c>
      <c r="P4600">
        <v>0</v>
      </c>
      <c r="Q4600">
        <v>0</v>
      </c>
      <c r="R4600" t="s">
        <v>32531</v>
      </c>
      <c r="S4600" t="s">
        <v>32586</v>
      </c>
      <c r="T4600" t="s">
        <v>33234</v>
      </c>
      <c r="U4600" t="s">
        <v>35903</v>
      </c>
      <c r="W4600" t="s">
        <v>30636</v>
      </c>
      <c r="X4600" t="s">
        <v>32533</v>
      </c>
    </row>
    <row r="4601" spans="1:24">
      <c r="A4601">
        <f>HYPERLINK("https://www.philgeps.gov.ph/GEPSNONPILOT/Tender/SplashBidNoticeAbstractUI.aspx?menuIndex=3&amp;refID=7037571&amp;Result=3","7037571")</f>
        <v>0</v>
      </c>
      <c r="B4601" t="s">
        <v>1575</v>
      </c>
      <c r="C4601" t="s">
        <v>7078</v>
      </c>
      <c r="D4601" t="s">
        <v>12988</v>
      </c>
      <c r="E4601" t="s">
        <v>17209</v>
      </c>
      <c r="F4601" t="s">
        <v>22436</v>
      </c>
      <c r="G4601" t="s">
        <v>22444</v>
      </c>
      <c r="H4601" t="s">
        <v>22452</v>
      </c>
      <c r="I4601" t="s">
        <v>3529</v>
      </c>
      <c r="J4601" t="s">
        <v>22874</v>
      </c>
      <c r="K4601" t="s">
        <v>29357</v>
      </c>
      <c r="M4601" t="s">
        <v>31257</v>
      </c>
      <c r="N4601" t="s">
        <v>32524</v>
      </c>
      <c r="O4601" t="s">
        <v>32525</v>
      </c>
      <c r="P4601">
        <v>0</v>
      </c>
      <c r="Q4601">
        <v>0</v>
      </c>
      <c r="R4601" t="s">
        <v>32531</v>
      </c>
      <c r="S4601" t="s">
        <v>32586</v>
      </c>
      <c r="T4601" t="s">
        <v>33197</v>
      </c>
      <c r="U4601" t="s">
        <v>37493</v>
      </c>
      <c r="W4601" t="s">
        <v>31257</v>
      </c>
      <c r="X4601" t="s">
        <v>32533</v>
      </c>
    </row>
    <row r="4602" spans="1:24">
      <c r="A4602">
        <f>HYPERLINK("https://www.philgeps.gov.ph/GEPSNONPILOT/Tender/SplashBidNoticeAbstractUI.aspx?menuIndex=3&amp;refID=7037645&amp;Result=3","7037645")</f>
        <v>0</v>
      </c>
      <c r="B4602" t="s">
        <v>56</v>
      </c>
      <c r="C4602" t="s">
        <v>7079</v>
      </c>
      <c r="D4602" t="s">
        <v>13012</v>
      </c>
      <c r="E4602" t="s">
        <v>15570</v>
      </c>
      <c r="F4602" t="s">
        <v>22436</v>
      </c>
      <c r="G4602" t="s">
        <v>22444</v>
      </c>
      <c r="H4602" t="s">
        <v>22452</v>
      </c>
      <c r="I4602" t="s">
        <v>5194</v>
      </c>
      <c r="J4602" t="s">
        <v>25602</v>
      </c>
      <c r="K4602" t="s">
        <v>29336</v>
      </c>
      <c r="M4602" t="s">
        <v>29628</v>
      </c>
      <c r="N4602" t="s">
        <v>32524</v>
      </c>
      <c r="O4602" t="s">
        <v>32525</v>
      </c>
      <c r="P4602">
        <v>0</v>
      </c>
      <c r="Q4602">
        <v>4</v>
      </c>
      <c r="R4602" t="s">
        <v>32531</v>
      </c>
      <c r="S4602" t="s">
        <v>32586</v>
      </c>
      <c r="T4602" t="s">
        <v>33456</v>
      </c>
      <c r="U4602" t="s">
        <v>37494</v>
      </c>
      <c r="V4602" t="s">
        <v>42919</v>
      </c>
      <c r="W4602" t="s">
        <v>29628</v>
      </c>
      <c r="X4602" t="s">
        <v>32533</v>
      </c>
    </row>
    <row r="4603" spans="1:24">
      <c r="A4603">
        <f>HYPERLINK("https://www.philgeps.gov.ph/GEPSNONPILOT/Tender/SplashBidNoticeAbstractUI.aspx?menuIndex=3&amp;refID=7038036&amp;Result=3","7038036")</f>
        <v>0</v>
      </c>
      <c r="B4603" t="s">
        <v>1576</v>
      </c>
      <c r="C4603" t="s">
        <v>7080</v>
      </c>
      <c r="D4603" t="s">
        <v>12988</v>
      </c>
      <c r="E4603" t="s">
        <v>17210</v>
      </c>
      <c r="F4603" t="s">
        <v>22436</v>
      </c>
      <c r="G4603" t="s">
        <v>22446</v>
      </c>
      <c r="H4603" t="s">
        <v>22452</v>
      </c>
      <c r="I4603" t="s">
        <v>5194</v>
      </c>
      <c r="J4603" t="s">
        <v>23235</v>
      </c>
      <c r="K4603" t="s">
        <v>29357</v>
      </c>
      <c r="M4603" t="s">
        <v>31258</v>
      </c>
      <c r="N4603" t="s">
        <v>32524</v>
      </c>
      <c r="O4603" t="s">
        <v>32525</v>
      </c>
      <c r="P4603">
        <v>0</v>
      </c>
      <c r="Q4603">
        <v>7</v>
      </c>
      <c r="R4603" t="s">
        <v>32531</v>
      </c>
      <c r="S4603" t="s">
        <v>32586</v>
      </c>
      <c r="T4603" t="s">
        <v>33154</v>
      </c>
      <c r="U4603" t="s">
        <v>37495</v>
      </c>
      <c r="W4603" t="s">
        <v>31258</v>
      </c>
      <c r="X4603" t="s">
        <v>32533</v>
      </c>
    </row>
    <row r="4604" spans="1:24">
      <c r="A4604">
        <f>HYPERLINK("https://www.philgeps.gov.ph/GEPSNONPILOT/Tender/SplashBidNoticeAbstractUI.aspx?menuIndex=3&amp;refID=7037745&amp;Result=3","7037745")</f>
        <v>0</v>
      </c>
      <c r="B4604" t="s">
        <v>1192</v>
      </c>
      <c r="C4604" t="s">
        <v>7081</v>
      </c>
      <c r="D4604" t="s">
        <v>13007</v>
      </c>
      <c r="E4604" t="s">
        <v>17211</v>
      </c>
      <c r="F4604" t="s">
        <v>22436</v>
      </c>
      <c r="G4604" t="s">
        <v>22444</v>
      </c>
      <c r="H4604" t="s">
        <v>22452</v>
      </c>
      <c r="I4604" t="s">
        <v>22462</v>
      </c>
      <c r="J4604" t="s">
        <v>25603</v>
      </c>
      <c r="K4604" t="s">
        <v>29337</v>
      </c>
      <c r="M4604" t="s">
        <v>30839</v>
      </c>
      <c r="N4604" t="s">
        <v>32524</v>
      </c>
      <c r="O4604" t="s">
        <v>32525</v>
      </c>
      <c r="P4604">
        <v>0</v>
      </c>
      <c r="Q4604">
        <v>2</v>
      </c>
      <c r="R4604" t="s">
        <v>32531</v>
      </c>
      <c r="S4604" t="s">
        <v>32586</v>
      </c>
      <c r="T4604" t="s">
        <v>33455</v>
      </c>
      <c r="U4604" t="s">
        <v>37485</v>
      </c>
      <c r="W4604" t="s">
        <v>43709</v>
      </c>
      <c r="X4604" t="s">
        <v>32533</v>
      </c>
    </row>
    <row r="4605" spans="1:24">
      <c r="A4605">
        <f>HYPERLINK("https://www.philgeps.gov.ph/GEPSNONPILOT/Tender/SplashBidNoticeAbstractUI.aspx?menuIndex=3&amp;refID=7037630&amp;Result=3","7037630")</f>
        <v>0</v>
      </c>
      <c r="B4605" t="s">
        <v>1517</v>
      </c>
      <c r="C4605" t="s">
        <v>7082</v>
      </c>
      <c r="D4605" t="s">
        <v>13024</v>
      </c>
      <c r="E4605" t="s">
        <v>17212</v>
      </c>
      <c r="F4605" t="s">
        <v>22436</v>
      </c>
      <c r="G4605" t="s">
        <v>22443</v>
      </c>
      <c r="H4605" t="s">
        <v>22452</v>
      </c>
      <c r="I4605" t="s">
        <v>22461</v>
      </c>
      <c r="J4605" t="s">
        <v>22761</v>
      </c>
      <c r="K4605" t="s">
        <v>29335</v>
      </c>
      <c r="M4605" t="s">
        <v>31192</v>
      </c>
      <c r="N4605" t="s">
        <v>32524</v>
      </c>
      <c r="O4605" t="s">
        <v>32525</v>
      </c>
      <c r="P4605">
        <v>0</v>
      </c>
      <c r="Q4605">
        <v>2</v>
      </c>
      <c r="R4605" t="s">
        <v>32531</v>
      </c>
      <c r="S4605" t="s">
        <v>32586</v>
      </c>
      <c r="T4605" t="s">
        <v>33220</v>
      </c>
      <c r="U4605" t="s">
        <v>37496</v>
      </c>
      <c r="W4605" t="s">
        <v>31192</v>
      </c>
      <c r="X4605" t="s">
        <v>32533</v>
      </c>
    </row>
    <row r="4606" spans="1:24">
      <c r="A4606">
        <f>HYPERLINK("https://www.philgeps.gov.ph/GEPSNONPILOT/Tender/SplashBidNoticeAbstractUI.aspx?menuIndex=3&amp;refID=7038001&amp;Result=3","7038001")</f>
        <v>0</v>
      </c>
      <c r="B4606" t="s">
        <v>1577</v>
      </c>
      <c r="C4606" t="s">
        <v>7083</v>
      </c>
      <c r="D4606" t="s">
        <v>13020</v>
      </c>
      <c r="E4606" t="s">
        <v>13165</v>
      </c>
      <c r="F4606" t="s">
        <v>22438</v>
      </c>
      <c r="G4606" t="s">
        <v>22444</v>
      </c>
      <c r="H4606" t="s">
        <v>22452</v>
      </c>
      <c r="I4606" t="s">
        <v>3529</v>
      </c>
      <c r="J4606" t="s">
        <v>25604</v>
      </c>
      <c r="K4606" t="s">
        <v>29336</v>
      </c>
      <c r="M4606" t="s">
        <v>31259</v>
      </c>
      <c r="N4606" t="s">
        <v>32524</v>
      </c>
      <c r="O4606" t="s">
        <v>32525</v>
      </c>
      <c r="P4606">
        <v>0</v>
      </c>
      <c r="Q4606">
        <v>2</v>
      </c>
      <c r="R4606" t="s">
        <v>32531</v>
      </c>
      <c r="S4606" t="s">
        <v>32586</v>
      </c>
      <c r="T4606" t="s">
        <v>33268</v>
      </c>
      <c r="U4606" t="s">
        <v>37497</v>
      </c>
      <c r="W4606" t="s">
        <v>31259</v>
      </c>
      <c r="X4606" t="s">
        <v>32533</v>
      </c>
    </row>
    <row r="4607" spans="1:24">
      <c r="A4607">
        <f>HYPERLINK("https://www.philgeps.gov.ph/GEPSNONPILOT/Tender/SplashBidNoticeAbstractUI.aspx?menuIndex=3&amp;refID=7038020&amp;Result=3","7038020")</f>
        <v>0</v>
      </c>
      <c r="B4607" t="s">
        <v>1578</v>
      </c>
      <c r="C4607" t="s">
        <v>7084</v>
      </c>
      <c r="D4607" t="s">
        <v>12999</v>
      </c>
      <c r="E4607" t="s">
        <v>7084</v>
      </c>
      <c r="F4607" t="s">
        <v>22436</v>
      </c>
      <c r="G4607" t="s">
        <v>22444</v>
      </c>
      <c r="H4607" t="s">
        <v>22454</v>
      </c>
      <c r="I4607" t="s">
        <v>7738</v>
      </c>
      <c r="J4607" t="s">
        <v>25605</v>
      </c>
      <c r="K4607" t="s">
        <v>29333</v>
      </c>
      <c r="M4607" t="s">
        <v>31260</v>
      </c>
      <c r="N4607" t="s">
        <v>32524</v>
      </c>
      <c r="O4607" t="s">
        <v>32525</v>
      </c>
      <c r="P4607">
        <v>0</v>
      </c>
      <c r="Q4607">
        <v>0</v>
      </c>
      <c r="R4607" t="s">
        <v>32531</v>
      </c>
      <c r="S4607" t="s">
        <v>32586</v>
      </c>
      <c r="T4607" t="s">
        <v>33229</v>
      </c>
      <c r="U4607" t="s">
        <v>37498</v>
      </c>
      <c r="V4607" t="s">
        <v>42461</v>
      </c>
      <c r="W4607" t="s">
        <v>31260</v>
      </c>
      <c r="X4607" t="s">
        <v>32533</v>
      </c>
    </row>
    <row r="4608" spans="1:24">
      <c r="A4608">
        <f>HYPERLINK("https://www.philgeps.gov.ph/GEPSNONPILOT/Tender/SplashBidNoticeAbstractUI.aspx?menuIndex=3&amp;refID=7038042&amp;Result=3","7038042")</f>
        <v>0</v>
      </c>
      <c r="B4608" t="s">
        <v>1576</v>
      </c>
      <c r="C4608" t="s">
        <v>7080</v>
      </c>
      <c r="D4608" t="s">
        <v>12988</v>
      </c>
      <c r="E4608" t="s">
        <v>17213</v>
      </c>
      <c r="F4608" t="s">
        <v>22436</v>
      </c>
      <c r="G4608" t="s">
        <v>22446</v>
      </c>
      <c r="H4608" t="s">
        <v>22452</v>
      </c>
      <c r="I4608" t="s">
        <v>5194</v>
      </c>
      <c r="J4608" t="s">
        <v>22605</v>
      </c>
      <c r="K4608" t="s">
        <v>29357</v>
      </c>
      <c r="M4608" t="s">
        <v>31258</v>
      </c>
      <c r="N4608" t="s">
        <v>32524</v>
      </c>
      <c r="O4608" t="s">
        <v>32525</v>
      </c>
      <c r="P4608">
        <v>0</v>
      </c>
      <c r="Q4608">
        <v>4</v>
      </c>
      <c r="R4608" t="s">
        <v>32531</v>
      </c>
      <c r="S4608" t="s">
        <v>32586</v>
      </c>
      <c r="T4608" t="s">
        <v>33154</v>
      </c>
      <c r="U4608" t="s">
        <v>37499</v>
      </c>
      <c r="W4608" t="s">
        <v>31258</v>
      </c>
      <c r="X4608" t="s">
        <v>32533</v>
      </c>
    </row>
    <row r="4609" spans="1:24">
      <c r="A4609">
        <f>HYPERLINK("https://www.philgeps.gov.ph/GEPSNONPILOT/Tender/SplashBidNoticeAbstractUI.aspx?menuIndex=3&amp;refID=7037985&amp;Result=3","7037985")</f>
        <v>0</v>
      </c>
      <c r="B4609" t="s">
        <v>1579</v>
      </c>
      <c r="C4609" t="s">
        <v>7085</v>
      </c>
      <c r="D4609" t="s">
        <v>13001</v>
      </c>
      <c r="E4609" t="s">
        <v>17214</v>
      </c>
      <c r="F4609" t="s">
        <v>22436</v>
      </c>
      <c r="G4609" t="s">
        <v>22444</v>
      </c>
      <c r="H4609" t="s">
        <v>22452</v>
      </c>
      <c r="I4609" t="s">
        <v>3529</v>
      </c>
      <c r="J4609" t="s">
        <v>25606</v>
      </c>
      <c r="K4609" t="s">
        <v>29338</v>
      </c>
      <c r="M4609" t="s">
        <v>31261</v>
      </c>
      <c r="N4609" t="s">
        <v>32524</v>
      </c>
      <c r="O4609" t="s">
        <v>32525</v>
      </c>
      <c r="P4609">
        <v>0</v>
      </c>
      <c r="Q4609">
        <v>1</v>
      </c>
      <c r="R4609" t="s">
        <v>32531</v>
      </c>
      <c r="S4609" t="s">
        <v>32586</v>
      </c>
      <c r="T4609" t="s">
        <v>33213</v>
      </c>
      <c r="U4609" t="s">
        <v>37500</v>
      </c>
      <c r="W4609" t="s">
        <v>31261</v>
      </c>
      <c r="X4609" t="s">
        <v>32533</v>
      </c>
    </row>
    <row r="4610" spans="1:24">
      <c r="A4610">
        <f>HYPERLINK("https://www.philgeps.gov.ph/GEPSNONPILOT/Tender/SplashBidNoticeAbstractUI.aspx?menuIndex=3&amp;refID=7037539&amp;Result=3","7037539")</f>
        <v>0</v>
      </c>
      <c r="B4610" t="s">
        <v>1517</v>
      </c>
      <c r="C4610" t="s">
        <v>7086</v>
      </c>
      <c r="D4610" t="s">
        <v>13060</v>
      </c>
      <c r="E4610" t="s">
        <v>17215</v>
      </c>
      <c r="F4610" t="s">
        <v>22436</v>
      </c>
      <c r="G4610" t="s">
        <v>22443</v>
      </c>
      <c r="H4610" t="s">
        <v>22452</v>
      </c>
      <c r="I4610" t="s">
        <v>22461</v>
      </c>
      <c r="J4610" t="s">
        <v>22761</v>
      </c>
      <c r="K4610" t="s">
        <v>29335</v>
      </c>
      <c r="M4610" t="s">
        <v>31192</v>
      </c>
      <c r="N4610" t="s">
        <v>32524</v>
      </c>
      <c r="O4610" t="s">
        <v>32525</v>
      </c>
      <c r="P4610">
        <v>0</v>
      </c>
      <c r="Q4610">
        <v>1</v>
      </c>
      <c r="R4610" t="s">
        <v>32531</v>
      </c>
      <c r="S4610" t="s">
        <v>32586</v>
      </c>
      <c r="T4610" t="s">
        <v>33220</v>
      </c>
      <c r="U4610" t="s">
        <v>37501</v>
      </c>
      <c r="W4610" t="s">
        <v>31192</v>
      </c>
      <c r="X4610" t="s">
        <v>32533</v>
      </c>
    </row>
    <row r="4611" spans="1:24">
      <c r="A4611">
        <f>HYPERLINK("https://www.philgeps.gov.ph/GEPSNONPILOT/Tender/SplashBidNoticeAbstractUI.aspx?menuIndex=3&amp;refID=7037727&amp;Result=3","7037727")</f>
        <v>0</v>
      </c>
      <c r="B4611" t="s">
        <v>1192</v>
      </c>
      <c r="C4611" t="s">
        <v>7087</v>
      </c>
      <c r="D4611" t="s">
        <v>13007</v>
      </c>
      <c r="E4611" t="s">
        <v>17216</v>
      </c>
      <c r="F4611" t="s">
        <v>22436</v>
      </c>
      <c r="G4611" t="s">
        <v>22444</v>
      </c>
      <c r="H4611" t="s">
        <v>22452</v>
      </c>
      <c r="I4611" t="s">
        <v>22476</v>
      </c>
      <c r="J4611" t="s">
        <v>25607</v>
      </c>
      <c r="K4611" t="s">
        <v>29333</v>
      </c>
      <c r="M4611" t="s">
        <v>30839</v>
      </c>
      <c r="N4611" t="s">
        <v>32524</v>
      </c>
      <c r="O4611" t="s">
        <v>32525</v>
      </c>
      <c r="P4611">
        <v>0</v>
      </c>
      <c r="Q4611">
        <v>4</v>
      </c>
      <c r="R4611" t="s">
        <v>32531</v>
      </c>
      <c r="S4611" t="s">
        <v>32586</v>
      </c>
      <c r="T4611" t="s">
        <v>33455</v>
      </c>
      <c r="U4611" t="s">
        <v>37485</v>
      </c>
      <c r="W4611" t="s">
        <v>43709</v>
      </c>
      <c r="X4611" t="s">
        <v>32533</v>
      </c>
    </row>
    <row r="4612" spans="1:24">
      <c r="A4612">
        <f>HYPERLINK("https://www.philgeps.gov.ph/GEPSNONPILOT/Tender/SplashBidNoticeAbstractUI.aspx?menuIndex=3&amp;refID=7037997&amp;Result=3","7037997")</f>
        <v>0</v>
      </c>
      <c r="B4612" t="s">
        <v>860</v>
      </c>
      <c r="C4612" t="s">
        <v>7088</v>
      </c>
      <c r="D4612" t="s">
        <v>13028</v>
      </c>
      <c r="E4612" t="s">
        <v>17217</v>
      </c>
      <c r="F4612" t="s">
        <v>22436</v>
      </c>
      <c r="G4612" t="s">
        <v>22443</v>
      </c>
      <c r="H4612" t="s">
        <v>22452</v>
      </c>
      <c r="I4612" t="s">
        <v>7110</v>
      </c>
      <c r="J4612" t="s">
        <v>25608</v>
      </c>
      <c r="K4612" t="s">
        <v>29335</v>
      </c>
      <c r="M4612" t="s">
        <v>30467</v>
      </c>
      <c r="N4612" t="s">
        <v>32524</v>
      </c>
      <c r="O4612" t="s">
        <v>32525</v>
      </c>
      <c r="P4612">
        <v>0</v>
      </c>
      <c r="Q4612">
        <v>8</v>
      </c>
      <c r="R4612" t="s">
        <v>32531</v>
      </c>
      <c r="S4612" t="s">
        <v>32586</v>
      </c>
      <c r="T4612" t="s">
        <v>33314</v>
      </c>
      <c r="U4612" t="s">
        <v>37502</v>
      </c>
      <c r="W4612" t="s">
        <v>30467</v>
      </c>
      <c r="X4612" t="s">
        <v>32533</v>
      </c>
    </row>
    <row r="4613" spans="1:24">
      <c r="A4613">
        <f>HYPERLINK("https://www.philgeps.gov.ph/GEPSNONPILOT/Tender/SplashBidNoticeAbstractUI.aspx?menuIndex=3&amp;refID=7038067&amp;Result=3","7038067")</f>
        <v>0</v>
      </c>
      <c r="B4613" t="s">
        <v>1577</v>
      </c>
      <c r="C4613" t="s">
        <v>7089</v>
      </c>
      <c r="D4613" t="s">
        <v>13020</v>
      </c>
      <c r="E4613" t="s">
        <v>13127</v>
      </c>
      <c r="F4613" t="s">
        <v>22437</v>
      </c>
      <c r="G4613" t="s">
        <v>22444</v>
      </c>
      <c r="H4613" t="s">
        <v>22452</v>
      </c>
      <c r="I4613" t="s">
        <v>3529</v>
      </c>
      <c r="J4613" t="s">
        <v>25609</v>
      </c>
      <c r="K4613" t="s">
        <v>29336</v>
      </c>
      <c r="M4613" t="s">
        <v>31259</v>
      </c>
      <c r="N4613" t="s">
        <v>32524</v>
      </c>
      <c r="O4613" t="s">
        <v>32525</v>
      </c>
      <c r="P4613">
        <v>0</v>
      </c>
      <c r="Q4613">
        <v>5</v>
      </c>
      <c r="R4613" t="s">
        <v>32531</v>
      </c>
      <c r="S4613" t="s">
        <v>32586</v>
      </c>
      <c r="T4613" t="s">
        <v>33232</v>
      </c>
      <c r="U4613" t="s">
        <v>37497</v>
      </c>
      <c r="V4613" t="s">
        <v>42920</v>
      </c>
      <c r="W4613" t="s">
        <v>31259</v>
      </c>
      <c r="X4613" t="s">
        <v>32533</v>
      </c>
    </row>
    <row r="4614" spans="1:24">
      <c r="A4614">
        <f>HYPERLINK("https://www.philgeps.gov.ph/GEPSNONPILOT/Tender/SplashBidNoticeAbstractUI.aspx?menuIndex=3&amp;refID=7037984&amp;Result=3","7037984")</f>
        <v>0</v>
      </c>
      <c r="B4614" t="s">
        <v>214</v>
      </c>
      <c r="C4614" t="s">
        <v>7090</v>
      </c>
      <c r="D4614" t="s">
        <v>12992</v>
      </c>
      <c r="E4614" t="s">
        <v>13102</v>
      </c>
      <c r="F4614" t="s">
        <v>22436</v>
      </c>
      <c r="G4614" t="s">
        <v>22444</v>
      </c>
      <c r="H4614" t="s">
        <v>22454</v>
      </c>
      <c r="I4614" t="s">
        <v>7738</v>
      </c>
      <c r="J4614" t="s">
        <v>22640</v>
      </c>
      <c r="K4614" t="s">
        <v>29335</v>
      </c>
      <c r="M4614" t="s">
        <v>29787</v>
      </c>
      <c r="N4614" t="s">
        <v>32524</v>
      </c>
      <c r="O4614" t="s">
        <v>32525</v>
      </c>
      <c r="P4614">
        <v>0</v>
      </c>
      <c r="Q4614">
        <v>0</v>
      </c>
      <c r="R4614" t="s">
        <v>32531</v>
      </c>
      <c r="S4614" t="s">
        <v>32586</v>
      </c>
      <c r="T4614" t="s">
        <v>33211</v>
      </c>
      <c r="U4614" t="s">
        <v>37503</v>
      </c>
      <c r="W4614" t="s">
        <v>29787</v>
      </c>
      <c r="X4614" t="s">
        <v>32533</v>
      </c>
    </row>
    <row r="4615" spans="1:24">
      <c r="A4615">
        <f>HYPERLINK("https://www.philgeps.gov.ph/GEPSNONPILOT/Tender/SplashBidNoticeAbstractUI.aspx?menuIndex=3&amp;refID=7038171&amp;Result=3","7038171")</f>
        <v>0</v>
      </c>
      <c r="B4615" t="s">
        <v>1580</v>
      </c>
      <c r="C4615" t="s">
        <v>7091</v>
      </c>
      <c r="D4615" t="s">
        <v>13006</v>
      </c>
      <c r="E4615" t="s">
        <v>13092</v>
      </c>
      <c r="F4615" t="s">
        <v>22436</v>
      </c>
      <c r="G4615" t="s">
        <v>22444</v>
      </c>
      <c r="H4615" t="s">
        <v>22452</v>
      </c>
      <c r="I4615" t="s">
        <v>22456</v>
      </c>
      <c r="J4615" t="s">
        <v>25610</v>
      </c>
      <c r="K4615" t="s">
        <v>29341</v>
      </c>
      <c r="M4615" t="s">
        <v>31262</v>
      </c>
      <c r="N4615" t="s">
        <v>32524</v>
      </c>
      <c r="O4615" t="s">
        <v>32525</v>
      </c>
      <c r="P4615">
        <v>0</v>
      </c>
      <c r="Q4615">
        <v>8</v>
      </c>
      <c r="R4615" t="s">
        <v>32531</v>
      </c>
      <c r="S4615" t="s">
        <v>32586</v>
      </c>
      <c r="T4615" t="s">
        <v>33457</v>
      </c>
      <c r="U4615" t="s">
        <v>37504</v>
      </c>
      <c r="W4615" t="s">
        <v>31262</v>
      </c>
      <c r="X4615" t="s">
        <v>32532</v>
      </c>
    </row>
    <row r="4616" spans="1:24">
      <c r="A4616">
        <f>HYPERLINK("https://www.philgeps.gov.ph/GEPSNONPILOT/Tender/SplashBidNoticeAbstractUI.aspx?menuIndex=3&amp;refID=7037487&amp;Result=3","7037487")</f>
        <v>0</v>
      </c>
      <c r="B4616" t="s">
        <v>56</v>
      </c>
      <c r="C4616" t="s">
        <v>7092</v>
      </c>
      <c r="D4616" t="s">
        <v>13012</v>
      </c>
      <c r="E4616" t="s">
        <v>15573</v>
      </c>
      <c r="F4616" t="s">
        <v>22436</v>
      </c>
      <c r="G4616" t="s">
        <v>22444</v>
      </c>
      <c r="H4616" t="s">
        <v>22454</v>
      </c>
      <c r="I4616" t="s">
        <v>7738</v>
      </c>
      <c r="J4616" t="s">
        <v>25611</v>
      </c>
      <c r="K4616" t="s">
        <v>29344</v>
      </c>
      <c r="M4616" t="s">
        <v>29628</v>
      </c>
      <c r="N4616" t="s">
        <v>32524</v>
      </c>
      <c r="O4616" t="s">
        <v>32525</v>
      </c>
      <c r="P4616">
        <v>0</v>
      </c>
      <c r="Q4616">
        <v>1</v>
      </c>
      <c r="R4616" t="s">
        <v>32531</v>
      </c>
      <c r="S4616" t="s">
        <v>32586</v>
      </c>
      <c r="T4616" t="s">
        <v>33458</v>
      </c>
      <c r="U4616" t="s">
        <v>37505</v>
      </c>
      <c r="V4616" t="s">
        <v>42428</v>
      </c>
      <c r="W4616" t="s">
        <v>29628</v>
      </c>
      <c r="X4616" t="s">
        <v>32533</v>
      </c>
    </row>
    <row r="4617" spans="1:24">
      <c r="A4617">
        <f>HYPERLINK("https://www.philgeps.gov.ph/GEPSNONPILOT/Tender/SplashBidNoticeAbstractUI.aspx?menuIndex=3&amp;refID=7037504&amp;Result=3","7037504")</f>
        <v>0</v>
      </c>
      <c r="B4617" t="s">
        <v>1581</v>
      </c>
      <c r="C4617" t="s">
        <v>7093</v>
      </c>
      <c r="D4617" t="s">
        <v>13057</v>
      </c>
      <c r="E4617" t="s">
        <v>17218</v>
      </c>
      <c r="F4617" t="s">
        <v>22436</v>
      </c>
      <c r="G4617" t="s">
        <v>22444</v>
      </c>
      <c r="H4617" t="s">
        <v>22452</v>
      </c>
      <c r="I4617" t="s">
        <v>22474</v>
      </c>
      <c r="J4617" t="s">
        <v>22669</v>
      </c>
      <c r="K4617" t="s">
        <v>29333</v>
      </c>
      <c r="L4617" t="s">
        <v>1581</v>
      </c>
      <c r="M4617" t="s">
        <v>31263</v>
      </c>
      <c r="N4617" t="s">
        <v>32524</v>
      </c>
      <c r="O4617" t="s">
        <v>32525</v>
      </c>
      <c r="P4617">
        <v>0</v>
      </c>
      <c r="Q4617">
        <v>7</v>
      </c>
      <c r="R4617" t="s">
        <v>32531</v>
      </c>
      <c r="S4617" t="s">
        <v>32586</v>
      </c>
      <c r="T4617" t="s">
        <v>33188</v>
      </c>
      <c r="U4617" t="s">
        <v>37506</v>
      </c>
      <c r="V4617" t="s">
        <v>42921</v>
      </c>
      <c r="W4617" t="s">
        <v>31263</v>
      </c>
      <c r="X4617" t="s">
        <v>32533</v>
      </c>
    </row>
    <row r="4618" spans="1:24">
      <c r="A4618">
        <f>HYPERLINK("https://www.philgeps.gov.ph/GEPSNONPILOT/Tender/SplashBidNoticeAbstractUI.aspx?menuIndex=3&amp;refID=7038166&amp;Result=3","7038166")</f>
        <v>0</v>
      </c>
      <c r="B4618" t="s">
        <v>1582</v>
      </c>
      <c r="C4618" t="s">
        <v>7094</v>
      </c>
      <c r="D4618" t="s">
        <v>13066</v>
      </c>
      <c r="E4618" t="s">
        <v>17219</v>
      </c>
      <c r="F4618" t="s">
        <v>22436</v>
      </c>
      <c r="G4618" t="s">
        <v>22444</v>
      </c>
      <c r="H4618" t="s">
        <v>22452</v>
      </c>
      <c r="I4618" t="s">
        <v>3529</v>
      </c>
      <c r="J4618" t="s">
        <v>25612</v>
      </c>
      <c r="K4618" t="s">
        <v>29335</v>
      </c>
      <c r="M4618" t="s">
        <v>31264</v>
      </c>
      <c r="N4618" t="s">
        <v>32524</v>
      </c>
      <c r="O4618" t="s">
        <v>32525</v>
      </c>
      <c r="P4618">
        <v>0</v>
      </c>
      <c r="Q4618">
        <v>0</v>
      </c>
      <c r="R4618" t="s">
        <v>32531</v>
      </c>
      <c r="S4618" t="s">
        <v>32586</v>
      </c>
      <c r="T4618" t="s">
        <v>33351</v>
      </c>
      <c r="U4618" t="s">
        <v>37507</v>
      </c>
      <c r="W4618" t="s">
        <v>31264</v>
      </c>
      <c r="X4618" t="s">
        <v>32532</v>
      </c>
    </row>
    <row r="4619" spans="1:24">
      <c r="A4619">
        <f>HYPERLINK("https://www.philgeps.gov.ph/GEPSNONPILOT/Tender/SplashBidNoticeAbstractUI.aspx?menuIndex=3&amp;refID=7038158&amp;Result=3","7038158")</f>
        <v>0</v>
      </c>
      <c r="B4619" t="s">
        <v>1500</v>
      </c>
      <c r="C4619" t="s">
        <v>7095</v>
      </c>
      <c r="D4619" t="s">
        <v>13019</v>
      </c>
      <c r="E4619" t="s">
        <v>13320</v>
      </c>
      <c r="F4619" t="s">
        <v>22436</v>
      </c>
      <c r="G4619" t="s">
        <v>22447</v>
      </c>
      <c r="H4619" t="s">
        <v>22454</v>
      </c>
      <c r="I4619" t="s">
        <v>3529</v>
      </c>
      <c r="J4619" t="s">
        <v>25613</v>
      </c>
      <c r="K4619" t="s">
        <v>29336</v>
      </c>
      <c r="M4619" t="s">
        <v>31174</v>
      </c>
      <c r="N4619" t="s">
        <v>32524</v>
      </c>
      <c r="O4619" t="s">
        <v>32525</v>
      </c>
      <c r="P4619">
        <v>0</v>
      </c>
      <c r="Q4619">
        <v>0</v>
      </c>
      <c r="R4619" t="s">
        <v>32531</v>
      </c>
      <c r="S4619" t="s">
        <v>32586</v>
      </c>
      <c r="T4619" t="s">
        <v>33220</v>
      </c>
      <c r="U4619" t="s">
        <v>37508</v>
      </c>
      <c r="W4619" t="s">
        <v>31174</v>
      </c>
      <c r="X4619" t="s">
        <v>32532</v>
      </c>
    </row>
    <row r="4620" spans="1:24">
      <c r="A4620">
        <f>HYPERLINK("https://www.philgeps.gov.ph/GEPSNONPILOT/Tender/SplashBidNoticeAbstractUI.aspx?menuIndex=3&amp;refID=7038173&amp;Result=3","7038173")</f>
        <v>0</v>
      </c>
      <c r="B4620" t="s">
        <v>771</v>
      </c>
      <c r="C4620" t="s">
        <v>7096</v>
      </c>
      <c r="D4620" t="s">
        <v>13012</v>
      </c>
      <c r="E4620" t="s">
        <v>17220</v>
      </c>
      <c r="F4620" t="s">
        <v>22436</v>
      </c>
      <c r="G4620" t="s">
        <v>22444</v>
      </c>
      <c r="H4620" t="s">
        <v>22452</v>
      </c>
      <c r="I4620" t="s">
        <v>6421</v>
      </c>
      <c r="J4620" t="s">
        <v>25614</v>
      </c>
      <c r="K4620" t="s">
        <v>29338</v>
      </c>
      <c r="M4620" t="s">
        <v>30372</v>
      </c>
      <c r="N4620" t="s">
        <v>32524</v>
      </c>
      <c r="O4620" t="s">
        <v>32525</v>
      </c>
      <c r="P4620">
        <v>0</v>
      </c>
      <c r="Q4620">
        <v>8</v>
      </c>
      <c r="R4620" t="s">
        <v>32531</v>
      </c>
      <c r="S4620" t="s">
        <v>32586</v>
      </c>
      <c r="T4620" t="s">
        <v>33310</v>
      </c>
      <c r="U4620" t="s">
        <v>35268</v>
      </c>
      <c r="W4620" t="s">
        <v>30372</v>
      </c>
      <c r="X4620" t="s">
        <v>32532</v>
      </c>
    </row>
    <row r="4621" spans="1:24">
      <c r="A4621">
        <f>HYPERLINK("https://www.philgeps.gov.ph/GEPSNONPILOT/Tender/SplashBidNoticeAbstractUI.aspx?menuIndex=3&amp;refID=7038168&amp;Result=3","7038168")</f>
        <v>0</v>
      </c>
      <c r="B4621" t="s">
        <v>1583</v>
      </c>
      <c r="C4621" t="s">
        <v>7097</v>
      </c>
      <c r="D4621" t="s">
        <v>12993</v>
      </c>
      <c r="E4621" t="s">
        <v>13182</v>
      </c>
      <c r="F4621" t="s">
        <v>22436</v>
      </c>
      <c r="G4621" t="s">
        <v>22444</v>
      </c>
      <c r="H4621" t="s">
        <v>22452</v>
      </c>
      <c r="I4621" t="s">
        <v>3529</v>
      </c>
      <c r="J4621" t="s">
        <v>25615</v>
      </c>
      <c r="K4621" t="s">
        <v>29335</v>
      </c>
      <c r="M4621" t="s">
        <v>31265</v>
      </c>
      <c r="N4621" t="s">
        <v>32524</v>
      </c>
      <c r="O4621" t="s">
        <v>32525</v>
      </c>
      <c r="P4621">
        <v>0</v>
      </c>
      <c r="Q4621">
        <v>1</v>
      </c>
      <c r="R4621" t="s">
        <v>32531</v>
      </c>
      <c r="S4621" t="s">
        <v>32586</v>
      </c>
      <c r="T4621" t="s">
        <v>33400</v>
      </c>
      <c r="U4621" t="s">
        <v>37509</v>
      </c>
      <c r="W4621" t="s">
        <v>31265</v>
      </c>
      <c r="X4621" t="s">
        <v>32532</v>
      </c>
    </row>
    <row r="4622" spans="1:24">
      <c r="A4622">
        <f>HYPERLINK("https://www.philgeps.gov.ph/GEPSNONPILOT/Tender/SplashBidNoticeAbstractUI.aspx?menuIndex=3&amp;refID=7037430&amp;Result=3","7037430")</f>
        <v>0</v>
      </c>
      <c r="B4622" t="s">
        <v>1192</v>
      </c>
      <c r="C4622" t="s">
        <v>7098</v>
      </c>
      <c r="D4622" t="s">
        <v>13007</v>
      </c>
      <c r="E4622" t="s">
        <v>17221</v>
      </c>
      <c r="F4622" t="s">
        <v>22436</v>
      </c>
      <c r="G4622" t="s">
        <v>22444</v>
      </c>
      <c r="H4622" t="s">
        <v>22452</v>
      </c>
      <c r="I4622" t="s">
        <v>22469</v>
      </c>
      <c r="J4622" t="s">
        <v>25616</v>
      </c>
      <c r="K4622" t="s">
        <v>29337</v>
      </c>
      <c r="M4622" t="s">
        <v>30839</v>
      </c>
      <c r="N4622" t="s">
        <v>32524</v>
      </c>
      <c r="O4622" t="s">
        <v>32525</v>
      </c>
      <c r="Q4622">
        <v>3</v>
      </c>
      <c r="R4622" t="s">
        <v>32531</v>
      </c>
      <c r="S4622" t="s">
        <v>32592</v>
      </c>
      <c r="T4622" t="s">
        <v>33416</v>
      </c>
      <c r="U4622" t="s">
        <v>37485</v>
      </c>
      <c r="W4622" t="s">
        <v>43709</v>
      </c>
      <c r="X4622" t="s">
        <v>32533</v>
      </c>
    </row>
    <row r="4623" spans="1:24">
      <c r="A4623">
        <f>HYPERLINK("https://www.philgeps.gov.ph/GEPSNONPILOT/Tender/SplashBidNoticeAbstractUI.aspx?menuIndex=3&amp;refID=7038165&amp;Result=3","7038165")</f>
        <v>0</v>
      </c>
      <c r="B4623" t="s">
        <v>1582</v>
      </c>
      <c r="C4623" t="s">
        <v>7099</v>
      </c>
      <c r="D4623" t="s">
        <v>13066</v>
      </c>
      <c r="E4623" t="s">
        <v>14018</v>
      </c>
      <c r="F4623" t="s">
        <v>22436</v>
      </c>
      <c r="G4623" t="s">
        <v>22444</v>
      </c>
      <c r="H4623" t="s">
        <v>22452</v>
      </c>
      <c r="I4623" t="s">
        <v>22474</v>
      </c>
      <c r="J4623" t="s">
        <v>25617</v>
      </c>
      <c r="K4623" t="s">
        <v>29333</v>
      </c>
      <c r="M4623" t="s">
        <v>31264</v>
      </c>
      <c r="N4623" t="s">
        <v>32524</v>
      </c>
      <c r="O4623" t="s">
        <v>32525</v>
      </c>
      <c r="P4623">
        <v>0</v>
      </c>
      <c r="Q4623">
        <v>0</v>
      </c>
      <c r="R4623" t="s">
        <v>32531</v>
      </c>
      <c r="S4623" t="s">
        <v>32586</v>
      </c>
      <c r="T4623" t="s">
        <v>33185</v>
      </c>
      <c r="U4623" t="s">
        <v>37510</v>
      </c>
      <c r="W4623" t="s">
        <v>31264</v>
      </c>
      <c r="X4623" t="s">
        <v>32532</v>
      </c>
    </row>
    <row r="4624" spans="1:24">
      <c r="A4624">
        <f>HYPERLINK("https://www.philgeps.gov.ph/GEPSNONPILOT/Tender/SplashBidNoticeAbstractUI.aspx?menuIndex=3&amp;refID=7037568&amp;Result=3","7037568")</f>
        <v>0</v>
      </c>
      <c r="B4624" t="s">
        <v>1025</v>
      </c>
      <c r="C4624" t="s">
        <v>7100</v>
      </c>
      <c r="D4624" t="s">
        <v>13022</v>
      </c>
      <c r="E4624" t="s">
        <v>17222</v>
      </c>
      <c r="F4624" t="s">
        <v>22436</v>
      </c>
      <c r="G4624" t="s">
        <v>22444</v>
      </c>
      <c r="H4624" t="s">
        <v>22454</v>
      </c>
      <c r="I4624" t="s">
        <v>7738</v>
      </c>
      <c r="J4624" t="s">
        <v>25618</v>
      </c>
      <c r="K4624" t="s">
        <v>29333</v>
      </c>
      <c r="M4624" t="s">
        <v>30654</v>
      </c>
      <c r="N4624" t="s">
        <v>32524</v>
      </c>
      <c r="O4624" t="s">
        <v>32525</v>
      </c>
      <c r="P4624">
        <v>0</v>
      </c>
      <c r="Q4624">
        <v>0</v>
      </c>
      <c r="R4624" t="s">
        <v>32531</v>
      </c>
      <c r="S4624" t="s">
        <v>32586</v>
      </c>
      <c r="T4624" t="s">
        <v>33380</v>
      </c>
      <c r="U4624" t="s">
        <v>37511</v>
      </c>
      <c r="W4624" t="s">
        <v>30654</v>
      </c>
      <c r="X4624" t="s">
        <v>32533</v>
      </c>
    </row>
    <row r="4625" spans="1:24">
      <c r="A4625">
        <f>HYPERLINK("https://www.philgeps.gov.ph/GEPSNONPILOT/Tender/SplashBidNoticeAbstractUI.aspx?menuIndex=3&amp;refID=7038152&amp;Result=3","7038152")</f>
        <v>0</v>
      </c>
      <c r="B4625" t="s">
        <v>1584</v>
      </c>
      <c r="C4625" t="s">
        <v>7101</v>
      </c>
      <c r="D4625" t="s">
        <v>13033</v>
      </c>
      <c r="E4625" t="s">
        <v>17223</v>
      </c>
      <c r="F4625" t="s">
        <v>22436</v>
      </c>
      <c r="G4625" t="s">
        <v>22444</v>
      </c>
      <c r="H4625" t="s">
        <v>22454</v>
      </c>
      <c r="I4625" t="s">
        <v>7738</v>
      </c>
      <c r="J4625" t="s">
        <v>22640</v>
      </c>
      <c r="K4625" t="s">
        <v>29335</v>
      </c>
      <c r="M4625" t="s">
        <v>31266</v>
      </c>
      <c r="N4625" t="s">
        <v>32524</v>
      </c>
      <c r="O4625" t="s">
        <v>32525</v>
      </c>
      <c r="P4625">
        <v>0</v>
      </c>
      <c r="Q4625">
        <v>0</v>
      </c>
      <c r="R4625" t="s">
        <v>32531</v>
      </c>
      <c r="S4625" t="s">
        <v>32586</v>
      </c>
      <c r="T4625" t="s">
        <v>33261</v>
      </c>
      <c r="U4625" t="s">
        <v>37512</v>
      </c>
      <c r="W4625" t="s">
        <v>31266</v>
      </c>
      <c r="X4625" t="s">
        <v>32533</v>
      </c>
    </row>
    <row r="4626" spans="1:24">
      <c r="A4626">
        <f>HYPERLINK("https://www.philgeps.gov.ph/GEPSNONPILOT/Tender/SplashBidNoticeAbstractUI.aspx?menuIndex=3&amp;refID=7038183&amp;Result=3","7038183")</f>
        <v>0</v>
      </c>
      <c r="B4626" t="s">
        <v>771</v>
      </c>
      <c r="C4626" t="s">
        <v>7102</v>
      </c>
      <c r="D4626" t="s">
        <v>13012</v>
      </c>
      <c r="E4626" t="s">
        <v>17224</v>
      </c>
      <c r="F4626" t="s">
        <v>22436</v>
      </c>
      <c r="G4626" t="s">
        <v>22444</v>
      </c>
      <c r="H4626" t="s">
        <v>22452</v>
      </c>
      <c r="I4626" t="s">
        <v>22484</v>
      </c>
      <c r="J4626" t="s">
        <v>25619</v>
      </c>
      <c r="K4626" t="s">
        <v>29338</v>
      </c>
      <c r="M4626" t="s">
        <v>30372</v>
      </c>
      <c r="N4626" t="s">
        <v>32524</v>
      </c>
      <c r="O4626" t="s">
        <v>32525</v>
      </c>
      <c r="P4626">
        <v>0</v>
      </c>
      <c r="Q4626">
        <v>8</v>
      </c>
      <c r="R4626" t="s">
        <v>32531</v>
      </c>
      <c r="S4626" t="s">
        <v>32586</v>
      </c>
      <c r="T4626" t="s">
        <v>33310</v>
      </c>
      <c r="U4626" t="s">
        <v>35268</v>
      </c>
      <c r="W4626" t="s">
        <v>30372</v>
      </c>
      <c r="X4626" t="s">
        <v>32532</v>
      </c>
    </row>
    <row r="4627" spans="1:24">
      <c r="A4627">
        <f>HYPERLINK("https://www.philgeps.gov.ph/GEPSNONPILOT/Tender/SplashBidNoticeAbstractUI.aspx?menuIndex=3&amp;refID=7038163&amp;Result=3","7038163")</f>
        <v>0</v>
      </c>
      <c r="B4627" t="s">
        <v>1585</v>
      </c>
      <c r="C4627" t="s">
        <v>7103</v>
      </c>
      <c r="D4627" t="s">
        <v>13039</v>
      </c>
      <c r="E4627" t="s">
        <v>17225</v>
      </c>
      <c r="F4627" t="s">
        <v>22436</v>
      </c>
      <c r="G4627" t="s">
        <v>22444</v>
      </c>
      <c r="H4627" t="s">
        <v>22452</v>
      </c>
      <c r="I4627" t="s">
        <v>3529</v>
      </c>
      <c r="J4627" t="s">
        <v>25620</v>
      </c>
      <c r="K4627" t="s">
        <v>29342</v>
      </c>
      <c r="M4627" t="s">
        <v>31267</v>
      </c>
      <c r="N4627" t="s">
        <v>32524</v>
      </c>
      <c r="O4627" t="s">
        <v>32525</v>
      </c>
      <c r="P4627">
        <v>0</v>
      </c>
      <c r="Q4627">
        <v>0</v>
      </c>
      <c r="R4627" t="s">
        <v>32531</v>
      </c>
      <c r="S4627" t="s">
        <v>32586</v>
      </c>
      <c r="T4627" t="s">
        <v>33211</v>
      </c>
      <c r="U4627" t="s">
        <v>37513</v>
      </c>
      <c r="W4627" t="s">
        <v>31267</v>
      </c>
      <c r="X4627" t="s">
        <v>32532</v>
      </c>
    </row>
    <row r="4628" spans="1:24">
      <c r="A4628">
        <f>HYPERLINK("https://www.philgeps.gov.ph/GEPSNONPILOT/Tender/SplashBidNoticeAbstractUI.aspx?menuIndex=3&amp;refID=7038181&amp;Result=3","7038181")</f>
        <v>0</v>
      </c>
      <c r="B4628" t="s">
        <v>771</v>
      </c>
      <c r="C4628" t="s">
        <v>7104</v>
      </c>
      <c r="D4628" t="s">
        <v>13012</v>
      </c>
      <c r="E4628" t="s">
        <v>17226</v>
      </c>
      <c r="F4628" t="s">
        <v>22436</v>
      </c>
      <c r="G4628" t="s">
        <v>22447</v>
      </c>
      <c r="H4628" t="s">
        <v>22452</v>
      </c>
      <c r="I4628" t="s">
        <v>6421</v>
      </c>
      <c r="J4628" t="s">
        <v>25621</v>
      </c>
      <c r="K4628" t="s">
        <v>29338</v>
      </c>
      <c r="M4628" t="s">
        <v>30372</v>
      </c>
      <c r="N4628" t="s">
        <v>32524</v>
      </c>
      <c r="O4628" t="s">
        <v>32525</v>
      </c>
      <c r="P4628">
        <v>0</v>
      </c>
      <c r="Q4628">
        <v>5</v>
      </c>
      <c r="R4628" t="s">
        <v>32531</v>
      </c>
      <c r="S4628" t="s">
        <v>32586</v>
      </c>
      <c r="T4628" t="s">
        <v>33310</v>
      </c>
      <c r="U4628" t="s">
        <v>35268</v>
      </c>
      <c r="W4628" t="s">
        <v>30372</v>
      </c>
      <c r="X4628" t="s">
        <v>32532</v>
      </c>
    </row>
    <row r="4629" spans="1:24">
      <c r="A4629">
        <f>HYPERLINK("https://www.philgeps.gov.ph/GEPSNONPILOT/Tender/SplashBidNoticeAbstractUI.aspx?menuIndex=3&amp;refID=7038185&amp;Result=3","7038185")</f>
        <v>0</v>
      </c>
      <c r="B4629" t="s">
        <v>771</v>
      </c>
      <c r="C4629" t="s">
        <v>7105</v>
      </c>
      <c r="D4629" t="s">
        <v>13012</v>
      </c>
      <c r="E4629" t="s">
        <v>17227</v>
      </c>
      <c r="F4629" t="s">
        <v>22436</v>
      </c>
      <c r="G4629" t="s">
        <v>22444</v>
      </c>
      <c r="H4629" t="s">
        <v>22452</v>
      </c>
      <c r="I4629" t="s">
        <v>22463</v>
      </c>
      <c r="J4629" t="s">
        <v>25622</v>
      </c>
      <c r="K4629" t="s">
        <v>29338</v>
      </c>
      <c r="M4629" t="s">
        <v>30372</v>
      </c>
      <c r="N4629" t="s">
        <v>32524</v>
      </c>
      <c r="O4629" t="s">
        <v>32525</v>
      </c>
      <c r="P4629">
        <v>0</v>
      </c>
      <c r="Q4629">
        <v>9</v>
      </c>
      <c r="R4629" t="s">
        <v>32531</v>
      </c>
      <c r="S4629" t="s">
        <v>32586</v>
      </c>
      <c r="T4629" t="s">
        <v>33310</v>
      </c>
      <c r="U4629" t="s">
        <v>35268</v>
      </c>
      <c r="W4629" t="s">
        <v>30372</v>
      </c>
      <c r="X4629" t="s">
        <v>32532</v>
      </c>
    </row>
    <row r="4630" spans="1:24">
      <c r="A4630">
        <f>HYPERLINK("https://www.philgeps.gov.ph/GEPSNONPILOT/Tender/SplashBidNoticeAbstractUI.aspx?menuIndex=3&amp;refID=7038199&amp;Result=3","7038199")</f>
        <v>0</v>
      </c>
      <c r="B4630" t="s">
        <v>1586</v>
      </c>
      <c r="C4630" t="s">
        <v>7106</v>
      </c>
      <c r="E4630" t="s">
        <v>17228</v>
      </c>
      <c r="F4630" t="s">
        <v>22436</v>
      </c>
      <c r="G4630" t="s">
        <v>22444</v>
      </c>
      <c r="H4630" t="s">
        <v>22452</v>
      </c>
      <c r="I4630" t="s">
        <v>22474</v>
      </c>
      <c r="J4630" t="s">
        <v>25623</v>
      </c>
      <c r="K4630" t="s">
        <v>29338</v>
      </c>
      <c r="M4630" t="s">
        <v>31268</v>
      </c>
      <c r="N4630" t="s">
        <v>32524</v>
      </c>
      <c r="O4630" t="s">
        <v>32525</v>
      </c>
      <c r="P4630">
        <v>0</v>
      </c>
      <c r="Q4630">
        <v>5</v>
      </c>
      <c r="R4630" t="s">
        <v>32531</v>
      </c>
      <c r="S4630" t="s">
        <v>32586</v>
      </c>
      <c r="T4630" t="s">
        <v>33440</v>
      </c>
      <c r="U4630" t="s">
        <v>37514</v>
      </c>
      <c r="W4630" t="s">
        <v>31268</v>
      </c>
      <c r="X4630" t="s">
        <v>32532</v>
      </c>
    </row>
    <row r="4631" spans="1:24">
      <c r="A4631">
        <f>HYPERLINK("https://www.philgeps.gov.ph/GEPSNONPILOT/Tender/SplashBidNoticeAbstractUI.aspx?menuIndex=3&amp;refID=7038184&amp;Result=3","7038184")</f>
        <v>0</v>
      </c>
      <c r="B4631" t="s">
        <v>1024</v>
      </c>
      <c r="C4631" t="s">
        <v>7107</v>
      </c>
      <c r="D4631" t="s">
        <v>12988</v>
      </c>
      <c r="E4631" t="s">
        <v>17229</v>
      </c>
      <c r="F4631" t="s">
        <v>22436</v>
      </c>
      <c r="G4631" t="s">
        <v>22443</v>
      </c>
      <c r="H4631" t="s">
        <v>22452</v>
      </c>
      <c r="I4631" t="s">
        <v>22469</v>
      </c>
      <c r="J4631" t="s">
        <v>25624</v>
      </c>
      <c r="K4631" t="s">
        <v>29338</v>
      </c>
      <c r="M4631" t="s">
        <v>31269</v>
      </c>
      <c r="N4631" t="s">
        <v>32524</v>
      </c>
      <c r="O4631" t="s">
        <v>32525</v>
      </c>
      <c r="P4631">
        <v>0</v>
      </c>
      <c r="Q4631">
        <v>7</v>
      </c>
      <c r="R4631" t="s">
        <v>32531</v>
      </c>
      <c r="S4631" t="s">
        <v>32586</v>
      </c>
      <c r="T4631" t="s">
        <v>33459</v>
      </c>
      <c r="U4631" t="s">
        <v>37515</v>
      </c>
      <c r="W4631" t="s">
        <v>31269</v>
      </c>
      <c r="X4631" t="s">
        <v>32532</v>
      </c>
    </row>
    <row r="4632" spans="1:24">
      <c r="A4632">
        <f>HYPERLINK("https://www.philgeps.gov.ph/GEPSNONPILOT/Tender/SplashBidNoticeAbstractUI.aspx?menuIndex=3&amp;refID=7038187&amp;Result=3","7038187")</f>
        <v>0</v>
      </c>
      <c r="B4632" t="s">
        <v>771</v>
      </c>
      <c r="C4632" t="s">
        <v>7108</v>
      </c>
      <c r="D4632" t="s">
        <v>13012</v>
      </c>
      <c r="E4632" t="s">
        <v>17230</v>
      </c>
      <c r="F4632" t="s">
        <v>22436</v>
      </c>
      <c r="G4632" t="s">
        <v>22444</v>
      </c>
      <c r="H4632" t="s">
        <v>22452</v>
      </c>
      <c r="I4632" t="s">
        <v>22463</v>
      </c>
      <c r="J4632" t="s">
        <v>25625</v>
      </c>
      <c r="K4632" t="s">
        <v>29338</v>
      </c>
      <c r="M4632" t="s">
        <v>30372</v>
      </c>
      <c r="N4632" t="s">
        <v>32524</v>
      </c>
      <c r="O4632" t="s">
        <v>32525</v>
      </c>
      <c r="P4632">
        <v>0</v>
      </c>
      <c r="Q4632">
        <v>9</v>
      </c>
      <c r="R4632" t="s">
        <v>32531</v>
      </c>
      <c r="S4632" t="s">
        <v>32586</v>
      </c>
      <c r="T4632" t="s">
        <v>33310</v>
      </c>
      <c r="U4632" t="s">
        <v>35268</v>
      </c>
      <c r="W4632" t="s">
        <v>30372</v>
      </c>
      <c r="X4632" t="s">
        <v>32532</v>
      </c>
    </row>
    <row r="4633" spans="1:24">
      <c r="A4633">
        <f>HYPERLINK("https://www.philgeps.gov.ph/GEPSNONPILOT/Tender/SplashBidNoticeAbstractUI.aspx?menuIndex=3&amp;refID=7038176&amp;Result=3","7038176")</f>
        <v>0</v>
      </c>
      <c r="B4633" t="s">
        <v>771</v>
      </c>
      <c r="C4633" t="s">
        <v>7109</v>
      </c>
      <c r="D4633" t="s">
        <v>13012</v>
      </c>
      <c r="E4633" t="s">
        <v>17231</v>
      </c>
      <c r="F4633" t="s">
        <v>22436</v>
      </c>
      <c r="G4633" t="s">
        <v>22444</v>
      </c>
      <c r="H4633" t="s">
        <v>22452</v>
      </c>
      <c r="I4633" t="s">
        <v>6421</v>
      </c>
      <c r="J4633" t="s">
        <v>25626</v>
      </c>
      <c r="K4633" t="s">
        <v>29338</v>
      </c>
      <c r="M4633" t="s">
        <v>30372</v>
      </c>
      <c r="N4633" t="s">
        <v>32524</v>
      </c>
      <c r="O4633" t="s">
        <v>32525</v>
      </c>
      <c r="P4633">
        <v>0</v>
      </c>
      <c r="Q4633">
        <v>5</v>
      </c>
      <c r="R4633" t="s">
        <v>32531</v>
      </c>
      <c r="S4633" t="s">
        <v>32586</v>
      </c>
      <c r="T4633" t="s">
        <v>33310</v>
      </c>
      <c r="U4633" t="s">
        <v>35268</v>
      </c>
      <c r="W4633" t="s">
        <v>30372</v>
      </c>
      <c r="X4633" t="s">
        <v>32532</v>
      </c>
    </row>
    <row r="4634" spans="1:24">
      <c r="A4634">
        <f>HYPERLINK("https://www.philgeps.gov.ph/GEPSNONPILOT/Tender/SplashBidNoticeAbstractUI.aspx?menuIndex=3&amp;refID=7038197&amp;Result=3","7038197")</f>
        <v>0</v>
      </c>
      <c r="B4634" t="s">
        <v>242</v>
      </c>
      <c r="C4634" t="s">
        <v>7110</v>
      </c>
      <c r="D4634" t="s">
        <v>13039</v>
      </c>
      <c r="E4634" t="s">
        <v>17232</v>
      </c>
      <c r="F4634" t="s">
        <v>22437</v>
      </c>
      <c r="G4634" t="s">
        <v>22446</v>
      </c>
      <c r="H4634" t="s">
        <v>22452</v>
      </c>
      <c r="I4634" t="s">
        <v>7110</v>
      </c>
      <c r="J4634" t="s">
        <v>22989</v>
      </c>
      <c r="K4634" t="s">
        <v>29331</v>
      </c>
      <c r="M4634" t="s">
        <v>29816</v>
      </c>
      <c r="N4634" t="s">
        <v>32524</v>
      </c>
      <c r="O4634" t="s">
        <v>32525</v>
      </c>
      <c r="P4634">
        <v>0</v>
      </c>
      <c r="Q4634">
        <v>2</v>
      </c>
      <c r="R4634" t="s">
        <v>32531</v>
      </c>
      <c r="S4634" t="s">
        <v>32586</v>
      </c>
      <c r="T4634" t="s">
        <v>33211</v>
      </c>
      <c r="U4634" t="s">
        <v>37516</v>
      </c>
      <c r="W4634" t="s">
        <v>29816</v>
      </c>
      <c r="X4634" t="s">
        <v>32532</v>
      </c>
    </row>
    <row r="4635" spans="1:24">
      <c r="A4635">
        <f>HYPERLINK("https://www.philgeps.gov.ph/GEPSNONPILOT/Tender/SplashBidNoticeAbstractUI.aspx?menuIndex=3&amp;refID=7038175&amp;Result=3","7038175")</f>
        <v>0</v>
      </c>
      <c r="B4635" t="s">
        <v>1587</v>
      </c>
      <c r="C4635" t="s">
        <v>7111</v>
      </c>
      <c r="D4635" t="s">
        <v>13056</v>
      </c>
      <c r="E4635" t="s">
        <v>13182</v>
      </c>
      <c r="F4635" t="s">
        <v>22436</v>
      </c>
      <c r="G4635" t="s">
        <v>22444</v>
      </c>
      <c r="H4635" t="s">
        <v>22452</v>
      </c>
      <c r="I4635" t="s">
        <v>3529</v>
      </c>
      <c r="J4635" t="s">
        <v>25223</v>
      </c>
      <c r="K4635" t="s">
        <v>29331</v>
      </c>
      <c r="M4635" t="s">
        <v>31270</v>
      </c>
      <c r="N4635" t="s">
        <v>32524</v>
      </c>
      <c r="O4635" t="s">
        <v>32525</v>
      </c>
      <c r="P4635">
        <v>0</v>
      </c>
      <c r="Q4635">
        <v>0</v>
      </c>
      <c r="R4635" t="s">
        <v>32531</v>
      </c>
      <c r="S4635" t="s">
        <v>32586</v>
      </c>
      <c r="T4635" t="s">
        <v>33167</v>
      </c>
      <c r="U4635" t="s">
        <v>37517</v>
      </c>
      <c r="W4635" t="s">
        <v>31270</v>
      </c>
      <c r="X4635" t="s">
        <v>32532</v>
      </c>
    </row>
    <row r="4636" spans="1:24">
      <c r="A4636">
        <f>HYPERLINK("https://www.philgeps.gov.ph/GEPSNONPILOT/Tender/SplashBidNoticeAbstractUI.aspx?menuIndex=3&amp;refID=7038196&amp;Result=3","7038196")</f>
        <v>0</v>
      </c>
      <c r="B4636" t="s">
        <v>1024</v>
      </c>
      <c r="C4636" t="s">
        <v>7112</v>
      </c>
      <c r="D4636" t="s">
        <v>12988</v>
      </c>
      <c r="E4636" t="s">
        <v>17233</v>
      </c>
      <c r="F4636" t="s">
        <v>22436</v>
      </c>
      <c r="G4636" t="s">
        <v>22443</v>
      </c>
      <c r="H4636" t="s">
        <v>22452</v>
      </c>
      <c r="I4636" t="s">
        <v>22482</v>
      </c>
      <c r="J4636" t="s">
        <v>22860</v>
      </c>
      <c r="K4636" t="s">
        <v>29338</v>
      </c>
      <c r="M4636" t="s">
        <v>31269</v>
      </c>
      <c r="N4636" t="s">
        <v>32524</v>
      </c>
      <c r="O4636" t="s">
        <v>32525</v>
      </c>
      <c r="P4636">
        <v>0</v>
      </c>
      <c r="Q4636">
        <v>11</v>
      </c>
      <c r="R4636" t="s">
        <v>32531</v>
      </c>
      <c r="S4636" t="s">
        <v>32586</v>
      </c>
      <c r="T4636" t="s">
        <v>33459</v>
      </c>
      <c r="U4636" t="s">
        <v>37518</v>
      </c>
      <c r="W4636" t="s">
        <v>31269</v>
      </c>
      <c r="X4636" t="s">
        <v>32532</v>
      </c>
    </row>
    <row r="4637" spans="1:24">
      <c r="A4637">
        <f>HYPERLINK("https://www.philgeps.gov.ph/GEPSNONPILOT/Tender/SplashBidNoticeAbstractUI.aspx?menuIndex=3&amp;refID=7038209&amp;Result=3","7038209")</f>
        <v>0</v>
      </c>
      <c r="B4637" t="s">
        <v>771</v>
      </c>
      <c r="C4637" t="s">
        <v>7113</v>
      </c>
      <c r="D4637" t="s">
        <v>13012</v>
      </c>
      <c r="E4637" t="s">
        <v>17234</v>
      </c>
      <c r="F4637" t="s">
        <v>22436</v>
      </c>
      <c r="G4637" t="s">
        <v>22443</v>
      </c>
      <c r="H4637" t="s">
        <v>22452</v>
      </c>
      <c r="I4637" t="s">
        <v>12358</v>
      </c>
      <c r="J4637" t="s">
        <v>22874</v>
      </c>
      <c r="K4637" t="s">
        <v>29338</v>
      </c>
      <c r="M4637" t="s">
        <v>30372</v>
      </c>
      <c r="N4637" t="s">
        <v>32524</v>
      </c>
      <c r="O4637" t="s">
        <v>32525</v>
      </c>
      <c r="P4637">
        <v>0</v>
      </c>
      <c r="Q4637">
        <v>1</v>
      </c>
      <c r="R4637" t="s">
        <v>32531</v>
      </c>
      <c r="S4637" t="s">
        <v>32586</v>
      </c>
      <c r="T4637" t="s">
        <v>33310</v>
      </c>
      <c r="U4637" t="s">
        <v>35268</v>
      </c>
      <c r="W4637" t="s">
        <v>30372</v>
      </c>
      <c r="X4637" t="s">
        <v>32532</v>
      </c>
    </row>
    <row r="4638" spans="1:24">
      <c r="A4638">
        <f>HYPERLINK("https://www.philgeps.gov.ph/GEPSNONPILOT/Tender/SplashBidNoticeAbstractUI.aspx?menuIndex=3&amp;refID=7038179&amp;Result=3","7038179")</f>
        <v>0</v>
      </c>
      <c r="B4638" t="s">
        <v>1024</v>
      </c>
      <c r="C4638" t="s">
        <v>7114</v>
      </c>
      <c r="D4638" t="s">
        <v>12988</v>
      </c>
      <c r="E4638" t="s">
        <v>17235</v>
      </c>
      <c r="F4638" t="s">
        <v>22436</v>
      </c>
      <c r="G4638" t="s">
        <v>22443</v>
      </c>
      <c r="H4638" t="s">
        <v>22452</v>
      </c>
      <c r="I4638" t="s">
        <v>11896</v>
      </c>
      <c r="J4638" t="s">
        <v>22874</v>
      </c>
      <c r="K4638" t="s">
        <v>29338</v>
      </c>
      <c r="M4638" t="s">
        <v>31269</v>
      </c>
      <c r="N4638" t="s">
        <v>32524</v>
      </c>
      <c r="O4638" t="s">
        <v>32525</v>
      </c>
      <c r="P4638">
        <v>0</v>
      </c>
      <c r="Q4638">
        <v>16</v>
      </c>
      <c r="R4638" t="s">
        <v>32531</v>
      </c>
      <c r="S4638" t="s">
        <v>32586</v>
      </c>
      <c r="T4638" t="s">
        <v>33459</v>
      </c>
      <c r="U4638" t="s">
        <v>37519</v>
      </c>
      <c r="W4638" t="s">
        <v>31269</v>
      </c>
      <c r="X4638" t="s">
        <v>32532</v>
      </c>
    </row>
    <row r="4639" spans="1:24">
      <c r="A4639">
        <f>HYPERLINK("https://www.philgeps.gov.ph/GEPSNONPILOT/Tender/SplashBidNoticeAbstractUI.aspx?menuIndex=3&amp;refID=7038205&amp;Result=3","7038205")</f>
        <v>0</v>
      </c>
      <c r="B4639" t="s">
        <v>1588</v>
      </c>
      <c r="C4639" t="s">
        <v>7115</v>
      </c>
      <c r="D4639" t="s">
        <v>13034</v>
      </c>
      <c r="E4639" t="s">
        <v>15820</v>
      </c>
      <c r="F4639" t="s">
        <v>22436</v>
      </c>
      <c r="G4639" t="s">
        <v>22444</v>
      </c>
      <c r="H4639" t="s">
        <v>22454</v>
      </c>
      <c r="I4639" t="s">
        <v>7738</v>
      </c>
      <c r="J4639" t="s">
        <v>25627</v>
      </c>
      <c r="K4639" t="s">
        <v>29345</v>
      </c>
      <c r="M4639" t="s">
        <v>31271</v>
      </c>
      <c r="N4639" t="s">
        <v>32524</v>
      </c>
      <c r="O4639" t="s">
        <v>32525</v>
      </c>
      <c r="P4639">
        <v>0</v>
      </c>
      <c r="Q4639">
        <v>0</v>
      </c>
      <c r="R4639" t="s">
        <v>32531</v>
      </c>
      <c r="S4639" t="s">
        <v>32586</v>
      </c>
      <c r="T4639" t="s">
        <v>33259</v>
      </c>
      <c r="U4639" t="s">
        <v>37520</v>
      </c>
      <c r="W4639" t="s">
        <v>31271</v>
      </c>
      <c r="X4639" t="s">
        <v>32532</v>
      </c>
    </row>
    <row r="4640" spans="1:24">
      <c r="A4640">
        <f>HYPERLINK("https://www.philgeps.gov.ph/GEPSNONPILOT/Tender/SplashBidNoticeAbstractUI.aspx?menuIndex=3&amp;refID=7038218&amp;Result=3","7038218")</f>
        <v>0</v>
      </c>
      <c r="B4640" t="s">
        <v>64</v>
      </c>
      <c r="C4640" t="s">
        <v>7116</v>
      </c>
      <c r="D4640" t="s">
        <v>13016</v>
      </c>
      <c r="E4640" t="s">
        <v>17236</v>
      </c>
      <c r="F4640" t="s">
        <v>22436</v>
      </c>
      <c r="G4640" t="s">
        <v>22446</v>
      </c>
      <c r="H4640" t="s">
        <v>22452</v>
      </c>
      <c r="I4640" t="s">
        <v>3529</v>
      </c>
      <c r="J4640" t="s">
        <v>23780</v>
      </c>
      <c r="K4640" t="s">
        <v>29329</v>
      </c>
      <c r="M4640" t="s">
        <v>29636</v>
      </c>
      <c r="N4640" t="s">
        <v>32524</v>
      </c>
      <c r="O4640" t="s">
        <v>32525</v>
      </c>
      <c r="P4640">
        <v>0</v>
      </c>
      <c r="Q4640">
        <v>0</v>
      </c>
      <c r="R4640" t="s">
        <v>32531</v>
      </c>
      <c r="S4640" t="s">
        <v>32586</v>
      </c>
      <c r="T4640" t="s">
        <v>33220</v>
      </c>
      <c r="U4640" t="s">
        <v>37521</v>
      </c>
      <c r="V4640" t="s">
        <v>42432</v>
      </c>
      <c r="W4640" t="s">
        <v>29636</v>
      </c>
      <c r="X4640" t="s">
        <v>32532</v>
      </c>
    </row>
    <row r="4641" spans="1:24">
      <c r="A4641">
        <f>HYPERLINK("https://www.philgeps.gov.ph/GEPSNONPILOT/Tender/SplashBidNoticeAbstractUI.aspx?menuIndex=3&amp;refID=7038220&amp;Result=3","7038220")</f>
        <v>0</v>
      </c>
      <c r="B4641" t="s">
        <v>1586</v>
      </c>
      <c r="C4641" t="s">
        <v>7117</v>
      </c>
      <c r="E4641" t="s">
        <v>17237</v>
      </c>
      <c r="F4641" t="s">
        <v>22436</v>
      </c>
      <c r="G4641" t="s">
        <v>22444</v>
      </c>
      <c r="H4641" t="s">
        <v>22452</v>
      </c>
      <c r="I4641" t="s">
        <v>6421</v>
      </c>
      <c r="J4641" t="s">
        <v>25628</v>
      </c>
      <c r="K4641" t="s">
        <v>29338</v>
      </c>
      <c r="M4641" t="s">
        <v>31268</v>
      </c>
      <c r="N4641" t="s">
        <v>32524</v>
      </c>
      <c r="O4641" t="s">
        <v>32525</v>
      </c>
      <c r="P4641">
        <v>0</v>
      </c>
      <c r="Q4641">
        <v>3</v>
      </c>
      <c r="R4641" t="s">
        <v>32531</v>
      </c>
      <c r="S4641" t="s">
        <v>32586</v>
      </c>
      <c r="T4641" t="s">
        <v>33440</v>
      </c>
      <c r="U4641" t="s">
        <v>37522</v>
      </c>
      <c r="W4641" t="s">
        <v>31268</v>
      </c>
      <c r="X4641" t="s">
        <v>32532</v>
      </c>
    </row>
    <row r="4642" spans="1:24">
      <c r="A4642">
        <f>HYPERLINK("https://www.philgeps.gov.ph/GEPSNONPILOT/Tender/SplashBidNoticeAbstractUI.aspx?menuIndex=3&amp;refID=7038208&amp;Result=3","7038208")</f>
        <v>0</v>
      </c>
      <c r="B4642" t="s">
        <v>1586</v>
      </c>
      <c r="C4642" t="s">
        <v>7118</v>
      </c>
      <c r="E4642" t="s">
        <v>17238</v>
      </c>
      <c r="F4642" t="s">
        <v>22436</v>
      </c>
      <c r="G4642" t="s">
        <v>22444</v>
      </c>
      <c r="H4642" t="s">
        <v>22452</v>
      </c>
      <c r="I4642" t="s">
        <v>22474</v>
      </c>
      <c r="J4642" t="s">
        <v>25629</v>
      </c>
      <c r="K4642" t="s">
        <v>29338</v>
      </c>
      <c r="M4642" t="s">
        <v>31268</v>
      </c>
      <c r="N4642" t="s">
        <v>32524</v>
      </c>
      <c r="O4642" t="s">
        <v>32525</v>
      </c>
      <c r="P4642">
        <v>0</v>
      </c>
      <c r="Q4642">
        <v>3</v>
      </c>
      <c r="R4642" t="s">
        <v>32531</v>
      </c>
      <c r="S4642" t="s">
        <v>32586</v>
      </c>
      <c r="T4642" t="s">
        <v>33440</v>
      </c>
      <c r="U4642" t="s">
        <v>37523</v>
      </c>
      <c r="W4642" t="s">
        <v>31268</v>
      </c>
      <c r="X4642" t="s">
        <v>32532</v>
      </c>
    </row>
    <row r="4643" spans="1:24">
      <c r="A4643">
        <f>HYPERLINK("https://www.philgeps.gov.ph/GEPSNONPILOT/Tender/SplashBidNoticeAbstractUI.aspx?menuIndex=3&amp;refID=7038203&amp;Result=3","7038203")</f>
        <v>0</v>
      </c>
      <c r="B4643" t="s">
        <v>771</v>
      </c>
      <c r="C4643" t="s">
        <v>7119</v>
      </c>
      <c r="D4643" t="s">
        <v>13012</v>
      </c>
      <c r="E4643" t="s">
        <v>17239</v>
      </c>
      <c r="F4643" t="s">
        <v>22436</v>
      </c>
      <c r="G4643" t="s">
        <v>22443</v>
      </c>
      <c r="H4643" t="s">
        <v>22452</v>
      </c>
      <c r="I4643" t="s">
        <v>22502</v>
      </c>
      <c r="J4643" t="s">
        <v>25630</v>
      </c>
      <c r="K4643" t="s">
        <v>29338</v>
      </c>
      <c r="M4643" t="s">
        <v>30372</v>
      </c>
      <c r="N4643" t="s">
        <v>32524</v>
      </c>
      <c r="O4643" t="s">
        <v>32525</v>
      </c>
      <c r="P4643">
        <v>0</v>
      </c>
      <c r="Q4643">
        <v>5</v>
      </c>
      <c r="R4643" t="s">
        <v>32531</v>
      </c>
      <c r="S4643" t="s">
        <v>32586</v>
      </c>
      <c r="T4643" t="s">
        <v>33310</v>
      </c>
      <c r="U4643" t="s">
        <v>35268</v>
      </c>
      <c r="W4643" t="s">
        <v>30372</v>
      </c>
      <c r="X4643" t="s">
        <v>32532</v>
      </c>
    </row>
    <row r="4644" spans="1:24">
      <c r="A4644">
        <f>HYPERLINK("https://www.philgeps.gov.ph/GEPSNONPILOT/Tender/SplashBidNoticeAbstractUI.aspx?menuIndex=3&amp;refID=7038210&amp;Result=3","7038210")</f>
        <v>0</v>
      </c>
      <c r="B4644" t="s">
        <v>1586</v>
      </c>
      <c r="C4644" t="s">
        <v>7120</v>
      </c>
      <c r="E4644" t="s">
        <v>17240</v>
      </c>
      <c r="F4644" t="s">
        <v>22436</v>
      </c>
      <c r="G4644" t="s">
        <v>22444</v>
      </c>
      <c r="H4644" t="s">
        <v>22452</v>
      </c>
      <c r="I4644" t="s">
        <v>3840</v>
      </c>
      <c r="J4644" t="s">
        <v>25631</v>
      </c>
      <c r="K4644" t="s">
        <v>29338</v>
      </c>
      <c r="M4644" t="s">
        <v>31268</v>
      </c>
      <c r="N4644" t="s">
        <v>32524</v>
      </c>
      <c r="O4644" t="s">
        <v>32525</v>
      </c>
      <c r="P4644">
        <v>0</v>
      </c>
      <c r="Q4644">
        <v>3</v>
      </c>
      <c r="R4644" t="s">
        <v>32531</v>
      </c>
      <c r="S4644" t="s">
        <v>32586</v>
      </c>
      <c r="T4644" t="s">
        <v>33440</v>
      </c>
      <c r="U4644" t="s">
        <v>37524</v>
      </c>
      <c r="W4644" t="s">
        <v>31268</v>
      </c>
      <c r="X4644" t="s">
        <v>32532</v>
      </c>
    </row>
    <row r="4645" spans="1:24">
      <c r="A4645">
        <f>HYPERLINK("https://www.philgeps.gov.ph/GEPSNONPILOT/Tender/SplashBidNoticeAbstractUI.aspx?menuIndex=3&amp;refID=7038230&amp;Result=3","7038230")</f>
        <v>0</v>
      </c>
      <c r="B4645" t="s">
        <v>1586</v>
      </c>
      <c r="C4645" t="s">
        <v>7121</v>
      </c>
      <c r="E4645" t="s">
        <v>17241</v>
      </c>
      <c r="F4645" t="s">
        <v>22436</v>
      </c>
      <c r="G4645" t="s">
        <v>22444</v>
      </c>
      <c r="H4645" t="s">
        <v>22452</v>
      </c>
      <c r="I4645" t="s">
        <v>3827</v>
      </c>
      <c r="J4645" t="s">
        <v>25632</v>
      </c>
      <c r="K4645" t="s">
        <v>29338</v>
      </c>
      <c r="M4645" t="s">
        <v>31268</v>
      </c>
      <c r="N4645" t="s">
        <v>32524</v>
      </c>
      <c r="O4645" t="s">
        <v>32525</v>
      </c>
      <c r="P4645">
        <v>0</v>
      </c>
      <c r="Q4645">
        <v>3</v>
      </c>
      <c r="R4645" t="s">
        <v>32531</v>
      </c>
      <c r="S4645" t="s">
        <v>32586</v>
      </c>
      <c r="T4645" t="s">
        <v>33440</v>
      </c>
      <c r="U4645" t="s">
        <v>37525</v>
      </c>
      <c r="W4645" t="s">
        <v>31268</v>
      </c>
      <c r="X4645" t="s">
        <v>32532</v>
      </c>
    </row>
    <row r="4646" spans="1:24">
      <c r="A4646">
        <f>HYPERLINK("https://www.philgeps.gov.ph/GEPSNONPILOT/Tender/SplashBidNoticeAbstractUI.aspx?menuIndex=3&amp;refID=7038214&amp;Result=3","7038214")</f>
        <v>0</v>
      </c>
      <c r="B4646" t="s">
        <v>1586</v>
      </c>
      <c r="C4646" t="s">
        <v>7122</v>
      </c>
      <c r="E4646" t="s">
        <v>17242</v>
      </c>
      <c r="F4646" t="s">
        <v>22436</v>
      </c>
      <c r="G4646" t="s">
        <v>22444</v>
      </c>
      <c r="H4646" t="s">
        <v>22452</v>
      </c>
      <c r="I4646" t="s">
        <v>22494</v>
      </c>
      <c r="J4646" t="s">
        <v>25633</v>
      </c>
      <c r="K4646" t="s">
        <v>29338</v>
      </c>
      <c r="M4646" t="s">
        <v>31268</v>
      </c>
      <c r="N4646" t="s">
        <v>32524</v>
      </c>
      <c r="O4646" t="s">
        <v>32525</v>
      </c>
      <c r="P4646">
        <v>0</v>
      </c>
      <c r="Q4646">
        <v>2</v>
      </c>
      <c r="R4646" t="s">
        <v>32531</v>
      </c>
      <c r="S4646" t="s">
        <v>32586</v>
      </c>
      <c r="T4646" t="s">
        <v>33440</v>
      </c>
      <c r="U4646" t="s">
        <v>37526</v>
      </c>
      <c r="W4646" t="s">
        <v>31268</v>
      </c>
      <c r="X4646" t="s">
        <v>32532</v>
      </c>
    </row>
    <row r="4647" spans="1:24">
      <c r="A4647">
        <f>HYPERLINK("https://www.philgeps.gov.ph/GEPSNONPILOT/Tender/SplashBidNoticeAbstractUI.aspx?menuIndex=3&amp;refID=7038234&amp;Result=3","7038234")</f>
        <v>0</v>
      </c>
      <c r="B4647" t="s">
        <v>399</v>
      </c>
      <c r="C4647" t="s">
        <v>7123</v>
      </c>
      <c r="D4647" t="s">
        <v>13025</v>
      </c>
      <c r="E4647" t="s">
        <v>17243</v>
      </c>
      <c r="F4647" t="s">
        <v>22436</v>
      </c>
      <c r="G4647" t="s">
        <v>22444</v>
      </c>
      <c r="H4647" t="s">
        <v>22452</v>
      </c>
      <c r="I4647" t="s">
        <v>6421</v>
      </c>
      <c r="J4647" t="s">
        <v>25634</v>
      </c>
      <c r="K4647" t="s">
        <v>29338</v>
      </c>
      <c r="M4647" t="s">
        <v>29978</v>
      </c>
      <c r="N4647" t="s">
        <v>32524</v>
      </c>
      <c r="O4647" t="s">
        <v>32525</v>
      </c>
      <c r="P4647">
        <v>0</v>
      </c>
      <c r="Q4647">
        <v>2</v>
      </c>
      <c r="R4647" t="s">
        <v>32531</v>
      </c>
      <c r="S4647" t="s">
        <v>32586</v>
      </c>
      <c r="T4647" t="s">
        <v>33186</v>
      </c>
      <c r="U4647" t="s">
        <v>37527</v>
      </c>
      <c r="W4647" t="s">
        <v>29978</v>
      </c>
      <c r="X4647" t="s">
        <v>32532</v>
      </c>
    </row>
    <row r="4648" spans="1:24">
      <c r="A4648">
        <f>HYPERLINK("https://www.philgeps.gov.ph/GEPSNONPILOT/Tender/SplashBidNoticeAbstractUI.aspx?menuIndex=3&amp;refID=7038235&amp;Result=3","7038235")</f>
        <v>0</v>
      </c>
      <c r="B4648" t="s">
        <v>1589</v>
      </c>
      <c r="C4648" t="s">
        <v>7124</v>
      </c>
      <c r="D4648" t="s">
        <v>13060</v>
      </c>
      <c r="E4648" t="s">
        <v>14890</v>
      </c>
      <c r="F4648" t="s">
        <v>22436</v>
      </c>
      <c r="G4648" t="s">
        <v>22444</v>
      </c>
      <c r="H4648" t="s">
        <v>22454</v>
      </c>
      <c r="I4648" t="s">
        <v>7738</v>
      </c>
      <c r="J4648" t="s">
        <v>25635</v>
      </c>
      <c r="K4648" t="s">
        <v>29333</v>
      </c>
      <c r="M4648" t="s">
        <v>31272</v>
      </c>
      <c r="N4648" t="s">
        <v>32524</v>
      </c>
      <c r="O4648" t="s">
        <v>32525</v>
      </c>
      <c r="P4648">
        <v>0</v>
      </c>
      <c r="Q4648">
        <v>2</v>
      </c>
      <c r="R4648" t="s">
        <v>32531</v>
      </c>
      <c r="S4648" t="s">
        <v>32586</v>
      </c>
      <c r="T4648" t="s">
        <v>33460</v>
      </c>
      <c r="U4648" t="s">
        <v>37528</v>
      </c>
      <c r="V4648" t="s">
        <v>42922</v>
      </c>
      <c r="W4648" t="s">
        <v>31272</v>
      </c>
      <c r="X4648" t="s">
        <v>32532</v>
      </c>
    </row>
    <row r="4649" spans="1:24">
      <c r="A4649">
        <f>HYPERLINK("https://www.philgeps.gov.ph/GEPSNONPILOT/Tender/SplashBidNoticeAbstractUI.aspx?menuIndex=3&amp;refID=7038222&amp;Result=3","7038222")</f>
        <v>0</v>
      </c>
      <c r="B4649" t="s">
        <v>399</v>
      </c>
      <c r="C4649" t="s">
        <v>7125</v>
      </c>
      <c r="D4649" t="s">
        <v>13025</v>
      </c>
      <c r="E4649" t="s">
        <v>17244</v>
      </c>
      <c r="F4649" t="s">
        <v>22436</v>
      </c>
      <c r="G4649" t="s">
        <v>22444</v>
      </c>
      <c r="H4649" t="s">
        <v>22452</v>
      </c>
      <c r="I4649" t="s">
        <v>6421</v>
      </c>
      <c r="J4649" t="s">
        <v>22669</v>
      </c>
      <c r="K4649" t="s">
        <v>29338</v>
      </c>
      <c r="M4649" t="s">
        <v>29978</v>
      </c>
      <c r="N4649" t="s">
        <v>32524</v>
      </c>
      <c r="O4649" t="s">
        <v>32525</v>
      </c>
      <c r="P4649">
        <v>0</v>
      </c>
      <c r="Q4649">
        <v>4</v>
      </c>
      <c r="R4649" t="s">
        <v>32531</v>
      </c>
      <c r="S4649" t="s">
        <v>32586</v>
      </c>
      <c r="T4649" t="s">
        <v>33461</v>
      </c>
      <c r="U4649" t="s">
        <v>37529</v>
      </c>
      <c r="W4649" t="s">
        <v>29978</v>
      </c>
      <c r="X4649" t="s">
        <v>32532</v>
      </c>
    </row>
    <row r="4650" spans="1:24">
      <c r="A4650">
        <f>HYPERLINK("https://www.philgeps.gov.ph/GEPSNONPILOT/Tender/SplashBidNoticeAbstractUI.aspx?menuIndex=3&amp;refID=7038240&amp;Result=3","7038240")</f>
        <v>0</v>
      </c>
      <c r="B4650" t="s">
        <v>771</v>
      </c>
      <c r="C4650" t="s">
        <v>7126</v>
      </c>
      <c r="D4650" t="s">
        <v>13012</v>
      </c>
      <c r="E4650" t="s">
        <v>17245</v>
      </c>
      <c r="F4650" t="s">
        <v>22436</v>
      </c>
      <c r="G4650" t="s">
        <v>22443</v>
      </c>
      <c r="H4650" t="s">
        <v>22452</v>
      </c>
      <c r="I4650" t="s">
        <v>12358</v>
      </c>
      <c r="J4650" t="s">
        <v>25636</v>
      </c>
      <c r="K4650" t="s">
        <v>29338</v>
      </c>
      <c r="M4650" t="s">
        <v>30372</v>
      </c>
      <c r="N4650" t="s">
        <v>32524</v>
      </c>
      <c r="O4650" t="s">
        <v>32525</v>
      </c>
      <c r="P4650">
        <v>0</v>
      </c>
      <c r="Q4650">
        <v>0</v>
      </c>
      <c r="R4650" t="s">
        <v>32531</v>
      </c>
      <c r="S4650" t="s">
        <v>32586</v>
      </c>
      <c r="T4650" t="s">
        <v>33310</v>
      </c>
      <c r="U4650" t="s">
        <v>35268</v>
      </c>
      <c r="W4650" t="s">
        <v>30372</v>
      </c>
      <c r="X4650" t="s">
        <v>32532</v>
      </c>
    </row>
    <row r="4651" spans="1:24">
      <c r="A4651">
        <f>HYPERLINK("https://www.philgeps.gov.ph/GEPSNONPILOT/Tender/SplashBidNoticeAbstractUI.aspx?menuIndex=3&amp;refID=7038241&amp;Result=3","7038241")</f>
        <v>0</v>
      </c>
      <c r="B4651" t="s">
        <v>399</v>
      </c>
      <c r="C4651" t="s">
        <v>7127</v>
      </c>
      <c r="D4651" t="s">
        <v>13025</v>
      </c>
      <c r="E4651" t="s">
        <v>17246</v>
      </c>
      <c r="F4651" t="s">
        <v>22436</v>
      </c>
      <c r="G4651" t="s">
        <v>22444</v>
      </c>
      <c r="H4651" t="s">
        <v>22452</v>
      </c>
      <c r="I4651" t="s">
        <v>22484</v>
      </c>
      <c r="J4651" t="s">
        <v>23883</v>
      </c>
      <c r="K4651" t="s">
        <v>29338</v>
      </c>
      <c r="M4651" t="s">
        <v>29978</v>
      </c>
      <c r="N4651" t="s">
        <v>32524</v>
      </c>
      <c r="O4651" t="s">
        <v>32525</v>
      </c>
      <c r="P4651">
        <v>0</v>
      </c>
      <c r="Q4651">
        <v>4</v>
      </c>
      <c r="R4651" t="s">
        <v>32531</v>
      </c>
      <c r="S4651" t="s">
        <v>32586</v>
      </c>
      <c r="T4651" t="s">
        <v>33186</v>
      </c>
      <c r="U4651" t="s">
        <v>37530</v>
      </c>
      <c r="W4651" t="s">
        <v>29978</v>
      </c>
      <c r="X4651" t="s">
        <v>32532</v>
      </c>
    </row>
    <row r="4652" spans="1:24">
      <c r="A4652">
        <f>HYPERLINK("https://www.philgeps.gov.ph/GEPSNONPILOT/Tender/SplashBidNoticeAbstractUI.aspx?menuIndex=3&amp;refID=7038237&amp;Result=3","7038237")</f>
        <v>0</v>
      </c>
      <c r="B4652" t="s">
        <v>1590</v>
      </c>
      <c r="C4652" t="s">
        <v>7128</v>
      </c>
      <c r="E4652" t="s">
        <v>7128</v>
      </c>
      <c r="F4652" t="s">
        <v>22436</v>
      </c>
      <c r="G4652" t="s">
        <v>22444</v>
      </c>
      <c r="H4652" t="s">
        <v>22454</v>
      </c>
      <c r="I4652" t="s">
        <v>7738</v>
      </c>
      <c r="J4652" t="s">
        <v>25637</v>
      </c>
      <c r="K4652" t="s">
        <v>29338</v>
      </c>
      <c r="M4652" t="s">
        <v>31273</v>
      </c>
      <c r="N4652" t="s">
        <v>32524</v>
      </c>
      <c r="O4652" t="s">
        <v>32525</v>
      </c>
      <c r="P4652">
        <v>0</v>
      </c>
      <c r="Q4652">
        <v>1</v>
      </c>
      <c r="R4652" t="s">
        <v>32531</v>
      </c>
      <c r="S4652" t="s">
        <v>32586</v>
      </c>
      <c r="T4652" t="s">
        <v>33154</v>
      </c>
      <c r="U4652" t="s">
        <v>37531</v>
      </c>
      <c r="W4652" t="s">
        <v>31273</v>
      </c>
      <c r="X4652" t="s">
        <v>32532</v>
      </c>
    </row>
    <row r="4653" spans="1:24">
      <c r="A4653">
        <f>HYPERLINK("https://www.philgeps.gov.ph/GEPSNONPILOT/Tender/SplashBidNoticeAbstractUI.aspx?menuIndex=3&amp;refID=7038223&amp;Result=3","7038223")</f>
        <v>0</v>
      </c>
      <c r="B4653" t="s">
        <v>1591</v>
      </c>
      <c r="C4653" t="s">
        <v>7129</v>
      </c>
      <c r="D4653" t="s">
        <v>12999</v>
      </c>
      <c r="E4653" t="s">
        <v>13487</v>
      </c>
      <c r="F4653" t="s">
        <v>22436</v>
      </c>
      <c r="G4653" t="s">
        <v>22444</v>
      </c>
      <c r="H4653" t="s">
        <v>22452</v>
      </c>
      <c r="I4653" t="s">
        <v>22474</v>
      </c>
      <c r="J4653" t="s">
        <v>22617</v>
      </c>
      <c r="K4653" t="s">
        <v>29335</v>
      </c>
      <c r="M4653" t="s">
        <v>31274</v>
      </c>
      <c r="N4653" t="s">
        <v>32524</v>
      </c>
      <c r="O4653" t="s">
        <v>32525</v>
      </c>
      <c r="P4653">
        <v>0</v>
      </c>
      <c r="Q4653">
        <v>0</v>
      </c>
      <c r="R4653" t="s">
        <v>32531</v>
      </c>
      <c r="S4653" t="s">
        <v>32586</v>
      </c>
      <c r="T4653" t="s">
        <v>33175</v>
      </c>
      <c r="U4653" t="s">
        <v>37532</v>
      </c>
      <c r="W4653" t="s">
        <v>31274</v>
      </c>
      <c r="X4653" t="s">
        <v>32532</v>
      </c>
    </row>
    <row r="4654" spans="1:24">
      <c r="A4654">
        <f>HYPERLINK("https://www.philgeps.gov.ph/GEPSNONPILOT/Tender/SplashBidNoticeAbstractUI.aspx?menuIndex=3&amp;refID=7038236&amp;Result=3","7038236")</f>
        <v>0</v>
      </c>
      <c r="B4654" t="s">
        <v>1586</v>
      </c>
      <c r="C4654" t="s">
        <v>7130</v>
      </c>
      <c r="E4654" t="s">
        <v>17247</v>
      </c>
      <c r="F4654" t="s">
        <v>22436</v>
      </c>
      <c r="G4654" t="s">
        <v>22444</v>
      </c>
      <c r="H4654" t="s">
        <v>22452</v>
      </c>
      <c r="I4654" t="s">
        <v>11896</v>
      </c>
      <c r="J4654" t="s">
        <v>25638</v>
      </c>
      <c r="K4654" t="s">
        <v>29338</v>
      </c>
      <c r="M4654" t="s">
        <v>31268</v>
      </c>
      <c r="N4654" t="s">
        <v>32524</v>
      </c>
      <c r="O4654" t="s">
        <v>32525</v>
      </c>
      <c r="P4654">
        <v>0</v>
      </c>
      <c r="Q4654">
        <v>1</v>
      </c>
      <c r="R4654" t="s">
        <v>32531</v>
      </c>
      <c r="S4654" t="s">
        <v>32586</v>
      </c>
      <c r="T4654" t="s">
        <v>33440</v>
      </c>
      <c r="U4654" t="s">
        <v>37533</v>
      </c>
      <c r="W4654" t="s">
        <v>31268</v>
      </c>
      <c r="X4654" t="s">
        <v>32532</v>
      </c>
    </row>
    <row r="4655" spans="1:24">
      <c r="A4655">
        <f>HYPERLINK("https://www.philgeps.gov.ph/GEPSNONPILOT/Tender/SplashBidNoticeAbstractUI.aspx?menuIndex=3&amp;refID=7038244&amp;Result=3","7038244")</f>
        <v>0</v>
      </c>
      <c r="B4655" t="s">
        <v>367</v>
      </c>
      <c r="C4655" t="s">
        <v>7131</v>
      </c>
      <c r="D4655" t="s">
        <v>12988</v>
      </c>
      <c r="E4655" t="s">
        <v>17248</v>
      </c>
      <c r="F4655" t="s">
        <v>22436</v>
      </c>
      <c r="G4655" t="s">
        <v>22446</v>
      </c>
      <c r="H4655" t="s">
        <v>22452</v>
      </c>
      <c r="I4655" t="s">
        <v>2981</v>
      </c>
      <c r="J4655" t="s">
        <v>22865</v>
      </c>
      <c r="K4655" t="s">
        <v>29336</v>
      </c>
      <c r="M4655" t="s">
        <v>29945</v>
      </c>
      <c r="N4655" t="s">
        <v>32524</v>
      </c>
      <c r="O4655" t="s">
        <v>32525</v>
      </c>
      <c r="P4655">
        <v>0</v>
      </c>
      <c r="Q4655">
        <v>0</v>
      </c>
      <c r="R4655" t="s">
        <v>32531</v>
      </c>
      <c r="S4655" t="s">
        <v>32586</v>
      </c>
      <c r="T4655" t="s">
        <v>33372</v>
      </c>
      <c r="U4655" t="s">
        <v>37534</v>
      </c>
      <c r="V4655" t="s">
        <v>42501</v>
      </c>
      <c r="W4655" t="s">
        <v>29945</v>
      </c>
      <c r="X4655" t="s">
        <v>32532</v>
      </c>
    </row>
    <row r="4656" spans="1:24">
      <c r="A4656">
        <f>HYPERLINK("https://www.philgeps.gov.ph/GEPSNONPILOT/Tender/SplashBidNoticeAbstractUI.aspx?menuIndex=3&amp;refID=7038228&amp;Result=3","7038228")</f>
        <v>0</v>
      </c>
      <c r="B4656" t="s">
        <v>1592</v>
      </c>
      <c r="C4656" t="s">
        <v>7132</v>
      </c>
      <c r="D4656" t="s">
        <v>13004</v>
      </c>
      <c r="E4656" t="s">
        <v>17249</v>
      </c>
      <c r="F4656" t="s">
        <v>22436</v>
      </c>
      <c r="G4656" t="s">
        <v>22444</v>
      </c>
      <c r="H4656" t="s">
        <v>22452</v>
      </c>
      <c r="I4656" t="s">
        <v>22471</v>
      </c>
      <c r="J4656" t="s">
        <v>25639</v>
      </c>
      <c r="K4656" t="s">
        <v>29329</v>
      </c>
      <c r="M4656" t="s">
        <v>31275</v>
      </c>
      <c r="N4656" t="s">
        <v>32524</v>
      </c>
      <c r="O4656" t="s">
        <v>32525</v>
      </c>
      <c r="P4656">
        <v>0</v>
      </c>
      <c r="Q4656">
        <v>2</v>
      </c>
      <c r="R4656" t="s">
        <v>32531</v>
      </c>
      <c r="S4656" t="s">
        <v>32586</v>
      </c>
      <c r="T4656" t="s">
        <v>33184</v>
      </c>
      <c r="U4656" t="s">
        <v>37535</v>
      </c>
      <c r="W4656" t="s">
        <v>31275</v>
      </c>
      <c r="X4656" t="s">
        <v>32532</v>
      </c>
    </row>
    <row r="4657" spans="1:24">
      <c r="A4657">
        <f>HYPERLINK("https://www.philgeps.gov.ph/GEPSNONPILOT/Tender/SplashBidNoticeAbstractUI.aspx?menuIndex=3&amp;refID=7038238&amp;Result=3","7038238")</f>
        <v>0</v>
      </c>
      <c r="B4657" t="s">
        <v>1593</v>
      </c>
      <c r="C4657" t="s">
        <v>7133</v>
      </c>
      <c r="D4657" t="s">
        <v>13015</v>
      </c>
      <c r="E4657" t="s">
        <v>17250</v>
      </c>
      <c r="F4657" t="s">
        <v>22436</v>
      </c>
      <c r="G4657" t="s">
        <v>22444</v>
      </c>
      <c r="H4657" t="s">
        <v>22452</v>
      </c>
      <c r="I4657" t="s">
        <v>22467</v>
      </c>
      <c r="J4657" t="s">
        <v>25640</v>
      </c>
      <c r="K4657" t="s">
        <v>29331</v>
      </c>
      <c r="M4657" t="s">
        <v>31276</v>
      </c>
      <c r="N4657" t="s">
        <v>32524</v>
      </c>
      <c r="O4657" t="s">
        <v>32525</v>
      </c>
      <c r="P4657">
        <v>0</v>
      </c>
      <c r="Q4657">
        <v>0</v>
      </c>
      <c r="R4657" t="s">
        <v>32531</v>
      </c>
      <c r="S4657" t="s">
        <v>32586</v>
      </c>
      <c r="T4657" t="s">
        <v>33168</v>
      </c>
      <c r="U4657" t="s">
        <v>37536</v>
      </c>
      <c r="V4657" t="s">
        <v>42923</v>
      </c>
      <c r="W4657" t="s">
        <v>31276</v>
      </c>
      <c r="X4657" t="s">
        <v>32532</v>
      </c>
    </row>
    <row r="4658" spans="1:24">
      <c r="A4658">
        <f>HYPERLINK("https://www.philgeps.gov.ph/GEPSNONPILOT/Tender/SplashBidNoticeAbstractUI.aspx?menuIndex=3&amp;refID=7038257&amp;Result=3","7038257")</f>
        <v>0</v>
      </c>
      <c r="B4658" t="s">
        <v>1594</v>
      </c>
      <c r="C4658" t="s">
        <v>7134</v>
      </c>
      <c r="D4658" t="s">
        <v>13020</v>
      </c>
      <c r="E4658" t="s">
        <v>14101</v>
      </c>
      <c r="F4658" t="s">
        <v>22436</v>
      </c>
      <c r="G4658" t="s">
        <v>22443</v>
      </c>
      <c r="H4658" t="s">
        <v>22452</v>
      </c>
      <c r="I4658" t="s">
        <v>3529</v>
      </c>
      <c r="J4658" t="s">
        <v>25641</v>
      </c>
      <c r="K4658" t="s">
        <v>29341</v>
      </c>
      <c r="M4658" t="s">
        <v>31277</v>
      </c>
      <c r="N4658" t="s">
        <v>32524</v>
      </c>
      <c r="O4658" t="s">
        <v>32525</v>
      </c>
      <c r="P4658">
        <v>0</v>
      </c>
      <c r="Q4658">
        <v>1</v>
      </c>
      <c r="R4658" t="s">
        <v>32531</v>
      </c>
      <c r="S4658" t="s">
        <v>32586</v>
      </c>
      <c r="T4658" t="s">
        <v>33213</v>
      </c>
      <c r="U4658" t="s">
        <v>37537</v>
      </c>
      <c r="W4658" t="s">
        <v>31277</v>
      </c>
      <c r="X4658" t="s">
        <v>32532</v>
      </c>
    </row>
    <row r="4659" spans="1:24">
      <c r="A4659">
        <f>HYPERLINK("https://www.philgeps.gov.ph/GEPSNONPILOT/Tender/SplashBidNoticeAbstractUI.aspx?menuIndex=3&amp;refID=7038227&amp;Result=3","7038227")</f>
        <v>0</v>
      </c>
      <c r="B4659" t="s">
        <v>1000</v>
      </c>
      <c r="C4659" t="s">
        <v>7135</v>
      </c>
      <c r="D4659" t="s">
        <v>13002</v>
      </c>
      <c r="E4659" t="s">
        <v>7135</v>
      </c>
      <c r="F4659" t="s">
        <v>22436</v>
      </c>
      <c r="G4659" t="s">
        <v>22443</v>
      </c>
      <c r="H4659" t="s">
        <v>22452</v>
      </c>
      <c r="I4659" t="s">
        <v>5194</v>
      </c>
      <c r="J4659" t="s">
        <v>25642</v>
      </c>
      <c r="K4659" t="s">
        <v>29336</v>
      </c>
      <c r="M4659" t="s">
        <v>30627</v>
      </c>
      <c r="N4659" t="s">
        <v>32524</v>
      </c>
      <c r="O4659" t="s">
        <v>32525</v>
      </c>
      <c r="P4659">
        <v>0</v>
      </c>
      <c r="Q4659">
        <v>0</v>
      </c>
      <c r="R4659" t="s">
        <v>32531</v>
      </c>
      <c r="S4659" t="s">
        <v>32586</v>
      </c>
      <c r="T4659" t="s">
        <v>33206</v>
      </c>
      <c r="U4659" t="s">
        <v>37538</v>
      </c>
      <c r="W4659" t="s">
        <v>30627</v>
      </c>
      <c r="X4659" t="s">
        <v>32532</v>
      </c>
    </row>
    <row r="4660" spans="1:24">
      <c r="A4660">
        <f>HYPERLINK("https://www.philgeps.gov.ph/GEPSNONPILOT/Tender/SplashBidNoticeAbstractUI.aspx?menuIndex=3&amp;refID=7038253&amp;Result=3","7038253")</f>
        <v>0</v>
      </c>
      <c r="B4660" t="s">
        <v>771</v>
      </c>
      <c r="C4660" t="s">
        <v>7136</v>
      </c>
      <c r="D4660" t="s">
        <v>13012</v>
      </c>
      <c r="E4660" t="s">
        <v>17251</v>
      </c>
      <c r="F4660" t="s">
        <v>22436</v>
      </c>
      <c r="G4660" t="s">
        <v>22443</v>
      </c>
      <c r="H4660" t="s">
        <v>22452</v>
      </c>
      <c r="I4660" t="s">
        <v>12358</v>
      </c>
      <c r="J4660" t="s">
        <v>23243</v>
      </c>
      <c r="K4660" t="s">
        <v>29338</v>
      </c>
      <c r="M4660" t="s">
        <v>30372</v>
      </c>
      <c r="N4660" t="s">
        <v>32524</v>
      </c>
      <c r="O4660" t="s">
        <v>32525</v>
      </c>
      <c r="P4660">
        <v>0</v>
      </c>
      <c r="Q4660">
        <v>1</v>
      </c>
      <c r="R4660" t="s">
        <v>32531</v>
      </c>
      <c r="S4660" t="s">
        <v>32586</v>
      </c>
      <c r="T4660" t="s">
        <v>33310</v>
      </c>
      <c r="U4660" t="s">
        <v>35268</v>
      </c>
      <c r="W4660" t="s">
        <v>30372</v>
      </c>
      <c r="X4660" t="s">
        <v>32532</v>
      </c>
    </row>
    <row r="4661" spans="1:24">
      <c r="A4661">
        <f>HYPERLINK("https://www.philgeps.gov.ph/GEPSNONPILOT/Tender/SplashBidNoticeAbstractUI.aspx?menuIndex=3&amp;refID=7038247&amp;Result=3","7038247")</f>
        <v>0</v>
      </c>
      <c r="B4661" t="s">
        <v>1586</v>
      </c>
      <c r="C4661" t="s">
        <v>7137</v>
      </c>
      <c r="E4661" t="s">
        <v>17252</v>
      </c>
      <c r="F4661" t="s">
        <v>22436</v>
      </c>
      <c r="G4661" t="s">
        <v>22444</v>
      </c>
      <c r="H4661" t="s">
        <v>22452</v>
      </c>
      <c r="I4661" t="s">
        <v>3827</v>
      </c>
      <c r="J4661" t="s">
        <v>25643</v>
      </c>
      <c r="K4661" t="s">
        <v>29338</v>
      </c>
      <c r="M4661" t="s">
        <v>31268</v>
      </c>
      <c r="N4661" t="s">
        <v>32524</v>
      </c>
      <c r="O4661" t="s">
        <v>32525</v>
      </c>
      <c r="P4661">
        <v>0</v>
      </c>
      <c r="Q4661">
        <v>8</v>
      </c>
      <c r="R4661" t="s">
        <v>32531</v>
      </c>
      <c r="S4661" t="s">
        <v>32586</v>
      </c>
      <c r="T4661" t="s">
        <v>33440</v>
      </c>
      <c r="U4661" t="s">
        <v>37539</v>
      </c>
      <c r="W4661" t="s">
        <v>31268</v>
      </c>
      <c r="X4661" t="s">
        <v>32532</v>
      </c>
    </row>
    <row r="4662" spans="1:24">
      <c r="A4662">
        <f>HYPERLINK("https://www.philgeps.gov.ph/GEPSNONPILOT/Tender/SplashBidNoticeAbstractUI.aspx?menuIndex=3&amp;refID=7038255&amp;Result=3","7038255")</f>
        <v>0</v>
      </c>
      <c r="B4662" t="s">
        <v>399</v>
      </c>
      <c r="C4662" t="s">
        <v>7138</v>
      </c>
      <c r="D4662" t="s">
        <v>13025</v>
      </c>
      <c r="E4662" t="s">
        <v>17253</v>
      </c>
      <c r="F4662" t="s">
        <v>22436</v>
      </c>
      <c r="G4662" t="s">
        <v>22444</v>
      </c>
      <c r="H4662" t="s">
        <v>22452</v>
      </c>
      <c r="I4662" t="s">
        <v>6421</v>
      </c>
      <c r="J4662" t="s">
        <v>25644</v>
      </c>
      <c r="K4662" t="s">
        <v>29338</v>
      </c>
      <c r="M4662" t="s">
        <v>29978</v>
      </c>
      <c r="N4662" t="s">
        <v>32524</v>
      </c>
      <c r="O4662" t="s">
        <v>32525</v>
      </c>
      <c r="P4662">
        <v>0</v>
      </c>
      <c r="Q4662">
        <v>4</v>
      </c>
      <c r="R4662" t="s">
        <v>32531</v>
      </c>
      <c r="S4662" t="s">
        <v>32586</v>
      </c>
      <c r="T4662" t="s">
        <v>33186</v>
      </c>
      <c r="U4662" t="s">
        <v>37527</v>
      </c>
      <c r="W4662" t="s">
        <v>29978</v>
      </c>
      <c r="X4662" t="s">
        <v>32532</v>
      </c>
    </row>
    <row r="4663" spans="1:24">
      <c r="A4663">
        <f>HYPERLINK("https://www.philgeps.gov.ph/GEPSNONPILOT/Tender/SplashBidNoticeAbstractUI.aspx?menuIndex=3&amp;refID=7038245&amp;Result=3","7038245")</f>
        <v>0</v>
      </c>
      <c r="B4663" t="s">
        <v>771</v>
      </c>
      <c r="C4663" t="s">
        <v>7139</v>
      </c>
      <c r="D4663" t="s">
        <v>13012</v>
      </c>
      <c r="E4663" t="s">
        <v>17254</v>
      </c>
      <c r="F4663" t="s">
        <v>22436</v>
      </c>
      <c r="G4663" t="s">
        <v>22443</v>
      </c>
      <c r="H4663" t="s">
        <v>22452</v>
      </c>
      <c r="I4663" t="s">
        <v>12358</v>
      </c>
      <c r="J4663" t="s">
        <v>25645</v>
      </c>
      <c r="K4663" t="s">
        <v>29338</v>
      </c>
      <c r="M4663" t="s">
        <v>30372</v>
      </c>
      <c r="N4663" t="s">
        <v>32524</v>
      </c>
      <c r="O4663" t="s">
        <v>32525</v>
      </c>
      <c r="P4663">
        <v>0</v>
      </c>
      <c r="Q4663">
        <v>1</v>
      </c>
      <c r="R4663" t="s">
        <v>32531</v>
      </c>
      <c r="S4663" t="s">
        <v>32586</v>
      </c>
      <c r="T4663" t="s">
        <v>33310</v>
      </c>
      <c r="U4663" t="s">
        <v>35268</v>
      </c>
      <c r="W4663" t="s">
        <v>30372</v>
      </c>
      <c r="X4663" t="s">
        <v>32532</v>
      </c>
    </row>
    <row r="4664" spans="1:24">
      <c r="A4664">
        <f>HYPERLINK("https://www.philgeps.gov.ph/GEPSNONPILOT/Tender/SplashBidNoticeAbstractUI.aspx?menuIndex=3&amp;refID=7038269&amp;Result=3","7038269")</f>
        <v>0</v>
      </c>
      <c r="B4664" t="s">
        <v>665</v>
      </c>
      <c r="C4664" t="s">
        <v>7140</v>
      </c>
      <c r="D4664" t="s">
        <v>13038</v>
      </c>
      <c r="E4664" t="s">
        <v>17255</v>
      </c>
      <c r="F4664" t="s">
        <v>22436</v>
      </c>
      <c r="G4664" t="s">
        <v>22443</v>
      </c>
      <c r="H4664" t="s">
        <v>22452</v>
      </c>
      <c r="I4664" t="s">
        <v>22475</v>
      </c>
      <c r="J4664" t="s">
        <v>22788</v>
      </c>
      <c r="K4664" t="s">
        <v>29337</v>
      </c>
      <c r="M4664" t="s">
        <v>30257</v>
      </c>
      <c r="N4664" t="s">
        <v>32524</v>
      </c>
      <c r="O4664" t="s">
        <v>32525</v>
      </c>
      <c r="P4664">
        <v>0</v>
      </c>
      <c r="Q4664">
        <v>0</v>
      </c>
      <c r="R4664" t="s">
        <v>32531</v>
      </c>
      <c r="S4664" t="s">
        <v>32586</v>
      </c>
      <c r="T4664" t="s">
        <v>33220</v>
      </c>
      <c r="U4664" t="s">
        <v>37540</v>
      </c>
      <c r="W4664" t="s">
        <v>30257</v>
      </c>
      <c r="X4664" t="s">
        <v>32532</v>
      </c>
    </row>
    <row r="4665" spans="1:24">
      <c r="A4665">
        <f>HYPERLINK("https://www.philgeps.gov.ph/GEPSNONPILOT/Tender/SplashBidNoticeAbstractUI.aspx?menuIndex=3&amp;refID=7038248&amp;Result=3","7038248")</f>
        <v>0</v>
      </c>
      <c r="B4665" t="s">
        <v>1595</v>
      </c>
      <c r="C4665" t="s">
        <v>7141</v>
      </c>
      <c r="D4665" t="s">
        <v>12999</v>
      </c>
      <c r="E4665" t="s">
        <v>13521</v>
      </c>
      <c r="F4665" t="s">
        <v>22436</v>
      </c>
      <c r="G4665" t="s">
        <v>22447</v>
      </c>
      <c r="H4665" t="s">
        <v>22452</v>
      </c>
      <c r="I4665" t="s">
        <v>3529</v>
      </c>
      <c r="J4665" t="s">
        <v>25646</v>
      </c>
      <c r="K4665" t="s">
        <v>29335</v>
      </c>
      <c r="M4665" t="s">
        <v>31278</v>
      </c>
      <c r="N4665" t="s">
        <v>32524</v>
      </c>
      <c r="O4665" t="s">
        <v>32525</v>
      </c>
      <c r="P4665">
        <v>0</v>
      </c>
      <c r="Q4665">
        <v>0</v>
      </c>
      <c r="R4665" t="s">
        <v>32531</v>
      </c>
      <c r="S4665" t="s">
        <v>32586</v>
      </c>
      <c r="T4665" t="s">
        <v>33175</v>
      </c>
      <c r="U4665" t="s">
        <v>37541</v>
      </c>
      <c r="W4665" t="s">
        <v>31278</v>
      </c>
      <c r="X4665" t="s">
        <v>32532</v>
      </c>
    </row>
    <row r="4666" spans="1:24">
      <c r="A4666">
        <f>HYPERLINK("https://www.philgeps.gov.ph/GEPSNONPILOT/Tender/SplashBidNoticeAbstractUI.aspx?menuIndex=3&amp;refID=7038265&amp;Result=3","7038265")</f>
        <v>0</v>
      </c>
      <c r="B4666" t="s">
        <v>254</v>
      </c>
      <c r="C4666" t="s">
        <v>7142</v>
      </c>
      <c r="D4666" t="s">
        <v>13048</v>
      </c>
      <c r="E4666" t="s">
        <v>17256</v>
      </c>
      <c r="F4666" t="s">
        <v>22436</v>
      </c>
      <c r="G4666" t="s">
        <v>22444</v>
      </c>
      <c r="H4666" t="s">
        <v>22454</v>
      </c>
      <c r="I4666" t="s">
        <v>7738</v>
      </c>
      <c r="J4666" t="s">
        <v>25647</v>
      </c>
      <c r="K4666" t="s">
        <v>29436</v>
      </c>
      <c r="M4666" t="s">
        <v>29828</v>
      </c>
      <c r="N4666" t="s">
        <v>32524</v>
      </c>
      <c r="O4666" t="s">
        <v>32525</v>
      </c>
      <c r="P4666">
        <v>0</v>
      </c>
      <c r="Q4666">
        <v>1</v>
      </c>
      <c r="R4666" t="s">
        <v>32531</v>
      </c>
      <c r="S4666" t="s">
        <v>32586</v>
      </c>
      <c r="T4666" t="s">
        <v>33234</v>
      </c>
      <c r="U4666" t="s">
        <v>37542</v>
      </c>
      <c r="V4666" t="s">
        <v>42924</v>
      </c>
      <c r="W4666" t="s">
        <v>29828</v>
      </c>
      <c r="X4666" t="s">
        <v>32532</v>
      </c>
    </row>
    <row r="4667" spans="1:24">
      <c r="A4667">
        <f>HYPERLINK("https://www.philgeps.gov.ph/GEPSNONPILOT/Tender/SplashBidNoticeAbstractUI.aspx?menuIndex=3&amp;refID=7038270&amp;Result=3","7038270")</f>
        <v>0</v>
      </c>
      <c r="B4667" t="s">
        <v>1596</v>
      </c>
      <c r="C4667" t="s">
        <v>7143</v>
      </c>
      <c r="D4667" t="s">
        <v>13010</v>
      </c>
      <c r="E4667" t="s">
        <v>17257</v>
      </c>
      <c r="F4667" t="s">
        <v>22437</v>
      </c>
      <c r="G4667" t="s">
        <v>22443</v>
      </c>
      <c r="H4667" t="s">
        <v>22453</v>
      </c>
      <c r="I4667" t="s">
        <v>22569</v>
      </c>
      <c r="J4667" t="s">
        <v>23780</v>
      </c>
      <c r="K4667" t="s">
        <v>29332</v>
      </c>
      <c r="M4667" t="s">
        <v>31279</v>
      </c>
      <c r="N4667" t="s">
        <v>32524</v>
      </c>
      <c r="O4667" t="s">
        <v>32525</v>
      </c>
      <c r="P4667">
        <v>0</v>
      </c>
      <c r="Q4667">
        <v>2</v>
      </c>
      <c r="R4667" t="s">
        <v>32531</v>
      </c>
      <c r="S4667" t="s">
        <v>32586</v>
      </c>
      <c r="T4667" t="s">
        <v>33270</v>
      </c>
      <c r="U4667" t="s">
        <v>37543</v>
      </c>
      <c r="W4667" t="s">
        <v>31279</v>
      </c>
      <c r="X4667" t="s">
        <v>32532</v>
      </c>
    </row>
    <row r="4668" spans="1:24">
      <c r="A4668">
        <f>HYPERLINK("https://www.philgeps.gov.ph/GEPSNONPILOT/Tender/SplashBidNoticeAbstractUI.aspx?menuIndex=3&amp;refID=7038285&amp;Result=3","7038285")</f>
        <v>0</v>
      </c>
      <c r="B4668" t="s">
        <v>1236</v>
      </c>
      <c r="C4668" t="s">
        <v>7144</v>
      </c>
      <c r="D4668" t="s">
        <v>12993</v>
      </c>
      <c r="E4668" t="s">
        <v>17258</v>
      </c>
      <c r="F4668" t="s">
        <v>22436</v>
      </c>
      <c r="G4668" t="s">
        <v>22443</v>
      </c>
      <c r="H4668" t="s">
        <v>22452</v>
      </c>
      <c r="I4668" t="s">
        <v>22456</v>
      </c>
      <c r="J4668" t="s">
        <v>25648</v>
      </c>
      <c r="K4668" t="s">
        <v>29331</v>
      </c>
      <c r="M4668" t="s">
        <v>31280</v>
      </c>
      <c r="N4668" t="s">
        <v>32524</v>
      </c>
      <c r="O4668" t="s">
        <v>32525</v>
      </c>
      <c r="P4668">
        <v>0</v>
      </c>
      <c r="Q4668">
        <v>5</v>
      </c>
      <c r="R4668" t="s">
        <v>32531</v>
      </c>
      <c r="S4668" t="s">
        <v>32586</v>
      </c>
      <c r="T4668" t="s">
        <v>33296</v>
      </c>
      <c r="U4668" t="s">
        <v>37544</v>
      </c>
      <c r="V4668" t="s">
        <v>42925</v>
      </c>
      <c r="W4668" t="s">
        <v>31280</v>
      </c>
      <c r="X4668" t="s">
        <v>32532</v>
      </c>
    </row>
    <row r="4669" spans="1:24">
      <c r="A4669">
        <f>HYPERLINK("https://www.philgeps.gov.ph/GEPSNONPILOT/Tender/SplashBidNoticeAbstractUI.aspx?menuIndex=3&amp;refID=7038286&amp;Result=3","7038286")</f>
        <v>0</v>
      </c>
      <c r="B4669" t="s">
        <v>1586</v>
      </c>
      <c r="C4669" t="s">
        <v>7145</v>
      </c>
      <c r="E4669" t="s">
        <v>17259</v>
      </c>
      <c r="F4669" t="s">
        <v>22436</v>
      </c>
      <c r="G4669" t="s">
        <v>22444</v>
      </c>
      <c r="H4669" t="s">
        <v>22452</v>
      </c>
      <c r="I4669" t="s">
        <v>22527</v>
      </c>
      <c r="J4669" t="s">
        <v>25649</v>
      </c>
      <c r="K4669" t="s">
        <v>29338</v>
      </c>
      <c r="M4669" t="s">
        <v>31268</v>
      </c>
      <c r="N4669" t="s">
        <v>32524</v>
      </c>
      <c r="O4669" t="s">
        <v>32525</v>
      </c>
      <c r="P4669">
        <v>0</v>
      </c>
      <c r="Q4669">
        <v>7</v>
      </c>
      <c r="R4669" t="s">
        <v>32531</v>
      </c>
      <c r="S4669" t="s">
        <v>32586</v>
      </c>
      <c r="T4669" t="s">
        <v>33440</v>
      </c>
      <c r="U4669" t="s">
        <v>37545</v>
      </c>
      <c r="W4669" t="s">
        <v>31268</v>
      </c>
      <c r="X4669" t="s">
        <v>32532</v>
      </c>
    </row>
    <row r="4670" spans="1:24">
      <c r="A4670">
        <f>HYPERLINK("https://www.philgeps.gov.ph/GEPSNONPILOT/Tender/SplashBidNoticeAbstractUI.aspx?menuIndex=3&amp;refID=7038274&amp;Result=3","7038274")</f>
        <v>0</v>
      </c>
      <c r="B4670" t="s">
        <v>1593</v>
      </c>
      <c r="C4670" t="s">
        <v>7133</v>
      </c>
      <c r="D4670" t="s">
        <v>13015</v>
      </c>
      <c r="E4670" t="s">
        <v>17260</v>
      </c>
      <c r="F4670" t="s">
        <v>22436</v>
      </c>
      <c r="G4670" t="s">
        <v>22444</v>
      </c>
      <c r="H4670" t="s">
        <v>22452</v>
      </c>
      <c r="I4670" t="s">
        <v>22467</v>
      </c>
      <c r="J4670" t="s">
        <v>25650</v>
      </c>
      <c r="K4670" t="s">
        <v>29331</v>
      </c>
      <c r="M4670" t="s">
        <v>31276</v>
      </c>
      <c r="N4670" t="s">
        <v>32524</v>
      </c>
      <c r="O4670" t="s">
        <v>32525</v>
      </c>
      <c r="P4670">
        <v>0</v>
      </c>
      <c r="Q4670">
        <v>0</v>
      </c>
      <c r="R4670" t="s">
        <v>32531</v>
      </c>
      <c r="S4670" t="s">
        <v>32586</v>
      </c>
      <c r="T4670" t="s">
        <v>33168</v>
      </c>
      <c r="U4670" t="s">
        <v>37546</v>
      </c>
      <c r="V4670" t="s">
        <v>42926</v>
      </c>
      <c r="W4670" t="s">
        <v>31276</v>
      </c>
      <c r="X4670" t="s">
        <v>32532</v>
      </c>
    </row>
    <row r="4671" spans="1:24">
      <c r="A4671">
        <f>HYPERLINK("https://www.philgeps.gov.ph/GEPSNONPILOT/Tender/SplashBidNoticeAbstractUI.aspx?menuIndex=3&amp;refID=7038282&amp;Result=3","7038282")</f>
        <v>0</v>
      </c>
      <c r="B4671" t="s">
        <v>1597</v>
      </c>
      <c r="C4671" t="s">
        <v>7146</v>
      </c>
      <c r="D4671" t="s">
        <v>12999</v>
      </c>
      <c r="E4671" t="s">
        <v>13487</v>
      </c>
      <c r="F4671" t="s">
        <v>22436</v>
      </c>
      <c r="G4671" t="s">
        <v>22444</v>
      </c>
      <c r="H4671" t="s">
        <v>22452</v>
      </c>
      <c r="I4671" t="s">
        <v>22474</v>
      </c>
      <c r="J4671" t="s">
        <v>22788</v>
      </c>
      <c r="K4671" t="s">
        <v>29335</v>
      </c>
      <c r="M4671" t="s">
        <v>31281</v>
      </c>
      <c r="N4671" t="s">
        <v>32524</v>
      </c>
      <c r="O4671" t="s">
        <v>32525</v>
      </c>
      <c r="P4671">
        <v>0</v>
      </c>
      <c r="Q4671">
        <v>0</v>
      </c>
      <c r="R4671" t="s">
        <v>32531</v>
      </c>
      <c r="S4671" t="s">
        <v>32586</v>
      </c>
      <c r="T4671" t="s">
        <v>33175</v>
      </c>
      <c r="U4671" t="s">
        <v>37547</v>
      </c>
      <c r="W4671" t="s">
        <v>31281</v>
      </c>
      <c r="X4671" t="s">
        <v>32532</v>
      </c>
    </row>
    <row r="4672" spans="1:24">
      <c r="A4672">
        <f>HYPERLINK("https://www.philgeps.gov.ph/GEPSNONPILOT/Tender/SplashBidNoticeAbstractUI.aspx?menuIndex=3&amp;refID=7038276&amp;Result=3","7038276")</f>
        <v>0</v>
      </c>
      <c r="B4672" t="s">
        <v>1598</v>
      </c>
      <c r="C4672" t="s">
        <v>7147</v>
      </c>
      <c r="D4672" t="s">
        <v>12990</v>
      </c>
      <c r="E4672" t="s">
        <v>17261</v>
      </c>
      <c r="F4672" t="s">
        <v>22436</v>
      </c>
      <c r="G4672" t="s">
        <v>22444</v>
      </c>
      <c r="H4672" t="s">
        <v>22452</v>
      </c>
      <c r="I4672" t="s">
        <v>7738</v>
      </c>
      <c r="J4672" t="s">
        <v>25651</v>
      </c>
      <c r="K4672" t="s">
        <v>29336</v>
      </c>
      <c r="M4672" t="s">
        <v>31282</v>
      </c>
      <c r="N4672" t="s">
        <v>32524</v>
      </c>
      <c r="O4672" t="s">
        <v>32525</v>
      </c>
      <c r="P4672">
        <v>0</v>
      </c>
      <c r="Q4672">
        <v>0</v>
      </c>
      <c r="R4672" t="s">
        <v>32531</v>
      </c>
      <c r="S4672" t="s">
        <v>32586</v>
      </c>
      <c r="T4672" t="s">
        <v>33462</v>
      </c>
      <c r="U4672" t="s">
        <v>37548</v>
      </c>
      <c r="W4672" t="s">
        <v>31282</v>
      </c>
      <c r="X4672" t="s">
        <v>32532</v>
      </c>
    </row>
    <row r="4673" spans="1:24">
      <c r="A4673">
        <f>HYPERLINK("https://www.philgeps.gov.ph/GEPSNONPILOT/Tender/SplashBidNoticeAbstractUI.aspx?menuIndex=3&amp;refID=7038268&amp;Result=3","7038268")</f>
        <v>0</v>
      </c>
      <c r="B4673" t="s">
        <v>1586</v>
      </c>
      <c r="C4673" t="s">
        <v>7148</v>
      </c>
      <c r="E4673" t="s">
        <v>17262</v>
      </c>
      <c r="F4673" t="s">
        <v>22436</v>
      </c>
      <c r="G4673" t="s">
        <v>22444</v>
      </c>
      <c r="H4673" t="s">
        <v>22452</v>
      </c>
      <c r="I4673" t="s">
        <v>22527</v>
      </c>
      <c r="J4673" t="s">
        <v>25652</v>
      </c>
      <c r="K4673" t="s">
        <v>29338</v>
      </c>
      <c r="M4673" t="s">
        <v>31268</v>
      </c>
      <c r="N4673" t="s">
        <v>32524</v>
      </c>
      <c r="O4673" t="s">
        <v>32525</v>
      </c>
      <c r="P4673">
        <v>0</v>
      </c>
      <c r="Q4673">
        <v>2</v>
      </c>
      <c r="R4673" t="s">
        <v>32531</v>
      </c>
      <c r="S4673" t="s">
        <v>32586</v>
      </c>
      <c r="T4673" t="s">
        <v>33440</v>
      </c>
      <c r="U4673" t="s">
        <v>37549</v>
      </c>
      <c r="W4673" t="s">
        <v>31268</v>
      </c>
      <c r="X4673" t="s">
        <v>32532</v>
      </c>
    </row>
    <row r="4674" spans="1:24">
      <c r="A4674">
        <f>HYPERLINK("https://www.philgeps.gov.ph/GEPSNONPILOT/Tender/SplashBidNoticeAbstractUI.aspx?menuIndex=3&amp;refID=7038271&amp;Result=3","7038271")</f>
        <v>0</v>
      </c>
      <c r="B4674" t="s">
        <v>960</v>
      </c>
      <c r="C4674" t="s">
        <v>7149</v>
      </c>
      <c r="D4674" t="s">
        <v>12990</v>
      </c>
      <c r="E4674" t="s">
        <v>17263</v>
      </c>
      <c r="F4674" t="s">
        <v>22436</v>
      </c>
      <c r="G4674" t="s">
        <v>22444</v>
      </c>
      <c r="H4674" t="s">
        <v>22452</v>
      </c>
      <c r="I4674" t="s">
        <v>4688</v>
      </c>
      <c r="J4674" t="s">
        <v>25653</v>
      </c>
      <c r="K4674" t="s">
        <v>29345</v>
      </c>
      <c r="M4674" t="s">
        <v>30576</v>
      </c>
      <c r="N4674" t="s">
        <v>32524</v>
      </c>
      <c r="O4674" t="s">
        <v>32525</v>
      </c>
      <c r="P4674">
        <v>0</v>
      </c>
      <c r="Q4674">
        <v>0</v>
      </c>
      <c r="R4674" t="s">
        <v>32531</v>
      </c>
      <c r="S4674" t="s">
        <v>32586</v>
      </c>
      <c r="T4674" t="s">
        <v>33397</v>
      </c>
      <c r="U4674" t="s">
        <v>37550</v>
      </c>
      <c r="W4674" t="s">
        <v>30576</v>
      </c>
      <c r="X4674" t="s">
        <v>32532</v>
      </c>
    </row>
    <row r="4675" spans="1:24">
      <c r="A4675">
        <f>HYPERLINK("https://www.philgeps.gov.ph/GEPSNONPILOT/Tender/SplashBidNoticeAbstractUI.aspx?menuIndex=3&amp;refID=7038313&amp;Result=3","7038313")</f>
        <v>0</v>
      </c>
      <c r="B4675" t="s">
        <v>1599</v>
      </c>
      <c r="C4675" t="s">
        <v>7150</v>
      </c>
      <c r="D4675" t="s">
        <v>12991</v>
      </c>
      <c r="E4675" t="s">
        <v>17264</v>
      </c>
      <c r="F4675" t="s">
        <v>22437</v>
      </c>
      <c r="G4675" t="s">
        <v>22447</v>
      </c>
      <c r="H4675" t="s">
        <v>22454</v>
      </c>
      <c r="I4675" t="s">
        <v>22468</v>
      </c>
      <c r="J4675" t="s">
        <v>22640</v>
      </c>
      <c r="K4675" t="s">
        <v>29335</v>
      </c>
      <c r="M4675" t="s">
        <v>31283</v>
      </c>
      <c r="N4675" t="s">
        <v>32524</v>
      </c>
      <c r="O4675" t="s">
        <v>32525</v>
      </c>
      <c r="P4675">
        <v>0</v>
      </c>
      <c r="Q4675">
        <v>0</v>
      </c>
      <c r="R4675" t="s">
        <v>32531</v>
      </c>
      <c r="S4675" t="s">
        <v>32586</v>
      </c>
      <c r="T4675" t="s">
        <v>33169</v>
      </c>
      <c r="U4675" t="s">
        <v>37551</v>
      </c>
      <c r="V4675" t="s">
        <v>42927</v>
      </c>
      <c r="W4675" t="s">
        <v>31283</v>
      </c>
      <c r="X4675" t="s">
        <v>32532</v>
      </c>
    </row>
    <row r="4676" spans="1:24">
      <c r="A4676">
        <f>HYPERLINK("https://www.philgeps.gov.ph/GEPSNONPILOT/Tender/SplashBidNoticeAbstractUI.aspx?menuIndex=3&amp;refID=7038287&amp;Result=3","7038287")</f>
        <v>0</v>
      </c>
      <c r="B4676" t="s">
        <v>963</v>
      </c>
      <c r="C4676" t="s">
        <v>7151</v>
      </c>
      <c r="D4676" t="s">
        <v>13000</v>
      </c>
      <c r="E4676" t="s">
        <v>17265</v>
      </c>
      <c r="F4676" t="s">
        <v>22437</v>
      </c>
      <c r="G4676" t="s">
        <v>22444</v>
      </c>
      <c r="H4676" t="s">
        <v>22452</v>
      </c>
      <c r="I4676" t="s">
        <v>3529</v>
      </c>
      <c r="J4676" t="s">
        <v>23235</v>
      </c>
      <c r="K4676" t="s">
        <v>29356</v>
      </c>
      <c r="M4676" t="s">
        <v>30579</v>
      </c>
      <c r="N4676" t="s">
        <v>32524</v>
      </c>
      <c r="O4676" t="s">
        <v>32525</v>
      </c>
      <c r="P4676">
        <v>0</v>
      </c>
      <c r="Q4676">
        <v>1</v>
      </c>
      <c r="R4676" t="s">
        <v>32531</v>
      </c>
      <c r="S4676" t="s">
        <v>32586</v>
      </c>
      <c r="T4676" t="s">
        <v>33211</v>
      </c>
      <c r="U4676" t="s">
        <v>37552</v>
      </c>
      <c r="W4676" t="s">
        <v>30579</v>
      </c>
      <c r="X4676" t="s">
        <v>32532</v>
      </c>
    </row>
    <row r="4677" spans="1:24">
      <c r="A4677">
        <f>HYPERLINK("https://www.philgeps.gov.ph/GEPSNONPILOT/Tender/SplashBidNoticeAbstractUI.aspx?menuIndex=3&amp;refID=7038273&amp;Result=3","7038273")</f>
        <v>0</v>
      </c>
      <c r="B4677" t="s">
        <v>399</v>
      </c>
      <c r="C4677" t="s">
        <v>7152</v>
      </c>
      <c r="D4677" t="s">
        <v>13025</v>
      </c>
      <c r="E4677" t="s">
        <v>17266</v>
      </c>
      <c r="F4677" t="s">
        <v>22436</v>
      </c>
      <c r="G4677" t="s">
        <v>22444</v>
      </c>
      <c r="H4677" t="s">
        <v>22452</v>
      </c>
      <c r="I4677" t="s">
        <v>22481</v>
      </c>
      <c r="J4677" t="s">
        <v>22893</v>
      </c>
      <c r="K4677" t="s">
        <v>29338</v>
      </c>
      <c r="M4677" t="s">
        <v>29978</v>
      </c>
      <c r="N4677" t="s">
        <v>32524</v>
      </c>
      <c r="O4677" t="s">
        <v>32525</v>
      </c>
      <c r="P4677">
        <v>0</v>
      </c>
      <c r="Q4677">
        <v>1</v>
      </c>
      <c r="R4677" t="s">
        <v>32531</v>
      </c>
      <c r="S4677" t="s">
        <v>32586</v>
      </c>
      <c r="T4677" t="s">
        <v>33186</v>
      </c>
      <c r="U4677" t="s">
        <v>37553</v>
      </c>
      <c r="W4677" t="s">
        <v>29978</v>
      </c>
      <c r="X4677" t="s">
        <v>32532</v>
      </c>
    </row>
    <row r="4678" spans="1:24">
      <c r="A4678">
        <f>HYPERLINK("https://www.philgeps.gov.ph/GEPSNONPILOT/Tender/SplashBidNoticeAbstractUI.aspx?menuIndex=3&amp;refID=7038280&amp;Result=3","7038280")</f>
        <v>0</v>
      </c>
      <c r="B4678" t="s">
        <v>254</v>
      </c>
      <c r="C4678" t="s">
        <v>7153</v>
      </c>
      <c r="D4678" t="s">
        <v>13048</v>
      </c>
      <c r="E4678" t="s">
        <v>17267</v>
      </c>
      <c r="F4678" t="s">
        <v>22436</v>
      </c>
      <c r="G4678" t="s">
        <v>22444</v>
      </c>
      <c r="H4678" t="s">
        <v>22454</v>
      </c>
      <c r="I4678" t="s">
        <v>7738</v>
      </c>
      <c r="J4678" t="s">
        <v>22779</v>
      </c>
      <c r="K4678" t="s">
        <v>29432</v>
      </c>
      <c r="M4678" t="s">
        <v>29828</v>
      </c>
      <c r="N4678" t="s">
        <v>32524</v>
      </c>
      <c r="O4678" t="s">
        <v>32525</v>
      </c>
      <c r="P4678">
        <v>0</v>
      </c>
      <c r="Q4678">
        <v>0</v>
      </c>
      <c r="R4678" t="s">
        <v>32531</v>
      </c>
      <c r="S4678" t="s">
        <v>32586</v>
      </c>
      <c r="T4678" t="s">
        <v>33234</v>
      </c>
      <c r="U4678" t="s">
        <v>37554</v>
      </c>
      <c r="V4678" t="s">
        <v>42928</v>
      </c>
      <c r="W4678" t="s">
        <v>29828</v>
      </c>
      <c r="X4678" t="s">
        <v>32532</v>
      </c>
    </row>
    <row r="4679" spans="1:24">
      <c r="A4679">
        <f>HYPERLINK("https://www.philgeps.gov.ph/GEPSNONPILOT/Tender/SplashBidNoticeAbstractUI.aspx?menuIndex=3&amp;refID=7038308&amp;Result=3","7038308")</f>
        <v>0</v>
      </c>
      <c r="B4679" t="s">
        <v>1600</v>
      </c>
      <c r="C4679" t="s">
        <v>5418</v>
      </c>
      <c r="D4679" t="s">
        <v>12990</v>
      </c>
      <c r="E4679" t="s">
        <v>17268</v>
      </c>
      <c r="F4679" t="s">
        <v>22436</v>
      </c>
      <c r="G4679" t="s">
        <v>22444</v>
      </c>
      <c r="H4679" t="s">
        <v>22452</v>
      </c>
      <c r="I4679" t="s">
        <v>22471</v>
      </c>
      <c r="J4679" t="s">
        <v>25654</v>
      </c>
      <c r="K4679" t="s">
        <v>29336</v>
      </c>
      <c r="M4679" t="s">
        <v>31284</v>
      </c>
      <c r="N4679" t="s">
        <v>32524</v>
      </c>
      <c r="O4679" t="s">
        <v>32525</v>
      </c>
      <c r="P4679">
        <v>0</v>
      </c>
      <c r="Q4679">
        <v>2</v>
      </c>
      <c r="R4679" t="s">
        <v>32531</v>
      </c>
      <c r="S4679" t="s">
        <v>32586</v>
      </c>
      <c r="T4679" t="s">
        <v>33463</v>
      </c>
      <c r="U4679" t="s">
        <v>37555</v>
      </c>
      <c r="W4679" t="s">
        <v>31284</v>
      </c>
      <c r="X4679" t="s">
        <v>32532</v>
      </c>
    </row>
    <row r="4680" spans="1:24">
      <c r="A4680">
        <f>HYPERLINK("https://www.philgeps.gov.ph/GEPSNONPILOT/Tender/SplashBidNoticeAbstractUI.aspx?menuIndex=3&amp;refID=7038288&amp;Result=3","7038288")</f>
        <v>0</v>
      </c>
      <c r="B4680" t="s">
        <v>1384</v>
      </c>
      <c r="C4680" t="s">
        <v>7154</v>
      </c>
      <c r="D4680" t="s">
        <v>13054</v>
      </c>
      <c r="E4680" t="s">
        <v>17269</v>
      </c>
      <c r="F4680" t="s">
        <v>22436</v>
      </c>
      <c r="G4680" t="s">
        <v>22444</v>
      </c>
      <c r="H4680" t="s">
        <v>22455</v>
      </c>
      <c r="I4680" t="s">
        <v>22455</v>
      </c>
      <c r="J4680" t="s">
        <v>25655</v>
      </c>
      <c r="K4680" t="s">
        <v>29333</v>
      </c>
      <c r="M4680" t="s">
        <v>31042</v>
      </c>
      <c r="N4680" t="s">
        <v>32524</v>
      </c>
      <c r="O4680" t="s">
        <v>32525</v>
      </c>
      <c r="P4680">
        <v>0</v>
      </c>
      <c r="Q4680">
        <v>3</v>
      </c>
      <c r="R4680" t="s">
        <v>32531</v>
      </c>
      <c r="S4680" t="s">
        <v>32586</v>
      </c>
      <c r="T4680" t="s">
        <v>33167</v>
      </c>
      <c r="U4680" t="s">
        <v>37556</v>
      </c>
      <c r="V4680" t="s">
        <v>42929</v>
      </c>
      <c r="W4680" t="s">
        <v>31042</v>
      </c>
      <c r="X4680" t="s">
        <v>32532</v>
      </c>
    </row>
    <row r="4681" spans="1:24">
      <c r="A4681">
        <f>HYPERLINK("https://www.philgeps.gov.ph/GEPSNONPILOT/Tender/SplashBidNoticeAbstractUI.aspx?menuIndex=3&amp;refID=7038311&amp;Result=3","7038311")</f>
        <v>0</v>
      </c>
      <c r="B4681" t="s">
        <v>1589</v>
      </c>
      <c r="C4681" t="s">
        <v>7155</v>
      </c>
      <c r="D4681" t="s">
        <v>13060</v>
      </c>
      <c r="E4681" t="s">
        <v>14910</v>
      </c>
      <c r="F4681" t="s">
        <v>22436</v>
      </c>
      <c r="G4681" t="s">
        <v>22444</v>
      </c>
      <c r="H4681" t="s">
        <v>22454</v>
      </c>
      <c r="I4681" t="s">
        <v>7738</v>
      </c>
      <c r="J4681" t="s">
        <v>22970</v>
      </c>
      <c r="K4681" t="s">
        <v>29347</v>
      </c>
      <c r="M4681" t="s">
        <v>31272</v>
      </c>
      <c r="N4681" t="s">
        <v>32524</v>
      </c>
      <c r="O4681" t="s">
        <v>32525</v>
      </c>
      <c r="P4681">
        <v>0</v>
      </c>
      <c r="Q4681">
        <v>2</v>
      </c>
      <c r="R4681" t="s">
        <v>32531</v>
      </c>
      <c r="S4681" t="s">
        <v>32586</v>
      </c>
      <c r="T4681" t="s">
        <v>33460</v>
      </c>
      <c r="U4681" t="s">
        <v>37557</v>
      </c>
      <c r="V4681" t="s">
        <v>42922</v>
      </c>
      <c r="W4681" t="s">
        <v>31272</v>
      </c>
      <c r="X4681" t="s">
        <v>32532</v>
      </c>
    </row>
    <row r="4682" spans="1:24">
      <c r="A4682">
        <f>HYPERLINK("https://www.philgeps.gov.ph/GEPSNONPILOT/Tender/SplashBidNoticeAbstractUI.aspx?menuIndex=3&amp;refID=7038258&amp;Result=3","7038258")</f>
        <v>0</v>
      </c>
      <c r="B4682" t="s">
        <v>254</v>
      </c>
      <c r="C4682" t="s">
        <v>7156</v>
      </c>
      <c r="D4682" t="s">
        <v>13048</v>
      </c>
      <c r="E4682" t="s">
        <v>17270</v>
      </c>
      <c r="F4682" t="s">
        <v>22436</v>
      </c>
      <c r="G4682" t="s">
        <v>22444</v>
      </c>
      <c r="H4682" t="s">
        <v>22454</v>
      </c>
      <c r="I4682" t="s">
        <v>7738</v>
      </c>
      <c r="J4682" t="s">
        <v>23347</v>
      </c>
      <c r="K4682" t="s">
        <v>29334</v>
      </c>
      <c r="M4682" t="s">
        <v>29828</v>
      </c>
      <c r="N4682" t="s">
        <v>32524</v>
      </c>
      <c r="O4682" t="s">
        <v>32525</v>
      </c>
      <c r="P4682">
        <v>0</v>
      </c>
      <c r="Q4682">
        <v>0</v>
      </c>
      <c r="R4682" t="s">
        <v>32531</v>
      </c>
      <c r="S4682" t="s">
        <v>32586</v>
      </c>
      <c r="T4682" t="s">
        <v>33234</v>
      </c>
      <c r="U4682" t="s">
        <v>37558</v>
      </c>
      <c r="V4682" t="s">
        <v>42930</v>
      </c>
      <c r="W4682" t="s">
        <v>29828</v>
      </c>
      <c r="X4682" t="s">
        <v>32532</v>
      </c>
    </row>
    <row r="4683" spans="1:24">
      <c r="A4683">
        <f>HYPERLINK("https://www.philgeps.gov.ph/GEPSNONPILOT/Tender/SplashBidNoticeAbstractUI.aspx?menuIndex=3&amp;refID=7038307&amp;Result=3","7038307")</f>
        <v>0</v>
      </c>
      <c r="B4683" t="s">
        <v>1593</v>
      </c>
      <c r="C4683" t="s">
        <v>7133</v>
      </c>
      <c r="D4683" t="s">
        <v>13015</v>
      </c>
      <c r="E4683" t="s">
        <v>17271</v>
      </c>
      <c r="F4683" t="s">
        <v>22436</v>
      </c>
      <c r="G4683" t="s">
        <v>22444</v>
      </c>
      <c r="H4683" t="s">
        <v>22452</v>
      </c>
      <c r="I4683" t="s">
        <v>22467</v>
      </c>
      <c r="J4683" t="s">
        <v>25656</v>
      </c>
      <c r="K4683" t="s">
        <v>29331</v>
      </c>
      <c r="M4683" t="s">
        <v>31276</v>
      </c>
      <c r="N4683" t="s">
        <v>32524</v>
      </c>
      <c r="O4683" t="s">
        <v>32525</v>
      </c>
      <c r="P4683">
        <v>0</v>
      </c>
      <c r="Q4683">
        <v>0</v>
      </c>
      <c r="R4683" t="s">
        <v>32531</v>
      </c>
      <c r="S4683" t="s">
        <v>32586</v>
      </c>
      <c r="T4683" t="s">
        <v>33168</v>
      </c>
      <c r="U4683" t="s">
        <v>37559</v>
      </c>
      <c r="V4683" t="s">
        <v>42931</v>
      </c>
      <c r="W4683" t="s">
        <v>31276</v>
      </c>
      <c r="X4683" t="s">
        <v>32532</v>
      </c>
    </row>
    <row r="4684" spans="1:24">
      <c r="A4684">
        <f>HYPERLINK("https://www.philgeps.gov.ph/GEPSNONPILOT/Tender/SplashBidNoticeAbstractUI.aspx?menuIndex=3&amp;refID=7038303&amp;Result=3","7038303")</f>
        <v>0</v>
      </c>
      <c r="B4684" t="s">
        <v>1236</v>
      </c>
      <c r="C4684" t="s">
        <v>7157</v>
      </c>
      <c r="D4684" t="s">
        <v>12993</v>
      </c>
      <c r="E4684" t="s">
        <v>17272</v>
      </c>
      <c r="F4684" t="s">
        <v>22436</v>
      </c>
      <c r="G4684" t="s">
        <v>22443</v>
      </c>
      <c r="H4684" t="s">
        <v>22452</v>
      </c>
      <c r="I4684" t="s">
        <v>22489</v>
      </c>
      <c r="J4684" t="s">
        <v>25657</v>
      </c>
      <c r="K4684" t="s">
        <v>29331</v>
      </c>
      <c r="M4684" t="s">
        <v>31280</v>
      </c>
      <c r="N4684" t="s">
        <v>32524</v>
      </c>
      <c r="O4684" t="s">
        <v>32525</v>
      </c>
      <c r="P4684">
        <v>0</v>
      </c>
      <c r="Q4684">
        <v>4</v>
      </c>
      <c r="R4684" t="s">
        <v>32531</v>
      </c>
      <c r="S4684" t="s">
        <v>32586</v>
      </c>
      <c r="T4684" t="s">
        <v>33296</v>
      </c>
      <c r="U4684" t="s">
        <v>37560</v>
      </c>
      <c r="V4684" t="s">
        <v>42932</v>
      </c>
      <c r="W4684" t="s">
        <v>31280</v>
      </c>
      <c r="X4684" t="s">
        <v>32532</v>
      </c>
    </row>
    <row r="4685" spans="1:24">
      <c r="A4685">
        <f>HYPERLINK("https://www.philgeps.gov.ph/GEPSNONPILOT/Tender/SplashBidNoticeAbstractUI.aspx?menuIndex=3&amp;refID=7038309&amp;Result=3","7038309")</f>
        <v>0</v>
      </c>
      <c r="B4685" t="s">
        <v>1601</v>
      </c>
      <c r="C4685" t="s">
        <v>7158</v>
      </c>
      <c r="D4685" t="s">
        <v>13001</v>
      </c>
      <c r="E4685" t="s">
        <v>17273</v>
      </c>
      <c r="F4685" t="s">
        <v>22436</v>
      </c>
      <c r="G4685" t="s">
        <v>22444</v>
      </c>
      <c r="H4685" t="s">
        <v>22454</v>
      </c>
      <c r="I4685" t="s">
        <v>7738</v>
      </c>
      <c r="J4685" t="s">
        <v>25658</v>
      </c>
      <c r="K4685" t="s">
        <v>29466</v>
      </c>
      <c r="M4685" t="s">
        <v>31285</v>
      </c>
      <c r="N4685" t="s">
        <v>32524</v>
      </c>
      <c r="O4685" t="s">
        <v>32525</v>
      </c>
      <c r="P4685">
        <v>0</v>
      </c>
      <c r="Q4685">
        <v>16</v>
      </c>
      <c r="R4685" t="s">
        <v>32531</v>
      </c>
      <c r="S4685" t="s">
        <v>32586</v>
      </c>
      <c r="T4685" t="s">
        <v>33190</v>
      </c>
      <c r="U4685" t="s">
        <v>37561</v>
      </c>
      <c r="V4685" t="s">
        <v>42933</v>
      </c>
      <c r="W4685" t="s">
        <v>31285</v>
      </c>
      <c r="X4685" t="s">
        <v>32532</v>
      </c>
    </row>
    <row r="4686" spans="1:24">
      <c r="A4686">
        <f>HYPERLINK("https://www.philgeps.gov.ph/GEPSNONPILOT/Tender/SplashBidNoticeAbstractUI.aspx?menuIndex=3&amp;refID=7038312&amp;Result=3","7038312")</f>
        <v>0</v>
      </c>
      <c r="B4686" t="s">
        <v>960</v>
      </c>
      <c r="C4686" t="s">
        <v>7159</v>
      </c>
      <c r="D4686" t="s">
        <v>12990</v>
      </c>
      <c r="E4686" t="s">
        <v>17274</v>
      </c>
      <c r="F4686" t="s">
        <v>22436</v>
      </c>
      <c r="G4686" t="s">
        <v>22444</v>
      </c>
      <c r="H4686" t="s">
        <v>22454</v>
      </c>
      <c r="I4686" t="s">
        <v>7738</v>
      </c>
      <c r="J4686" t="s">
        <v>25659</v>
      </c>
      <c r="K4686" t="s">
        <v>29333</v>
      </c>
      <c r="M4686" t="s">
        <v>30576</v>
      </c>
      <c r="N4686" t="s">
        <v>32524</v>
      </c>
      <c r="O4686" t="s">
        <v>32525</v>
      </c>
      <c r="P4686">
        <v>0</v>
      </c>
      <c r="Q4686">
        <v>0</v>
      </c>
      <c r="R4686" t="s">
        <v>32531</v>
      </c>
      <c r="S4686" t="s">
        <v>32586</v>
      </c>
      <c r="T4686" t="s">
        <v>33397</v>
      </c>
      <c r="U4686" t="s">
        <v>37562</v>
      </c>
      <c r="W4686" t="s">
        <v>30576</v>
      </c>
      <c r="X4686" t="s">
        <v>32532</v>
      </c>
    </row>
    <row r="4687" spans="1:24">
      <c r="A4687">
        <f>HYPERLINK("https://www.philgeps.gov.ph/GEPSNONPILOT/Tender/SplashBidNoticeAbstractUI.aspx?menuIndex=3&amp;refID=7038301&amp;Result=3","7038301")</f>
        <v>0</v>
      </c>
      <c r="B4687" t="s">
        <v>1602</v>
      </c>
      <c r="C4687" t="s">
        <v>7160</v>
      </c>
      <c r="D4687" t="s">
        <v>12988</v>
      </c>
      <c r="E4687" t="s">
        <v>17275</v>
      </c>
      <c r="F4687" t="s">
        <v>22436</v>
      </c>
      <c r="G4687" t="s">
        <v>22443</v>
      </c>
      <c r="H4687" t="s">
        <v>22453</v>
      </c>
      <c r="I4687" t="s">
        <v>22505</v>
      </c>
      <c r="J4687" t="s">
        <v>25660</v>
      </c>
      <c r="K4687" t="s">
        <v>29336</v>
      </c>
      <c r="M4687" t="s">
        <v>31286</v>
      </c>
      <c r="N4687" t="s">
        <v>32524</v>
      </c>
      <c r="O4687" t="s">
        <v>32525</v>
      </c>
      <c r="P4687">
        <v>0</v>
      </c>
      <c r="Q4687">
        <v>5</v>
      </c>
      <c r="R4687" t="s">
        <v>32531</v>
      </c>
      <c r="S4687" t="s">
        <v>32586</v>
      </c>
      <c r="T4687" t="s">
        <v>33372</v>
      </c>
      <c r="U4687" t="s">
        <v>37563</v>
      </c>
      <c r="W4687" t="s">
        <v>31286</v>
      </c>
      <c r="X4687" t="s">
        <v>32532</v>
      </c>
    </row>
    <row r="4688" spans="1:24">
      <c r="A4688">
        <f>HYPERLINK("https://www.philgeps.gov.ph/GEPSNONPILOT/Tender/SplashBidNoticeAbstractUI.aspx?menuIndex=3&amp;refID=7038323&amp;Result=3","7038323")</f>
        <v>0</v>
      </c>
      <c r="B4688" t="s">
        <v>665</v>
      </c>
      <c r="C4688" t="s">
        <v>7161</v>
      </c>
      <c r="D4688" t="s">
        <v>13038</v>
      </c>
      <c r="E4688" t="s">
        <v>17276</v>
      </c>
      <c r="F4688" t="s">
        <v>22436</v>
      </c>
      <c r="G4688" t="s">
        <v>22446</v>
      </c>
      <c r="H4688" t="s">
        <v>22452</v>
      </c>
      <c r="I4688" t="s">
        <v>22460</v>
      </c>
      <c r="J4688" t="s">
        <v>25661</v>
      </c>
      <c r="K4688" t="s">
        <v>29337</v>
      </c>
      <c r="M4688" t="s">
        <v>30257</v>
      </c>
      <c r="N4688" t="s">
        <v>32524</v>
      </c>
      <c r="O4688" t="s">
        <v>32525</v>
      </c>
      <c r="P4688">
        <v>0</v>
      </c>
      <c r="Q4688">
        <v>2</v>
      </c>
      <c r="R4688" t="s">
        <v>32531</v>
      </c>
      <c r="S4688" t="s">
        <v>32586</v>
      </c>
      <c r="T4688" t="s">
        <v>33220</v>
      </c>
      <c r="U4688" t="s">
        <v>37564</v>
      </c>
      <c r="W4688" t="s">
        <v>30257</v>
      </c>
      <c r="X4688" t="s">
        <v>32532</v>
      </c>
    </row>
    <row r="4689" spans="1:24">
      <c r="A4689">
        <f>HYPERLINK("https://www.philgeps.gov.ph/GEPSNONPILOT/Tender/SplashBidNoticeAbstractUI.aspx?menuIndex=3&amp;refID=7038318&amp;Result=3","7038318")</f>
        <v>0</v>
      </c>
      <c r="B4689" t="s">
        <v>1603</v>
      </c>
      <c r="C4689" t="s">
        <v>7162</v>
      </c>
      <c r="D4689" t="s">
        <v>13019</v>
      </c>
      <c r="E4689" t="s">
        <v>17277</v>
      </c>
      <c r="F4689" t="s">
        <v>22436</v>
      </c>
      <c r="G4689" t="s">
        <v>22444</v>
      </c>
      <c r="H4689" t="s">
        <v>22454</v>
      </c>
      <c r="I4689" t="s">
        <v>7738</v>
      </c>
      <c r="J4689" t="s">
        <v>25662</v>
      </c>
      <c r="K4689" t="s">
        <v>29427</v>
      </c>
      <c r="M4689" t="s">
        <v>31287</v>
      </c>
      <c r="N4689" t="s">
        <v>32524</v>
      </c>
      <c r="O4689" t="s">
        <v>32525</v>
      </c>
      <c r="P4689">
        <v>0</v>
      </c>
      <c r="Q4689">
        <v>0</v>
      </c>
      <c r="R4689" t="s">
        <v>32531</v>
      </c>
      <c r="S4689" t="s">
        <v>32586</v>
      </c>
      <c r="T4689" t="s">
        <v>33227</v>
      </c>
      <c r="U4689" t="s">
        <v>37565</v>
      </c>
      <c r="W4689" t="s">
        <v>31287</v>
      </c>
      <c r="X4689" t="s">
        <v>32532</v>
      </c>
    </row>
    <row r="4690" spans="1:24">
      <c r="A4690">
        <f>HYPERLINK("https://www.philgeps.gov.ph/GEPSNONPILOT/Tender/SplashBidNoticeAbstractUI.aspx?menuIndex=3&amp;refID=7038325&amp;Result=3","7038325")</f>
        <v>0</v>
      </c>
      <c r="B4690" t="s">
        <v>1604</v>
      </c>
      <c r="C4690" t="s">
        <v>7163</v>
      </c>
      <c r="D4690" t="s">
        <v>12994</v>
      </c>
      <c r="E4690" t="s">
        <v>17278</v>
      </c>
      <c r="F4690" t="s">
        <v>22436</v>
      </c>
      <c r="G4690" t="s">
        <v>22446</v>
      </c>
      <c r="H4690" t="s">
        <v>22452</v>
      </c>
      <c r="I4690" t="s">
        <v>22471</v>
      </c>
      <c r="J4690" t="s">
        <v>23404</v>
      </c>
      <c r="K4690" t="s">
        <v>29335</v>
      </c>
      <c r="M4690" t="s">
        <v>31288</v>
      </c>
      <c r="N4690" t="s">
        <v>32524</v>
      </c>
      <c r="O4690" t="s">
        <v>32525</v>
      </c>
      <c r="P4690">
        <v>0</v>
      </c>
      <c r="Q4690">
        <v>4</v>
      </c>
      <c r="R4690" t="s">
        <v>32531</v>
      </c>
      <c r="S4690" t="s">
        <v>32586</v>
      </c>
      <c r="T4690" t="s">
        <v>33372</v>
      </c>
      <c r="U4690" t="s">
        <v>37566</v>
      </c>
      <c r="W4690" t="s">
        <v>31288</v>
      </c>
      <c r="X4690" t="s">
        <v>32532</v>
      </c>
    </row>
    <row r="4691" spans="1:24">
      <c r="A4691">
        <f>HYPERLINK("https://www.philgeps.gov.ph/GEPSNONPILOT/Tender/SplashBidNoticeAbstractUI.aspx?menuIndex=3&amp;refID=7038317&amp;Result=3","7038317")</f>
        <v>0</v>
      </c>
      <c r="B4691" t="s">
        <v>1605</v>
      </c>
      <c r="C4691" t="s">
        <v>7164</v>
      </c>
      <c r="E4691" t="s">
        <v>17279</v>
      </c>
      <c r="F4691" t="s">
        <v>22436</v>
      </c>
      <c r="G4691" t="s">
        <v>22444</v>
      </c>
      <c r="H4691" t="s">
        <v>22452</v>
      </c>
      <c r="I4691" t="s">
        <v>3529</v>
      </c>
      <c r="J4691" t="s">
        <v>25663</v>
      </c>
      <c r="K4691" t="s">
        <v>29338</v>
      </c>
      <c r="M4691" t="s">
        <v>31289</v>
      </c>
      <c r="N4691" t="s">
        <v>32524</v>
      </c>
      <c r="O4691" t="s">
        <v>32525</v>
      </c>
      <c r="P4691">
        <v>0</v>
      </c>
      <c r="Q4691">
        <v>0</v>
      </c>
      <c r="R4691" t="s">
        <v>32531</v>
      </c>
      <c r="S4691" t="s">
        <v>32586</v>
      </c>
      <c r="T4691" t="s">
        <v>33464</v>
      </c>
      <c r="U4691" t="s">
        <v>37567</v>
      </c>
      <c r="W4691" t="s">
        <v>31289</v>
      </c>
      <c r="X4691" t="s">
        <v>32532</v>
      </c>
    </row>
    <row r="4692" spans="1:24">
      <c r="A4692">
        <f>HYPERLINK("https://www.philgeps.gov.ph/GEPSNONPILOT/Tender/SplashBidNoticeAbstractUI.aspx?menuIndex=3&amp;refID=7038295&amp;Result=3","7038295")</f>
        <v>0</v>
      </c>
      <c r="B4692" t="s">
        <v>960</v>
      </c>
      <c r="C4692" t="s">
        <v>7165</v>
      </c>
      <c r="D4692" t="s">
        <v>12990</v>
      </c>
      <c r="E4692" t="s">
        <v>17280</v>
      </c>
      <c r="F4692" t="s">
        <v>22436</v>
      </c>
      <c r="G4692" t="s">
        <v>22444</v>
      </c>
      <c r="H4692" t="s">
        <v>22454</v>
      </c>
      <c r="I4692" t="s">
        <v>7738</v>
      </c>
      <c r="J4692" t="s">
        <v>25664</v>
      </c>
      <c r="K4692" t="s">
        <v>29333</v>
      </c>
      <c r="M4692" t="s">
        <v>30576</v>
      </c>
      <c r="N4692" t="s">
        <v>32524</v>
      </c>
      <c r="O4692" t="s">
        <v>32525</v>
      </c>
      <c r="P4692">
        <v>0</v>
      </c>
      <c r="Q4692">
        <v>0</v>
      </c>
      <c r="R4692" t="s">
        <v>32531</v>
      </c>
      <c r="S4692" t="s">
        <v>32586</v>
      </c>
      <c r="T4692" t="s">
        <v>33397</v>
      </c>
      <c r="U4692" t="s">
        <v>37568</v>
      </c>
      <c r="W4692" t="s">
        <v>30576</v>
      </c>
      <c r="X4692" t="s">
        <v>32532</v>
      </c>
    </row>
    <row r="4693" spans="1:24">
      <c r="A4693">
        <f>HYPERLINK("https://www.philgeps.gov.ph/GEPSNONPILOT/Tender/SplashBidNoticeAbstractUI.aspx?menuIndex=3&amp;refID=7038291&amp;Result=3","7038291")</f>
        <v>0</v>
      </c>
      <c r="B4693" t="s">
        <v>1571</v>
      </c>
      <c r="C4693" t="s">
        <v>7166</v>
      </c>
      <c r="D4693" t="s">
        <v>13022</v>
      </c>
      <c r="E4693" t="s">
        <v>17281</v>
      </c>
      <c r="F4693" t="s">
        <v>22436</v>
      </c>
      <c r="G4693" t="s">
        <v>22444</v>
      </c>
      <c r="H4693" t="s">
        <v>22454</v>
      </c>
      <c r="I4693" t="s">
        <v>7738</v>
      </c>
      <c r="J4693" t="s">
        <v>22911</v>
      </c>
      <c r="K4693" t="s">
        <v>29333</v>
      </c>
      <c r="M4693" t="s">
        <v>31253</v>
      </c>
      <c r="N4693" t="s">
        <v>32524</v>
      </c>
      <c r="O4693" t="s">
        <v>32525</v>
      </c>
      <c r="P4693">
        <v>0</v>
      </c>
      <c r="Q4693">
        <v>0</v>
      </c>
      <c r="R4693" t="s">
        <v>32531</v>
      </c>
      <c r="S4693" t="s">
        <v>32586</v>
      </c>
      <c r="T4693" t="s">
        <v>33234</v>
      </c>
      <c r="U4693" t="s">
        <v>37569</v>
      </c>
      <c r="W4693" t="s">
        <v>31253</v>
      </c>
      <c r="X4693" t="s">
        <v>32532</v>
      </c>
    </row>
    <row r="4694" spans="1:24">
      <c r="A4694">
        <f>HYPERLINK("https://www.philgeps.gov.ph/GEPSNONPILOT/Tender/SplashBidNoticeAbstractUI.aspx?menuIndex=3&amp;refID=7038324&amp;Result=3","7038324")</f>
        <v>0</v>
      </c>
      <c r="B4694" t="s">
        <v>1606</v>
      </c>
      <c r="C4694" t="s">
        <v>7167</v>
      </c>
      <c r="D4694" t="s">
        <v>12999</v>
      </c>
      <c r="E4694" t="s">
        <v>17282</v>
      </c>
      <c r="F4694" t="s">
        <v>22436</v>
      </c>
      <c r="G4694" t="s">
        <v>22443</v>
      </c>
      <c r="H4694" t="s">
        <v>22452</v>
      </c>
      <c r="I4694" t="s">
        <v>22566</v>
      </c>
      <c r="J4694" t="s">
        <v>25665</v>
      </c>
      <c r="K4694" t="s">
        <v>29337</v>
      </c>
      <c r="M4694" t="s">
        <v>31290</v>
      </c>
      <c r="N4694" t="s">
        <v>32524</v>
      </c>
      <c r="O4694" t="s">
        <v>32525</v>
      </c>
      <c r="P4694">
        <v>0</v>
      </c>
      <c r="Q4694">
        <v>0</v>
      </c>
      <c r="R4694" t="s">
        <v>32531</v>
      </c>
      <c r="S4694" t="s">
        <v>32586</v>
      </c>
      <c r="T4694" t="s">
        <v>33213</v>
      </c>
      <c r="U4694" t="s">
        <v>37570</v>
      </c>
      <c r="W4694" t="s">
        <v>31290</v>
      </c>
      <c r="X4694" t="s">
        <v>32532</v>
      </c>
    </row>
    <row r="4695" spans="1:24">
      <c r="A4695">
        <f>HYPERLINK("https://www.philgeps.gov.ph/GEPSNONPILOT/Tender/SplashBidNoticeAbstractUI.aspx?menuIndex=3&amp;refID=7038329&amp;Result=3","7038329")</f>
        <v>0</v>
      </c>
      <c r="B4695" t="s">
        <v>1593</v>
      </c>
      <c r="C4695" t="s">
        <v>7168</v>
      </c>
      <c r="D4695" t="s">
        <v>13015</v>
      </c>
      <c r="E4695" t="s">
        <v>17283</v>
      </c>
      <c r="F4695" t="s">
        <v>22436</v>
      </c>
      <c r="G4695" t="s">
        <v>22444</v>
      </c>
      <c r="H4695" t="s">
        <v>22452</v>
      </c>
      <c r="I4695" t="s">
        <v>22469</v>
      </c>
      <c r="J4695" t="s">
        <v>22862</v>
      </c>
      <c r="K4695" t="s">
        <v>29331</v>
      </c>
      <c r="M4695" t="s">
        <v>31276</v>
      </c>
      <c r="N4695" t="s">
        <v>32524</v>
      </c>
      <c r="O4695" t="s">
        <v>32525</v>
      </c>
      <c r="P4695">
        <v>0</v>
      </c>
      <c r="Q4695">
        <v>0</v>
      </c>
      <c r="R4695" t="s">
        <v>32531</v>
      </c>
      <c r="S4695" t="s">
        <v>32586</v>
      </c>
      <c r="T4695" t="s">
        <v>33168</v>
      </c>
      <c r="U4695" t="s">
        <v>37571</v>
      </c>
      <c r="V4695" t="s">
        <v>42934</v>
      </c>
      <c r="W4695" t="s">
        <v>31276</v>
      </c>
      <c r="X4695" t="s">
        <v>32532</v>
      </c>
    </row>
    <row r="4696" spans="1:24">
      <c r="A4696">
        <f>HYPERLINK("https://www.philgeps.gov.ph/GEPSNONPILOT/Tender/SplashBidNoticeAbstractUI.aspx?menuIndex=3&amp;refID=7038289&amp;Result=3","7038289")</f>
        <v>0</v>
      </c>
      <c r="B4696" t="s">
        <v>1025</v>
      </c>
      <c r="C4696" t="s">
        <v>7169</v>
      </c>
      <c r="D4696" t="s">
        <v>13022</v>
      </c>
      <c r="E4696" t="s">
        <v>17284</v>
      </c>
      <c r="F4696" t="s">
        <v>22436</v>
      </c>
      <c r="G4696" t="s">
        <v>22444</v>
      </c>
      <c r="H4696" t="s">
        <v>22454</v>
      </c>
      <c r="I4696" t="s">
        <v>7738</v>
      </c>
      <c r="J4696" t="s">
        <v>25666</v>
      </c>
      <c r="K4696" t="s">
        <v>29388</v>
      </c>
      <c r="M4696" t="s">
        <v>30654</v>
      </c>
      <c r="N4696" t="s">
        <v>32524</v>
      </c>
      <c r="O4696" t="s">
        <v>32525</v>
      </c>
      <c r="P4696">
        <v>0</v>
      </c>
      <c r="Q4696">
        <v>1</v>
      </c>
      <c r="R4696" t="s">
        <v>32531</v>
      </c>
      <c r="S4696" t="s">
        <v>32586</v>
      </c>
      <c r="T4696" t="s">
        <v>33465</v>
      </c>
      <c r="U4696" t="s">
        <v>37572</v>
      </c>
      <c r="W4696" t="s">
        <v>30654</v>
      </c>
      <c r="X4696" t="s">
        <v>32532</v>
      </c>
    </row>
    <row r="4697" spans="1:24">
      <c r="A4697">
        <f>HYPERLINK("https://www.philgeps.gov.ph/GEPSNONPILOT/Tender/SplashBidNoticeAbstractUI.aspx?menuIndex=3&amp;refID=7038315&amp;Result=3","7038315")</f>
        <v>0</v>
      </c>
      <c r="B4697" t="s">
        <v>1571</v>
      </c>
      <c r="C4697" t="s">
        <v>7170</v>
      </c>
      <c r="D4697" t="s">
        <v>13022</v>
      </c>
      <c r="E4697" t="s">
        <v>17285</v>
      </c>
      <c r="F4697" t="s">
        <v>22436</v>
      </c>
      <c r="G4697" t="s">
        <v>22444</v>
      </c>
      <c r="H4697" t="s">
        <v>22452</v>
      </c>
      <c r="I4697" t="s">
        <v>22461</v>
      </c>
      <c r="J4697" t="s">
        <v>22788</v>
      </c>
      <c r="K4697" t="s">
        <v>29335</v>
      </c>
      <c r="M4697" t="s">
        <v>31253</v>
      </c>
      <c r="N4697" t="s">
        <v>32524</v>
      </c>
      <c r="O4697" t="s">
        <v>32525</v>
      </c>
      <c r="P4697">
        <v>0</v>
      </c>
      <c r="Q4697">
        <v>1</v>
      </c>
      <c r="R4697" t="s">
        <v>32531</v>
      </c>
      <c r="S4697" t="s">
        <v>32586</v>
      </c>
      <c r="T4697" t="s">
        <v>33234</v>
      </c>
      <c r="U4697" t="s">
        <v>37573</v>
      </c>
      <c r="W4697" t="s">
        <v>31253</v>
      </c>
      <c r="X4697" t="s">
        <v>32532</v>
      </c>
    </row>
    <row r="4698" spans="1:24">
      <c r="A4698">
        <f>HYPERLINK("https://www.philgeps.gov.ph/GEPSNONPILOT/Tender/SplashBidNoticeAbstractUI.aspx?menuIndex=3&amp;refID=7038339&amp;Result=3","7038339")</f>
        <v>0</v>
      </c>
      <c r="B4698" t="s">
        <v>1607</v>
      </c>
      <c r="C4698" t="s">
        <v>7171</v>
      </c>
      <c r="D4698" t="s">
        <v>13021</v>
      </c>
      <c r="E4698" t="s">
        <v>17286</v>
      </c>
      <c r="F4698" t="s">
        <v>22436</v>
      </c>
      <c r="G4698" t="s">
        <v>22444</v>
      </c>
      <c r="H4698" t="s">
        <v>22452</v>
      </c>
      <c r="I4698" t="s">
        <v>22465</v>
      </c>
      <c r="J4698" t="s">
        <v>24255</v>
      </c>
      <c r="K4698" t="s">
        <v>29335</v>
      </c>
      <c r="M4698" t="s">
        <v>31291</v>
      </c>
      <c r="N4698" t="s">
        <v>32524</v>
      </c>
      <c r="O4698" t="s">
        <v>32525</v>
      </c>
      <c r="P4698">
        <v>0</v>
      </c>
      <c r="Q4698">
        <v>0</v>
      </c>
      <c r="R4698" t="s">
        <v>32531</v>
      </c>
      <c r="S4698" t="s">
        <v>32586</v>
      </c>
      <c r="T4698" t="s">
        <v>33351</v>
      </c>
      <c r="U4698" t="s">
        <v>37574</v>
      </c>
      <c r="V4698" t="s">
        <v>42935</v>
      </c>
      <c r="W4698" t="s">
        <v>31291</v>
      </c>
      <c r="X4698" t="s">
        <v>32532</v>
      </c>
    </row>
    <row r="4699" spans="1:24">
      <c r="A4699">
        <f>HYPERLINK("https://www.philgeps.gov.ph/GEPSNONPILOT/Tender/SplashBidNoticeAbstractUI.aspx?menuIndex=3&amp;refID=7038350&amp;Result=3","7038350")</f>
        <v>0</v>
      </c>
      <c r="B4699" t="s">
        <v>665</v>
      </c>
      <c r="C4699" t="s">
        <v>7172</v>
      </c>
      <c r="D4699" t="s">
        <v>13038</v>
      </c>
      <c r="E4699" t="s">
        <v>17287</v>
      </c>
      <c r="F4699" t="s">
        <v>22436</v>
      </c>
      <c r="G4699" t="s">
        <v>22446</v>
      </c>
      <c r="H4699" t="s">
        <v>22452</v>
      </c>
      <c r="I4699" t="s">
        <v>22460</v>
      </c>
      <c r="J4699" t="s">
        <v>25667</v>
      </c>
      <c r="K4699" t="s">
        <v>29337</v>
      </c>
      <c r="M4699" t="s">
        <v>30257</v>
      </c>
      <c r="N4699" t="s">
        <v>32524</v>
      </c>
      <c r="O4699" t="s">
        <v>32525</v>
      </c>
      <c r="P4699">
        <v>0</v>
      </c>
      <c r="Q4699">
        <v>4</v>
      </c>
      <c r="R4699" t="s">
        <v>32531</v>
      </c>
      <c r="S4699" t="s">
        <v>32586</v>
      </c>
      <c r="T4699" t="s">
        <v>33220</v>
      </c>
      <c r="U4699" t="s">
        <v>37575</v>
      </c>
      <c r="W4699" t="s">
        <v>30257</v>
      </c>
      <c r="X4699" t="s">
        <v>32532</v>
      </c>
    </row>
    <row r="4700" spans="1:24">
      <c r="A4700">
        <f>HYPERLINK("https://www.philgeps.gov.ph/GEPSNONPILOT/Tender/SplashBidNoticeAbstractUI.aspx?menuIndex=3&amp;refID=7038336&amp;Result=3","7038336")</f>
        <v>0</v>
      </c>
      <c r="B4700" t="s">
        <v>624</v>
      </c>
      <c r="C4700" t="s">
        <v>7173</v>
      </c>
      <c r="D4700" t="s">
        <v>13018</v>
      </c>
      <c r="E4700" t="s">
        <v>17288</v>
      </c>
      <c r="F4700" t="s">
        <v>22436</v>
      </c>
      <c r="G4700" t="s">
        <v>22444</v>
      </c>
      <c r="H4700" t="s">
        <v>22452</v>
      </c>
      <c r="I4700" t="s">
        <v>22467</v>
      </c>
      <c r="J4700" t="s">
        <v>25668</v>
      </c>
      <c r="K4700" t="s">
        <v>29334</v>
      </c>
      <c r="M4700" t="s">
        <v>30215</v>
      </c>
      <c r="N4700" t="s">
        <v>32524</v>
      </c>
      <c r="O4700" t="s">
        <v>32525</v>
      </c>
      <c r="P4700">
        <v>0</v>
      </c>
      <c r="Q4700">
        <v>0</v>
      </c>
      <c r="R4700" t="s">
        <v>32531</v>
      </c>
      <c r="S4700" t="s">
        <v>32586</v>
      </c>
      <c r="T4700" t="s">
        <v>33167</v>
      </c>
      <c r="U4700" t="s">
        <v>37576</v>
      </c>
      <c r="V4700" t="s">
        <v>42936</v>
      </c>
      <c r="W4700" t="s">
        <v>30215</v>
      </c>
      <c r="X4700" t="s">
        <v>32532</v>
      </c>
    </row>
    <row r="4701" spans="1:24">
      <c r="A4701">
        <f>HYPERLINK("https://www.philgeps.gov.ph/GEPSNONPILOT/Tender/SplashBidNoticeAbstractUI.aspx?menuIndex=3&amp;refID=7038335&amp;Result=3","7038335")</f>
        <v>0</v>
      </c>
      <c r="B4701" t="s">
        <v>960</v>
      </c>
      <c r="C4701" t="s">
        <v>7174</v>
      </c>
      <c r="D4701" t="s">
        <v>12990</v>
      </c>
      <c r="E4701" t="s">
        <v>17289</v>
      </c>
      <c r="F4701" t="s">
        <v>22436</v>
      </c>
      <c r="G4701" t="s">
        <v>22444</v>
      </c>
      <c r="H4701" t="s">
        <v>22454</v>
      </c>
      <c r="I4701" t="s">
        <v>7738</v>
      </c>
      <c r="J4701" t="s">
        <v>25669</v>
      </c>
      <c r="K4701" t="s">
        <v>29344</v>
      </c>
      <c r="M4701" t="s">
        <v>30576</v>
      </c>
      <c r="N4701" t="s">
        <v>32524</v>
      </c>
      <c r="O4701" t="s">
        <v>32525</v>
      </c>
      <c r="P4701">
        <v>0</v>
      </c>
      <c r="Q4701">
        <v>1</v>
      </c>
      <c r="R4701" t="s">
        <v>32531</v>
      </c>
      <c r="S4701" t="s">
        <v>32586</v>
      </c>
      <c r="T4701" t="s">
        <v>33397</v>
      </c>
      <c r="U4701" t="s">
        <v>37577</v>
      </c>
      <c r="W4701" t="s">
        <v>30576</v>
      </c>
      <c r="X4701" t="s">
        <v>32532</v>
      </c>
    </row>
    <row r="4702" spans="1:24">
      <c r="A4702">
        <f>HYPERLINK("https://www.philgeps.gov.ph/GEPSNONPILOT/Tender/SplashBidNoticeAbstractUI.aspx?menuIndex=3&amp;refID=7038354&amp;Result=3","7038354")</f>
        <v>0</v>
      </c>
      <c r="B4702" t="s">
        <v>1608</v>
      </c>
      <c r="C4702" t="s">
        <v>7175</v>
      </c>
      <c r="D4702" t="s">
        <v>13019</v>
      </c>
      <c r="E4702" t="s">
        <v>7175</v>
      </c>
      <c r="F4702" t="s">
        <v>22436</v>
      </c>
      <c r="G4702" t="s">
        <v>22444</v>
      </c>
      <c r="H4702" t="s">
        <v>22454</v>
      </c>
      <c r="I4702" t="s">
        <v>7738</v>
      </c>
      <c r="J4702" t="s">
        <v>25670</v>
      </c>
      <c r="K4702" t="s">
        <v>29339</v>
      </c>
      <c r="M4702" t="s">
        <v>31292</v>
      </c>
      <c r="N4702" t="s">
        <v>32524</v>
      </c>
      <c r="O4702" t="s">
        <v>32525</v>
      </c>
      <c r="P4702">
        <v>0</v>
      </c>
      <c r="Q4702">
        <v>0</v>
      </c>
      <c r="R4702" t="s">
        <v>32531</v>
      </c>
      <c r="S4702" t="s">
        <v>32586</v>
      </c>
      <c r="T4702" t="s">
        <v>33212</v>
      </c>
      <c r="U4702" t="s">
        <v>37578</v>
      </c>
      <c r="W4702" t="s">
        <v>31292</v>
      </c>
      <c r="X4702" t="s">
        <v>32532</v>
      </c>
    </row>
    <row r="4703" spans="1:24">
      <c r="A4703">
        <f>HYPERLINK("https://www.philgeps.gov.ph/GEPSNONPILOT/Tender/SplashBidNoticeAbstractUI.aspx?menuIndex=3&amp;refID=7038332&amp;Result=3","7038332")</f>
        <v>0</v>
      </c>
      <c r="B4703" t="s">
        <v>339</v>
      </c>
      <c r="C4703" t="s">
        <v>7176</v>
      </c>
      <c r="D4703" t="s">
        <v>12990</v>
      </c>
      <c r="E4703" t="s">
        <v>17290</v>
      </c>
      <c r="F4703" t="s">
        <v>22436</v>
      </c>
      <c r="G4703" t="s">
        <v>22444</v>
      </c>
      <c r="H4703" t="s">
        <v>22454</v>
      </c>
      <c r="I4703" t="s">
        <v>7738</v>
      </c>
      <c r="J4703" t="s">
        <v>25671</v>
      </c>
      <c r="K4703" t="s">
        <v>29329</v>
      </c>
      <c r="M4703" t="s">
        <v>29915</v>
      </c>
      <c r="N4703" t="s">
        <v>32524</v>
      </c>
      <c r="O4703" t="s">
        <v>32525</v>
      </c>
      <c r="P4703">
        <v>0</v>
      </c>
      <c r="Q4703">
        <v>0</v>
      </c>
      <c r="R4703" t="s">
        <v>32531</v>
      </c>
      <c r="S4703" t="s">
        <v>32586</v>
      </c>
      <c r="T4703" t="s">
        <v>33182</v>
      </c>
      <c r="U4703" t="s">
        <v>37579</v>
      </c>
      <c r="W4703" t="s">
        <v>29915</v>
      </c>
      <c r="X4703" t="s">
        <v>32532</v>
      </c>
    </row>
    <row r="4704" spans="1:24">
      <c r="A4704">
        <f>HYPERLINK("https://www.philgeps.gov.ph/GEPSNONPILOT/Tender/SplashBidNoticeAbstractUI.aspx?menuIndex=3&amp;refID=7038343&amp;Result=3","7038343")</f>
        <v>0</v>
      </c>
      <c r="B4704" t="s">
        <v>463</v>
      </c>
      <c r="C4704" t="s">
        <v>3829</v>
      </c>
      <c r="D4704" t="s">
        <v>13031</v>
      </c>
      <c r="E4704" t="s">
        <v>14016</v>
      </c>
      <c r="F4704" t="s">
        <v>22436</v>
      </c>
      <c r="G4704" t="s">
        <v>22446</v>
      </c>
      <c r="H4704" t="s">
        <v>22452</v>
      </c>
      <c r="I4704" t="s">
        <v>22460</v>
      </c>
      <c r="J4704" t="s">
        <v>25672</v>
      </c>
      <c r="K4704" t="s">
        <v>29357</v>
      </c>
      <c r="M4704" t="s">
        <v>30045</v>
      </c>
      <c r="N4704" t="s">
        <v>32524</v>
      </c>
      <c r="O4704" t="s">
        <v>32525</v>
      </c>
      <c r="P4704">
        <v>0</v>
      </c>
      <c r="Q4704">
        <v>1</v>
      </c>
      <c r="R4704" t="s">
        <v>32531</v>
      </c>
      <c r="S4704" t="s">
        <v>32586</v>
      </c>
      <c r="T4704" t="s">
        <v>33464</v>
      </c>
      <c r="U4704" t="s">
        <v>37580</v>
      </c>
      <c r="V4704" t="s">
        <v>42520</v>
      </c>
      <c r="W4704" t="s">
        <v>30045</v>
      </c>
      <c r="X4704" t="s">
        <v>32532</v>
      </c>
    </row>
    <row r="4705" spans="1:24">
      <c r="A4705">
        <f>HYPERLINK("https://www.philgeps.gov.ph/GEPSNONPILOT/Tender/SplashBidNoticeAbstractUI.aspx?menuIndex=3&amp;refID=7038351&amp;Result=3","7038351")</f>
        <v>0</v>
      </c>
      <c r="B4705" t="s">
        <v>1609</v>
      </c>
      <c r="C4705" t="s">
        <v>4260</v>
      </c>
      <c r="D4705" t="s">
        <v>13001</v>
      </c>
      <c r="E4705" t="s">
        <v>17291</v>
      </c>
      <c r="F4705" t="s">
        <v>22436</v>
      </c>
      <c r="G4705" t="s">
        <v>22443</v>
      </c>
      <c r="H4705" t="s">
        <v>22452</v>
      </c>
      <c r="I4705" t="s">
        <v>3529</v>
      </c>
      <c r="J4705" t="s">
        <v>25673</v>
      </c>
      <c r="K4705" t="s">
        <v>29338</v>
      </c>
      <c r="M4705" t="s">
        <v>31293</v>
      </c>
      <c r="N4705" t="s">
        <v>32524</v>
      </c>
      <c r="O4705" t="s">
        <v>32525</v>
      </c>
      <c r="P4705">
        <v>0</v>
      </c>
      <c r="Q4705">
        <v>2</v>
      </c>
      <c r="R4705" t="s">
        <v>32531</v>
      </c>
      <c r="S4705" t="s">
        <v>32586</v>
      </c>
      <c r="T4705" t="s">
        <v>33296</v>
      </c>
      <c r="U4705" t="s">
        <v>37581</v>
      </c>
      <c r="W4705" t="s">
        <v>31293</v>
      </c>
      <c r="X4705" t="s">
        <v>32532</v>
      </c>
    </row>
    <row r="4706" spans="1:24">
      <c r="A4706">
        <f>HYPERLINK("https://www.philgeps.gov.ph/GEPSNONPILOT/Tender/SplashBidNoticeAbstractUI.aspx?menuIndex=3&amp;refID=7038355&amp;Result=3","7038355")</f>
        <v>0</v>
      </c>
      <c r="B4706" t="s">
        <v>960</v>
      </c>
      <c r="C4706" t="s">
        <v>7177</v>
      </c>
      <c r="D4706" t="s">
        <v>12990</v>
      </c>
      <c r="E4706" t="s">
        <v>17292</v>
      </c>
      <c r="F4706" t="s">
        <v>22436</v>
      </c>
      <c r="G4706" t="s">
        <v>22444</v>
      </c>
      <c r="H4706" t="s">
        <v>22454</v>
      </c>
      <c r="I4706" t="s">
        <v>7738</v>
      </c>
      <c r="J4706" t="s">
        <v>25674</v>
      </c>
      <c r="K4706" t="s">
        <v>29333</v>
      </c>
      <c r="M4706" t="s">
        <v>30576</v>
      </c>
      <c r="N4706" t="s">
        <v>32524</v>
      </c>
      <c r="O4706" t="s">
        <v>32525</v>
      </c>
      <c r="P4706">
        <v>0</v>
      </c>
      <c r="Q4706">
        <v>0</v>
      </c>
      <c r="R4706" t="s">
        <v>32531</v>
      </c>
      <c r="S4706" t="s">
        <v>32586</v>
      </c>
      <c r="T4706" t="s">
        <v>33397</v>
      </c>
      <c r="U4706" t="s">
        <v>37582</v>
      </c>
      <c r="W4706" t="s">
        <v>30576</v>
      </c>
      <c r="X4706" t="s">
        <v>32532</v>
      </c>
    </row>
    <row r="4707" spans="1:24">
      <c r="A4707">
        <f>HYPERLINK("https://www.philgeps.gov.ph/GEPSNONPILOT/Tender/SplashBidNoticeAbstractUI.aspx?menuIndex=3&amp;refID=7038331&amp;Result=3","7038331")</f>
        <v>0</v>
      </c>
      <c r="B4707" t="s">
        <v>1610</v>
      </c>
      <c r="C4707" t="s">
        <v>7178</v>
      </c>
      <c r="D4707" t="s">
        <v>13018</v>
      </c>
      <c r="E4707" t="s">
        <v>17293</v>
      </c>
      <c r="F4707" t="s">
        <v>22436</v>
      </c>
      <c r="G4707" t="s">
        <v>22444</v>
      </c>
      <c r="H4707" t="s">
        <v>22452</v>
      </c>
      <c r="I4707" t="s">
        <v>22474</v>
      </c>
      <c r="J4707" t="s">
        <v>23093</v>
      </c>
      <c r="K4707" t="s">
        <v>29333</v>
      </c>
      <c r="M4707" t="s">
        <v>31294</v>
      </c>
      <c r="N4707" t="s">
        <v>32524</v>
      </c>
      <c r="O4707" t="s">
        <v>32525</v>
      </c>
      <c r="P4707">
        <v>0</v>
      </c>
      <c r="Q4707">
        <v>1</v>
      </c>
      <c r="R4707" t="s">
        <v>32531</v>
      </c>
      <c r="S4707" t="s">
        <v>32586</v>
      </c>
      <c r="T4707" t="s">
        <v>33466</v>
      </c>
      <c r="U4707" t="s">
        <v>37583</v>
      </c>
      <c r="W4707" t="s">
        <v>31294</v>
      </c>
      <c r="X4707" t="s">
        <v>32532</v>
      </c>
    </row>
    <row r="4708" spans="1:24">
      <c r="A4708">
        <f>HYPERLINK("https://www.philgeps.gov.ph/GEPSNONPILOT/Tender/SplashBidNoticeAbstractUI.aspx?menuIndex=3&amp;refID=7038342&amp;Result=3","7038342")</f>
        <v>0</v>
      </c>
      <c r="B4708" t="s">
        <v>765</v>
      </c>
      <c r="C4708" t="s">
        <v>7179</v>
      </c>
      <c r="D4708" t="s">
        <v>13034</v>
      </c>
      <c r="E4708" t="s">
        <v>17294</v>
      </c>
      <c r="F4708" t="s">
        <v>22436</v>
      </c>
      <c r="G4708" t="s">
        <v>22444</v>
      </c>
      <c r="H4708" t="s">
        <v>22452</v>
      </c>
      <c r="I4708" t="s">
        <v>5194</v>
      </c>
      <c r="J4708" t="s">
        <v>25675</v>
      </c>
      <c r="K4708" t="s">
        <v>29337</v>
      </c>
      <c r="M4708" t="s">
        <v>30366</v>
      </c>
      <c r="N4708" t="s">
        <v>32524</v>
      </c>
      <c r="O4708" t="s">
        <v>32525</v>
      </c>
      <c r="P4708">
        <v>0</v>
      </c>
      <c r="Q4708">
        <v>1</v>
      </c>
      <c r="R4708" t="s">
        <v>32531</v>
      </c>
      <c r="S4708" t="s">
        <v>32586</v>
      </c>
      <c r="T4708" t="s">
        <v>33407</v>
      </c>
      <c r="U4708" t="s">
        <v>37584</v>
      </c>
      <c r="V4708" t="s">
        <v>42788</v>
      </c>
      <c r="W4708" t="s">
        <v>30366</v>
      </c>
      <c r="X4708" t="s">
        <v>32532</v>
      </c>
    </row>
    <row r="4709" spans="1:24">
      <c r="A4709">
        <f>HYPERLINK("https://www.philgeps.gov.ph/GEPSNONPILOT/Tender/SplashBidNoticeAbstractUI.aspx?menuIndex=3&amp;refID=7038292&amp;Result=3","7038292")</f>
        <v>0</v>
      </c>
      <c r="B4709" t="s">
        <v>1611</v>
      </c>
      <c r="C4709" t="s">
        <v>7180</v>
      </c>
      <c r="D4709" t="s">
        <v>13018</v>
      </c>
      <c r="E4709" t="s">
        <v>17295</v>
      </c>
      <c r="F4709" t="s">
        <v>22436</v>
      </c>
      <c r="G4709" t="s">
        <v>22444</v>
      </c>
      <c r="H4709" t="s">
        <v>22452</v>
      </c>
      <c r="I4709" t="s">
        <v>22467</v>
      </c>
      <c r="J4709" t="s">
        <v>24255</v>
      </c>
      <c r="K4709" t="s">
        <v>29335</v>
      </c>
      <c r="M4709" t="s">
        <v>31295</v>
      </c>
      <c r="N4709" t="s">
        <v>32524</v>
      </c>
      <c r="O4709" t="s">
        <v>32525</v>
      </c>
      <c r="P4709">
        <v>0</v>
      </c>
      <c r="Q4709">
        <v>0</v>
      </c>
      <c r="R4709" t="s">
        <v>32531</v>
      </c>
      <c r="S4709" t="s">
        <v>32586</v>
      </c>
      <c r="T4709" t="s">
        <v>33229</v>
      </c>
      <c r="U4709" t="s">
        <v>37585</v>
      </c>
      <c r="V4709" t="s">
        <v>42937</v>
      </c>
      <c r="W4709" t="s">
        <v>31295</v>
      </c>
      <c r="X4709" t="s">
        <v>32532</v>
      </c>
    </row>
    <row r="4710" spans="1:24">
      <c r="A4710">
        <f>HYPERLINK("https://www.philgeps.gov.ph/GEPSNONPILOT/Tender/SplashBidNoticeAbstractUI.aspx?menuIndex=3&amp;refID=7038330&amp;Result=3","7038330")</f>
        <v>0</v>
      </c>
      <c r="B4710" t="s">
        <v>1612</v>
      </c>
      <c r="C4710" t="s">
        <v>7181</v>
      </c>
      <c r="D4710" t="s">
        <v>13032</v>
      </c>
      <c r="E4710" t="s">
        <v>17296</v>
      </c>
      <c r="F4710" t="s">
        <v>22436</v>
      </c>
      <c r="G4710" t="s">
        <v>22444</v>
      </c>
      <c r="H4710" t="s">
        <v>22454</v>
      </c>
      <c r="I4710" t="s">
        <v>7738</v>
      </c>
      <c r="J4710" t="s">
        <v>22911</v>
      </c>
      <c r="K4710" t="s">
        <v>29337</v>
      </c>
      <c r="M4710" t="s">
        <v>31296</v>
      </c>
      <c r="N4710" t="s">
        <v>32524</v>
      </c>
      <c r="O4710" t="s">
        <v>32525</v>
      </c>
      <c r="P4710">
        <v>0</v>
      </c>
      <c r="Q4710">
        <v>0</v>
      </c>
      <c r="R4710" t="s">
        <v>32531</v>
      </c>
      <c r="S4710" t="s">
        <v>32586</v>
      </c>
      <c r="T4710" t="s">
        <v>33213</v>
      </c>
      <c r="U4710" t="s">
        <v>37586</v>
      </c>
      <c r="W4710" t="s">
        <v>31296</v>
      </c>
      <c r="X4710" t="s">
        <v>32532</v>
      </c>
    </row>
    <row r="4711" spans="1:24">
      <c r="A4711">
        <f>HYPERLINK("https://www.philgeps.gov.ph/GEPSNONPILOT/Tender/SplashBidNoticeAbstractUI.aspx?menuIndex=3&amp;refID=7038371&amp;Result=3","7038371")</f>
        <v>0</v>
      </c>
      <c r="B4711" t="s">
        <v>196</v>
      </c>
      <c r="C4711" t="s">
        <v>4514</v>
      </c>
      <c r="D4711" t="s">
        <v>13002</v>
      </c>
      <c r="E4711" t="s">
        <v>17297</v>
      </c>
      <c r="F4711" t="s">
        <v>22436</v>
      </c>
      <c r="G4711" t="s">
        <v>22443</v>
      </c>
      <c r="H4711" t="s">
        <v>22452</v>
      </c>
      <c r="I4711" t="s">
        <v>22463</v>
      </c>
      <c r="J4711" t="s">
        <v>22750</v>
      </c>
      <c r="K4711" t="s">
        <v>29331</v>
      </c>
      <c r="M4711" t="s">
        <v>31297</v>
      </c>
      <c r="N4711" t="s">
        <v>32524</v>
      </c>
      <c r="O4711" t="s">
        <v>32525</v>
      </c>
      <c r="P4711">
        <v>0</v>
      </c>
      <c r="Q4711">
        <v>9</v>
      </c>
      <c r="R4711" t="s">
        <v>32531</v>
      </c>
      <c r="S4711" t="s">
        <v>32586</v>
      </c>
      <c r="T4711" t="s">
        <v>33296</v>
      </c>
      <c r="U4711" t="s">
        <v>37587</v>
      </c>
      <c r="W4711" t="s">
        <v>31297</v>
      </c>
      <c r="X4711" t="s">
        <v>32532</v>
      </c>
    </row>
    <row r="4712" spans="1:24">
      <c r="A4712">
        <f>HYPERLINK("https://www.philgeps.gov.ph/GEPSNONPILOT/Tender/SplashBidNoticeAbstractUI.aspx?menuIndex=3&amp;refID=7038361&amp;Result=3","7038361")</f>
        <v>0</v>
      </c>
      <c r="B4712" t="s">
        <v>1613</v>
      </c>
      <c r="C4712" t="s">
        <v>7182</v>
      </c>
      <c r="D4712" t="s">
        <v>12988</v>
      </c>
      <c r="E4712" t="s">
        <v>17298</v>
      </c>
      <c r="F4712" t="s">
        <v>22436</v>
      </c>
      <c r="G4712" t="s">
        <v>22444</v>
      </c>
      <c r="H4712" t="s">
        <v>22452</v>
      </c>
      <c r="I4712" t="s">
        <v>12358</v>
      </c>
      <c r="J4712" t="s">
        <v>22657</v>
      </c>
      <c r="K4712" t="s">
        <v>29338</v>
      </c>
      <c r="M4712" t="s">
        <v>31298</v>
      </c>
      <c r="N4712" t="s">
        <v>32524</v>
      </c>
      <c r="O4712" t="s">
        <v>32525</v>
      </c>
      <c r="P4712">
        <v>0</v>
      </c>
      <c r="Q4712">
        <v>0</v>
      </c>
      <c r="R4712" t="s">
        <v>32531</v>
      </c>
      <c r="S4712" t="s">
        <v>32586</v>
      </c>
      <c r="T4712" t="s">
        <v>33185</v>
      </c>
      <c r="U4712" t="s">
        <v>37588</v>
      </c>
      <c r="W4712" t="s">
        <v>31298</v>
      </c>
      <c r="X4712" t="s">
        <v>32532</v>
      </c>
    </row>
    <row r="4713" spans="1:24">
      <c r="A4713">
        <f>HYPERLINK("https://www.philgeps.gov.ph/GEPSNONPILOT/Tender/SplashBidNoticeAbstractUI.aspx?menuIndex=3&amp;refID=7038356&amp;Result=3","7038356")</f>
        <v>0</v>
      </c>
      <c r="B4713" t="s">
        <v>1571</v>
      </c>
      <c r="C4713" t="s">
        <v>7183</v>
      </c>
      <c r="D4713" t="s">
        <v>13022</v>
      </c>
      <c r="E4713" t="s">
        <v>17299</v>
      </c>
      <c r="F4713" t="s">
        <v>22436</v>
      </c>
      <c r="G4713" t="s">
        <v>22444</v>
      </c>
      <c r="H4713" t="s">
        <v>22454</v>
      </c>
      <c r="I4713" t="s">
        <v>7738</v>
      </c>
      <c r="J4713" t="s">
        <v>23182</v>
      </c>
      <c r="K4713" t="s">
        <v>29333</v>
      </c>
      <c r="M4713" t="s">
        <v>31253</v>
      </c>
      <c r="N4713" t="s">
        <v>32524</v>
      </c>
      <c r="O4713" t="s">
        <v>32525</v>
      </c>
      <c r="P4713">
        <v>0</v>
      </c>
      <c r="Q4713">
        <v>0</v>
      </c>
      <c r="R4713" t="s">
        <v>32531</v>
      </c>
      <c r="S4713" t="s">
        <v>32586</v>
      </c>
      <c r="T4713" t="s">
        <v>33234</v>
      </c>
      <c r="U4713" t="s">
        <v>37589</v>
      </c>
      <c r="W4713" t="s">
        <v>31253</v>
      </c>
      <c r="X4713" t="s">
        <v>32532</v>
      </c>
    </row>
    <row r="4714" spans="1:24">
      <c r="A4714">
        <f>HYPERLINK("https://www.philgeps.gov.ph/GEPSNONPILOT/Tender/SplashBidNoticeAbstractUI.aspx?menuIndex=3&amp;refID=7038373&amp;Result=3","7038373")</f>
        <v>0</v>
      </c>
      <c r="B4714" t="s">
        <v>1302</v>
      </c>
      <c r="C4714" t="s">
        <v>7184</v>
      </c>
      <c r="D4714" t="s">
        <v>13010</v>
      </c>
      <c r="E4714" t="s">
        <v>17300</v>
      </c>
      <c r="F4714" t="s">
        <v>22436</v>
      </c>
      <c r="G4714" t="s">
        <v>22444</v>
      </c>
      <c r="H4714" t="s">
        <v>22452</v>
      </c>
      <c r="I4714" t="s">
        <v>22460</v>
      </c>
      <c r="J4714" t="s">
        <v>25676</v>
      </c>
      <c r="K4714" t="s">
        <v>29335</v>
      </c>
      <c r="M4714" t="s">
        <v>30956</v>
      </c>
      <c r="N4714" t="s">
        <v>32524</v>
      </c>
      <c r="O4714" t="s">
        <v>32525</v>
      </c>
      <c r="P4714">
        <v>0</v>
      </c>
      <c r="Q4714">
        <v>6</v>
      </c>
      <c r="R4714" t="s">
        <v>32531</v>
      </c>
      <c r="S4714" t="s">
        <v>32586</v>
      </c>
      <c r="T4714" t="s">
        <v>33310</v>
      </c>
      <c r="U4714" t="s">
        <v>37590</v>
      </c>
      <c r="W4714" t="s">
        <v>30956</v>
      </c>
      <c r="X4714" t="s">
        <v>32532</v>
      </c>
    </row>
    <row r="4715" spans="1:24">
      <c r="A4715">
        <f>HYPERLINK("https://www.philgeps.gov.ph/GEPSNONPILOT/Tender/SplashBidNoticeAbstractUI.aspx?menuIndex=3&amp;refID=7038372&amp;Result=3","7038372")</f>
        <v>0</v>
      </c>
      <c r="B4715" t="s">
        <v>778</v>
      </c>
      <c r="C4715" t="s">
        <v>7185</v>
      </c>
      <c r="D4715" t="s">
        <v>13021</v>
      </c>
      <c r="E4715" t="s">
        <v>17301</v>
      </c>
      <c r="F4715" t="s">
        <v>22436</v>
      </c>
      <c r="G4715" t="s">
        <v>22444</v>
      </c>
      <c r="H4715" t="s">
        <v>22454</v>
      </c>
      <c r="I4715" t="s">
        <v>7738</v>
      </c>
      <c r="J4715" t="s">
        <v>22960</v>
      </c>
      <c r="K4715" t="s">
        <v>29345</v>
      </c>
      <c r="M4715" t="s">
        <v>30379</v>
      </c>
      <c r="N4715" t="s">
        <v>32524</v>
      </c>
      <c r="O4715" t="s">
        <v>32525</v>
      </c>
      <c r="P4715">
        <v>0</v>
      </c>
      <c r="Q4715">
        <v>8</v>
      </c>
      <c r="R4715" t="s">
        <v>32531</v>
      </c>
      <c r="S4715" t="s">
        <v>32586</v>
      </c>
      <c r="T4715" t="s">
        <v>33212</v>
      </c>
      <c r="U4715" t="s">
        <v>37591</v>
      </c>
      <c r="W4715" t="s">
        <v>30379</v>
      </c>
      <c r="X4715" t="s">
        <v>32532</v>
      </c>
    </row>
    <row r="4716" spans="1:24">
      <c r="A4716">
        <f>HYPERLINK("https://www.philgeps.gov.ph/GEPSNONPILOT/Tender/SplashBidNoticeAbstractUI.aspx?menuIndex=3&amp;refID=7038370&amp;Result=3","7038370")</f>
        <v>0</v>
      </c>
      <c r="B4716" t="s">
        <v>336</v>
      </c>
      <c r="C4716" t="s">
        <v>7186</v>
      </c>
      <c r="D4716" t="s">
        <v>13058</v>
      </c>
      <c r="E4716" t="s">
        <v>17302</v>
      </c>
      <c r="F4716" t="s">
        <v>22436</v>
      </c>
      <c r="G4716" t="s">
        <v>22443</v>
      </c>
      <c r="H4716" t="s">
        <v>22452</v>
      </c>
      <c r="I4716" t="s">
        <v>22460</v>
      </c>
      <c r="J4716" t="s">
        <v>22838</v>
      </c>
      <c r="K4716" t="s">
        <v>29335</v>
      </c>
      <c r="M4716" t="s">
        <v>29912</v>
      </c>
      <c r="N4716" t="s">
        <v>32524</v>
      </c>
      <c r="O4716" t="s">
        <v>32525</v>
      </c>
      <c r="P4716">
        <v>0</v>
      </c>
      <c r="Q4716">
        <v>1</v>
      </c>
      <c r="R4716" t="s">
        <v>32531</v>
      </c>
      <c r="S4716" t="s">
        <v>32586</v>
      </c>
      <c r="T4716" t="s">
        <v>33322</v>
      </c>
      <c r="U4716" t="s">
        <v>37592</v>
      </c>
      <c r="W4716" t="s">
        <v>43679</v>
      </c>
      <c r="X4716" t="s">
        <v>32532</v>
      </c>
    </row>
    <row r="4717" spans="1:24">
      <c r="A4717">
        <f>HYPERLINK("https://www.philgeps.gov.ph/GEPSNONPILOT/Tender/SplashBidNoticeAbstractUI.aspx?menuIndex=3&amp;refID=7038357&amp;Result=3","7038357")</f>
        <v>0</v>
      </c>
      <c r="B4717" t="s">
        <v>1614</v>
      </c>
      <c r="C4717" t="s">
        <v>7187</v>
      </c>
      <c r="D4717" t="s">
        <v>13010</v>
      </c>
      <c r="E4717" t="s">
        <v>17303</v>
      </c>
      <c r="F4717" t="s">
        <v>22436</v>
      </c>
      <c r="G4717" t="s">
        <v>22446</v>
      </c>
      <c r="H4717" t="s">
        <v>22452</v>
      </c>
      <c r="I4717" t="s">
        <v>5194</v>
      </c>
      <c r="J4717" t="s">
        <v>25677</v>
      </c>
      <c r="K4717" t="s">
        <v>29338</v>
      </c>
      <c r="M4717" t="s">
        <v>31299</v>
      </c>
      <c r="N4717" t="s">
        <v>32524</v>
      </c>
      <c r="O4717" t="s">
        <v>32525</v>
      </c>
      <c r="P4717">
        <v>0</v>
      </c>
      <c r="Q4717">
        <v>6</v>
      </c>
      <c r="R4717" t="s">
        <v>32531</v>
      </c>
      <c r="S4717" t="s">
        <v>32586</v>
      </c>
      <c r="T4717" t="s">
        <v>33185</v>
      </c>
      <c r="U4717" t="s">
        <v>37593</v>
      </c>
      <c r="W4717" t="s">
        <v>31299</v>
      </c>
      <c r="X4717" t="s">
        <v>32532</v>
      </c>
    </row>
    <row r="4718" spans="1:24">
      <c r="A4718">
        <f>HYPERLINK("https://www.philgeps.gov.ph/GEPSNONPILOT/Tender/SplashBidNoticeAbstractUI.aspx?menuIndex=3&amp;refID=7038376&amp;Result=3","7038376")</f>
        <v>0</v>
      </c>
      <c r="B4718" t="s">
        <v>349</v>
      </c>
      <c r="C4718" t="s">
        <v>6454</v>
      </c>
      <c r="D4718" t="s">
        <v>12994</v>
      </c>
      <c r="E4718" t="s">
        <v>17304</v>
      </c>
      <c r="F4718" t="s">
        <v>22436</v>
      </c>
      <c r="G4718" t="s">
        <v>22447</v>
      </c>
      <c r="H4718" t="s">
        <v>22452</v>
      </c>
      <c r="I4718" t="s">
        <v>22456</v>
      </c>
      <c r="J4718" t="s">
        <v>25678</v>
      </c>
      <c r="K4718" t="s">
        <v>29335</v>
      </c>
      <c r="M4718" t="s">
        <v>29926</v>
      </c>
      <c r="N4718" t="s">
        <v>32524</v>
      </c>
      <c r="O4718" t="s">
        <v>32525</v>
      </c>
      <c r="P4718">
        <v>0</v>
      </c>
      <c r="Q4718">
        <v>8</v>
      </c>
      <c r="R4718" t="s">
        <v>32531</v>
      </c>
      <c r="S4718" t="s">
        <v>32586</v>
      </c>
      <c r="T4718" t="s">
        <v>33159</v>
      </c>
      <c r="U4718" t="s">
        <v>37594</v>
      </c>
      <c r="W4718" t="s">
        <v>29926</v>
      </c>
      <c r="X4718" t="s">
        <v>32532</v>
      </c>
    </row>
    <row r="4719" spans="1:24">
      <c r="A4719">
        <f>HYPERLINK("https://www.philgeps.gov.ph/GEPSNONPILOT/Tender/SplashBidNoticeAbstractUI.aspx?menuIndex=3&amp;refID=7038411&amp;Result=3","7038411")</f>
        <v>0</v>
      </c>
      <c r="B4719" t="s">
        <v>1615</v>
      </c>
      <c r="C4719" t="s">
        <v>7188</v>
      </c>
      <c r="D4719" t="s">
        <v>13024</v>
      </c>
      <c r="E4719" t="s">
        <v>17305</v>
      </c>
      <c r="F4719" t="s">
        <v>22436</v>
      </c>
      <c r="G4719" t="s">
        <v>22444</v>
      </c>
      <c r="H4719" t="s">
        <v>22452</v>
      </c>
      <c r="I4719" t="s">
        <v>22467</v>
      </c>
      <c r="J4719" t="s">
        <v>25679</v>
      </c>
      <c r="K4719" t="s">
        <v>29333</v>
      </c>
      <c r="M4719" t="s">
        <v>31300</v>
      </c>
      <c r="N4719" t="s">
        <v>32524</v>
      </c>
      <c r="O4719" t="s">
        <v>32525</v>
      </c>
      <c r="P4719">
        <v>0</v>
      </c>
      <c r="Q4719">
        <v>0</v>
      </c>
      <c r="R4719" t="s">
        <v>32531</v>
      </c>
      <c r="S4719" t="s">
        <v>32586</v>
      </c>
      <c r="T4719" t="s">
        <v>33272</v>
      </c>
      <c r="U4719" t="s">
        <v>37595</v>
      </c>
      <c r="V4719" t="s">
        <v>42938</v>
      </c>
      <c r="W4719" t="s">
        <v>31300</v>
      </c>
      <c r="X4719" t="s">
        <v>32532</v>
      </c>
    </row>
    <row r="4720" spans="1:24">
      <c r="A4720">
        <f>HYPERLINK("https://www.philgeps.gov.ph/GEPSNONPILOT/Tender/SplashBidNoticeAbstractUI.aspx?menuIndex=3&amp;refID=7038379&amp;Result=3","7038379")</f>
        <v>0</v>
      </c>
      <c r="B4720" t="s">
        <v>1616</v>
      </c>
      <c r="C4720" t="s">
        <v>7189</v>
      </c>
      <c r="D4720" t="s">
        <v>12988</v>
      </c>
      <c r="E4720" t="s">
        <v>17306</v>
      </c>
      <c r="F4720" t="s">
        <v>22436</v>
      </c>
      <c r="G4720" t="s">
        <v>22443</v>
      </c>
      <c r="H4720" t="s">
        <v>22452</v>
      </c>
      <c r="I4720" t="s">
        <v>22515</v>
      </c>
      <c r="J4720" t="s">
        <v>23215</v>
      </c>
      <c r="K4720" t="s">
        <v>29333</v>
      </c>
      <c r="M4720" t="s">
        <v>31301</v>
      </c>
      <c r="N4720" t="s">
        <v>32524</v>
      </c>
      <c r="O4720" t="s">
        <v>32525</v>
      </c>
      <c r="P4720">
        <v>0</v>
      </c>
      <c r="Q4720">
        <v>4</v>
      </c>
      <c r="R4720" t="s">
        <v>32531</v>
      </c>
      <c r="S4720" t="s">
        <v>32586</v>
      </c>
      <c r="T4720" t="s">
        <v>33209</v>
      </c>
      <c r="U4720" t="s">
        <v>37596</v>
      </c>
      <c r="W4720" t="s">
        <v>31301</v>
      </c>
      <c r="X4720" t="s">
        <v>32532</v>
      </c>
    </row>
    <row r="4721" spans="1:24">
      <c r="A4721">
        <f>HYPERLINK("https://www.philgeps.gov.ph/GEPSNONPILOT/Tender/SplashBidNoticeAbstractUI.aspx?menuIndex=3&amp;refID=7038416&amp;Result=3","7038416")</f>
        <v>0</v>
      </c>
      <c r="B4721" t="s">
        <v>1617</v>
      </c>
      <c r="C4721" t="s">
        <v>7190</v>
      </c>
      <c r="D4721" t="s">
        <v>12988</v>
      </c>
      <c r="E4721" t="s">
        <v>17307</v>
      </c>
      <c r="F4721" t="s">
        <v>22436</v>
      </c>
      <c r="G4721" t="s">
        <v>22444</v>
      </c>
      <c r="H4721" t="s">
        <v>22452</v>
      </c>
      <c r="I4721" t="s">
        <v>22474</v>
      </c>
      <c r="J4721" t="s">
        <v>25680</v>
      </c>
      <c r="K4721" t="s">
        <v>29338</v>
      </c>
      <c r="M4721" t="s">
        <v>31302</v>
      </c>
      <c r="N4721" t="s">
        <v>32524</v>
      </c>
      <c r="O4721" t="s">
        <v>32525</v>
      </c>
      <c r="P4721">
        <v>0</v>
      </c>
      <c r="Q4721">
        <v>15</v>
      </c>
      <c r="R4721" t="s">
        <v>32531</v>
      </c>
      <c r="S4721" t="s">
        <v>32586</v>
      </c>
      <c r="T4721" t="s">
        <v>33164</v>
      </c>
      <c r="U4721" t="s">
        <v>37597</v>
      </c>
      <c r="V4721" t="s">
        <v>42939</v>
      </c>
      <c r="W4721" t="s">
        <v>31302</v>
      </c>
      <c r="X4721" t="s">
        <v>32532</v>
      </c>
    </row>
    <row r="4722" spans="1:24">
      <c r="A4722">
        <f>HYPERLINK("https://www.philgeps.gov.ph/GEPSNONPILOT/Tender/SplashBidNoticeAbstractUI.aspx?menuIndex=3&amp;refID=7038396&amp;Result=3","7038396")</f>
        <v>0</v>
      </c>
      <c r="B4722" t="s">
        <v>1270</v>
      </c>
      <c r="C4722" t="s">
        <v>7191</v>
      </c>
      <c r="D4722" t="s">
        <v>13035</v>
      </c>
      <c r="E4722" t="s">
        <v>17308</v>
      </c>
      <c r="F4722" t="s">
        <v>22436</v>
      </c>
      <c r="G4722" t="s">
        <v>22444</v>
      </c>
      <c r="H4722" t="s">
        <v>22452</v>
      </c>
      <c r="I4722" t="s">
        <v>22479</v>
      </c>
      <c r="J4722" t="s">
        <v>25681</v>
      </c>
      <c r="K4722" t="s">
        <v>29331</v>
      </c>
      <c r="M4722" t="s">
        <v>30923</v>
      </c>
      <c r="N4722" t="s">
        <v>32524</v>
      </c>
      <c r="O4722" t="s">
        <v>32525</v>
      </c>
      <c r="P4722">
        <v>0</v>
      </c>
      <c r="Q4722">
        <v>1</v>
      </c>
      <c r="R4722" t="s">
        <v>32531</v>
      </c>
      <c r="S4722" t="s">
        <v>32586</v>
      </c>
      <c r="T4722" t="s">
        <v>33293</v>
      </c>
      <c r="U4722" t="s">
        <v>37598</v>
      </c>
      <c r="W4722" t="s">
        <v>30923</v>
      </c>
      <c r="X4722" t="s">
        <v>32532</v>
      </c>
    </row>
    <row r="4723" spans="1:24">
      <c r="A4723">
        <f>HYPERLINK("https://www.philgeps.gov.ph/GEPSNONPILOT/Tender/SplashBidNoticeAbstractUI.aspx?menuIndex=3&amp;refID=7038445&amp;Result=3","7038445")</f>
        <v>0</v>
      </c>
      <c r="B4723" t="s">
        <v>1618</v>
      </c>
      <c r="C4723" t="s">
        <v>7192</v>
      </c>
      <c r="D4723" t="s">
        <v>12992</v>
      </c>
      <c r="E4723" t="s">
        <v>17309</v>
      </c>
      <c r="F4723" t="s">
        <v>22436</v>
      </c>
      <c r="G4723" t="s">
        <v>22444</v>
      </c>
      <c r="H4723" t="s">
        <v>22454</v>
      </c>
      <c r="I4723" t="s">
        <v>7738</v>
      </c>
      <c r="J4723" t="s">
        <v>25682</v>
      </c>
      <c r="K4723" t="s">
        <v>29338</v>
      </c>
      <c r="M4723" t="s">
        <v>31303</v>
      </c>
      <c r="N4723" t="s">
        <v>32524</v>
      </c>
      <c r="O4723" t="s">
        <v>32525</v>
      </c>
      <c r="P4723">
        <v>0</v>
      </c>
      <c r="Q4723">
        <v>0</v>
      </c>
      <c r="R4723" t="s">
        <v>32531</v>
      </c>
      <c r="S4723" t="s">
        <v>32586</v>
      </c>
      <c r="T4723" t="s">
        <v>33229</v>
      </c>
      <c r="U4723" t="s">
        <v>37599</v>
      </c>
      <c r="V4723" t="s">
        <v>42940</v>
      </c>
      <c r="W4723" t="s">
        <v>31303</v>
      </c>
      <c r="X4723" t="s">
        <v>32532</v>
      </c>
    </row>
    <row r="4724" spans="1:24">
      <c r="A4724">
        <f>HYPERLINK("https://www.philgeps.gov.ph/GEPSNONPILOT/Tender/SplashBidNoticeAbstractUI.aspx?menuIndex=3&amp;refID=7038378&amp;Result=3","7038378")</f>
        <v>0</v>
      </c>
      <c r="B4724" t="s">
        <v>1619</v>
      </c>
      <c r="C4724" t="s">
        <v>7193</v>
      </c>
      <c r="D4724" t="s">
        <v>13035</v>
      </c>
      <c r="E4724" t="s">
        <v>17310</v>
      </c>
      <c r="F4724" t="s">
        <v>22436</v>
      </c>
      <c r="G4724" t="s">
        <v>22444</v>
      </c>
      <c r="H4724" t="s">
        <v>22452</v>
      </c>
      <c r="I4724" t="s">
        <v>22474</v>
      </c>
      <c r="J4724" t="s">
        <v>22877</v>
      </c>
      <c r="K4724" t="s">
        <v>29335</v>
      </c>
      <c r="M4724" t="s">
        <v>31304</v>
      </c>
      <c r="N4724" t="s">
        <v>32524</v>
      </c>
      <c r="O4724" t="s">
        <v>32525</v>
      </c>
      <c r="P4724">
        <v>0</v>
      </c>
      <c r="Q4724">
        <v>6</v>
      </c>
      <c r="R4724" t="s">
        <v>32531</v>
      </c>
      <c r="S4724" t="s">
        <v>32586</v>
      </c>
      <c r="T4724" t="s">
        <v>33467</v>
      </c>
      <c r="U4724" t="s">
        <v>37600</v>
      </c>
      <c r="W4724" t="s">
        <v>31304</v>
      </c>
      <c r="X4724" t="s">
        <v>32532</v>
      </c>
    </row>
    <row r="4725" spans="1:24">
      <c r="A4725">
        <f>HYPERLINK("https://www.philgeps.gov.ph/GEPSNONPILOT/Tender/SplashBidNoticeAbstractUI.aspx?menuIndex=3&amp;refID=7038383&amp;Result=3","7038383")</f>
        <v>0</v>
      </c>
      <c r="B4725" t="s">
        <v>1620</v>
      </c>
      <c r="C4725" t="s">
        <v>3827</v>
      </c>
      <c r="D4725" t="s">
        <v>13008</v>
      </c>
      <c r="E4725" t="s">
        <v>17311</v>
      </c>
      <c r="F4725" t="s">
        <v>22436</v>
      </c>
      <c r="G4725" t="s">
        <v>22443</v>
      </c>
      <c r="H4725" t="s">
        <v>22452</v>
      </c>
      <c r="I4725" t="s">
        <v>3827</v>
      </c>
      <c r="J4725" t="s">
        <v>22817</v>
      </c>
      <c r="K4725" t="s">
        <v>29341</v>
      </c>
      <c r="L4725" t="s">
        <v>1620</v>
      </c>
      <c r="M4725" t="s">
        <v>31305</v>
      </c>
      <c r="N4725" t="s">
        <v>32524</v>
      </c>
      <c r="O4725" t="s">
        <v>32525</v>
      </c>
      <c r="P4725">
        <v>0</v>
      </c>
      <c r="Q4725">
        <v>0</v>
      </c>
      <c r="R4725" t="s">
        <v>32531</v>
      </c>
      <c r="S4725" t="s">
        <v>32586</v>
      </c>
      <c r="T4725" t="s">
        <v>33213</v>
      </c>
      <c r="U4725" t="s">
        <v>37601</v>
      </c>
      <c r="W4725" t="s">
        <v>31305</v>
      </c>
      <c r="X4725" t="s">
        <v>32532</v>
      </c>
    </row>
    <row r="4726" spans="1:24">
      <c r="A4726">
        <f>HYPERLINK("https://www.philgeps.gov.ph/GEPSNONPILOT/Tender/SplashBidNoticeAbstractUI.aspx?menuIndex=3&amp;refID=7038450&amp;Result=3","7038450")</f>
        <v>0</v>
      </c>
      <c r="B4726" t="s">
        <v>1621</v>
      </c>
      <c r="C4726" t="s">
        <v>7194</v>
      </c>
      <c r="D4726" t="s">
        <v>13007</v>
      </c>
      <c r="E4726" t="s">
        <v>17312</v>
      </c>
      <c r="F4726" t="s">
        <v>22436</v>
      </c>
      <c r="G4726" t="s">
        <v>22443</v>
      </c>
      <c r="H4726" t="s">
        <v>22452</v>
      </c>
      <c r="I4726" t="s">
        <v>22485</v>
      </c>
      <c r="J4726" t="s">
        <v>23434</v>
      </c>
      <c r="K4726" t="s">
        <v>29331</v>
      </c>
      <c r="M4726" t="s">
        <v>31306</v>
      </c>
      <c r="N4726" t="s">
        <v>32524</v>
      </c>
      <c r="O4726" t="s">
        <v>32525</v>
      </c>
      <c r="P4726">
        <v>0</v>
      </c>
      <c r="Q4726">
        <v>0</v>
      </c>
      <c r="R4726" t="s">
        <v>32531</v>
      </c>
      <c r="S4726" t="s">
        <v>32586</v>
      </c>
      <c r="T4726" t="s">
        <v>33238</v>
      </c>
      <c r="U4726" t="s">
        <v>37602</v>
      </c>
      <c r="W4726" t="s">
        <v>43728</v>
      </c>
      <c r="X4726" t="s">
        <v>32532</v>
      </c>
    </row>
    <row r="4727" spans="1:24">
      <c r="A4727">
        <f>HYPERLINK("https://www.philgeps.gov.ph/GEPSNONPILOT/Tender/SplashBidNoticeAbstractUI.aspx?menuIndex=3&amp;refID=7038405&amp;Result=3","7038405")</f>
        <v>0</v>
      </c>
      <c r="B4727" t="s">
        <v>125</v>
      </c>
      <c r="C4727" t="s">
        <v>7195</v>
      </c>
      <c r="D4727" t="s">
        <v>13035</v>
      </c>
      <c r="E4727" t="s">
        <v>17313</v>
      </c>
      <c r="F4727" t="s">
        <v>22436</v>
      </c>
      <c r="G4727" t="s">
        <v>22444</v>
      </c>
      <c r="H4727" t="s">
        <v>22452</v>
      </c>
      <c r="I4727" t="s">
        <v>3827</v>
      </c>
      <c r="J4727" t="s">
        <v>25683</v>
      </c>
      <c r="K4727" t="s">
        <v>29338</v>
      </c>
      <c r="M4727" t="s">
        <v>29697</v>
      </c>
      <c r="N4727" t="s">
        <v>32524</v>
      </c>
      <c r="O4727" t="s">
        <v>32525</v>
      </c>
      <c r="P4727">
        <v>0</v>
      </c>
      <c r="Q4727">
        <v>3</v>
      </c>
      <c r="R4727" t="s">
        <v>32531</v>
      </c>
      <c r="S4727" t="s">
        <v>32586</v>
      </c>
      <c r="T4727" t="s">
        <v>33191</v>
      </c>
      <c r="U4727" t="s">
        <v>37603</v>
      </c>
      <c r="W4727" t="s">
        <v>29697</v>
      </c>
      <c r="X4727" t="s">
        <v>32532</v>
      </c>
    </row>
    <row r="4728" spans="1:24">
      <c r="A4728">
        <f>HYPERLINK("https://www.philgeps.gov.ph/GEPSNONPILOT/Tender/SplashBidNoticeAbstractUI.aspx?menuIndex=3&amp;refID=7038423&amp;Result=3","7038423")</f>
        <v>0</v>
      </c>
      <c r="B4728" t="s">
        <v>250</v>
      </c>
      <c r="C4728" t="s">
        <v>5985</v>
      </c>
      <c r="D4728" t="s">
        <v>13037</v>
      </c>
      <c r="E4728" t="s">
        <v>17314</v>
      </c>
      <c r="F4728" t="s">
        <v>22436</v>
      </c>
      <c r="G4728" t="s">
        <v>22446</v>
      </c>
      <c r="H4728" t="s">
        <v>22452</v>
      </c>
      <c r="I4728" t="s">
        <v>2981</v>
      </c>
      <c r="J4728" t="s">
        <v>25684</v>
      </c>
      <c r="K4728" t="s">
        <v>29336</v>
      </c>
      <c r="M4728" t="s">
        <v>31307</v>
      </c>
      <c r="N4728" t="s">
        <v>32524</v>
      </c>
      <c r="O4728" t="s">
        <v>32525</v>
      </c>
      <c r="P4728">
        <v>0</v>
      </c>
      <c r="Q4728">
        <v>2</v>
      </c>
      <c r="R4728" t="s">
        <v>32531</v>
      </c>
      <c r="S4728" t="s">
        <v>32586</v>
      </c>
      <c r="T4728" t="s">
        <v>33229</v>
      </c>
      <c r="U4728" t="s">
        <v>37604</v>
      </c>
      <c r="W4728" t="s">
        <v>31307</v>
      </c>
      <c r="X4728" t="s">
        <v>32532</v>
      </c>
    </row>
    <row r="4729" spans="1:24">
      <c r="A4729">
        <f>HYPERLINK("https://www.philgeps.gov.ph/GEPSNONPILOT/Tender/SplashBidNoticeAbstractUI.aspx?menuIndex=3&amp;refID=7038382&amp;Result=3","7038382")</f>
        <v>0</v>
      </c>
      <c r="B4729" t="s">
        <v>1613</v>
      </c>
      <c r="C4729" t="s">
        <v>7196</v>
      </c>
      <c r="D4729" t="s">
        <v>12988</v>
      </c>
      <c r="E4729" t="s">
        <v>17315</v>
      </c>
      <c r="F4729" t="s">
        <v>22436</v>
      </c>
      <c r="G4729" t="s">
        <v>22444</v>
      </c>
      <c r="H4729" t="s">
        <v>22452</v>
      </c>
      <c r="I4729" t="s">
        <v>22501</v>
      </c>
      <c r="J4729" t="s">
        <v>22657</v>
      </c>
      <c r="K4729" t="s">
        <v>29338</v>
      </c>
      <c r="M4729" t="s">
        <v>31298</v>
      </c>
      <c r="N4729" t="s">
        <v>32524</v>
      </c>
      <c r="O4729" t="s">
        <v>32525</v>
      </c>
      <c r="P4729">
        <v>0</v>
      </c>
      <c r="Q4729">
        <v>0</v>
      </c>
      <c r="R4729" t="s">
        <v>32531</v>
      </c>
      <c r="S4729" t="s">
        <v>32586</v>
      </c>
      <c r="T4729" t="s">
        <v>33185</v>
      </c>
      <c r="U4729" t="s">
        <v>37605</v>
      </c>
      <c r="W4729" t="s">
        <v>31298</v>
      </c>
      <c r="X4729" t="s">
        <v>32532</v>
      </c>
    </row>
    <row r="4730" spans="1:24">
      <c r="A4730">
        <f>HYPERLINK("https://www.philgeps.gov.ph/GEPSNONPILOT/Tender/SplashBidNoticeAbstractUI.aspx?menuIndex=3&amp;refID=7038417&amp;Result=3","7038417")</f>
        <v>0</v>
      </c>
      <c r="B4730" t="s">
        <v>1192</v>
      </c>
      <c r="C4730" t="s">
        <v>7197</v>
      </c>
      <c r="D4730" t="s">
        <v>13007</v>
      </c>
      <c r="E4730" t="s">
        <v>17316</v>
      </c>
      <c r="F4730" t="s">
        <v>22436</v>
      </c>
      <c r="G4730" t="s">
        <v>22444</v>
      </c>
      <c r="H4730" t="s">
        <v>22452</v>
      </c>
      <c r="I4730" t="s">
        <v>22462</v>
      </c>
      <c r="J4730" t="s">
        <v>25685</v>
      </c>
      <c r="K4730" t="s">
        <v>29337</v>
      </c>
      <c r="M4730" t="s">
        <v>30839</v>
      </c>
      <c r="N4730" t="s">
        <v>32524</v>
      </c>
      <c r="O4730" t="s">
        <v>32525</v>
      </c>
      <c r="Q4730">
        <v>3</v>
      </c>
      <c r="R4730" t="s">
        <v>32531</v>
      </c>
      <c r="S4730" t="s">
        <v>32593</v>
      </c>
      <c r="T4730" t="s">
        <v>33416</v>
      </c>
      <c r="U4730" t="s">
        <v>37485</v>
      </c>
      <c r="W4730" t="s">
        <v>43709</v>
      </c>
      <c r="X4730" t="s">
        <v>32532</v>
      </c>
    </row>
    <row r="4731" spans="1:24">
      <c r="A4731">
        <f>HYPERLINK("https://www.philgeps.gov.ph/GEPSNONPILOT/Tender/SplashBidNoticeAbstractUI.aspx?menuIndex=3&amp;refID=7038419&amp;Result=3","7038419")</f>
        <v>0</v>
      </c>
      <c r="B4731" t="s">
        <v>765</v>
      </c>
      <c r="C4731" t="s">
        <v>7198</v>
      </c>
      <c r="D4731" t="s">
        <v>13034</v>
      </c>
      <c r="E4731" t="s">
        <v>17317</v>
      </c>
      <c r="F4731" t="s">
        <v>22436</v>
      </c>
      <c r="G4731" t="s">
        <v>22444</v>
      </c>
      <c r="H4731" t="s">
        <v>22452</v>
      </c>
      <c r="I4731" t="s">
        <v>22463</v>
      </c>
      <c r="J4731" t="s">
        <v>22674</v>
      </c>
      <c r="K4731" t="s">
        <v>29337</v>
      </c>
      <c r="M4731" t="s">
        <v>30366</v>
      </c>
      <c r="N4731" t="s">
        <v>32524</v>
      </c>
      <c r="O4731" t="s">
        <v>32525</v>
      </c>
      <c r="P4731">
        <v>0</v>
      </c>
      <c r="Q4731">
        <v>3</v>
      </c>
      <c r="R4731" t="s">
        <v>32531</v>
      </c>
      <c r="S4731" t="s">
        <v>32586</v>
      </c>
      <c r="T4731" t="s">
        <v>33407</v>
      </c>
      <c r="U4731" t="s">
        <v>37606</v>
      </c>
      <c r="V4731" t="s">
        <v>42788</v>
      </c>
      <c r="W4731" t="s">
        <v>30366</v>
      </c>
      <c r="X4731" t="s">
        <v>32532</v>
      </c>
    </row>
    <row r="4732" spans="1:24">
      <c r="A4732">
        <f>HYPERLINK("https://www.philgeps.gov.ph/GEPSNONPILOT/Tender/SplashBidNoticeAbstractUI.aspx?menuIndex=3&amp;refID=7038435&amp;Result=3","7038435")</f>
        <v>0</v>
      </c>
      <c r="B4732" t="s">
        <v>336</v>
      </c>
      <c r="C4732" t="s">
        <v>7199</v>
      </c>
      <c r="D4732" t="s">
        <v>13058</v>
      </c>
      <c r="E4732" t="s">
        <v>17318</v>
      </c>
      <c r="F4732" t="s">
        <v>22436</v>
      </c>
      <c r="G4732" t="s">
        <v>22443</v>
      </c>
      <c r="H4732" t="s">
        <v>22452</v>
      </c>
      <c r="I4732" t="s">
        <v>22460</v>
      </c>
      <c r="J4732" t="s">
        <v>22589</v>
      </c>
      <c r="K4732" t="s">
        <v>29335</v>
      </c>
      <c r="M4732" t="s">
        <v>29912</v>
      </c>
      <c r="N4732" t="s">
        <v>32524</v>
      </c>
      <c r="O4732" t="s">
        <v>32525</v>
      </c>
      <c r="P4732">
        <v>0</v>
      </c>
      <c r="Q4732">
        <v>1</v>
      </c>
      <c r="R4732" t="s">
        <v>32531</v>
      </c>
      <c r="S4732" t="s">
        <v>32586</v>
      </c>
      <c r="T4732" t="s">
        <v>33322</v>
      </c>
      <c r="U4732" t="s">
        <v>37607</v>
      </c>
      <c r="W4732" t="s">
        <v>43679</v>
      </c>
      <c r="X4732" t="s">
        <v>32532</v>
      </c>
    </row>
    <row r="4733" spans="1:24">
      <c r="A4733">
        <f>HYPERLINK("https://www.philgeps.gov.ph/GEPSNONPILOT/Tender/SplashBidNoticeAbstractUI.aspx?menuIndex=3&amp;refID=7038431&amp;Result=3","7038431")</f>
        <v>0</v>
      </c>
      <c r="B4733" t="s">
        <v>1263</v>
      </c>
      <c r="C4733" t="s">
        <v>7200</v>
      </c>
      <c r="D4733" t="s">
        <v>13057</v>
      </c>
      <c r="E4733" t="s">
        <v>17319</v>
      </c>
      <c r="F4733" t="s">
        <v>22436</v>
      </c>
      <c r="G4733" t="s">
        <v>22444</v>
      </c>
      <c r="H4733" t="s">
        <v>22452</v>
      </c>
      <c r="I4733" t="s">
        <v>22458</v>
      </c>
      <c r="J4733" t="s">
        <v>25686</v>
      </c>
      <c r="K4733" t="s">
        <v>29336</v>
      </c>
      <c r="M4733" t="s">
        <v>30916</v>
      </c>
      <c r="N4733" t="s">
        <v>32524</v>
      </c>
      <c r="O4733" t="s">
        <v>32525</v>
      </c>
      <c r="P4733">
        <v>0</v>
      </c>
      <c r="Q4733">
        <v>3</v>
      </c>
      <c r="R4733" t="s">
        <v>32531</v>
      </c>
      <c r="S4733" t="s">
        <v>32586</v>
      </c>
      <c r="T4733" t="s">
        <v>33220</v>
      </c>
      <c r="U4733" t="s">
        <v>37608</v>
      </c>
      <c r="W4733" t="s">
        <v>30916</v>
      </c>
      <c r="X4733" t="s">
        <v>32532</v>
      </c>
    </row>
    <row r="4734" spans="1:24">
      <c r="A4734">
        <f>HYPERLINK("https://www.philgeps.gov.ph/GEPSNONPILOT/Tender/SplashBidNoticeAbstractUI.aspx?menuIndex=3&amp;refID=7038455&amp;Result=3","7038455")</f>
        <v>0</v>
      </c>
      <c r="B4734" t="s">
        <v>461</v>
      </c>
      <c r="C4734" t="s">
        <v>7201</v>
      </c>
      <c r="D4734" t="s">
        <v>12998</v>
      </c>
      <c r="E4734" t="s">
        <v>14555</v>
      </c>
      <c r="F4734" t="s">
        <v>22436</v>
      </c>
      <c r="G4734" t="s">
        <v>22444</v>
      </c>
      <c r="H4734" t="s">
        <v>22452</v>
      </c>
      <c r="I4734" t="s">
        <v>22456</v>
      </c>
      <c r="J4734" t="s">
        <v>25687</v>
      </c>
      <c r="K4734" t="s">
        <v>29338</v>
      </c>
      <c r="M4734" t="s">
        <v>30043</v>
      </c>
      <c r="N4734" t="s">
        <v>32524</v>
      </c>
      <c r="O4734" t="s">
        <v>32525</v>
      </c>
      <c r="P4734">
        <v>0</v>
      </c>
      <c r="Q4734">
        <v>0</v>
      </c>
      <c r="R4734" t="s">
        <v>32531</v>
      </c>
      <c r="S4734" t="s">
        <v>32586</v>
      </c>
      <c r="T4734" t="s">
        <v>33181</v>
      </c>
      <c r="U4734" t="s">
        <v>37609</v>
      </c>
      <c r="W4734" t="s">
        <v>30043</v>
      </c>
      <c r="X4734" t="s">
        <v>32532</v>
      </c>
    </row>
    <row r="4735" spans="1:24">
      <c r="A4735">
        <f>HYPERLINK("https://www.philgeps.gov.ph/GEPSNONPILOT/Tender/SplashBidNoticeAbstractUI.aspx?menuIndex=3&amp;refID=7038468&amp;Result=3","7038468")</f>
        <v>0</v>
      </c>
      <c r="B4735" t="s">
        <v>1622</v>
      </c>
      <c r="C4735" t="s">
        <v>7202</v>
      </c>
      <c r="D4735" t="s">
        <v>12999</v>
      </c>
      <c r="E4735" t="s">
        <v>17320</v>
      </c>
      <c r="F4735" t="s">
        <v>22436</v>
      </c>
      <c r="G4735" t="s">
        <v>22443</v>
      </c>
      <c r="H4735" t="s">
        <v>22452</v>
      </c>
      <c r="I4735" t="s">
        <v>22460</v>
      </c>
      <c r="J4735" t="s">
        <v>25688</v>
      </c>
      <c r="K4735" t="s">
        <v>29342</v>
      </c>
      <c r="M4735" t="s">
        <v>31308</v>
      </c>
      <c r="N4735" t="s">
        <v>32524</v>
      </c>
      <c r="O4735" t="s">
        <v>32525</v>
      </c>
      <c r="P4735">
        <v>0</v>
      </c>
      <c r="Q4735">
        <v>8</v>
      </c>
      <c r="R4735" t="s">
        <v>32531</v>
      </c>
      <c r="S4735" t="s">
        <v>32586</v>
      </c>
      <c r="T4735" t="s">
        <v>33401</v>
      </c>
      <c r="U4735" t="s">
        <v>37610</v>
      </c>
      <c r="W4735" t="s">
        <v>31308</v>
      </c>
      <c r="X4735" t="s">
        <v>32532</v>
      </c>
    </row>
    <row r="4736" spans="1:24">
      <c r="A4736">
        <f>HYPERLINK("https://www.philgeps.gov.ph/GEPSNONPILOT/Tender/SplashBidNoticeAbstractUI.aspx?menuIndex=3&amp;refID=7038459&amp;Result=3","7038459")</f>
        <v>0</v>
      </c>
      <c r="B4736" t="s">
        <v>250</v>
      </c>
      <c r="C4736" t="s">
        <v>7203</v>
      </c>
      <c r="D4736" t="s">
        <v>13037</v>
      </c>
      <c r="E4736" t="s">
        <v>17321</v>
      </c>
      <c r="F4736" t="s">
        <v>22436</v>
      </c>
      <c r="G4736" t="s">
        <v>22446</v>
      </c>
      <c r="H4736" t="s">
        <v>22452</v>
      </c>
      <c r="I4736" t="s">
        <v>22461</v>
      </c>
      <c r="J4736" t="s">
        <v>25689</v>
      </c>
      <c r="K4736" t="s">
        <v>29335</v>
      </c>
      <c r="M4736" t="s">
        <v>31307</v>
      </c>
      <c r="N4736" t="s">
        <v>32524</v>
      </c>
      <c r="O4736" t="s">
        <v>32525</v>
      </c>
      <c r="P4736">
        <v>0</v>
      </c>
      <c r="Q4736">
        <v>2</v>
      </c>
      <c r="R4736" t="s">
        <v>32531</v>
      </c>
      <c r="S4736" t="s">
        <v>32586</v>
      </c>
      <c r="T4736" t="s">
        <v>33229</v>
      </c>
      <c r="U4736" t="s">
        <v>37611</v>
      </c>
      <c r="W4736" t="s">
        <v>31307</v>
      </c>
      <c r="X4736" t="s">
        <v>32532</v>
      </c>
    </row>
    <row r="4737" spans="1:24">
      <c r="A4737">
        <f>HYPERLINK("https://www.philgeps.gov.ph/GEPSNONPILOT/Tender/SplashBidNoticeAbstractUI.aspx?menuIndex=3&amp;refID=7038504&amp;Result=3","7038504")</f>
        <v>0</v>
      </c>
      <c r="B4737" t="s">
        <v>1192</v>
      </c>
      <c r="C4737" t="s">
        <v>7204</v>
      </c>
      <c r="D4737" t="s">
        <v>13007</v>
      </c>
      <c r="E4737" t="s">
        <v>17322</v>
      </c>
      <c r="F4737" t="s">
        <v>22436</v>
      </c>
      <c r="G4737" t="s">
        <v>22444</v>
      </c>
      <c r="H4737" t="s">
        <v>22452</v>
      </c>
      <c r="I4737" t="s">
        <v>2962</v>
      </c>
      <c r="J4737" t="s">
        <v>25690</v>
      </c>
      <c r="K4737" t="s">
        <v>29337</v>
      </c>
      <c r="M4737" t="s">
        <v>30839</v>
      </c>
      <c r="N4737" t="s">
        <v>32524</v>
      </c>
      <c r="O4737" t="s">
        <v>32525</v>
      </c>
      <c r="Q4737">
        <v>2</v>
      </c>
      <c r="R4737" t="s">
        <v>32531</v>
      </c>
      <c r="S4737" t="s">
        <v>32594</v>
      </c>
      <c r="T4737" t="s">
        <v>33416</v>
      </c>
      <c r="U4737" t="s">
        <v>37485</v>
      </c>
      <c r="W4737" t="s">
        <v>43709</v>
      </c>
      <c r="X4737" t="s">
        <v>32532</v>
      </c>
    </row>
    <row r="4738" spans="1:24">
      <c r="A4738">
        <f>HYPERLINK("https://www.philgeps.gov.ph/GEPSNONPILOT/Tender/SplashBidNoticeAbstractUI.aspx?menuIndex=3&amp;refID=7038453&amp;Result=3","7038453")</f>
        <v>0</v>
      </c>
      <c r="B4738" t="s">
        <v>501</v>
      </c>
      <c r="C4738" t="s">
        <v>7205</v>
      </c>
      <c r="D4738" t="s">
        <v>12994</v>
      </c>
      <c r="E4738" t="s">
        <v>17323</v>
      </c>
      <c r="F4738" t="s">
        <v>22436</v>
      </c>
      <c r="G4738" t="s">
        <v>22443</v>
      </c>
      <c r="H4738" t="s">
        <v>22452</v>
      </c>
      <c r="I4738" t="s">
        <v>22501</v>
      </c>
      <c r="J4738" t="s">
        <v>22874</v>
      </c>
      <c r="K4738" t="s">
        <v>29338</v>
      </c>
      <c r="M4738" t="s">
        <v>30085</v>
      </c>
      <c r="N4738" t="s">
        <v>32524</v>
      </c>
      <c r="O4738" t="s">
        <v>32525</v>
      </c>
      <c r="P4738">
        <v>0</v>
      </c>
      <c r="Q4738">
        <v>0</v>
      </c>
      <c r="R4738" t="s">
        <v>32531</v>
      </c>
      <c r="S4738" t="s">
        <v>32586</v>
      </c>
      <c r="T4738" t="s">
        <v>33372</v>
      </c>
      <c r="U4738" t="s">
        <v>34800</v>
      </c>
      <c r="V4738" t="s">
        <v>42941</v>
      </c>
      <c r="W4738" t="s">
        <v>30085</v>
      </c>
      <c r="X4738" t="s">
        <v>32532</v>
      </c>
    </row>
    <row r="4739" spans="1:24">
      <c r="A4739">
        <f>HYPERLINK("https://www.philgeps.gov.ph/GEPSNONPILOT/Tender/SplashBidNoticeAbstractUI.aspx?menuIndex=3&amp;refID=7038438&amp;Result=3","7038438")</f>
        <v>0</v>
      </c>
      <c r="B4739" t="s">
        <v>1623</v>
      </c>
      <c r="C4739" t="s">
        <v>7206</v>
      </c>
      <c r="D4739" t="s">
        <v>12992</v>
      </c>
      <c r="E4739" t="s">
        <v>17324</v>
      </c>
      <c r="F4739" t="s">
        <v>22436</v>
      </c>
      <c r="G4739" t="s">
        <v>22443</v>
      </c>
      <c r="H4739" t="s">
        <v>22452</v>
      </c>
      <c r="I4739" t="s">
        <v>3529</v>
      </c>
      <c r="J4739" t="s">
        <v>25691</v>
      </c>
      <c r="K4739" t="s">
        <v>29335</v>
      </c>
      <c r="M4739" t="s">
        <v>31309</v>
      </c>
      <c r="N4739" t="s">
        <v>32524</v>
      </c>
      <c r="O4739" t="s">
        <v>32525</v>
      </c>
      <c r="P4739">
        <v>0</v>
      </c>
      <c r="Q4739">
        <v>0</v>
      </c>
      <c r="R4739" t="s">
        <v>32531</v>
      </c>
      <c r="S4739" t="s">
        <v>32586</v>
      </c>
      <c r="T4739" t="s">
        <v>33372</v>
      </c>
      <c r="U4739" t="s">
        <v>37612</v>
      </c>
      <c r="W4739" t="s">
        <v>31309</v>
      </c>
      <c r="X4739" t="s">
        <v>32532</v>
      </c>
    </row>
    <row r="4740" spans="1:24">
      <c r="A4740">
        <f>HYPERLINK("https://www.philgeps.gov.ph/GEPSNONPILOT/Tender/SplashBidNoticeAbstractUI.aspx?menuIndex=3&amp;refID=7038503&amp;Result=3","7038503")</f>
        <v>0</v>
      </c>
      <c r="B4740" t="s">
        <v>501</v>
      </c>
      <c r="C4740" t="s">
        <v>7207</v>
      </c>
      <c r="D4740" t="s">
        <v>12994</v>
      </c>
      <c r="E4740" t="s">
        <v>17325</v>
      </c>
      <c r="F4740" t="s">
        <v>22436</v>
      </c>
      <c r="G4740" t="s">
        <v>22443</v>
      </c>
      <c r="H4740" t="s">
        <v>22452</v>
      </c>
      <c r="I4740" t="s">
        <v>11896</v>
      </c>
      <c r="J4740" t="s">
        <v>24255</v>
      </c>
      <c r="K4740" t="s">
        <v>29338</v>
      </c>
      <c r="M4740" t="s">
        <v>30085</v>
      </c>
      <c r="N4740" t="s">
        <v>32524</v>
      </c>
      <c r="O4740" t="s">
        <v>32525</v>
      </c>
      <c r="P4740">
        <v>0</v>
      </c>
      <c r="Q4740">
        <v>4</v>
      </c>
      <c r="R4740" t="s">
        <v>32531</v>
      </c>
      <c r="S4740" t="s">
        <v>32586</v>
      </c>
      <c r="T4740" t="s">
        <v>33372</v>
      </c>
      <c r="U4740" t="s">
        <v>34800</v>
      </c>
      <c r="V4740" t="s">
        <v>42942</v>
      </c>
      <c r="W4740" t="s">
        <v>30085</v>
      </c>
      <c r="X4740" t="s">
        <v>32532</v>
      </c>
    </row>
    <row r="4741" spans="1:24">
      <c r="A4741">
        <f>HYPERLINK("https://www.philgeps.gov.ph/GEPSNONPILOT/Tender/SplashBidNoticeAbstractUI.aspx?menuIndex=3&amp;refID=7038465&amp;Result=3","7038465")</f>
        <v>0</v>
      </c>
      <c r="B4741" t="s">
        <v>1624</v>
      </c>
      <c r="C4741" t="s">
        <v>7208</v>
      </c>
      <c r="D4741" t="s">
        <v>12988</v>
      </c>
      <c r="E4741" t="s">
        <v>17326</v>
      </c>
      <c r="F4741" t="s">
        <v>22437</v>
      </c>
      <c r="G4741" t="s">
        <v>22446</v>
      </c>
      <c r="H4741" t="s">
        <v>22452</v>
      </c>
      <c r="I4741" t="s">
        <v>6387</v>
      </c>
      <c r="J4741" t="s">
        <v>23794</v>
      </c>
      <c r="K4741" t="s">
        <v>29356</v>
      </c>
      <c r="M4741" t="s">
        <v>31310</v>
      </c>
      <c r="N4741" t="s">
        <v>32524</v>
      </c>
      <c r="O4741" t="s">
        <v>32525</v>
      </c>
      <c r="P4741">
        <v>0</v>
      </c>
      <c r="Q4741">
        <v>1</v>
      </c>
      <c r="R4741" t="s">
        <v>32531</v>
      </c>
      <c r="S4741" t="s">
        <v>32586</v>
      </c>
      <c r="T4741" t="s">
        <v>33371</v>
      </c>
      <c r="U4741" t="s">
        <v>37613</v>
      </c>
      <c r="W4741" t="s">
        <v>31310</v>
      </c>
      <c r="X4741" t="s">
        <v>32532</v>
      </c>
    </row>
    <row r="4742" spans="1:24">
      <c r="A4742">
        <f>HYPERLINK("https://www.philgeps.gov.ph/GEPSNONPILOT/Tender/SplashBidNoticeAbstractUI.aspx?menuIndex=3&amp;refID=7038418&amp;Result=3","7038418")</f>
        <v>0</v>
      </c>
      <c r="B4742" t="s">
        <v>1050</v>
      </c>
      <c r="C4742" t="s">
        <v>7209</v>
      </c>
      <c r="D4742" t="s">
        <v>12988</v>
      </c>
      <c r="E4742" t="s">
        <v>13131</v>
      </c>
      <c r="F4742" t="s">
        <v>22436</v>
      </c>
      <c r="G4742" t="s">
        <v>22443</v>
      </c>
      <c r="H4742" t="s">
        <v>22452</v>
      </c>
      <c r="I4742" t="s">
        <v>22456</v>
      </c>
      <c r="J4742" t="s">
        <v>25692</v>
      </c>
      <c r="K4742" t="s">
        <v>29357</v>
      </c>
      <c r="M4742" t="s">
        <v>30682</v>
      </c>
      <c r="N4742" t="s">
        <v>32524</v>
      </c>
      <c r="O4742" t="s">
        <v>32525</v>
      </c>
      <c r="P4742">
        <v>0</v>
      </c>
      <c r="Q4742">
        <v>13</v>
      </c>
      <c r="R4742" t="s">
        <v>32531</v>
      </c>
      <c r="S4742" t="s">
        <v>32586</v>
      </c>
      <c r="T4742" t="s">
        <v>33185</v>
      </c>
      <c r="U4742" t="s">
        <v>37614</v>
      </c>
      <c r="W4742" t="s">
        <v>30682</v>
      </c>
      <c r="X4742" t="s">
        <v>32532</v>
      </c>
    </row>
    <row r="4743" spans="1:24">
      <c r="A4743">
        <f>HYPERLINK("https://www.philgeps.gov.ph/GEPSNONPILOT/Tender/SplashBidNoticeAbstractUI.aspx?menuIndex=3&amp;refID=7038491&amp;Result=3","7038491")</f>
        <v>0</v>
      </c>
      <c r="B4743" t="s">
        <v>250</v>
      </c>
      <c r="C4743" t="s">
        <v>7210</v>
      </c>
      <c r="D4743" t="s">
        <v>13037</v>
      </c>
      <c r="E4743" t="s">
        <v>17327</v>
      </c>
      <c r="F4743" t="s">
        <v>22436</v>
      </c>
      <c r="G4743" t="s">
        <v>22443</v>
      </c>
      <c r="H4743" t="s">
        <v>22452</v>
      </c>
      <c r="I4743" t="s">
        <v>22479</v>
      </c>
      <c r="J4743" t="s">
        <v>22874</v>
      </c>
      <c r="K4743" t="s">
        <v>29341</v>
      </c>
      <c r="M4743" t="s">
        <v>31307</v>
      </c>
      <c r="N4743" t="s">
        <v>32524</v>
      </c>
      <c r="O4743" t="s">
        <v>32525</v>
      </c>
      <c r="P4743">
        <v>0</v>
      </c>
      <c r="Q4743">
        <v>1</v>
      </c>
      <c r="R4743" t="s">
        <v>32531</v>
      </c>
      <c r="S4743" t="s">
        <v>32586</v>
      </c>
      <c r="T4743" t="s">
        <v>33185</v>
      </c>
      <c r="U4743" t="s">
        <v>37615</v>
      </c>
      <c r="W4743" t="s">
        <v>31307</v>
      </c>
      <c r="X4743" t="s">
        <v>32532</v>
      </c>
    </row>
    <row r="4744" spans="1:24">
      <c r="A4744">
        <f>HYPERLINK("https://www.philgeps.gov.ph/GEPSNONPILOT/Tender/SplashBidNoticeAbstractUI.aspx?menuIndex=3&amp;refID=7038464&amp;Result=3","7038464")</f>
        <v>0</v>
      </c>
      <c r="B4744" t="s">
        <v>116</v>
      </c>
      <c r="C4744" t="s">
        <v>7211</v>
      </c>
      <c r="D4744" t="s">
        <v>12994</v>
      </c>
      <c r="E4744" t="s">
        <v>17328</v>
      </c>
      <c r="F4744" t="s">
        <v>22436</v>
      </c>
      <c r="G4744" t="s">
        <v>22444</v>
      </c>
      <c r="H4744" t="s">
        <v>22452</v>
      </c>
      <c r="I4744" t="s">
        <v>3529</v>
      </c>
      <c r="J4744" t="s">
        <v>25693</v>
      </c>
      <c r="K4744" t="s">
        <v>29333</v>
      </c>
      <c r="L4744" t="s">
        <v>116</v>
      </c>
      <c r="M4744" t="s">
        <v>29688</v>
      </c>
      <c r="N4744" t="s">
        <v>32524</v>
      </c>
      <c r="O4744" t="s">
        <v>32525</v>
      </c>
      <c r="P4744">
        <v>0</v>
      </c>
      <c r="Q4744">
        <v>4</v>
      </c>
      <c r="R4744" t="s">
        <v>32531</v>
      </c>
      <c r="S4744" t="s">
        <v>32586</v>
      </c>
      <c r="T4744" t="s">
        <v>33261</v>
      </c>
      <c r="U4744" t="s">
        <v>37616</v>
      </c>
      <c r="W4744" t="s">
        <v>29688</v>
      </c>
      <c r="X4744" t="s">
        <v>32532</v>
      </c>
    </row>
    <row r="4745" spans="1:24">
      <c r="A4745">
        <f>HYPERLINK("https://www.philgeps.gov.ph/GEPSNONPILOT/Tender/SplashBidNoticeAbstractUI.aspx?menuIndex=3&amp;refID=7038502&amp;Result=3","7038502")</f>
        <v>0</v>
      </c>
      <c r="B4745" t="s">
        <v>461</v>
      </c>
      <c r="C4745" t="s">
        <v>7212</v>
      </c>
      <c r="D4745" t="s">
        <v>12998</v>
      </c>
      <c r="E4745" t="s">
        <v>13808</v>
      </c>
      <c r="F4745" t="s">
        <v>22436</v>
      </c>
      <c r="G4745" t="s">
        <v>22444</v>
      </c>
      <c r="H4745" t="s">
        <v>22454</v>
      </c>
      <c r="I4745" t="s">
        <v>7738</v>
      </c>
      <c r="J4745" t="s">
        <v>25694</v>
      </c>
      <c r="K4745" t="s">
        <v>29338</v>
      </c>
      <c r="M4745" t="s">
        <v>30043</v>
      </c>
      <c r="N4745" t="s">
        <v>32524</v>
      </c>
      <c r="O4745" t="s">
        <v>32525</v>
      </c>
      <c r="P4745">
        <v>0</v>
      </c>
      <c r="Q4745">
        <v>0</v>
      </c>
      <c r="R4745" t="s">
        <v>32531</v>
      </c>
      <c r="S4745" t="s">
        <v>32586</v>
      </c>
      <c r="T4745" t="s">
        <v>33181</v>
      </c>
      <c r="U4745" t="s">
        <v>37617</v>
      </c>
      <c r="W4745" t="s">
        <v>30043</v>
      </c>
      <c r="X4745" t="s">
        <v>32532</v>
      </c>
    </row>
    <row r="4746" spans="1:24">
      <c r="A4746">
        <f>HYPERLINK("https://www.philgeps.gov.ph/GEPSNONPILOT/Tender/SplashBidNoticeAbstractUI.aspx?menuIndex=3&amp;refID=7038486&amp;Result=3","7038486")</f>
        <v>0</v>
      </c>
      <c r="B4746" t="s">
        <v>328</v>
      </c>
      <c r="C4746" t="s">
        <v>7213</v>
      </c>
      <c r="D4746" t="s">
        <v>13022</v>
      </c>
      <c r="E4746" t="s">
        <v>17329</v>
      </c>
      <c r="F4746" t="s">
        <v>22436</v>
      </c>
      <c r="G4746" t="s">
        <v>22444</v>
      </c>
      <c r="H4746" t="s">
        <v>22452</v>
      </c>
      <c r="I4746" t="s">
        <v>22555</v>
      </c>
      <c r="J4746" t="s">
        <v>25695</v>
      </c>
      <c r="K4746" t="s">
        <v>29335</v>
      </c>
      <c r="M4746" t="s">
        <v>31311</v>
      </c>
      <c r="N4746" t="s">
        <v>32524</v>
      </c>
      <c r="O4746" t="s">
        <v>32525</v>
      </c>
      <c r="P4746">
        <v>0</v>
      </c>
      <c r="Q4746">
        <v>3</v>
      </c>
      <c r="R4746" t="s">
        <v>32531</v>
      </c>
      <c r="S4746" t="s">
        <v>32586</v>
      </c>
      <c r="T4746" t="s">
        <v>33422</v>
      </c>
      <c r="U4746" t="s">
        <v>37618</v>
      </c>
      <c r="W4746" t="s">
        <v>31311</v>
      </c>
      <c r="X4746" t="s">
        <v>32532</v>
      </c>
    </row>
    <row r="4747" spans="1:24">
      <c r="A4747">
        <f>HYPERLINK("https://www.philgeps.gov.ph/GEPSNONPILOT/Tender/SplashBidNoticeAbstractUI.aspx?menuIndex=3&amp;refID=7038497&amp;Result=3","7038497")</f>
        <v>0</v>
      </c>
      <c r="B4747" t="s">
        <v>1615</v>
      </c>
      <c r="C4747" t="s">
        <v>7214</v>
      </c>
      <c r="D4747" t="s">
        <v>13024</v>
      </c>
      <c r="E4747" t="s">
        <v>17330</v>
      </c>
      <c r="F4747" t="s">
        <v>22436</v>
      </c>
      <c r="G4747" t="s">
        <v>22444</v>
      </c>
      <c r="H4747" t="s">
        <v>22452</v>
      </c>
      <c r="I4747" t="s">
        <v>12358</v>
      </c>
      <c r="J4747" t="s">
        <v>25696</v>
      </c>
      <c r="K4747" t="s">
        <v>29335</v>
      </c>
      <c r="M4747" t="s">
        <v>31300</v>
      </c>
      <c r="N4747" t="s">
        <v>32524</v>
      </c>
      <c r="O4747" t="s">
        <v>32525</v>
      </c>
      <c r="P4747">
        <v>0</v>
      </c>
      <c r="Q4747">
        <v>0</v>
      </c>
      <c r="R4747" t="s">
        <v>32531</v>
      </c>
      <c r="S4747" t="s">
        <v>32586</v>
      </c>
      <c r="T4747" t="s">
        <v>33197</v>
      </c>
      <c r="U4747" t="s">
        <v>37619</v>
      </c>
      <c r="V4747" t="s">
        <v>42943</v>
      </c>
      <c r="W4747" t="s">
        <v>31300</v>
      </c>
      <c r="X4747" t="s">
        <v>32532</v>
      </c>
    </row>
    <row r="4748" spans="1:24">
      <c r="A4748">
        <f>HYPERLINK("https://www.philgeps.gov.ph/GEPSNONPILOT/Tender/SplashBidNoticeAbstractUI.aspx?menuIndex=3&amp;refID=7038489&amp;Result=3","7038489")</f>
        <v>0</v>
      </c>
      <c r="B4748" t="s">
        <v>1625</v>
      </c>
      <c r="C4748" t="s">
        <v>7215</v>
      </c>
      <c r="D4748" t="s">
        <v>13050</v>
      </c>
      <c r="E4748" t="s">
        <v>16264</v>
      </c>
      <c r="F4748" t="s">
        <v>22436</v>
      </c>
      <c r="G4748" t="s">
        <v>22443</v>
      </c>
      <c r="H4748" t="s">
        <v>22452</v>
      </c>
      <c r="I4748" t="s">
        <v>22501</v>
      </c>
      <c r="J4748" t="s">
        <v>23226</v>
      </c>
      <c r="K4748" t="s">
        <v>29335</v>
      </c>
      <c r="M4748" t="s">
        <v>31312</v>
      </c>
      <c r="N4748" t="s">
        <v>32524</v>
      </c>
      <c r="O4748" t="s">
        <v>32525</v>
      </c>
      <c r="P4748">
        <v>0</v>
      </c>
      <c r="Q4748">
        <v>3</v>
      </c>
      <c r="R4748" t="s">
        <v>32531</v>
      </c>
      <c r="S4748" t="s">
        <v>32586</v>
      </c>
      <c r="T4748" t="s">
        <v>33371</v>
      </c>
      <c r="U4748" t="s">
        <v>37620</v>
      </c>
      <c r="W4748" t="s">
        <v>31312</v>
      </c>
      <c r="X4748" t="s">
        <v>32532</v>
      </c>
    </row>
    <row r="4749" spans="1:24">
      <c r="A4749">
        <f>HYPERLINK("https://www.philgeps.gov.ph/GEPSNONPILOT/Tender/SplashBidNoticeAbstractUI.aspx?menuIndex=3&amp;refID=7038507&amp;Result=3","7038507")</f>
        <v>0</v>
      </c>
      <c r="B4749" t="s">
        <v>1626</v>
      </c>
      <c r="C4749" t="s">
        <v>7216</v>
      </c>
      <c r="D4749" t="s">
        <v>13040</v>
      </c>
      <c r="E4749" t="s">
        <v>16289</v>
      </c>
      <c r="F4749" t="s">
        <v>22436</v>
      </c>
      <c r="G4749" t="s">
        <v>22445</v>
      </c>
      <c r="H4749" t="s">
        <v>22452</v>
      </c>
      <c r="I4749" t="s">
        <v>22469</v>
      </c>
      <c r="J4749" t="s">
        <v>22874</v>
      </c>
      <c r="K4749" t="s">
        <v>29357</v>
      </c>
      <c r="M4749" t="s">
        <v>31313</v>
      </c>
      <c r="N4749" t="s">
        <v>32524</v>
      </c>
      <c r="O4749" t="s">
        <v>32525</v>
      </c>
      <c r="P4749">
        <v>0</v>
      </c>
      <c r="Q4749">
        <v>2</v>
      </c>
      <c r="R4749" t="s">
        <v>32531</v>
      </c>
      <c r="S4749" t="s">
        <v>32586</v>
      </c>
      <c r="T4749" t="s">
        <v>33185</v>
      </c>
      <c r="U4749" t="s">
        <v>37621</v>
      </c>
      <c r="W4749" t="s">
        <v>31313</v>
      </c>
      <c r="X4749" t="s">
        <v>32532</v>
      </c>
    </row>
    <row r="4750" spans="1:24">
      <c r="A4750">
        <f>HYPERLINK("https://www.philgeps.gov.ph/GEPSNONPILOT/Tender/SplashBidNoticeAbstractUI.aspx?menuIndex=3&amp;refID=7038483&amp;Result=3","7038483")</f>
        <v>0</v>
      </c>
      <c r="B4750" t="s">
        <v>1583</v>
      </c>
      <c r="C4750" t="s">
        <v>7217</v>
      </c>
      <c r="D4750" t="s">
        <v>12993</v>
      </c>
      <c r="E4750" t="s">
        <v>13318</v>
      </c>
      <c r="F4750" t="s">
        <v>22436</v>
      </c>
      <c r="G4750" t="s">
        <v>22444</v>
      </c>
      <c r="H4750" t="s">
        <v>22452</v>
      </c>
      <c r="I4750" t="s">
        <v>3529</v>
      </c>
      <c r="J4750" t="s">
        <v>25697</v>
      </c>
      <c r="K4750" t="s">
        <v>29334</v>
      </c>
      <c r="M4750" t="s">
        <v>31265</v>
      </c>
      <c r="N4750" t="s">
        <v>32524</v>
      </c>
      <c r="O4750" t="s">
        <v>32525</v>
      </c>
      <c r="P4750">
        <v>0</v>
      </c>
      <c r="Q4750">
        <v>5</v>
      </c>
      <c r="R4750" t="s">
        <v>32531</v>
      </c>
      <c r="S4750" t="s">
        <v>32586</v>
      </c>
      <c r="T4750" t="s">
        <v>33400</v>
      </c>
      <c r="U4750" t="s">
        <v>37622</v>
      </c>
      <c r="W4750" t="s">
        <v>31265</v>
      </c>
      <c r="X4750" t="s">
        <v>32532</v>
      </c>
    </row>
    <row r="4751" spans="1:24">
      <c r="A4751">
        <f>HYPERLINK("https://www.philgeps.gov.ph/GEPSNONPILOT/Tender/SplashBidNoticeAbstractUI.aspx?menuIndex=3&amp;refID=7038482&amp;Result=3","7038482")</f>
        <v>0</v>
      </c>
      <c r="B4751" t="s">
        <v>1627</v>
      </c>
      <c r="C4751" t="s">
        <v>7218</v>
      </c>
      <c r="D4751" t="s">
        <v>13000</v>
      </c>
      <c r="E4751" t="s">
        <v>17331</v>
      </c>
      <c r="F4751" t="s">
        <v>22436</v>
      </c>
      <c r="G4751" t="s">
        <v>22444</v>
      </c>
      <c r="H4751" t="s">
        <v>22455</v>
      </c>
      <c r="I4751" t="s">
        <v>22455</v>
      </c>
      <c r="J4751" t="s">
        <v>25698</v>
      </c>
      <c r="K4751" t="s">
        <v>29335</v>
      </c>
      <c r="M4751" t="s">
        <v>31314</v>
      </c>
      <c r="N4751" t="s">
        <v>32524</v>
      </c>
      <c r="O4751" t="s">
        <v>32525</v>
      </c>
      <c r="P4751">
        <v>0</v>
      </c>
      <c r="Q4751">
        <v>5</v>
      </c>
      <c r="R4751" t="s">
        <v>32531</v>
      </c>
      <c r="S4751" t="s">
        <v>32586</v>
      </c>
      <c r="T4751" t="s">
        <v>33315</v>
      </c>
      <c r="U4751" t="s">
        <v>37623</v>
      </c>
      <c r="W4751" t="s">
        <v>31314</v>
      </c>
      <c r="X4751" t="s">
        <v>32532</v>
      </c>
    </row>
    <row r="4752" spans="1:24">
      <c r="A4752">
        <f>HYPERLINK("https://www.philgeps.gov.ph/GEPSNONPILOT/Tender/SplashBidNoticeAbstractUI.aspx?menuIndex=3&amp;refID=7038492&amp;Result=3","7038492")</f>
        <v>0</v>
      </c>
      <c r="B4752" t="s">
        <v>116</v>
      </c>
      <c r="C4752" t="s">
        <v>7219</v>
      </c>
      <c r="D4752" t="s">
        <v>12994</v>
      </c>
      <c r="E4752" t="s">
        <v>17332</v>
      </c>
      <c r="F4752" t="s">
        <v>22436</v>
      </c>
      <c r="G4752" t="s">
        <v>22444</v>
      </c>
      <c r="H4752" t="s">
        <v>22452</v>
      </c>
      <c r="I4752" t="s">
        <v>3529</v>
      </c>
      <c r="J4752" t="s">
        <v>25699</v>
      </c>
      <c r="K4752" t="s">
        <v>29329</v>
      </c>
      <c r="L4752" t="s">
        <v>116</v>
      </c>
      <c r="M4752" t="s">
        <v>29688</v>
      </c>
      <c r="N4752" t="s">
        <v>32524</v>
      </c>
      <c r="O4752" t="s">
        <v>32525</v>
      </c>
      <c r="P4752">
        <v>0</v>
      </c>
      <c r="Q4752">
        <v>6</v>
      </c>
      <c r="R4752" t="s">
        <v>32531</v>
      </c>
      <c r="S4752" t="s">
        <v>32586</v>
      </c>
      <c r="T4752" t="s">
        <v>33468</v>
      </c>
      <c r="U4752" t="s">
        <v>37624</v>
      </c>
      <c r="W4752" t="s">
        <v>29688</v>
      </c>
      <c r="X4752" t="s">
        <v>32532</v>
      </c>
    </row>
    <row r="4753" spans="1:24">
      <c r="A4753">
        <f>HYPERLINK("https://www.philgeps.gov.ph/GEPSNONPILOT/Tender/SplashBidNoticeAbstractUI.aspx?menuIndex=3&amp;refID=7038469&amp;Result=3","7038469")</f>
        <v>0</v>
      </c>
      <c r="B4753" t="s">
        <v>1628</v>
      </c>
      <c r="C4753" t="s">
        <v>7220</v>
      </c>
      <c r="D4753" t="s">
        <v>12994</v>
      </c>
      <c r="E4753" t="s">
        <v>17333</v>
      </c>
      <c r="F4753" t="s">
        <v>22436</v>
      </c>
      <c r="G4753" t="s">
        <v>22443</v>
      </c>
      <c r="H4753" t="s">
        <v>22452</v>
      </c>
      <c r="I4753" t="s">
        <v>3827</v>
      </c>
      <c r="J4753" t="s">
        <v>25269</v>
      </c>
      <c r="K4753" t="s">
        <v>29341</v>
      </c>
      <c r="M4753" t="s">
        <v>31315</v>
      </c>
      <c r="N4753" t="s">
        <v>32524</v>
      </c>
      <c r="O4753" t="s">
        <v>32525</v>
      </c>
      <c r="P4753">
        <v>0</v>
      </c>
      <c r="Q4753">
        <v>0</v>
      </c>
      <c r="R4753" t="s">
        <v>32531</v>
      </c>
      <c r="S4753" t="s">
        <v>32586</v>
      </c>
      <c r="T4753" t="s">
        <v>33229</v>
      </c>
      <c r="U4753" t="s">
        <v>37625</v>
      </c>
      <c r="W4753" t="s">
        <v>31315</v>
      </c>
      <c r="X4753" t="s">
        <v>32532</v>
      </c>
    </row>
    <row r="4754" spans="1:24">
      <c r="A4754">
        <f>HYPERLINK("https://www.philgeps.gov.ph/GEPSNONPILOT/Tender/SplashBidNoticeAbstractUI.aspx?menuIndex=3&amp;refID=7038511&amp;Result=3","7038511")</f>
        <v>0</v>
      </c>
      <c r="B4754" t="s">
        <v>210</v>
      </c>
      <c r="C4754" t="s">
        <v>7221</v>
      </c>
      <c r="D4754" t="s">
        <v>12994</v>
      </c>
      <c r="E4754" t="s">
        <v>17334</v>
      </c>
      <c r="F4754" t="s">
        <v>22436</v>
      </c>
      <c r="G4754" t="s">
        <v>22443</v>
      </c>
      <c r="H4754" t="s">
        <v>22452</v>
      </c>
      <c r="I4754" t="s">
        <v>6387</v>
      </c>
      <c r="J4754" t="s">
        <v>23226</v>
      </c>
      <c r="K4754" t="s">
        <v>29341</v>
      </c>
      <c r="M4754" t="s">
        <v>29783</v>
      </c>
      <c r="N4754" t="s">
        <v>32524</v>
      </c>
      <c r="O4754" t="s">
        <v>32525</v>
      </c>
      <c r="P4754">
        <v>0</v>
      </c>
      <c r="Q4754">
        <v>1</v>
      </c>
      <c r="R4754" t="s">
        <v>32531</v>
      </c>
      <c r="S4754" t="s">
        <v>32586</v>
      </c>
      <c r="T4754" t="s">
        <v>33220</v>
      </c>
      <c r="U4754" t="s">
        <v>37626</v>
      </c>
      <c r="W4754" t="s">
        <v>29783</v>
      </c>
      <c r="X4754" t="s">
        <v>32532</v>
      </c>
    </row>
    <row r="4755" spans="1:24">
      <c r="A4755">
        <f>HYPERLINK("https://www.philgeps.gov.ph/GEPSNONPILOT/Tender/SplashBidNoticeAbstractUI.aspx?menuIndex=3&amp;refID=7038510&amp;Result=3","7038510")</f>
        <v>0</v>
      </c>
      <c r="B4755" t="s">
        <v>1618</v>
      </c>
      <c r="C4755" t="s">
        <v>7222</v>
      </c>
      <c r="D4755" t="s">
        <v>12992</v>
      </c>
      <c r="E4755" t="s">
        <v>17335</v>
      </c>
      <c r="F4755" t="s">
        <v>22436</v>
      </c>
      <c r="G4755" t="s">
        <v>22444</v>
      </c>
      <c r="H4755" t="s">
        <v>22454</v>
      </c>
      <c r="I4755" t="s">
        <v>7738</v>
      </c>
      <c r="J4755" t="s">
        <v>23627</v>
      </c>
      <c r="K4755" t="s">
        <v>29338</v>
      </c>
      <c r="M4755" t="s">
        <v>31303</v>
      </c>
      <c r="N4755" t="s">
        <v>32524</v>
      </c>
      <c r="O4755" t="s">
        <v>32525</v>
      </c>
      <c r="P4755">
        <v>0</v>
      </c>
      <c r="Q4755">
        <v>0</v>
      </c>
      <c r="R4755" t="s">
        <v>32531</v>
      </c>
      <c r="S4755" t="s">
        <v>32586</v>
      </c>
      <c r="T4755" t="s">
        <v>33213</v>
      </c>
      <c r="U4755" t="s">
        <v>37627</v>
      </c>
      <c r="V4755" t="s">
        <v>42940</v>
      </c>
      <c r="W4755" t="s">
        <v>31303</v>
      </c>
      <c r="X4755" t="s">
        <v>32532</v>
      </c>
    </row>
    <row r="4756" spans="1:24">
      <c r="A4756">
        <f>HYPERLINK("https://www.philgeps.gov.ph/GEPSNONPILOT/Tender/SplashBidNoticeAbstractUI.aspx?menuIndex=3&amp;refID=7038527&amp;Result=3","7038527")</f>
        <v>0</v>
      </c>
      <c r="B4756" t="s">
        <v>1108</v>
      </c>
      <c r="C4756" t="s">
        <v>7223</v>
      </c>
      <c r="D4756" t="s">
        <v>13061</v>
      </c>
      <c r="E4756" t="s">
        <v>17336</v>
      </c>
      <c r="F4756" t="s">
        <v>22436</v>
      </c>
      <c r="G4756" t="s">
        <v>22444</v>
      </c>
      <c r="H4756" t="s">
        <v>22454</v>
      </c>
      <c r="I4756" t="s">
        <v>7738</v>
      </c>
      <c r="J4756" t="s">
        <v>25700</v>
      </c>
      <c r="K4756" t="s">
        <v>29344</v>
      </c>
      <c r="M4756" t="s">
        <v>31316</v>
      </c>
      <c r="N4756" t="s">
        <v>32524</v>
      </c>
      <c r="O4756" t="s">
        <v>32525</v>
      </c>
      <c r="P4756">
        <v>0</v>
      </c>
      <c r="Q4756">
        <v>0</v>
      </c>
      <c r="R4756" t="s">
        <v>32531</v>
      </c>
      <c r="S4756" t="s">
        <v>32586</v>
      </c>
      <c r="T4756" t="s">
        <v>33434</v>
      </c>
      <c r="U4756" t="s">
        <v>37628</v>
      </c>
      <c r="W4756" t="s">
        <v>31316</v>
      </c>
      <c r="X4756" t="s">
        <v>32532</v>
      </c>
    </row>
    <row r="4757" spans="1:24">
      <c r="A4757">
        <f>HYPERLINK("https://www.philgeps.gov.ph/GEPSNONPILOT/Tender/SplashBidNoticeAbstractUI.aspx?menuIndex=3&amp;refID=7038509&amp;Result=3","7038509")</f>
        <v>0</v>
      </c>
      <c r="B4757" t="s">
        <v>250</v>
      </c>
      <c r="C4757" t="s">
        <v>7224</v>
      </c>
      <c r="D4757" t="s">
        <v>13037</v>
      </c>
      <c r="E4757" t="s">
        <v>17337</v>
      </c>
      <c r="F4757" t="s">
        <v>22436</v>
      </c>
      <c r="G4757" t="s">
        <v>22443</v>
      </c>
      <c r="H4757" t="s">
        <v>22452</v>
      </c>
      <c r="I4757" t="s">
        <v>22461</v>
      </c>
      <c r="J4757" t="s">
        <v>23955</v>
      </c>
      <c r="K4757" t="s">
        <v>29341</v>
      </c>
      <c r="M4757" t="s">
        <v>31307</v>
      </c>
      <c r="N4757" t="s">
        <v>32524</v>
      </c>
      <c r="O4757" t="s">
        <v>32525</v>
      </c>
      <c r="P4757">
        <v>0</v>
      </c>
      <c r="Q4757">
        <v>2</v>
      </c>
      <c r="R4757" t="s">
        <v>32531</v>
      </c>
      <c r="S4757" t="s">
        <v>32586</v>
      </c>
      <c r="T4757" t="s">
        <v>33229</v>
      </c>
      <c r="U4757" t="s">
        <v>37629</v>
      </c>
      <c r="W4757" t="s">
        <v>31307</v>
      </c>
      <c r="X4757" t="s">
        <v>32532</v>
      </c>
    </row>
    <row r="4758" spans="1:24">
      <c r="A4758">
        <f>HYPERLINK("https://www.philgeps.gov.ph/GEPSNONPILOT/Tender/SplashBidNoticeAbstractUI.aspx?menuIndex=3&amp;refID=7038529&amp;Result=3","7038529")</f>
        <v>0</v>
      </c>
      <c r="B4758" t="s">
        <v>1629</v>
      </c>
      <c r="C4758" t="s">
        <v>7225</v>
      </c>
      <c r="D4758" t="s">
        <v>12995</v>
      </c>
      <c r="E4758" t="s">
        <v>17338</v>
      </c>
      <c r="F4758" t="s">
        <v>22436</v>
      </c>
      <c r="G4758" t="s">
        <v>22443</v>
      </c>
      <c r="H4758" t="s">
        <v>22452</v>
      </c>
      <c r="I4758" t="s">
        <v>3827</v>
      </c>
      <c r="J4758" t="s">
        <v>25701</v>
      </c>
      <c r="K4758" t="s">
        <v>29338</v>
      </c>
      <c r="M4758" t="s">
        <v>31317</v>
      </c>
      <c r="N4758" t="s">
        <v>32524</v>
      </c>
      <c r="O4758" t="s">
        <v>32525</v>
      </c>
      <c r="P4758">
        <v>0</v>
      </c>
      <c r="Q4758">
        <v>0</v>
      </c>
      <c r="R4758" t="s">
        <v>32531</v>
      </c>
      <c r="S4758" t="s">
        <v>32586</v>
      </c>
      <c r="T4758" t="s">
        <v>33372</v>
      </c>
      <c r="U4758" t="s">
        <v>37630</v>
      </c>
      <c r="V4758" t="s">
        <v>42944</v>
      </c>
      <c r="W4758" t="s">
        <v>31317</v>
      </c>
      <c r="X4758" t="s">
        <v>32532</v>
      </c>
    </row>
    <row r="4759" spans="1:24">
      <c r="A4759">
        <f>HYPERLINK("https://www.philgeps.gov.ph/GEPSNONPILOT/Tender/SplashBidNoticeAbstractUI.aspx?menuIndex=3&amp;refID=7038525&amp;Result=3","7038525")</f>
        <v>0</v>
      </c>
      <c r="B4759" t="s">
        <v>1623</v>
      </c>
      <c r="C4759" t="s">
        <v>7226</v>
      </c>
      <c r="D4759" t="s">
        <v>12992</v>
      </c>
      <c r="E4759" t="s">
        <v>17218</v>
      </c>
      <c r="F4759" t="s">
        <v>22436</v>
      </c>
      <c r="G4759" t="s">
        <v>22443</v>
      </c>
      <c r="H4759" t="s">
        <v>22452</v>
      </c>
      <c r="I4759" t="s">
        <v>3529</v>
      </c>
      <c r="J4759" t="s">
        <v>25702</v>
      </c>
      <c r="K4759" t="s">
        <v>29335</v>
      </c>
      <c r="M4759" t="s">
        <v>31309</v>
      </c>
      <c r="N4759" t="s">
        <v>32524</v>
      </c>
      <c r="O4759" t="s">
        <v>32525</v>
      </c>
      <c r="P4759">
        <v>0</v>
      </c>
      <c r="Q4759">
        <v>1</v>
      </c>
      <c r="R4759" t="s">
        <v>32531</v>
      </c>
      <c r="S4759" t="s">
        <v>32586</v>
      </c>
      <c r="T4759" t="s">
        <v>33372</v>
      </c>
      <c r="U4759" t="s">
        <v>33876</v>
      </c>
      <c r="W4759" t="s">
        <v>31309</v>
      </c>
      <c r="X4759" t="s">
        <v>32532</v>
      </c>
    </row>
    <row r="4760" spans="1:24">
      <c r="A4760">
        <f>HYPERLINK("https://www.philgeps.gov.ph/GEPSNONPILOT/Tender/SplashBidNoticeAbstractUI.aspx?menuIndex=3&amp;refID=7038490&amp;Result=3","7038490")</f>
        <v>0</v>
      </c>
      <c r="B4760" t="s">
        <v>798</v>
      </c>
      <c r="C4760" t="s">
        <v>7227</v>
      </c>
      <c r="D4760" t="s">
        <v>13024</v>
      </c>
      <c r="E4760" t="s">
        <v>17339</v>
      </c>
      <c r="F4760" t="s">
        <v>22436</v>
      </c>
      <c r="G4760" t="s">
        <v>22444</v>
      </c>
      <c r="H4760" t="s">
        <v>22452</v>
      </c>
      <c r="I4760" t="s">
        <v>6421</v>
      </c>
      <c r="J4760" t="s">
        <v>25703</v>
      </c>
      <c r="K4760" t="s">
        <v>29335</v>
      </c>
      <c r="M4760" t="s">
        <v>30400</v>
      </c>
      <c r="N4760" t="s">
        <v>32524</v>
      </c>
      <c r="O4760" t="s">
        <v>32525</v>
      </c>
      <c r="P4760">
        <v>0</v>
      </c>
      <c r="Q4760">
        <v>12</v>
      </c>
      <c r="R4760" t="s">
        <v>32531</v>
      </c>
      <c r="S4760" t="s">
        <v>32586</v>
      </c>
      <c r="T4760" t="s">
        <v>33262</v>
      </c>
      <c r="U4760" t="s">
        <v>37631</v>
      </c>
      <c r="W4760" t="s">
        <v>30400</v>
      </c>
      <c r="X4760" t="s">
        <v>32532</v>
      </c>
    </row>
    <row r="4761" spans="1:24">
      <c r="A4761">
        <f>HYPERLINK("https://www.philgeps.gov.ph/GEPSNONPILOT/Tender/SplashBidNoticeAbstractUI.aspx?menuIndex=3&amp;refID=7038523&amp;Result=3","7038523")</f>
        <v>0</v>
      </c>
      <c r="B4761" t="s">
        <v>1621</v>
      </c>
      <c r="C4761" t="s">
        <v>7228</v>
      </c>
      <c r="D4761" t="s">
        <v>13007</v>
      </c>
      <c r="E4761" t="s">
        <v>17340</v>
      </c>
      <c r="F4761" t="s">
        <v>22436</v>
      </c>
      <c r="G4761" t="s">
        <v>22443</v>
      </c>
      <c r="H4761" t="s">
        <v>22452</v>
      </c>
      <c r="I4761" t="s">
        <v>22476</v>
      </c>
      <c r="J4761" t="s">
        <v>25704</v>
      </c>
      <c r="K4761" t="s">
        <v>29341</v>
      </c>
      <c r="M4761" t="s">
        <v>31306</v>
      </c>
      <c r="N4761" t="s">
        <v>32524</v>
      </c>
      <c r="O4761" t="s">
        <v>32525</v>
      </c>
      <c r="P4761">
        <v>0</v>
      </c>
      <c r="Q4761">
        <v>0</v>
      </c>
      <c r="R4761" t="s">
        <v>32531</v>
      </c>
      <c r="S4761" t="s">
        <v>32586</v>
      </c>
      <c r="T4761" t="s">
        <v>33238</v>
      </c>
      <c r="U4761" t="s">
        <v>37632</v>
      </c>
      <c r="W4761" t="s">
        <v>43728</v>
      </c>
      <c r="X4761" t="s">
        <v>32532</v>
      </c>
    </row>
    <row r="4762" spans="1:24">
      <c r="A4762">
        <f>HYPERLINK("https://www.philgeps.gov.ph/GEPSNONPILOT/Tender/SplashBidNoticeAbstractUI.aspx?menuIndex=3&amp;refID=7038535&amp;Result=3","7038535")</f>
        <v>0</v>
      </c>
      <c r="B4762" t="s">
        <v>1630</v>
      </c>
      <c r="C4762" t="s">
        <v>7229</v>
      </c>
      <c r="D4762" t="s">
        <v>13062</v>
      </c>
      <c r="E4762" t="s">
        <v>17341</v>
      </c>
      <c r="F4762" t="s">
        <v>22436</v>
      </c>
      <c r="G4762" t="s">
        <v>22444</v>
      </c>
      <c r="H4762" t="s">
        <v>22454</v>
      </c>
      <c r="I4762" t="s">
        <v>7738</v>
      </c>
      <c r="J4762" t="s">
        <v>25705</v>
      </c>
      <c r="K4762" t="s">
        <v>29344</v>
      </c>
      <c r="M4762" t="s">
        <v>31318</v>
      </c>
      <c r="N4762" t="s">
        <v>32524</v>
      </c>
      <c r="O4762" t="s">
        <v>32525</v>
      </c>
      <c r="P4762">
        <v>0</v>
      </c>
      <c r="Q4762">
        <v>0</v>
      </c>
      <c r="R4762" t="s">
        <v>32531</v>
      </c>
      <c r="S4762" t="s">
        <v>32586</v>
      </c>
      <c r="T4762" t="s">
        <v>33422</v>
      </c>
      <c r="U4762" t="s">
        <v>37633</v>
      </c>
      <c r="W4762" t="s">
        <v>31318</v>
      </c>
      <c r="X4762" t="s">
        <v>32532</v>
      </c>
    </row>
    <row r="4763" spans="1:24">
      <c r="A4763">
        <f>HYPERLINK("https://www.philgeps.gov.ph/GEPSNONPILOT/Tender/SplashBidNoticeAbstractUI.aspx?menuIndex=3&amp;refID=7038516&amp;Result=3","7038516")</f>
        <v>0</v>
      </c>
      <c r="B4763" t="s">
        <v>501</v>
      </c>
      <c r="C4763" t="s">
        <v>7230</v>
      </c>
      <c r="D4763" t="s">
        <v>12994</v>
      </c>
      <c r="E4763" t="s">
        <v>17342</v>
      </c>
      <c r="F4763" t="s">
        <v>22436</v>
      </c>
      <c r="G4763" t="s">
        <v>22446</v>
      </c>
      <c r="H4763" t="s">
        <v>22452</v>
      </c>
      <c r="I4763" t="s">
        <v>22501</v>
      </c>
      <c r="J4763" t="s">
        <v>23327</v>
      </c>
      <c r="K4763" t="s">
        <v>29338</v>
      </c>
      <c r="M4763" t="s">
        <v>30085</v>
      </c>
      <c r="N4763" t="s">
        <v>32524</v>
      </c>
      <c r="O4763" t="s">
        <v>32525</v>
      </c>
      <c r="P4763">
        <v>0</v>
      </c>
      <c r="Q4763">
        <v>0</v>
      </c>
      <c r="R4763" t="s">
        <v>32531</v>
      </c>
      <c r="S4763" t="s">
        <v>32586</v>
      </c>
      <c r="T4763" t="s">
        <v>33372</v>
      </c>
      <c r="U4763" t="s">
        <v>34646</v>
      </c>
      <c r="V4763" t="s">
        <v>42553</v>
      </c>
      <c r="W4763" t="s">
        <v>30085</v>
      </c>
      <c r="X4763" t="s">
        <v>32532</v>
      </c>
    </row>
    <row r="4764" spans="1:24">
      <c r="A4764">
        <f>HYPERLINK("https://www.philgeps.gov.ph/GEPSNONPILOT/Tender/SplashBidNoticeAbstractUI.aspx?menuIndex=3&amp;refID=7038530&amp;Result=3","7038530")</f>
        <v>0</v>
      </c>
      <c r="B4764" t="s">
        <v>461</v>
      </c>
      <c r="C4764" t="s">
        <v>7231</v>
      </c>
      <c r="D4764" t="s">
        <v>12998</v>
      </c>
      <c r="E4764" t="s">
        <v>13888</v>
      </c>
      <c r="F4764" t="s">
        <v>22436</v>
      </c>
      <c r="G4764" t="s">
        <v>22444</v>
      </c>
      <c r="H4764" t="s">
        <v>22454</v>
      </c>
      <c r="I4764" t="s">
        <v>7738</v>
      </c>
      <c r="J4764" t="s">
        <v>25706</v>
      </c>
      <c r="K4764" t="s">
        <v>29338</v>
      </c>
      <c r="M4764" t="s">
        <v>30043</v>
      </c>
      <c r="N4764" t="s">
        <v>32524</v>
      </c>
      <c r="O4764" t="s">
        <v>32525</v>
      </c>
      <c r="P4764">
        <v>0</v>
      </c>
      <c r="Q4764">
        <v>0</v>
      </c>
      <c r="R4764" t="s">
        <v>32531</v>
      </c>
      <c r="S4764" t="s">
        <v>32586</v>
      </c>
      <c r="T4764" t="s">
        <v>33181</v>
      </c>
      <c r="U4764" t="s">
        <v>37634</v>
      </c>
      <c r="W4764" t="s">
        <v>30043</v>
      </c>
      <c r="X4764" t="s">
        <v>32532</v>
      </c>
    </row>
    <row r="4765" spans="1:24">
      <c r="A4765">
        <f>HYPERLINK("https://www.philgeps.gov.ph/GEPSNONPILOT/Tender/SplashBidNoticeAbstractUI.aspx?menuIndex=3&amp;refID=7038533&amp;Result=3","7038533")</f>
        <v>0</v>
      </c>
      <c r="B4765" t="s">
        <v>250</v>
      </c>
      <c r="C4765" t="s">
        <v>7232</v>
      </c>
      <c r="D4765" t="s">
        <v>12999</v>
      </c>
      <c r="E4765" t="s">
        <v>17343</v>
      </c>
      <c r="F4765" t="s">
        <v>22436</v>
      </c>
      <c r="G4765" t="s">
        <v>22443</v>
      </c>
      <c r="H4765" t="s">
        <v>22452</v>
      </c>
      <c r="I4765" t="s">
        <v>3529</v>
      </c>
      <c r="J4765" t="s">
        <v>25707</v>
      </c>
      <c r="K4765" t="s">
        <v>29335</v>
      </c>
      <c r="M4765" t="s">
        <v>31319</v>
      </c>
      <c r="N4765" t="s">
        <v>32524</v>
      </c>
      <c r="O4765" t="s">
        <v>32525</v>
      </c>
      <c r="P4765">
        <v>0</v>
      </c>
      <c r="Q4765">
        <v>0</v>
      </c>
      <c r="R4765" t="s">
        <v>32531</v>
      </c>
      <c r="S4765" t="s">
        <v>32586</v>
      </c>
      <c r="T4765" t="s">
        <v>33322</v>
      </c>
      <c r="U4765" t="s">
        <v>37635</v>
      </c>
      <c r="W4765" t="s">
        <v>31319</v>
      </c>
      <c r="X4765" t="s">
        <v>32532</v>
      </c>
    </row>
    <row r="4766" spans="1:24">
      <c r="A4766">
        <f>HYPERLINK("https://www.philgeps.gov.ph/GEPSNONPILOT/Tender/SplashBidNoticeAbstractUI.aspx?menuIndex=3&amp;refID=7038534&amp;Result=3","7038534")</f>
        <v>0</v>
      </c>
      <c r="B4766" t="s">
        <v>1429</v>
      </c>
      <c r="C4766" t="s">
        <v>7233</v>
      </c>
      <c r="E4766" t="s">
        <v>17344</v>
      </c>
      <c r="F4766" t="s">
        <v>22436</v>
      </c>
      <c r="G4766" t="s">
        <v>22443</v>
      </c>
      <c r="H4766" t="s">
        <v>22452</v>
      </c>
      <c r="I4766" t="s">
        <v>22469</v>
      </c>
      <c r="J4766" t="s">
        <v>23085</v>
      </c>
      <c r="K4766" t="s">
        <v>29338</v>
      </c>
      <c r="M4766" t="s">
        <v>31092</v>
      </c>
      <c r="N4766" t="s">
        <v>32524</v>
      </c>
      <c r="O4766" t="s">
        <v>32525</v>
      </c>
      <c r="P4766">
        <v>0</v>
      </c>
      <c r="Q4766">
        <v>8</v>
      </c>
      <c r="R4766" t="s">
        <v>32531</v>
      </c>
      <c r="S4766" t="s">
        <v>32586</v>
      </c>
      <c r="T4766" t="s">
        <v>33167</v>
      </c>
      <c r="U4766" t="s">
        <v>37636</v>
      </c>
      <c r="W4766" t="s">
        <v>31092</v>
      </c>
      <c r="X4766" t="s">
        <v>32532</v>
      </c>
    </row>
    <row r="4767" spans="1:24">
      <c r="A4767">
        <f>HYPERLINK("https://www.philgeps.gov.ph/GEPSNONPILOT/Tender/SplashBidNoticeAbstractUI.aspx?menuIndex=3&amp;refID=7038554&amp;Result=3","7038554")</f>
        <v>0</v>
      </c>
      <c r="B4767" t="s">
        <v>1192</v>
      </c>
      <c r="C4767" t="s">
        <v>7234</v>
      </c>
      <c r="D4767" t="s">
        <v>13007</v>
      </c>
      <c r="E4767" t="s">
        <v>17345</v>
      </c>
      <c r="F4767" t="s">
        <v>22436</v>
      </c>
      <c r="G4767" t="s">
        <v>22444</v>
      </c>
      <c r="H4767" t="s">
        <v>22452</v>
      </c>
      <c r="I4767" t="s">
        <v>22479</v>
      </c>
      <c r="J4767" t="s">
        <v>25708</v>
      </c>
      <c r="K4767" t="s">
        <v>29337</v>
      </c>
      <c r="M4767" t="s">
        <v>30839</v>
      </c>
      <c r="N4767" t="s">
        <v>32524</v>
      </c>
      <c r="O4767" t="s">
        <v>32525</v>
      </c>
      <c r="Q4767">
        <v>1</v>
      </c>
      <c r="R4767" t="s">
        <v>32531</v>
      </c>
      <c r="S4767" t="s">
        <v>32595</v>
      </c>
      <c r="T4767" t="s">
        <v>33416</v>
      </c>
      <c r="U4767" t="s">
        <v>37485</v>
      </c>
      <c r="W4767" t="s">
        <v>43709</v>
      </c>
      <c r="X4767" t="s">
        <v>32532</v>
      </c>
    </row>
    <row r="4768" spans="1:24">
      <c r="A4768">
        <f>HYPERLINK("https://www.philgeps.gov.ph/GEPSNONPILOT/Tender/SplashBidNoticeAbstractUI.aspx?menuIndex=3&amp;refID=7038531&amp;Result=3","7038531")</f>
        <v>0</v>
      </c>
      <c r="B4768" t="s">
        <v>1610</v>
      </c>
      <c r="C4768" t="s">
        <v>7235</v>
      </c>
      <c r="D4768" t="s">
        <v>13018</v>
      </c>
      <c r="E4768" t="s">
        <v>17346</v>
      </c>
      <c r="F4768" t="s">
        <v>22436</v>
      </c>
      <c r="G4768" t="s">
        <v>22444</v>
      </c>
      <c r="H4768" t="s">
        <v>22452</v>
      </c>
      <c r="I4768" t="s">
        <v>22474</v>
      </c>
      <c r="J4768" t="s">
        <v>23093</v>
      </c>
      <c r="K4768" t="s">
        <v>29333</v>
      </c>
      <c r="M4768" t="s">
        <v>31294</v>
      </c>
      <c r="N4768" t="s">
        <v>32524</v>
      </c>
      <c r="O4768" t="s">
        <v>32525</v>
      </c>
      <c r="P4768">
        <v>0</v>
      </c>
      <c r="Q4768">
        <v>0</v>
      </c>
      <c r="R4768" t="s">
        <v>32531</v>
      </c>
      <c r="S4768" t="s">
        <v>32586</v>
      </c>
      <c r="T4768" t="s">
        <v>33469</v>
      </c>
      <c r="U4768" t="s">
        <v>37637</v>
      </c>
      <c r="W4768" t="s">
        <v>31294</v>
      </c>
      <c r="X4768" t="s">
        <v>32532</v>
      </c>
    </row>
    <row r="4769" spans="1:24">
      <c r="A4769">
        <f>HYPERLINK("https://www.philgeps.gov.ph/GEPSNONPILOT/Tender/SplashBidNoticeAbstractUI.aspx?menuIndex=3&amp;refID=7038558&amp;Result=3","7038558")</f>
        <v>0</v>
      </c>
      <c r="B4769" t="s">
        <v>1589</v>
      </c>
      <c r="C4769" t="s">
        <v>7236</v>
      </c>
      <c r="D4769" t="s">
        <v>13060</v>
      </c>
      <c r="E4769" t="s">
        <v>17347</v>
      </c>
      <c r="F4769" t="s">
        <v>22436</v>
      </c>
      <c r="G4769" t="s">
        <v>22444</v>
      </c>
      <c r="H4769" t="s">
        <v>22454</v>
      </c>
      <c r="I4769" t="s">
        <v>7738</v>
      </c>
      <c r="J4769" t="s">
        <v>25709</v>
      </c>
      <c r="K4769" t="s">
        <v>29329</v>
      </c>
      <c r="M4769" t="s">
        <v>31272</v>
      </c>
      <c r="N4769" t="s">
        <v>32524</v>
      </c>
      <c r="O4769" t="s">
        <v>32525</v>
      </c>
      <c r="P4769">
        <v>0</v>
      </c>
      <c r="Q4769">
        <v>0</v>
      </c>
      <c r="R4769" t="s">
        <v>32531</v>
      </c>
      <c r="S4769" t="s">
        <v>32586</v>
      </c>
      <c r="T4769" t="s">
        <v>33320</v>
      </c>
      <c r="U4769" t="s">
        <v>37638</v>
      </c>
      <c r="V4769" t="s">
        <v>42945</v>
      </c>
      <c r="W4769" t="s">
        <v>31272</v>
      </c>
      <c r="X4769" t="s">
        <v>32532</v>
      </c>
    </row>
    <row r="4770" spans="1:24">
      <c r="A4770">
        <f>HYPERLINK("https://www.philgeps.gov.ph/GEPSNONPILOT/Tender/SplashBidNoticeAbstractUI.aspx?menuIndex=3&amp;refID=7038550&amp;Result=3","7038550")</f>
        <v>0</v>
      </c>
      <c r="B4770" t="s">
        <v>348</v>
      </c>
      <c r="C4770" t="s">
        <v>7237</v>
      </c>
      <c r="D4770" t="s">
        <v>13038</v>
      </c>
      <c r="E4770" t="s">
        <v>17348</v>
      </c>
      <c r="F4770" t="s">
        <v>22436</v>
      </c>
      <c r="G4770" t="s">
        <v>22444</v>
      </c>
      <c r="H4770" t="s">
        <v>22454</v>
      </c>
      <c r="I4770" t="s">
        <v>7738</v>
      </c>
      <c r="J4770" t="s">
        <v>25710</v>
      </c>
      <c r="K4770" t="s">
        <v>29344</v>
      </c>
      <c r="M4770" t="s">
        <v>31320</v>
      </c>
      <c r="N4770" t="s">
        <v>32524</v>
      </c>
      <c r="O4770" t="s">
        <v>32525</v>
      </c>
      <c r="P4770">
        <v>0</v>
      </c>
      <c r="Q4770">
        <v>0</v>
      </c>
      <c r="R4770" t="s">
        <v>32531</v>
      </c>
      <c r="S4770" t="s">
        <v>32586</v>
      </c>
      <c r="T4770" t="s">
        <v>33452</v>
      </c>
      <c r="U4770" t="s">
        <v>37639</v>
      </c>
      <c r="W4770" t="s">
        <v>31320</v>
      </c>
      <c r="X4770" t="s">
        <v>32532</v>
      </c>
    </row>
    <row r="4771" spans="1:24">
      <c r="A4771">
        <f>HYPERLINK("https://www.philgeps.gov.ph/GEPSNONPILOT/Tender/SplashBidNoticeAbstractUI.aspx?menuIndex=3&amp;refID=7038553&amp;Result=3","7038553")</f>
        <v>0</v>
      </c>
      <c r="B4771" t="s">
        <v>1631</v>
      </c>
      <c r="C4771" t="s">
        <v>7238</v>
      </c>
      <c r="D4771" t="s">
        <v>13019</v>
      </c>
      <c r="E4771" t="s">
        <v>17349</v>
      </c>
      <c r="F4771" t="s">
        <v>22436</v>
      </c>
      <c r="G4771" t="s">
        <v>22444</v>
      </c>
      <c r="H4771" t="s">
        <v>22452</v>
      </c>
      <c r="I4771" t="s">
        <v>3827</v>
      </c>
      <c r="J4771" t="s">
        <v>25711</v>
      </c>
      <c r="K4771" t="s">
        <v>29336</v>
      </c>
      <c r="M4771" t="s">
        <v>31321</v>
      </c>
      <c r="N4771" t="s">
        <v>32524</v>
      </c>
      <c r="O4771" t="s">
        <v>32525</v>
      </c>
      <c r="P4771">
        <v>0</v>
      </c>
      <c r="Q4771">
        <v>4</v>
      </c>
      <c r="R4771" t="s">
        <v>32531</v>
      </c>
      <c r="S4771" t="s">
        <v>32586</v>
      </c>
      <c r="T4771" t="s">
        <v>33234</v>
      </c>
      <c r="U4771" t="s">
        <v>37640</v>
      </c>
      <c r="W4771" t="s">
        <v>31321</v>
      </c>
      <c r="X4771" t="s">
        <v>32532</v>
      </c>
    </row>
    <row r="4772" spans="1:24">
      <c r="A4772">
        <f>HYPERLINK("https://www.philgeps.gov.ph/GEPSNONPILOT/Tender/SplashBidNoticeAbstractUI.aspx?menuIndex=3&amp;refID=7038543&amp;Result=3","7038543")</f>
        <v>0</v>
      </c>
      <c r="B4772" t="s">
        <v>763</v>
      </c>
      <c r="C4772" t="s">
        <v>7239</v>
      </c>
      <c r="D4772" t="s">
        <v>13013</v>
      </c>
      <c r="E4772" t="s">
        <v>17350</v>
      </c>
      <c r="F4772" t="s">
        <v>22436</v>
      </c>
      <c r="G4772" t="s">
        <v>22444</v>
      </c>
      <c r="H4772" t="s">
        <v>22452</v>
      </c>
      <c r="I4772" t="s">
        <v>3122</v>
      </c>
      <c r="J4772" t="s">
        <v>25712</v>
      </c>
      <c r="K4772" t="s">
        <v>29356</v>
      </c>
      <c r="M4772" t="s">
        <v>30364</v>
      </c>
      <c r="N4772" t="s">
        <v>32524</v>
      </c>
      <c r="O4772" t="s">
        <v>32525</v>
      </c>
      <c r="P4772">
        <v>0</v>
      </c>
      <c r="Q4772">
        <v>1</v>
      </c>
      <c r="R4772" t="s">
        <v>32531</v>
      </c>
      <c r="S4772" t="s">
        <v>32586</v>
      </c>
      <c r="T4772" t="s">
        <v>33405</v>
      </c>
      <c r="U4772" t="s">
        <v>37641</v>
      </c>
      <c r="W4772" t="s">
        <v>30364</v>
      </c>
      <c r="X4772" t="s">
        <v>32532</v>
      </c>
    </row>
    <row r="4773" spans="1:24">
      <c r="A4773">
        <f>HYPERLINK("https://www.philgeps.gov.ph/GEPSNONPILOT/Tender/SplashBidNoticeAbstractUI.aspx?menuIndex=3&amp;refID=7038562&amp;Result=3","7038562")</f>
        <v>0</v>
      </c>
      <c r="B4773" t="s">
        <v>1108</v>
      </c>
      <c r="C4773" t="s">
        <v>7240</v>
      </c>
      <c r="D4773" t="s">
        <v>13061</v>
      </c>
      <c r="E4773" t="s">
        <v>17351</v>
      </c>
      <c r="F4773" t="s">
        <v>22436</v>
      </c>
      <c r="G4773" t="s">
        <v>22444</v>
      </c>
      <c r="H4773" t="s">
        <v>22454</v>
      </c>
      <c r="I4773" t="s">
        <v>7738</v>
      </c>
      <c r="J4773" t="s">
        <v>25713</v>
      </c>
      <c r="K4773" t="s">
        <v>29344</v>
      </c>
      <c r="M4773" t="s">
        <v>31316</v>
      </c>
      <c r="N4773" t="s">
        <v>32524</v>
      </c>
      <c r="O4773" t="s">
        <v>32525</v>
      </c>
      <c r="P4773">
        <v>0</v>
      </c>
      <c r="Q4773">
        <v>0</v>
      </c>
      <c r="R4773" t="s">
        <v>32531</v>
      </c>
      <c r="S4773" t="s">
        <v>32586</v>
      </c>
      <c r="T4773" t="s">
        <v>33434</v>
      </c>
      <c r="U4773" t="s">
        <v>37642</v>
      </c>
      <c r="W4773" t="s">
        <v>31316</v>
      </c>
      <c r="X4773" t="s">
        <v>32532</v>
      </c>
    </row>
    <row r="4774" spans="1:24">
      <c r="A4774">
        <f>HYPERLINK("https://www.philgeps.gov.ph/GEPSNONPILOT/Tender/SplashBidNoticeAbstractUI.aspx?menuIndex=3&amp;refID=7038540&amp;Result=3","7038540")</f>
        <v>0</v>
      </c>
      <c r="B4774" t="s">
        <v>1237</v>
      </c>
      <c r="C4774" t="s">
        <v>7241</v>
      </c>
      <c r="D4774" t="s">
        <v>12991</v>
      </c>
      <c r="E4774" t="s">
        <v>16268</v>
      </c>
      <c r="F4774" t="s">
        <v>22436</v>
      </c>
      <c r="G4774" t="s">
        <v>22444</v>
      </c>
      <c r="H4774" t="s">
        <v>22454</v>
      </c>
      <c r="I4774" t="s">
        <v>3529</v>
      </c>
      <c r="J4774" t="s">
        <v>22605</v>
      </c>
      <c r="K4774" t="s">
        <v>29357</v>
      </c>
      <c r="M4774" t="s">
        <v>30889</v>
      </c>
      <c r="N4774" t="s">
        <v>32524</v>
      </c>
      <c r="O4774" t="s">
        <v>32525</v>
      </c>
      <c r="P4774">
        <v>0</v>
      </c>
      <c r="Q4774">
        <v>1</v>
      </c>
      <c r="R4774" t="s">
        <v>32531</v>
      </c>
      <c r="S4774" t="s">
        <v>32586</v>
      </c>
      <c r="T4774" t="s">
        <v>33196</v>
      </c>
      <c r="U4774" t="s">
        <v>37643</v>
      </c>
      <c r="W4774" t="s">
        <v>30889</v>
      </c>
      <c r="X4774" t="s">
        <v>32532</v>
      </c>
    </row>
    <row r="4775" spans="1:24">
      <c r="A4775">
        <f>HYPERLINK("https://www.philgeps.gov.ph/GEPSNONPILOT/Tender/SplashBidNoticeAbstractUI.aspx?menuIndex=3&amp;refID=7038544&amp;Result=3","7038544")</f>
        <v>0</v>
      </c>
      <c r="B4775" t="s">
        <v>1108</v>
      </c>
      <c r="C4775" t="s">
        <v>7242</v>
      </c>
      <c r="D4775" t="s">
        <v>13061</v>
      </c>
      <c r="E4775" t="s">
        <v>17352</v>
      </c>
      <c r="F4775" t="s">
        <v>22436</v>
      </c>
      <c r="G4775" t="s">
        <v>22444</v>
      </c>
      <c r="H4775" t="s">
        <v>22454</v>
      </c>
      <c r="I4775" t="s">
        <v>7738</v>
      </c>
      <c r="J4775" t="s">
        <v>25714</v>
      </c>
      <c r="K4775" t="s">
        <v>29344</v>
      </c>
      <c r="M4775" t="s">
        <v>31316</v>
      </c>
      <c r="N4775" t="s">
        <v>32524</v>
      </c>
      <c r="O4775" t="s">
        <v>32525</v>
      </c>
      <c r="P4775">
        <v>0</v>
      </c>
      <c r="Q4775">
        <v>0</v>
      </c>
      <c r="R4775" t="s">
        <v>32531</v>
      </c>
      <c r="S4775" t="s">
        <v>32586</v>
      </c>
      <c r="T4775" t="s">
        <v>33434</v>
      </c>
      <c r="U4775" t="s">
        <v>37644</v>
      </c>
      <c r="W4775" t="s">
        <v>31316</v>
      </c>
      <c r="X4775" t="s">
        <v>32532</v>
      </c>
    </row>
    <row r="4776" spans="1:24">
      <c r="A4776">
        <f>HYPERLINK("https://www.philgeps.gov.ph/GEPSNONPILOT/Tender/SplashBidNoticeAbstractUI.aspx?menuIndex=3&amp;refID=7038565&amp;Result=3","7038565")</f>
        <v>0</v>
      </c>
      <c r="B4776" t="s">
        <v>246</v>
      </c>
      <c r="C4776" t="s">
        <v>7243</v>
      </c>
      <c r="D4776" t="s">
        <v>13006</v>
      </c>
      <c r="E4776" t="s">
        <v>17353</v>
      </c>
      <c r="F4776" t="s">
        <v>22436</v>
      </c>
      <c r="G4776" t="s">
        <v>22443</v>
      </c>
      <c r="H4776" t="s">
        <v>22452</v>
      </c>
      <c r="I4776" t="s">
        <v>5194</v>
      </c>
      <c r="J4776" t="s">
        <v>25715</v>
      </c>
      <c r="K4776" t="s">
        <v>29341</v>
      </c>
      <c r="M4776" t="s">
        <v>29820</v>
      </c>
      <c r="N4776" t="s">
        <v>32524</v>
      </c>
      <c r="O4776" t="s">
        <v>32525</v>
      </c>
      <c r="P4776">
        <v>0</v>
      </c>
      <c r="Q4776">
        <v>3</v>
      </c>
      <c r="R4776" t="s">
        <v>32531</v>
      </c>
      <c r="S4776" t="s">
        <v>32586</v>
      </c>
      <c r="T4776" t="s">
        <v>33270</v>
      </c>
      <c r="U4776" t="s">
        <v>37645</v>
      </c>
      <c r="W4776" t="s">
        <v>29820</v>
      </c>
      <c r="X4776" t="s">
        <v>32532</v>
      </c>
    </row>
    <row r="4777" spans="1:24">
      <c r="A4777">
        <f>HYPERLINK("https://www.philgeps.gov.ph/GEPSNONPILOT/Tender/SplashBidNoticeAbstractUI.aspx?menuIndex=3&amp;refID=7038563&amp;Result=3","7038563")</f>
        <v>0</v>
      </c>
      <c r="B4777" t="s">
        <v>1632</v>
      </c>
      <c r="C4777" t="s">
        <v>7244</v>
      </c>
      <c r="D4777" t="s">
        <v>12994</v>
      </c>
      <c r="E4777" t="s">
        <v>15037</v>
      </c>
      <c r="F4777" t="s">
        <v>22436</v>
      </c>
      <c r="G4777" t="s">
        <v>22444</v>
      </c>
      <c r="H4777" t="s">
        <v>22452</v>
      </c>
      <c r="I4777" t="s">
        <v>6387</v>
      </c>
      <c r="J4777" t="s">
        <v>25716</v>
      </c>
      <c r="K4777" t="s">
        <v>29333</v>
      </c>
      <c r="M4777" t="s">
        <v>31322</v>
      </c>
      <c r="N4777" t="s">
        <v>32524</v>
      </c>
      <c r="O4777" t="s">
        <v>32525</v>
      </c>
      <c r="P4777">
        <v>0</v>
      </c>
      <c r="Q4777">
        <v>3</v>
      </c>
      <c r="R4777" t="s">
        <v>32531</v>
      </c>
      <c r="S4777" t="s">
        <v>32586</v>
      </c>
      <c r="T4777" t="s">
        <v>33249</v>
      </c>
      <c r="U4777" t="s">
        <v>37646</v>
      </c>
      <c r="V4777" t="s">
        <v>42946</v>
      </c>
      <c r="W4777" t="s">
        <v>31322</v>
      </c>
      <c r="X4777" t="s">
        <v>32532</v>
      </c>
    </row>
    <row r="4778" spans="1:24">
      <c r="A4778">
        <f>HYPERLINK("https://www.philgeps.gov.ph/GEPSNONPILOT/Tender/SplashBidNoticeAbstractUI.aspx?menuIndex=3&amp;refID=7038552&amp;Result=3","7038552")</f>
        <v>0</v>
      </c>
      <c r="B4778" t="s">
        <v>1633</v>
      </c>
      <c r="C4778" t="s">
        <v>7245</v>
      </c>
      <c r="D4778" t="s">
        <v>13039</v>
      </c>
      <c r="E4778" t="s">
        <v>17354</v>
      </c>
      <c r="F4778" t="s">
        <v>22436</v>
      </c>
      <c r="G4778" t="s">
        <v>22443</v>
      </c>
      <c r="H4778" t="s">
        <v>22452</v>
      </c>
      <c r="I4778" t="s">
        <v>22471</v>
      </c>
      <c r="J4778" t="s">
        <v>25717</v>
      </c>
      <c r="K4778" t="s">
        <v>29335</v>
      </c>
      <c r="M4778" t="s">
        <v>31323</v>
      </c>
      <c r="N4778" t="s">
        <v>32524</v>
      </c>
      <c r="O4778" t="s">
        <v>32525</v>
      </c>
      <c r="P4778">
        <v>0</v>
      </c>
      <c r="Q4778">
        <v>9</v>
      </c>
      <c r="R4778" t="s">
        <v>32531</v>
      </c>
      <c r="S4778" t="s">
        <v>32586</v>
      </c>
      <c r="T4778" t="s">
        <v>33169</v>
      </c>
      <c r="U4778" t="s">
        <v>37647</v>
      </c>
      <c r="W4778" t="s">
        <v>31323</v>
      </c>
      <c r="X4778" t="s">
        <v>32532</v>
      </c>
    </row>
    <row r="4779" spans="1:24">
      <c r="A4779">
        <f>HYPERLINK("https://www.philgeps.gov.ph/GEPSNONPILOT/Tender/SplashBidNoticeAbstractUI.aspx?menuIndex=3&amp;refID=7038581&amp;Result=3","7038581")</f>
        <v>0</v>
      </c>
      <c r="B4779" t="s">
        <v>1634</v>
      </c>
      <c r="C4779" t="s">
        <v>6421</v>
      </c>
      <c r="E4779" t="s">
        <v>17355</v>
      </c>
      <c r="F4779" t="s">
        <v>22436</v>
      </c>
      <c r="G4779" t="s">
        <v>22444</v>
      </c>
      <c r="H4779" t="s">
        <v>22452</v>
      </c>
      <c r="I4779" t="s">
        <v>6421</v>
      </c>
      <c r="J4779" t="s">
        <v>25718</v>
      </c>
      <c r="K4779" t="s">
        <v>29338</v>
      </c>
      <c r="M4779" t="s">
        <v>31324</v>
      </c>
      <c r="N4779" t="s">
        <v>32524</v>
      </c>
      <c r="O4779" t="s">
        <v>32525</v>
      </c>
      <c r="P4779">
        <v>0</v>
      </c>
      <c r="Q4779">
        <v>3</v>
      </c>
      <c r="R4779" t="s">
        <v>32531</v>
      </c>
      <c r="S4779" t="s">
        <v>32586</v>
      </c>
      <c r="T4779" t="s">
        <v>33470</v>
      </c>
      <c r="U4779" t="s">
        <v>37648</v>
      </c>
      <c r="W4779" t="s">
        <v>31324</v>
      </c>
      <c r="X4779" t="s">
        <v>32532</v>
      </c>
    </row>
    <row r="4780" spans="1:24">
      <c r="A4780">
        <f>HYPERLINK("https://www.philgeps.gov.ph/GEPSNONPILOT/Tender/SplashBidNoticeAbstractUI.aspx?menuIndex=3&amp;refID=7038591&amp;Result=3","7038591")</f>
        <v>0</v>
      </c>
      <c r="B4780" t="s">
        <v>1635</v>
      </c>
      <c r="C4780" t="s">
        <v>7246</v>
      </c>
      <c r="D4780" t="s">
        <v>13031</v>
      </c>
      <c r="E4780" t="s">
        <v>13165</v>
      </c>
      <c r="F4780" t="s">
        <v>22436</v>
      </c>
      <c r="G4780" t="s">
        <v>22444</v>
      </c>
      <c r="H4780" t="s">
        <v>22452</v>
      </c>
      <c r="I4780" t="s">
        <v>22467</v>
      </c>
      <c r="J4780" t="s">
        <v>22893</v>
      </c>
      <c r="K4780" t="s">
        <v>29363</v>
      </c>
      <c r="M4780" t="s">
        <v>31325</v>
      </c>
      <c r="N4780" t="s">
        <v>32524</v>
      </c>
      <c r="O4780" t="s">
        <v>32525</v>
      </c>
      <c r="P4780">
        <v>0</v>
      </c>
      <c r="Q4780">
        <v>0</v>
      </c>
      <c r="R4780" t="s">
        <v>32531</v>
      </c>
      <c r="S4780" t="s">
        <v>32586</v>
      </c>
      <c r="T4780" t="s">
        <v>33209</v>
      </c>
      <c r="U4780" t="s">
        <v>37649</v>
      </c>
      <c r="W4780" t="s">
        <v>31325</v>
      </c>
      <c r="X4780" t="s">
        <v>32532</v>
      </c>
    </row>
    <row r="4781" spans="1:24">
      <c r="A4781">
        <f>HYPERLINK("https://www.philgeps.gov.ph/GEPSNONPILOT/Tender/SplashBidNoticeAbstractUI.aspx?menuIndex=3&amp;refID=7038598&amp;Result=3","7038598")</f>
        <v>0</v>
      </c>
      <c r="B4781" t="s">
        <v>1038</v>
      </c>
      <c r="C4781" t="s">
        <v>7247</v>
      </c>
      <c r="D4781" t="s">
        <v>13025</v>
      </c>
      <c r="E4781" t="s">
        <v>17356</v>
      </c>
      <c r="F4781" t="s">
        <v>22436</v>
      </c>
      <c r="G4781" t="s">
        <v>22443</v>
      </c>
      <c r="H4781" t="s">
        <v>22452</v>
      </c>
      <c r="I4781" t="s">
        <v>22463</v>
      </c>
      <c r="J4781" t="s">
        <v>23235</v>
      </c>
      <c r="K4781" t="s">
        <v>29338</v>
      </c>
      <c r="M4781" t="s">
        <v>31326</v>
      </c>
      <c r="N4781" t="s">
        <v>32524</v>
      </c>
      <c r="O4781" t="s">
        <v>32525</v>
      </c>
      <c r="P4781">
        <v>0</v>
      </c>
      <c r="Q4781">
        <v>9</v>
      </c>
      <c r="R4781" t="s">
        <v>32531</v>
      </c>
      <c r="S4781" t="s">
        <v>32586</v>
      </c>
      <c r="T4781" t="s">
        <v>33197</v>
      </c>
      <c r="U4781" t="s">
        <v>37650</v>
      </c>
      <c r="V4781" t="s">
        <v>42947</v>
      </c>
      <c r="W4781" t="s">
        <v>43704</v>
      </c>
      <c r="X4781" t="s">
        <v>32532</v>
      </c>
    </row>
    <row r="4782" spans="1:24">
      <c r="A4782">
        <f>HYPERLINK("https://www.philgeps.gov.ph/GEPSNONPILOT/Tender/SplashBidNoticeAbstractUI.aspx?menuIndex=3&amp;refID=7038574&amp;Result=3","7038574")</f>
        <v>0</v>
      </c>
      <c r="B4782" t="s">
        <v>1636</v>
      </c>
      <c r="C4782" t="s">
        <v>7248</v>
      </c>
      <c r="D4782" t="s">
        <v>13041</v>
      </c>
      <c r="E4782" t="s">
        <v>17357</v>
      </c>
      <c r="F4782" t="s">
        <v>22436</v>
      </c>
      <c r="G4782" t="s">
        <v>22445</v>
      </c>
      <c r="H4782" t="s">
        <v>22452</v>
      </c>
      <c r="I4782" t="s">
        <v>22460</v>
      </c>
      <c r="J4782" t="s">
        <v>25719</v>
      </c>
      <c r="K4782" t="s">
        <v>29357</v>
      </c>
      <c r="M4782" t="s">
        <v>31327</v>
      </c>
      <c r="N4782" t="s">
        <v>32524</v>
      </c>
      <c r="O4782" t="s">
        <v>32525</v>
      </c>
      <c r="P4782">
        <v>0</v>
      </c>
      <c r="Q4782">
        <v>1</v>
      </c>
      <c r="R4782" t="s">
        <v>32531</v>
      </c>
      <c r="S4782" t="s">
        <v>32586</v>
      </c>
      <c r="T4782" t="s">
        <v>33154</v>
      </c>
      <c r="U4782" t="s">
        <v>37651</v>
      </c>
      <c r="W4782" t="s">
        <v>31327</v>
      </c>
      <c r="X4782" t="s">
        <v>32532</v>
      </c>
    </row>
    <row r="4783" spans="1:24">
      <c r="A4783">
        <f>HYPERLINK("https://www.philgeps.gov.ph/GEPSNONPILOT/Tender/SplashBidNoticeAbstractUI.aspx?menuIndex=3&amp;refID=7038589&amp;Result=3","7038589")</f>
        <v>0</v>
      </c>
      <c r="B4783" t="s">
        <v>1637</v>
      </c>
      <c r="C4783" t="s">
        <v>7249</v>
      </c>
      <c r="D4783" t="s">
        <v>13057</v>
      </c>
      <c r="E4783" t="s">
        <v>17358</v>
      </c>
      <c r="F4783" t="s">
        <v>22436</v>
      </c>
      <c r="G4783" t="s">
        <v>22444</v>
      </c>
      <c r="H4783" t="s">
        <v>22452</v>
      </c>
      <c r="I4783" t="s">
        <v>22493</v>
      </c>
      <c r="J4783" t="s">
        <v>25720</v>
      </c>
      <c r="K4783" t="s">
        <v>29341</v>
      </c>
      <c r="M4783" t="s">
        <v>31328</v>
      </c>
      <c r="N4783" t="s">
        <v>32524</v>
      </c>
      <c r="O4783" t="s">
        <v>32525</v>
      </c>
      <c r="P4783">
        <v>0</v>
      </c>
      <c r="Q4783">
        <v>3</v>
      </c>
      <c r="R4783" t="s">
        <v>32531</v>
      </c>
      <c r="S4783" t="s">
        <v>32586</v>
      </c>
      <c r="T4783" t="s">
        <v>33253</v>
      </c>
      <c r="U4783" t="s">
        <v>37652</v>
      </c>
      <c r="W4783" t="s">
        <v>31328</v>
      </c>
      <c r="X4783" t="s">
        <v>32532</v>
      </c>
    </row>
    <row r="4784" spans="1:24">
      <c r="A4784">
        <f>HYPERLINK("https://www.philgeps.gov.ph/GEPSNONPILOT/Tender/SplashBidNoticeAbstractUI.aspx?menuIndex=3&amp;refID=7038571&amp;Result=3","7038571")</f>
        <v>0</v>
      </c>
      <c r="B4784" t="s">
        <v>1070</v>
      </c>
      <c r="C4784" t="s">
        <v>7250</v>
      </c>
      <c r="E4784" t="s">
        <v>17359</v>
      </c>
      <c r="F4784" t="s">
        <v>22436</v>
      </c>
      <c r="G4784" t="s">
        <v>22443</v>
      </c>
      <c r="H4784" t="s">
        <v>22452</v>
      </c>
      <c r="I4784" t="s">
        <v>22461</v>
      </c>
      <c r="J4784" t="s">
        <v>25721</v>
      </c>
      <c r="K4784" t="s">
        <v>29338</v>
      </c>
      <c r="M4784" t="s">
        <v>31329</v>
      </c>
      <c r="N4784" t="s">
        <v>32524</v>
      </c>
      <c r="O4784" t="s">
        <v>32525</v>
      </c>
      <c r="P4784">
        <v>0</v>
      </c>
      <c r="Q4784">
        <v>2</v>
      </c>
      <c r="R4784" t="s">
        <v>32531</v>
      </c>
      <c r="S4784" t="s">
        <v>32586</v>
      </c>
      <c r="T4784" t="s">
        <v>33372</v>
      </c>
      <c r="U4784" t="s">
        <v>37653</v>
      </c>
      <c r="V4784" t="s">
        <v>42948</v>
      </c>
      <c r="W4784" t="s">
        <v>31329</v>
      </c>
      <c r="X4784" t="s">
        <v>32532</v>
      </c>
    </row>
    <row r="4785" spans="1:24">
      <c r="A4785">
        <f>HYPERLINK("https://www.philgeps.gov.ph/GEPSNONPILOT/Tender/SplashBidNoticeAbstractUI.aspx?menuIndex=3&amp;refID=7038592&amp;Result=3","7038592")</f>
        <v>0</v>
      </c>
      <c r="B4785" t="s">
        <v>1638</v>
      </c>
      <c r="C4785" t="s">
        <v>7251</v>
      </c>
      <c r="D4785" t="s">
        <v>13001</v>
      </c>
      <c r="E4785" t="s">
        <v>16213</v>
      </c>
      <c r="F4785" t="s">
        <v>22436</v>
      </c>
      <c r="G4785" t="s">
        <v>22444</v>
      </c>
      <c r="H4785" t="s">
        <v>22452</v>
      </c>
      <c r="I4785" t="s">
        <v>22495</v>
      </c>
      <c r="J4785" t="s">
        <v>25722</v>
      </c>
      <c r="K4785" t="s">
        <v>29335</v>
      </c>
      <c r="M4785" t="s">
        <v>31330</v>
      </c>
      <c r="N4785" t="s">
        <v>32524</v>
      </c>
      <c r="O4785" t="s">
        <v>32525</v>
      </c>
      <c r="P4785">
        <v>0</v>
      </c>
      <c r="Q4785">
        <v>1</v>
      </c>
      <c r="R4785" t="s">
        <v>32531</v>
      </c>
      <c r="S4785" t="s">
        <v>32586</v>
      </c>
      <c r="T4785" t="s">
        <v>33220</v>
      </c>
      <c r="U4785" t="s">
        <v>37654</v>
      </c>
      <c r="W4785" t="s">
        <v>31330</v>
      </c>
      <c r="X4785" t="s">
        <v>32532</v>
      </c>
    </row>
    <row r="4786" spans="1:24">
      <c r="A4786">
        <f>HYPERLINK("https://www.philgeps.gov.ph/GEPSNONPILOT/Tender/SplashBidNoticeAbstractUI.aspx?menuIndex=3&amp;refID=7038588&amp;Result=3","7038588")</f>
        <v>0</v>
      </c>
      <c r="B4786" t="s">
        <v>1623</v>
      </c>
      <c r="C4786" t="s">
        <v>7252</v>
      </c>
      <c r="D4786" t="s">
        <v>12992</v>
      </c>
      <c r="E4786" t="s">
        <v>17360</v>
      </c>
      <c r="F4786" t="s">
        <v>22436</v>
      </c>
      <c r="G4786" t="s">
        <v>22443</v>
      </c>
      <c r="H4786" t="s">
        <v>22452</v>
      </c>
      <c r="I4786" t="s">
        <v>3529</v>
      </c>
      <c r="J4786" t="s">
        <v>25723</v>
      </c>
      <c r="K4786" t="s">
        <v>29335</v>
      </c>
      <c r="M4786" t="s">
        <v>31309</v>
      </c>
      <c r="N4786" t="s">
        <v>32524</v>
      </c>
      <c r="O4786" t="s">
        <v>32525</v>
      </c>
      <c r="P4786">
        <v>0</v>
      </c>
      <c r="Q4786">
        <v>0</v>
      </c>
      <c r="R4786" t="s">
        <v>32531</v>
      </c>
      <c r="S4786" t="s">
        <v>32586</v>
      </c>
      <c r="T4786" t="s">
        <v>33372</v>
      </c>
      <c r="U4786" t="s">
        <v>33876</v>
      </c>
      <c r="W4786" t="s">
        <v>31309</v>
      </c>
      <c r="X4786" t="s">
        <v>32532</v>
      </c>
    </row>
    <row r="4787" spans="1:24">
      <c r="A4787">
        <f>HYPERLINK("https://www.philgeps.gov.ph/GEPSNONPILOT/Tender/SplashBidNoticeAbstractUI.aspx?menuIndex=3&amp;refID=7038616&amp;Result=3","7038616")</f>
        <v>0</v>
      </c>
      <c r="B4787" t="s">
        <v>1615</v>
      </c>
      <c r="C4787" t="s">
        <v>7253</v>
      </c>
      <c r="D4787" t="s">
        <v>13024</v>
      </c>
      <c r="E4787" t="s">
        <v>17361</v>
      </c>
      <c r="F4787" t="s">
        <v>22436</v>
      </c>
      <c r="G4787" t="s">
        <v>22444</v>
      </c>
      <c r="H4787" t="s">
        <v>22452</v>
      </c>
      <c r="I4787" t="s">
        <v>12358</v>
      </c>
      <c r="J4787" t="s">
        <v>23883</v>
      </c>
      <c r="K4787" t="s">
        <v>29335</v>
      </c>
      <c r="M4787" t="s">
        <v>31300</v>
      </c>
      <c r="N4787" t="s">
        <v>32524</v>
      </c>
      <c r="O4787" t="s">
        <v>32525</v>
      </c>
      <c r="P4787">
        <v>0</v>
      </c>
      <c r="Q4787">
        <v>1</v>
      </c>
      <c r="R4787" t="s">
        <v>32531</v>
      </c>
      <c r="S4787" t="s">
        <v>32586</v>
      </c>
      <c r="T4787" t="s">
        <v>33300</v>
      </c>
      <c r="U4787" t="s">
        <v>37655</v>
      </c>
      <c r="V4787" t="s">
        <v>42943</v>
      </c>
      <c r="W4787" t="s">
        <v>31300</v>
      </c>
      <c r="X4787" t="s">
        <v>32532</v>
      </c>
    </row>
    <row r="4788" spans="1:24">
      <c r="A4788">
        <f>HYPERLINK("https://www.philgeps.gov.ph/GEPSNONPILOT/Tender/SplashBidNoticeAbstractUI.aspx?menuIndex=3&amp;refID=7038573&amp;Result=3","7038573")</f>
        <v>0</v>
      </c>
      <c r="B4788" t="s">
        <v>1108</v>
      </c>
      <c r="C4788" t="s">
        <v>7254</v>
      </c>
      <c r="D4788" t="s">
        <v>13061</v>
      </c>
      <c r="E4788" t="s">
        <v>17362</v>
      </c>
      <c r="F4788" t="s">
        <v>22436</v>
      </c>
      <c r="G4788" t="s">
        <v>22444</v>
      </c>
      <c r="H4788" t="s">
        <v>22454</v>
      </c>
      <c r="I4788" t="s">
        <v>7738</v>
      </c>
      <c r="J4788" t="s">
        <v>25724</v>
      </c>
      <c r="K4788" t="s">
        <v>29344</v>
      </c>
      <c r="M4788" t="s">
        <v>31316</v>
      </c>
      <c r="N4788" t="s">
        <v>32524</v>
      </c>
      <c r="O4788" t="s">
        <v>32525</v>
      </c>
      <c r="P4788">
        <v>0</v>
      </c>
      <c r="Q4788">
        <v>0</v>
      </c>
      <c r="R4788" t="s">
        <v>32531</v>
      </c>
      <c r="S4788" t="s">
        <v>32586</v>
      </c>
      <c r="T4788" t="s">
        <v>33434</v>
      </c>
      <c r="U4788" t="s">
        <v>37656</v>
      </c>
      <c r="W4788" t="s">
        <v>31316</v>
      </c>
      <c r="X4788" t="s">
        <v>32532</v>
      </c>
    </row>
    <row r="4789" spans="1:24">
      <c r="A4789">
        <f>HYPERLINK("https://www.philgeps.gov.ph/GEPSNONPILOT/Tender/SplashBidNoticeAbstractUI.aspx?menuIndex=3&amp;refID=7038609&amp;Result=3","7038609")</f>
        <v>0</v>
      </c>
      <c r="B4789" t="s">
        <v>1108</v>
      </c>
      <c r="C4789" t="s">
        <v>7255</v>
      </c>
      <c r="D4789" t="s">
        <v>13061</v>
      </c>
      <c r="E4789" t="s">
        <v>17363</v>
      </c>
      <c r="F4789" t="s">
        <v>22436</v>
      </c>
      <c r="G4789" t="s">
        <v>22444</v>
      </c>
      <c r="H4789" t="s">
        <v>22454</v>
      </c>
      <c r="I4789" t="s">
        <v>7738</v>
      </c>
      <c r="J4789" t="s">
        <v>25725</v>
      </c>
      <c r="K4789" t="s">
        <v>29388</v>
      </c>
      <c r="M4789" t="s">
        <v>31316</v>
      </c>
      <c r="N4789" t="s">
        <v>32524</v>
      </c>
      <c r="O4789" t="s">
        <v>32525</v>
      </c>
      <c r="P4789">
        <v>0</v>
      </c>
      <c r="Q4789">
        <v>0</v>
      </c>
      <c r="R4789" t="s">
        <v>32531</v>
      </c>
      <c r="S4789" t="s">
        <v>32586</v>
      </c>
      <c r="T4789" t="s">
        <v>33434</v>
      </c>
      <c r="U4789" t="s">
        <v>37657</v>
      </c>
      <c r="W4789" t="s">
        <v>31316</v>
      </c>
      <c r="X4789" t="s">
        <v>32532</v>
      </c>
    </row>
    <row r="4790" spans="1:24">
      <c r="A4790">
        <f>HYPERLINK("https://www.philgeps.gov.ph/GEPSNONPILOT/Tender/SplashBidNoticeAbstractUI.aspx?menuIndex=3&amp;refID=7038612&amp;Result=3","7038612")</f>
        <v>0</v>
      </c>
      <c r="B4790" t="s">
        <v>978</v>
      </c>
      <c r="C4790" t="s">
        <v>7256</v>
      </c>
      <c r="D4790" t="s">
        <v>13032</v>
      </c>
      <c r="E4790" t="s">
        <v>17364</v>
      </c>
      <c r="F4790" t="s">
        <v>22436</v>
      </c>
      <c r="G4790" t="s">
        <v>22447</v>
      </c>
      <c r="H4790" t="s">
        <v>22454</v>
      </c>
      <c r="I4790" t="s">
        <v>7738</v>
      </c>
      <c r="J4790" t="s">
        <v>25726</v>
      </c>
      <c r="K4790" t="s">
        <v>29344</v>
      </c>
      <c r="M4790" t="s">
        <v>30599</v>
      </c>
      <c r="N4790" t="s">
        <v>32524</v>
      </c>
      <c r="O4790" t="s">
        <v>32525</v>
      </c>
      <c r="P4790">
        <v>0</v>
      </c>
      <c r="Q4790">
        <v>0</v>
      </c>
      <c r="R4790" t="s">
        <v>32531</v>
      </c>
      <c r="S4790" t="s">
        <v>32586</v>
      </c>
      <c r="T4790" t="s">
        <v>33167</v>
      </c>
      <c r="U4790" t="s">
        <v>35822</v>
      </c>
      <c r="W4790" t="s">
        <v>30599</v>
      </c>
      <c r="X4790" t="s">
        <v>32532</v>
      </c>
    </row>
    <row r="4791" spans="1:24">
      <c r="A4791">
        <f>HYPERLINK("https://www.philgeps.gov.ph/GEPSNONPILOT/Tender/SplashBidNoticeAbstractUI.aspx?menuIndex=3&amp;refID=7038580&amp;Result=3","7038580")</f>
        <v>0</v>
      </c>
      <c r="B4791" t="s">
        <v>1108</v>
      </c>
      <c r="C4791" t="s">
        <v>7257</v>
      </c>
      <c r="D4791" t="s">
        <v>13061</v>
      </c>
      <c r="E4791" t="s">
        <v>17365</v>
      </c>
      <c r="F4791" t="s">
        <v>22436</v>
      </c>
      <c r="G4791" t="s">
        <v>22444</v>
      </c>
      <c r="H4791" t="s">
        <v>22454</v>
      </c>
      <c r="I4791" t="s">
        <v>7738</v>
      </c>
      <c r="J4791" t="s">
        <v>25727</v>
      </c>
      <c r="K4791" t="s">
        <v>29344</v>
      </c>
      <c r="M4791" t="s">
        <v>31316</v>
      </c>
      <c r="N4791" t="s">
        <v>32524</v>
      </c>
      <c r="O4791" t="s">
        <v>32525</v>
      </c>
      <c r="P4791">
        <v>0</v>
      </c>
      <c r="Q4791">
        <v>0</v>
      </c>
      <c r="R4791" t="s">
        <v>32531</v>
      </c>
      <c r="S4791" t="s">
        <v>32586</v>
      </c>
      <c r="T4791" t="s">
        <v>33434</v>
      </c>
      <c r="U4791" t="s">
        <v>37658</v>
      </c>
      <c r="W4791" t="s">
        <v>31316</v>
      </c>
      <c r="X4791" t="s">
        <v>32532</v>
      </c>
    </row>
    <row r="4792" spans="1:24">
      <c r="A4792">
        <f>HYPERLINK("https://www.philgeps.gov.ph/GEPSNONPILOT/Tender/SplashBidNoticeAbstractUI.aspx?menuIndex=3&amp;refID=7038606&amp;Result=3","7038606")</f>
        <v>0</v>
      </c>
      <c r="B4792" t="s">
        <v>48</v>
      </c>
      <c r="C4792" t="s">
        <v>7258</v>
      </c>
      <c r="D4792" t="s">
        <v>13007</v>
      </c>
      <c r="E4792" t="s">
        <v>17366</v>
      </c>
      <c r="F4792" t="s">
        <v>22436</v>
      </c>
      <c r="G4792" t="s">
        <v>22444</v>
      </c>
      <c r="H4792" t="s">
        <v>22454</v>
      </c>
      <c r="I4792" t="s">
        <v>7738</v>
      </c>
      <c r="J4792" t="s">
        <v>25728</v>
      </c>
      <c r="K4792" t="s">
        <v>29338</v>
      </c>
      <c r="M4792" t="s">
        <v>31331</v>
      </c>
      <c r="N4792" t="s">
        <v>32524</v>
      </c>
      <c r="O4792" t="s">
        <v>32525</v>
      </c>
      <c r="P4792">
        <v>0</v>
      </c>
      <c r="Q4792">
        <v>1</v>
      </c>
      <c r="R4792" t="s">
        <v>32531</v>
      </c>
      <c r="S4792" t="s">
        <v>32586</v>
      </c>
      <c r="T4792" t="s">
        <v>33423</v>
      </c>
      <c r="U4792" t="s">
        <v>37659</v>
      </c>
      <c r="W4792" t="s">
        <v>31331</v>
      </c>
      <c r="X4792" t="s">
        <v>32532</v>
      </c>
    </row>
    <row r="4793" spans="1:24">
      <c r="A4793">
        <f>HYPERLINK("https://www.philgeps.gov.ph/GEPSNONPILOT/Tender/SplashBidNoticeAbstractUI.aspx?menuIndex=3&amp;refID=7038602&amp;Result=3","7038602")</f>
        <v>0</v>
      </c>
      <c r="B4793" t="s">
        <v>1634</v>
      </c>
      <c r="C4793" t="s">
        <v>3827</v>
      </c>
      <c r="E4793" t="s">
        <v>17367</v>
      </c>
      <c r="F4793" t="s">
        <v>22436</v>
      </c>
      <c r="G4793" t="s">
        <v>22444</v>
      </c>
      <c r="H4793" t="s">
        <v>22452</v>
      </c>
      <c r="I4793" t="s">
        <v>3827</v>
      </c>
      <c r="J4793" t="s">
        <v>25729</v>
      </c>
      <c r="K4793" t="s">
        <v>29338</v>
      </c>
      <c r="M4793" t="s">
        <v>31324</v>
      </c>
      <c r="N4793" t="s">
        <v>32524</v>
      </c>
      <c r="O4793" t="s">
        <v>32525</v>
      </c>
      <c r="P4793">
        <v>0</v>
      </c>
      <c r="Q4793">
        <v>0</v>
      </c>
      <c r="R4793" t="s">
        <v>32531</v>
      </c>
      <c r="S4793" t="s">
        <v>32586</v>
      </c>
      <c r="T4793" t="s">
        <v>33470</v>
      </c>
      <c r="U4793" t="s">
        <v>37660</v>
      </c>
      <c r="W4793" t="s">
        <v>31324</v>
      </c>
      <c r="X4793" t="s">
        <v>32532</v>
      </c>
    </row>
    <row r="4794" spans="1:24">
      <c r="A4794">
        <f>HYPERLINK("https://www.philgeps.gov.ph/GEPSNONPILOT/Tender/SplashBidNoticeAbstractUI.aspx?menuIndex=3&amp;refID=7038621&amp;Result=3","7038621")</f>
        <v>0</v>
      </c>
      <c r="B4794" t="s">
        <v>1639</v>
      </c>
      <c r="C4794" t="s">
        <v>7259</v>
      </c>
      <c r="D4794" t="s">
        <v>13001</v>
      </c>
      <c r="E4794" t="s">
        <v>17368</v>
      </c>
      <c r="F4794" t="s">
        <v>22436</v>
      </c>
      <c r="G4794" t="s">
        <v>22443</v>
      </c>
      <c r="H4794" t="s">
        <v>22452</v>
      </c>
      <c r="I4794" t="s">
        <v>22472</v>
      </c>
      <c r="J4794" t="s">
        <v>22800</v>
      </c>
      <c r="K4794" t="s">
        <v>29335</v>
      </c>
      <c r="M4794" t="s">
        <v>31332</v>
      </c>
      <c r="N4794" t="s">
        <v>32524</v>
      </c>
      <c r="O4794" t="s">
        <v>32525</v>
      </c>
      <c r="P4794">
        <v>0</v>
      </c>
      <c r="Q4794">
        <v>3</v>
      </c>
      <c r="R4794" t="s">
        <v>32531</v>
      </c>
      <c r="S4794" t="s">
        <v>32586</v>
      </c>
      <c r="T4794" t="s">
        <v>33220</v>
      </c>
      <c r="U4794" t="s">
        <v>37654</v>
      </c>
      <c r="W4794" t="s">
        <v>31332</v>
      </c>
      <c r="X4794" t="s">
        <v>32532</v>
      </c>
    </row>
    <row r="4795" spans="1:24">
      <c r="A4795">
        <f>HYPERLINK("https://www.philgeps.gov.ph/GEPSNONPILOT/Tender/SplashBidNoticeAbstractUI.aspx?menuIndex=3&amp;refID=7038622&amp;Result=3","7038622")</f>
        <v>0</v>
      </c>
      <c r="B4795" t="s">
        <v>1640</v>
      </c>
      <c r="C4795" t="s">
        <v>7260</v>
      </c>
      <c r="D4795" t="s">
        <v>13042</v>
      </c>
      <c r="E4795" t="s">
        <v>17309</v>
      </c>
      <c r="F4795" t="s">
        <v>22436</v>
      </c>
      <c r="G4795" t="s">
        <v>22444</v>
      </c>
      <c r="H4795" t="s">
        <v>22452</v>
      </c>
      <c r="I4795" t="s">
        <v>3529</v>
      </c>
      <c r="J4795" t="s">
        <v>25730</v>
      </c>
      <c r="K4795" t="s">
        <v>29357</v>
      </c>
      <c r="M4795" t="s">
        <v>31333</v>
      </c>
      <c r="N4795" t="s">
        <v>32524</v>
      </c>
      <c r="O4795" t="s">
        <v>32525</v>
      </c>
      <c r="P4795">
        <v>0</v>
      </c>
      <c r="Q4795">
        <v>0</v>
      </c>
      <c r="R4795" t="s">
        <v>32531</v>
      </c>
      <c r="S4795" t="s">
        <v>32586</v>
      </c>
      <c r="T4795" t="s">
        <v>33171</v>
      </c>
      <c r="U4795" t="s">
        <v>37661</v>
      </c>
      <c r="W4795" t="s">
        <v>31333</v>
      </c>
      <c r="X4795" t="s">
        <v>32532</v>
      </c>
    </row>
    <row r="4796" spans="1:24">
      <c r="A4796">
        <f>HYPERLINK("https://www.philgeps.gov.ph/GEPSNONPILOT/Tender/SplashBidNoticeAbstractUI.aspx?menuIndex=3&amp;refID=7038579&amp;Result=3","7038579")</f>
        <v>0</v>
      </c>
      <c r="B4796" t="s">
        <v>1641</v>
      </c>
      <c r="C4796" t="s">
        <v>7261</v>
      </c>
      <c r="D4796" t="s">
        <v>13041</v>
      </c>
      <c r="E4796" t="s">
        <v>17369</v>
      </c>
      <c r="F4796" t="s">
        <v>22436</v>
      </c>
      <c r="G4796" t="s">
        <v>22444</v>
      </c>
      <c r="H4796" t="s">
        <v>22452</v>
      </c>
      <c r="I4796" t="s">
        <v>2981</v>
      </c>
      <c r="J4796" t="s">
        <v>25731</v>
      </c>
      <c r="K4796" t="s">
        <v>29334</v>
      </c>
      <c r="M4796" t="s">
        <v>31334</v>
      </c>
      <c r="N4796" t="s">
        <v>32524</v>
      </c>
      <c r="O4796" t="s">
        <v>32525</v>
      </c>
      <c r="P4796">
        <v>0</v>
      </c>
      <c r="Q4796">
        <v>6</v>
      </c>
      <c r="R4796" t="s">
        <v>32531</v>
      </c>
      <c r="S4796" t="s">
        <v>32586</v>
      </c>
      <c r="T4796" t="s">
        <v>33397</v>
      </c>
      <c r="U4796" t="s">
        <v>37662</v>
      </c>
      <c r="W4796" t="s">
        <v>31334</v>
      </c>
      <c r="X4796" t="s">
        <v>32532</v>
      </c>
    </row>
    <row r="4797" spans="1:24">
      <c r="A4797">
        <f>HYPERLINK("https://www.philgeps.gov.ph/GEPSNONPILOT/Tender/SplashBidNoticeAbstractUI.aspx?menuIndex=3&amp;refID=7038617&amp;Result=3","7038617")</f>
        <v>0</v>
      </c>
      <c r="B4797" t="s">
        <v>1633</v>
      </c>
      <c r="C4797" t="s">
        <v>7262</v>
      </c>
      <c r="D4797" t="s">
        <v>13039</v>
      </c>
      <c r="E4797" t="s">
        <v>17370</v>
      </c>
      <c r="F4797" t="s">
        <v>22436</v>
      </c>
      <c r="G4797" t="s">
        <v>22445</v>
      </c>
      <c r="H4797" t="s">
        <v>22452</v>
      </c>
      <c r="I4797" t="s">
        <v>22460</v>
      </c>
      <c r="J4797" t="s">
        <v>25732</v>
      </c>
      <c r="K4797" t="s">
        <v>29335</v>
      </c>
      <c r="M4797" t="s">
        <v>31323</v>
      </c>
      <c r="N4797" t="s">
        <v>32524</v>
      </c>
      <c r="O4797" t="s">
        <v>32525</v>
      </c>
      <c r="P4797">
        <v>0</v>
      </c>
      <c r="Q4797">
        <v>2</v>
      </c>
      <c r="R4797" t="s">
        <v>32531</v>
      </c>
      <c r="S4797" t="s">
        <v>32586</v>
      </c>
      <c r="T4797" t="s">
        <v>33169</v>
      </c>
      <c r="U4797" t="s">
        <v>37647</v>
      </c>
      <c r="W4797" t="s">
        <v>31323</v>
      </c>
      <c r="X4797" t="s">
        <v>32532</v>
      </c>
    </row>
    <row r="4798" spans="1:24">
      <c r="A4798">
        <f>HYPERLINK("https://www.philgeps.gov.ph/GEPSNONPILOT/Tender/SplashBidNoticeAbstractUI.aspx?menuIndex=3&amp;refID=7038632&amp;Result=3","7038632")</f>
        <v>0</v>
      </c>
      <c r="B4798" t="s">
        <v>1108</v>
      </c>
      <c r="C4798" t="s">
        <v>7263</v>
      </c>
      <c r="D4798" t="s">
        <v>13061</v>
      </c>
      <c r="E4798" t="s">
        <v>17371</v>
      </c>
      <c r="F4798" t="s">
        <v>22436</v>
      </c>
      <c r="G4798" t="s">
        <v>22444</v>
      </c>
      <c r="H4798" t="s">
        <v>22454</v>
      </c>
      <c r="I4798" t="s">
        <v>7738</v>
      </c>
      <c r="J4798" t="s">
        <v>25733</v>
      </c>
      <c r="K4798" t="s">
        <v>29344</v>
      </c>
      <c r="M4798" t="s">
        <v>31316</v>
      </c>
      <c r="N4798" t="s">
        <v>32524</v>
      </c>
      <c r="O4798" t="s">
        <v>32525</v>
      </c>
      <c r="P4798">
        <v>0</v>
      </c>
      <c r="Q4798">
        <v>0</v>
      </c>
      <c r="R4798" t="s">
        <v>32531</v>
      </c>
      <c r="S4798" t="s">
        <v>32586</v>
      </c>
      <c r="T4798" t="s">
        <v>33434</v>
      </c>
      <c r="U4798" t="s">
        <v>37663</v>
      </c>
      <c r="W4798" t="s">
        <v>31316</v>
      </c>
      <c r="X4798" t="s">
        <v>32532</v>
      </c>
    </row>
    <row r="4799" spans="1:24">
      <c r="A4799">
        <f>HYPERLINK("https://www.philgeps.gov.ph/GEPSNONPILOT/Tender/SplashBidNoticeAbstractUI.aspx?menuIndex=3&amp;refID=7038603&amp;Result=3","7038603")</f>
        <v>0</v>
      </c>
      <c r="B4799" t="s">
        <v>267</v>
      </c>
      <c r="C4799" t="s">
        <v>7264</v>
      </c>
      <c r="D4799" t="s">
        <v>13032</v>
      </c>
      <c r="E4799" t="s">
        <v>14551</v>
      </c>
      <c r="F4799" t="s">
        <v>22436</v>
      </c>
      <c r="G4799" t="s">
        <v>22444</v>
      </c>
      <c r="H4799" t="s">
        <v>22452</v>
      </c>
      <c r="I4799" t="s">
        <v>3529</v>
      </c>
      <c r="J4799" t="s">
        <v>25734</v>
      </c>
      <c r="K4799" t="s">
        <v>29338</v>
      </c>
      <c r="M4799" t="s">
        <v>29841</v>
      </c>
      <c r="N4799" t="s">
        <v>32524</v>
      </c>
      <c r="O4799" t="s">
        <v>32525</v>
      </c>
      <c r="P4799">
        <v>0</v>
      </c>
      <c r="Q4799">
        <v>0</v>
      </c>
      <c r="R4799" t="s">
        <v>32531</v>
      </c>
      <c r="S4799" t="s">
        <v>32586</v>
      </c>
      <c r="T4799" t="s">
        <v>33213</v>
      </c>
      <c r="U4799" t="s">
        <v>37664</v>
      </c>
      <c r="W4799" t="s">
        <v>43690</v>
      </c>
      <c r="X4799" t="s">
        <v>32532</v>
      </c>
    </row>
    <row r="4800" spans="1:24">
      <c r="A4800">
        <f>HYPERLINK("https://www.philgeps.gov.ph/GEPSNONPILOT/Tender/SplashBidNoticeAbstractUI.aspx?menuIndex=3&amp;refID=7038627&amp;Result=3","7038627")</f>
        <v>0</v>
      </c>
      <c r="B4800" t="s">
        <v>665</v>
      </c>
      <c r="C4800" t="s">
        <v>7265</v>
      </c>
      <c r="D4800" t="s">
        <v>13038</v>
      </c>
      <c r="E4800" t="s">
        <v>17372</v>
      </c>
      <c r="F4800" t="s">
        <v>22436</v>
      </c>
      <c r="G4800" t="s">
        <v>22446</v>
      </c>
      <c r="H4800" t="s">
        <v>22452</v>
      </c>
      <c r="I4800" t="s">
        <v>22460</v>
      </c>
      <c r="J4800" t="s">
        <v>25735</v>
      </c>
      <c r="K4800" t="s">
        <v>29337</v>
      </c>
      <c r="M4800" t="s">
        <v>30257</v>
      </c>
      <c r="N4800" t="s">
        <v>32524</v>
      </c>
      <c r="O4800" t="s">
        <v>32525</v>
      </c>
      <c r="P4800">
        <v>0</v>
      </c>
      <c r="Q4800">
        <v>0</v>
      </c>
      <c r="R4800" t="s">
        <v>32531</v>
      </c>
      <c r="S4800" t="s">
        <v>32586</v>
      </c>
      <c r="T4800" t="s">
        <v>33220</v>
      </c>
      <c r="U4800" t="s">
        <v>37665</v>
      </c>
      <c r="W4800" t="s">
        <v>30257</v>
      </c>
      <c r="X4800" t="s">
        <v>32532</v>
      </c>
    </row>
    <row r="4801" spans="1:24">
      <c r="A4801">
        <f>HYPERLINK("https://www.philgeps.gov.ph/GEPSNONPILOT/Tender/SplashBidNoticeAbstractUI.aspx?menuIndex=3&amp;refID=7038633&amp;Result=3","7038633")</f>
        <v>0</v>
      </c>
      <c r="B4801" t="s">
        <v>1036</v>
      </c>
      <c r="C4801" t="s">
        <v>7266</v>
      </c>
      <c r="D4801" t="s">
        <v>13050</v>
      </c>
      <c r="E4801" t="s">
        <v>16264</v>
      </c>
      <c r="F4801" t="s">
        <v>22436</v>
      </c>
      <c r="G4801" t="s">
        <v>22443</v>
      </c>
      <c r="H4801" t="s">
        <v>22452</v>
      </c>
      <c r="I4801" t="s">
        <v>22501</v>
      </c>
      <c r="J4801" t="s">
        <v>22989</v>
      </c>
      <c r="K4801" t="s">
        <v>29335</v>
      </c>
      <c r="M4801" t="s">
        <v>30667</v>
      </c>
      <c r="N4801" t="s">
        <v>32524</v>
      </c>
      <c r="O4801" t="s">
        <v>32525</v>
      </c>
      <c r="P4801">
        <v>0</v>
      </c>
      <c r="Q4801">
        <v>3</v>
      </c>
      <c r="R4801" t="s">
        <v>32531</v>
      </c>
      <c r="S4801" t="s">
        <v>32586</v>
      </c>
      <c r="T4801" t="s">
        <v>33371</v>
      </c>
      <c r="U4801" t="s">
        <v>37666</v>
      </c>
      <c r="W4801" t="s">
        <v>30667</v>
      </c>
      <c r="X4801" t="s">
        <v>32532</v>
      </c>
    </row>
    <row r="4802" spans="1:24">
      <c r="A4802">
        <f>HYPERLINK("https://www.philgeps.gov.ph/GEPSNONPILOT/Tender/SplashBidNoticeAbstractUI.aspx?menuIndex=3&amp;refID=7038597&amp;Result=3","7038597")</f>
        <v>0</v>
      </c>
      <c r="B4802" t="s">
        <v>1108</v>
      </c>
      <c r="C4802" t="s">
        <v>7267</v>
      </c>
      <c r="D4802" t="s">
        <v>13061</v>
      </c>
      <c r="E4802" t="s">
        <v>17373</v>
      </c>
      <c r="F4802" t="s">
        <v>22436</v>
      </c>
      <c r="G4802" t="s">
        <v>22444</v>
      </c>
      <c r="H4802" t="s">
        <v>22454</v>
      </c>
      <c r="I4802" t="s">
        <v>7738</v>
      </c>
      <c r="J4802" t="s">
        <v>25736</v>
      </c>
      <c r="K4802" t="s">
        <v>29344</v>
      </c>
      <c r="M4802" t="s">
        <v>31316</v>
      </c>
      <c r="N4802" t="s">
        <v>32524</v>
      </c>
      <c r="O4802" t="s">
        <v>32525</v>
      </c>
      <c r="P4802">
        <v>0</v>
      </c>
      <c r="Q4802">
        <v>0</v>
      </c>
      <c r="R4802" t="s">
        <v>32531</v>
      </c>
      <c r="S4802" t="s">
        <v>32586</v>
      </c>
      <c r="T4802" t="s">
        <v>33434</v>
      </c>
      <c r="U4802" t="s">
        <v>37667</v>
      </c>
      <c r="W4802" t="s">
        <v>31316</v>
      </c>
      <c r="X4802" t="s">
        <v>32532</v>
      </c>
    </row>
    <row r="4803" spans="1:24">
      <c r="A4803">
        <f>HYPERLINK("https://www.philgeps.gov.ph/GEPSNONPILOT/Tender/SplashBidNoticeAbstractUI.aspx?menuIndex=3&amp;refID=7038630&amp;Result=3","7038630")</f>
        <v>0</v>
      </c>
      <c r="B4803" t="s">
        <v>1642</v>
      </c>
      <c r="C4803" t="s">
        <v>7268</v>
      </c>
      <c r="D4803" t="s">
        <v>12998</v>
      </c>
      <c r="E4803" t="s">
        <v>17374</v>
      </c>
      <c r="F4803" t="s">
        <v>22436</v>
      </c>
      <c r="G4803" t="s">
        <v>22444</v>
      </c>
      <c r="H4803" t="s">
        <v>22452</v>
      </c>
      <c r="I4803" t="s">
        <v>22474</v>
      </c>
      <c r="J4803" t="s">
        <v>24189</v>
      </c>
      <c r="K4803" t="s">
        <v>29338</v>
      </c>
      <c r="M4803" t="s">
        <v>31335</v>
      </c>
      <c r="N4803" t="s">
        <v>32524</v>
      </c>
      <c r="O4803" t="s">
        <v>32525</v>
      </c>
      <c r="P4803">
        <v>0</v>
      </c>
      <c r="Q4803">
        <v>6</v>
      </c>
      <c r="R4803" t="s">
        <v>32531</v>
      </c>
      <c r="S4803" t="s">
        <v>32586</v>
      </c>
      <c r="T4803" t="s">
        <v>33423</v>
      </c>
      <c r="U4803" t="s">
        <v>37668</v>
      </c>
      <c r="W4803" t="s">
        <v>31335</v>
      </c>
      <c r="X4803" t="s">
        <v>32532</v>
      </c>
    </row>
    <row r="4804" spans="1:24">
      <c r="A4804">
        <f>HYPERLINK("https://www.philgeps.gov.ph/GEPSNONPILOT/Tender/SplashBidNoticeAbstractUI.aspx?menuIndex=3&amp;refID=7038646&amp;Result=3","7038646")</f>
        <v>0</v>
      </c>
      <c r="B4804" t="s">
        <v>128</v>
      </c>
      <c r="C4804" t="s">
        <v>7269</v>
      </c>
      <c r="D4804" t="s">
        <v>13025</v>
      </c>
      <c r="E4804" t="s">
        <v>17375</v>
      </c>
      <c r="F4804" t="s">
        <v>22436</v>
      </c>
      <c r="G4804" t="s">
        <v>22444</v>
      </c>
      <c r="H4804" t="s">
        <v>22452</v>
      </c>
      <c r="I4804" t="s">
        <v>3529</v>
      </c>
      <c r="J4804" t="s">
        <v>25737</v>
      </c>
      <c r="K4804" t="s">
        <v>29331</v>
      </c>
      <c r="M4804" t="s">
        <v>29700</v>
      </c>
      <c r="N4804" t="s">
        <v>32524</v>
      </c>
      <c r="O4804" t="s">
        <v>32525</v>
      </c>
      <c r="P4804">
        <v>0</v>
      </c>
      <c r="Q4804">
        <v>0</v>
      </c>
      <c r="R4804" t="s">
        <v>32531</v>
      </c>
      <c r="S4804" t="s">
        <v>32586</v>
      </c>
      <c r="T4804" t="s">
        <v>33220</v>
      </c>
      <c r="U4804" t="s">
        <v>37669</v>
      </c>
      <c r="W4804" t="s">
        <v>29700</v>
      </c>
      <c r="X4804" t="s">
        <v>32532</v>
      </c>
    </row>
    <row r="4805" spans="1:24">
      <c r="A4805">
        <f>HYPERLINK("https://www.philgeps.gov.ph/GEPSNONPILOT/Tender/SplashBidNoticeAbstractUI.aspx?menuIndex=3&amp;refID=7038642&amp;Result=3","7038642")</f>
        <v>0</v>
      </c>
      <c r="B4805" t="s">
        <v>1108</v>
      </c>
      <c r="C4805" t="s">
        <v>7270</v>
      </c>
      <c r="D4805" t="s">
        <v>13061</v>
      </c>
      <c r="E4805" t="s">
        <v>17376</v>
      </c>
      <c r="F4805" t="s">
        <v>22436</v>
      </c>
      <c r="G4805" t="s">
        <v>22444</v>
      </c>
      <c r="H4805" t="s">
        <v>22454</v>
      </c>
      <c r="I4805" t="s">
        <v>7738</v>
      </c>
      <c r="J4805" t="s">
        <v>25738</v>
      </c>
      <c r="K4805" t="s">
        <v>29388</v>
      </c>
      <c r="M4805" t="s">
        <v>31316</v>
      </c>
      <c r="N4805" t="s">
        <v>32524</v>
      </c>
      <c r="O4805" t="s">
        <v>32525</v>
      </c>
      <c r="P4805">
        <v>0</v>
      </c>
      <c r="Q4805">
        <v>0</v>
      </c>
      <c r="R4805" t="s">
        <v>32531</v>
      </c>
      <c r="S4805" t="s">
        <v>32586</v>
      </c>
      <c r="T4805" t="s">
        <v>33434</v>
      </c>
      <c r="U4805" t="s">
        <v>37670</v>
      </c>
      <c r="W4805" t="s">
        <v>31316</v>
      </c>
      <c r="X4805" t="s">
        <v>32532</v>
      </c>
    </row>
    <row r="4806" spans="1:24">
      <c r="A4806">
        <f>HYPERLINK("https://www.philgeps.gov.ph/GEPSNONPILOT/Tender/SplashBidNoticeAbstractUI.aspx?menuIndex=3&amp;refID=7038623&amp;Result=3","7038623")</f>
        <v>0</v>
      </c>
      <c r="B4806" t="s">
        <v>1643</v>
      </c>
      <c r="C4806" t="s">
        <v>7271</v>
      </c>
      <c r="D4806" t="s">
        <v>13073</v>
      </c>
      <c r="E4806" t="s">
        <v>17377</v>
      </c>
      <c r="F4806" t="s">
        <v>22436</v>
      </c>
      <c r="G4806" t="s">
        <v>22444</v>
      </c>
      <c r="H4806" t="s">
        <v>22452</v>
      </c>
      <c r="I4806" t="s">
        <v>22536</v>
      </c>
      <c r="J4806" t="s">
        <v>25739</v>
      </c>
      <c r="K4806" t="s">
        <v>29331</v>
      </c>
      <c r="M4806" t="s">
        <v>31336</v>
      </c>
      <c r="N4806" t="s">
        <v>32524</v>
      </c>
      <c r="O4806" t="s">
        <v>32525</v>
      </c>
      <c r="P4806">
        <v>0</v>
      </c>
      <c r="Q4806">
        <v>2</v>
      </c>
      <c r="R4806" t="s">
        <v>32531</v>
      </c>
      <c r="S4806" t="s">
        <v>32586</v>
      </c>
      <c r="T4806" t="s">
        <v>33310</v>
      </c>
      <c r="U4806" t="s">
        <v>37671</v>
      </c>
      <c r="W4806" t="s">
        <v>31336</v>
      </c>
      <c r="X4806" t="s">
        <v>32532</v>
      </c>
    </row>
    <row r="4807" spans="1:24">
      <c r="A4807">
        <f>HYPERLINK("https://www.philgeps.gov.ph/GEPSNONPILOT/Tender/SplashBidNoticeAbstractUI.aspx?menuIndex=3&amp;refID=7038641&amp;Result=3","7038641")</f>
        <v>0</v>
      </c>
      <c r="B4807" t="s">
        <v>1350</v>
      </c>
      <c r="C4807" t="s">
        <v>7272</v>
      </c>
      <c r="D4807" t="s">
        <v>13013</v>
      </c>
      <c r="E4807" t="s">
        <v>17378</v>
      </c>
      <c r="F4807" t="s">
        <v>22436</v>
      </c>
      <c r="G4807" t="s">
        <v>22446</v>
      </c>
      <c r="H4807" t="s">
        <v>22452</v>
      </c>
      <c r="I4807" t="s">
        <v>22504</v>
      </c>
      <c r="J4807" t="s">
        <v>25740</v>
      </c>
      <c r="K4807" t="s">
        <v>29341</v>
      </c>
      <c r="M4807" t="s">
        <v>31006</v>
      </c>
      <c r="N4807" t="s">
        <v>32524</v>
      </c>
      <c r="O4807" t="s">
        <v>32525</v>
      </c>
      <c r="P4807">
        <v>0</v>
      </c>
      <c r="Q4807">
        <v>0</v>
      </c>
      <c r="R4807" t="s">
        <v>32531</v>
      </c>
      <c r="S4807" t="s">
        <v>32586</v>
      </c>
      <c r="T4807" t="s">
        <v>33197</v>
      </c>
      <c r="U4807" t="s">
        <v>36981</v>
      </c>
      <c r="W4807" t="s">
        <v>31006</v>
      </c>
      <c r="X4807" t="s">
        <v>32532</v>
      </c>
    </row>
    <row r="4808" spans="1:24">
      <c r="A4808">
        <f>HYPERLINK("https://www.philgeps.gov.ph/GEPSNONPILOT/Tender/SplashBidNoticeAbstractUI.aspx?menuIndex=3&amp;refID=7038599&amp;Result=3","7038599")</f>
        <v>0</v>
      </c>
      <c r="B4808" t="s">
        <v>1270</v>
      </c>
      <c r="C4808" t="s">
        <v>7273</v>
      </c>
      <c r="D4808" t="s">
        <v>13035</v>
      </c>
      <c r="E4808" t="s">
        <v>17379</v>
      </c>
      <c r="F4808" t="s">
        <v>22436</v>
      </c>
      <c r="G4808" t="s">
        <v>22444</v>
      </c>
      <c r="H4808" t="s">
        <v>22452</v>
      </c>
      <c r="I4808" t="s">
        <v>3122</v>
      </c>
      <c r="J4808" t="s">
        <v>25741</v>
      </c>
      <c r="K4808" t="s">
        <v>29331</v>
      </c>
      <c r="M4808" t="s">
        <v>30923</v>
      </c>
      <c r="N4808" t="s">
        <v>32524</v>
      </c>
      <c r="O4808" t="s">
        <v>32525</v>
      </c>
      <c r="P4808">
        <v>0</v>
      </c>
      <c r="Q4808">
        <v>0</v>
      </c>
      <c r="R4808" t="s">
        <v>32531</v>
      </c>
      <c r="S4808" t="s">
        <v>32586</v>
      </c>
      <c r="T4808" t="s">
        <v>33293</v>
      </c>
      <c r="U4808" t="s">
        <v>37672</v>
      </c>
      <c r="W4808" t="s">
        <v>30923</v>
      </c>
      <c r="X4808" t="s">
        <v>32532</v>
      </c>
    </row>
    <row r="4809" spans="1:24">
      <c r="A4809">
        <f>HYPERLINK("https://www.philgeps.gov.ph/GEPSNONPILOT/Tender/SplashBidNoticeAbstractUI.aspx?menuIndex=3&amp;refID=7038650&amp;Result=3","7038650")</f>
        <v>0</v>
      </c>
      <c r="B4809" t="s">
        <v>267</v>
      </c>
      <c r="C4809" t="s">
        <v>7274</v>
      </c>
      <c r="D4809" t="s">
        <v>13032</v>
      </c>
      <c r="E4809" t="s">
        <v>17380</v>
      </c>
      <c r="F4809" t="s">
        <v>22436</v>
      </c>
      <c r="G4809" t="s">
        <v>22444</v>
      </c>
      <c r="H4809" t="s">
        <v>22452</v>
      </c>
      <c r="I4809" t="s">
        <v>3529</v>
      </c>
      <c r="J4809" t="s">
        <v>25742</v>
      </c>
      <c r="K4809" t="s">
        <v>29338</v>
      </c>
      <c r="M4809" t="s">
        <v>29841</v>
      </c>
      <c r="N4809" t="s">
        <v>32524</v>
      </c>
      <c r="O4809" t="s">
        <v>32525</v>
      </c>
      <c r="P4809">
        <v>0</v>
      </c>
      <c r="Q4809">
        <v>0</v>
      </c>
      <c r="R4809" t="s">
        <v>32531</v>
      </c>
      <c r="S4809" t="s">
        <v>32586</v>
      </c>
      <c r="T4809" t="s">
        <v>33213</v>
      </c>
      <c r="U4809" t="s">
        <v>37673</v>
      </c>
      <c r="W4809" t="s">
        <v>43690</v>
      </c>
      <c r="X4809" t="s">
        <v>32532</v>
      </c>
    </row>
    <row r="4810" spans="1:24">
      <c r="A4810">
        <f>HYPERLINK("https://www.philgeps.gov.ph/GEPSNONPILOT/Tender/SplashBidNoticeAbstractUI.aspx?menuIndex=3&amp;refID=7038660&amp;Result=3","7038660")</f>
        <v>0</v>
      </c>
      <c r="B4810" t="s">
        <v>978</v>
      </c>
      <c r="C4810" t="s">
        <v>7275</v>
      </c>
      <c r="D4810" t="s">
        <v>13032</v>
      </c>
      <c r="E4810" t="s">
        <v>17381</v>
      </c>
      <c r="F4810" t="s">
        <v>22436</v>
      </c>
      <c r="G4810" t="s">
        <v>22447</v>
      </c>
      <c r="H4810" t="s">
        <v>22454</v>
      </c>
      <c r="I4810" t="s">
        <v>7738</v>
      </c>
      <c r="J4810" t="s">
        <v>25743</v>
      </c>
      <c r="K4810" t="s">
        <v>29334</v>
      </c>
      <c r="M4810" t="s">
        <v>30599</v>
      </c>
      <c r="N4810" t="s">
        <v>32524</v>
      </c>
      <c r="O4810" t="s">
        <v>32525</v>
      </c>
      <c r="P4810">
        <v>0</v>
      </c>
      <c r="Q4810">
        <v>0</v>
      </c>
      <c r="R4810" t="s">
        <v>32531</v>
      </c>
      <c r="S4810" t="s">
        <v>32586</v>
      </c>
      <c r="T4810" t="s">
        <v>33167</v>
      </c>
      <c r="U4810" t="s">
        <v>35822</v>
      </c>
      <c r="W4810" t="s">
        <v>30599</v>
      </c>
      <c r="X4810" t="s">
        <v>32532</v>
      </c>
    </row>
    <row r="4811" spans="1:24">
      <c r="A4811">
        <f>HYPERLINK("https://www.philgeps.gov.ph/GEPSNONPILOT/Tender/SplashBidNoticeAbstractUI.aspx?menuIndex=3&amp;refID=7038647&amp;Result=3","7038647")</f>
        <v>0</v>
      </c>
      <c r="B4811" t="s">
        <v>978</v>
      </c>
      <c r="C4811" t="s">
        <v>7276</v>
      </c>
      <c r="D4811" t="s">
        <v>13032</v>
      </c>
      <c r="E4811" t="s">
        <v>17382</v>
      </c>
      <c r="F4811" t="s">
        <v>22436</v>
      </c>
      <c r="G4811" t="s">
        <v>22447</v>
      </c>
      <c r="H4811" t="s">
        <v>22454</v>
      </c>
      <c r="I4811" t="s">
        <v>7738</v>
      </c>
      <c r="J4811" t="s">
        <v>25726</v>
      </c>
      <c r="K4811" t="s">
        <v>29344</v>
      </c>
      <c r="M4811" t="s">
        <v>30599</v>
      </c>
      <c r="N4811" t="s">
        <v>32524</v>
      </c>
      <c r="O4811" t="s">
        <v>32525</v>
      </c>
      <c r="P4811">
        <v>0</v>
      </c>
      <c r="Q4811">
        <v>0</v>
      </c>
      <c r="R4811" t="s">
        <v>32531</v>
      </c>
      <c r="S4811" t="s">
        <v>32586</v>
      </c>
      <c r="T4811" t="s">
        <v>33167</v>
      </c>
      <c r="U4811" t="s">
        <v>35822</v>
      </c>
      <c r="W4811" t="s">
        <v>30599</v>
      </c>
      <c r="X4811" t="s">
        <v>32532</v>
      </c>
    </row>
    <row r="4812" spans="1:24">
      <c r="A4812">
        <f>HYPERLINK("https://www.philgeps.gov.ph/GEPSNONPILOT/Tender/SplashBidNoticeAbstractUI.aspx?menuIndex=3&amp;refID=7038636&amp;Result=3","7038636")</f>
        <v>0</v>
      </c>
      <c r="B4812" t="s">
        <v>1583</v>
      </c>
      <c r="C4812" t="s">
        <v>7277</v>
      </c>
      <c r="D4812" t="s">
        <v>12993</v>
      </c>
      <c r="E4812" t="s">
        <v>17383</v>
      </c>
      <c r="F4812" t="s">
        <v>22436</v>
      </c>
      <c r="G4812" t="s">
        <v>22444</v>
      </c>
      <c r="H4812" t="s">
        <v>22452</v>
      </c>
      <c r="I4812" t="s">
        <v>3529</v>
      </c>
      <c r="J4812" t="s">
        <v>25744</v>
      </c>
      <c r="K4812" t="s">
        <v>29334</v>
      </c>
      <c r="M4812" t="s">
        <v>31265</v>
      </c>
      <c r="N4812" t="s">
        <v>32524</v>
      </c>
      <c r="O4812" t="s">
        <v>32525</v>
      </c>
      <c r="P4812">
        <v>0</v>
      </c>
      <c r="Q4812">
        <v>1</v>
      </c>
      <c r="R4812" t="s">
        <v>32531</v>
      </c>
      <c r="S4812" t="s">
        <v>32586</v>
      </c>
      <c r="T4812" t="s">
        <v>33400</v>
      </c>
      <c r="U4812" t="s">
        <v>37674</v>
      </c>
      <c r="W4812" t="s">
        <v>31265</v>
      </c>
      <c r="X4812" t="s">
        <v>32532</v>
      </c>
    </row>
    <row r="4813" spans="1:24">
      <c r="A4813">
        <f>HYPERLINK("https://www.philgeps.gov.ph/GEPSNONPILOT/Tender/SplashBidNoticeAbstractUI.aspx?menuIndex=3&amp;refID=7038635&amp;Result=3","7038635")</f>
        <v>0</v>
      </c>
      <c r="B4813" t="s">
        <v>711</v>
      </c>
      <c r="C4813" t="s">
        <v>7278</v>
      </c>
      <c r="D4813" t="s">
        <v>13020</v>
      </c>
      <c r="E4813" t="s">
        <v>13368</v>
      </c>
      <c r="F4813" t="s">
        <v>22436</v>
      </c>
      <c r="G4813" t="s">
        <v>22444</v>
      </c>
      <c r="H4813" t="s">
        <v>22454</v>
      </c>
      <c r="I4813" t="s">
        <v>7738</v>
      </c>
      <c r="J4813" t="s">
        <v>25745</v>
      </c>
      <c r="K4813" t="s">
        <v>29329</v>
      </c>
      <c r="M4813" t="s">
        <v>30308</v>
      </c>
      <c r="N4813" t="s">
        <v>32524</v>
      </c>
      <c r="O4813" t="s">
        <v>32525</v>
      </c>
      <c r="P4813">
        <v>0</v>
      </c>
      <c r="Q4813">
        <v>1</v>
      </c>
      <c r="R4813" t="s">
        <v>32531</v>
      </c>
      <c r="S4813" t="s">
        <v>32586</v>
      </c>
      <c r="T4813" t="s">
        <v>33471</v>
      </c>
      <c r="U4813" t="s">
        <v>37675</v>
      </c>
      <c r="W4813" t="s">
        <v>30308</v>
      </c>
      <c r="X4813" t="s">
        <v>32532</v>
      </c>
    </row>
    <row r="4814" spans="1:24">
      <c r="A4814">
        <f>HYPERLINK("https://www.philgeps.gov.ph/GEPSNONPILOT/Tender/SplashBidNoticeAbstractUI.aspx?menuIndex=3&amp;refID=7038661&amp;Result=3","7038661")</f>
        <v>0</v>
      </c>
      <c r="B4814" t="s">
        <v>1642</v>
      </c>
      <c r="C4814" t="s">
        <v>7279</v>
      </c>
      <c r="D4814" t="s">
        <v>12998</v>
      </c>
      <c r="E4814" t="s">
        <v>17384</v>
      </c>
      <c r="F4814" t="s">
        <v>22436</v>
      </c>
      <c r="G4814" t="s">
        <v>22444</v>
      </c>
      <c r="H4814" t="s">
        <v>22452</v>
      </c>
      <c r="I4814" t="s">
        <v>22464</v>
      </c>
      <c r="J4814" t="s">
        <v>25144</v>
      </c>
      <c r="K4814" t="s">
        <v>29338</v>
      </c>
      <c r="M4814" t="s">
        <v>31335</v>
      </c>
      <c r="N4814" t="s">
        <v>32524</v>
      </c>
      <c r="O4814" t="s">
        <v>32525</v>
      </c>
      <c r="P4814">
        <v>0</v>
      </c>
      <c r="Q4814">
        <v>6</v>
      </c>
      <c r="R4814" t="s">
        <v>32531</v>
      </c>
      <c r="S4814" t="s">
        <v>32586</v>
      </c>
      <c r="T4814" t="s">
        <v>33423</v>
      </c>
      <c r="U4814" t="s">
        <v>37668</v>
      </c>
      <c r="W4814" t="s">
        <v>31335</v>
      </c>
      <c r="X4814" t="s">
        <v>32532</v>
      </c>
    </row>
    <row r="4815" spans="1:24">
      <c r="A4815">
        <f>HYPERLINK("https://www.philgeps.gov.ph/GEPSNONPILOT/Tender/SplashBidNoticeAbstractUI.aspx?menuIndex=3&amp;refID=7038637&amp;Result=3","7038637")</f>
        <v>0</v>
      </c>
      <c r="B4815" t="s">
        <v>978</v>
      </c>
      <c r="C4815" t="s">
        <v>7280</v>
      </c>
      <c r="D4815" t="s">
        <v>13032</v>
      </c>
      <c r="E4815" t="s">
        <v>17385</v>
      </c>
      <c r="F4815" t="s">
        <v>22436</v>
      </c>
      <c r="G4815" t="s">
        <v>22447</v>
      </c>
      <c r="H4815" t="s">
        <v>22454</v>
      </c>
      <c r="I4815" t="s">
        <v>7738</v>
      </c>
      <c r="J4815" t="s">
        <v>25726</v>
      </c>
      <c r="K4815" t="s">
        <v>29344</v>
      </c>
      <c r="M4815" t="s">
        <v>30599</v>
      </c>
      <c r="N4815" t="s">
        <v>32524</v>
      </c>
      <c r="O4815" t="s">
        <v>32525</v>
      </c>
      <c r="P4815">
        <v>0</v>
      </c>
      <c r="Q4815">
        <v>0</v>
      </c>
      <c r="R4815" t="s">
        <v>32531</v>
      </c>
      <c r="S4815" t="s">
        <v>32586</v>
      </c>
      <c r="T4815" t="s">
        <v>33167</v>
      </c>
      <c r="U4815" t="s">
        <v>35822</v>
      </c>
      <c r="W4815" t="s">
        <v>30599</v>
      </c>
      <c r="X4815" t="s">
        <v>32532</v>
      </c>
    </row>
    <row r="4816" spans="1:24">
      <c r="A4816">
        <f>HYPERLINK("https://www.philgeps.gov.ph/GEPSNONPILOT/Tender/SplashBidNoticeAbstractUI.aspx?menuIndex=3&amp;refID=7038658&amp;Result=3","7038658")</f>
        <v>0</v>
      </c>
      <c r="B4816" t="s">
        <v>1108</v>
      </c>
      <c r="C4816" t="s">
        <v>7281</v>
      </c>
      <c r="D4816" t="s">
        <v>13061</v>
      </c>
      <c r="E4816" t="s">
        <v>17386</v>
      </c>
      <c r="F4816" t="s">
        <v>22436</v>
      </c>
      <c r="G4816" t="s">
        <v>22444</v>
      </c>
      <c r="H4816" t="s">
        <v>22454</v>
      </c>
      <c r="I4816" t="s">
        <v>7738</v>
      </c>
      <c r="J4816" t="s">
        <v>25746</v>
      </c>
      <c r="K4816" t="s">
        <v>29344</v>
      </c>
      <c r="M4816" t="s">
        <v>31316</v>
      </c>
      <c r="N4816" t="s">
        <v>32524</v>
      </c>
      <c r="O4816" t="s">
        <v>32525</v>
      </c>
      <c r="P4816">
        <v>0</v>
      </c>
      <c r="Q4816">
        <v>0</v>
      </c>
      <c r="R4816" t="s">
        <v>32531</v>
      </c>
      <c r="S4816" t="s">
        <v>32586</v>
      </c>
      <c r="T4816" t="s">
        <v>33434</v>
      </c>
      <c r="U4816" t="s">
        <v>37676</v>
      </c>
      <c r="W4816" t="s">
        <v>31316</v>
      </c>
      <c r="X4816" t="s">
        <v>32532</v>
      </c>
    </row>
    <row r="4817" spans="1:24">
      <c r="A4817">
        <f>HYPERLINK("https://www.philgeps.gov.ph/GEPSNONPILOT/Tender/SplashBidNoticeAbstractUI.aspx?menuIndex=3&amp;refID=7038638&amp;Result=3","7038638")</f>
        <v>0</v>
      </c>
      <c r="B4817" t="s">
        <v>267</v>
      </c>
      <c r="C4817" t="s">
        <v>7282</v>
      </c>
      <c r="D4817" t="s">
        <v>13032</v>
      </c>
      <c r="E4817" t="s">
        <v>17387</v>
      </c>
      <c r="F4817" t="s">
        <v>22436</v>
      </c>
      <c r="G4817" t="s">
        <v>22444</v>
      </c>
      <c r="H4817" t="s">
        <v>22452</v>
      </c>
      <c r="I4817" t="s">
        <v>3529</v>
      </c>
      <c r="J4817" t="s">
        <v>25747</v>
      </c>
      <c r="K4817" t="s">
        <v>29338</v>
      </c>
      <c r="M4817" t="s">
        <v>29841</v>
      </c>
      <c r="N4817" t="s">
        <v>32524</v>
      </c>
      <c r="O4817" t="s">
        <v>32525</v>
      </c>
      <c r="P4817">
        <v>0</v>
      </c>
      <c r="Q4817">
        <v>0</v>
      </c>
      <c r="R4817" t="s">
        <v>32531</v>
      </c>
      <c r="S4817" t="s">
        <v>32586</v>
      </c>
      <c r="T4817" t="s">
        <v>33213</v>
      </c>
      <c r="U4817" t="s">
        <v>37677</v>
      </c>
      <c r="W4817" t="s">
        <v>43690</v>
      </c>
      <c r="X4817" t="s">
        <v>32532</v>
      </c>
    </row>
    <row r="4818" spans="1:24">
      <c r="A4818">
        <f>HYPERLINK("https://www.philgeps.gov.ph/GEPSNONPILOT/Tender/SplashBidNoticeAbstractUI.aspx?menuIndex=3&amp;refID=7038683&amp;Result=3","7038683")</f>
        <v>0</v>
      </c>
      <c r="B4818" t="s">
        <v>1644</v>
      </c>
      <c r="C4818" t="s">
        <v>7283</v>
      </c>
      <c r="D4818" t="s">
        <v>13048</v>
      </c>
      <c r="E4818" t="s">
        <v>17388</v>
      </c>
      <c r="F4818" t="s">
        <v>22436</v>
      </c>
      <c r="G4818" t="s">
        <v>22443</v>
      </c>
      <c r="H4818" t="s">
        <v>22452</v>
      </c>
      <c r="I4818" t="s">
        <v>22469</v>
      </c>
      <c r="J4818" t="s">
        <v>25748</v>
      </c>
      <c r="K4818" t="s">
        <v>29335</v>
      </c>
      <c r="M4818" t="s">
        <v>31337</v>
      </c>
      <c r="N4818" t="s">
        <v>32524</v>
      </c>
      <c r="O4818" t="s">
        <v>32525</v>
      </c>
      <c r="P4818">
        <v>0</v>
      </c>
      <c r="Q4818">
        <v>1</v>
      </c>
      <c r="R4818" t="s">
        <v>32531</v>
      </c>
      <c r="S4818" t="s">
        <v>32586</v>
      </c>
      <c r="T4818" t="s">
        <v>33472</v>
      </c>
      <c r="U4818" t="s">
        <v>37678</v>
      </c>
      <c r="W4818" t="s">
        <v>31337</v>
      </c>
      <c r="X4818" t="s">
        <v>32532</v>
      </c>
    </row>
    <row r="4819" spans="1:24">
      <c r="A4819">
        <f>HYPERLINK("https://www.philgeps.gov.ph/GEPSNONPILOT/Tender/SplashBidNoticeAbstractUI.aspx?menuIndex=3&amp;refID=7038681&amp;Result=3","7038681")</f>
        <v>0</v>
      </c>
      <c r="B4819" t="s">
        <v>1108</v>
      </c>
      <c r="C4819" t="s">
        <v>7284</v>
      </c>
      <c r="D4819" t="s">
        <v>13061</v>
      </c>
      <c r="E4819" t="s">
        <v>17389</v>
      </c>
      <c r="F4819" t="s">
        <v>22436</v>
      </c>
      <c r="G4819" t="s">
        <v>22444</v>
      </c>
      <c r="H4819" t="s">
        <v>22454</v>
      </c>
      <c r="I4819" t="s">
        <v>7738</v>
      </c>
      <c r="J4819" t="s">
        <v>25749</v>
      </c>
      <c r="K4819" t="s">
        <v>29388</v>
      </c>
      <c r="M4819" t="s">
        <v>31316</v>
      </c>
      <c r="N4819" t="s">
        <v>32524</v>
      </c>
      <c r="O4819" t="s">
        <v>32525</v>
      </c>
      <c r="P4819">
        <v>0</v>
      </c>
      <c r="Q4819">
        <v>0</v>
      </c>
      <c r="R4819" t="s">
        <v>32531</v>
      </c>
      <c r="S4819" t="s">
        <v>32586</v>
      </c>
      <c r="T4819" t="s">
        <v>33434</v>
      </c>
      <c r="U4819" t="s">
        <v>37679</v>
      </c>
      <c r="W4819" t="s">
        <v>31316</v>
      </c>
      <c r="X4819" t="s">
        <v>32532</v>
      </c>
    </row>
    <row r="4820" spans="1:24">
      <c r="A4820">
        <f>HYPERLINK("https://www.philgeps.gov.ph/GEPSNONPILOT/Tender/SplashBidNoticeAbstractUI.aspx?menuIndex=3&amp;refID=7038640&amp;Result=3","7038640")</f>
        <v>0</v>
      </c>
      <c r="B4820" t="s">
        <v>493</v>
      </c>
      <c r="C4820" t="s">
        <v>7285</v>
      </c>
      <c r="D4820" t="s">
        <v>12990</v>
      </c>
      <c r="E4820" t="s">
        <v>17390</v>
      </c>
      <c r="F4820" t="s">
        <v>22436</v>
      </c>
      <c r="G4820" t="s">
        <v>22443</v>
      </c>
      <c r="H4820" t="s">
        <v>22452</v>
      </c>
      <c r="I4820" t="s">
        <v>22456</v>
      </c>
      <c r="J4820" t="s">
        <v>25750</v>
      </c>
      <c r="K4820" t="s">
        <v>29338</v>
      </c>
      <c r="M4820" t="s">
        <v>30077</v>
      </c>
      <c r="N4820" t="s">
        <v>32524</v>
      </c>
      <c r="O4820" t="s">
        <v>32525</v>
      </c>
      <c r="P4820">
        <v>0</v>
      </c>
      <c r="Q4820">
        <v>1</v>
      </c>
      <c r="R4820" t="s">
        <v>32531</v>
      </c>
      <c r="S4820" t="s">
        <v>32586</v>
      </c>
      <c r="T4820" t="s">
        <v>33304</v>
      </c>
      <c r="U4820" t="s">
        <v>37680</v>
      </c>
      <c r="W4820" t="s">
        <v>30077</v>
      </c>
      <c r="X4820" t="s">
        <v>32532</v>
      </c>
    </row>
    <row r="4821" spans="1:24">
      <c r="A4821">
        <f>HYPERLINK("https://www.philgeps.gov.ph/GEPSNONPILOT/Tender/SplashBidNoticeAbstractUI.aspx?menuIndex=3&amp;refID=7038676&amp;Result=3","7038676")</f>
        <v>0</v>
      </c>
      <c r="B4821" t="s">
        <v>1589</v>
      </c>
      <c r="C4821" t="s">
        <v>7286</v>
      </c>
      <c r="D4821" t="s">
        <v>13060</v>
      </c>
      <c r="E4821" t="s">
        <v>17391</v>
      </c>
      <c r="F4821" t="s">
        <v>22436</v>
      </c>
      <c r="G4821" t="s">
        <v>22444</v>
      </c>
      <c r="H4821" t="s">
        <v>22454</v>
      </c>
      <c r="I4821" t="s">
        <v>7738</v>
      </c>
      <c r="J4821" t="s">
        <v>22640</v>
      </c>
      <c r="K4821" t="s">
        <v>29329</v>
      </c>
      <c r="M4821" t="s">
        <v>31272</v>
      </c>
      <c r="N4821" t="s">
        <v>32524</v>
      </c>
      <c r="O4821" t="s">
        <v>32525</v>
      </c>
      <c r="P4821">
        <v>0</v>
      </c>
      <c r="Q4821">
        <v>0</v>
      </c>
      <c r="R4821" t="s">
        <v>32531</v>
      </c>
      <c r="S4821" t="s">
        <v>32586</v>
      </c>
      <c r="T4821" t="s">
        <v>33320</v>
      </c>
      <c r="U4821" t="s">
        <v>37681</v>
      </c>
      <c r="V4821" t="s">
        <v>42945</v>
      </c>
      <c r="W4821" t="s">
        <v>31272</v>
      </c>
      <c r="X4821" t="s">
        <v>32532</v>
      </c>
    </row>
    <row r="4822" spans="1:24">
      <c r="A4822">
        <f>HYPERLINK("https://www.philgeps.gov.ph/GEPSNONPILOT/Tender/SplashBidNoticeAbstractUI.aspx?menuIndex=3&amp;refID=7038682&amp;Result=3","7038682")</f>
        <v>0</v>
      </c>
      <c r="B4822" t="s">
        <v>978</v>
      </c>
      <c r="C4822" t="s">
        <v>7287</v>
      </c>
      <c r="D4822" t="s">
        <v>13032</v>
      </c>
      <c r="E4822" t="s">
        <v>17392</v>
      </c>
      <c r="F4822" t="s">
        <v>22436</v>
      </c>
      <c r="G4822" t="s">
        <v>22447</v>
      </c>
      <c r="H4822" t="s">
        <v>22454</v>
      </c>
      <c r="I4822" t="s">
        <v>7738</v>
      </c>
      <c r="J4822" t="s">
        <v>25751</v>
      </c>
      <c r="K4822" t="s">
        <v>29344</v>
      </c>
      <c r="M4822" t="s">
        <v>30599</v>
      </c>
      <c r="N4822" t="s">
        <v>32524</v>
      </c>
      <c r="O4822" t="s">
        <v>32525</v>
      </c>
      <c r="P4822">
        <v>0</v>
      </c>
      <c r="Q4822">
        <v>0</v>
      </c>
      <c r="R4822" t="s">
        <v>32531</v>
      </c>
      <c r="S4822" t="s">
        <v>32586</v>
      </c>
      <c r="T4822" t="s">
        <v>33167</v>
      </c>
      <c r="U4822" t="s">
        <v>37682</v>
      </c>
      <c r="W4822" t="s">
        <v>30599</v>
      </c>
      <c r="X4822" t="s">
        <v>32532</v>
      </c>
    </row>
    <row r="4823" spans="1:24">
      <c r="A4823">
        <f>HYPERLINK("https://www.philgeps.gov.ph/GEPSNONPILOT/Tender/SplashBidNoticeAbstractUI.aspx?menuIndex=3&amp;refID=7038680&amp;Result=3","7038680")</f>
        <v>0</v>
      </c>
      <c r="B4823" t="s">
        <v>1645</v>
      </c>
      <c r="C4823" t="s">
        <v>7288</v>
      </c>
      <c r="D4823" t="s">
        <v>12992</v>
      </c>
      <c r="E4823" t="s">
        <v>17393</v>
      </c>
      <c r="F4823" t="s">
        <v>22436</v>
      </c>
      <c r="G4823" t="s">
        <v>22444</v>
      </c>
      <c r="H4823" t="s">
        <v>22454</v>
      </c>
      <c r="I4823" t="s">
        <v>22501</v>
      </c>
      <c r="J4823" t="s">
        <v>25752</v>
      </c>
      <c r="K4823" t="s">
        <v>29335</v>
      </c>
      <c r="M4823" t="s">
        <v>31338</v>
      </c>
      <c r="N4823" t="s">
        <v>32524</v>
      </c>
      <c r="O4823" t="s">
        <v>32525</v>
      </c>
      <c r="P4823">
        <v>0</v>
      </c>
      <c r="Q4823">
        <v>0</v>
      </c>
      <c r="R4823" t="s">
        <v>32531</v>
      </c>
      <c r="S4823" t="s">
        <v>32586</v>
      </c>
      <c r="T4823" t="s">
        <v>33335</v>
      </c>
      <c r="U4823" t="s">
        <v>37683</v>
      </c>
      <c r="W4823" t="s">
        <v>31338</v>
      </c>
      <c r="X4823" t="s">
        <v>32532</v>
      </c>
    </row>
    <row r="4824" spans="1:24">
      <c r="A4824">
        <f>HYPERLINK("https://www.philgeps.gov.ph/GEPSNONPILOT/Tender/SplashBidNoticeAbstractUI.aspx?menuIndex=3&amp;refID=7038664&amp;Result=3","7038664")</f>
        <v>0</v>
      </c>
      <c r="B4824" t="s">
        <v>1634</v>
      </c>
      <c r="C4824" t="s">
        <v>7289</v>
      </c>
      <c r="E4824" t="s">
        <v>17394</v>
      </c>
      <c r="F4824" t="s">
        <v>22436</v>
      </c>
      <c r="G4824" t="s">
        <v>22444</v>
      </c>
      <c r="H4824" t="s">
        <v>22452</v>
      </c>
      <c r="I4824" t="s">
        <v>22471</v>
      </c>
      <c r="J4824" t="s">
        <v>25753</v>
      </c>
      <c r="K4824" t="s">
        <v>29338</v>
      </c>
      <c r="M4824" t="s">
        <v>31324</v>
      </c>
      <c r="N4824" t="s">
        <v>32524</v>
      </c>
      <c r="O4824" t="s">
        <v>32525</v>
      </c>
      <c r="P4824">
        <v>0</v>
      </c>
      <c r="Q4824">
        <v>0</v>
      </c>
      <c r="R4824" t="s">
        <v>32531</v>
      </c>
      <c r="S4824" t="s">
        <v>32586</v>
      </c>
      <c r="T4824" t="s">
        <v>33470</v>
      </c>
      <c r="U4824" t="s">
        <v>37684</v>
      </c>
      <c r="W4824" t="s">
        <v>31324</v>
      </c>
      <c r="X4824" t="s">
        <v>32532</v>
      </c>
    </row>
    <row r="4825" spans="1:24">
      <c r="A4825">
        <f>HYPERLINK("https://www.philgeps.gov.ph/GEPSNONPILOT/Tender/SplashBidNoticeAbstractUI.aspx?menuIndex=3&amp;refID=7038665&amp;Result=3","7038665")</f>
        <v>0</v>
      </c>
      <c r="B4825" t="s">
        <v>332</v>
      </c>
      <c r="C4825" t="s">
        <v>7290</v>
      </c>
      <c r="D4825" t="s">
        <v>13013</v>
      </c>
      <c r="E4825" t="s">
        <v>17395</v>
      </c>
      <c r="F4825" t="s">
        <v>22436</v>
      </c>
      <c r="G4825" t="s">
        <v>22443</v>
      </c>
      <c r="H4825" t="s">
        <v>22452</v>
      </c>
      <c r="I4825" t="s">
        <v>22482</v>
      </c>
      <c r="J4825" t="s">
        <v>25754</v>
      </c>
      <c r="K4825" t="s">
        <v>29334</v>
      </c>
      <c r="M4825" t="s">
        <v>29908</v>
      </c>
      <c r="N4825" t="s">
        <v>32524</v>
      </c>
      <c r="O4825" t="s">
        <v>32525</v>
      </c>
      <c r="P4825">
        <v>0</v>
      </c>
      <c r="Q4825">
        <v>2</v>
      </c>
      <c r="R4825" t="s">
        <v>32531</v>
      </c>
      <c r="S4825" t="s">
        <v>32586</v>
      </c>
      <c r="T4825" t="s">
        <v>33185</v>
      </c>
      <c r="U4825" t="s">
        <v>37685</v>
      </c>
      <c r="W4825" t="s">
        <v>43678</v>
      </c>
      <c r="X4825" t="s">
        <v>32532</v>
      </c>
    </row>
    <row r="4826" spans="1:24">
      <c r="A4826">
        <f>HYPERLINK("https://www.philgeps.gov.ph/GEPSNONPILOT/Tender/SplashBidNoticeAbstractUI.aspx?menuIndex=3&amp;refID=7038688&amp;Result=3","7038688")</f>
        <v>0</v>
      </c>
      <c r="B4826" t="s">
        <v>1621</v>
      </c>
      <c r="C4826" t="s">
        <v>7291</v>
      </c>
      <c r="D4826" t="s">
        <v>13007</v>
      </c>
      <c r="E4826" t="s">
        <v>17396</v>
      </c>
      <c r="F4826" t="s">
        <v>22436</v>
      </c>
      <c r="G4826" t="s">
        <v>22443</v>
      </c>
      <c r="H4826" t="s">
        <v>22452</v>
      </c>
      <c r="I4826" t="s">
        <v>22471</v>
      </c>
      <c r="J4826" t="s">
        <v>23920</v>
      </c>
      <c r="K4826" t="s">
        <v>29331</v>
      </c>
      <c r="M4826" t="s">
        <v>31306</v>
      </c>
      <c r="N4826" t="s">
        <v>32524</v>
      </c>
      <c r="O4826" t="s">
        <v>32525</v>
      </c>
      <c r="P4826">
        <v>0</v>
      </c>
      <c r="Q4826">
        <v>0</v>
      </c>
      <c r="R4826" t="s">
        <v>32531</v>
      </c>
      <c r="S4826" t="s">
        <v>32586</v>
      </c>
      <c r="T4826" t="s">
        <v>33238</v>
      </c>
      <c r="U4826" t="s">
        <v>37686</v>
      </c>
      <c r="W4826" t="s">
        <v>43728</v>
      </c>
      <c r="X4826" t="s">
        <v>32532</v>
      </c>
    </row>
    <row r="4827" spans="1:24">
      <c r="A4827">
        <f>HYPERLINK("https://www.philgeps.gov.ph/GEPSNONPILOT/Tender/SplashBidNoticeAbstractUI.aspx?menuIndex=3&amp;refID=7038686&amp;Result=3","7038686")</f>
        <v>0</v>
      </c>
      <c r="B4827" t="s">
        <v>1646</v>
      </c>
      <c r="C4827" t="s">
        <v>7292</v>
      </c>
      <c r="D4827" t="s">
        <v>13068</v>
      </c>
      <c r="E4827" t="s">
        <v>17397</v>
      </c>
      <c r="F4827" t="s">
        <v>22436</v>
      </c>
      <c r="G4827" t="s">
        <v>22444</v>
      </c>
      <c r="H4827" t="s">
        <v>22454</v>
      </c>
      <c r="I4827" t="s">
        <v>7738</v>
      </c>
      <c r="J4827" t="s">
        <v>25755</v>
      </c>
      <c r="K4827" t="s">
        <v>29333</v>
      </c>
      <c r="M4827" t="s">
        <v>31339</v>
      </c>
      <c r="N4827" t="s">
        <v>32524</v>
      </c>
      <c r="O4827" t="s">
        <v>32525</v>
      </c>
      <c r="P4827">
        <v>0</v>
      </c>
      <c r="Q4827">
        <v>0</v>
      </c>
      <c r="R4827" t="s">
        <v>32531</v>
      </c>
      <c r="S4827" t="s">
        <v>32586</v>
      </c>
      <c r="T4827" t="s">
        <v>33218</v>
      </c>
      <c r="U4827" t="s">
        <v>37687</v>
      </c>
      <c r="V4827" t="s">
        <v>42949</v>
      </c>
      <c r="W4827" t="s">
        <v>31339</v>
      </c>
      <c r="X4827" t="s">
        <v>32532</v>
      </c>
    </row>
    <row r="4828" spans="1:24">
      <c r="A4828">
        <f>HYPERLINK("https://www.philgeps.gov.ph/GEPSNONPILOT/Tender/SplashBidNoticeAbstractUI.aspx?menuIndex=3&amp;refID=7038689&amp;Result=3","7038689")</f>
        <v>0</v>
      </c>
      <c r="B4828" t="s">
        <v>1640</v>
      </c>
      <c r="C4828" t="s">
        <v>7293</v>
      </c>
      <c r="D4828" t="s">
        <v>13042</v>
      </c>
      <c r="E4828" t="s">
        <v>17335</v>
      </c>
      <c r="F4828" t="s">
        <v>22436</v>
      </c>
      <c r="G4828" t="s">
        <v>22444</v>
      </c>
      <c r="H4828" t="s">
        <v>22452</v>
      </c>
      <c r="I4828" t="s">
        <v>3529</v>
      </c>
      <c r="J4828" t="s">
        <v>25756</v>
      </c>
      <c r="K4828" t="s">
        <v>29357</v>
      </c>
      <c r="M4828" t="s">
        <v>31333</v>
      </c>
      <c r="N4828" t="s">
        <v>32524</v>
      </c>
      <c r="O4828" t="s">
        <v>32525</v>
      </c>
      <c r="P4828">
        <v>0</v>
      </c>
      <c r="Q4828">
        <v>0</v>
      </c>
      <c r="R4828" t="s">
        <v>32531</v>
      </c>
      <c r="S4828" t="s">
        <v>32586</v>
      </c>
      <c r="T4828" t="s">
        <v>33171</v>
      </c>
      <c r="U4828" t="s">
        <v>37688</v>
      </c>
      <c r="W4828" t="s">
        <v>31333</v>
      </c>
      <c r="X4828" t="s">
        <v>32532</v>
      </c>
    </row>
    <row r="4829" spans="1:24">
      <c r="A4829">
        <f>HYPERLINK("https://www.philgeps.gov.ph/GEPSNONPILOT/Tender/SplashBidNoticeAbstractUI.aspx?menuIndex=3&amp;refID=7038694&amp;Result=3","7038694")</f>
        <v>0</v>
      </c>
      <c r="B4829" t="s">
        <v>1647</v>
      </c>
      <c r="C4829" t="s">
        <v>7294</v>
      </c>
      <c r="D4829" t="s">
        <v>13002</v>
      </c>
      <c r="E4829" t="s">
        <v>17398</v>
      </c>
      <c r="F4829" t="s">
        <v>22436</v>
      </c>
      <c r="G4829" t="s">
        <v>22443</v>
      </c>
      <c r="H4829" t="s">
        <v>22452</v>
      </c>
      <c r="I4829" t="s">
        <v>22494</v>
      </c>
      <c r="J4829" t="s">
        <v>25757</v>
      </c>
      <c r="K4829" t="s">
        <v>29341</v>
      </c>
      <c r="M4829" t="s">
        <v>31340</v>
      </c>
      <c r="N4829" t="s">
        <v>32524</v>
      </c>
      <c r="O4829" t="s">
        <v>32525</v>
      </c>
      <c r="P4829">
        <v>0</v>
      </c>
      <c r="Q4829">
        <v>1</v>
      </c>
      <c r="R4829" t="s">
        <v>32531</v>
      </c>
      <c r="S4829" t="s">
        <v>32586</v>
      </c>
      <c r="T4829" t="s">
        <v>33185</v>
      </c>
      <c r="U4829" t="s">
        <v>37689</v>
      </c>
      <c r="W4829" t="s">
        <v>31340</v>
      </c>
      <c r="X4829" t="s">
        <v>32532</v>
      </c>
    </row>
    <row r="4830" spans="1:24">
      <c r="A4830">
        <f>HYPERLINK("https://www.philgeps.gov.ph/GEPSNONPILOT/Tender/SplashBidNoticeAbstractUI.aspx?menuIndex=3&amp;refID=7038672&amp;Result=3","7038672")</f>
        <v>0</v>
      </c>
      <c r="B4830" t="s">
        <v>168</v>
      </c>
      <c r="C4830" t="s">
        <v>7295</v>
      </c>
      <c r="D4830" t="s">
        <v>13015</v>
      </c>
      <c r="E4830" t="s">
        <v>17399</v>
      </c>
      <c r="F4830" t="s">
        <v>22436</v>
      </c>
      <c r="G4830" t="s">
        <v>22444</v>
      </c>
      <c r="H4830" t="s">
        <v>22452</v>
      </c>
      <c r="I4830" t="s">
        <v>3027</v>
      </c>
      <c r="J4830" t="s">
        <v>24832</v>
      </c>
      <c r="K4830" t="s">
        <v>29340</v>
      </c>
      <c r="M4830" t="s">
        <v>31341</v>
      </c>
      <c r="N4830" t="s">
        <v>32524</v>
      </c>
      <c r="O4830" t="s">
        <v>32525</v>
      </c>
      <c r="P4830">
        <v>0</v>
      </c>
      <c r="Q4830">
        <v>0</v>
      </c>
      <c r="R4830" t="s">
        <v>32531</v>
      </c>
      <c r="S4830" t="s">
        <v>32586</v>
      </c>
      <c r="T4830" t="s">
        <v>33213</v>
      </c>
      <c r="U4830" t="s">
        <v>37690</v>
      </c>
      <c r="V4830" t="s">
        <v>42464</v>
      </c>
      <c r="W4830" t="s">
        <v>31341</v>
      </c>
      <c r="X4830" t="s">
        <v>32532</v>
      </c>
    </row>
    <row r="4831" spans="1:24">
      <c r="A4831">
        <f>HYPERLINK("https://www.philgeps.gov.ph/GEPSNONPILOT/Tender/SplashBidNoticeAbstractUI.aspx?menuIndex=3&amp;refID=7038684&amp;Result=3","7038684")</f>
        <v>0</v>
      </c>
      <c r="B4831" t="s">
        <v>1615</v>
      </c>
      <c r="C4831" t="s">
        <v>7296</v>
      </c>
      <c r="D4831" t="s">
        <v>13024</v>
      </c>
      <c r="E4831" t="s">
        <v>17400</v>
      </c>
      <c r="F4831" t="s">
        <v>22436</v>
      </c>
      <c r="G4831" t="s">
        <v>22443</v>
      </c>
      <c r="H4831" t="s">
        <v>22452</v>
      </c>
      <c r="I4831" t="s">
        <v>3529</v>
      </c>
      <c r="J4831" t="s">
        <v>22605</v>
      </c>
      <c r="K4831" t="s">
        <v>29335</v>
      </c>
      <c r="M4831" t="s">
        <v>31300</v>
      </c>
      <c r="N4831" t="s">
        <v>32524</v>
      </c>
      <c r="O4831" t="s">
        <v>32525</v>
      </c>
      <c r="P4831">
        <v>0</v>
      </c>
      <c r="Q4831">
        <v>0</v>
      </c>
      <c r="R4831" t="s">
        <v>32531</v>
      </c>
      <c r="S4831" t="s">
        <v>32586</v>
      </c>
      <c r="T4831" t="s">
        <v>33154</v>
      </c>
      <c r="U4831" t="s">
        <v>37619</v>
      </c>
      <c r="V4831" t="s">
        <v>42950</v>
      </c>
      <c r="W4831" t="s">
        <v>31300</v>
      </c>
      <c r="X4831" t="s">
        <v>32532</v>
      </c>
    </row>
    <row r="4832" spans="1:24">
      <c r="A4832">
        <f>HYPERLINK("https://www.philgeps.gov.ph/GEPSNONPILOT/Tender/SplashBidNoticeAbstractUI.aspx?menuIndex=3&amp;refID=7038690&amp;Result=3","7038690")</f>
        <v>0</v>
      </c>
      <c r="B4832" t="s">
        <v>267</v>
      </c>
      <c r="C4832" t="s">
        <v>7297</v>
      </c>
      <c r="D4832" t="s">
        <v>13032</v>
      </c>
      <c r="E4832" t="s">
        <v>17401</v>
      </c>
      <c r="F4832" t="s">
        <v>22436</v>
      </c>
      <c r="G4832" t="s">
        <v>22444</v>
      </c>
      <c r="H4832" t="s">
        <v>22452</v>
      </c>
      <c r="I4832" t="s">
        <v>3529</v>
      </c>
      <c r="J4832" t="s">
        <v>25758</v>
      </c>
      <c r="K4832" t="s">
        <v>29338</v>
      </c>
      <c r="M4832" t="s">
        <v>29841</v>
      </c>
      <c r="N4832" t="s">
        <v>32524</v>
      </c>
      <c r="O4832" t="s">
        <v>32525</v>
      </c>
      <c r="P4832">
        <v>0</v>
      </c>
      <c r="Q4832">
        <v>0</v>
      </c>
      <c r="R4832" t="s">
        <v>32531</v>
      </c>
      <c r="S4832" t="s">
        <v>32586</v>
      </c>
      <c r="T4832" t="s">
        <v>33213</v>
      </c>
      <c r="U4832" t="s">
        <v>37691</v>
      </c>
      <c r="W4832" t="s">
        <v>43690</v>
      </c>
      <c r="X4832" t="s">
        <v>32532</v>
      </c>
    </row>
    <row r="4833" spans="1:24">
      <c r="A4833">
        <f>HYPERLINK("https://www.philgeps.gov.ph/GEPSNONPILOT/Tender/SplashBidNoticeAbstractUI.aspx?menuIndex=3&amp;refID=7038685&amp;Result=3","7038685")</f>
        <v>0</v>
      </c>
      <c r="B4833" t="s">
        <v>1038</v>
      </c>
      <c r="C4833" t="s">
        <v>7298</v>
      </c>
      <c r="D4833" t="s">
        <v>13025</v>
      </c>
      <c r="E4833" t="s">
        <v>17402</v>
      </c>
      <c r="F4833" t="s">
        <v>22436</v>
      </c>
      <c r="G4833" t="s">
        <v>22443</v>
      </c>
      <c r="H4833" t="s">
        <v>22452</v>
      </c>
      <c r="I4833" t="s">
        <v>3027</v>
      </c>
      <c r="J4833" t="s">
        <v>23235</v>
      </c>
      <c r="K4833" t="s">
        <v>29338</v>
      </c>
      <c r="M4833" t="s">
        <v>31342</v>
      </c>
      <c r="N4833" t="s">
        <v>32524</v>
      </c>
      <c r="O4833" t="s">
        <v>32525</v>
      </c>
      <c r="P4833">
        <v>0</v>
      </c>
      <c r="Q4833">
        <v>0</v>
      </c>
      <c r="R4833" t="s">
        <v>32531</v>
      </c>
      <c r="S4833" t="s">
        <v>32586</v>
      </c>
      <c r="T4833" t="s">
        <v>33215</v>
      </c>
      <c r="U4833" t="s">
        <v>37692</v>
      </c>
      <c r="W4833" t="s">
        <v>43704</v>
      </c>
      <c r="X4833" t="s">
        <v>32532</v>
      </c>
    </row>
    <row r="4834" spans="1:24">
      <c r="A4834">
        <f>HYPERLINK("https://www.philgeps.gov.ph/GEPSNONPILOT/Tender/SplashBidNoticeAbstractUI.aspx?menuIndex=3&amp;refID=7038696&amp;Result=3","7038696")</f>
        <v>0</v>
      </c>
      <c r="B4834" t="s">
        <v>1641</v>
      </c>
      <c r="C4834" t="s">
        <v>7299</v>
      </c>
      <c r="D4834" t="s">
        <v>13041</v>
      </c>
      <c r="E4834" t="s">
        <v>17403</v>
      </c>
      <c r="F4834" t="s">
        <v>22436</v>
      </c>
      <c r="G4834" t="s">
        <v>22444</v>
      </c>
      <c r="H4834" t="s">
        <v>22452</v>
      </c>
      <c r="I4834" t="s">
        <v>22502</v>
      </c>
      <c r="J4834" t="s">
        <v>25759</v>
      </c>
      <c r="K4834" t="s">
        <v>29334</v>
      </c>
      <c r="M4834" t="s">
        <v>31334</v>
      </c>
      <c r="N4834" t="s">
        <v>32524</v>
      </c>
      <c r="O4834" t="s">
        <v>32525</v>
      </c>
      <c r="P4834">
        <v>0</v>
      </c>
      <c r="Q4834">
        <v>44</v>
      </c>
      <c r="R4834" t="s">
        <v>32531</v>
      </c>
      <c r="S4834" t="s">
        <v>32586</v>
      </c>
      <c r="T4834" t="s">
        <v>33426</v>
      </c>
      <c r="U4834" t="s">
        <v>37693</v>
      </c>
      <c r="W4834" t="s">
        <v>31334</v>
      </c>
      <c r="X4834" t="s">
        <v>32532</v>
      </c>
    </row>
    <row r="4835" spans="1:24">
      <c r="A4835">
        <f>HYPERLINK("https://www.philgeps.gov.ph/GEPSNONPILOT/Tender/SplashBidNoticeAbstractUI.aspx?menuIndex=3&amp;refID=7038662&amp;Result=3","7038662")</f>
        <v>0</v>
      </c>
      <c r="B4835" t="s">
        <v>267</v>
      </c>
      <c r="C4835" t="s">
        <v>7300</v>
      </c>
      <c r="D4835" t="s">
        <v>13032</v>
      </c>
      <c r="E4835" t="s">
        <v>17404</v>
      </c>
      <c r="F4835" t="s">
        <v>22436</v>
      </c>
      <c r="G4835" t="s">
        <v>22444</v>
      </c>
      <c r="H4835" t="s">
        <v>22452</v>
      </c>
      <c r="I4835" t="s">
        <v>22478</v>
      </c>
      <c r="J4835" t="s">
        <v>25760</v>
      </c>
      <c r="K4835" t="s">
        <v>29338</v>
      </c>
      <c r="M4835" t="s">
        <v>29841</v>
      </c>
      <c r="N4835" t="s">
        <v>32524</v>
      </c>
      <c r="O4835" t="s">
        <v>32525</v>
      </c>
      <c r="P4835">
        <v>0</v>
      </c>
      <c r="Q4835">
        <v>2</v>
      </c>
      <c r="R4835" t="s">
        <v>32531</v>
      </c>
      <c r="S4835" t="s">
        <v>32586</v>
      </c>
      <c r="T4835" t="s">
        <v>33213</v>
      </c>
      <c r="U4835" t="s">
        <v>37694</v>
      </c>
      <c r="W4835" t="s">
        <v>43690</v>
      </c>
      <c r="X4835" t="s">
        <v>32532</v>
      </c>
    </row>
    <row r="4836" spans="1:24">
      <c r="A4836">
        <f>HYPERLINK("https://www.philgeps.gov.ph/GEPSNONPILOT/Tender/SplashBidNoticeAbstractUI.aspx?menuIndex=3&amp;refID=7038712&amp;Result=3","7038712")</f>
        <v>0</v>
      </c>
      <c r="B4836" t="s">
        <v>1645</v>
      </c>
      <c r="C4836" t="s">
        <v>7301</v>
      </c>
      <c r="D4836" t="s">
        <v>12992</v>
      </c>
      <c r="E4836" t="s">
        <v>17405</v>
      </c>
      <c r="F4836" t="s">
        <v>22436</v>
      </c>
      <c r="G4836" t="s">
        <v>22444</v>
      </c>
      <c r="H4836" t="s">
        <v>22454</v>
      </c>
      <c r="I4836" t="s">
        <v>7738</v>
      </c>
      <c r="J4836" t="s">
        <v>25761</v>
      </c>
      <c r="K4836" t="s">
        <v>29403</v>
      </c>
      <c r="M4836" t="s">
        <v>31338</v>
      </c>
      <c r="N4836" t="s">
        <v>32524</v>
      </c>
      <c r="O4836" t="s">
        <v>32525</v>
      </c>
      <c r="P4836">
        <v>0</v>
      </c>
      <c r="Q4836">
        <v>0</v>
      </c>
      <c r="R4836" t="s">
        <v>32531</v>
      </c>
      <c r="S4836" t="s">
        <v>32586</v>
      </c>
      <c r="T4836" t="s">
        <v>33473</v>
      </c>
      <c r="U4836" t="s">
        <v>37695</v>
      </c>
      <c r="W4836" t="s">
        <v>31338</v>
      </c>
      <c r="X4836" t="s">
        <v>32532</v>
      </c>
    </row>
    <row r="4837" spans="1:24">
      <c r="A4837">
        <f>HYPERLINK("https://www.philgeps.gov.ph/GEPSNONPILOT/Tender/SplashBidNoticeAbstractUI.aspx?menuIndex=3&amp;refID=7038707&amp;Result=3","7038707")</f>
        <v>0</v>
      </c>
      <c r="B4837" t="s">
        <v>1630</v>
      </c>
      <c r="C4837" t="s">
        <v>7302</v>
      </c>
      <c r="D4837" t="s">
        <v>13062</v>
      </c>
      <c r="E4837" t="s">
        <v>17406</v>
      </c>
      <c r="F4837" t="s">
        <v>22436</v>
      </c>
      <c r="G4837" t="s">
        <v>22444</v>
      </c>
      <c r="H4837" t="s">
        <v>22454</v>
      </c>
      <c r="I4837" t="s">
        <v>7738</v>
      </c>
      <c r="J4837" t="s">
        <v>25762</v>
      </c>
      <c r="K4837" t="s">
        <v>29344</v>
      </c>
      <c r="M4837" t="s">
        <v>31318</v>
      </c>
      <c r="N4837" t="s">
        <v>32524</v>
      </c>
      <c r="O4837" t="s">
        <v>32525</v>
      </c>
      <c r="P4837">
        <v>0</v>
      </c>
      <c r="Q4837">
        <v>0</v>
      </c>
      <c r="R4837" t="s">
        <v>32531</v>
      </c>
      <c r="S4837" t="s">
        <v>32586</v>
      </c>
      <c r="T4837" t="s">
        <v>33422</v>
      </c>
      <c r="U4837" t="s">
        <v>37696</v>
      </c>
      <c r="W4837" t="s">
        <v>31318</v>
      </c>
      <c r="X4837" t="s">
        <v>32532</v>
      </c>
    </row>
    <row r="4838" spans="1:24">
      <c r="A4838">
        <f>HYPERLINK("https://www.philgeps.gov.ph/GEPSNONPILOT/Tender/SplashBidNoticeAbstractUI.aspx?menuIndex=3&amp;refID=7038695&amp;Result=3","7038695")</f>
        <v>0</v>
      </c>
      <c r="B4838" t="s">
        <v>168</v>
      </c>
      <c r="C4838" t="s">
        <v>7303</v>
      </c>
      <c r="D4838" t="s">
        <v>13015</v>
      </c>
      <c r="E4838" t="s">
        <v>17407</v>
      </c>
      <c r="F4838" t="s">
        <v>22436</v>
      </c>
      <c r="G4838" t="s">
        <v>22444</v>
      </c>
      <c r="H4838" t="s">
        <v>22452</v>
      </c>
      <c r="I4838" t="s">
        <v>3027</v>
      </c>
      <c r="J4838" t="s">
        <v>24832</v>
      </c>
      <c r="K4838" t="s">
        <v>29340</v>
      </c>
      <c r="M4838" t="s">
        <v>31341</v>
      </c>
      <c r="N4838" t="s">
        <v>32524</v>
      </c>
      <c r="O4838" t="s">
        <v>32525</v>
      </c>
      <c r="P4838">
        <v>0</v>
      </c>
      <c r="Q4838">
        <v>0</v>
      </c>
      <c r="R4838" t="s">
        <v>32531</v>
      </c>
      <c r="S4838" t="s">
        <v>32586</v>
      </c>
      <c r="T4838" t="s">
        <v>33213</v>
      </c>
      <c r="U4838" t="s">
        <v>37690</v>
      </c>
      <c r="V4838" t="s">
        <v>42464</v>
      </c>
      <c r="W4838" t="s">
        <v>31341</v>
      </c>
      <c r="X4838" t="s">
        <v>32532</v>
      </c>
    </row>
    <row r="4839" spans="1:24">
      <c r="A4839">
        <f>HYPERLINK("https://www.philgeps.gov.ph/GEPSNONPILOT/Tender/SplashBidNoticeAbstractUI.aspx?menuIndex=3&amp;refID=7038706&amp;Result=3","7038706")</f>
        <v>0</v>
      </c>
      <c r="B4839" t="s">
        <v>1648</v>
      </c>
      <c r="C4839" t="s">
        <v>7304</v>
      </c>
      <c r="D4839" t="s">
        <v>12988</v>
      </c>
      <c r="E4839" t="s">
        <v>17408</v>
      </c>
      <c r="F4839" t="s">
        <v>22436</v>
      </c>
      <c r="G4839" t="s">
        <v>22443</v>
      </c>
      <c r="H4839" t="s">
        <v>22452</v>
      </c>
      <c r="I4839" t="s">
        <v>2993</v>
      </c>
      <c r="J4839" t="s">
        <v>25763</v>
      </c>
      <c r="K4839" t="s">
        <v>29331</v>
      </c>
      <c r="M4839" t="s">
        <v>31343</v>
      </c>
      <c r="N4839" t="s">
        <v>32524</v>
      </c>
      <c r="O4839" t="s">
        <v>32525</v>
      </c>
      <c r="P4839">
        <v>0</v>
      </c>
      <c r="Q4839">
        <v>5</v>
      </c>
      <c r="R4839" t="s">
        <v>32531</v>
      </c>
      <c r="S4839" t="s">
        <v>32586</v>
      </c>
      <c r="T4839" t="s">
        <v>33372</v>
      </c>
      <c r="U4839" t="s">
        <v>37697</v>
      </c>
      <c r="W4839" t="s">
        <v>31343</v>
      </c>
      <c r="X4839" t="s">
        <v>32532</v>
      </c>
    </row>
    <row r="4840" spans="1:24">
      <c r="A4840">
        <f>HYPERLINK("https://www.philgeps.gov.ph/GEPSNONPILOT/Tender/SplashBidNoticeAbstractUI.aspx?menuIndex=3&amp;refID=7038674&amp;Result=3","7038674")</f>
        <v>0</v>
      </c>
      <c r="B4840" t="s">
        <v>75</v>
      </c>
      <c r="C4840" t="s">
        <v>7305</v>
      </c>
      <c r="D4840" t="s">
        <v>13021</v>
      </c>
      <c r="E4840" t="s">
        <v>17409</v>
      </c>
      <c r="F4840" t="s">
        <v>22436</v>
      </c>
      <c r="G4840" t="s">
        <v>22444</v>
      </c>
      <c r="H4840" t="s">
        <v>22452</v>
      </c>
      <c r="I4840" t="s">
        <v>22460</v>
      </c>
      <c r="J4840" t="s">
        <v>25764</v>
      </c>
      <c r="K4840" t="s">
        <v>29335</v>
      </c>
      <c r="M4840" t="s">
        <v>29647</v>
      </c>
      <c r="N4840" t="s">
        <v>32524</v>
      </c>
      <c r="O4840" t="s">
        <v>32525</v>
      </c>
      <c r="P4840">
        <v>0</v>
      </c>
      <c r="Q4840">
        <v>1</v>
      </c>
      <c r="R4840" t="s">
        <v>32531</v>
      </c>
      <c r="S4840" t="s">
        <v>32586</v>
      </c>
      <c r="T4840" t="s">
        <v>33234</v>
      </c>
      <c r="U4840" t="s">
        <v>37698</v>
      </c>
      <c r="W4840" t="s">
        <v>29647</v>
      </c>
      <c r="X4840" t="s">
        <v>32532</v>
      </c>
    </row>
    <row r="4841" spans="1:24">
      <c r="A4841">
        <f>HYPERLINK("https://www.philgeps.gov.ph/GEPSNONPILOT/Tender/SplashBidNoticeAbstractUI.aspx?menuIndex=3&amp;refID=7038697&amp;Result=3","7038697")</f>
        <v>0</v>
      </c>
      <c r="B4841" t="s">
        <v>128</v>
      </c>
      <c r="C4841" t="s">
        <v>7306</v>
      </c>
      <c r="D4841" t="s">
        <v>13025</v>
      </c>
      <c r="E4841" t="s">
        <v>17410</v>
      </c>
      <c r="F4841" t="s">
        <v>22436</v>
      </c>
      <c r="G4841" t="s">
        <v>22444</v>
      </c>
      <c r="H4841" t="s">
        <v>22452</v>
      </c>
      <c r="I4841" t="s">
        <v>3529</v>
      </c>
      <c r="J4841" t="s">
        <v>25765</v>
      </c>
      <c r="K4841" t="s">
        <v>29331</v>
      </c>
      <c r="M4841" t="s">
        <v>29700</v>
      </c>
      <c r="N4841" t="s">
        <v>32524</v>
      </c>
      <c r="O4841" t="s">
        <v>32525</v>
      </c>
      <c r="P4841">
        <v>0</v>
      </c>
      <c r="Q4841">
        <v>0</v>
      </c>
      <c r="R4841" t="s">
        <v>32531</v>
      </c>
      <c r="S4841" t="s">
        <v>32586</v>
      </c>
      <c r="T4841" t="s">
        <v>33220</v>
      </c>
      <c r="U4841" t="s">
        <v>37699</v>
      </c>
      <c r="W4841" t="s">
        <v>29700</v>
      </c>
      <c r="X4841" t="s">
        <v>32532</v>
      </c>
    </row>
    <row r="4842" spans="1:24">
      <c r="A4842">
        <f>HYPERLINK("https://www.philgeps.gov.ph/GEPSNONPILOT/Tender/SplashBidNoticeAbstractUI.aspx?menuIndex=3&amp;refID=7038708&amp;Result=3","7038708")</f>
        <v>0</v>
      </c>
      <c r="B4842" t="s">
        <v>1649</v>
      </c>
      <c r="C4842" t="s">
        <v>7307</v>
      </c>
      <c r="D4842" t="s">
        <v>12993</v>
      </c>
      <c r="E4842" t="s">
        <v>13318</v>
      </c>
      <c r="F4842" t="s">
        <v>22436</v>
      </c>
      <c r="G4842" t="s">
        <v>22444</v>
      </c>
      <c r="H4842" t="s">
        <v>22452</v>
      </c>
      <c r="I4842" t="s">
        <v>3529</v>
      </c>
      <c r="J4842" t="s">
        <v>25766</v>
      </c>
      <c r="K4842" t="s">
        <v>29336</v>
      </c>
      <c r="M4842" t="s">
        <v>31344</v>
      </c>
      <c r="N4842" t="s">
        <v>32524</v>
      </c>
      <c r="O4842" t="s">
        <v>32525</v>
      </c>
      <c r="P4842">
        <v>0</v>
      </c>
      <c r="Q4842">
        <v>1</v>
      </c>
      <c r="R4842" t="s">
        <v>32531</v>
      </c>
      <c r="S4842" t="s">
        <v>32586</v>
      </c>
      <c r="T4842" t="s">
        <v>33215</v>
      </c>
      <c r="U4842" t="s">
        <v>37700</v>
      </c>
      <c r="W4842" t="s">
        <v>31344</v>
      </c>
      <c r="X4842" t="s">
        <v>32532</v>
      </c>
    </row>
    <row r="4843" spans="1:24">
      <c r="A4843">
        <f>HYPERLINK("https://www.philgeps.gov.ph/GEPSNONPILOT/Tender/SplashBidNoticeAbstractUI.aspx?menuIndex=3&amp;refID=7038705&amp;Result=3","7038705")</f>
        <v>0</v>
      </c>
      <c r="B4843" t="s">
        <v>1350</v>
      </c>
      <c r="C4843" t="s">
        <v>7308</v>
      </c>
      <c r="D4843" t="s">
        <v>13013</v>
      </c>
      <c r="E4843" t="s">
        <v>17411</v>
      </c>
      <c r="F4843" t="s">
        <v>22436</v>
      </c>
      <c r="G4843" t="s">
        <v>22446</v>
      </c>
      <c r="H4843" t="s">
        <v>22452</v>
      </c>
      <c r="I4843" t="s">
        <v>3529</v>
      </c>
      <c r="J4843" t="s">
        <v>25767</v>
      </c>
      <c r="K4843" t="s">
        <v>29337</v>
      </c>
      <c r="M4843" t="s">
        <v>31006</v>
      </c>
      <c r="N4843" t="s">
        <v>32524</v>
      </c>
      <c r="O4843" t="s">
        <v>32525</v>
      </c>
      <c r="P4843">
        <v>0</v>
      </c>
      <c r="Q4843">
        <v>0</v>
      </c>
      <c r="R4843" t="s">
        <v>32531</v>
      </c>
      <c r="S4843" t="s">
        <v>32586</v>
      </c>
      <c r="T4843" t="s">
        <v>33197</v>
      </c>
      <c r="U4843" t="s">
        <v>36981</v>
      </c>
      <c r="W4843" t="s">
        <v>31006</v>
      </c>
      <c r="X4843" t="s">
        <v>32532</v>
      </c>
    </row>
    <row r="4844" spans="1:24">
      <c r="A4844">
        <f>HYPERLINK("https://www.philgeps.gov.ph/GEPSNONPILOT/Tender/SplashBidNoticeAbstractUI.aspx?menuIndex=3&amp;refID=7038704&amp;Result=3","7038704")</f>
        <v>0</v>
      </c>
      <c r="B4844" t="s">
        <v>1108</v>
      </c>
      <c r="C4844" t="s">
        <v>7309</v>
      </c>
      <c r="D4844" t="s">
        <v>13061</v>
      </c>
      <c r="E4844" t="s">
        <v>17412</v>
      </c>
      <c r="F4844" t="s">
        <v>22436</v>
      </c>
      <c r="G4844" t="s">
        <v>22444</v>
      </c>
      <c r="H4844" t="s">
        <v>22454</v>
      </c>
      <c r="I4844" t="s">
        <v>7738</v>
      </c>
      <c r="J4844" t="s">
        <v>25768</v>
      </c>
      <c r="K4844" t="s">
        <v>29344</v>
      </c>
      <c r="M4844" t="s">
        <v>31316</v>
      </c>
      <c r="N4844" t="s">
        <v>32524</v>
      </c>
      <c r="O4844" t="s">
        <v>32525</v>
      </c>
      <c r="P4844">
        <v>0</v>
      </c>
      <c r="Q4844">
        <v>0</v>
      </c>
      <c r="R4844" t="s">
        <v>32531</v>
      </c>
      <c r="S4844" t="s">
        <v>32586</v>
      </c>
      <c r="T4844" t="s">
        <v>33434</v>
      </c>
      <c r="U4844" t="s">
        <v>37701</v>
      </c>
      <c r="W4844" t="s">
        <v>31316</v>
      </c>
      <c r="X4844" t="s">
        <v>32532</v>
      </c>
    </row>
    <row r="4845" spans="1:24">
      <c r="A4845">
        <f>HYPERLINK("https://www.philgeps.gov.ph/GEPSNONPILOT/Tender/SplashBidNoticeAbstractUI.aspx?menuIndex=3&amp;refID=7038679&amp;Result=3","7038679")</f>
        <v>0</v>
      </c>
      <c r="B4845" t="s">
        <v>59</v>
      </c>
      <c r="C4845" t="s">
        <v>7310</v>
      </c>
      <c r="D4845" t="s">
        <v>13004</v>
      </c>
      <c r="E4845" t="s">
        <v>17413</v>
      </c>
      <c r="F4845" t="s">
        <v>22436</v>
      </c>
      <c r="G4845" t="s">
        <v>22450</v>
      </c>
      <c r="H4845" t="s">
        <v>22454</v>
      </c>
      <c r="I4845" t="s">
        <v>7738</v>
      </c>
      <c r="J4845" t="s">
        <v>24271</v>
      </c>
      <c r="K4845" t="s">
        <v>29338</v>
      </c>
      <c r="L4845" t="s">
        <v>59</v>
      </c>
      <c r="M4845" t="s">
        <v>31345</v>
      </c>
      <c r="N4845" t="s">
        <v>32524</v>
      </c>
      <c r="O4845" t="s">
        <v>32525</v>
      </c>
      <c r="P4845">
        <v>0</v>
      </c>
      <c r="Q4845">
        <v>2</v>
      </c>
      <c r="R4845" t="s">
        <v>32531</v>
      </c>
      <c r="S4845" t="s">
        <v>32586</v>
      </c>
      <c r="T4845" t="s">
        <v>33218</v>
      </c>
      <c r="U4845" t="s">
        <v>37702</v>
      </c>
      <c r="W4845" t="s">
        <v>31345</v>
      </c>
      <c r="X4845" t="s">
        <v>32532</v>
      </c>
    </row>
    <row r="4846" spans="1:24">
      <c r="A4846">
        <f>HYPERLINK("https://www.philgeps.gov.ph/GEPSNONPILOT/Tender/SplashBidNoticeAbstractUI.aspx?menuIndex=3&amp;refID=7038677&amp;Result=3","7038677")</f>
        <v>0</v>
      </c>
      <c r="B4846" t="s">
        <v>1631</v>
      </c>
      <c r="C4846" t="s">
        <v>7311</v>
      </c>
      <c r="D4846" t="s">
        <v>13019</v>
      </c>
      <c r="E4846" t="s">
        <v>17414</v>
      </c>
      <c r="F4846" t="s">
        <v>22436</v>
      </c>
      <c r="G4846" t="s">
        <v>22444</v>
      </c>
      <c r="H4846" t="s">
        <v>22452</v>
      </c>
      <c r="I4846" t="s">
        <v>22479</v>
      </c>
      <c r="J4846" t="s">
        <v>23762</v>
      </c>
      <c r="K4846" t="s">
        <v>29337</v>
      </c>
      <c r="M4846" t="s">
        <v>31321</v>
      </c>
      <c r="N4846" t="s">
        <v>32524</v>
      </c>
      <c r="O4846" t="s">
        <v>32525</v>
      </c>
      <c r="P4846">
        <v>0</v>
      </c>
      <c r="Q4846">
        <v>8</v>
      </c>
      <c r="R4846" t="s">
        <v>32531</v>
      </c>
      <c r="S4846" t="s">
        <v>32586</v>
      </c>
      <c r="T4846" t="s">
        <v>33234</v>
      </c>
      <c r="U4846" t="s">
        <v>37640</v>
      </c>
      <c r="W4846" t="s">
        <v>31321</v>
      </c>
      <c r="X4846" t="s">
        <v>32532</v>
      </c>
    </row>
    <row r="4847" spans="1:24">
      <c r="A4847">
        <f>HYPERLINK("https://www.philgeps.gov.ph/GEPSNONPILOT/Tender/SplashBidNoticeAbstractUI.aspx?menuIndex=3&amp;refID=7038703&amp;Result=3","7038703")</f>
        <v>0</v>
      </c>
      <c r="B4847" t="s">
        <v>128</v>
      </c>
      <c r="C4847" t="s">
        <v>7312</v>
      </c>
      <c r="D4847" t="s">
        <v>13025</v>
      </c>
      <c r="E4847" t="s">
        <v>17415</v>
      </c>
      <c r="F4847" t="s">
        <v>22436</v>
      </c>
      <c r="G4847" t="s">
        <v>22444</v>
      </c>
      <c r="H4847" t="s">
        <v>22452</v>
      </c>
      <c r="I4847" t="s">
        <v>3529</v>
      </c>
      <c r="J4847" t="s">
        <v>25769</v>
      </c>
      <c r="K4847" t="s">
        <v>29338</v>
      </c>
      <c r="M4847" t="s">
        <v>31346</v>
      </c>
      <c r="N4847" t="s">
        <v>32524</v>
      </c>
      <c r="O4847" t="s">
        <v>32525</v>
      </c>
      <c r="P4847">
        <v>0</v>
      </c>
      <c r="Q4847">
        <v>0</v>
      </c>
      <c r="R4847" t="s">
        <v>32531</v>
      </c>
      <c r="S4847" t="s">
        <v>32586</v>
      </c>
      <c r="T4847" t="s">
        <v>33234</v>
      </c>
      <c r="U4847" t="s">
        <v>37703</v>
      </c>
      <c r="W4847" t="s">
        <v>31346</v>
      </c>
      <c r="X4847" t="s">
        <v>32532</v>
      </c>
    </row>
    <row r="4848" spans="1:24">
      <c r="A4848">
        <f>HYPERLINK("https://www.philgeps.gov.ph/GEPSNONPILOT/Tender/SplashBidNoticeAbstractUI.aspx?menuIndex=3&amp;refID=7038702&amp;Result=3","7038702")</f>
        <v>0</v>
      </c>
      <c r="B4848" t="s">
        <v>267</v>
      </c>
      <c r="C4848" t="s">
        <v>7313</v>
      </c>
      <c r="D4848" t="s">
        <v>13032</v>
      </c>
      <c r="E4848" t="s">
        <v>17416</v>
      </c>
      <c r="F4848" t="s">
        <v>22436</v>
      </c>
      <c r="G4848" t="s">
        <v>22444</v>
      </c>
      <c r="H4848" t="s">
        <v>22452</v>
      </c>
      <c r="I4848" t="s">
        <v>3529</v>
      </c>
      <c r="J4848" t="s">
        <v>25770</v>
      </c>
      <c r="K4848" t="s">
        <v>29338</v>
      </c>
      <c r="M4848" t="s">
        <v>29841</v>
      </c>
      <c r="N4848" t="s">
        <v>32524</v>
      </c>
      <c r="O4848" t="s">
        <v>32525</v>
      </c>
      <c r="P4848">
        <v>0</v>
      </c>
      <c r="Q4848">
        <v>0</v>
      </c>
      <c r="R4848" t="s">
        <v>32531</v>
      </c>
      <c r="S4848" t="s">
        <v>32586</v>
      </c>
      <c r="T4848" t="s">
        <v>33213</v>
      </c>
      <c r="U4848" t="s">
        <v>37704</v>
      </c>
      <c r="W4848" t="s">
        <v>43690</v>
      </c>
      <c r="X4848" t="s">
        <v>32532</v>
      </c>
    </row>
    <row r="4849" spans="1:24">
      <c r="A4849">
        <f>HYPERLINK("https://www.philgeps.gov.ph/GEPSNONPILOT/Tender/SplashBidNoticeAbstractUI.aspx?menuIndex=3&amp;refID=7038701&amp;Result=3","7038701")</f>
        <v>0</v>
      </c>
      <c r="B4849" t="s">
        <v>1650</v>
      </c>
      <c r="C4849" t="s">
        <v>7314</v>
      </c>
      <c r="D4849" t="s">
        <v>12999</v>
      </c>
      <c r="E4849" t="s">
        <v>17417</v>
      </c>
      <c r="F4849" t="s">
        <v>22436</v>
      </c>
      <c r="G4849" t="s">
        <v>22443</v>
      </c>
      <c r="H4849" t="s">
        <v>22453</v>
      </c>
      <c r="I4849" t="s">
        <v>22530</v>
      </c>
      <c r="J4849" t="s">
        <v>22893</v>
      </c>
      <c r="K4849" t="s">
        <v>29333</v>
      </c>
      <c r="M4849" t="s">
        <v>31347</v>
      </c>
      <c r="N4849" t="s">
        <v>32524</v>
      </c>
      <c r="O4849" t="s">
        <v>32525</v>
      </c>
      <c r="P4849">
        <v>0</v>
      </c>
      <c r="Q4849">
        <v>5</v>
      </c>
      <c r="R4849" t="s">
        <v>32531</v>
      </c>
      <c r="S4849" t="s">
        <v>32586</v>
      </c>
      <c r="T4849" t="s">
        <v>33185</v>
      </c>
      <c r="U4849" t="s">
        <v>37705</v>
      </c>
      <c r="W4849" t="s">
        <v>31347</v>
      </c>
      <c r="X4849" t="s">
        <v>32532</v>
      </c>
    </row>
    <row r="4850" spans="1:24">
      <c r="A4850">
        <f>HYPERLINK("https://www.philgeps.gov.ph/GEPSNONPILOT/Tender/SplashBidNoticeAbstractUI.aspx?menuIndex=3&amp;refID=7038723&amp;Result=3","7038723")</f>
        <v>0</v>
      </c>
      <c r="B4850" t="s">
        <v>1651</v>
      </c>
      <c r="C4850" t="s">
        <v>7315</v>
      </c>
      <c r="D4850" t="s">
        <v>12998</v>
      </c>
      <c r="E4850" t="s">
        <v>13980</v>
      </c>
      <c r="F4850" t="s">
        <v>22436</v>
      </c>
      <c r="G4850" t="s">
        <v>22443</v>
      </c>
      <c r="H4850" t="s">
        <v>22452</v>
      </c>
      <c r="I4850" t="s">
        <v>2981</v>
      </c>
      <c r="J4850" t="s">
        <v>22616</v>
      </c>
      <c r="K4850" t="s">
        <v>29338</v>
      </c>
      <c r="M4850" t="s">
        <v>31348</v>
      </c>
      <c r="N4850" t="s">
        <v>32524</v>
      </c>
      <c r="O4850" t="s">
        <v>32525</v>
      </c>
      <c r="P4850">
        <v>0</v>
      </c>
      <c r="Q4850">
        <v>3</v>
      </c>
      <c r="R4850" t="s">
        <v>32531</v>
      </c>
      <c r="S4850" t="s">
        <v>32586</v>
      </c>
      <c r="T4850" t="s">
        <v>33296</v>
      </c>
      <c r="U4850" t="s">
        <v>37706</v>
      </c>
      <c r="W4850" t="s">
        <v>31348</v>
      </c>
      <c r="X4850" t="s">
        <v>32532</v>
      </c>
    </row>
    <row r="4851" spans="1:24">
      <c r="A4851">
        <f>HYPERLINK("https://www.philgeps.gov.ph/GEPSNONPILOT/Tender/SplashBidNoticeAbstractUI.aspx?menuIndex=3&amp;refID=7038719&amp;Result=3","7038719")</f>
        <v>0</v>
      </c>
      <c r="B4851" t="s">
        <v>267</v>
      </c>
      <c r="C4851" t="s">
        <v>7316</v>
      </c>
      <c r="D4851" t="s">
        <v>13032</v>
      </c>
      <c r="E4851" t="s">
        <v>17418</v>
      </c>
      <c r="F4851" t="s">
        <v>22436</v>
      </c>
      <c r="G4851" t="s">
        <v>22444</v>
      </c>
      <c r="H4851" t="s">
        <v>22452</v>
      </c>
      <c r="I4851" t="s">
        <v>3529</v>
      </c>
      <c r="J4851" t="s">
        <v>25771</v>
      </c>
      <c r="K4851" t="s">
        <v>29338</v>
      </c>
      <c r="M4851" t="s">
        <v>29841</v>
      </c>
      <c r="N4851" t="s">
        <v>32524</v>
      </c>
      <c r="O4851" t="s">
        <v>32525</v>
      </c>
      <c r="P4851">
        <v>0</v>
      </c>
      <c r="Q4851">
        <v>0</v>
      </c>
      <c r="R4851" t="s">
        <v>32531</v>
      </c>
      <c r="S4851" t="s">
        <v>32586</v>
      </c>
      <c r="T4851" t="s">
        <v>33213</v>
      </c>
      <c r="U4851" t="s">
        <v>37707</v>
      </c>
      <c r="W4851" t="s">
        <v>43690</v>
      </c>
      <c r="X4851" t="s">
        <v>32532</v>
      </c>
    </row>
    <row r="4852" spans="1:24">
      <c r="A4852">
        <f>HYPERLINK("https://www.philgeps.gov.ph/GEPSNONPILOT/Tender/SplashBidNoticeAbstractUI.aspx?menuIndex=3&amp;refID=7038716&amp;Result=3","7038716")</f>
        <v>0</v>
      </c>
      <c r="B4852" t="s">
        <v>168</v>
      </c>
      <c r="C4852" t="s">
        <v>7317</v>
      </c>
      <c r="D4852" t="s">
        <v>13015</v>
      </c>
      <c r="E4852" t="s">
        <v>17419</v>
      </c>
      <c r="F4852" t="s">
        <v>22436</v>
      </c>
      <c r="G4852" t="s">
        <v>22444</v>
      </c>
      <c r="H4852" t="s">
        <v>22452</v>
      </c>
      <c r="I4852" t="s">
        <v>3027</v>
      </c>
      <c r="J4852" t="s">
        <v>25772</v>
      </c>
      <c r="K4852" t="s">
        <v>29340</v>
      </c>
      <c r="M4852" t="s">
        <v>31341</v>
      </c>
      <c r="N4852" t="s">
        <v>32524</v>
      </c>
      <c r="O4852" t="s">
        <v>32525</v>
      </c>
      <c r="P4852">
        <v>0</v>
      </c>
      <c r="Q4852">
        <v>0</v>
      </c>
      <c r="R4852" t="s">
        <v>32531</v>
      </c>
      <c r="S4852" t="s">
        <v>32586</v>
      </c>
      <c r="T4852" t="s">
        <v>33213</v>
      </c>
      <c r="U4852" t="s">
        <v>37690</v>
      </c>
      <c r="V4852" t="s">
        <v>42464</v>
      </c>
      <c r="W4852" t="s">
        <v>31341</v>
      </c>
      <c r="X4852" t="s">
        <v>32532</v>
      </c>
    </row>
    <row r="4853" spans="1:24">
      <c r="A4853">
        <f>HYPERLINK("https://www.philgeps.gov.ph/GEPSNONPILOT/Tender/SplashBidNoticeAbstractUI.aspx?menuIndex=3&amp;refID=7038699&amp;Result=3","7038699")</f>
        <v>0</v>
      </c>
      <c r="B4853" t="s">
        <v>1634</v>
      </c>
      <c r="C4853" t="s">
        <v>7318</v>
      </c>
      <c r="E4853" t="s">
        <v>17420</v>
      </c>
      <c r="F4853" t="s">
        <v>22436</v>
      </c>
      <c r="G4853" t="s">
        <v>22444</v>
      </c>
      <c r="H4853" t="s">
        <v>22452</v>
      </c>
      <c r="I4853" t="s">
        <v>3358</v>
      </c>
      <c r="J4853" t="s">
        <v>25773</v>
      </c>
      <c r="K4853" t="s">
        <v>29338</v>
      </c>
      <c r="M4853" t="s">
        <v>31324</v>
      </c>
      <c r="N4853" t="s">
        <v>32524</v>
      </c>
      <c r="O4853" t="s">
        <v>32525</v>
      </c>
      <c r="P4853">
        <v>0</v>
      </c>
      <c r="Q4853">
        <v>0</v>
      </c>
      <c r="R4853" t="s">
        <v>32531</v>
      </c>
      <c r="S4853" t="s">
        <v>32586</v>
      </c>
      <c r="T4853" t="s">
        <v>33470</v>
      </c>
      <c r="U4853" t="s">
        <v>37708</v>
      </c>
      <c r="W4853" t="s">
        <v>31324</v>
      </c>
      <c r="X4853" t="s">
        <v>32532</v>
      </c>
    </row>
    <row r="4854" spans="1:24">
      <c r="A4854">
        <f>HYPERLINK("https://www.philgeps.gov.ph/GEPSNONPILOT/Tender/SplashBidNoticeAbstractUI.aspx?menuIndex=3&amp;refID=7038718&amp;Result=3","7038718")</f>
        <v>0</v>
      </c>
      <c r="B4854" t="s">
        <v>1592</v>
      </c>
      <c r="C4854" t="s">
        <v>7319</v>
      </c>
      <c r="D4854" t="s">
        <v>13004</v>
      </c>
      <c r="E4854" t="s">
        <v>17421</v>
      </c>
      <c r="F4854" t="s">
        <v>22436</v>
      </c>
      <c r="G4854" t="s">
        <v>22444</v>
      </c>
      <c r="H4854" t="s">
        <v>22452</v>
      </c>
      <c r="I4854" t="s">
        <v>22471</v>
      </c>
      <c r="J4854" t="s">
        <v>25774</v>
      </c>
      <c r="K4854" t="s">
        <v>29329</v>
      </c>
      <c r="M4854" t="s">
        <v>31275</v>
      </c>
      <c r="N4854" t="s">
        <v>32524</v>
      </c>
      <c r="O4854" t="s">
        <v>32525</v>
      </c>
      <c r="P4854">
        <v>0</v>
      </c>
      <c r="Q4854">
        <v>2</v>
      </c>
      <c r="R4854" t="s">
        <v>32531</v>
      </c>
      <c r="S4854" t="s">
        <v>32586</v>
      </c>
      <c r="T4854" t="s">
        <v>33352</v>
      </c>
      <c r="U4854" t="s">
        <v>37709</v>
      </c>
      <c r="W4854" t="s">
        <v>31275</v>
      </c>
      <c r="X4854" t="s">
        <v>32532</v>
      </c>
    </row>
    <row r="4855" spans="1:24">
      <c r="A4855">
        <f>HYPERLINK("https://www.philgeps.gov.ph/GEPSNONPILOT/Tender/SplashBidNoticeAbstractUI.aspx?menuIndex=3&amp;refID=7038725&amp;Result=3","7038725")</f>
        <v>0</v>
      </c>
      <c r="B4855" t="s">
        <v>1108</v>
      </c>
      <c r="C4855" t="s">
        <v>7320</v>
      </c>
      <c r="D4855" t="s">
        <v>13061</v>
      </c>
      <c r="E4855" t="s">
        <v>17422</v>
      </c>
      <c r="F4855" t="s">
        <v>22436</v>
      </c>
      <c r="G4855" t="s">
        <v>22444</v>
      </c>
      <c r="H4855" t="s">
        <v>22454</v>
      </c>
      <c r="I4855" t="s">
        <v>7738</v>
      </c>
      <c r="J4855" t="s">
        <v>22877</v>
      </c>
      <c r="K4855" t="s">
        <v>29344</v>
      </c>
      <c r="M4855" t="s">
        <v>31316</v>
      </c>
      <c r="N4855" t="s">
        <v>32524</v>
      </c>
      <c r="O4855" t="s">
        <v>32525</v>
      </c>
      <c r="P4855">
        <v>0</v>
      </c>
      <c r="Q4855">
        <v>0</v>
      </c>
      <c r="R4855" t="s">
        <v>32531</v>
      </c>
      <c r="S4855" t="s">
        <v>32586</v>
      </c>
      <c r="T4855" t="s">
        <v>33434</v>
      </c>
      <c r="U4855" t="s">
        <v>37710</v>
      </c>
      <c r="W4855" t="s">
        <v>31316</v>
      </c>
      <c r="X4855" t="s">
        <v>32532</v>
      </c>
    </row>
    <row r="4856" spans="1:24">
      <c r="A4856">
        <f>HYPERLINK("https://www.philgeps.gov.ph/GEPSNONPILOT/Tender/SplashBidNoticeAbstractUI.aspx?menuIndex=3&amp;refID=7038728&amp;Result=3","7038728")</f>
        <v>0</v>
      </c>
      <c r="B4856" t="s">
        <v>1652</v>
      </c>
      <c r="C4856" t="s">
        <v>7321</v>
      </c>
      <c r="D4856" t="s">
        <v>13011</v>
      </c>
      <c r="E4856" t="s">
        <v>17423</v>
      </c>
      <c r="F4856" t="s">
        <v>22436</v>
      </c>
      <c r="G4856" t="s">
        <v>22444</v>
      </c>
      <c r="H4856" t="s">
        <v>22453</v>
      </c>
      <c r="I4856" t="s">
        <v>22486</v>
      </c>
      <c r="J4856" t="s">
        <v>25775</v>
      </c>
      <c r="K4856" t="s">
        <v>29353</v>
      </c>
      <c r="M4856" t="s">
        <v>31349</v>
      </c>
      <c r="N4856" t="s">
        <v>32524</v>
      </c>
      <c r="O4856" t="s">
        <v>32525</v>
      </c>
      <c r="Q4856">
        <v>0</v>
      </c>
      <c r="R4856" t="s">
        <v>32531</v>
      </c>
      <c r="S4856" t="s">
        <v>32596</v>
      </c>
      <c r="T4856" t="s">
        <v>33385</v>
      </c>
      <c r="U4856" t="s">
        <v>37711</v>
      </c>
      <c r="V4856" t="s">
        <v>42951</v>
      </c>
      <c r="W4856" t="s">
        <v>31349</v>
      </c>
      <c r="X4856" t="s">
        <v>32532</v>
      </c>
    </row>
    <row r="4857" spans="1:24">
      <c r="A4857">
        <f>HYPERLINK("https://www.philgeps.gov.ph/GEPSNONPILOT/Tender/SplashBidNoticeAbstractUI.aspx?menuIndex=3&amp;refID=7038726&amp;Result=3","7038726")</f>
        <v>0</v>
      </c>
      <c r="B4857" t="s">
        <v>1653</v>
      </c>
      <c r="C4857" t="s">
        <v>7322</v>
      </c>
      <c r="D4857" t="s">
        <v>13007</v>
      </c>
      <c r="E4857" t="s">
        <v>14346</v>
      </c>
      <c r="F4857" t="s">
        <v>22436</v>
      </c>
      <c r="G4857" t="s">
        <v>22444</v>
      </c>
      <c r="H4857" t="s">
        <v>22452</v>
      </c>
      <c r="I4857" t="s">
        <v>3529</v>
      </c>
      <c r="J4857" t="s">
        <v>25776</v>
      </c>
      <c r="K4857" t="s">
        <v>29357</v>
      </c>
      <c r="M4857" t="s">
        <v>31350</v>
      </c>
      <c r="N4857" t="s">
        <v>32524</v>
      </c>
      <c r="O4857" t="s">
        <v>32525</v>
      </c>
      <c r="P4857">
        <v>0</v>
      </c>
      <c r="Q4857">
        <v>1</v>
      </c>
      <c r="R4857" t="s">
        <v>32531</v>
      </c>
      <c r="S4857" t="s">
        <v>32586</v>
      </c>
      <c r="T4857" t="s">
        <v>33218</v>
      </c>
      <c r="U4857" t="s">
        <v>37712</v>
      </c>
      <c r="W4857" t="s">
        <v>31350</v>
      </c>
      <c r="X4857" t="s">
        <v>32532</v>
      </c>
    </row>
    <row r="4858" spans="1:24">
      <c r="A4858">
        <f>HYPERLINK("https://www.philgeps.gov.ph/GEPSNONPILOT/Tender/SplashBidNoticeAbstractUI.aspx?menuIndex=3&amp;refID=7038732&amp;Result=3","7038732")</f>
        <v>0</v>
      </c>
      <c r="B4858" t="s">
        <v>267</v>
      </c>
      <c r="C4858" t="s">
        <v>7323</v>
      </c>
      <c r="D4858" t="s">
        <v>13032</v>
      </c>
      <c r="E4858" t="s">
        <v>17424</v>
      </c>
      <c r="F4858" t="s">
        <v>22436</v>
      </c>
      <c r="G4858" t="s">
        <v>22444</v>
      </c>
      <c r="H4858" t="s">
        <v>22452</v>
      </c>
      <c r="I4858" t="s">
        <v>22465</v>
      </c>
      <c r="J4858" t="s">
        <v>25777</v>
      </c>
      <c r="K4858" t="s">
        <v>29338</v>
      </c>
      <c r="M4858" t="s">
        <v>29841</v>
      </c>
      <c r="N4858" t="s">
        <v>32524</v>
      </c>
      <c r="O4858" t="s">
        <v>32525</v>
      </c>
      <c r="P4858">
        <v>0</v>
      </c>
      <c r="Q4858">
        <v>0</v>
      </c>
      <c r="R4858" t="s">
        <v>32531</v>
      </c>
      <c r="S4858" t="s">
        <v>32586</v>
      </c>
      <c r="T4858" t="s">
        <v>33213</v>
      </c>
      <c r="U4858" t="s">
        <v>37713</v>
      </c>
      <c r="W4858" t="s">
        <v>43690</v>
      </c>
      <c r="X4858" t="s">
        <v>32532</v>
      </c>
    </row>
    <row r="4859" spans="1:24">
      <c r="A4859">
        <f>HYPERLINK("https://www.philgeps.gov.ph/GEPSNONPILOT/Tender/SplashBidNoticeAbstractUI.aspx?menuIndex=3&amp;refID=7038730&amp;Result=3","7038730")</f>
        <v>0</v>
      </c>
      <c r="B4859" t="s">
        <v>59</v>
      </c>
      <c r="C4859" t="s">
        <v>7324</v>
      </c>
      <c r="D4859" t="s">
        <v>13004</v>
      </c>
      <c r="E4859" t="s">
        <v>17425</v>
      </c>
      <c r="F4859" t="s">
        <v>22436</v>
      </c>
      <c r="G4859" t="s">
        <v>22450</v>
      </c>
      <c r="H4859" t="s">
        <v>22454</v>
      </c>
      <c r="I4859" t="s">
        <v>7738</v>
      </c>
      <c r="J4859" t="s">
        <v>25778</v>
      </c>
      <c r="K4859" t="s">
        <v>29338</v>
      </c>
      <c r="L4859" t="s">
        <v>59</v>
      </c>
      <c r="M4859" t="s">
        <v>31345</v>
      </c>
      <c r="N4859" t="s">
        <v>32524</v>
      </c>
      <c r="O4859" t="s">
        <v>32525</v>
      </c>
      <c r="P4859">
        <v>0</v>
      </c>
      <c r="Q4859">
        <v>2</v>
      </c>
      <c r="R4859" t="s">
        <v>32531</v>
      </c>
      <c r="S4859" t="s">
        <v>32586</v>
      </c>
      <c r="T4859" t="s">
        <v>33218</v>
      </c>
      <c r="U4859" t="s">
        <v>37714</v>
      </c>
      <c r="W4859" t="s">
        <v>31345</v>
      </c>
      <c r="X4859" t="s">
        <v>32532</v>
      </c>
    </row>
    <row r="4860" spans="1:24">
      <c r="A4860">
        <f>HYPERLINK("https://www.philgeps.gov.ph/GEPSNONPILOT/Tender/SplashBidNoticeAbstractUI.aspx?menuIndex=3&amp;refID=7038743&amp;Result=3","7038743")</f>
        <v>0</v>
      </c>
      <c r="B4860" t="s">
        <v>1645</v>
      </c>
      <c r="C4860" t="s">
        <v>7325</v>
      </c>
      <c r="D4860" t="s">
        <v>12992</v>
      </c>
      <c r="E4860" t="s">
        <v>17426</v>
      </c>
      <c r="F4860" t="s">
        <v>22436</v>
      </c>
      <c r="G4860" t="s">
        <v>22444</v>
      </c>
      <c r="H4860" t="s">
        <v>22452</v>
      </c>
      <c r="I4860" t="s">
        <v>22474</v>
      </c>
      <c r="J4860" t="s">
        <v>22788</v>
      </c>
      <c r="K4860" t="s">
        <v>29341</v>
      </c>
      <c r="M4860" t="s">
        <v>31338</v>
      </c>
      <c r="N4860" t="s">
        <v>32524</v>
      </c>
      <c r="O4860" t="s">
        <v>32525</v>
      </c>
      <c r="P4860">
        <v>0</v>
      </c>
      <c r="Q4860">
        <v>1</v>
      </c>
      <c r="R4860" t="s">
        <v>32531</v>
      </c>
      <c r="S4860" t="s">
        <v>32586</v>
      </c>
      <c r="T4860" t="s">
        <v>33232</v>
      </c>
      <c r="U4860" t="s">
        <v>37715</v>
      </c>
      <c r="W4860" t="s">
        <v>31338</v>
      </c>
      <c r="X4860" t="s">
        <v>32532</v>
      </c>
    </row>
    <row r="4861" spans="1:24">
      <c r="A4861">
        <f>HYPERLINK("https://www.philgeps.gov.ph/GEPSNONPILOT/Tender/SplashBidNoticeAbstractUI.aspx?menuIndex=3&amp;refID=7038731&amp;Result=3","7038731")</f>
        <v>0</v>
      </c>
      <c r="B4861" t="s">
        <v>1547</v>
      </c>
      <c r="C4861" t="s">
        <v>7326</v>
      </c>
      <c r="E4861" t="s">
        <v>17427</v>
      </c>
      <c r="F4861" t="s">
        <v>22436</v>
      </c>
      <c r="G4861" t="s">
        <v>22443</v>
      </c>
      <c r="H4861" t="s">
        <v>22452</v>
      </c>
      <c r="I4861" t="s">
        <v>2981</v>
      </c>
      <c r="J4861" t="s">
        <v>25779</v>
      </c>
      <c r="K4861" t="s">
        <v>29335</v>
      </c>
      <c r="M4861" t="s">
        <v>31226</v>
      </c>
      <c r="N4861" t="s">
        <v>32524</v>
      </c>
      <c r="O4861" t="s">
        <v>32525</v>
      </c>
      <c r="P4861">
        <v>0</v>
      </c>
      <c r="Q4861">
        <v>2</v>
      </c>
      <c r="R4861" t="s">
        <v>32531</v>
      </c>
      <c r="S4861" t="s">
        <v>32586</v>
      </c>
      <c r="T4861" t="s">
        <v>33256</v>
      </c>
      <c r="U4861" t="s">
        <v>37716</v>
      </c>
      <c r="W4861" t="s">
        <v>43727</v>
      </c>
      <c r="X4861" t="s">
        <v>32532</v>
      </c>
    </row>
    <row r="4862" spans="1:24">
      <c r="A4862">
        <f>HYPERLINK("https://www.philgeps.gov.ph/GEPSNONPILOT/Tender/SplashBidNoticeAbstractUI.aspx?menuIndex=3&amp;refID=7038740&amp;Result=3","7038740")</f>
        <v>0</v>
      </c>
      <c r="B4862" t="s">
        <v>267</v>
      </c>
      <c r="C4862" t="s">
        <v>7327</v>
      </c>
      <c r="D4862" t="s">
        <v>13032</v>
      </c>
      <c r="E4862" t="s">
        <v>17428</v>
      </c>
      <c r="F4862" t="s">
        <v>22436</v>
      </c>
      <c r="G4862" t="s">
        <v>22444</v>
      </c>
      <c r="H4862" t="s">
        <v>22452</v>
      </c>
      <c r="I4862" t="s">
        <v>22465</v>
      </c>
      <c r="J4862" t="s">
        <v>25780</v>
      </c>
      <c r="K4862" t="s">
        <v>29338</v>
      </c>
      <c r="M4862" t="s">
        <v>29841</v>
      </c>
      <c r="N4862" t="s">
        <v>32524</v>
      </c>
      <c r="O4862" t="s">
        <v>32525</v>
      </c>
      <c r="P4862">
        <v>0</v>
      </c>
      <c r="Q4862">
        <v>0</v>
      </c>
      <c r="R4862" t="s">
        <v>32531</v>
      </c>
      <c r="S4862" t="s">
        <v>32586</v>
      </c>
      <c r="T4862" t="s">
        <v>33213</v>
      </c>
      <c r="U4862" t="s">
        <v>37717</v>
      </c>
      <c r="W4862" t="s">
        <v>43690</v>
      </c>
      <c r="X4862" t="s">
        <v>32532</v>
      </c>
    </row>
    <row r="4863" spans="1:24">
      <c r="A4863">
        <f>HYPERLINK("https://www.philgeps.gov.ph/GEPSNONPILOT/Tender/SplashBidNoticeAbstractUI.aspx?menuIndex=3&amp;refID=7038759&amp;Result=3","7038759")</f>
        <v>0</v>
      </c>
      <c r="B4863" t="s">
        <v>1654</v>
      </c>
      <c r="C4863" t="s">
        <v>7328</v>
      </c>
      <c r="D4863" t="s">
        <v>13031</v>
      </c>
      <c r="E4863" t="s">
        <v>17429</v>
      </c>
      <c r="F4863" t="s">
        <v>22436</v>
      </c>
      <c r="G4863" t="s">
        <v>22444</v>
      </c>
      <c r="H4863" t="s">
        <v>22452</v>
      </c>
      <c r="I4863" t="s">
        <v>22569</v>
      </c>
      <c r="J4863" t="s">
        <v>22616</v>
      </c>
      <c r="K4863" t="s">
        <v>29333</v>
      </c>
      <c r="L4863" t="s">
        <v>1654</v>
      </c>
      <c r="M4863" t="s">
        <v>31351</v>
      </c>
      <c r="N4863" t="s">
        <v>32524</v>
      </c>
      <c r="O4863" t="s">
        <v>32525</v>
      </c>
      <c r="P4863">
        <v>0</v>
      </c>
      <c r="Q4863">
        <v>1</v>
      </c>
      <c r="R4863" t="s">
        <v>32531</v>
      </c>
      <c r="S4863" t="s">
        <v>32586</v>
      </c>
      <c r="T4863" t="s">
        <v>33474</v>
      </c>
      <c r="U4863" t="s">
        <v>37718</v>
      </c>
      <c r="W4863" t="s">
        <v>31351</v>
      </c>
      <c r="X4863" t="s">
        <v>32532</v>
      </c>
    </row>
    <row r="4864" spans="1:24">
      <c r="A4864">
        <f>HYPERLINK("https://www.philgeps.gov.ph/GEPSNONPILOT/Tender/SplashBidNoticeAbstractUI.aspx?menuIndex=3&amp;refID=7038746&amp;Result=3","7038746")</f>
        <v>0</v>
      </c>
      <c r="B4864" t="s">
        <v>1635</v>
      </c>
      <c r="C4864" t="s">
        <v>7329</v>
      </c>
      <c r="D4864" t="s">
        <v>13031</v>
      </c>
      <c r="E4864" t="s">
        <v>13127</v>
      </c>
      <c r="F4864" t="s">
        <v>22436</v>
      </c>
      <c r="G4864" t="s">
        <v>22444</v>
      </c>
      <c r="H4864" t="s">
        <v>22452</v>
      </c>
      <c r="I4864" t="s">
        <v>3529</v>
      </c>
      <c r="J4864" t="s">
        <v>25781</v>
      </c>
      <c r="K4864" t="s">
        <v>29334</v>
      </c>
      <c r="M4864" t="s">
        <v>31325</v>
      </c>
      <c r="N4864" t="s">
        <v>32524</v>
      </c>
      <c r="O4864" t="s">
        <v>32525</v>
      </c>
      <c r="P4864">
        <v>0</v>
      </c>
      <c r="Q4864">
        <v>1</v>
      </c>
      <c r="R4864" t="s">
        <v>32531</v>
      </c>
      <c r="S4864" t="s">
        <v>32586</v>
      </c>
      <c r="T4864" t="s">
        <v>33185</v>
      </c>
      <c r="U4864" t="s">
        <v>37649</v>
      </c>
      <c r="W4864" t="s">
        <v>31325</v>
      </c>
      <c r="X4864" t="s">
        <v>32532</v>
      </c>
    </row>
    <row r="4865" spans="1:24">
      <c r="A4865">
        <f>HYPERLINK("https://www.philgeps.gov.ph/GEPSNONPILOT/Tender/SplashBidNoticeAbstractUI.aspx?menuIndex=3&amp;refID=7038733&amp;Result=3","7038733")</f>
        <v>0</v>
      </c>
      <c r="B4865" t="s">
        <v>1323</v>
      </c>
      <c r="C4865" t="s">
        <v>7330</v>
      </c>
      <c r="E4865" t="s">
        <v>17430</v>
      </c>
      <c r="F4865" t="s">
        <v>22436</v>
      </c>
      <c r="G4865" t="s">
        <v>22443</v>
      </c>
      <c r="H4865" t="s">
        <v>22452</v>
      </c>
      <c r="I4865" t="s">
        <v>22460</v>
      </c>
      <c r="J4865" t="s">
        <v>23011</v>
      </c>
      <c r="K4865" t="s">
        <v>29338</v>
      </c>
      <c r="M4865" t="s">
        <v>30978</v>
      </c>
      <c r="N4865" t="s">
        <v>32524</v>
      </c>
      <c r="O4865" t="s">
        <v>32525</v>
      </c>
      <c r="P4865">
        <v>0</v>
      </c>
      <c r="Q4865">
        <v>1</v>
      </c>
      <c r="R4865" t="s">
        <v>32531</v>
      </c>
      <c r="S4865" t="s">
        <v>32586</v>
      </c>
      <c r="T4865" t="s">
        <v>33372</v>
      </c>
      <c r="U4865" t="s">
        <v>37719</v>
      </c>
      <c r="W4865" t="s">
        <v>30978</v>
      </c>
      <c r="X4865" t="s">
        <v>32532</v>
      </c>
    </row>
    <row r="4866" spans="1:24">
      <c r="A4866">
        <f>HYPERLINK("https://www.philgeps.gov.ph/GEPSNONPILOT/Tender/SplashBidNoticeAbstractUI.aspx?menuIndex=3&amp;refID=7038754&amp;Result=3","7038754")</f>
        <v>0</v>
      </c>
      <c r="B4866" t="s">
        <v>308</v>
      </c>
      <c r="C4866" t="s">
        <v>7331</v>
      </c>
      <c r="D4866" t="s">
        <v>12999</v>
      </c>
      <c r="E4866" t="s">
        <v>17431</v>
      </c>
      <c r="F4866" t="s">
        <v>22436</v>
      </c>
      <c r="G4866" t="s">
        <v>22443</v>
      </c>
      <c r="H4866" t="s">
        <v>22452</v>
      </c>
      <c r="I4866" t="s">
        <v>12358</v>
      </c>
      <c r="J4866" t="s">
        <v>22640</v>
      </c>
      <c r="K4866" t="s">
        <v>29335</v>
      </c>
      <c r="M4866" t="s">
        <v>29882</v>
      </c>
      <c r="N4866" t="s">
        <v>32524</v>
      </c>
      <c r="O4866" t="s">
        <v>32525</v>
      </c>
      <c r="P4866">
        <v>0</v>
      </c>
      <c r="Q4866">
        <v>0</v>
      </c>
      <c r="R4866" t="s">
        <v>32531</v>
      </c>
      <c r="S4866" t="s">
        <v>32586</v>
      </c>
      <c r="T4866" t="s">
        <v>33322</v>
      </c>
      <c r="U4866" t="s">
        <v>37720</v>
      </c>
      <c r="W4866" t="s">
        <v>29882</v>
      </c>
      <c r="X4866" t="s">
        <v>32532</v>
      </c>
    </row>
    <row r="4867" spans="1:24">
      <c r="A4867">
        <f>HYPERLINK("https://www.philgeps.gov.ph/GEPSNONPILOT/Tender/SplashBidNoticeAbstractUI.aspx?menuIndex=3&amp;refID=7038748&amp;Result=3","7038748")</f>
        <v>0</v>
      </c>
      <c r="B4867" t="s">
        <v>351</v>
      </c>
      <c r="C4867" t="s">
        <v>7332</v>
      </c>
      <c r="E4867" t="s">
        <v>17432</v>
      </c>
      <c r="F4867" t="s">
        <v>22436</v>
      </c>
      <c r="G4867" t="s">
        <v>22444</v>
      </c>
      <c r="H4867" t="s">
        <v>22452</v>
      </c>
      <c r="I4867" t="s">
        <v>2981</v>
      </c>
      <c r="J4867" t="s">
        <v>22616</v>
      </c>
      <c r="K4867" t="s">
        <v>29331</v>
      </c>
      <c r="M4867" t="s">
        <v>29928</v>
      </c>
      <c r="N4867" t="s">
        <v>32524</v>
      </c>
      <c r="O4867" t="s">
        <v>32525</v>
      </c>
      <c r="P4867">
        <v>0</v>
      </c>
      <c r="Q4867">
        <v>0</v>
      </c>
      <c r="R4867" t="s">
        <v>32531</v>
      </c>
      <c r="S4867" t="s">
        <v>32586</v>
      </c>
      <c r="T4867" t="s">
        <v>33261</v>
      </c>
      <c r="U4867" t="s">
        <v>37721</v>
      </c>
      <c r="W4867" t="s">
        <v>29928</v>
      </c>
      <c r="X4867" t="s">
        <v>32532</v>
      </c>
    </row>
    <row r="4868" spans="1:24">
      <c r="A4868">
        <f>HYPERLINK("https://www.philgeps.gov.ph/GEPSNONPILOT/Tender/SplashBidNoticeAbstractUI.aspx?menuIndex=3&amp;refID=7038756&amp;Result=3","7038756")</f>
        <v>0</v>
      </c>
      <c r="B4868" t="s">
        <v>59</v>
      </c>
      <c r="C4868" t="s">
        <v>7333</v>
      </c>
      <c r="D4868" t="s">
        <v>13004</v>
      </c>
      <c r="E4868" t="s">
        <v>17433</v>
      </c>
      <c r="F4868" t="s">
        <v>22436</v>
      </c>
      <c r="G4868" t="s">
        <v>22450</v>
      </c>
      <c r="H4868" t="s">
        <v>22454</v>
      </c>
      <c r="I4868" t="s">
        <v>7738</v>
      </c>
      <c r="J4868" t="s">
        <v>25782</v>
      </c>
      <c r="K4868" t="s">
        <v>29338</v>
      </c>
      <c r="L4868" t="s">
        <v>59</v>
      </c>
      <c r="M4868" t="s">
        <v>31345</v>
      </c>
      <c r="N4868" t="s">
        <v>32524</v>
      </c>
      <c r="O4868" t="s">
        <v>32525</v>
      </c>
      <c r="P4868">
        <v>0</v>
      </c>
      <c r="Q4868">
        <v>2</v>
      </c>
      <c r="R4868" t="s">
        <v>32531</v>
      </c>
      <c r="S4868" t="s">
        <v>32586</v>
      </c>
      <c r="T4868" t="s">
        <v>33218</v>
      </c>
      <c r="U4868" t="s">
        <v>37722</v>
      </c>
      <c r="W4868" t="s">
        <v>31345</v>
      </c>
      <c r="X4868" t="s">
        <v>32532</v>
      </c>
    </row>
    <row r="4869" spans="1:24">
      <c r="A4869">
        <f>HYPERLINK("https://www.philgeps.gov.ph/GEPSNONPILOT/Tender/SplashBidNoticeAbstractUI.aspx?menuIndex=3&amp;refID=7038752&amp;Result=3","7038752")</f>
        <v>0</v>
      </c>
      <c r="B4869" t="s">
        <v>1655</v>
      </c>
      <c r="C4869" t="s">
        <v>7334</v>
      </c>
      <c r="D4869" t="s">
        <v>12992</v>
      </c>
      <c r="E4869" t="s">
        <v>17434</v>
      </c>
      <c r="F4869" t="s">
        <v>22436</v>
      </c>
      <c r="G4869" t="s">
        <v>22443</v>
      </c>
      <c r="H4869" t="s">
        <v>22452</v>
      </c>
      <c r="I4869" t="s">
        <v>22474</v>
      </c>
      <c r="J4869" t="s">
        <v>24356</v>
      </c>
      <c r="K4869" t="s">
        <v>29333</v>
      </c>
      <c r="M4869" t="s">
        <v>31352</v>
      </c>
      <c r="N4869" t="s">
        <v>32524</v>
      </c>
      <c r="O4869" t="s">
        <v>32525</v>
      </c>
      <c r="P4869">
        <v>0</v>
      </c>
      <c r="Q4869">
        <v>0</v>
      </c>
      <c r="R4869" t="s">
        <v>32531</v>
      </c>
      <c r="S4869" t="s">
        <v>32586</v>
      </c>
      <c r="T4869" t="s">
        <v>33210</v>
      </c>
      <c r="U4869" t="s">
        <v>37723</v>
      </c>
      <c r="V4869" t="s">
        <v>42952</v>
      </c>
      <c r="W4869" t="s">
        <v>31352</v>
      </c>
      <c r="X4869" t="s">
        <v>32532</v>
      </c>
    </row>
    <row r="4870" spans="1:24">
      <c r="A4870">
        <f>HYPERLINK("https://www.philgeps.gov.ph/GEPSNONPILOT/Tender/SplashBidNoticeAbstractUI.aspx?menuIndex=3&amp;refID=7038741&amp;Result=3","7038741")</f>
        <v>0</v>
      </c>
      <c r="B4870" t="s">
        <v>332</v>
      </c>
      <c r="C4870" t="s">
        <v>7335</v>
      </c>
      <c r="D4870" t="s">
        <v>13013</v>
      </c>
      <c r="E4870" t="s">
        <v>17435</v>
      </c>
      <c r="F4870" t="s">
        <v>22436</v>
      </c>
      <c r="G4870" t="s">
        <v>22443</v>
      </c>
      <c r="H4870" t="s">
        <v>22452</v>
      </c>
      <c r="I4870" t="s">
        <v>11896</v>
      </c>
      <c r="J4870" t="s">
        <v>25783</v>
      </c>
      <c r="K4870" t="s">
        <v>29333</v>
      </c>
      <c r="M4870" t="s">
        <v>29908</v>
      </c>
      <c r="N4870" t="s">
        <v>32524</v>
      </c>
      <c r="O4870" t="s">
        <v>32525</v>
      </c>
      <c r="P4870">
        <v>0</v>
      </c>
      <c r="Q4870">
        <v>1</v>
      </c>
      <c r="R4870" t="s">
        <v>32531</v>
      </c>
      <c r="S4870" t="s">
        <v>32586</v>
      </c>
      <c r="T4870" t="s">
        <v>33185</v>
      </c>
      <c r="U4870" t="s">
        <v>37724</v>
      </c>
      <c r="W4870" t="s">
        <v>43678</v>
      </c>
      <c r="X4870" t="s">
        <v>32532</v>
      </c>
    </row>
    <row r="4871" spans="1:24">
      <c r="A4871">
        <f>HYPERLINK("https://www.philgeps.gov.ph/GEPSNONPILOT/Tender/SplashBidNoticeAbstractUI.aspx?menuIndex=3&amp;refID=7038761&amp;Result=3","7038761")</f>
        <v>0</v>
      </c>
      <c r="B4871" t="s">
        <v>1647</v>
      </c>
      <c r="C4871" t="s">
        <v>7336</v>
      </c>
      <c r="D4871" t="s">
        <v>13002</v>
      </c>
      <c r="E4871" t="s">
        <v>17436</v>
      </c>
      <c r="F4871" t="s">
        <v>22436</v>
      </c>
      <c r="G4871" t="s">
        <v>22443</v>
      </c>
      <c r="H4871" t="s">
        <v>22452</v>
      </c>
      <c r="I4871" t="s">
        <v>22460</v>
      </c>
      <c r="J4871" t="s">
        <v>25784</v>
      </c>
      <c r="K4871" t="s">
        <v>29341</v>
      </c>
      <c r="M4871" t="s">
        <v>31340</v>
      </c>
      <c r="N4871" t="s">
        <v>32524</v>
      </c>
      <c r="O4871" t="s">
        <v>32525</v>
      </c>
      <c r="P4871">
        <v>0</v>
      </c>
      <c r="Q4871">
        <v>4</v>
      </c>
      <c r="R4871" t="s">
        <v>32531</v>
      </c>
      <c r="S4871" t="s">
        <v>32586</v>
      </c>
      <c r="T4871" t="s">
        <v>33185</v>
      </c>
      <c r="U4871" t="s">
        <v>37689</v>
      </c>
      <c r="W4871" t="s">
        <v>31340</v>
      </c>
      <c r="X4871" t="s">
        <v>32532</v>
      </c>
    </row>
    <row r="4872" spans="1:24">
      <c r="A4872">
        <f>HYPERLINK("https://www.philgeps.gov.ph/GEPSNONPILOT/Tender/SplashBidNoticeAbstractUI.aspx?menuIndex=3&amp;refID=7038763&amp;Result=3","7038763")</f>
        <v>0</v>
      </c>
      <c r="B4872" t="s">
        <v>1108</v>
      </c>
      <c r="C4872" t="s">
        <v>7337</v>
      </c>
      <c r="D4872" t="s">
        <v>13061</v>
      </c>
      <c r="E4872" t="s">
        <v>17437</v>
      </c>
      <c r="F4872" t="s">
        <v>22436</v>
      </c>
      <c r="G4872" t="s">
        <v>22444</v>
      </c>
      <c r="H4872" t="s">
        <v>22454</v>
      </c>
      <c r="I4872" t="s">
        <v>7738</v>
      </c>
      <c r="J4872" t="s">
        <v>24876</v>
      </c>
      <c r="K4872" t="s">
        <v>29388</v>
      </c>
      <c r="M4872" t="s">
        <v>31316</v>
      </c>
      <c r="N4872" t="s">
        <v>32524</v>
      </c>
      <c r="O4872" t="s">
        <v>32525</v>
      </c>
      <c r="P4872">
        <v>0</v>
      </c>
      <c r="Q4872">
        <v>0</v>
      </c>
      <c r="R4872" t="s">
        <v>32531</v>
      </c>
      <c r="S4872" t="s">
        <v>32586</v>
      </c>
      <c r="T4872" t="s">
        <v>33434</v>
      </c>
      <c r="U4872" t="s">
        <v>37725</v>
      </c>
      <c r="W4872" t="s">
        <v>31316</v>
      </c>
      <c r="X4872" t="s">
        <v>32532</v>
      </c>
    </row>
    <row r="4873" spans="1:24">
      <c r="A4873">
        <f>HYPERLINK("https://www.philgeps.gov.ph/GEPSNONPILOT/Tender/SplashBidNoticeAbstractUI.aspx?menuIndex=3&amp;refID=7038764&amp;Result=3","7038764")</f>
        <v>0</v>
      </c>
      <c r="B4873" t="s">
        <v>1653</v>
      </c>
      <c r="C4873" t="s">
        <v>7338</v>
      </c>
      <c r="D4873" t="s">
        <v>13007</v>
      </c>
      <c r="E4873" t="s">
        <v>15154</v>
      </c>
      <c r="F4873" t="s">
        <v>22436</v>
      </c>
      <c r="G4873" t="s">
        <v>22444</v>
      </c>
      <c r="H4873" t="s">
        <v>22452</v>
      </c>
      <c r="I4873" t="s">
        <v>22474</v>
      </c>
      <c r="J4873" t="s">
        <v>25785</v>
      </c>
      <c r="K4873" t="s">
        <v>29342</v>
      </c>
      <c r="M4873" t="s">
        <v>31350</v>
      </c>
      <c r="N4873" t="s">
        <v>32524</v>
      </c>
      <c r="O4873" t="s">
        <v>32525</v>
      </c>
      <c r="P4873">
        <v>0</v>
      </c>
      <c r="Q4873">
        <v>2</v>
      </c>
      <c r="R4873" t="s">
        <v>32531</v>
      </c>
      <c r="S4873" t="s">
        <v>32586</v>
      </c>
      <c r="T4873" t="s">
        <v>33218</v>
      </c>
      <c r="U4873" t="s">
        <v>37726</v>
      </c>
      <c r="W4873" t="s">
        <v>31350</v>
      </c>
      <c r="X4873" t="s">
        <v>32532</v>
      </c>
    </row>
    <row r="4874" spans="1:24">
      <c r="A4874">
        <f>HYPERLINK("https://www.philgeps.gov.ph/GEPSNONPILOT/Tender/SplashBidNoticeAbstractUI.aspx?menuIndex=3&amp;refID=7038747&amp;Result=3","7038747")</f>
        <v>0</v>
      </c>
      <c r="B4874" t="s">
        <v>1108</v>
      </c>
      <c r="C4874" t="s">
        <v>7339</v>
      </c>
      <c r="D4874" t="s">
        <v>13061</v>
      </c>
      <c r="E4874" t="s">
        <v>17438</v>
      </c>
      <c r="F4874" t="s">
        <v>22436</v>
      </c>
      <c r="G4874" t="s">
        <v>22444</v>
      </c>
      <c r="H4874" t="s">
        <v>22454</v>
      </c>
      <c r="I4874" t="s">
        <v>7738</v>
      </c>
      <c r="J4874" t="s">
        <v>24876</v>
      </c>
      <c r="K4874" t="s">
        <v>29388</v>
      </c>
      <c r="M4874" t="s">
        <v>31316</v>
      </c>
      <c r="N4874" t="s">
        <v>32524</v>
      </c>
      <c r="O4874" t="s">
        <v>32525</v>
      </c>
      <c r="P4874">
        <v>0</v>
      </c>
      <c r="Q4874">
        <v>0</v>
      </c>
      <c r="R4874" t="s">
        <v>32531</v>
      </c>
      <c r="S4874" t="s">
        <v>32586</v>
      </c>
      <c r="T4874" t="s">
        <v>33434</v>
      </c>
      <c r="U4874" t="s">
        <v>37727</v>
      </c>
      <c r="W4874" t="s">
        <v>31316</v>
      </c>
      <c r="X4874" t="s">
        <v>32532</v>
      </c>
    </row>
    <row r="4875" spans="1:24">
      <c r="A4875">
        <f>HYPERLINK("https://www.philgeps.gov.ph/GEPSNONPILOT/Tender/SplashBidNoticeAbstractUI.aspx?menuIndex=3&amp;refID=7038750&amp;Result=3","7038750")</f>
        <v>0</v>
      </c>
      <c r="B4875" t="s">
        <v>267</v>
      </c>
      <c r="C4875" t="s">
        <v>7340</v>
      </c>
      <c r="D4875" t="s">
        <v>13032</v>
      </c>
      <c r="E4875" t="s">
        <v>17439</v>
      </c>
      <c r="F4875" t="s">
        <v>22436</v>
      </c>
      <c r="G4875" t="s">
        <v>22444</v>
      </c>
      <c r="H4875" t="s">
        <v>22452</v>
      </c>
      <c r="I4875" t="s">
        <v>22469</v>
      </c>
      <c r="J4875" t="s">
        <v>25786</v>
      </c>
      <c r="K4875" t="s">
        <v>29338</v>
      </c>
      <c r="M4875" t="s">
        <v>29841</v>
      </c>
      <c r="N4875" t="s">
        <v>32524</v>
      </c>
      <c r="O4875" t="s">
        <v>32525</v>
      </c>
      <c r="P4875">
        <v>0</v>
      </c>
      <c r="Q4875">
        <v>3</v>
      </c>
      <c r="R4875" t="s">
        <v>32531</v>
      </c>
      <c r="S4875" t="s">
        <v>32586</v>
      </c>
      <c r="T4875" t="s">
        <v>33213</v>
      </c>
      <c r="U4875" t="s">
        <v>37728</v>
      </c>
      <c r="W4875" t="s">
        <v>43690</v>
      </c>
      <c r="X4875" t="s">
        <v>32532</v>
      </c>
    </row>
    <row r="4876" spans="1:24">
      <c r="A4876">
        <f>HYPERLINK("https://www.philgeps.gov.ph/GEPSNONPILOT/Tender/SplashBidNoticeAbstractUI.aspx?menuIndex=3&amp;refID=7038734&amp;Result=3","7038734")</f>
        <v>0</v>
      </c>
      <c r="B4876" t="s">
        <v>1350</v>
      </c>
      <c r="C4876" t="s">
        <v>7341</v>
      </c>
      <c r="D4876" t="s">
        <v>13013</v>
      </c>
      <c r="E4876" t="s">
        <v>17440</v>
      </c>
      <c r="F4876" t="s">
        <v>22436</v>
      </c>
      <c r="G4876" t="s">
        <v>22446</v>
      </c>
      <c r="H4876" t="s">
        <v>22452</v>
      </c>
      <c r="I4876" t="s">
        <v>3529</v>
      </c>
      <c r="J4876" t="s">
        <v>25787</v>
      </c>
      <c r="K4876" t="s">
        <v>29341</v>
      </c>
      <c r="M4876" t="s">
        <v>31006</v>
      </c>
      <c r="N4876" t="s">
        <v>32524</v>
      </c>
      <c r="O4876" t="s">
        <v>32525</v>
      </c>
      <c r="P4876">
        <v>0</v>
      </c>
      <c r="Q4876">
        <v>0</v>
      </c>
      <c r="R4876" t="s">
        <v>32531</v>
      </c>
      <c r="S4876" t="s">
        <v>32586</v>
      </c>
      <c r="T4876" t="s">
        <v>33197</v>
      </c>
      <c r="U4876" t="s">
        <v>36981</v>
      </c>
      <c r="W4876" t="s">
        <v>31006</v>
      </c>
      <c r="X4876" t="s">
        <v>32532</v>
      </c>
    </row>
    <row r="4877" spans="1:24">
      <c r="A4877">
        <f>HYPERLINK("https://www.philgeps.gov.ph/GEPSNONPILOT/Tender/SplashBidNoticeAbstractUI.aspx?menuIndex=3&amp;refID=7038766&amp;Result=3","7038766")</f>
        <v>0</v>
      </c>
      <c r="B4877" t="s">
        <v>1645</v>
      </c>
      <c r="C4877" t="s">
        <v>7342</v>
      </c>
      <c r="D4877" t="s">
        <v>12992</v>
      </c>
      <c r="E4877" t="s">
        <v>17441</v>
      </c>
      <c r="F4877" t="s">
        <v>22436</v>
      </c>
      <c r="G4877" t="s">
        <v>22444</v>
      </c>
      <c r="H4877" t="s">
        <v>22452</v>
      </c>
      <c r="I4877" t="s">
        <v>22474</v>
      </c>
      <c r="J4877" t="s">
        <v>22779</v>
      </c>
      <c r="K4877" t="s">
        <v>29341</v>
      </c>
      <c r="M4877" t="s">
        <v>31338</v>
      </c>
      <c r="N4877" t="s">
        <v>32524</v>
      </c>
      <c r="O4877" t="s">
        <v>32525</v>
      </c>
      <c r="P4877">
        <v>0</v>
      </c>
      <c r="Q4877">
        <v>3</v>
      </c>
      <c r="R4877" t="s">
        <v>32531</v>
      </c>
      <c r="S4877" t="s">
        <v>32586</v>
      </c>
      <c r="T4877" t="s">
        <v>33438</v>
      </c>
      <c r="U4877" t="s">
        <v>37729</v>
      </c>
      <c r="W4877" t="s">
        <v>31338</v>
      </c>
      <c r="X4877" t="s">
        <v>32532</v>
      </c>
    </row>
    <row r="4878" spans="1:24">
      <c r="A4878">
        <f>HYPERLINK("https://www.philgeps.gov.ph/GEPSNONPILOT/Tender/SplashBidNoticeAbstractUI.aspx?menuIndex=3&amp;refID=7038783&amp;Result=3","7038783")</f>
        <v>0</v>
      </c>
      <c r="B4878" t="s">
        <v>1637</v>
      </c>
      <c r="C4878" t="s">
        <v>7343</v>
      </c>
      <c r="D4878" t="s">
        <v>13057</v>
      </c>
      <c r="E4878" t="s">
        <v>17442</v>
      </c>
      <c r="F4878" t="s">
        <v>22436</v>
      </c>
      <c r="G4878" t="s">
        <v>22444</v>
      </c>
      <c r="H4878" t="s">
        <v>22452</v>
      </c>
      <c r="I4878" t="s">
        <v>22525</v>
      </c>
      <c r="J4878" t="s">
        <v>25788</v>
      </c>
      <c r="K4878" t="s">
        <v>29341</v>
      </c>
      <c r="M4878" t="s">
        <v>31328</v>
      </c>
      <c r="N4878" t="s">
        <v>32524</v>
      </c>
      <c r="O4878" t="s">
        <v>32525</v>
      </c>
      <c r="P4878">
        <v>0</v>
      </c>
      <c r="Q4878">
        <v>3</v>
      </c>
      <c r="R4878" t="s">
        <v>32531</v>
      </c>
      <c r="S4878" t="s">
        <v>32586</v>
      </c>
      <c r="T4878" t="s">
        <v>33253</v>
      </c>
      <c r="U4878" t="s">
        <v>37730</v>
      </c>
      <c r="W4878" t="s">
        <v>31328</v>
      </c>
      <c r="X4878" t="s">
        <v>32532</v>
      </c>
    </row>
    <row r="4879" spans="1:24">
      <c r="A4879">
        <f>HYPERLINK("https://www.philgeps.gov.ph/GEPSNONPILOT/Tender/SplashBidNoticeAbstractUI.aspx?menuIndex=3&amp;refID=7038778&amp;Result=3","7038778")</f>
        <v>0</v>
      </c>
      <c r="B4879" t="s">
        <v>1646</v>
      </c>
      <c r="C4879" t="s">
        <v>7344</v>
      </c>
      <c r="D4879" t="s">
        <v>13068</v>
      </c>
      <c r="E4879" t="s">
        <v>17443</v>
      </c>
      <c r="F4879" t="s">
        <v>22436</v>
      </c>
      <c r="G4879" t="s">
        <v>22444</v>
      </c>
      <c r="H4879" t="s">
        <v>22454</v>
      </c>
      <c r="I4879" t="s">
        <v>7738</v>
      </c>
      <c r="J4879" t="s">
        <v>25789</v>
      </c>
      <c r="K4879" t="s">
        <v>29347</v>
      </c>
      <c r="M4879" t="s">
        <v>31339</v>
      </c>
      <c r="N4879" t="s">
        <v>32524</v>
      </c>
      <c r="O4879" t="s">
        <v>32525</v>
      </c>
      <c r="P4879">
        <v>0</v>
      </c>
      <c r="Q4879">
        <v>1</v>
      </c>
      <c r="R4879" t="s">
        <v>32531</v>
      </c>
      <c r="S4879" t="s">
        <v>32586</v>
      </c>
      <c r="T4879" t="s">
        <v>33218</v>
      </c>
      <c r="U4879" t="s">
        <v>37731</v>
      </c>
      <c r="V4879" t="s">
        <v>42953</v>
      </c>
      <c r="W4879" t="s">
        <v>31339</v>
      </c>
      <c r="X4879" t="s">
        <v>32532</v>
      </c>
    </row>
    <row r="4880" spans="1:24">
      <c r="A4880">
        <f>HYPERLINK("https://www.philgeps.gov.ph/GEPSNONPILOT/Tender/SplashBidNoticeAbstractUI.aspx?menuIndex=3&amp;refID=7038777&amp;Result=3","7038777")</f>
        <v>0</v>
      </c>
      <c r="B4880" t="s">
        <v>1349</v>
      </c>
      <c r="C4880" t="s">
        <v>7345</v>
      </c>
      <c r="D4880" t="s">
        <v>13038</v>
      </c>
      <c r="E4880" t="s">
        <v>17444</v>
      </c>
      <c r="F4880" t="s">
        <v>22436</v>
      </c>
      <c r="G4880" t="s">
        <v>22443</v>
      </c>
      <c r="H4880" t="s">
        <v>22452</v>
      </c>
      <c r="I4880" t="s">
        <v>22488</v>
      </c>
      <c r="J4880" t="s">
        <v>23215</v>
      </c>
      <c r="K4880" t="s">
        <v>29340</v>
      </c>
      <c r="M4880" t="s">
        <v>31004</v>
      </c>
      <c r="N4880" t="s">
        <v>32524</v>
      </c>
      <c r="O4880" t="s">
        <v>32525</v>
      </c>
      <c r="P4880">
        <v>0</v>
      </c>
      <c r="Q4880">
        <v>0</v>
      </c>
      <c r="R4880" t="s">
        <v>32531</v>
      </c>
      <c r="S4880" t="s">
        <v>32586</v>
      </c>
      <c r="T4880" t="s">
        <v>33296</v>
      </c>
      <c r="U4880" t="s">
        <v>37732</v>
      </c>
      <c r="V4880" t="s">
        <v>42954</v>
      </c>
      <c r="W4880" t="s">
        <v>31004</v>
      </c>
      <c r="X4880" t="s">
        <v>32532</v>
      </c>
    </row>
    <row r="4881" spans="1:24">
      <c r="A4881">
        <f>HYPERLINK("https://www.philgeps.gov.ph/GEPSNONPILOT/Tender/SplashBidNoticeAbstractUI.aspx?menuIndex=3&amp;refID=7038737&amp;Result=3","7038737")</f>
        <v>0</v>
      </c>
      <c r="B4881" t="s">
        <v>1634</v>
      </c>
      <c r="C4881" t="s">
        <v>7346</v>
      </c>
      <c r="E4881" t="s">
        <v>17445</v>
      </c>
      <c r="F4881" t="s">
        <v>22436</v>
      </c>
      <c r="G4881" t="s">
        <v>22444</v>
      </c>
      <c r="H4881" t="s">
        <v>22452</v>
      </c>
      <c r="I4881" t="s">
        <v>22488</v>
      </c>
      <c r="J4881" t="s">
        <v>25790</v>
      </c>
      <c r="K4881" t="s">
        <v>29338</v>
      </c>
      <c r="M4881" t="s">
        <v>31324</v>
      </c>
      <c r="N4881" t="s">
        <v>32524</v>
      </c>
      <c r="O4881" t="s">
        <v>32525</v>
      </c>
      <c r="P4881">
        <v>0</v>
      </c>
      <c r="Q4881">
        <v>0</v>
      </c>
      <c r="R4881" t="s">
        <v>32531</v>
      </c>
      <c r="S4881" t="s">
        <v>32586</v>
      </c>
      <c r="T4881" t="s">
        <v>33470</v>
      </c>
      <c r="U4881" t="s">
        <v>37733</v>
      </c>
      <c r="W4881" t="s">
        <v>31324</v>
      </c>
      <c r="X4881" t="s">
        <v>32532</v>
      </c>
    </row>
    <row r="4882" spans="1:24">
      <c r="A4882">
        <f>HYPERLINK("https://www.philgeps.gov.ph/GEPSNONPILOT/Tender/SplashBidNoticeAbstractUI.aspx?menuIndex=3&amp;refID=7038753&amp;Result=3","7038753")</f>
        <v>0</v>
      </c>
      <c r="B4882" t="s">
        <v>1558</v>
      </c>
      <c r="C4882" t="s">
        <v>7347</v>
      </c>
      <c r="D4882" t="s">
        <v>13015</v>
      </c>
      <c r="E4882" t="s">
        <v>17446</v>
      </c>
      <c r="F4882" t="s">
        <v>22436</v>
      </c>
      <c r="G4882" t="s">
        <v>22444</v>
      </c>
      <c r="H4882" t="s">
        <v>22452</v>
      </c>
      <c r="I4882" t="s">
        <v>3840</v>
      </c>
      <c r="J4882" t="s">
        <v>25791</v>
      </c>
      <c r="K4882" t="s">
        <v>29335</v>
      </c>
      <c r="M4882" t="s">
        <v>31238</v>
      </c>
      <c r="N4882" t="s">
        <v>32524</v>
      </c>
      <c r="O4882" t="s">
        <v>32525</v>
      </c>
      <c r="P4882">
        <v>0</v>
      </c>
      <c r="Q4882">
        <v>4</v>
      </c>
      <c r="R4882" t="s">
        <v>32531</v>
      </c>
      <c r="S4882" t="s">
        <v>32586</v>
      </c>
      <c r="T4882" t="s">
        <v>33310</v>
      </c>
      <c r="U4882" t="s">
        <v>37734</v>
      </c>
      <c r="W4882" t="s">
        <v>31238</v>
      </c>
      <c r="X4882" t="s">
        <v>32532</v>
      </c>
    </row>
    <row r="4883" spans="1:24">
      <c r="A4883">
        <f>HYPERLINK("https://www.philgeps.gov.ph/GEPSNONPILOT/Tender/SplashBidNoticeAbstractUI.aspx?menuIndex=3&amp;refID=7038771&amp;Result=3","7038771")</f>
        <v>0</v>
      </c>
      <c r="B4883" t="s">
        <v>1621</v>
      </c>
      <c r="C4883" t="s">
        <v>7348</v>
      </c>
      <c r="D4883" t="s">
        <v>13007</v>
      </c>
      <c r="E4883" t="s">
        <v>17447</v>
      </c>
      <c r="F4883" t="s">
        <v>22436</v>
      </c>
      <c r="G4883" t="s">
        <v>22443</v>
      </c>
      <c r="H4883" t="s">
        <v>22452</v>
      </c>
      <c r="I4883" t="s">
        <v>22476</v>
      </c>
      <c r="J4883" t="s">
        <v>25792</v>
      </c>
      <c r="K4883" t="s">
        <v>29341</v>
      </c>
      <c r="M4883" t="s">
        <v>31306</v>
      </c>
      <c r="N4883" t="s">
        <v>32524</v>
      </c>
      <c r="O4883" t="s">
        <v>32525</v>
      </c>
      <c r="P4883">
        <v>0</v>
      </c>
      <c r="Q4883">
        <v>0</v>
      </c>
      <c r="R4883" t="s">
        <v>32531</v>
      </c>
      <c r="S4883" t="s">
        <v>32586</v>
      </c>
      <c r="T4883" t="s">
        <v>33238</v>
      </c>
      <c r="U4883" t="s">
        <v>37735</v>
      </c>
      <c r="W4883" t="s">
        <v>43728</v>
      </c>
      <c r="X4883" t="s">
        <v>32532</v>
      </c>
    </row>
    <row r="4884" spans="1:24">
      <c r="A4884">
        <f>HYPERLINK("https://www.philgeps.gov.ph/GEPSNONPILOT/Tender/SplashBidNoticeAbstractUI.aspx?menuIndex=3&amp;refID=7038767&amp;Result=3","7038767")</f>
        <v>0</v>
      </c>
      <c r="B4884" t="s">
        <v>1634</v>
      </c>
      <c r="C4884" t="s">
        <v>7349</v>
      </c>
      <c r="E4884" t="s">
        <v>17448</v>
      </c>
      <c r="F4884" t="s">
        <v>22436</v>
      </c>
      <c r="G4884" t="s">
        <v>22444</v>
      </c>
      <c r="H4884" t="s">
        <v>22452</v>
      </c>
      <c r="I4884" t="s">
        <v>22492</v>
      </c>
      <c r="J4884" t="s">
        <v>22667</v>
      </c>
      <c r="K4884" t="s">
        <v>29338</v>
      </c>
      <c r="M4884" t="s">
        <v>31324</v>
      </c>
      <c r="N4884" t="s">
        <v>32524</v>
      </c>
      <c r="O4884" t="s">
        <v>32525</v>
      </c>
      <c r="P4884">
        <v>0</v>
      </c>
      <c r="Q4884">
        <v>0</v>
      </c>
      <c r="R4884" t="s">
        <v>32531</v>
      </c>
      <c r="S4884" t="s">
        <v>32586</v>
      </c>
      <c r="T4884" t="s">
        <v>33470</v>
      </c>
      <c r="U4884" t="s">
        <v>37736</v>
      </c>
      <c r="W4884" t="s">
        <v>31324</v>
      </c>
      <c r="X4884" t="s">
        <v>32532</v>
      </c>
    </row>
    <row r="4885" spans="1:24">
      <c r="A4885">
        <f>HYPERLINK("https://www.philgeps.gov.ph/GEPSNONPILOT/Tender/SplashBidNoticeAbstractUI.aspx?menuIndex=3&amp;refID=7038797&amp;Result=3","7038797")</f>
        <v>0</v>
      </c>
      <c r="B4885" t="s">
        <v>1623</v>
      </c>
      <c r="C4885" t="s">
        <v>7350</v>
      </c>
      <c r="D4885" t="s">
        <v>12992</v>
      </c>
      <c r="E4885" t="s">
        <v>17449</v>
      </c>
      <c r="F4885" t="s">
        <v>22436</v>
      </c>
      <c r="G4885" t="s">
        <v>22443</v>
      </c>
      <c r="H4885" t="s">
        <v>22452</v>
      </c>
      <c r="I4885" t="s">
        <v>2962</v>
      </c>
      <c r="J4885" t="s">
        <v>24718</v>
      </c>
      <c r="K4885" t="s">
        <v>29335</v>
      </c>
      <c r="M4885" t="s">
        <v>31309</v>
      </c>
      <c r="N4885" t="s">
        <v>32524</v>
      </c>
      <c r="O4885" t="s">
        <v>32525</v>
      </c>
      <c r="P4885">
        <v>0</v>
      </c>
      <c r="Q4885">
        <v>2</v>
      </c>
      <c r="R4885" t="s">
        <v>32531</v>
      </c>
      <c r="S4885" t="s">
        <v>32586</v>
      </c>
      <c r="T4885" t="s">
        <v>33372</v>
      </c>
      <c r="U4885" t="s">
        <v>33876</v>
      </c>
      <c r="W4885" t="s">
        <v>31309</v>
      </c>
      <c r="X4885" t="s">
        <v>32532</v>
      </c>
    </row>
    <row r="4886" spans="1:24">
      <c r="A4886">
        <f>HYPERLINK("https://www.philgeps.gov.ph/GEPSNONPILOT/Tender/SplashBidNoticeAbstractUI.aspx?menuIndex=3&amp;refID=7038776&amp;Result=3","7038776")</f>
        <v>0</v>
      </c>
      <c r="B4886" t="s">
        <v>1656</v>
      </c>
      <c r="C4886" t="s">
        <v>7351</v>
      </c>
      <c r="D4886" t="s">
        <v>12995</v>
      </c>
      <c r="E4886" t="s">
        <v>17450</v>
      </c>
      <c r="F4886" t="s">
        <v>22436</v>
      </c>
      <c r="G4886" t="s">
        <v>22444</v>
      </c>
      <c r="H4886" t="s">
        <v>22452</v>
      </c>
      <c r="I4886" t="s">
        <v>22504</v>
      </c>
      <c r="J4886" t="s">
        <v>25793</v>
      </c>
      <c r="K4886" t="s">
        <v>29331</v>
      </c>
      <c r="M4886" t="s">
        <v>31353</v>
      </c>
      <c r="N4886" t="s">
        <v>32524</v>
      </c>
      <c r="O4886" t="s">
        <v>32525</v>
      </c>
      <c r="P4886">
        <v>0</v>
      </c>
      <c r="Q4886">
        <v>2</v>
      </c>
      <c r="R4886" t="s">
        <v>32531</v>
      </c>
      <c r="S4886" t="s">
        <v>32586</v>
      </c>
      <c r="T4886" t="s">
        <v>33213</v>
      </c>
      <c r="U4886" t="s">
        <v>37737</v>
      </c>
      <c r="W4886" t="s">
        <v>31353</v>
      </c>
      <c r="X4886" t="s">
        <v>32532</v>
      </c>
    </row>
    <row r="4887" spans="1:24">
      <c r="A4887">
        <f>HYPERLINK("https://www.philgeps.gov.ph/GEPSNONPILOT/Tender/SplashBidNoticeAbstractUI.aspx?menuIndex=3&amp;refID=7038779&amp;Result=3","7038779")</f>
        <v>0</v>
      </c>
      <c r="B4887" t="s">
        <v>512</v>
      </c>
      <c r="C4887" t="s">
        <v>7352</v>
      </c>
      <c r="D4887" t="s">
        <v>12995</v>
      </c>
      <c r="E4887" t="s">
        <v>17451</v>
      </c>
      <c r="F4887" t="s">
        <v>22436</v>
      </c>
      <c r="G4887" t="s">
        <v>22443</v>
      </c>
      <c r="H4887" t="s">
        <v>22453</v>
      </c>
      <c r="I4887" t="s">
        <v>22475</v>
      </c>
      <c r="J4887" t="s">
        <v>24386</v>
      </c>
      <c r="K4887" t="s">
        <v>29336</v>
      </c>
      <c r="M4887" t="s">
        <v>30096</v>
      </c>
      <c r="N4887" t="s">
        <v>32524</v>
      </c>
      <c r="O4887" t="s">
        <v>32525</v>
      </c>
      <c r="P4887">
        <v>0</v>
      </c>
      <c r="Q4887">
        <v>0</v>
      </c>
      <c r="R4887" t="s">
        <v>32531</v>
      </c>
      <c r="S4887" t="s">
        <v>32586</v>
      </c>
      <c r="T4887" t="s">
        <v>33220</v>
      </c>
      <c r="U4887" t="s">
        <v>34661</v>
      </c>
      <c r="W4887" t="s">
        <v>30096</v>
      </c>
      <c r="X4887" t="s">
        <v>32532</v>
      </c>
    </row>
    <row r="4888" spans="1:24">
      <c r="A4888">
        <f>HYPERLINK("https://www.philgeps.gov.ph/GEPSNONPILOT/Tender/SplashBidNoticeAbstractUI.aspx?menuIndex=3&amp;refID=7038793&amp;Result=3","7038793")</f>
        <v>0</v>
      </c>
      <c r="B4888" t="s">
        <v>1645</v>
      </c>
      <c r="C4888" t="s">
        <v>7353</v>
      </c>
      <c r="D4888" t="s">
        <v>12992</v>
      </c>
      <c r="E4888" t="s">
        <v>17452</v>
      </c>
      <c r="F4888" t="s">
        <v>22436</v>
      </c>
      <c r="G4888" t="s">
        <v>22444</v>
      </c>
      <c r="H4888" t="s">
        <v>22452</v>
      </c>
      <c r="I4888" t="s">
        <v>3529</v>
      </c>
      <c r="J4888" t="s">
        <v>25794</v>
      </c>
      <c r="K4888" t="s">
        <v>29341</v>
      </c>
      <c r="M4888" t="s">
        <v>31338</v>
      </c>
      <c r="N4888" t="s">
        <v>32524</v>
      </c>
      <c r="O4888" t="s">
        <v>32525</v>
      </c>
      <c r="P4888">
        <v>0</v>
      </c>
      <c r="Q4888">
        <v>0</v>
      </c>
      <c r="R4888" t="s">
        <v>32531</v>
      </c>
      <c r="S4888" t="s">
        <v>32586</v>
      </c>
      <c r="T4888" t="s">
        <v>33164</v>
      </c>
      <c r="U4888" t="s">
        <v>37738</v>
      </c>
      <c r="W4888" t="s">
        <v>31338</v>
      </c>
      <c r="X4888" t="s">
        <v>32532</v>
      </c>
    </row>
    <row r="4889" spans="1:24">
      <c r="A4889">
        <f>HYPERLINK("https://www.philgeps.gov.ph/GEPSNONPILOT/Tender/SplashBidNoticeAbstractUI.aspx?menuIndex=3&amp;refID=7038788&amp;Result=3","7038788")</f>
        <v>0</v>
      </c>
      <c r="B4889" t="s">
        <v>59</v>
      </c>
      <c r="C4889" t="s">
        <v>7354</v>
      </c>
      <c r="D4889" t="s">
        <v>13004</v>
      </c>
      <c r="E4889" t="s">
        <v>17453</v>
      </c>
      <c r="F4889" t="s">
        <v>22436</v>
      </c>
      <c r="G4889" t="s">
        <v>22443</v>
      </c>
      <c r="H4889" t="s">
        <v>22452</v>
      </c>
      <c r="I4889" t="s">
        <v>22476</v>
      </c>
      <c r="J4889" t="s">
        <v>25795</v>
      </c>
      <c r="K4889" t="s">
        <v>29338</v>
      </c>
      <c r="L4889" t="s">
        <v>59</v>
      </c>
      <c r="M4889" t="s">
        <v>29631</v>
      </c>
      <c r="N4889" t="s">
        <v>32524</v>
      </c>
      <c r="O4889" t="s">
        <v>32525</v>
      </c>
      <c r="P4889">
        <v>0</v>
      </c>
      <c r="Q4889">
        <v>3</v>
      </c>
      <c r="R4889" t="s">
        <v>32531</v>
      </c>
      <c r="S4889" t="s">
        <v>32586</v>
      </c>
      <c r="T4889" t="s">
        <v>33296</v>
      </c>
      <c r="U4889" t="s">
        <v>37739</v>
      </c>
      <c r="W4889" t="s">
        <v>29631</v>
      </c>
      <c r="X4889" t="s">
        <v>32532</v>
      </c>
    </row>
    <row r="4890" spans="1:24">
      <c r="A4890">
        <f>HYPERLINK("https://www.philgeps.gov.ph/GEPSNONPILOT/Tender/SplashBidNoticeAbstractUI.aspx?menuIndex=3&amp;refID=7038790&amp;Result=3","7038790")</f>
        <v>0</v>
      </c>
      <c r="B4890" t="s">
        <v>1643</v>
      </c>
      <c r="C4890" t="s">
        <v>7355</v>
      </c>
      <c r="D4890" t="s">
        <v>13073</v>
      </c>
      <c r="E4890" t="s">
        <v>17454</v>
      </c>
      <c r="F4890" t="s">
        <v>22436</v>
      </c>
      <c r="G4890" t="s">
        <v>22444</v>
      </c>
      <c r="H4890" t="s">
        <v>22452</v>
      </c>
      <c r="I4890" t="s">
        <v>22570</v>
      </c>
      <c r="J4890" t="s">
        <v>25796</v>
      </c>
      <c r="K4890" t="s">
        <v>29331</v>
      </c>
      <c r="M4890" t="s">
        <v>31336</v>
      </c>
      <c r="N4890" t="s">
        <v>32524</v>
      </c>
      <c r="O4890" t="s">
        <v>32525</v>
      </c>
      <c r="P4890">
        <v>0</v>
      </c>
      <c r="Q4890">
        <v>2</v>
      </c>
      <c r="R4890" t="s">
        <v>32531</v>
      </c>
      <c r="S4890" t="s">
        <v>32586</v>
      </c>
      <c r="T4890" t="s">
        <v>33197</v>
      </c>
      <c r="U4890" t="s">
        <v>37671</v>
      </c>
      <c r="W4890" t="s">
        <v>31336</v>
      </c>
      <c r="X4890" t="s">
        <v>32532</v>
      </c>
    </row>
    <row r="4891" spans="1:24">
      <c r="A4891">
        <f>HYPERLINK("https://www.philgeps.gov.ph/GEPSNONPILOT/Tender/SplashBidNoticeAbstractUI.aspx?menuIndex=3&amp;refID=7038791&amp;Result=3","7038791")</f>
        <v>0</v>
      </c>
      <c r="B4891" t="s">
        <v>1654</v>
      </c>
      <c r="C4891" t="s">
        <v>7356</v>
      </c>
      <c r="D4891" t="s">
        <v>13031</v>
      </c>
      <c r="E4891" t="s">
        <v>17455</v>
      </c>
      <c r="F4891" t="s">
        <v>22436</v>
      </c>
      <c r="G4891" t="s">
        <v>22444</v>
      </c>
      <c r="H4891" t="s">
        <v>22452</v>
      </c>
      <c r="I4891" t="s">
        <v>22467</v>
      </c>
      <c r="J4891" t="s">
        <v>22692</v>
      </c>
      <c r="K4891" t="s">
        <v>29333</v>
      </c>
      <c r="L4891" t="s">
        <v>1654</v>
      </c>
      <c r="M4891" t="s">
        <v>31351</v>
      </c>
      <c r="N4891" t="s">
        <v>32524</v>
      </c>
      <c r="O4891" t="s">
        <v>32525</v>
      </c>
      <c r="P4891">
        <v>0</v>
      </c>
      <c r="Q4891">
        <v>0</v>
      </c>
      <c r="R4891" t="s">
        <v>32531</v>
      </c>
      <c r="S4891" t="s">
        <v>32586</v>
      </c>
      <c r="T4891" t="s">
        <v>33474</v>
      </c>
      <c r="U4891" t="s">
        <v>37740</v>
      </c>
      <c r="W4891" t="s">
        <v>31351</v>
      </c>
      <c r="X4891" t="s">
        <v>32532</v>
      </c>
    </row>
    <row r="4892" spans="1:24">
      <c r="A4892">
        <f>HYPERLINK("https://www.philgeps.gov.ph/GEPSNONPILOT/Tender/SplashBidNoticeAbstractUI.aspx?menuIndex=3&amp;refID=7038785&amp;Result=3","7038785")</f>
        <v>0</v>
      </c>
      <c r="B4892" t="s">
        <v>58</v>
      </c>
      <c r="C4892" t="s">
        <v>7357</v>
      </c>
      <c r="D4892" t="s">
        <v>13014</v>
      </c>
      <c r="E4892" t="s">
        <v>17456</v>
      </c>
      <c r="F4892" t="s">
        <v>22436</v>
      </c>
      <c r="G4892" t="s">
        <v>22444</v>
      </c>
      <c r="H4892" t="s">
        <v>22452</v>
      </c>
      <c r="I4892" t="s">
        <v>22502</v>
      </c>
      <c r="J4892" t="s">
        <v>22585</v>
      </c>
      <c r="K4892" t="s">
        <v>29336</v>
      </c>
      <c r="M4892" t="s">
        <v>30609</v>
      </c>
      <c r="N4892" t="s">
        <v>32524</v>
      </c>
      <c r="O4892" t="s">
        <v>32525</v>
      </c>
      <c r="P4892">
        <v>0</v>
      </c>
      <c r="Q4892">
        <v>8</v>
      </c>
      <c r="R4892" t="s">
        <v>32531</v>
      </c>
      <c r="S4892" t="s">
        <v>32586</v>
      </c>
      <c r="T4892" t="s">
        <v>33229</v>
      </c>
      <c r="U4892" t="s">
        <v>37741</v>
      </c>
      <c r="W4892" t="s">
        <v>30609</v>
      </c>
      <c r="X4892" t="s">
        <v>32532</v>
      </c>
    </row>
    <row r="4893" spans="1:24">
      <c r="A4893">
        <f>HYPERLINK("https://www.philgeps.gov.ph/GEPSNONPILOT/Tender/SplashBidNoticeAbstractUI.aspx?menuIndex=3&amp;refID=7038784&amp;Result=3","7038784")</f>
        <v>0</v>
      </c>
      <c r="B4893" t="s">
        <v>267</v>
      </c>
      <c r="C4893" t="s">
        <v>7358</v>
      </c>
      <c r="D4893" t="s">
        <v>13032</v>
      </c>
      <c r="E4893" t="s">
        <v>17457</v>
      </c>
      <c r="F4893" t="s">
        <v>22436</v>
      </c>
      <c r="G4893" t="s">
        <v>22444</v>
      </c>
      <c r="H4893" t="s">
        <v>22452</v>
      </c>
      <c r="I4893" t="s">
        <v>22466</v>
      </c>
      <c r="J4893" t="s">
        <v>22806</v>
      </c>
      <c r="K4893" t="s">
        <v>29338</v>
      </c>
      <c r="M4893" t="s">
        <v>29841</v>
      </c>
      <c r="N4893" t="s">
        <v>32524</v>
      </c>
      <c r="O4893" t="s">
        <v>32525</v>
      </c>
      <c r="P4893">
        <v>0</v>
      </c>
      <c r="Q4893">
        <v>8</v>
      </c>
      <c r="R4893" t="s">
        <v>32531</v>
      </c>
      <c r="S4893" t="s">
        <v>32586</v>
      </c>
      <c r="T4893" t="s">
        <v>33213</v>
      </c>
      <c r="U4893" t="s">
        <v>37742</v>
      </c>
      <c r="W4893" t="s">
        <v>43690</v>
      </c>
      <c r="X4893" t="s">
        <v>32532</v>
      </c>
    </row>
    <row r="4894" spans="1:24">
      <c r="A4894">
        <f>HYPERLINK("https://www.philgeps.gov.ph/GEPSNONPILOT/Tender/SplashBidNoticeAbstractUI.aspx?menuIndex=3&amp;refID=7038800&amp;Result=3","7038800")</f>
        <v>0</v>
      </c>
      <c r="B4894" t="s">
        <v>75</v>
      </c>
      <c r="C4894" t="s">
        <v>7359</v>
      </c>
      <c r="D4894" t="s">
        <v>13021</v>
      </c>
      <c r="E4894" t="s">
        <v>17458</v>
      </c>
      <c r="F4894" t="s">
        <v>22436</v>
      </c>
      <c r="G4894" t="s">
        <v>22444</v>
      </c>
      <c r="H4894" t="s">
        <v>22452</v>
      </c>
      <c r="I4894" t="s">
        <v>22467</v>
      </c>
      <c r="J4894" t="s">
        <v>25797</v>
      </c>
      <c r="K4894" t="s">
        <v>29335</v>
      </c>
      <c r="M4894" t="s">
        <v>29647</v>
      </c>
      <c r="N4894" t="s">
        <v>32524</v>
      </c>
      <c r="O4894" t="s">
        <v>32525</v>
      </c>
      <c r="P4894">
        <v>0</v>
      </c>
      <c r="Q4894">
        <v>0</v>
      </c>
      <c r="R4894" t="s">
        <v>32531</v>
      </c>
      <c r="S4894" t="s">
        <v>32586</v>
      </c>
      <c r="T4894" t="s">
        <v>33220</v>
      </c>
      <c r="U4894" t="s">
        <v>37743</v>
      </c>
      <c r="W4894" t="s">
        <v>29647</v>
      </c>
      <c r="X4894" t="s">
        <v>32532</v>
      </c>
    </row>
    <row r="4895" spans="1:24">
      <c r="A4895">
        <f>HYPERLINK("https://www.philgeps.gov.ph/GEPSNONPILOT/Tender/SplashBidNoticeAbstractUI.aspx?menuIndex=3&amp;refID=7038786&amp;Result=3","7038786")</f>
        <v>0</v>
      </c>
      <c r="B4895" t="s">
        <v>1657</v>
      </c>
      <c r="C4895" t="s">
        <v>7360</v>
      </c>
      <c r="D4895" t="s">
        <v>13045</v>
      </c>
      <c r="E4895" t="s">
        <v>7360</v>
      </c>
      <c r="F4895" t="s">
        <v>22436</v>
      </c>
      <c r="G4895" t="s">
        <v>22446</v>
      </c>
      <c r="H4895" t="s">
        <v>22452</v>
      </c>
      <c r="I4895" t="s">
        <v>12358</v>
      </c>
      <c r="J4895" t="s">
        <v>25798</v>
      </c>
      <c r="K4895" t="s">
        <v>29336</v>
      </c>
      <c r="M4895" t="s">
        <v>31354</v>
      </c>
      <c r="N4895" t="s">
        <v>32524</v>
      </c>
      <c r="O4895" t="s">
        <v>32525</v>
      </c>
      <c r="P4895">
        <v>0</v>
      </c>
      <c r="Q4895">
        <v>1</v>
      </c>
      <c r="R4895" t="s">
        <v>32531</v>
      </c>
      <c r="S4895" t="s">
        <v>32586</v>
      </c>
      <c r="T4895" t="s">
        <v>33213</v>
      </c>
      <c r="U4895" t="s">
        <v>37744</v>
      </c>
      <c r="V4895" t="s">
        <v>42955</v>
      </c>
      <c r="W4895" t="s">
        <v>31354</v>
      </c>
      <c r="X4895" t="s">
        <v>32532</v>
      </c>
    </row>
    <row r="4896" spans="1:24">
      <c r="A4896">
        <f>HYPERLINK("https://www.philgeps.gov.ph/GEPSNONPILOT/Tender/SplashBidNoticeAbstractUI.aspx?menuIndex=3&amp;refID=7038807&amp;Result=3","7038807")</f>
        <v>0</v>
      </c>
      <c r="B4896" t="s">
        <v>1658</v>
      </c>
      <c r="C4896" t="s">
        <v>7361</v>
      </c>
      <c r="D4896" t="s">
        <v>13004</v>
      </c>
      <c r="E4896" t="s">
        <v>17459</v>
      </c>
      <c r="F4896" t="s">
        <v>22436</v>
      </c>
      <c r="G4896" t="s">
        <v>22444</v>
      </c>
      <c r="H4896" t="s">
        <v>22452</v>
      </c>
      <c r="I4896" t="s">
        <v>6421</v>
      </c>
      <c r="J4896" t="s">
        <v>25799</v>
      </c>
      <c r="K4896" t="s">
        <v>29335</v>
      </c>
      <c r="M4896" t="s">
        <v>31355</v>
      </c>
      <c r="N4896" t="s">
        <v>32524</v>
      </c>
      <c r="O4896" t="s">
        <v>32525</v>
      </c>
      <c r="P4896">
        <v>0</v>
      </c>
      <c r="Q4896">
        <v>2</v>
      </c>
      <c r="R4896" t="s">
        <v>32531</v>
      </c>
      <c r="S4896" t="s">
        <v>32586</v>
      </c>
      <c r="T4896" t="s">
        <v>33475</v>
      </c>
      <c r="U4896" t="s">
        <v>37745</v>
      </c>
      <c r="W4896" t="s">
        <v>31355</v>
      </c>
      <c r="X4896" t="s">
        <v>32532</v>
      </c>
    </row>
    <row r="4897" spans="1:24">
      <c r="A4897">
        <f>HYPERLINK("https://www.philgeps.gov.ph/GEPSNONPILOT/Tender/SplashBidNoticeAbstractUI.aspx?menuIndex=3&amp;refID=7038789&amp;Result=3","7038789")</f>
        <v>0</v>
      </c>
      <c r="B4897" t="s">
        <v>1659</v>
      </c>
      <c r="C4897" t="s">
        <v>7362</v>
      </c>
      <c r="D4897" t="s">
        <v>13040</v>
      </c>
      <c r="E4897" t="s">
        <v>13899</v>
      </c>
      <c r="F4897" t="s">
        <v>22436</v>
      </c>
      <c r="G4897" t="s">
        <v>22443</v>
      </c>
      <c r="H4897" t="s">
        <v>22454</v>
      </c>
      <c r="I4897" t="s">
        <v>22496</v>
      </c>
      <c r="J4897" t="s">
        <v>22692</v>
      </c>
      <c r="K4897" t="s">
        <v>29424</v>
      </c>
      <c r="M4897" t="s">
        <v>31356</v>
      </c>
      <c r="N4897" t="s">
        <v>32524</v>
      </c>
      <c r="O4897" t="s">
        <v>32525</v>
      </c>
      <c r="P4897">
        <v>0</v>
      </c>
      <c r="Q4897">
        <v>0</v>
      </c>
      <c r="R4897" t="s">
        <v>32531</v>
      </c>
      <c r="S4897" t="s">
        <v>32586</v>
      </c>
      <c r="T4897" t="s">
        <v>33367</v>
      </c>
      <c r="U4897" t="s">
        <v>37746</v>
      </c>
      <c r="W4897" t="s">
        <v>31356</v>
      </c>
      <c r="X4897" t="s">
        <v>32532</v>
      </c>
    </row>
    <row r="4898" spans="1:24">
      <c r="A4898">
        <f>HYPERLINK("https://www.philgeps.gov.ph/GEPSNONPILOT/Tender/SplashBidNoticeAbstractUI.aspx?menuIndex=3&amp;refID=7038836&amp;Result=3","7038836")</f>
        <v>0</v>
      </c>
      <c r="B4898" t="s">
        <v>1660</v>
      </c>
      <c r="C4898" t="s">
        <v>4471</v>
      </c>
      <c r="D4898" t="s">
        <v>12990</v>
      </c>
      <c r="E4898" t="s">
        <v>14777</v>
      </c>
      <c r="F4898" t="s">
        <v>22436</v>
      </c>
      <c r="G4898" t="s">
        <v>22444</v>
      </c>
      <c r="H4898" t="s">
        <v>22452</v>
      </c>
      <c r="I4898" t="s">
        <v>2981</v>
      </c>
      <c r="J4898" t="s">
        <v>25800</v>
      </c>
      <c r="K4898" t="s">
        <v>29338</v>
      </c>
      <c r="M4898" t="s">
        <v>31357</v>
      </c>
      <c r="N4898" t="s">
        <v>32524</v>
      </c>
      <c r="O4898" t="s">
        <v>32525</v>
      </c>
      <c r="P4898">
        <v>0</v>
      </c>
      <c r="Q4898">
        <v>0</v>
      </c>
      <c r="R4898" t="s">
        <v>32531</v>
      </c>
      <c r="S4898" t="s">
        <v>32586</v>
      </c>
      <c r="T4898" t="s">
        <v>33210</v>
      </c>
      <c r="U4898" t="s">
        <v>37747</v>
      </c>
      <c r="W4898" t="s">
        <v>31357</v>
      </c>
      <c r="X4898" t="s">
        <v>32532</v>
      </c>
    </row>
    <row r="4899" spans="1:24">
      <c r="A4899">
        <f>HYPERLINK("https://www.philgeps.gov.ph/GEPSNONPILOT/Tender/SplashBidNoticeAbstractUI.aspx?menuIndex=3&amp;refID=7038794&amp;Result=3","7038794")</f>
        <v>0</v>
      </c>
      <c r="B4899" t="s">
        <v>1661</v>
      </c>
      <c r="C4899" t="s">
        <v>7363</v>
      </c>
      <c r="D4899" t="s">
        <v>13053</v>
      </c>
      <c r="E4899" t="s">
        <v>17460</v>
      </c>
      <c r="F4899" t="s">
        <v>22436</v>
      </c>
      <c r="G4899" t="s">
        <v>22446</v>
      </c>
      <c r="H4899" t="s">
        <v>22452</v>
      </c>
      <c r="I4899" t="s">
        <v>22465</v>
      </c>
      <c r="J4899" t="s">
        <v>22924</v>
      </c>
      <c r="K4899" t="s">
        <v>29335</v>
      </c>
      <c r="M4899" t="s">
        <v>31358</v>
      </c>
      <c r="N4899" t="s">
        <v>32524</v>
      </c>
      <c r="O4899" t="s">
        <v>32525</v>
      </c>
      <c r="P4899">
        <v>0</v>
      </c>
      <c r="Q4899">
        <v>0</v>
      </c>
      <c r="R4899" t="s">
        <v>32531</v>
      </c>
      <c r="S4899" t="s">
        <v>32586</v>
      </c>
      <c r="T4899" t="s">
        <v>33213</v>
      </c>
      <c r="U4899" t="s">
        <v>37748</v>
      </c>
      <c r="W4899" t="s">
        <v>31358</v>
      </c>
      <c r="X4899" t="s">
        <v>32532</v>
      </c>
    </row>
    <row r="4900" spans="1:24">
      <c r="A4900">
        <f>HYPERLINK("https://www.philgeps.gov.ph/GEPSNONPILOT/Tender/SplashBidNoticeAbstractUI.aspx?menuIndex=3&amp;refID=7038834&amp;Result=3","7038834")</f>
        <v>0</v>
      </c>
      <c r="B4900" t="s">
        <v>267</v>
      </c>
      <c r="C4900" t="s">
        <v>7364</v>
      </c>
      <c r="D4900" t="s">
        <v>13032</v>
      </c>
      <c r="E4900" t="s">
        <v>17461</v>
      </c>
      <c r="F4900" t="s">
        <v>22436</v>
      </c>
      <c r="G4900" t="s">
        <v>22444</v>
      </c>
      <c r="H4900" t="s">
        <v>22452</v>
      </c>
      <c r="I4900" t="s">
        <v>22482</v>
      </c>
      <c r="J4900" t="s">
        <v>25801</v>
      </c>
      <c r="K4900" t="s">
        <v>29338</v>
      </c>
      <c r="M4900" t="s">
        <v>29841</v>
      </c>
      <c r="N4900" t="s">
        <v>32524</v>
      </c>
      <c r="O4900" t="s">
        <v>32525</v>
      </c>
      <c r="P4900">
        <v>0</v>
      </c>
      <c r="Q4900">
        <v>1</v>
      </c>
      <c r="R4900" t="s">
        <v>32531</v>
      </c>
      <c r="S4900" t="s">
        <v>32586</v>
      </c>
      <c r="T4900" t="s">
        <v>33213</v>
      </c>
      <c r="U4900" t="s">
        <v>37749</v>
      </c>
      <c r="W4900" t="s">
        <v>43690</v>
      </c>
      <c r="X4900" t="s">
        <v>32532</v>
      </c>
    </row>
    <row r="4901" spans="1:24">
      <c r="A4901">
        <f>HYPERLINK("https://www.philgeps.gov.ph/GEPSNONPILOT/Tender/SplashBidNoticeAbstractUI.aspx?menuIndex=3&amp;refID=7038802&amp;Result=3","7038802")</f>
        <v>0</v>
      </c>
      <c r="B4901" t="s">
        <v>1108</v>
      </c>
      <c r="C4901" t="s">
        <v>7365</v>
      </c>
      <c r="D4901" t="s">
        <v>13061</v>
      </c>
      <c r="E4901" t="s">
        <v>17462</v>
      </c>
      <c r="F4901" t="s">
        <v>22436</v>
      </c>
      <c r="G4901" t="s">
        <v>22444</v>
      </c>
      <c r="H4901" t="s">
        <v>22454</v>
      </c>
      <c r="I4901" t="s">
        <v>7738</v>
      </c>
      <c r="J4901" t="s">
        <v>25802</v>
      </c>
      <c r="K4901" t="s">
        <v>29388</v>
      </c>
      <c r="M4901" t="s">
        <v>31316</v>
      </c>
      <c r="N4901" t="s">
        <v>32524</v>
      </c>
      <c r="O4901" t="s">
        <v>32525</v>
      </c>
      <c r="P4901">
        <v>0</v>
      </c>
      <c r="Q4901">
        <v>0</v>
      </c>
      <c r="R4901" t="s">
        <v>32531</v>
      </c>
      <c r="S4901" t="s">
        <v>32586</v>
      </c>
      <c r="T4901" t="s">
        <v>33434</v>
      </c>
      <c r="U4901" t="s">
        <v>37750</v>
      </c>
      <c r="W4901" t="s">
        <v>31316</v>
      </c>
      <c r="X4901" t="s">
        <v>32532</v>
      </c>
    </row>
    <row r="4902" spans="1:24">
      <c r="A4902">
        <f>HYPERLINK("https://www.philgeps.gov.ph/GEPSNONPILOT/Tender/SplashBidNoticeAbstractUI.aspx?menuIndex=3&amp;refID=7038831&amp;Result=3","7038831")</f>
        <v>0</v>
      </c>
      <c r="B4902" t="s">
        <v>1645</v>
      </c>
      <c r="C4902" t="s">
        <v>7366</v>
      </c>
      <c r="D4902" t="s">
        <v>12992</v>
      </c>
      <c r="E4902" t="s">
        <v>17463</v>
      </c>
      <c r="F4902" t="s">
        <v>22436</v>
      </c>
      <c r="G4902" t="s">
        <v>22444</v>
      </c>
      <c r="H4902" t="s">
        <v>22452</v>
      </c>
      <c r="I4902" t="s">
        <v>22495</v>
      </c>
      <c r="J4902" t="s">
        <v>24356</v>
      </c>
      <c r="K4902" t="s">
        <v>29341</v>
      </c>
      <c r="M4902" t="s">
        <v>31338</v>
      </c>
      <c r="N4902" t="s">
        <v>32524</v>
      </c>
      <c r="O4902" t="s">
        <v>32525</v>
      </c>
      <c r="P4902">
        <v>0</v>
      </c>
      <c r="Q4902">
        <v>0</v>
      </c>
      <c r="R4902" t="s">
        <v>32531</v>
      </c>
      <c r="S4902" t="s">
        <v>32586</v>
      </c>
      <c r="T4902" t="s">
        <v>33476</v>
      </c>
      <c r="U4902" t="s">
        <v>37751</v>
      </c>
      <c r="W4902" t="s">
        <v>31338</v>
      </c>
      <c r="X4902" t="s">
        <v>32532</v>
      </c>
    </row>
    <row r="4903" spans="1:24">
      <c r="A4903">
        <f>HYPERLINK("https://www.philgeps.gov.ph/GEPSNONPILOT/Tender/SplashBidNoticeAbstractUI.aspx?menuIndex=3&amp;refID=7038830&amp;Result=3","7038830")</f>
        <v>0</v>
      </c>
      <c r="B4903" t="s">
        <v>332</v>
      </c>
      <c r="C4903" t="s">
        <v>7367</v>
      </c>
      <c r="D4903" t="s">
        <v>13013</v>
      </c>
      <c r="E4903" t="s">
        <v>17464</v>
      </c>
      <c r="F4903" t="s">
        <v>22436</v>
      </c>
      <c r="G4903" t="s">
        <v>22443</v>
      </c>
      <c r="H4903" t="s">
        <v>22452</v>
      </c>
      <c r="I4903" t="s">
        <v>11896</v>
      </c>
      <c r="J4903" t="s">
        <v>25803</v>
      </c>
      <c r="K4903" t="s">
        <v>29334</v>
      </c>
      <c r="M4903" t="s">
        <v>29908</v>
      </c>
      <c r="N4903" t="s">
        <v>32524</v>
      </c>
      <c r="O4903" t="s">
        <v>32525</v>
      </c>
      <c r="P4903">
        <v>0</v>
      </c>
      <c r="Q4903">
        <v>3</v>
      </c>
      <c r="R4903" t="s">
        <v>32531</v>
      </c>
      <c r="S4903" t="s">
        <v>32586</v>
      </c>
      <c r="T4903" t="s">
        <v>33185</v>
      </c>
      <c r="U4903" t="s">
        <v>37752</v>
      </c>
      <c r="W4903" t="s">
        <v>43678</v>
      </c>
      <c r="X4903" t="s">
        <v>32532</v>
      </c>
    </row>
    <row r="4904" spans="1:24">
      <c r="A4904">
        <f>HYPERLINK("https://www.philgeps.gov.ph/GEPSNONPILOT/Tender/SplashBidNoticeAbstractUI.aspx?menuIndex=3&amp;refID=7038801&amp;Result=3","7038801")</f>
        <v>0</v>
      </c>
      <c r="B4904" t="s">
        <v>1653</v>
      </c>
      <c r="C4904" t="s">
        <v>7368</v>
      </c>
      <c r="D4904" t="s">
        <v>13007</v>
      </c>
      <c r="E4904" t="s">
        <v>13873</v>
      </c>
      <c r="F4904" t="s">
        <v>22436</v>
      </c>
      <c r="G4904" t="s">
        <v>22444</v>
      </c>
      <c r="H4904" t="s">
        <v>22452</v>
      </c>
      <c r="I4904" t="s">
        <v>3529</v>
      </c>
      <c r="J4904" t="s">
        <v>25804</v>
      </c>
      <c r="K4904" t="s">
        <v>29341</v>
      </c>
      <c r="M4904" t="s">
        <v>31350</v>
      </c>
      <c r="N4904" t="s">
        <v>32524</v>
      </c>
      <c r="O4904" t="s">
        <v>32525</v>
      </c>
      <c r="P4904">
        <v>0</v>
      </c>
      <c r="Q4904">
        <v>1</v>
      </c>
      <c r="R4904" t="s">
        <v>32531</v>
      </c>
      <c r="S4904" t="s">
        <v>32586</v>
      </c>
      <c r="T4904" t="s">
        <v>33218</v>
      </c>
      <c r="U4904" t="s">
        <v>37753</v>
      </c>
      <c r="W4904" t="s">
        <v>31350</v>
      </c>
      <c r="X4904" t="s">
        <v>32532</v>
      </c>
    </row>
    <row r="4905" spans="1:24">
      <c r="A4905">
        <f>HYPERLINK("https://www.philgeps.gov.ph/GEPSNONPILOT/Tender/SplashBidNoticeAbstractUI.aspx?menuIndex=3&amp;refID=7038796&amp;Result=3","7038796")</f>
        <v>0</v>
      </c>
      <c r="B4905" t="s">
        <v>267</v>
      </c>
      <c r="C4905" t="s">
        <v>7369</v>
      </c>
      <c r="D4905" t="s">
        <v>13032</v>
      </c>
      <c r="E4905" t="s">
        <v>17465</v>
      </c>
      <c r="F4905" t="s">
        <v>22436</v>
      </c>
      <c r="G4905" t="s">
        <v>22444</v>
      </c>
      <c r="H4905" t="s">
        <v>22452</v>
      </c>
      <c r="I4905" t="s">
        <v>22474</v>
      </c>
      <c r="J4905" t="s">
        <v>25151</v>
      </c>
      <c r="K4905" t="s">
        <v>29338</v>
      </c>
      <c r="M4905" t="s">
        <v>29841</v>
      </c>
      <c r="N4905" t="s">
        <v>32524</v>
      </c>
      <c r="O4905" t="s">
        <v>32525</v>
      </c>
      <c r="P4905">
        <v>0</v>
      </c>
      <c r="Q4905">
        <v>1</v>
      </c>
      <c r="R4905" t="s">
        <v>32531</v>
      </c>
      <c r="S4905" t="s">
        <v>32586</v>
      </c>
      <c r="T4905" t="s">
        <v>33213</v>
      </c>
      <c r="U4905" t="s">
        <v>37754</v>
      </c>
      <c r="W4905" t="s">
        <v>43690</v>
      </c>
      <c r="X4905" t="s">
        <v>32532</v>
      </c>
    </row>
    <row r="4906" spans="1:24">
      <c r="A4906">
        <f>HYPERLINK("https://www.philgeps.gov.ph/GEPSNONPILOT/Tender/SplashBidNoticeAbstractUI.aspx?menuIndex=3&amp;refID=7038835&amp;Result=3","7038835")</f>
        <v>0</v>
      </c>
      <c r="B4906" t="s">
        <v>1662</v>
      </c>
      <c r="C4906" t="s">
        <v>7370</v>
      </c>
      <c r="E4906" t="s">
        <v>17466</v>
      </c>
      <c r="F4906" t="s">
        <v>22436</v>
      </c>
      <c r="G4906" t="s">
        <v>22444</v>
      </c>
      <c r="H4906" t="s">
        <v>22452</v>
      </c>
      <c r="I4906" t="s">
        <v>3529</v>
      </c>
      <c r="J4906" t="s">
        <v>25805</v>
      </c>
      <c r="K4906" t="s">
        <v>29338</v>
      </c>
      <c r="M4906" t="s">
        <v>31359</v>
      </c>
      <c r="N4906" t="s">
        <v>32524</v>
      </c>
      <c r="O4906" t="s">
        <v>32525</v>
      </c>
      <c r="P4906">
        <v>0</v>
      </c>
      <c r="Q4906">
        <v>0</v>
      </c>
      <c r="R4906" t="s">
        <v>32531</v>
      </c>
      <c r="S4906" t="s">
        <v>32586</v>
      </c>
      <c r="T4906" t="s">
        <v>33154</v>
      </c>
      <c r="U4906" t="s">
        <v>37755</v>
      </c>
      <c r="W4906" t="s">
        <v>43729</v>
      </c>
      <c r="X4906" t="s">
        <v>32532</v>
      </c>
    </row>
    <row r="4907" spans="1:24">
      <c r="A4907">
        <f>HYPERLINK("https://www.philgeps.gov.ph/GEPSNONPILOT/Tender/SplashBidNoticeAbstractUI.aspx?menuIndex=3&amp;refID=7038825&amp;Result=3","7038825")</f>
        <v>0</v>
      </c>
      <c r="B4907" t="s">
        <v>1656</v>
      </c>
      <c r="C4907" t="s">
        <v>7371</v>
      </c>
      <c r="D4907" t="s">
        <v>12995</v>
      </c>
      <c r="E4907" t="s">
        <v>17467</v>
      </c>
      <c r="F4907" t="s">
        <v>22436</v>
      </c>
      <c r="G4907" t="s">
        <v>22444</v>
      </c>
      <c r="H4907" t="s">
        <v>22452</v>
      </c>
      <c r="I4907" t="s">
        <v>22512</v>
      </c>
      <c r="J4907" t="s">
        <v>25806</v>
      </c>
      <c r="K4907" t="s">
        <v>29331</v>
      </c>
      <c r="M4907" t="s">
        <v>31353</v>
      </c>
      <c r="N4907" t="s">
        <v>32524</v>
      </c>
      <c r="O4907" t="s">
        <v>32525</v>
      </c>
      <c r="P4907">
        <v>0</v>
      </c>
      <c r="Q4907">
        <v>0</v>
      </c>
      <c r="R4907" t="s">
        <v>32531</v>
      </c>
      <c r="S4907" t="s">
        <v>32586</v>
      </c>
      <c r="T4907" t="s">
        <v>33213</v>
      </c>
      <c r="U4907" t="s">
        <v>37756</v>
      </c>
      <c r="W4907" t="s">
        <v>31353</v>
      </c>
      <c r="X4907" t="s">
        <v>32532</v>
      </c>
    </row>
    <row r="4908" spans="1:24">
      <c r="A4908">
        <f>HYPERLINK("https://www.philgeps.gov.ph/GEPSNONPILOT/Tender/SplashBidNoticeAbstractUI.aspx?menuIndex=3&amp;refID=7038821&amp;Result=3","7038821")</f>
        <v>0</v>
      </c>
      <c r="B4908" t="s">
        <v>1653</v>
      </c>
      <c r="C4908" t="s">
        <v>7372</v>
      </c>
      <c r="D4908" t="s">
        <v>13007</v>
      </c>
      <c r="E4908" t="s">
        <v>14226</v>
      </c>
      <c r="F4908" t="s">
        <v>22436</v>
      </c>
      <c r="G4908" t="s">
        <v>22444</v>
      </c>
      <c r="H4908" t="s">
        <v>22452</v>
      </c>
      <c r="I4908" t="s">
        <v>3529</v>
      </c>
      <c r="J4908" t="s">
        <v>22971</v>
      </c>
      <c r="K4908" t="s">
        <v>29341</v>
      </c>
      <c r="M4908" t="s">
        <v>31350</v>
      </c>
      <c r="N4908" t="s">
        <v>32524</v>
      </c>
      <c r="O4908" t="s">
        <v>32525</v>
      </c>
      <c r="P4908">
        <v>0</v>
      </c>
      <c r="Q4908">
        <v>1</v>
      </c>
      <c r="R4908" t="s">
        <v>32531</v>
      </c>
      <c r="S4908" t="s">
        <v>32586</v>
      </c>
      <c r="T4908" t="s">
        <v>33218</v>
      </c>
      <c r="U4908" t="s">
        <v>37757</v>
      </c>
      <c r="W4908" t="s">
        <v>31350</v>
      </c>
      <c r="X4908" t="s">
        <v>32532</v>
      </c>
    </row>
    <row r="4909" spans="1:24">
      <c r="A4909">
        <f>HYPERLINK("https://www.philgeps.gov.ph/GEPSNONPILOT/Tender/SplashBidNoticeAbstractUI.aspx?menuIndex=3&amp;refID=7038808&amp;Result=3","7038808")</f>
        <v>0</v>
      </c>
      <c r="B4909" t="s">
        <v>1644</v>
      </c>
      <c r="C4909" t="s">
        <v>7373</v>
      </c>
      <c r="D4909" t="s">
        <v>13048</v>
      </c>
      <c r="E4909" t="s">
        <v>17468</v>
      </c>
      <c r="F4909" t="s">
        <v>22436</v>
      </c>
      <c r="G4909" t="s">
        <v>22443</v>
      </c>
      <c r="H4909" t="s">
        <v>22452</v>
      </c>
      <c r="I4909" t="s">
        <v>22474</v>
      </c>
      <c r="J4909" t="s">
        <v>22874</v>
      </c>
      <c r="K4909" t="s">
        <v>29335</v>
      </c>
      <c r="M4909" t="s">
        <v>31337</v>
      </c>
      <c r="N4909" t="s">
        <v>32524</v>
      </c>
      <c r="O4909" t="s">
        <v>32525</v>
      </c>
      <c r="P4909">
        <v>0</v>
      </c>
      <c r="Q4909">
        <v>0</v>
      </c>
      <c r="R4909" t="s">
        <v>32531</v>
      </c>
      <c r="S4909" t="s">
        <v>32586</v>
      </c>
      <c r="T4909" t="s">
        <v>33419</v>
      </c>
      <c r="U4909" t="s">
        <v>37758</v>
      </c>
      <c r="W4909" t="s">
        <v>31337</v>
      </c>
      <c r="X4909" t="s">
        <v>32532</v>
      </c>
    </row>
    <row r="4910" spans="1:24">
      <c r="A4910">
        <f>HYPERLINK("https://www.philgeps.gov.ph/GEPSNONPILOT/Tender/SplashBidNoticeAbstractUI.aspx?menuIndex=3&amp;refID=7038820&amp;Result=3","7038820")</f>
        <v>0</v>
      </c>
      <c r="B4910" t="s">
        <v>1108</v>
      </c>
      <c r="C4910" t="s">
        <v>7374</v>
      </c>
      <c r="D4910" t="s">
        <v>13061</v>
      </c>
      <c r="E4910" t="s">
        <v>17469</v>
      </c>
      <c r="F4910" t="s">
        <v>22436</v>
      </c>
      <c r="G4910" t="s">
        <v>22444</v>
      </c>
      <c r="H4910" t="s">
        <v>22454</v>
      </c>
      <c r="I4910" t="s">
        <v>7738</v>
      </c>
      <c r="J4910" t="s">
        <v>25807</v>
      </c>
      <c r="K4910" t="s">
        <v>29344</v>
      </c>
      <c r="M4910" t="s">
        <v>31316</v>
      </c>
      <c r="N4910" t="s">
        <v>32524</v>
      </c>
      <c r="O4910" t="s">
        <v>32525</v>
      </c>
      <c r="P4910">
        <v>0</v>
      </c>
      <c r="Q4910">
        <v>0</v>
      </c>
      <c r="R4910" t="s">
        <v>32531</v>
      </c>
      <c r="S4910" t="s">
        <v>32586</v>
      </c>
      <c r="T4910" t="s">
        <v>33434</v>
      </c>
      <c r="U4910" t="s">
        <v>37759</v>
      </c>
      <c r="W4910" t="s">
        <v>31316</v>
      </c>
      <c r="X4910" t="s">
        <v>32532</v>
      </c>
    </row>
    <row r="4911" spans="1:24">
      <c r="A4911">
        <f>HYPERLINK("https://www.philgeps.gov.ph/GEPSNONPILOT/Tender/SplashBidNoticeAbstractUI.aspx?menuIndex=3&amp;refID=7038819&amp;Result=3","7038819")</f>
        <v>0</v>
      </c>
      <c r="B4911" t="s">
        <v>1663</v>
      </c>
      <c r="C4911" t="s">
        <v>7375</v>
      </c>
      <c r="D4911" t="s">
        <v>12994</v>
      </c>
      <c r="E4911" t="s">
        <v>17470</v>
      </c>
      <c r="F4911" t="s">
        <v>22436</v>
      </c>
      <c r="G4911" t="s">
        <v>22444</v>
      </c>
      <c r="H4911" t="s">
        <v>22452</v>
      </c>
      <c r="I4911" t="s">
        <v>3529</v>
      </c>
      <c r="J4911" t="s">
        <v>25808</v>
      </c>
      <c r="K4911" t="s">
        <v>29357</v>
      </c>
      <c r="M4911" t="s">
        <v>31360</v>
      </c>
      <c r="N4911" t="s">
        <v>32524</v>
      </c>
      <c r="O4911" t="s">
        <v>32525</v>
      </c>
      <c r="P4911">
        <v>0</v>
      </c>
      <c r="Q4911">
        <v>1</v>
      </c>
      <c r="R4911" t="s">
        <v>32531</v>
      </c>
      <c r="S4911" t="s">
        <v>32586</v>
      </c>
      <c r="T4911" t="s">
        <v>33209</v>
      </c>
      <c r="U4911" t="s">
        <v>37760</v>
      </c>
      <c r="W4911" t="s">
        <v>31360</v>
      </c>
      <c r="X4911" t="s">
        <v>32532</v>
      </c>
    </row>
    <row r="4912" spans="1:24">
      <c r="A4912">
        <f>HYPERLINK("https://www.philgeps.gov.ph/GEPSNONPILOT/Tender/SplashBidNoticeAbstractUI.aspx?menuIndex=3&amp;refID=7038809&amp;Result=3","7038809")</f>
        <v>0</v>
      </c>
      <c r="B4912" t="s">
        <v>267</v>
      </c>
      <c r="C4912" t="s">
        <v>7376</v>
      </c>
      <c r="D4912" t="s">
        <v>13032</v>
      </c>
      <c r="E4912" t="s">
        <v>17471</v>
      </c>
      <c r="F4912" t="s">
        <v>22436</v>
      </c>
      <c r="G4912" t="s">
        <v>22444</v>
      </c>
      <c r="H4912" t="s">
        <v>22452</v>
      </c>
      <c r="I4912" t="s">
        <v>3529</v>
      </c>
      <c r="J4912" t="s">
        <v>25809</v>
      </c>
      <c r="K4912" t="s">
        <v>29338</v>
      </c>
      <c r="M4912" t="s">
        <v>29841</v>
      </c>
      <c r="N4912" t="s">
        <v>32524</v>
      </c>
      <c r="O4912" t="s">
        <v>32525</v>
      </c>
      <c r="P4912">
        <v>0</v>
      </c>
      <c r="Q4912">
        <v>0</v>
      </c>
      <c r="R4912" t="s">
        <v>32531</v>
      </c>
      <c r="S4912" t="s">
        <v>32586</v>
      </c>
      <c r="T4912" t="s">
        <v>33213</v>
      </c>
      <c r="U4912" t="s">
        <v>37761</v>
      </c>
      <c r="W4912" t="s">
        <v>43690</v>
      </c>
      <c r="X4912" t="s">
        <v>32532</v>
      </c>
    </row>
    <row r="4913" spans="1:24">
      <c r="A4913">
        <f>HYPERLINK("https://www.philgeps.gov.ph/GEPSNONPILOT/Tender/SplashBidNoticeAbstractUI.aspx?menuIndex=3&amp;refID=7038815&amp;Result=3","7038815")</f>
        <v>0</v>
      </c>
      <c r="B4913" t="s">
        <v>267</v>
      </c>
      <c r="C4913" t="s">
        <v>7377</v>
      </c>
      <c r="D4913" t="s">
        <v>13032</v>
      </c>
      <c r="E4913" t="s">
        <v>17472</v>
      </c>
      <c r="F4913" t="s">
        <v>22436</v>
      </c>
      <c r="G4913" t="s">
        <v>22444</v>
      </c>
      <c r="H4913" t="s">
        <v>22452</v>
      </c>
      <c r="I4913" t="s">
        <v>3529</v>
      </c>
      <c r="J4913" t="s">
        <v>25810</v>
      </c>
      <c r="K4913" t="s">
        <v>29338</v>
      </c>
      <c r="M4913" t="s">
        <v>29841</v>
      </c>
      <c r="N4913" t="s">
        <v>32524</v>
      </c>
      <c r="O4913" t="s">
        <v>32525</v>
      </c>
      <c r="P4913">
        <v>0</v>
      </c>
      <c r="Q4913">
        <v>0</v>
      </c>
      <c r="R4913" t="s">
        <v>32531</v>
      </c>
      <c r="S4913" t="s">
        <v>32586</v>
      </c>
      <c r="T4913" t="s">
        <v>33213</v>
      </c>
      <c r="U4913" t="s">
        <v>37762</v>
      </c>
      <c r="W4913" t="s">
        <v>43690</v>
      </c>
      <c r="X4913" t="s">
        <v>32532</v>
      </c>
    </row>
    <row r="4914" spans="1:24">
      <c r="A4914">
        <f>HYPERLINK("https://www.philgeps.gov.ph/GEPSNONPILOT/Tender/SplashBidNoticeAbstractUI.aspx?menuIndex=3&amp;refID=7038839&amp;Result=3","7038839")</f>
        <v>0</v>
      </c>
      <c r="B4914" t="s">
        <v>1664</v>
      </c>
      <c r="C4914" t="s">
        <v>7378</v>
      </c>
      <c r="D4914" t="s">
        <v>12999</v>
      </c>
      <c r="E4914" t="s">
        <v>17473</v>
      </c>
      <c r="F4914" t="s">
        <v>22436</v>
      </c>
      <c r="G4914" t="s">
        <v>22444</v>
      </c>
      <c r="H4914" t="s">
        <v>22454</v>
      </c>
      <c r="I4914" t="s">
        <v>7738</v>
      </c>
      <c r="J4914" t="s">
        <v>25811</v>
      </c>
      <c r="K4914" t="s">
        <v>29338</v>
      </c>
      <c r="M4914" t="s">
        <v>31361</v>
      </c>
      <c r="N4914" t="s">
        <v>32524</v>
      </c>
      <c r="O4914" t="s">
        <v>32525</v>
      </c>
      <c r="P4914">
        <v>0</v>
      </c>
      <c r="Q4914">
        <v>0</v>
      </c>
      <c r="R4914" t="s">
        <v>32531</v>
      </c>
      <c r="S4914" t="s">
        <v>32586</v>
      </c>
      <c r="T4914" t="s">
        <v>33405</v>
      </c>
      <c r="U4914" t="s">
        <v>37763</v>
      </c>
      <c r="W4914" t="s">
        <v>31361</v>
      </c>
      <c r="X4914" t="s">
        <v>32532</v>
      </c>
    </row>
    <row r="4915" spans="1:24">
      <c r="A4915">
        <f>HYPERLINK("https://www.philgeps.gov.ph/GEPSNONPILOT/Tender/SplashBidNoticeAbstractUI.aspx?menuIndex=3&amp;refID=7038843&amp;Result=3","7038843")</f>
        <v>0</v>
      </c>
      <c r="B4915" t="s">
        <v>1647</v>
      </c>
      <c r="C4915" t="s">
        <v>7379</v>
      </c>
      <c r="D4915" t="s">
        <v>13002</v>
      </c>
      <c r="E4915" t="s">
        <v>17474</v>
      </c>
      <c r="F4915" t="s">
        <v>22436</v>
      </c>
      <c r="G4915" t="s">
        <v>22443</v>
      </c>
      <c r="H4915" t="s">
        <v>22452</v>
      </c>
      <c r="I4915" t="s">
        <v>11896</v>
      </c>
      <c r="J4915" t="s">
        <v>22862</v>
      </c>
      <c r="K4915" t="s">
        <v>29341</v>
      </c>
      <c r="M4915" t="s">
        <v>31340</v>
      </c>
      <c r="N4915" t="s">
        <v>32524</v>
      </c>
      <c r="O4915" t="s">
        <v>32525</v>
      </c>
      <c r="P4915">
        <v>0</v>
      </c>
      <c r="Q4915">
        <v>1</v>
      </c>
      <c r="R4915" t="s">
        <v>32531</v>
      </c>
      <c r="S4915" t="s">
        <v>32586</v>
      </c>
      <c r="T4915" t="s">
        <v>33185</v>
      </c>
      <c r="U4915" t="s">
        <v>37689</v>
      </c>
      <c r="W4915" t="s">
        <v>31340</v>
      </c>
      <c r="X4915" t="s">
        <v>32532</v>
      </c>
    </row>
    <row r="4916" spans="1:24">
      <c r="A4916">
        <f>HYPERLINK("https://www.philgeps.gov.ph/GEPSNONPILOT/Tender/SplashBidNoticeAbstractUI.aspx?menuIndex=3&amp;refID=7038813&amp;Result=3","7038813")</f>
        <v>0</v>
      </c>
      <c r="B4916" t="s">
        <v>1654</v>
      </c>
      <c r="C4916" t="s">
        <v>7380</v>
      </c>
      <c r="D4916" t="s">
        <v>13031</v>
      </c>
      <c r="E4916" t="s">
        <v>17475</v>
      </c>
      <c r="F4916" t="s">
        <v>22436</v>
      </c>
      <c r="G4916" t="s">
        <v>22444</v>
      </c>
      <c r="H4916" t="s">
        <v>22452</v>
      </c>
      <c r="I4916" t="s">
        <v>22467</v>
      </c>
      <c r="J4916" t="s">
        <v>22858</v>
      </c>
      <c r="K4916" t="s">
        <v>29335</v>
      </c>
      <c r="L4916" t="s">
        <v>1654</v>
      </c>
      <c r="M4916" t="s">
        <v>31351</v>
      </c>
      <c r="N4916" t="s">
        <v>32524</v>
      </c>
      <c r="O4916" t="s">
        <v>32525</v>
      </c>
      <c r="P4916">
        <v>0</v>
      </c>
      <c r="Q4916">
        <v>0</v>
      </c>
      <c r="R4916" t="s">
        <v>32531</v>
      </c>
      <c r="S4916" t="s">
        <v>32586</v>
      </c>
      <c r="T4916" t="s">
        <v>33474</v>
      </c>
      <c r="U4916" t="s">
        <v>37764</v>
      </c>
      <c r="W4916" t="s">
        <v>31351</v>
      </c>
      <c r="X4916" t="s">
        <v>32532</v>
      </c>
    </row>
    <row r="4917" spans="1:24">
      <c r="A4917">
        <f>HYPERLINK("https://www.philgeps.gov.ph/GEPSNONPILOT/Tender/SplashBidNoticeAbstractUI.aspx?menuIndex=3&amp;refID=7038841&amp;Result=3","7038841")</f>
        <v>0</v>
      </c>
      <c r="B4917" t="s">
        <v>1108</v>
      </c>
      <c r="C4917" t="s">
        <v>7381</v>
      </c>
      <c r="D4917" t="s">
        <v>13061</v>
      </c>
      <c r="E4917" t="s">
        <v>17476</v>
      </c>
      <c r="F4917" t="s">
        <v>22436</v>
      </c>
      <c r="G4917" t="s">
        <v>22444</v>
      </c>
      <c r="H4917" t="s">
        <v>22454</v>
      </c>
      <c r="I4917" t="s">
        <v>7738</v>
      </c>
      <c r="J4917" t="s">
        <v>25812</v>
      </c>
      <c r="K4917" t="s">
        <v>29344</v>
      </c>
      <c r="M4917" t="s">
        <v>31316</v>
      </c>
      <c r="N4917" t="s">
        <v>32524</v>
      </c>
      <c r="O4917" t="s">
        <v>32525</v>
      </c>
      <c r="P4917">
        <v>0</v>
      </c>
      <c r="Q4917">
        <v>0</v>
      </c>
      <c r="R4917" t="s">
        <v>32531</v>
      </c>
      <c r="S4917" t="s">
        <v>32586</v>
      </c>
      <c r="T4917" t="s">
        <v>33434</v>
      </c>
      <c r="U4917" t="s">
        <v>37765</v>
      </c>
      <c r="W4917" t="s">
        <v>31316</v>
      </c>
      <c r="X4917" t="s">
        <v>32532</v>
      </c>
    </row>
    <row r="4918" spans="1:24">
      <c r="A4918">
        <f>HYPERLINK("https://www.philgeps.gov.ph/GEPSNONPILOT/Tender/SplashBidNoticeAbstractUI.aspx?menuIndex=3&amp;refID=7038817&amp;Result=3","7038817")</f>
        <v>0</v>
      </c>
      <c r="B4918" t="s">
        <v>1647</v>
      </c>
      <c r="C4918" t="s">
        <v>7382</v>
      </c>
      <c r="D4918" t="s">
        <v>13002</v>
      </c>
      <c r="E4918" t="s">
        <v>17477</v>
      </c>
      <c r="F4918" t="s">
        <v>22436</v>
      </c>
      <c r="G4918" t="s">
        <v>22443</v>
      </c>
      <c r="H4918" t="s">
        <v>22452</v>
      </c>
      <c r="I4918" t="s">
        <v>22483</v>
      </c>
      <c r="J4918" t="s">
        <v>22617</v>
      </c>
      <c r="K4918" t="s">
        <v>29341</v>
      </c>
      <c r="M4918" t="s">
        <v>31340</v>
      </c>
      <c r="N4918" t="s">
        <v>32524</v>
      </c>
      <c r="O4918" t="s">
        <v>32525</v>
      </c>
      <c r="P4918">
        <v>0</v>
      </c>
      <c r="Q4918">
        <v>3</v>
      </c>
      <c r="R4918" t="s">
        <v>32531</v>
      </c>
      <c r="S4918" t="s">
        <v>32586</v>
      </c>
      <c r="T4918" t="s">
        <v>33185</v>
      </c>
      <c r="U4918" t="s">
        <v>37689</v>
      </c>
      <c r="W4918" t="s">
        <v>31340</v>
      </c>
      <c r="X4918" t="s">
        <v>32532</v>
      </c>
    </row>
    <row r="4919" spans="1:24">
      <c r="A4919">
        <f>HYPERLINK("https://www.philgeps.gov.ph/GEPSNONPILOT/Tender/SplashBidNoticeAbstractUI.aspx?menuIndex=3&amp;refID=7038871&amp;Result=3","7038871")</f>
        <v>0</v>
      </c>
      <c r="B4919" t="s">
        <v>1653</v>
      </c>
      <c r="C4919" t="s">
        <v>7383</v>
      </c>
      <c r="D4919" t="s">
        <v>13007</v>
      </c>
      <c r="E4919" t="s">
        <v>13326</v>
      </c>
      <c r="F4919" t="s">
        <v>22436</v>
      </c>
      <c r="G4919" t="s">
        <v>22444</v>
      </c>
      <c r="H4919" t="s">
        <v>22452</v>
      </c>
      <c r="I4919" t="s">
        <v>3529</v>
      </c>
      <c r="J4919" t="s">
        <v>25813</v>
      </c>
      <c r="K4919" t="s">
        <v>29341</v>
      </c>
      <c r="M4919" t="s">
        <v>31350</v>
      </c>
      <c r="N4919" t="s">
        <v>32524</v>
      </c>
      <c r="O4919" t="s">
        <v>32525</v>
      </c>
      <c r="P4919">
        <v>0</v>
      </c>
      <c r="Q4919">
        <v>1</v>
      </c>
      <c r="R4919" t="s">
        <v>32531</v>
      </c>
      <c r="S4919" t="s">
        <v>32586</v>
      </c>
      <c r="T4919" t="s">
        <v>33218</v>
      </c>
      <c r="U4919" t="s">
        <v>37766</v>
      </c>
      <c r="W4919" t="s">
        <v>31350</v>
      </c>
      <c r="X4919" t="s">
        <v>32532</v>
      </c>
    </row>
    <row r="4920" spans="1:24">
      <c r="A4920">
        <f>HYPERLINK("https://www.philgeps.gov.ph/GEPSNONPILOT/Tender/SplashBidNoticeAbstractUI.aspx?menuIndex=3&amp;refID=7038855&amp;Result=3","7038855")</f>
        <v>0</v>
      </c>
      <c r="B4920" t="s">
        <v>1665</v>
      </c>
      <c r="C4920" t="s">
        <v>7384</v>
      </c>
      <c r="D4920" t="s">
        <v>13020</v>
      </c>
      <c r="E4920" t="s">
        <v>17478</v>
      </c>
      <c r="F4920" t="s">
        <v>22436</v>
      </c>
      <c r="G4920" t="s">
        <v>22444</v>
      </c>
      <c r="H4920" t="s">
        <v>22454</v>
      </c>
      <c r="I4920" t="s">
        <v>7738</v>
      </c>
      <c r="J4920" t="s">
        <v>22806</v>
      </c>
      <c r="K4920" t="s">
        <v>29333</v>
      </c>
      <c r="M4920" t="s">
        <v>31362</v>
      </c>
      <c r="N4920" t="s">
        <v>32524</v>
      </c>
      <c r="O4920" t="s">
        <v>32525</v>
      </c>
      <c r="P4920">
        <v>0</v>
      </c>
      <c r="Q4920">
        <v>5</v>
      </c>
      <c r="R4920" t="s">
        <v>32531</v>
      </c>
      <c r="S4920" t="s">
        <v>32586</v>
      </c>
      <c r="T4920" t="s">
        <v>33297</v>
      </c>
      <c r="U4920" t="s">
        <v>37767</v>
      </c>
      <c r="W4920" t="s">
        <v>31362</v>
      </c>
      <c r="X4920" t="s">
        <v>32532</v>
      </c>
    </row>
    <row r="4921" spans="1:24">
      <c r="A4921">
        <f>HYPERLINK("https://www.philgeps.gov.ph/GEPSNONPILOT/Tender/SplashBidNoticeAbstractUI.aspx?menuIndex=3&amp;refID=7038868&amp;Result=3","7038868")</f>
        <v>0</v>
      </c>
      <c r="B4921" t="s">
        <v>1666</v>
      </c>
      <c r="C4921" t="s">
        <v>7385</v>
      </c>
      <c r="D4921" t="s">
        <v>12990</v>
      </c>
      <c r="E4921" t="s">
        <v>14777</v>
      </c>
      <c r="F4921" t="s">
        <v>22436</v>
      </c>
      <c r="G4921" t="s">
        <v>22444</v>
      </c>
      <c r="H4921" t="s">
        <v>22452</v>
      </c>
      <c r="I4921" t="s">
        <v>2981</v>
      </c>
      <c r="J4921" t="s">
        <v>25814</v>
      </c>
      <c r="K4921" t="s">
        <v>29338</v>
      </c>
      <c r="M4921" t="s">
        <v>31363</v>
      </c>
      <c r="N4921" t="s">
        <v>32524</v>
      </c>
      <c r="O4921" t="s">
        <v>32525</v>
      </c>
      <c r="P4921">
        <v>0</v>
      </c>
      <c r="Q4921">
        <v>1</v>
      </c>
      <c r="R4921" t="s">
        <v>32531</v>
      </c>
      <c r="S4921" t="s">
        <v>32586</v>
      </c>
      <c r="T4921" t="s">
        <v>33197</v>
      </c>
      <c r="U4921" t="s">
        <v>37768</v>
      </c>
      <c r="W4921" t="s">
        <v>31363</v>
      </c>
      <c r="X4921" t="s">
        <v>32532</v>
      </c>
    </row>
    <row r="4922" spans="1:24">
      <c r="A4922">
        <f>HYPERLINK("https://www.philgeps.gov.ph/GEPSNONPILOT/Tender/SplashBidNoticeAbstractUI.aspx?menuIndex=3&amp;refID=7038859&amp;Result=3","7038859")</f>
        <v>0</v>
      </c>
      <c r="B4922" t="s">
        <v>128</v>
      </c>
      <c r="C4922" t="s">
        <v>7386</v>
      </c>
      <c r="D4922" t="s">
        <v>13025</v>
      </c>
      <c r="E4922" t="s">
        <v>17479</v>
      </c>
      <c r="F4922" t="s">
        <v>22436</v>
      </c>
      <c r="G4922" t="s">
        <v>22444</v>
      </c>
      <c r="H4922" t="s">
        <v>22452</v>
      </c>
      <c r="I4922" t="s">
        <v>3529</v>
      </c>
      <c r="J4922" t="s">
        <v>25815</v>
      </c>
      <c r="K4922" t="s">
        <v>29331</v>
      </c>
      <c r="M4922" t="s">
        <v>29700</v>
      </c>
      <c r="N4922" t="s">
        <v>32524</v>
      </c>
      <c r="O4922" t="s">
        <v>32525</v>
      </c>
      <c r="P4922">
        <v>0</v>
      </c>
      <c r="Q4922">
        <v>0</v>
      </c>
      <c r="R4922" t="s">
        <v>32531</v>
      </c>
      <c r="S4922" t="s">
        <v>32586</v>
      </c>
      <c r="T4922" t="s">
        <v>33220</v>
      </c>
      <c r="U4922" t="s">
        <v>37769</v>
      </c>
      <c r="W4922" t="s">
        <v>29700</v>
      </c>
      <c r="X4922" t="s">
        <v>32532</v>
      </c>
    </row>
    <row r="4923" spans="1:24">
      <c r="A4923">
        <f>HYPERLINK("https://www.philgeps.gov.ph/GEPSNONPILOT/Tender/SplashBidNoticeAbstractUI.aspx?menuIndex=3&amp;refID=7038852&amp;Result=3","7038852")</f>
        <v>0</v>
      </c>
      <c r="B4923" t="s">
        <v>1667</v>
      </c>
      <c r="C4923" t="s">
        <v>7387</v>
      </c>
      <c r="D4923" t="s">
        <v>13029</v>
      </c>
      <c r="E4923" t="s">
        <v>17480</v>
      </c>
      <c r="F4923" t="s">
        <v>22436</v>
      </c>
      <c r="G4923" t="s">
        <v>22443</v>
      </c>
      <c r="H4923" t="s">
        <v>22452</v>
      </c>
      <c r="I4923" t="s">
        <v>22546</v>
      </c>
      <c r="J4923" t="s">
        <v>25816</v>
      </c>
      <c r="K4923" t="s">
        <v>29335</v>
      </c>
      <c r="M4923" t="s">
        <v>31364</v>
      </c>
      <c r="N4923" t="s">
        <v>32524</v>
      </c>
      <c r="O4923" t="s">
        <v>32525</v>
      </c>
      <c r="P4923">
        <v>0</v>
      </c>
      <c r="Q4923">
        <v>3</v>
      </c>
      <c r="R4923" t="s">
        <v>32531</v>
      </c>
      <c r="S4923" t="s">
        <v>32586</v>
      </c>
      <c r="T4923" t="s">
        <v>33371</v>
      </c>
      <c r="U4923" t="s">
        <v>37770</v>
      </c>
      <c r="W4923" t="s">
        <v>31364</v>
      </c>
      <c r="X4923" t="s">
        <v>32532</v>
      </c>
    </row>
    <row r="4924" spans="1:24">
      <c r="A4924">
        <f>HYPERLINK("https://www.philgeps.gov.ph/GEPSNONPILOT/Tender/SplashBidNoticeAbstractUI.aspx?menuIndex=3&amp;refID=7038849&amp;Result=3","7038849")</f>
        <v>0</v>
      </c>
      <c r="B4924" t="s">
        <v>1654</v>
      </c>
      <c r="C4924" t="s">
        <v>7388</v>
      </c>
      <c r="D4924" t="s">
        <v>13031</v>
      </c>
      <c r="E4924" t="s">
        <v>17481</v>
      </c>
      <c r="F4924" t="s">
        <v>22436</v>
      </c>
      <c r="G4924" t="s">
        <v>22444</v>
      </c>
      <c r="H4924" t="s">
        <v>22452</v>
      </c>
      <c r="I4924" t="s">
        <v>22467</v>
      </c>
      <c r="J4924" t="s">
        <v>22657</v>
      </c>
      <c r="K4924" t="s">
        <v>29335</v>
      </c>
      <c r="L4924" t="s">
        <v>1654</v>
      </c>
      <c r="M4924" t="s">
        <v>31351</v>
      </c>
      <c r="N4924" t="s">
        <v>32524</v>
      </c>
      <c r="O4924" t="s">
        <v>32525</v>
      </c>
      <c r="P4924">
        <v>0</v>
      </c>
      <c r="Q4924">
        <v>0</v>
      </c>
      <c r="R4924" t="s">
        <v>32531</v>
      </c>
      <c r="S4924" t="s">
        <v>32586</v>
      </c>
      <c r="T4924" t="s">
        <v>33474</v>
      </c>
      <c r="U4924" t="s">
        <v>37771</v>
      </c>
      <c r="W4924" t="s">
        <v>31351</v>
      </c>
      <c r="X4924" t="s">
        <v>32532</v>
      </c>
    </row>
    <row r="4925" spans="1:24">
      <c r="A4925">
        <f>HYPERLINK("https://www.philgeps.gov.ph/GEPSNONPILOT/Tender/SplashBidNoticeAbstractUI.aspx?menuIndex=3&amp;refID=7038845&amp;Result=3","7038845")</f>
        <v>0</v>
      </c>
      <c r="B4925" t="s">
        <v>267</v>
      </c>
      <c r="C4925" t="s">
        <v>7389</v>
      </c>
      <c r="D4925" t="s">
        <v>13032</v>
      </c>
      <c r="E4925" t="s">
        <v>17482</v>
      </c>
      <c r="F4925" t="s">
        <v>22436</v>
      </c>
      <c r="G4925" t="s">
        <v>22444</v>
      </c>
      <c r="H4925" t="s">
        <v>22452</v>
      </c>
      <c r="I4925" t="s">
        <v>6421</v>
      </c>
      <c r="J4925" t="s">
        <v>25817</v>
      </c>
      <c r="K4925" t="s">
        <v>29338</v>
      </c>
      <c r="M4925" t="s">
        <v>29841</v>
      </c>
      <c r="N4925" t="s">
        <v>32524</v>
      </c>
      <c r="O4925" t="s">
        <v>32525</v>
      </c>
      <c r="P4925">
        <v>0</v>
      </c>
      <c r="Q4925">
        <v>2</v>
      </c>
      <c r="R4925" t="s">
        <v>32531</v>
      </c>
      <c r="S4925" t="s">
        <v>32586</v>
      </c>
      <c r="T4925" t="s">
        <v>33213</v>
      </c>
      <c r="U4925" t="s">
        <v>37772</v>
      </c>
      <c r="W4925" t="s">
        <v>43690</v>
      </c>
      <c r="X4925" t="s">
        <v>32532</v>
      </c>
    </row>
    <row r="4926" spans="1:24">
      <c r="A4926">
        <f>HYPERLINK("https://www.philgeps.gov.ph/GEPSNONPILOT/Tender/SplashBidNoticeAbstractUI.aspx?menuIndex=3&amp;refID=7038864&amp;Result=3","7038864")</f>
        <v>0</v>
      </c>
      <c r="B4926" t="s">
        <v>1645</v>
      </c>
      <c r="C4926" t="s">
        <v>7390</v>
      </c>
      <c r="D4926" t="s">
        <v>12992</v>
      </c>
      <c r="E4926" t="s">
        <v>17483</v>
      </c>
      <c r="F4926" t="s">
        <v>22436</v>
      </c>
      <c r="G4926" t="s">
        <v>22444</v>
      </c>
      <c r="H4926" t="s">
        <v>22454</v>
      </c>
      <c r="I4926" t="s">
        <v>7738</v>
      </c>
      <c r="J4926" t="s">
        <v>23350</v>
      </c>
      <c r="K4926" t="s">
        <v>29417</v>
      </c>
      <c r="M4926" t="s">
        <v>31338</v>
      </c>
      <c r="N4926" t="s">
        <v>32524</v>
      </c>
      <c r="O4926" t="s">
        <v>32525</v>
      </c>
      <c r="P4926">
        <v>0</v>
      </c>
      <c r="Q4926">
        <v>0</v>
      </c>
      <c r="R4926" t="s">
        <v>32531</v>
      </c>
      <c r="S4926" t="s">
        <v>32586</v>
      </c>
      <c r="T4926" t="s">
        <v>33219</v>
      </c>
      <c r="U4926" t="s">
        <v>37773</v>
      </c>
      <c r="W4926" t="s">
        <v>31338</v>
      </c>
      <c r="X4926" t="s">
        <v>32532</v>
      </c>
    </row>
    <row r="4927" spans="1:24">
      <c r="A4927">
        <f>HYPERLINK("https://www.philgeps.gov.ph/GEPSNONPILOT/Tender/SplashBidNoticeAbstractUI.aspx?menuIndex=3&amp;refID=7038851&amp;Result=3","7038851")</f>
        <v>0</v>
      </c>
      <c r="B4927" t="s">
        <v>1653</v>
      </c>
      <c r="C4927" t="s">
        <v>7391</v>
      </c>
      <c r="D4927" t="s">
        <v>13007</v>
      </c>
      <c r="E4927" t="s">
        <v>13335</v>
      </c>
      <c r="F4927" t="s">
        <v>22436</v>
      </c>
      <c r="G4927" t="s">
        <v>22444</v>
      </c>
      <c r="H4927" t="s">
        <v>22452</v>
      </c>
      <c r="I4927" t="s">
        <v>3529</v>
      </c>
      <c r="J4927" t="s">
        <v>25818</v>
      </c>
      <c r="K4927" t="s">
        <v>29341</v>
      </c>
      <c r="M4927" t="s">
        <v>31350</v>
      </c>
      <c r="N4927" t="s">
        <v>32524</v>
      </c>
      <c r="O4927" t="s">
        <v>32525</v>
      </c>
      <c r="P4927">
        <v>0</v>
      </c>
      <c r="Q4927">
        <v>1</v>
      </c>
      <c r="R4927" t="s">
        <v>32531</v>
      </c>
      <c r="S4927" t="s">
        <v>32586</v>
      </c>
      <c r="T4927" t="s">
        <v>33218</v>
      </c>
      <c r="U4927" t="s">
        <v>37774</v>
      </c>
      <c r="W4927" t="s">
        <v>31350</v>
      </c>
      <c r="X4927" t="s">
        <v>32532</v>
      </c>
    </row>
    <row r="4928" spans="1:24">
      <c r="A4928">
        <f>HYPERLINK("https://www.philgeps.gov.ph/GEPSNONPILOT/Tender/SplashBidNoticeAbstractUI.aspx?menuIndex=3&amp;refID=7038856&amp;Result=3","7038856")</f>
        <v>0</v>
      </c>
      <c r="B4928" t="s">
        <v>1350</v>
      </c>
      <c r="C4928" t="s">
        <v>7392</v>
      </c>
      <c r="D4928" t="s">
        <v>13013</v>
      </c>
      <c r="E4928" t="s">
        <v>17484</v>
      </c>
      <c r="F4928" t="s">
        <v>22436</v>
      </c>
      <c r="G4928" t="s">
        <v>22446</v>
      </c>
      <c r="H4928" t="s">
        <v>22452</v>
      </c>
      <c r="I4928" t="s">
        <v>22467</v>
      </c>
      <c r="J4928" t="s">
        <v>25819</v>
      </c>
      <c r="K4928" t="s">
        <v>29341</v>
      </c>
      <c r="M4928" t="s">
        <v>31006</v>
      </c>
      <c r="N4928" t="s">
        <v>32524</v>
      </c>
      <c r="O4928" t="s">
        <v>32525</v>
      </c>
      <c r="P4928">
        <v>0</v>
      </c>
      <c r="Q4928">
        <v>0</v>
      </c>
      <c r="R4928" t="s">
        <v>32531</v>
      </c>
      <c r="S4928" t="s">
        <v>32586</v>
      </c>
      <c r="T4928" t="s">
        <v>33197</v>
      </c>
      <c r="U4928" t="s">
        <v>36981</v>
      </c>
      <c r="W4928" t="s">
        <v>31006</v>
      </c>
      <c r="X4928" t="s">
        <v>32532</v>
      </c>
    </row>
    <row r="4929" spans="1:24">
      <c r="A4929">
        <f>HYPERLINK("https://www.philgeps.gov.ph/GEPSNONPILOT/Tender/SplashBidNoticeAbstractUI.aspx?menuIndex=3&amp;refID=7038882&amp;Result=3","7038882")</f>
        <v>0</v>
      </c>
      <c r="B4929" t="s">
        <v>1664</v>
      </c>
      <c r="C4929" t="s">
        <v>7393</v>
      </c>
      <c r="D4929" t="s">
        <v>12999</v>
      </c>
      <c r="E4929" t="s">
        <v>17485</v>
      </c>
      <c r="F4929" t="s">
        <v>22436</v>
      </c>
      <c r="G4929" t="s">
        <v>22444</v>
      </c>
      <c r="H4929" t="s">
        <v>22454</v>
      </c>
      <c r="I4929" t="s">
        <v>7738</v>
      </c>
      <c r="J4929" t="s">
        <v>25820</v>
      </c>
      <c r="K4929" t="s">
        <v>29338</v>
      </c>
      <c r="M4929" t="s">
        <v>31361</v>
      </c>
      <c r="N4929" t="s">
        <v>32524</v>
      </c>
      <c r="O4929" t="s">
        <v>32525</v>
      </c>
      <c r="P4929">
        <v>0</v>
      </c>
      <c r="Q4929">
        <v>0</v>
      </c>
      <c r="R4929" t="s">
        <v>32531</v>
      </c>
      <c r="S4929" t="s">
        <v>32586</v>
      </c>
      <c r="T4929" t="s">
        <v>33405</v>
      </c>
      <c r="U4929" t="s">
        <v>37775</v>
      </c>
      <c r="W4929" t="s">
        <v>31361</v>
      </c>
      <c r="X4929" t="s">
        <v>32532</v>
      </c>
    </row>
    <row r="4930" spans="1:24">
      <c r="A4930">
        <f>HYPERLINK("https://www.philgeps.gov.ph/GEPSNONPILOT/Tender/SplashBidNoticeAbstractUI.aspx?menuIndex=3&amp;refID=7038858&amp;Result=3","7038858")</f>
        <v>0</v>
      </c>
      <c r="B4930" t="s">
        <v>267</v>
      </c>
      <c r="C4930" t="s">
        <v>7394</v>
      </c>
      <c r="D4930" t="s">
        <v>13032</v>
      </c>
      <c r="E4930" t="s">
        <v>17486</v>
      </c>
      <c r="F4930" t="s">
        <v>22436</v>
      </c>
      <c r="G4930" t="s">
        <v>22444</v>
      </c>
      <c r="H4930" t="s">
        <v>22452</v>
      </c>
      <c r="I4930" t="s">
        <v>22474</v>
      </c>
      <c r="J4930" t="s">
        <v>25151</v>
      </c>
      <c r="K4930" t="s">
        <v>29338</v>
      </c>
      <c r="M4930" t="s">
        <v>29841</v>
      </c>
      <c r="N4930" t="s">
        <v>32524</v>
      </c>
      <c r="O4930" t="s">
        <v>32525</v>
      </c>
      <c r="P4930">
        <v>0</v>
      </c>
      <c r="Q4930">
        <v>1</v>
      </c>
      <c r="R4930" t="s">
        <v>32531</v>
      </c>
      <c r="S4930" t="s">
        <v>32586</v>
      </c>
      <c r="T4930" t="s">
        <v>33213</v>
      </c>
      <c r="U4930" t="s">
        <v>37754</v>
      </c>
      <c r="W4930" t="s">
        <v>43690</v>
      </c>
      <c r="X4930" t="s">
        <v>32532</v>
      </c>
    </row>
    <row r="4931" spans="1:24">
      <c r="A4931">
        <f>HYPERLINK("https://www.philgeps.gov.ph/GEPSNONPILOT/Tender/SplashBidNoticeAbstractUI.aspx?menuIndex=3&amp;refID=7038874&amp;Result=3","7038874")</f>
        <v>0</v>
      </c>
      <c r="B4931" t="s">
        <v>1668</v>
      </c>
      <c r="C4931" t="s">
        <v>7395</v>
      </c>
      <c r="D4931" t="s">
        <v>13045</v>
      </c>
      <c r="E4931" t="s">
        <v>17487</v>
      </c>
      <c r="F4931" t="s">
        <v>22436</v>
      </c>
      <c r="G4931" t="s">
        <v>22444</v>
      </c>
      <c r="H4931" t="s">
        <v>22454</v>
      </c>
      <c r="I4931" t="s">
        <v>7738</v>
      </c>
      <c r="J4931" t="s">
        <v>23093</v>
      </c>
      <c r="K4931" t="s">
        <v>29352</v>
      </c>
      <c r="M4931" t="s">
        <v>31365</v>
      </c>
      <c r="N4931" t="s">
        <v>32524</v>
      </c>
      <c r="O4931" t="s">
        <v>32525</v>
      </c>
      <c r="P4931">
        <v>0</v>
      </c>
      <c r="Q4931">
        <v>1</v>
      </c>
      <c r="R4931" t="s">
        <v>32531</v>
      </c>
      <c r="S4931" t="s">
        <v>32586</v>
      </c>
      <c r="T4931" t="s">
        <v>33234</v>
      </c>
      <c r="U4931" t="s">
        <v>37776</v>
      </c>
      <c r="W4931" t="s">
        <v>31365</v>
      </c>
      <c r="X4931" t="s">
        <v>32532</v>
      </c>
    </row>
    <row r="4932" spans="1:24">
      <c r="A4932">
        <f>HYPERLINK("https://www.philgeps.gov.ph/GEPSNONPILOT/Tender/SplashBidNoticeAbstractUI.aspx?menuIndex=3&amp;refID=7038857&amp;Result=3","7038857")</f>
        <v>0</v>
      </c>
      <c r="B4932" t="s">
        <v>1108</v>
      </c>
      <c r="C4932" t="s">
        <v>7396</v>
      </c>
      <c r="D4932" t="s">
        <v>13061</v>
      </c>
      <c r="E4932" t="s">
        <v>17488</v>
      </c>
      <c r="F4932" t="s">
        <v>22436</v>
      </c>
      <c r="G4932" t="s">
        <v>22444</v>
      </c>
      <c r="H4932" t="s">
        <v>22454</v>
      </c>
      <c r="I4932" t="s">
        <v>7738</v>
      </c>
      <c r="J4932" t="s">
        <v>25821</v>
      </c>
      <c r="K4932" t="s">
        <v>29344</v>
      </c>
      <c r="M4932" t="s">
        <v>31316</v>
      </c>
      <c r="N4932" t="s">
        <v>32524</v>
      </c>
      <c r="O4932" t="s">
        <v>32525</v>
      </c>
      <c r="P4932">
        <v>0</v>
      </c>
      <c r="Q4932">
        <v>0</v>
      </c>
      <c r="R4932" t="s">
        <v>32531</v>
      </c>
      <c r="S4932" t="s">
        <v>32586</v>
      </c>
      <c r="T4932" t="s">
        <v>33434</v>
      </c>
      <c r="U4932" t="s">
        <v>37777</v>
      </c>
      <c r="W4932" t="s">
        <v>31316</v>
      </c>
      <c r="X4932" t="s">
        <v>32532</v>
      </c>
    </row>
    <row r="4933" spans="1:24">
      <c r="A4933">
        <f>HYPERLINK("https://www.philgeps.gov.ph/GEPSNONPILOT/Tender/SplashBidNoticeAbstractUI.aspx?menuIndex=3&amp;refID=7038883&amp;Result=3","7038883")</f>
        <v>0</v>
      </c>
      <c r="B4933" t="s">
        <v>1350</v>
      </c>
      <c r="C4933" t="s">
        <v>7397</v>
      </c>
      <c r="D4933" t="s">
        <v>13013</v>
      </c>
      <c r="E4933" t="s">
        <v>17489</v>
      </c>
      <c r="F4933" t="s">
        <v>22436</v>
      </c>
      <c r="G4933" t="s">
        <v>22446</v>
      </c>
      <c r="H4933" t="s">
        <v>22452</v>
      </c>
      <c r="I4933" t="s">
        <v>5194</v>
      </c>
      <c r="J4933" t="s">
        <v>22874</v>
      </c>
      <c r="K4933" t="s">
        <v>29335</v>
      </c>
      <c r="M4933" t="s">
        <v>31006</v>
      </c>
      <c r="N4933" t="s">
        <v>32524</v>
      </c>
      <c r="O4933" t="s">
        <v>32525</v>
      </c>
      <c r="P4933">
        <v>0</v>
      </c>
      <c r="Q4933">
        <v>0</v>
      </c>
      <c r="R4933" t="s">
        <v>32531</v>
      </c>
      <c r="S4933" t="s">
        <v>32586</v>
      </c>
      <c r="T4933" t="s">
        <v>33197</v>
      </c>
      <c r="U4933" t="s">
        <v>36981</v>
      </c>
      <c r="W4933" t="s">
        <v>31006</v>
      </c>
      <c r="X4933" t="s">
        <v>32532</v>
      </c>
    </row>
    <row r="4934" spans="1:24">
      <c r="A4934">
        <f>HYPERLINK("https://www.philgeps.gov.ph/GEPSNONPILOT/Tender/SplashBidNoticeAbstractUI.aspx?menuIndex=3&amp;refID=7038876&amp;Result=3","7038876")</f>
        <v>0</v>
      </c>
      <c r="B4934" t="s">
        <v>1654</v>
      </c>
      <c r="C4934" t="s">
        <v>7398</v>
      </c>
      <c r="D4934" t="s">
        <v>13031</v>
      </c>
      <c r="E4934" t="s">
        <v>17490</v>
      </c>
      <c r="F4934" t="s">
        <v>22436</v>
      </c>
      <c r="G4934" t="s">
        <v>22444</v>
      </c>
      <c r="H4934" t="s">
        <v>22452</v>
      </c>
      <c r="I4934" t="s">
        <v>22467</v>
      </c>
      <c r="J4934" t="s">
        <v>23306</v>
      </c>
      <c r="K4934" t="s">
        <v>29335</v>
      </c>
      <c r="L4934" t="s">
        <v>1654</v>
      </c>
      <c r="M4934" t="s">
        <v>31351</v>
      </c>
      <c r="N4934" t="s">
        <v>32524</v>
      </c>
      <c r="O4934" t="s">
        <v>32525</v>
      </c>
      <c r="P4934">
        <v>0</v>
      </c>
      <c r="Q4934">
        <v>0</v>
      </c>
      <c r="R4934" t="s">
        <v>32531</v>
      </c>
      <c r="S4934" t="s">
        <v>32586</v>
      </c>
      <c r="T4934" t="s">
        <v>33474</v>
      </c>
      <c r="U4934" t="s">
        <v>37778</v>
      </c>
      <c r="W4934" t="s">
        <v>31351</v>
      </c>
      <c r="X4934" t="s">
        <v>32532</v>
      </c>
    </row>
    <row r="4935" spans="1:24">
      <c r="A4935">
        <f>HYPERLINK("https://www.philgeps.gov.ph/GEPSNONPILOT/Tender/SplashBidNoticeAbstractUI.aspx?menuIndex=3&amp;refID=7038877&amp;Result=3","7038877")</f>
        <v>0</v>
      </c>
      <c r="B4935" t="s">
        <v>1623</v>
      </c>
      <c r="C4935" t="s">
        <v>7399</v>
      </c>
      <c r="D4935" t="s">
        <v>12992</v>
      </c>
      <c r="E4935" t="s">
        <v>17491</v>
      </c>
      <c r="F4935" t="s">
        <v>22436</v>
      </c>
      <c r="G4935" t="s">
        <v>22443</v>
      </c>
      <c r="H4935" t="s">
        <v>22452</v>
      </c>
      <c r="I4935" t="s">
        <v>3529</v>
      </c>
      <c r="J4935" t="s">
        <v>25822</v>
      </c>
      <c r="K4935" t="s">
        <v>29333</v>
      </c>
      <c r="M4935" t="s">
        <v>31309</v>
      </c>
      <c r="N4935" t="s">
        <v>32524</v>
      </c>
      <c r="O4935" t="s">
        <v>32525</v>
      </c>
      <c r="P4935">
        <v>0</v>
      </c>
      <c r="Q4935">
        <v>0</v>
      </c>
      <c r="R4935" t="s">
        <v>32531</v>
      </c>
      <c r="S4935" t="s">
        <v>32586</v>
      </c>
      <c r="T4935" t="s">
        <v>33372</v>
      </c>
      <c r="U4935" t="s">
        <v>33876</v>
      </c>
      <c r="W4935" t="s">
        <v>31309</v>
      </c>
      <c r="X4935" t="s">
        <v>32532</v>
      </c>
    </row>
    <row r="4936" spans="1:24">
      <c r="A4936">
        <f>HYPERLINK("https://www.philgeps.gov.ph/GEPSNONPILOT/Tender/SplashBidNoticeAbstractUI.aspx?menuIndex=3&amp;refID=7038893&amp;Result=3","7038893")</f>
        <v>0</v>
      </c>
      <c r="B4936" t="s">
        <v>1669</v>
      </c>
      <c r="C4936" t="s">
        <v>7400</v>
      </c>
      <c r="D4936" t="s">
        <v>12993</v>
      </c>
      <c r="E4936" t="s">
        <v>7400</v>
      </c>
      <c r="F4936" t="s">
        <v>22436</v>
      </c>
      <c r="G4936" t="s">
        <v>22443</v>
      </c>
      <c r="H4936" t="s">
        <v>22453</v>
      </c>
      <c r="I4936" t="s">
        <v>3827</v>
      </c>
      <c r="J4936" t="s">
        <v>24364</v>
      </c>
      <c r="K4936" t="s">
        <v>29333</v>
      </c>
      <c r="M4936" t="s">
        <v>31366</v>
      </c>
      <c r="N4936" t="s">
        <v>32524</v>
      </c>
      <c r="O4936" t="s">
        <v>32525</v>
      </c>
      <c r="P4936">
        <v>0</v>
      </c>
      <c r="Q4936">
        <v>0</v>
      </c>
      <c r="R4936" t="s">
        <v>32531</v>
      </c>
      <c r="S4936" t="s">
        <v>32586</v>
      </c>
      <c r="T4936" t="s">
        <v>33161</v>
      </c>
      <c r="U4936" t="s">
        <v>37779</v>
      </c>
      <c r="W4936" t="s">
        <v>31366</v>
      </c>
      <c r="X4936" t="s">
        <v>32532</v>
      </c>
    </row>
    <row r="4937" spans="1:24">
      <c r="A4937">
        <f>HYPERLINK("https://www.philgeps.gov.ph/GEPSNONPILOT/Tender/SplashBidNoticeAbstractUI.aspx?menuIndex=3&amp;refID=7038872&amp;Result=3","7038872")</f>
        <v>0</v>
      </c>
      <c r="B4937" t="s">
        <v>1108</v>
      </c>
      <c r="C4937" t="s">
        <v>7401</v>
      </c>
      <c r="D4937" t="s">
        <v>13061</v>
      </c>
      <c r="E4937" t="s">
        <v>17492</v>
      </c>
      <c r="F4937" t="s">
        <v>22436</v>
      </c>
      <c r="G4937" t="s">
        <v>22444</v>
      </c>
      <c r="H4937" t="s">
        <v>22454</v>
      </c>
      <c r="I4937" t="s">
        <v>7738</v>
      </c>
      <c r="J4937" t="s">
        <v>25823</v>
      </c>
      <c r="K4937" t="s">
        <v>29344</v>
      </c>
      <c r="M4937" t="s">
        <v>31316</v>
      </c>
      <c r="N4937" t="s">
        <v>32524</v>
      </c>
      <c r="O4937" t="s">
        <v>32525</v>
      </c>
      <c r="P4937">
        <v>0</v>
      </c>
      <c r="Q4937">
        <v>0</v>
      </c>
      <c r="R4937" t="s">
        <v>32531</v>
      </c>
      <c r="S4937" t="s">
        <v>32586</v>
      </c>
      <c r="T4937" t="s">
        <v>33434</v>
      </c>
      <c r="U4937" t="s">
        <v>37780</v>
      </c>
      <c r="W4937" t="s">
        <v>31316</v>
      </c>
      <c r="X4937" t="s">
        <v>32532</v>
      </c>
    </row>
    <row r="4938" spans="1:24">
      <c r="A4938">
        <f>HYPERLINK("https://www.philgeps.gov.ph/GEPSNONPILOT/Tender/SplashBidNoticeAbstractUI.aspx?menuIndex=3&amp;refID=7038914&amp;Result=3","7038914")</f>
        <v>0</v>
      </c>
      <c r="B4938" t="s">
        <v>1645</v>
      </c>
      <c r="C4938" t="s">
        <v>7402</v>
      </c>
      <c r="D4938" t="s">
        <v>12992</v>
      </c>
      <c r="E4938" t="s">
        <v>17493</v>
      </c>
      <c r="F4938" t="s">
        <v>22436</v>
      </c>
      <c r="G4938" t="s">
        <v>22444</v>
      </c>
      <c r="H4938" t="s">
        <v>22454</v>
      </c>
      <c r="I4938" t="s">
        <v>7738</v>
      </c>
      <c r="J4938" t="s">
        <v>22960</v>
      </c>
      <c r="K4938" t="s">
        <v>29402</v>
      </c>
      <c r="M4938" t="s">
        <v>31338</v>
      </c>
      <c r="N4938" t="s">
        <v>32524</v>
      </c>
      <c r="O4938" t="s">
        <v>32525</v>
      </c>
      <c r="P4938">
        <v>0</v>
      </c>
      <c r="Q4938">
        <v>0</v>
      </c>
      <c r="R4938" t="s">
        <v>32531</v>
      </c>
      <c r="S4938" t="s">
        <v>32586</v>
      </c>
      <c r="T4938" t="s">
        <v>33477</v>
      </c>
      <c r="U4938" t="s">
        <v>37781</v>
      </c>
      <c r="W4938" t="s">
        <v>31338</v>
      </c>
      <c r="X4938" t="s">
        <v>32532</v>
      </c>
    </row>
    <row r="4939" spans="1:24">
      <c r="A4939">
        <f>HYPERLINK("https://www.philgeps.gov.ph/GEPSNONPILOT/Tender/SplashBidNoticeAbstractUI.aspx?menuIndex=3&amp;refID=7038897&amp;Result=3","7038897")</f>
        <v>0</v>
      </c>
      <c r="B4939" t="s">
        <v>1670</v>
      </c>
      <c r="C4939" t="s">
        <v>7403</v>
      </c>
      <c r="D4939" t="s">
        <v>13057</v>
      </c>
      <c r="E4939" t="s">
        <v>17494</v>
      </c>
      <c r="F4939" t="s">
        <v>22436</v>
      </c>
      <c r="G4939" t="s">
        <v>22444</v>
      </c>
      <c r="H4939" t="s">
        <v>22452</v>
      </c>
      <c r="I4939" t="s">
        <v>22474</v>
      </c>
      <c r="J4939" t="s">
        <v>25824</v>
      </c>
      <c r="K4939" t="s">
        <v>29334</v>
      </c>
      <c r="M4939" t="s">
        <v>31367</v>
      </c>
      <c r="N4939" t="s">
        <v>32524</v>
      </c>
      <c r="O4939" t="s">
        <v>32525</v>
      </c>
      <c r="P4939">
        <v>0</v>
      </c>
      <c r="Q4939">
        <v>3</v>
      </c>
      <c r="R4939" t="s">
        <v>32531</v>
      </c>
      <c r="S4939" t="s">
        <v>32586</v>
      </c>
      <c r="T4939" t="s">
        <v>33157</v>
      </c>
      <c r="U4939" t="s">
        <v>37782</v>
      </c>
      <c r="W4939" t="s">
        <v>31367</v>
      </c>
      <c r="X4939" t="s">
        <v>32532</v>
      </c>
    </row>
    <row r="4940" spans="1:24">
      <c r="A4940">
        <f>HYPERLINK("https://www.philgeps.gov.ph/GEPSNONPILOT/Tender/SplashBidNoticeAbstractUI.aspx?menuIndex=3&amp;refID=7038885&amp;Result=3","7038885")</f>
        <v>0</v>
      </c>
      <c r="B4940" t="s">
        <v>456</v>
      </c>
      <c r="C4940" t="s">
        <v>7404</v>
      </c>
      <c r="D4940" t="s">
        <v>13045</v>
      </c>
      <c r="E4940" t="s">
        <v>17495</v>
      </c>
      <c r="F4940" t="s">
        <v>22436</v>
      </c>
      <c r="G4940" t="s">
        <v>22443</v>
      </c>
      <c r="H4940" t="s">
        <v>22455</v>
      </c>
      <c r="I4940" t="s">
        <v>22455</v>
      </c>
      <c r="J4940" t="s">
        <v>25825</v>
      </c>
      <c r="K4940" t="s">
        <v>29342</v>
      </c>
      <c r="M4940" t="s">
        <v>30038</v>
      </c>
      <c r="N4940" t="s">
        <v>32524</v>
      </c>
      <c r="O4940" t="s">
        <v>32525</v>
      </c>
      <c r="P4940">
        <v>0</v>
      </c>
      <c r="Q4940">
        <v>0</v>
      </c>
      <c r="R4940" t="s">
        <v>32531</v>
      </c>
      <c r="S4940" t="s">
        <v>32586</v>
      </c>
      <c r="T4940" t="s">
        <v>33478</v>
      </c>
      <c r="U4940" t="s">
        <v>37783</v>
      </c>
      <c r="V4940" t="s">
        <v>42956</v>
      </c>
      <c r="W4940" t="s">
        <v>30038</v>
      </c>
      <c r="X4940" t="s">
        <v>32532</v>
      </c>
    </row>
    <row r="4941" spans="1:24">
      <c r="A4941">
        <f>HYPERLINK("https://www.philgeps.gov.ph/GEPSNONPILOT/Tender/SplashBidNoticeAbstractUI.aspx?menuIndex=3&amp;refID=7038912&amp;Result=3","7038912")</f>
        <v>0</v>
      </c>
      <c r="B4941" t="s">
        <v>196</v>
      </c>
      <c r="C4941" t="s">
        <v>4186</v>
      </c>
      <c r="D4941" t="s">
        <v>13002</v>
      </c>
      <c r="E4941" t="s">
        <v>17496</v>
      </c>
      <c r="F4941" t="s">
        <v>22436</v>
      </c>
      <c r="G4941" t="s">
        <v>22443</v>
      </c>
      <c r="H4941" t="s">
        <v>22452</v>
      </c>
      <c r="I4941" t="s">
        <v>22460</v>
      </c>
      <c r="J4941" t="s">
        <v>22874</v>
      </c>
      <c r="K4941" t="s">
        <v>29331</v>
      </c>
      <c r="M4941" t="s">
        <v>29769</v>
      </c>
      <c r="N4941" t="s">
        <v>32524</v>
      </c>
      <c r="O4941" t="s">
        <v>32525</v>
      </c>
      <c r="P4941">
        <v>0</v>
      </c>
      <c r="Q4941">
        <v>2</v>
      </c>
      <c r="R4941" t="s">
        <v>32531</v>
      </c>
      <c r="S4941" t="s">
        <v>32586</v>
      </c>
      <c r="T4941" t="s">
        <v>33296</v>
      </c>
      <c r="U4941" t="s">
        <v>37784</v>
      </c>
      <c r="W4941" t="s">
        <v>29769</v>
      </c>
      <c r="X4941" t="s">
        <v>32532</v>
      </c>
    </row>
    <row r="4942" spans="1:24">
      <c r="A4942">
        <f>HYPERLINK("https://www.philgeps.gov.ph/GEPSNONPILOT/Tender/SplashBidNoticeAbstractUI.aspx?menuIndex=3&amp;refID=7038886&amp;Result=3","7038886")</f>
        <v>0</v>
      </c>
      <c r="B4942" t="s">
        <v>1108</v>
      </c>
      <c r="C4942" t="s">
        <v>7405</v>
      </c>
      <c r="D4942" t="s">
        <v>13061</v>
      </c>
      <c r="E4942" t="s">
        <v>17497</v>
      </c>
      <c r="F4942" t="s">
        <v>22436</v>
      </c>
      <c r="G4942" t="s">
        <v>22444</v>
      </c>
      <c r="H4942" t="s">
        <v>22454</v>
      </c>
      <c r="I4942" t="s">
        <v>7738</v>
      </c>
      <c r="J4942" t="s">
        <v>25826</v>
      </c>
      <c r="K4942" t="s">
        <v>29344</v>
      </c>
      <c r="M4942" t="s">
        <v>31316</v>
      </c>
      <c r="N4942" t="s">
        <v>32524</v>
      </c>
      <c r="O4942" t="s">
        <v>32525</v>
      </c>
      <c r="P4942">
        <v>0</v>
      </c>
      <c r="Q4942">
        <v>0</v>
      </c>
      <c r="R4942" t="s">
        <v>32531</v>
      </c>
      <c r="S4942" t="s">
        <v>32586</v>
      </c>
      <c r="T4942" t="s">
        <v>33434</v>
      </c>
      <c r="U4942" t="s">
        <v>37785</v>
      </c>
      <c r="W4942" t="s">
        <v>31316</v>
      </c>
      <c r="X4942" t="s">
        <v>32532</v>
      </c>
    </row>
    <row r="4943" spans="1:24">
      <c r="A4943">
        <f>HYPERLINK("https://www.philgeps.gov.ph/GEPSNONPILOT/Tender/SplashBidNoticeAbstractUI.aspx?menuIndex=3&amp;refID=7038916&amp;Result=3","7038916")</f>
        <v>0</v>
      </c>
      <c r="B4943" t="s">
        <v>997</v>
      </c>
      <c r="C4943" t="s">
        <v>7406</v>
      </c>
      <c r="D4943" t="s">
        <v>13025</v>
      </c>
      <c r="E4943" t="s">
        <v>17498</v>
      </c>
      <c r="F4943" t="s">
        <v>22436</v>
      </c>
      <c r="G4943" t="s">
        <v>22443</v>
      </c>
      <c r="H4943" t="s">
        <v>22452</v>
      </c>
      <c r="I4943" t="s">
        <v>22486</v>
      </c>
      <c r="J4943" t="s">
        <v>25827</v>
      </c>
      <c r="K4943" t="s">
        <v>29341</v>
      </c>
      <c r="M4943" t="s">
        <v>31368</v>
      </c>
      <c r="N4943" t="s">
        <v>32524</v>
      </c>
      <c r="O4943" t="s">
        <v>32525</v>
      </c>
      <c r="P4943">
        <v>0</v>
      </c>
      <c r="Q4943">
        <v>0</v>
      </c>
      <c r="R4943" t="s">
        <v>32531</v>
      </c>
      <c r="S4943" t="s">
        <v>32586</v>
      </c>
      <c r="T4943" t="s">
        <v>33209</v>
      </c>
      <c r="U4943" t="s">
        <v>37786</v>
      </c>
      <c r="W4943" t="s">
        <v>31368</v>
      </c>
      <c r="X4943" t="s">
        <v>32532</v>
      </c>
    </row>
    <row r="4944" spans="1:24">
      <c r="A4944">
        <f>HYPERLINK("https://www.philgeps.gov.ph/GEPSNONPILOT/Tender/SplashBidNoticeAbstractUI.aspx?menuIndex=3&amp;refID=7038913&amp;Result=3","7038913")</f>
        <v>0</v>
      </c>
      <c r="B4944" t="s">
        <v>1671</v>
      </c>
      <c r="C4944" t="s">
        <v>7407</v>
      </c>
      <c r="D4944" t="s">
        <v>13024</v>
      </c>
      <c r="E4944" t="s">
        <v>17499</v>
      </c>
      <c r="F4944" t="s">
        <v>22436</v>
      </c>
      <c r="G4944" t="s">
        <v>22444</v>
      </c>
      <c r="H4944" t="s">
        <v>22454</v>
      </c>
      <c r="I4944" t="s">
        <v>7738</v>
      </c>
      <c r="J4944" t="s">
        <v>25828</v>
      </c>
      <c r="K4944" t="s">
        <v>29334</v>
      </c>
      <c r="M4944" t="s">
        <v>31369</v>
      </c>
      <c r="N4944" t="s">
        <v>32524</v>
      </c>
      <c r="O4944" t="s">
        <v>32525</v>
      </c>
      <c r="P4944">
        <v>0</v>
      </c>
      <c r="Q4944">
        <v>3</v>
      </c>
      <c r="R4944" t="s">
        <v>32531</v>
      </c>
      <c r="S4944" t="s">
        <v>32586</v>
      </c>
      <c r="T4944" t="s">
        <v>33166</v>
      </c>
      <c r="U4944" t="s">
        <v>37787</v>
      </c>
      <c r="W4944" t="s">
        <v>31369</v>
      </c>
      <c r="X4944" t="s">
        <v>32532</v>
      </c>
    </row>
    <row r="4945" spans="1:24">
      <c r="A4945">
        <f>HYPERLINK("https://www.philgeps.gov.ph/GEPSNONPILOT/Tender/SplashBidNoticeAbstractUI.aspx?menuIndex=3&amp;refID=7038919&amp;Result=3","7038919")</f>
        <v>0</v>
      </c>
      <c r="B4945" t="s">
        <v>1661</v>
      </c>
      <c r="C4945" t="s">
        <v>7408</v>
      </c>
      <c r="D4945" t="s">
        <v>13053</v>
      </c>
      <c r="E4945" t="s">
        <v>17500</v>
      </c>
      <c r="F4945" t="s">
        <v>22436</v>
      </c>
      <c r="G4945" t="s">
        <v>22446</v>
      </c>
      <c r="H4945" t="s">
        <v>22452</v>
      </c>
      <c r="I4945" t="s">
        <v>2962</v>
      </c>
      <c r="J4945" t="s">
        <v>25829</v>
      </c>
      <c r="K4945" t="s">
        <v>29335</v>
      </c>
      <c r="M4945" t="s">
        <v>31358</v>
      </c>
      <c r="N4945" t="s">
        <v>32524</v>
      </c>
      <c r="O4945" t="s">
        <v>32525</v>
      </c>
      <c r="P4945">
        <v>0</v>
      </c>
      <c r="Q4945">
        <v>0</v>
      </c>
      <c r="R4945" t="s">
        <v>32531</v>
      </c>
      <c r="S4945" t="s">
        <v>32586</v>
      </c>
      <c r="T4945" t="s">
        <v>33213</v>
      </c>
      <c r="U4945" t="s">
        <v>37748</v>
      </c>
      <c r="W4945" t="s">
        <v>31358</v>
      </c>
      <c r="X4945" t="s">
        <v>32532</v>
      </c>
    </row>
    <row r="4946" spans="1:24">
      <c r="A4946">
        <f>HYPERLINK("https://www.philgeps.gov.ph/GEPSNONPILOT/Tender/SplashBidNoticeAbstractUI.aspx?menuIndex=3&amp;refID=7038905&amp;Result=3","7038905")</f>
        <v>0</v>
      </c>
      <c r="B4946" t="s">
        <v>1637</v>
      </c>
      <c r="C4946" t="s">
        <v>3997</v>
      </c>
      <c r="D4946" t="s">
        <v>13057</v>
      </c>
      <c r="E4946" t="s">
        <v>17501</v>
      </c>
      <c r="F4946" t="s">
        <v>22436</v>
      </c>
      <c r="G4946" t="s">
        <v>22447</v>
      </c>
      <c r="H4946" t="s">
        <v>22452</v>
      </c>
      <c r="I4946" t="s">
        <v>3529</v>
      </c>
      <c r="J4946" t="s">
        <v>25830</v>
      </c>
      <c r="K4946" t="s">
        <v>29341</v>
      </c>
      <c r="M4946" t="s">
        <v>31328</v>
      </c>
      <c r="N4946" t="s">
        <v>32524</v>
      </c>
      <c r="O4946" t="s">
        <v>32525</v>
      </c>
      <c r="P4946">
        <v>0</v>
      </c>
      <c r="Q4946">
        <v>0</v>
      </c>
      <c r="R4946" t="s">
        <v>32531</v>
      </c>
      <c r="S4946" t="s">
        <v>32586</v>
      </c>
      <c r="T4946" t="s">
        <v>33479</v>
      </c>
      <c r="U4946" t="s">
        <v>37788</v>
      </c>
      <c r="W4946" t="s">
        <v>31328</v>
      </c>
      <c r="X4946" t="s">
        <v>32532</v>
      </c>
    </row>
    <row r="4947" spans="1:24">
      <c r="A4947">
        <f>HYPERLINK("https://www.philgeps.gov.ph/GEPSNONPILOT/Tender/SplashBidNoticeAbstractUI.aspx?menuIndex=3&amp;refID=7038909&amp;Result=3","7038909")</f>
        <v>0</v>
      </c>
      <c r="B4947" t="s">
        <v>348</v>
      </c>
      <c r="C4947" t="s">
        <v>7409</v>
      </c>
      <c r="D4947" t="s">
        <v>13038</v>
      </c>
      <c r="E4947" t="s">
        <v>17502</v>
      </c>
      <c r="F4947" t="s">
        <v>22436</v>
      </c>
      <c r="G4947" t="s">
        <v>22444</v>
      </c>
      <c r="H4947" t="s">
        <v>22454</v>
      </c>
      <c r="I4947" t="s">
        <v>7738</v>
      </c>
      <c r="J4947" t="s">
        <v>25831</v>
      </c>
      <c r="K4947" t="s">
        <v>29468</v>
      </c>
      <c r="M4947" t="s">
        <v>31320</v>
      </c>
      <c r="N4947" t="s">
        <v>32524</v>
      </c>
      <c r="O4947" t="s">
        <v>32525</v>
      </c>
      <c r="P4947">
        <v>0</v>
      </c>
      <c r="Q4947">
        <v>0</v>
      </c>
      <c r="R4947" t="s">
        <v>32531</v>
      </c>
      <c r="S4947" t="s">
        <v>32586</v>
      </c>
      <c r="T4947" t="s">
        <v>33452</v>
      </c>
      <c r="U4947" t="s">
        <v>37789</v>
      </c>
      <c r="W4947" t="s">
        <v>31320</v>
      </c>
      <c r="X4947" t="s">
        <v>32532</v>
      </c>
    </row>
    <row r="4948" spans="1:24">
      <c r="A4948">
        <f>HYPERLINK("https://www.philgeps.gov.ph/GEPSNONPILOT/Tender/SplashBidNoticeAbstractUI.aspx?menuIndex=3&amp;refID=7038911&amp;Result=3","7038911")</f>
        <v>0</v>
      </c>
      <c r="B4948" t="s">
        <v>1654</v>
      </c>
      <c r="C4948" t="s">
        <v>7410</v>
      </c>
      <c r="D4948" t="s">
        <v>13031</v>
      </c>
      <c r="E4948" t="s">
        <v>17503</v>
      </c>
      <c r="F4948" t="s">
        <v>22436</v>
      </c>
      <c r="G4948" t="s">
        <v>22444</v>
      </c>
      <c r="H4948" t="s">
        <v>22452</v>
      </c>
      <c r="I4948" t="s">
        <v>12358</v>
      </c>
      <c r="J4948" t="s">
        <v>25832</v>
      </c>
      <c r="K4948" t="s">
        <v>29341</v>
      </c>
      <c r="L4948" t="s">
        <v>1654</v>
      </c>
      <c r="M4948" t="s">
        <v>31351</v>
      </c>
      <c r="N4948" t="s">
        <v>32524</v>
      </c>
      <c r="O4948" t="s">
        <v>32525</v>
      </c>
      <c r="P4948">
        <v>0</v>
      </c>
      <c r="Q4948">
        <v>1</v>
      </c>
      <c r="R4948" t="s">
        <v>32531</v>
      </c>
      <c r="S4948" t="s">
        <v>32586</v>
      </c>
      <c r="T4948" t="s">
        <v>33474</v>
      </c>
      <c r="U4948" t="s">
        <v>37790</v>
      </c>
      <c r="W4948" t="s">
        <v>31351</v>
      </c>
      <c r="X4948" t="s">
        <v>32532</v>
      </c>
    </row>
    <row r="4949" spans="1:24">
      <c r="A4949">
        <f>HYPERLINK("https://www.philgeps.gov.ph/GEPSNONPILOT/Tender/SplashBidNoticeAbstractUI.aspx?menuIndex=3&amp;refID=7038907&amp;Result=3","7038907")</f>
        <v>0</v>
      </c>
      <c r="B4949" t="s">
        <v>1668</v>
      </c>
      <c r="C4949" t="s">
        <v>7411</v>
      </c>
      <c r="D4949" t="s">
        <v>13045</v>
      </c>
      <c r="E4949" t="s">
        <v>17504</v>
      </c>
      <c r="F4949" t="s">
        <v>22436</v>
      </c>
      <c r="G4949" t="s">
        <v>22444</v>
      </c>
      <c r="H4949" t="s">
        <v>22454</v>
      </c>
      <c r="I4949" t="s">
        <v>7738</v>
      </c>
      <c r="J4949" t="s">
        <v>25833</v>
      </c>
      <c r="K4949" t="s">
        <v>29347</v>
      </c>
      <c r="M4949" t="s">
        <v>31365</v>
      </c>
      <c r="N4949" t="s">
        <v>32524</v>
      </c>
      <c r="O4949" t="s">
        <v>32525</v>
      </c>
      <c r="P4949">
        <v>0</v>
      </c>
      <c r="Q4949">
        <v>2</v>
      </c>
      <c r="R4949" t="s">
        <v>32531</v>
      </c>
      <c r="S4949" t="s">
        <v>32586</v>
      </c>
      <c r="T4949" t="s">
        <v>33234</v>
      </c>
      <c r="U4949" t="s">
        <v>37791</v>
      </c>
      <c r="W4949" t="s">
        <v>31365</v>
      </c>
      <c r="X4949" t="s">
        <v>32532</v>
      </c>
    </row>
    <row r="4950" spans="1:24">
      <c r="A4950">
        <f>HYPERLINK("https://www.philgeps.gov.ph/GEPSNONPILOT/Tender/SplashBidNoticeAbstractUI.aspx?menuIndex=3&amp;refID=7038908&amp;Result=3","7038908")</f>
        <v>0</v>
      </c>
      <c r="B4950" t="s">
        <v>1650</v>
      </c>
      <c r="C4950" t="s">
        <v>7412</v>
      </c>
      <c r="D4950" t="s">
        <v>12999</v>
      </c>
      <c r="E4950" t="s">
        <v>17505</v>
      </c>
      <c r="F4950" t="s">
        <v>22436</v>
      </c>
      <c r="G4950" t="s">
        <v>22443</v>
      </c>
      <c r="H4950" t="s">
        <v>22452</v>
      </c>
      <c r="I4950" t="s">
        <v>22469</v>
      </c>
      <c r="J4950" t="s">
        <v>24063</v>
      </c>
      <c r="K4950" t="s">
        <v>29357</v>
      </c>
      <c r="M4950" t="s">
        <v>31347</v>
      </c>
      <c r="N4950" t="s">
        <v>32524</v>
      </c>
      <c r="O4950" t="s">
        <v>32525</v>
      </c>
      <c r="P4950">
        <v>0</v>
      </c>
      <c r="Q4950">
        <v>2</v>
      </c>
      <c r="R4950" t="s">
        <v>32531</v>
      </c>
      <c r="S4950" t="s">
        <v>32586</v>
      </c>
      <c r="T4950" t="s">
        <v>33209</v>
      </c>
      <c r="U4950" t="s">
        <v>37705</v>
      </c>
      <c r="W4950" t="s">
        <v>31347</v>
      </c>
      <c r="X4950" t="s">
        <v>32532</v>
      </c>
    </row>
    <row r="4951" spans="1:24">
      <c r="A4951">
        <f>HYPERLINK("https://www.philgeps.gov.ph/GEPSNONPILOT/Tender/SplashBidNoticeAbstractUI.aspx?menuIndex=3&amp;refID=7038938&amp;Result=3","7038938")</f>
        <v>0</v>
      </c>
      <c r="B4951" t="s">
        <v>267</v>
      </c>
      <c r="C4951" t="s">
        <v>7413</v>
      </c>
      <c r="D4951" t="s">
        <v>13032</v>
      </c>
      <c r="E4951" t="s">
        <v>17506</v>
      </c>
      <c r="F4951" t="s">
        <v>22436</v>
      </c>
      <c r="G4951" t="s">
        <v>22447</v>
      </c>
      <c r="H4951" t="s">
        <v>22452</v>
      </c>
      <c r="I4951" t="s">
        <v>3529</v>
      </c>
      <c r="J4951" t="s">
        <v>25834</v>
      </c>
      <c r="K4951" t="s">
        <v>29338</v>
      </c>
      <c r="M4951" t="s">
        <v>29841</v>
      </c>
      <c r="N4951" t="s">
        <v>32524</v>
      </c>
      <c r="O4951" t="s">
        <v>32525</v>
      </c>
      <c r="P4951">
        <v>0</v>
      </c>
      <c r="Q4951">
        <v>0</v>
      </c>
      <c r="R4951" t="s">
        <v>32531</v>
      </c>
      <c r="S4951" t="s">
        <v>32586</v>
      </c>
      <c r="T4951" t="s">
        <v>33213</v>
      </c>
      <c r="U4951" t="s">
        <v>37792</v>
      </c>
      <c r="W4951" t="s">
        <v>43690</v>
      </c>
      <c r="X4951" t="s">
        <v>32532</v>
      </c>
    </row>
    <row r="4952" spans="1:24">
      <c r="A4952">
        <f>HYPERLINK("https://www.philgeps.gov.ph/GEPSNONPILOT/Tender/SplashBidNoticeAbstractUI.aspx?menuIndex=3&amp;refID=7038924&amp;Result=3","7038924")</f>
        <v>0</v>
      </c>
      <c r="B4952" t="s">
        <v>528</v>
      </c>
      <c r="C4952" t="s">
        <v>7414</v>
      </c>
      <c r="E4952" t="s">
        <v>17507</v>
      </c>
      <c r="F4952" t="s">
        <v>22436</v>
      </c>
      <c r="G4952" t="s">
        <v>22443</v>
      </c>
      <c r="H4952" t="s">
        <v>22452</v>
      </c>
      <c r="I4952" t="s">
        <v>22464</v>
      </c>
      <c r="J4952" t="s">
        <v>22640</v>
      </c>
      <c r="K4952" t="s">
        <v>29335</v>
      </c>
      <c r="M4952" t="s">
        <v>30112</v>
      </c>
      <c r="N4952" t="s">
        <v>32524</v>
      </c>
      <c r="O4952" t="s">
        <v>32525</v>
      </c>
      <c r="P4952">
        <v>0</v>
      </c>
      <c r="Q4952">
        <v>1</v>
      </c>
      <c r="R4952" t="s">
        <v>32531</v>
      </c>
      <c r="S4952" t="s">
        <v>32586</v>
      </c>
      <c r="T4952" t="s">
        <v>33292</v>
      </c>
      <c r="U4952" t="s">
        <v>37793</v>
      </c>
      <c r="V4952" t="s">
        <v>42540</v>
      </c>
      <c r="W4952" t="s">
        <v>30975</v>
      </c>
      <c r="X4952" t="s">
        <v>32532</v>
      </c>
    </row>
    <row r="4953" spans="1:24">
      <c r="A4953">
        <f>HYPERLINK("https://www.philgeps.gov.ph/GEPSNONPILOT/Tender/SplashBidNoticeAbstractUI.aspx?menuIndex=3&amp;refID=7038932&amp;Result=3","7038932")</f>
        <v>0</v>
      </c>
      <c r="B4953" t="s">
        <v>1672</v>
      </c>
      <c r="C4953" t="s">
        <v>7415</v>
      </c>
      <c r="D4953" t="s">
        <v>12990</v>
      </c>
      <c r="E4953" t="s">
        <v>17508</v>
      </c>
      <c r="F4953" t="s">
        <v>22436</v>
      </c>
      <c r="G4953" t="s">
        <v>22444</v>
      </c>
      <c r="H4953" t="s">
        <v>22454</v>
      </c>
      <c r="I4953" t="s">
        <v>7738</v>
      </c>
      <c r="J4953" t="s">
        <v>23643</v>
      </c>
      <c r="K4953" t="s">
        <v>29329</v>
      </c>
      <c r="M4953" t="s">
        <v>31370</v>
      </c>
      <c r="N4953" t="s">
        <v>32524</v>
      </c>
      <c r="O4953" t="s">
        <v>32525</v>
      </c>
      <c r="P4953">
        <v>0</v>
      </c>
      <c r="Q4953">
        <v>0</v>
      </c>
      <c r="R4953" t="s">
        <v>32531</v>
      </c>
      <c r="S4953" t="s">
        <v>32586</v>
      </c>
      <c r="T4953" t="s">
        <v>33249</v>
      </c>
      <c r="U4953" t="s">
        <v>37794</v>
      </c>
      <c r="V4953" t="s">
        <v>42957</v>
      </c>
      <c r="W4953" t="s">
        <v>31370</v>
      </c>
      <c r="X4953" t="s">
        <v>32532</v>
      </c>
    </row>
    <row r="4954" spans="1:24">
      <c r="A4954">
        <f>HYPERLINK("https://www.philgeps.gov.ph/GEPSNONPILOT/Tender/SplashBidNoticeAbstractUI.aspx?menuIndex=3&amp;refID=7038941&amp;Result=3","7038941")</f>
        <v>0</v>
      </c>
      <c r="B4954" t="s">
        <v>1342</v>
      </c>
      <c r="C4954" t="s">
        <v>7416</v>
      </c>
      <c r="D4954" t="s">
        <v>13011</v>
      </c>
      <c r="E4954" t="s">
        <v>17509</v>
      </c>
      <c r="F4954" t="s">
        <v>22436</v>
      </c>
      <c r="G4954" t="s">
        <v>22445</v>
      </c>
      <c r="H4954" t="s">
        <v>22452</v>
      </c>
      <c r="I4954" t="s">
        <v>22489</v>
      </c>
      <c r="J4954" t="s">
        <v>25835</v>
      </c>
      <c r="K4954" t="s">
        <v>29338</v>
      </c>
      <c r="M4954" t="s">
        <v>30997</v>
      </c>
      <c r="N4954" t="s">
        <v>32524</v>
      </c>
      <c r="O4954" t="s">
        <v>32525</v>
      </c>
      <c r="P4954">
        <v>0</v>
      </c>
      <c r="Q4954">
        <v>7</v>
      </c>
      <c r="R4954" t="s">
        <v>32531</v>
      </c>
      <c r="S4954" t="s">
        <v>32586</v>
      </c>
      <c r="T4954" t="s">
        <v>33220</v>
      </c>
      <c r="U4954" t="s">
        <v>36805</v>
      </c>
      <c r="W4954" t="s">
        <v>30997</v>
      </c>
      <c r="X4954" t="s">
        <v>32532</v>
      </c>
    </row>
    <row r="4955" spans="1:24">
      <c r="A4955">
        <f>HYPERLINK("https://www.philgeps.gov.ph/GEPSNONPILOT/Tender/SplashBidNoticeAbstractUI.aspx?menuIndex=3&amp;refID=7038901&amp;Result=3","7038901")</f>
        <v>0</v>
      </c>
      <c r="B4955" t="s">
        <v>1673</v>
      </c>
      <c r="C4955" t="s">
        <v>7417</v>
      </c>
      <c r="D4955" t="s">
        <v>13013</v>
      </c>
      <c r="E4955" t="s">
        <v>15001</v>
      </c>
      <c r="F4955" t="s">
        <v>22436</v>
      </c>
      <c r="G4955" t="s">
        <v>22443</v>
      </c>
      <c r="H4955" t="s">
        <v>22452</v>
      </c>
      <c r="I4955" t="s">
        <v>22486</v>
      </c>
      <c r="J4955" t="s">
        <v>25836</v>
      </c>
      <c r="K4955" t="s">
        <v>29338</v>
      </c>
      <c r="M4955" t="s">
        <v>31371</v>
      </c>
      <c r="N4955" t="s">
        <v>32524</v>
      </c>
      <c r="O4955" t="s">
        <v>32525</v>
      </c>
      <c r="P4955">
        <v>0</v>
      </c>
      <c r="Q4955">
        <v>0</v>
      </c>
      <c r="R4955" t="s">
        <v>32531</v>
      </c>
      <c r="S4955" t="s">
        <v>32586</v>
      </c>
      <c r="T4955" t="s">
        <v>33209</v>
      </c>
      <c r="U4955" t="s">
        <v>37795</v>
      </c>
      <c r="W4955" t="s">
        <v>31371</v>
      </c>
      <c r="X4955" t="s">
        <v>32532</v>
      </c>
    </row>
    <row r="4956" spans="1:24">
      <c r="A4956">
        <f>HYPERLINK("https://www.philgeps.gov.ph/GEPSNONPILOT/Tender/SplashBidNoticeAbstractUI.aspx?menuIndex=3&amp;refID=7038923&amp;Result=3","7038923")</f>
        <v>0</v>
      </c>
      <c r="B4956" t="s">
        <v>332</v>
      </c>
      <c r="C4956" t="s">
        <v>7418</v>
      </c>
      <c r="D4956" t="s">
        <v>13013</v>
      </c>
      <c r="E4956" t="s">
        <v>17510</v>
      </c>
      <c r="F4956" t="s">
        <v>22436</v>
      </c>
      <c r="G4956" t="s">
        <v>22443</v>
      </c>
      <c r="H4956" t="s">
        <v>22452</v>
      </c>
      <c r="I4956" t="s">
        <v>22482</v>
      </c>
      <c r="J4956" t="s">
        <v>25837</v>
      </c>
      <c r="K4956" t="s">
        <v>29334</v>
      </c>
      <c r="M4956" t="s">
        <v>29908</v>
      </c>
      <c r="N4956" t="s">
        <v>32524</v>
      </c>
      <c r="O4956" t="s">
        <v>32525</v>
      </c>
      <c r="P4956">
        <v>0</v>
      </c>
      <c r="Q4956">
        <v>3</v>
      </c>
      <c r="R4956" t="s">
        <v>32531</v>
      </c>
      <c r="S4956" t="s">
        <v>32586</v>
      </c>
      <c r="T4956" t="s">
        <v>33185</v>
      </c>
      <c r="U4956" t="s">
        <v>37796</v>
      </c>
      <c r="W4956" t="s">
        <v>43678</v>
      </c>
      <c r="X4956" t="s">
        <v>32532</v>
      </c>
    </row>
    <row r="4957" spans="1:24">
      <c r="A4957">
        <f>HYPERLINK("https://www.philgeps.gov.ph/GEPSNONPILOT/Tender/SplashBidNoticeAbstractUI.aspx?menuIndex=3&amp;refID=7038935&amp;Result=3","7038935")</f>
        <v>0</v>
      </c>
      <c r="B4957" t="s">
        <v>1674</v>
      </c>
      <c r="C4957" t="s">
        <v>7419</v>
      </c>
      <c r="D4957" t="s">
        <v>13026</v>
      </c>
      <c r="E4957" t="s">
        <v>17511</v>
      </c>
      <c r="F4957" t="s">
        <v>22436</v>
      </c>
      <c r="G4957" t="s">
        <v>22444</v>
      </c>
      <c r="H4957" t="s">
        <v>22454</v>
      </c>
      <c r="I4957" t="s">
        <v>6387</v>
      </c>
      <c r="J4957" t="s">
        <v>22836</v>
      </c>
      <c r="K4957" t="s">
        <v>29333</v>
      </c>
      <c r="M4957" t="s">
        <v>31372</v>
      </c>
      <c r="N4957" t="s">
        <v>32524</v>
      </c>
      <c r="O4957" t="s">
        <v>32525</v>
      </c>
      <c r="P4957">
        <v>0</v>
      </c>
      <c r="Q4957">
        <v>1</v>
      </c>
      <c r="R4957" t="s">
        <v>32531</v>
      </c>
      <c r="S4957" t="s">
        <v>32586</v>
      </c>
      <c r="T4957" t="s">
        <v>33209</v>
      </c>
      <c r="U4957" t="s">
        <v>37797</v>
      </c>
      <c r="W4957" t="s">
        <v>31372</v>
      </c>
      <c r="X4957" t="s">
        <v>32532</v>
      </c>
    </row>
    <row r="4958" spans="1:24">
      <c r="A4958">
        <f>HYPERLINK("https://www.philgeps.gov.ph/GEPSNONPILOT/Tender/SplashBidNoticeAbstractUI.aspx?menuIndex=3&amp;refID=7038940&amp;Result=3","7038940")</f>
        <v>0</v>
      </c>
      <c r="B4958" t="s">
        <v>1675</v>
      </c>
      <c r="C4958" t="s">
        <v>7420</v>
      </c>
      <c r="D4958" t="s">
        <v>13006</v>
      </c>
      <c r="E4958" t="s">
        <v>17512</v>
      </c>
      <c r="F4958" t="s">
        <v>22436</v>
      </c>
      <c r="G4958" t="s">
        <v>22444</v>
      </c>
      <c r="H4958" t="s">
        <v>22452</v>
      </c>
      <c r="I4958" t="s">
        <v>22474</v>
      </c>
      <c r="J4958" t="s">
        <v>22943</v>
      </c>
      <c r="K4958" t="s">
        <v>29331</v>
      </c>
      <c r="M4958" t="s">
        <v>31373</v>
      </c>
      <c r="N4958" t="s">
        <v>32524</v>
      </c>
      <c r="O4958" t="s">
        <v>32525</v>
      </c>
      <c r="P4958">
        <v>0</v>
      </c>
      <c r="Q4958">
        <v>5</v>
      </c>
      <c r="R4958" t="s">
        <v>32531</v>
      </c>
      <c r="S4958" t="s">
        <v>32586</v>
      </c>
      <c r="T4958" t="s">
        <v>33480</v>
      </c>
      <c r="U4958" t="s">
        <v>37798</v>
      </c>
      <c r="W4958" t="s">
        <v>43730</v>
      </c>
      <c r="X4958" t="s">
        <v>32532</v>
      </c>
    </row>
    <row r="4959" spans="1:24">
      <c r="A4959">
        <f>HYPERLINK("https://www.philgeps.gov.ph/GEPSNONPILOT/Tender/SplashBidNoticeAbstractUI.aspx?menuIndex=3&amp;refID=7038958&amp;Result=3","7038958")</f>
        <v>0</v>
      </c>
      <c r="B4959" t="s">
        <v>1621</v>
      </c>
      <c r="C4959" t="s">
        <v>7421</v>
      </c>
      <c r="D4959" t="s">
        <v>13007</v>
      </c>
      <c r="E4959" t="s">
        <v>17513</v>
      </c>
      <c r="F4959" t="s">
        <v>22436</v>
      </c>
      <c r="G4959" t="s">
        <v>22443</v>
      </c>
      <c r="H4959" t="s">
        <v>22452</v>
      </c>
      <c r="I4959" t="s">
        <v>22471</v>
      </c>
      <c r="J4959" t="s">
        <v>25838</v>
      </c>
      <c r="K4959" t="s">
        <v>29331</v>
      </c>
      <c r="M4959" t="s">
        <v>31306</v>
      </c>
      <c r="N4959" t="s">
        <v>32524</v>
      </c>
      <c r="O4959" t="s">
        <v>32525</v>
      </c>
      <c r="P4959">
        <v>0</v>
      </c>
      <c r="Q4959">
        <v>1</v>
      </c>
      <c r="R4959" t="s">
        <v>32531</v>
      </c>
      <c r="S4959" t="s">
        <v>32586</v>
      </c>
      <c r="T4959" t="s">
        <v>33238</v>
      </c>
      <c r="U4959" t="s">
        <v>37799</v>
      </c>
      <c r="W4959" t="s">
        <v>43728</v>
      </c>
      <c r="X4959" t="s">
        <v>32532</v>
      </c>
    </row>
    <row r="4960" spans="1:24">
      <c r="A4960">
        <f>HYPERLINK("https://www.philgeps.gov.ph/GEPSNONPILOT/Tender/SplashBidNoticeAbstractUI.aspx?menuIndex=3&amp;refID=7038957&amp;Result=3","7038957")</f>
        <v>0</v>
      </c>
      <c r="B4960" t="s">
        <v>348</v>
      </c>
      <c r="C4960" t="s">
        <v>7422</v>
      </c>
      <c r="D4960" t="s">
        <v>13038</v>
      </c>
      <c r="E4960" t="s">
        <v>17514</v>
      </c>
      <c r="F4960" t="s">
        <v>22436</v>
      </c>
      <c r="G4960" t="s">
        <v>22444</v>
      </c>
      <c r="H4960" t="s">
        <v>22454</v>
      </c>
      <c r="I4960" t="s">
        <v>7738</v>
      </c>
      <c r="J4960" t="s">
        <v>25839</v>
      </c>
      <c r="K4960" t="s">
        <v>29408</v>
      </c>
      <c r="M4960" t="s">
        <v>31320</v>
      </c>
      <c r="N4960" t="s">
        <v>32524</v>
      </c>
      <c r="O4960" t="s">
        <v>32525</v>
      </c>
      <c r="P4960">
        <v>0</v>
      </c>
      <c r="Q4960">
        <v>1</v>
      </c>
      <c r="R4960" t="s">
        <v>32531</v>
      </c>
      <c r="S4960" t="s">
        <v>32586</v>
      </c>
      <c r="T4960" t="s">
        <v>33452</v>
      </c>
      <c r="U4960" t="s">
        <v>37800</v>
      </c>
      <c r="W4960" t="s">
        <v>31320</v>
      </c>
      <c r="X4960" t="s">
        <v>32532</v>
      </c>
    </row>
    <row r="4961" spans="1:24">
      <c r="A4961">
        <f>HYPERLINK("https://www.philgeps.gov.ph/GEPSNONPILOT/Tender/SplashBidNoticeAbstractUI.aspx?menuIndex=3&amp;refID=7038962&amp;Result=3","7038962")</f>
        <v>0</v>
      </c>
      <c r="B4961" t="s">
        <v>1676</v>
      </c>
      <c r="C4961" t="s">
        <v>7423</v>
      </c>
      <c r="D4961" t="s">
        <v>12993</v>
      </c>
      <c r="E4961" t="s">
        <v>17515</v>
      </c>
      <c r="F4961" t="s">
        <v>22436</v>
      </c>
      <c r="G4961" t="s">
        <v>22443</v>
      </c>
      <c r="H4961" t="s">
        <v>22452</v>
      </c>
      <c r="I4961" t="s">
        <v>22525</v>
      </c>
      <c r="J4961" t="s">
        <v>25840</v>
      </c>
      <c r="K4961" t="s">
        <v>29335</v>
      </c>
      <c r="M4961" t="s">
        <v>31374</v>
      </c>
      <c r="N4961" t="s">
        <v>32524</v>
      </c>
      <c r="O4961" t="s">
        <v>32525</v>
      </c>
      <c r="P4961">
        <v>0</v>
      </c>
      <c r="Q4961">
        <v>3</v>
      </c>
      <c r="R4961" t="s">
        <v>32531</v>
      </c>
      <c r="S4961" t="s">
        <v>32586</v>
      </c>
      <c r="T4961" t="s">
        <v>33372</v>
      </c>
      <c r="U4961" t="s">
        <v>37801</v>
      </c>
      <c r="W4961" t="s">
        <v>31374</v>
      </c>
      <c r="X4961" t="s">
        <v>32532</v>
      </c>
    </row>
    <row r="4962" spans="1:24">
      <c r="A4962">
        <f>HYPERLINK("https://www.philgeps.gov.ph/GEPSNONPILOT/Tender/SplashBidNoticeAbstractUI.aspx?menuIndex=3&amp;refID=7038953&amp;Result=3","7038953")</f>
        <v>0</v>
      </c>
      <c r="B4962" t="s">
        <v>1677</v>
      </c>
      <c r="C4962" t="s">
        <v>5265</v>
      </c>
      <c r="D4962" t="s">
        <v>12990</v>
      </c>
      <c r="E4962" t="s">
        <v>14777</v>
      </c>
      <c r="F4962" t="s">
        <v>22436</v>
      </c>
      <c r="G4962" t="s">
        <v>22444</v>
      </c>
      <c r="H4962" t="s">
        <v>22452</v>
      </c>
      <c r="I4962" t="s">
        <v>2981</v>
      </c>
      <c r="J4962" t="s">
        <v>25841</v>
      </c>
      <c r="K4962" t="s">
        <v>29338</v>
      </c>
      <c r="M4962" t="s">
        <v>31375</v>
      </c>
      <c r="N4962" t="s">
        <v>32524</v>
      </c>
      <c r="O4962" t="s">
        <v>32525</v>
      </c>
      <c r="P4962">
        <v>0</v>
      </c>
      <c r="Q4962">
        <v>0</v>
      </c>
      <c r="R4962" t="s">
        <v>32531</v>
      </c>
      <c r="S4962" t="s">
        <v>32586</v>
      </c>
      <c r="T4962" t="s">
        <v>33180</v>
      </c>
      <c r="U4962" t="s">
        <v>37802</v>
      </c>
      <c r="W4962" t="s">
        <v>31375</v>
      </c>
      <c r="X4962" t="s">
        <v>32532</v>
      </c>
    </row>
    <row r="4963" spans="1:24">
      <c r="A4963">
        <f>HYPERLINK("https://www.philgeps.gov.ph/GEPSNONPILOT/Tender/SplashBidNoticeAbstractUI.aspx?menuIndex=3&amp;refID=7038952&amp;Result=3","7038952")</f>
        <v>0</v>
      </c>
      <c r="B4963" t="s">
        <v>1673</v>
      </c>
      <c r="C4963" t="s">
        <v>7424</v>
      </c>
      <c r="D4963" t="s">
        <v>13013</v>
      </c>
      <c r="E4963" t="s">
        <v>17516</v>
      </c>
      <c r="F4963" t="s">
        <v>22436</v>
      </c>
      <c r="G4963" t="s">
        <v>22443</v>
      </c>
      <c r="H4963" t="s">
        <v>22452</v>
      </c>
      <c r="I4963" t="s">
        <v>22467</v>
      </c>
      <c r="J4963" t="s">
        <v>23226</v>
      </c>
      <c r="K4963" t="s">
        <v>29338</v>
      </c>
      <c r="M4963" t="s">
        <v>31371</v>
      </c>
      <c r="N4963" t="s">
        <v>32524</v>
      </c>
      <c r="O4963" t="s">
        <v>32525</v>
      </c>
      <c r="P4963">
        <v>0</v>
      </c>
      <c r="Q4963">
        <v>0</v>
      </c>
      <c r="R4963" t="s">
        <v>32531</v>
      </c>
      <c r="S4963" t="s">
        <v>32586</v>
      </c>
      <c r="T4963" t="s">
        <v>33209</v>
      </c>
      <c r="U4963" t="s">
        <v>37803</v>
      </c>
      <c r="W4963" t="s">
        <v>31371</v>
      </c>
      <c r="X4963" t="s">
        <v>32532</v>
      </c>
    </row>
    <row r="4964" spans="1:24">
      <c r="A4964">
        <f>HYPERLINK("https://www.philgeps.gov.ph/GEPSNONPILOT/Tender/SplashBidNoticeAbstractUI.aspx?menuIndex=3&amp;refID=7038927&amp;Result=3","7038927")</f>
        <v>0</v>
      </c>
      <c r="B4964" t="s">
        <v>1349</v>
      </c>
      <c r="C4964" t="s">
        <v>7425</v>
      </c>
      <c r="D4964" t="s">
        <v>13038</v>
      </c>
      <c r="E4964" t="s">
        <v>17517</v>
      </c>
      <c r="F4964" t="s">
        <v>22436</v>
      </c>
      <c r="G4964" t="s">
        <v>22443</v>
      </c>
      <c r="H4964" t="s">
        <v>22452</v>
      </c>
      <c r="I4964" t="s">
        <v>3358</v>
      </c>
      <c r="J4964" t="s">
        <v>25842</v>
      </c>
      <c r="K4964" t="s">
        <v>29340</v>
      </c>
      <c r="M4964" t="s">
        <v>31004</v>
      </c>
      <c r="N4964" t="s">
        <v>32524</v>
      </c>
      <c r="O4964" t="s">
        <v>32525</v>
      </c>
      <c r="P4964">
        <v>0</v>
      </c>
      <c r="Q4964">
        <v>1</v>
      </c>
      <c r="R4964" t="s">
        <v>32531</v>
      </c>
      <c r="S4964" t="s">
        <v>32586</v>
      </c>
      <c r="T4964" t="s">
        <v>33296</v>
      </c>
      <c r="U4964" t="s">
        <v>37804</v>
      </c>
      <c r="V4964" t="s">
        <v>42808</v>
      </c>
      <c r="W4964" t="s">
        <v>31004</v>
      </c>
      <c r="X4964" t="s">
        <v>32532</v>
      </c>
    </row>
    <row r="4965" spans="1:24">
      <c r="A4965">
        <f>HYPERLINK("https://www.philgeps.gov.ph/GEPSNONPILOT/Tender/SplashBidNoticeAbstractUI.aspx?menuIndex=3&amp;refID=7038945&amp;Result=3","7038945")</f>
        <v>0</v>
      </c>
      <c r="B4965" t="s">
        <v>456</v>
      </c>
      <c r="C4965" t="s">
        <v>7426</v>
      </c>
      <c r="D4965" t="s">
        <v>13045</v>
      </c>
      <c r="E4965" t="s">
        <v>17518</v>
      </c>
      <c r="F4965" t="s">
        <v>22436</v>
      </c>
      <c r="G4965" t="s">
        <v>22444</v>
      </c>
      <c r="H4965" t="s">
        <v>22455</v>
      </c>
      <c r="I4965" t="s">
        <v>22455</v>
      </c>
      <c r="J4965" t="s">
        <v>25843</v>
      </c>
      <c r="K4965" t="s">
        <v>29373</v>
      </c>
      <c r="M4965" t="s">
        <v>30038</v>
      </c>
      <c r="N4965" t="s">
        <v>32524</v>
      </c>
      <c r="O4965" t="s">
        <v>32525</v>
      </c>
      <c r="P4965">
        <v>0</v>
      </c>
      <c r="Q4965">
        <v>1</v>
      </c>
      <c r="R4965" t="s">
        <v>32531</v>
      </c>
      <c r="S4965" t="s">
        <v>32586</v>
      </c>
      <c r="T4965" t="s">
        <v>33217</v>
      </c>
      <c r="U4965" t="s">
        <v>37805</v>
      </c>
      <c r="V4965" t="s">
        <v>42958</v>
      </c>
      <c r="W4965" t="s">
        <v>30038</v>
      </c>
      <c r="X4965" t="s">
        <v>32532</v>
      </c>
    </row>
    <row r="4966" spans="1:24">
      <c r="A4966">
        <f>HYPERLINK("https://www.philgeps.gov.ph/GEPSNONPILOT/Tender/SplashBidNoticeAbstractUI.aspx?menuIndex=3&amp;refID=7038987&amp;Result=3","7038987")</f>
        <v>0</v>
      </c>
      <c r="B4966" t="s">
        <v>1270</v>
      </c>
      <c r="C4966" t="s">
        <v>7427</v>
      </c>
      <c r="D4966" t="s">
        <v>13035</v>
      </c>
      <c r="E4966" t="s">
        <v>17519</v>
      </c>
      <c r="F4966" t="s">
        <v>22436</v>
      </c>
      <c r="G4966" t="s">
        <v>22444</v>
      </c>
      <c r="H4966" t="s">
        <v>22452</v>
      </c>
      <c r="I4966" t="s">
        <v>3122</v>
      </c>
      <c r="J4966" t="s">
        <v>25741</v>
      </c>
      <c r="K4966" t="s">
        <v>29331</v>
      </c>
      <c r="M4966" t="s">
        <v>30923</v>
      </c>
      <c r="N4966" t="s">
        <v>32524</v>
      </c>
      <c r="O4966" t="s">
        <v>32525</v>
      </c>
      <c r="P4966">
        <v>0</v>
      </c>
      <c r="Q4966">
        <v>0</v>
      </c>
      <c r="R4966" t="s">
        <v>32531</v>
      </c>
      <c r="S4966" t="s">
        <v>32586</v>
      </c>
      <c r="T4966" t="s">
        <v>33293</v>
      </c>
      <c r="U4966" t="s">
        <v>37672</v>
      </c>
      <c r="W4966" t="s">
        <v>30923</v>
      </c>
      <c r="X4966" t="s">
        <v>32532</v>
      </c>
    </row>
    <row r="4967" spans="1:24">
      <c r="A4967">
        <f>HYPERLINK("https://www.philgeps.gov.ph/GEPSNONPILOT/Tender/SplashBidNoticeAbstractUI.aspx?menuIndex=3&amp;refID=7038946&amp;Result=3","7038946")</f>
        <v>0</v>
      </c>
      <c r="B4967" t="s">
        <v>1643</v>
      </c>
      <c r="C4967" t="s">
        <v>7428</v>
      </c>
      <c r="D4967" t="s">
        <v>13073</v>
      </c>
      <c r="E4967" t="s">
        <v>17520</v>
      </c>
      <c r="F4967" t="s">
        <v>22436</v>
      </c>
      <c r="G4967" t="s">
        <v>22444</v>
      </c>
      <c r="H4967" t="s">
        <v>22452</v>
      </c>
      <c r="I4967" t="s">
        <v>22460</v>
      </c>
      <c r="J4967" t="s">
        <v>25844</v>
      </c>
      <c r="K4967" t="s">
        <v>29331</v>
      </c>
      <c r="M4967" t="s">
        <v>31336</v>
      </c>
      <c r="N4967" t="s">
        <v>32524</v>
      </c>
      <c r="O4967" t="s">
        <v>32525</v>
      </c>
      <c r="P4967">
        <v>0</v>
      </c>
      <c r="Q4967">
        <v>1</v>
      </c>
      <c r="R4967" t="s">
        <v>32531</v>
      </c>
      <c r="S4967" t="s">
        <v>32586</v>
      </c>
      <c r="T4967" t="s">
        <v>33423</v>
      </c>
      <c r="U4967" t="s">
        <v>37671</v>
      </c>
      <c r="W4967" t="s">
        <v>31336</v>
      </c>
      <c r="X4967" t="s">
        <v>32532</v>
      </c>
    </row>
    <row r="4968" spans="1:24">
      <c r="A4968">
        <f>HYPERLINK("https://www.philgeps.gov.ph/GEPSNONPILOT/Tender/SplashBidNoticeAbstractUI.aspx?menuIndex=3&amp;refID=7038950&amp;Result=3","7038950")</f>
        <v>0</v>
      </c>
      <c r="B4968" t="s">
        <v>1601</v>
      </c>
      <c r="C4968" t="s">
        <v>7429</v>
      </c>
      <c r="D4968" t="s">
        <v>13001</v>
      </c>
      <c r="E4968" t="s">
        <v>17521</v>
      </c>
      <c r="F4968" t="s">
        <v>22436</v>
      </c>
      <c r="G4968" t="s">
        <v>22444</v>
      </c>
      <c r="H4968" t="s">
        <v>22454</v>
      </c>
      <c r="I4968" t="s">
        <v>7738</v>
      </c>
      <c r="J4968" t="s">
        <v>25845</v>
      </c>
      <c r="K4968" t="s">
        <v>29408</v>
      </c>
      <c r="M4968" t="s">
        <v>31285</v>
      </c>
      <c r="N4968" t="s">
        <v>32524</v>
      </c>
      <c r="O4968" t="s">
        <v>32525</v>
      </c>
      <c r="Q4968">
        <v>15</v>
      </c>
      <c r="R4968" t="s">
        <v>32531</v>
      </c>
      <c r="S4968" t="s">
        <v>32597</v>
      </c>
      <c r="T4968" t="s">
        <v>33190</v>
      </c>
      <c r="U4968" t="s">
        <v>37806</v>
      </c>
      <c r="V4968" t="s">
        <v>42933</v>
      </c>
      <c r="W4968" t="s">
        <v>31285</v>
      </c>
      <c r="X4968" t="s">
        <v>32532</v>
      </c>
    </row>
    <row r="4969" spans="1:24">
      <c r="A4969">
        <f>HYPERLINK("https://www.philgeps.gov.ph/GEPSNONPILOT/Tender/SplashBidNoticeAbstractUI.aspx?menuIndex=3&amp;refID=7038972&amp;Result=3","7038972")</f>
        <v>0</v>
      </c>
      <c r="B4969" t="s">
        <v>1677</v>
      </c>
      <c r="C4969" t="s">
        <v>5224</v>
      </c>
      <c r="D4969" t="s">
        <v>12990</v>
      </c>
      <c r="E4969" t="s">
        <v>15499</v>
      </c>
      <c r="F4969" t="s">
        <v>22436</v>
      </c>
      <c r="G4969" t="s">
        <v>22444</v>
      </c>
      <c r="H4969" t="s">
        <v>22452</v>
      </c>
      <c r="I4969" t="s">
        <v>2981</v>
      </c>
      <c r="J4969" t="s">
        <v>24879</v>
      </c>
      <c r="K4969" t="s">
        <v>29338</v>
      </c>
      <c r="M4969" t="s">
        <v>31375</v>
      </c>
      <c r="N4969" t="s">
        <v>32524</v>
      </c>
      <c r="O4969" t="s">
        <v>32525</v>
      </c>
      <c r="P4969">
        <v>0</v>
      </c>
      <c r="Q4969">
        <v>0</v>
      </c>
      <c r="R4969" t="s">
        <v>32531</v>
      </c>
      <c r="S4969" t="s">
        <v>32586</v>
      </c>
      <c r="T4969" t="s">
        <v>33180</v>
      </c>
      <c r="U4969" t="s">
        <v>37807</v>
      </c>
      <c r="W4969" t="s">
        <v>31375</v>
      </c>
      <c r="X4969" t="s">
        <v>32532</v>
      </c>
    </row>
    <row r="4970" spans="1:24">
      <c r="A4970">
        <f>HYPERLINK("https://www.philgeps.gov.ph/GEPSNONPILOT/Tender/SplashBidNoticeAbstractUI.aspx?menuIndex=3&amp;refID=7038975&amp;Result=3","7038975")</f>
        <v>0</v>
      </c>
      <c r="B4970" t="s">
        <v>1646</v>
      </c>
      <c r="C4970" t="s">
        <v>7430</v>
      </c>
      <c r="D4970" t="s">
        <v>13068</v>
      </c>
      <c r="E4970" t="s">
        <v>17522</v>
      </c>
      <c r="F4970" t="s">
        <v>22436</v>
      </c>
      <c r="G4970" t="s">
        <v>22444</v>
      </c>
      <c r="H4970" t="s">
        <v>22452</v>
      </c>
      <c r="I4970" t="s">
        <v>7738</v>
      </c>
      <c r="J4970" t="s">
        <v>25846</v>
      </c>
      <c r="K4970" t="s">
        <v>29329</v>
      </c>
      <c r="M4970" t="s">
        <v>31339</v>
      </c>
      <c r="N4970" t="s">
        <v>32524</v>
      </c>
      <c r="O4970" t="s">
        <v>32525</v>
      </c>
      <c r="P4970">
        <v>0</v>
      </c>
      <c r="Q4970">
        <v>0</v>
      </c>
      <c r="R4970" t="s">
        <v>32531</v>
      </c>
      <c r="S4970" t="s">
        <v>32586</v>
      </c>
      <c r="T4970" t="s">
        <v>33218</v>
      </c>
      <c r="U4970" t="s">
        <v>37808</v>
      </c>
      <c r="V4970" t="s">
        <v>42959</v>
      </c>
      <c r="W4970" t="s">
        <v>31339</v>
      </c>
      <c r="X4970" t="s">
        <v>32532</v>
      </c>
    </row>
    <row r="4971" spans="1:24">
      <c r="A4971">
        <f>HYPERLINK("https://www.philgeps.gov.ph/GEPSNONPILOT/Tender/SplashBidNoticeAbstractUI.aspx?menuIndex=3&amp;refID=7038979&amp;Result=3","7038979")</f>
        <v>0</v>
      </c>
      <c r="B4971" t="s">
        <v>1678</v>
      </c>
      <c r="C4971" t="s">
        <v>7431</v>
      </c>
      <c r="D4971" t="s">
        <v>13030</v>
      </c>
      <c r="E4971" t="s">
        <v>13551</v>
      </c>
      <c r="F4971" t="s">
        <v>22436</v>
      </c>
      <c r="G4971" t="s">
        <v>22444</v>
      </c>
      <c r="H4971" t="s">
        <v>22454</v>
      </c>
      <c r="I4971" t="s">
        <v>7738</v>
      </c>
      <c r="J4971" t="s">
        <v>22616</v>
      </c>
      <c r="K4971" t="s">
        <v>29335</v>
      </c>
      <c r="M4971" t="s">
        <v>31376</v>
      </c>
      <c r="N4971" t="s">
        <v>32524</v>
      </c>
      <c r="O4971" t="s">
        <v>32525</v>
      </c>
      <c r="P4971">
        <v>0</v>
      </c>
      <c r="Q4971">
        <v>0</v>
      </c>
      <c r="R4971" t="s">
        <v>32531</v>
      </c>
      <c r="S4971" t="s">
        <v>32586</v>
      </c>
      <c r="T4971" t="s">
        <v>33417</v>
      </c>
      <c r="U4971" t="s">
        <v>37809</v>
      </c>
      <c r="W4971" t="s">
        <v>31376</v>
      </c>
      <c r="X4971" t="s">
        <v>32532</v>
      </c>
    </row>
    <row r="4972" spans="1:24">
      <c r="A4972">
        <f>HYPERLINK("https://www.philgeps.gov.ph/GEPSNONPILOT/Tender/SplashBidNoticeAbstractUI.aspx?menuIndex=3&amp;refID=7038943&amp;Result=3","7038943")</f>
        <v>0</v>
      </c>
      <c r="B4972" t="s">
        <v>763</v>
      </c>
      <c r="C4972" t="s">
        <v>7432</v>
      </c>
      <c r="D4972" t="s">
        <v>13013</v>
      </c>
      <c r="E4972" t="s">
        <v>17523</v>
      </c>
      <c r="F4972" t="s">
        <v>22436</v>
      </c>
      <c r="G4972" t="s">
        <v>22444</v>
      </c>
      <c r="H4972" t="s">
        <v>22452</v>
      </c>
      <c r="I4972" t="s">
        <v>22469</v>
      </c>
      <c r="J4972" t="s">
        <v>24169</v>
      </c>
      <c r="K4972" t="s">
        <v>29341</v>
      </c>
      <c r="M4972" t="s">
        <v>30364</v>
      </c>
      <c r="N4972" t="s">
        <v>32524</v>
      </c>
      <c r="O4972" t="s">
        <v>32525</v>
      </c>
      <c r="P4972">
        <v>0</v>
      </c>
      <c r="Q4972">
        <v>2</v>
      </c>
      <c r="R4972" t="s">
        <v>32531</v>
      </c>
      <c r="S4972" t="s">
        <v>32586</v>
      </c>
      <c r="T4972" t="s">
        <v>33405</v>
      </c>
      <c r="U4972" t="s">
        <v>37810</v>
      </c>
      <c r="W4972" t="s">
        <v>30364</v>
      </c>
      <c r="X4972" t="s">
        <v>32532</v>
      </c>
    </row>
    <row r="4973" spans="1:24">
      <c r="A4973">
        <f>HYPERLINK("https://www.philgeps.gov.ph/GEPSNONPILOT/Tender/SplashBidNoticeAbstractUI.aspx?menuIndex=3&amp;refID=7038947&amp;Result=3","7038947")</f>
        <v>0</v>
      </c>
      <c r="B4973" t="s">
        <v>1679</v>
      </c>
      <c r="C4973" t="s">
        <v>7433</v>
      </c>
      <c r="D4973" t="s">
        <v>12988</v>
      </c>
      <c r="E4973" t="s">
        <v>17524</v>
      </c>
      <c r="F4973" t="s">
        <v>22436</v>
      </c>
      <c r="G4973" t="s">
        <v>22443</v>
      </c>
      <c r="H4973" t="s">
        <v>22452</v>
      </c>
      <c r="I4973" t="s">
        <v>22469</v>
      </c>
      <c r="J4973" t="s">
        <v>23349</v>
      </c>
      <c r="K4973" t="s">
        <v>29331</v>
      </c>
      <c r="M4973" t="s">
        <v>31377</v>
      </c>
      <c r="N4973" t="s">
        <v>32524</v>
      </c>
      <c r="O4973" t="s">
        <v>32525</v>
      </c>
      <c r="P4973">
        <v>0</v>
      </c>
      <c r="Q4973">
        <v>4</v>
      </c>
      <c r="R4973" t="s">
        <v>32531</v>
      </c>
      <c r="S4973" t="s">
        <v>32586</v>
      </c>
      <c r="T4973" t="s">
        <v>33220</v>
      </c>
      <c r="U4973" t="s">
        <v>37811</v>
      </c>
      <c r="W4973" t="s">
        <v>31377</v>
      </c>
      <c r="X4973" t="s">
        <v>32532</v>
      </c>
    </row>
    <row r="4974" spans="1:24">
      <c r="A4974">
        <f>HYPERLINK("https://www.philgeps.gov.ph/GEPSNONPILOT/Tender/SplashBidNoticeAbstractUI.aspx?menuIndex=3&amp;refID=7038942&amp;Result=3","7038942")</f>
        <v>0</v>
      </c>
      <c r="B4974" t="s">
        <v>123</v>
      </c>
      <c r="C4974" t="s">
        <v>7434</v>
      </c>
      <c r="D4974" t="s">
        <v>13018</v>
      </c>
      <c r="E4974" t="s">
        <v>17525</v>
      </c>
      <c r="F4974" t="s">
        <v>22436</v>
      </c>
      <c r="G4974" t="s">
        <v>22445</v>
      </c>
      <c r="H4974" t="s">
        <v>22452</v>
      </c>
      <c r="I4974" t="s">
        <v>22541</v>
      </c>
      <c r="J4974" t="s">
        <v>25847</v>
      </c>
      <c r="K4974" t="s">
        <v>29340</v>
      </c>
      <c r="L4974" t="s">
        <v>123</v>
      </c>
      <c r="M4974" t="s">
        <v>29695</v>
      </c>
      <c r="N4974" t="s">
        <v>32524</v>
      </c>
      <c r="O4974" t="s">
        <v>32525</v>
      </c>
      <c r="P4974">
        <v>0</v>
      </c>
      <c r="Q4974">
        <v>0</v>
      </c>
      <c r="R4974" t="s">
        <v>32531</v>
      </c>
      <c r="S4974" t="s">
        <v>32586</v>
      </c>
      <c r="T4974" t="s">
        <v>33161</v>
      </c>
      <c r="U4974" t="s">
        <v>37812</v>
      </c>
      <c r="W4974" t="s">
        <v>29695</v>
      </c>
      <c r="X4974" t="s">
        <v>32532</v>
      </c>
    </row>
    <row r="4975" spans="1:24">
      <c r="A4975">
        <f>HYPERLINK("https://www.philgeps.gov.ph/GEPSNONPILOT/Tender/SplashBidNoticeAbstractUI.aspx?menuIndex=3&amp;refID=7038985&amp;Result=3","7038985")</f>
        <v>0</v>
      </c>
      <c r="B4975" t="s">
        <v>1645</v>
      </c>
      <c r="C4975" t="s">
        <v>7435</v>
      </c>
      <c r="D4975" t="s">
        <v>12992</v>
      </c>
      <c r="E4975" t="s">
        <v>17526</v>
      </c>
      <c r="F4975" t="s">
        <v>22436</v>
      </c>
      <c r="G4975" t="s">
        <v>22444</v>
      </c>
      <c r="H4975" t="s">
        <v>22454</v>
      </c>
      <c r="I4975" t="s">
        <v>7738</v>
      </c>
      <c r="J4975" t="s">
        <v>22634</v>
      </c>
      <c r="K4975" t="s">
        <v>29333</v>
      </c>
      <c r="M4975" t="s">
        <v>31338</v>
      </c>
      <c r="N4975" t="s">
        <v>32524</v>
      </c>
      <c r="O4975" t="s">
        <v>32525</v>
      </c>
      <c r="P4975">
        <v>0</v>
      </c>
      <c r="Q4975">
        <v>0</v>
      </c>
      <c r="R4975" t="s">
        <v>32531</v>
      </c>
      <c r="S4975" t="s">
        <v>32586</v>
      </c>
      <c r="T4975" t="s">
        <v>33481</v>
      </c>
      <c r="U4975" t="s">
        <v>37813</v>
      </c>
      <c r="W4975" t="s">
        <v>31338</v>
      </c>
      <c r="X4975" t="s">
        <v>32532</v>
      </c>
    </row>
    <row r="4976" spans="1:24">
      <c r="A4976">
        <f>HYPERLINK("https://www.philgeps.gov.ph/GEPSNONPILOT/Tender/SplashBidNoticeAbstractUI.aspx?menuIndex=3&amp;refID=7038965&amp;Result=3","7038965")</f>
        <v>0</v>
      </c>
      <c r="B4976" t="s">
        <v>267</v>
      </c>
      <c r="C4976" t="s">
        <v>7436</v>
      </c>
      <c r="D4976" t="s">
        <v>13032</v>
      </c>
      <c r="E4976" t="s">
        <v>17527</v>
      </c>
      <c r="F4976" t="s">
        <v>22436</v>
      </c>
      <c r="G4976" t="s">
        <v>22447</v>
      </c>
      <c r="H4976" t="s">
        <v>22452</v>
      </c>
      <c r="I4976" t="s">
        <v>22468</v>
      </c>
      <c r="J4976" t="s">
        <v>25848</v>
      </c>
      <c r="K4976" t="s">
        <v>29338</v>
      </c>
      <c r="M4976" t="s">
        <v>29841</v>
      </c>
      <c r="N4976" t="s">
        <v>32524</v>
      </c>
      <c r="O4976" t="s">
        <v>32525</v>
      </c>
      <c r="P4976">
        <v>0</v>
      </c>
      <c r="Q4976">
        <v>1</v>
      </c>
      <c r="R4976" t="s">
        <v>32531</v>
      </c>
      <c r="S4976" t="s">
        <v>32586</v>
      </c>
      <c r="T4976" t="s">
        <v>33213</v>
      </c>
      <c r="U4976" t="s">
        <v>37814</v>
      </c>
      <c r="W4976" t="s">
        <v>43690</v>
      </c>
      <c r="X4976" t="s">
        <v>32532</v>
      </c>
    </row>
    <row r="4977" spans="1:24">
      <c r="A4977">
        <f>HYPERLINK("https://www.philgeps.gov.ph/GEPSNONPILOT/Tender/SplashBidNoticeAbstractUI.aspx?menuIndex=3&amp;refID=7038990&amp;Result=3","7038990")</f>
        <v>0</v>
      </c>
      <c r="B4977" t="s">
        <v>348</v>
      </c>
      <c r="C4977" t="s">
        <v>7437</v>
      </c>
      <c r="D4977" t="s">
        <v>13038</v>
      </c>
      <c r="E4977" t="s">
        <v>17528</v>
      </c>
      <c r="F4977" t="s">
        <v>22436</v>
      </c>
      <c r="G4977" t="s">
        <v>22443</v>
      </c>
      <c r="H4977" t="s">
        <v>22454</v>
      </c>
      <c r="I4977" t="s">
        <v>7738</v>
      </c>
      <c r="J4977" t="s">
        <v>25849</v>
      </c>
      <c r="K4977" t="s">
        <v>29335</v>
      </c>
      <c r="M4977" t="s">
        <v>31320</v>
      </c>
      <c r="N4977" t="s">
        <v>32524</v>
      </c>
      <c r="O4977" t="s">
        <v>32525</v>
      </c>
      <c r="P4977">
        <v>0</v>
      </c>
      <c r="Q4977">
        <v>1</v>
      </c>
      <c r="R4977" t="s">
        <v>32531</v>
      </c>
      <c r="S4977" t="s">
        <v>32586</v>
      </c>
      <c r="T4977" t="s">
        <v>33270</v>
      </c>
      <c r="U4977" t="s">
        <v>37815</v>
      </c>
      <c r="W4977" t="s">
        <v>31320</v>
      </c>
      <c r="X4977" t="s">
        <v>32532</v>
      </c>
    </row>
    <row r="4978" spans="1:24">
      <c r="A4978">
        <f>HYPERLINK("https://www.philgeps.gov.ph/GEPSNONPILOT/Tender/SplashBidNoticeAbstractUI.aspx?menuIndex=3&amp;refID=7038996&amp;Result=3","7038996")</f>
        <v>0</v>
      </c>
      <c r="B4978" t="s">
        <v>332</v>
      </c>
      <c r="C4978" t="s">
        <v>7438</v>
      </c>
      <c r="D4978" t="s">
        <v>13013</v>
      </c>
      <c r="E4978" t="s">
        <v>17529</v>
      </c>
      <c r="F4978" t="s">
        <v>22436</v>
      </c>
      <c r="G4978" t="s">
        <v>22443</v>
      </c>
      <c r="H4978" t="s">
        <v>22452</v>
      </c>
      <c r="I4978" t="s">
        <v>3381</v>
      </c>
      <c r="J4978" t="s">
        <v>25850</v>
      </c>
      <c r="K4978" t="s">
        <v>29344</v>
      </c>
      <c r="M4978" t="s">
        <v>29908</v>
      </c>
      <c r="N4978" t="s">
        <v>32524</v>
      </c>
      <c r="O4978" t="s">
        <v>32525</v>
      </c>
      <c r="P4978">
        <v>0</v>
      </c>
      <c r="Q4978">
        <v>1</v>
      </c>
      <c r="R4978" t="s">
        <v>32531</v>
      </c>
      <c r="S4978" t="s">
        <v>32586</v>
      </c>
      <c r="T4978" t="s">
        <v>33185</v>
      </c>
      <c r="U4978" t="s">
        <v>37816</v>
      </c>
      <c r="W4978" t="s">
        <v>43678</v>
      </c>
      <c r="X4978" t="s">
        <v>32532</v>
      </c>
    </row>
    <row r="4979" spans="1:24">
      <c r="A4979">
        <f>HYPERLINK("https://www.philgeps.gov.ph/GEPSNONPILOT/Tender/SplashBidNoticeAbstractUI.aspx?menuIndex=3&amp;refID=7038974&amp;Result=3","7038974")</f>
        <v>0</v>
      </c>
      <c r="B4979" t="s">
        <v>1675</v>
      </c>
      <c r="C4979" t="s">
        <v>7439</v>
      </c>
      <c r="D4979" t="s">
        <v>13006</v>
      </c>
      <c r="E4979" t="s">
        <v>17530</v>
      </c>
      <c r="F4979" t="s">
        <v>22436</v>
      </c>
      <c r="G4979" t="s">
        <v>22444</v>
      </c>
      <c r="H4979" t="s">
        <v>22452</v>
      </c>
      <c r="I4979" t="s">
        <v>22474</v>
      </c>
      <c r="J4979" t="s">
        <v>22634</v>
      </c>
      <c r="K4979" t="s">
        <v>29331</v>
      </c>
      <c r="M4979" t="s">
        <v>31373</v>
      </c>
      <c r="N4979" t="s">
        <v>32524</v>
      </c>
      <c r="O4979" t="s">
        <v>32525</v>
      </c>
      <c r="P4979">
        <v>0</v>
      </c>
      <c r="Q4979">
        <v>3</v>
      </c>
      <c r="R4979" t="s">
        <v>32531</v>
      </c>
      <c r="S4979" t="s">
        <v>32586</v>
      </c>
      <c r="T4979" t="s">
        <v>33480</v>
      </c>
      <c r="U4979" t="s">
        <v>37798</v>
      </c>
      <c r="W4979" t="s">
        <v>43730</v>
      </c>
      <c r="X4979" t="s">
        <v>32532</v>
      </c>
    </row>
    <row r="4980" spans="1:24">
      <c r="A4980">
        <f>HYPERLINK("https://www.philgeps.gov.ph/GEPSNONPILOT/Tender/SplashBidNoticeAbstractUI.aspx?menuIndex=3&amp;refID=7039023&amp;Result=3","7039023")</f>
        <v>0</v>
      </c>
      <c r="B4980" t="s">
        <v>1623</v>
      </c>
      <c r="C4980" t="s">
        <v>7440</v>
      </c>
      <c r="E4980" t="s">
        <v>17531</v>
      </c>
      <c r="F4980" t="s">
        <v>22436</v>
      </c>
      <c r="G4980" t="s">
        <v>22443</v>
      </c>
      <c r="H4980" t="s">
        <v>22452</v>
      </c>
      <c r="I4980" t="s">
        <v>22555</v>
      </c>
      <c r="J4980" t="s">
        <v>25851</v>
      </c>
      <c r="K4980" t="s">
        <v>29335</v>
      </c>
      <c r="M4980" t="s">
        <v>31309</v>
      </c>
      <c r="N4980" t="s">
        <v>32524</v>
      </c>
      <c r="O4980" t="s">
        <v>32525</v>
      </c>
      <c r="P4980">
        <v>0</v>
      </c>
      <c r="Q4980">
        <v>1</v>
      </c>
      <c r="R4980" t="s">
        <v>32531</v>
      </c>
      <c r="S4980" t="s">
        <v>32586</v>
      </c>
      <c r="T4980" t="s">
        <v>33372</v>
      </c>
      <c r="U4980" t="s">
        <v>33876</v>
      </c>
      <c r="W4980" t="s">
        <v>31309</v>
      </c>
      <c r="X4980" t="s">
        <v>32532</v>
      </c>
    </row>
    <row r="4981" spans="1:24">
      <c r="A4981">
        <f>HYPERLINK("https://www.philgeps.gov.ph/GEPSNONPILOT/Tender/SplashBidNoticeAbstractUI.aspx?menuIndex=3&amp;refID=7038991&amp;Result=3","7038991")</f>
        <v>0</v>
      </c>
      <c r="B4981" t="s">
        <v>250</v>
      </c>
      <c r="C4981" t="s">
        <v>7441</v>
      </c>
      <c r="D4981" t="s">
        <v>12999</v>
      </c>
      <c r="E4981" t="s">
        <v>14252</v>
      </c>
      <c r="F4981" t="s">
        <v>22438</v>
      </c>
      <c r="G4981" t="s">
        <v>22443</v>
      </c>
      <c r="H4981" t="s">
        <v>22453</v>
      </c>
      <c r="I4981" t="s">
        <v>3027</v>
      </c>
      <c r="J4981" t="s">
        <v>23654</v>
      </c>
      <c r="K4981" t="s">
        <v>29341</v>
      </c>
      <c r="M4981" t="s">
        <v>29824</v>
      </c>
      <c r="N4981" t="s">
        <v>32524</v>
      </c>
      <c r="O4981" t="s">
        <v>32525</v>
      </c>
      <c r="P4981">
        <v>0</v>
      </c>
      <c r="Q4981">
        <v>1</v>
      </c>
      <c r="R4981" t="s">
        <v>32531</v>
      </c>
      <c r="S4981" t="s">
        <v>32586</v>
      </c>
      <c r="T4981" t="s">
        <v>33451</v>
      </c>
      <c r="U4981" t="s">
        <v>37817</v>
      </c>
      <c r="V4981" t="s">
        <v>42960</v>
      </c>
      <c r="W4981" t="s">
        <v>29824</v>
      </c>
      <c r="X4981" t="s">
        <v>32532</v>
      </c>
    </row>
    <row r="4982" spans="1:24">
      <c r="A4982">
        <f>HYPERLINK("https://www.philgeps.gov.ph/GEPSNONPILOT/Tender/SplashBidNoticeAbstractUI.aspx?menuIndex=3&amp;refID=7039008&amp;Result=3","7039008")</f>
        <v>0</v>
      </c>
      <c r="B4982" t="s">
        <v>1427</v>
      </c>
      <c r="C4982" t="s">
        <v>7442</v>
      </c>
      <c r="D4982" t="s">
        <v>13051</v>
      </c>
      <c r="E4982" t="s">
        <v>17532</v>
      </c>
      <c r="F4982" t="s">
        <v>22436</v>
      </c>
      <c r="G4982" t="s">
        <v>22443</v>
      </c>
      <c r="H4982" t="s">
        <v>22452</v>
      </c>
      <c r="I4982" t="s">
        <v>22476</v>
      </c>
      <c r="J4982" t="s">
        <v>22911</v>
      </c>
      <c r="K4982" t="s">
        <v>29335</v>
      </c>
      <c r="M4982" t="s">
        <v>31089</v>
      </c>
      <c r="N4982" t="s">
        <v>32524</v>
      </c>
      <c r="O4982" t="s">
        <v>32525</v>
      </c>
      <c r="P4982">
        <v>0</v>
      </c>
      <c r="Q4982">
        <v>3</v>
      </c>
      <c r="R4982" t="s">
        <v>32531</v>
      </c>
      <c r="S4982" t="s">
        <v>32586</v>
      </c>
      <c r="T4982" t="s">
        <v>33339</v>
      </c>
      <c r="U4982" t="s">
        <v>37035</v>
      </c>
      <c r="W4982" t="s">
        <v>31089</v>
      </c>
      <c r="X4982" t="s">
        <v>32532</v>
      </c>
    </row>
    <row r="4983" spans="1:24">
      <c r="A4983">
        <f>HYPERLINK("https://www.philgeps.gov.ph/GEPSNONPILOT/Tender/SplashBidNoticeAbstractUI.aspx?menuIndex=3&amp;refID=7039012&amp;Result=3","7039012")</f>
        <v>0</v>
      </c>
      <c r="B4983" t="s">
        <v>1550</v>
      </c>
      <c r="C4983" t="s">
        <v>7443</v>
      </c>
      <c r="D4983" t="s">
        <v>12988</v>
      </c>
      <c r="E4983" t="s">
        <v>17533</v>
      </c>
      <c r="F4983" t="s">
        <v>22436</v>
      </c>
      <c r="G4983" t="s">
        <v>22447</v>
      </c>
      <c r="H4983" t="s">
        <v>22452</v>
      </c>
      <c r="I4983" t="s">
        <v>22463</v>
      </c>
      <c r="J4983" t="s">
        <v>22989</v>
      </c>
      <c r="K4983" t="s">
        <v>29357</v>
      </c>
      <c r="M4983" t="s">
        <v>31230</v>
      </c>
      <c r="N4983" t="s">
        <v>32524</v>
      </c>
      <c r="O4983" t="s">
        <v>32525</v>
      </c>
      <c r="P4983">
        <v>0</v>
      </c>
      <c r="Q4983">
        <v>15</v>
      </c>
      <c r="R4983" t="s">
        <v>32531</v>
      </c>
      <c r="S4983" t="s">
        <v>32586</v>
      </c>
      <c r="T4983" t="s">
        <v>33185</v>
      </c>
      <c r="U4983" t="s">
        <v>37818</v>
      </c>
      <c r="W4983" t="s">
        <v>31230</v>
      </c>
      <c r="X4983" t="s">
        <v>32532</v>
      </c>
    </row>
    <row r="4984" spans="1:24">
      <c r="A4984">
        <f>HYPERLINK("https://www.philgeps.gov.ph/GEPSNONPILOT/Tender/SplashBidNoticeAbstractUI.aspx?menuIndex=3&amp;refID=7038993&amp;Result=3","7038993")</f>
        <v>0</v>
      </c>
      <c r="B4984" t="s">
        <v>214</v>
      </c>
      <c r="C4984" t="s">
        <v>7444</v>
      </c>
      <c r="D4984" t="s">
        <v>12992</v>
      </c>
      <c r="E4984" t="s">
        <v>13503</v>
      </c>
      <c r="F4984" t="s">
        <v>22436</v>
      </c>
      <c r="G4984" t="s">
        <v>22444</v>
      </c>
      <c r="H4984" t="s">
        <v>22454</v>
      </c>
      <c r="I4984" t="s">
        <v>7738</v>
      </c>
      <c r="J4984" t="s">
        <v>22616</v>
      </c>
      <c r="K4984" t="s">
        <v>29335</v>
      </c>
      <c r="M4984" t="s">
        <v>29787</v>
      </c>
      <c r="N4984" t="s">
        <v>32524</v>
      </c>
      <c r="O4984" t="s">
        <v>32525</v>
      </c>
      <c r="P4984">
        <v>0</v>
      </c>
      <c r="Q4984">
        <v>0</v>
      </c>
      <c r="R4984" t="s">
        <v>32531</v>
      </c>
      <c r="S4984" t="s">
        <v>32586</v>
      </c>
      <c r="T4984" t="s">
        <v>33212</v>
      </c>
      <c r="U4984" t="s">
        <v>37819</v>
      </c>
      <c r="V4984" t="s">
        <v>42461</v>
      </c>
      <c r="W4984" t="s">
        <v>29787</v>
      </c>
      <c r="X4984" t="s">
        <v>32532</v>
      </c>
    </row>
    <row r="4985" spans="1:24">
      <c r="A4985">
        <f>HYPERLINK("https://www.philgeps.gov.ph/GEPSNONPILOT/Tender/SplashBidNoticeAbstractUI.aspx?menuIndex=3&amp;refID=7039005&amp;Result=3","7039005")</f>
        <v>0</v>
      </c>
      <c r="B4985" t="s">
        <v>1680</v>
      </c>
      <c r="C4985" t="s">
        <v>7445</v>
      </c>
      <c r="D4985" t="s">
        <v>13022</v>
      </c>
      <c r="E4985" t="s">
        <v>17534</v>
      </c>
      <c r="F4985" t="s">
        <v>22436</v>
      </c>
      <c r="G4985" t="s">
        <v>22444</v>
      </c>
      <c r="H4985" t="s">
        <v>22452</v>
      </c>
      <c r="I4985" t="s">
        <v>22553</v>
      </c>
      <c r="J4985" t="s">
        <v>22806</v>
      </c>
      <c r="K4985" t="s">
        <v>29338</v>
      </c>
      <c r="M4985" t="s">
        <v>31378</v>
      </c>
      <c r="N4985" t="s">
        <v>32524</v>
      </c>
      <c r="O4985" t="s">
        <v>32525</v>
      </c>
      <c r="P4985">
        <v>0</v>
      </c>
      <c r="Q4985">
        <v>1</v>
      </c>
      <c r="R4985" t="s">
        <v>32531</v>
      </c>
      <c r="S4985" t="s">
        <v>32586</v>
      </c>
      <c r="T4985" t="s">
        <v>33242</v>
      </c>
      <c r="U4985" t="s">
        <v>37820</v>
      </c>
      <c r="W4985" t="s">
        <v>31378</v>
      </c>
      <c r="X4985" t="s">
        <v>32532</v>
      </c>
    </row>
    <row r="4986" spans="1:24">
      <c r="A4986">
        <f>HYPERLINK("https://www.philgeps.gov.ph/GEPSNONPILOT/Tender/SplashBidNoticeAbstractUI.aspx?menuIndex=3&amp;refID=7039025&amp;Result=3","7039025")</f>
        <v>0</v>
      </c>
      <c r="B4986" t="s">
        <v>669</v>
      </c>
      <c r="C4986" t="s">
        <v>7446</v>
      </c>
      <c r="D4986" t="s">
        <v>12988</v>
      </c>
      <c r="E4986" t="s">
        <v>17535</v>
      </c>
      <c r="F4986" t="s">
        <v>22436</v>
      </c>
      <c r="G4986" t="s">
        <v>22443</v>
      </c>
      <c r="H4986" t="s">
        <v>22452</v>
      </c>
      <c r="I4986" t="s">
        <v>22547</v>
      </c>
      <c r="J4986" t="s">
        <v>25852</v>
      </c>
      <c r="K4986" t="s">
        <v>29335</v>
      </c>
      <c r="M4986" t="s">
        <v>30261</v>
      </c>
      <c r="N4986" t="s">
        <v>32524</v>
      </c>
      <c r="O4986" t="s">
        <v>32525</v>
      </c>
      <c r="P4986">
        <v>0</v>
      </c>
      <c r="Q4986">
        <v>8</v>
      </c>
      <c r="R4986" t="s">
        <v>32531</v>
      </c>
      <c r="S4986" t="s">
        <v>32586</v>
      </c>
      <c r="T4986" t="s">
        <v>33371</v>
      </c>
      <c r="U4986" t="s">
        <v>37821</v>
      </c>
      <c r="W4986" t="s">
        <v>30261</v>
      </c>
      <c r="X4986" t="s">
        <v>32532</v>
      </c>
    </row>
    <row r="4987" spans="1:24">
      <c r="A4987">
        <f>HYPERLINK("https://www.philgeps.gov.ph/GEPSNONPILOT/Tender/SplashBidNoticeAbstractUI.aspx?menuIndex=3&amp;refID=7039041&amp;Result=3","7039041")</f>
        <v>0</v>
      </c>
      <c r="B4987" t="s">
        <v>1648</v>
      </c>
      <c r="C4987" t="s">
        <v>7447</v>
      </c>
      <c r="D4987" t="s">
        <v>12988</v>
      </c>
      <c r="E4987" t="s">
        <v>17536</v>
      </c>
      <c r="F4987" t="s">
        <v>22436</v>
      </c>
      <c r="G4987" t="s">
        <v>22443</v>
      </c>
      <c r="H4987" t="s">
        <v>22452</v>
      </c>
      <c r="I4987" t="s">
        <v>22478</v>
      </c>
      <c r="J4987" t="s">
        <v>25853</v>
      </c>
      <c r="K4987" t="s">
        <v>29331</v>
      </c>
      <c r="M4987" t="s">
        <v>31343</v>
      </c>
      <c r="N4987" t="s">
        <v>32524</v>
      </c>
      <c r="O4987" t="s">
        <v>32525</v>
      </c>
      <c r="P4987">
        <v>0</v>
      </c>
      <c r="Q4987">
        <v>3</v>
      </c>
      <c r="R4987" t="s">
        <v>32531</v>
      </c>
      <c r="S4987" t="s">
        <v>32586</v>
      </c>
      <c r="T4987" t="s">
        <v>33372</v>
      </c>
      <c r="U4987" t="s">
        <v>37822</v>
      </c>
      <c r="W4987" t="s">
        <v>31343</v>
      </c>
      <c r="X4987" t="s">
        <v>32532</v>
      </c>
    </row>
    <row r="4988" spans="1:24">
      <c r="A4988">
        <f>HYPERLINK("https://www.philgeps.gov.ph/GEPSNONPILOT/Tender/SplashBidNoticeAbstractUI.aspx?menuIndex=3&amp;refID=7039016&amp;Result=3","7039016")</f>
        <v>0</v>
      </c>
      <c r="B4988" t="s">
        <v>1645</v>
      </c>
      <c r="C4988" t="s">
        <v>7448</v>
      </c>
      <c r="D4988" t="s">
        <v>12992</v>
      </c>
      <c r="E4988" t="s">
        <v>17537</v>
      </c>
      <c r="F4988" t="s">
        <v>22436</v>
      </c>
      <c r="G4988" t="s">
        <v>22444</v>
      </c>
      <c r="H4988" t="s">
        <v>22454</v>
      </c>
      <c r="I4988" t="s">
        <v>7738</v>
      </c>
      <c r="J4988" t="s">
        <v>22634</v>
      </c>
      <c r="K4988" t="s">
        <v>29469</v>
      </c>
      <c r="M4988" t="s">
        <v>31338</v>
      </c>
      <c r="N4988" t="s">
        <v>32524</v>
      </c>
      <c r="O4988" t="s">
        <v>32525</v>
      </c>
      <c r="P4988">
        <v>0</v>
      </c>
      <c r="Q4988">
        <v>0</v>
      </c>
      <c r="R4988" t="s">
        <v>32531</v>
      </c>
      <c r="S4988" t="s">
        <v>32586</v>
      </c>
      <c r="T4988" t="s">
        <v>33482</v>
      </c>
      <c r="U4988" t="s">
        <v>37823</v>
      </c>
      <c r="W4988" t="s">
        <v>31338</v>
      </c>
      <c r="X4988" t="s">
        <v>32532</v>
      </c>
    </row>
    <row r="4989" spans="1:24">
      <c r="A4989">
        <f>HYPERLINK("https://www.philgeps.gov.ph/GEPSNONPILOT/Tender/SplashBidNoticeAbstractUI.aspx?menuIndex=3&amp;refID=7039003&amp;Result=3","7039003")</f>
        <v>0</v>
      </c>
      <c r="B4989" t="s">
        <v>321</v>
      </c>
      <c r="C4989" t="s">
        <v>7449</v>
      </c>
      <c r="D4989" t="s">
        <v>13045</v>
      </c>
      <c r="E4989" t="s">
        <v>17538</v>
      </c>
      <c r="F4989" t="s">
        <v>22436</v>
      </c>
      <c r="G4989" t="s">
        <v>22444</v>
      </c>
      <c r="H4989" t="s">
        <v>22452</v>
      </c>
      <c r="I4989" t="s">
        <v>22517</v>
      </c>
      <c r="J4989" t="s">
        <v>22911</v>
      </c>
      <c r="K4989" t="s">
        <v>29335</v>
      </c>
      <c r="M4989" t="s">
        <v>31379</v>
      </c>
      <c r="N4989" t="s">
        <v>32524</v>
      </c>
      <c r="O4989" t="s">
        <v>32525</v>
      </c>
      <c r="P4989">
        <v>0</v>
      </c>
      <c r="Q4989">
        <v>0</v>
      </c>
      <c r="R4989" t="s">
        <v>32531</v>
      </c>
      <c r="S4989" t="s">
        <v>32586</v>
      </c>
      <c r="T4989" t="s">
        <v>33351</v>
      </c>
      <c r="U4989" t="s">
        <v>37824</v>
      </c>
      <c r="W4989" t="s">
        <v>31379</v>
      </c>
      <c r="X4989" t="s">
        <v>32532</v>
      </c>
    </row>
    <row r="4990" spans="1:24">
      <c r="A4990">
        <f>HYPERLINK("https://www.philgeps.gov.ph/GEPSNONPILOT/Tender/SplashBidNoticeAbstractUI.aspx?menuIndex=3&amp;refID=7039026&amp;Result=3","7039026")</f>
        <v>0</v>
      </c>
      <c r="B4990" t="s">
        <v>267</v>
      </c>
      <c r="C4990" t="s">
        <v>7450</v>
      </c>
      <c r="D4990" t="s">
        <v>13032</v>
      </c>
      <c r="E4990" t="s">
        <v>17539</v>
      </c>
      <c r="F4990" t="s">
        <v>22436</v>
      </c>
      <c r="G4990" t="s">
        <v>22447</v>
      </c>
      <c r="H4990" t="s">
        <v>22452</v>
      </c>
      <c r="I4990" t="s">
        <v>22482</v>
      </c>
      <c r="J4990" t="s">
        <v>25854</v>
      </c>
      <c r="K4990" t="s">
        <v>29338</v>
      </c>
      <c r="M4990" t="s">
        <v>29841</v>
      </c>
      <c r="N4990" t="s">
        <v>32524</v>
      </c>
      <c r="O4990" t="s">
        <v>32525</v>
      </c>
      <c r="P4990">
        <v>0</v>
      </c>
      <c r="Q4990">
        <v>7</v>
      </c>
      <c r="R4990" t="s">
        <v>32531</v>
      </c>
      <c r="S4990" t="s">
        <v>32586</v>
      </c>
      <c r="T4990" t="s">
        <v>33213</v>
      </c>
      <c r="U4990" t="s">
        <v>37825</v>
      </c>
      <c r="W4990" t="s">
        <v>43690</v>
      </c>
      <c r="X4990" t="s">
        <v>32532</v>
      </c>
    </row>
    <row r="4991" spans="1:24">
      <c r="A4991">
        <f>HYPERLINK("https://www.philgeps.gov.ph/GEPSNONPILOT/Tender/SplashBidNoticeAbstractUI.aspx?menuIndex=3&amp;refID=7039021&amp;Result=3","7039021")</f>
        <v>0</v>
      </c>
      <c r="B4991" t="s">
        <v>1681</v>
      </c>
      <c r="C4991" t="s">
        <v>7451</v>
      </c>
      <c r="D4991" t="s">
        <v>12992</v>
      </c>
      <c r="E4991" t="s">
        <v>17540</v>
      </c>
      <c r="F4991" t="s">
        <v>22436</v>
      </c>
      <c r="G4991" t="s">
        <v>22444</v>
      </c>
      <c r="H4991" t="s">
        <v>22454</v>
      </c>
      <c r="I4991" t="s">
        <v>7738</v>
      </c>
      <c r="J4991" t="s">
        <v>23120</v>
      </c>
      <c r="K4991" t="s">
        <v>29338</v>
      </c>
      <c r="M4991" t="s">
        <v>31380</v>
      </c>
      <c r="N4991" t="s">
        <v>32524</v>
      </c>
      <c r="O4991" t="s">
        <v>32525</v>
      </c>
      <c r="P4991">
        <v>0</v>
      </c>
      <c r="Q4991">
        <v>0</v>
      </c>
      <c r="R4991" t="s">
        <v>32531</v>
      </c>
      <c r="S4991" t="s">
        <v>32586</v>
      </c>
      <c r="T4991" t="s">
        <v>33405</v>
      </c>
      <c r="U4991" t="s">
        <v>37826</v>
      </c>
      <c r="W4991" t="s">
        <v>31380</v>
      </c>
      <c r="X4991" t="s">
        <v>32532</v>
      </c>
    </row>
    <row r="4992" spans="1:24">
      <c r="A4992">
        <f>HYPERLINK("https://www.philgeps.gov.ph/GEPSNONPILOT/Tender/SplashBidNoticeAbstractUI.aspx?menuIndex=3&amp;refID=7039043&amp;Result=3","7039043")</f>
        <v>0</v>
      </c>
      <c r="B4992" t="s">
        <v>1621</v>
      </c>
      <c r="C4992" t="s">
        <v>7452</v>
      </c>
      <c r="D4992" t="s">
        <v>13007</v>
      </c>
      <c r="E4992" t="s">
        <v>13380</v>
      </c>
      <c r="F4992" t="s">
        <v>22436</v>
      </c>
      <c r="G4992" t="s">
        <v>22443</v>
      </c>
      <c r="H4992" t="s">
        <v>22452</v>
      </c>
      <c r="I4992" t="s">
        <v>22468</v>
      </c>
      <c r="J4992" t="s">
        <v>25855</v>
      </c>
      <c r="K4992" t="s">
        <v>29331</v>
      </c>
      <c r="M4992" t="s">
        <v>31306</v>
      </c>
      <c r="N4992" t="s">
        <v>32524</v>
      </c>
      <c r="O4992" t="s">
        <v>32525</v>
      </c>
      <c r="P4992">
        <v>0</v>
      </c>
      <c r="Q4992">
        <v>1</v>
      </c>
      <c r="R4992" t="s">
        <v>32531</v>
      </c>
      <c r="S4992" t="s">
        <v>32586</v>
      </c>
      <c r="T4992" t="s">
        <v>33238</v>
      </c>
      <c r="U4992" t="s">
        <v>37827</v>
      </c>
      <c r="W4992" t="s">
        <v>43728</v>
      </c>
      <c r="X4992" t="s">
        <v>32532</v>
      </c>
    </row>
    <row r="4993" spans="1:24">
      <c r="A4993">
        <f>HYPERLINK("https://www.philgeps.gov.ph/GEPSNONPILOT/Tender/SplashBidNoticeAbstractUI.aspx?menuIndex=3&amp;refID=7039048&amp;Result=3","7039048")</f>
        <v>0</v>
      </c>
      <c r="B4993" t="s">
        <v>1637</v>
      </c>
      <c r="C4993" t="s">
        <v>7453</v>
      </c>
      <c r="D4993" t="s">
        <v>13057</v>
      </c>
      <c r="E4993" t="s">
        <v>17541</v>
      </c>
      <c r="F4993" t="s">
        <v>22436</v>
      </c>
      <c r="G4993" t="s">
        <v>22444</v>
      </c>
      <c r="H4993" t="s">
        <v>22454</v>
      </c>
      <c r="I4993" t="s">
        <v>7738</v>
      </c>
      <c r="J4993" t="s">
        <v>25856</v>
      </c>
      <c r="K4993" t="s">
        <v>29360</v>
      </c>
      <c r="M4993" t="s">
        <v>31328</v>
      </c>
      <c r="N4993" t="s">
        <v>32524</v>
      </c>
      <c r="O4993" t="s">
        <v>32525</v>
      </c>
      <c r="P4993">
        <v>0</v>
      </c>
      <c r="Q4993">
        <v>0</v>
      </c>
      <c r="R4993" t="s">
        <v>32531</v>
      </c>
      <c r="S4993" t="s">
        <v>32586</v>
      </c>
      <c r="T4993" t="s">
        <v>33253</v>
      </c>
      <c r="U4993" t="s">
        <v>37828</v>
      </c>
      <c r="W4993" t="s">
        <v>31328</v>
      </c>
      <c r="X4993" t="s">
        <v>32532</v>
      </c>
    </row>
    <row r="4994" spans="1:24">
      <c r="A4994">
        <f>HYPERLINK("https://www.philgeps.gov.ph/GEPSNONPILOT/Tender/SplashBidNoticeAbstractUI.aspx?menuIndex=3&amp;refID=7039038&amp;Result=3","7039038")</f>
        <v>0</v>
      </c>
      <c r="B4994" t="s">
        <v>1645</v>
      </c>
      <c r="C4994" t="s">
        <v>7454</v>
      </c>
      <c r="D4994" t="s">
        <v>12992</v>
      </c>
      <c r="E4994" t="s">
        <v>17542</v>
      </c>
      <c r="F4994" t="s">
        <v>22436</v>
      </c>
      <c r="G4994" t="s">
        <v>22444</v>
      </c>
      <c r="H4994" t="s">
        <v>22454</v>
      </c>
      <c r="I4994" t="s">
        <v>7738</v>
      </c>
      <c r="J4994" t="s">
        <v>22779</v>
      </c>
      <c r="K4994" t="s">
        <v>29411</v>
      </c>
      <c r="M4994" t="s">
        <v>31338</v>
      </c>
      <c r="N4994" t="s">
        <v>32524</v>
      </c>
      <c r="O4994" t="s">
        <v>32525</v>
      </c>
      <c r="P4994">
        <v>0</v>
      </c>
      <c r="Q4994">
        <v>0</v>
      </c>
      <c r="R4994" t="s">
        <v>32531</v>
      </c>
      <c r="S4994" t="s">
        <v>32586</v>
      </c>
      <c r="T4994" t="s">
        <v>33189</v>
      </c>
      <c r="U4994" t="s">
        <v>37829</v>
      </c>
      <c r="W4994" t="s">
        <v>31338</v>
      </c>
      <c r="X4994" t="s">
        <v>32532</v>
      </c>
    </row>
    <row r="4995" spans="1:24">
      <c r="A4995">
        <f>HYPERLINK("https://www.philgeps.gov.ph/GEPSNONPILOT/Tender/SplashBidNoticeAbstractUI.aspx?menuIndex=3&amp;refID=7039046&amp;Result=3","7039046")</f>
        <v>0</v>
      </c>
      <c r="B4995" t="s">
        <v>1480</v>
      </c>
      <c r="C4995" t="s">
        <v>7455</v>
      </c>
      <c r="E4995" t="s">
        <v>17543</v>
      </c>
      <c r="F4995" t="s">
        <v>22436</v>
      </c>
      <c r="G4995" t="s">
        <v>22444</v>
      </c>
      <c r="H4995" t="s">
        <v>22454</v>
      </c>
      <c r="I4995" t="s">
        <v>7738</v>
      </c>
      <c r="J4995" t="s">
        <v>25857</v>
      </c>
      <c r="K4995" t="s">
        <v>29338</v>
      </c>
      <c r="M4995" t="s">
        <v>31150</v>
      </c>
      <c r="N4995" t="s">
        <v>32524</v>
      </c>
      <c r="O4995" t="s">
        <v>32525</v>
      </c>
      <c r="Q4995">
        <v>3</v>
      </c>
      <c r="R4995" t="s">
        <v>32531</v>
      </c>
      <c r="S4995" t="s">
        <v>32598</v>
      </c>
      <c r="T4995" t="s">
        <v>33259</v>
      </c>
      <c r="U4995" t="s">
        <v>37830</v>
      </c>
      <c r="V4995" t="s">
        <v>42461</v>
      </c>
      <c r="W4995" t="s">
        <v>31150</v>
      </c>
      <c r="X4995" t="s">
        <v>32532</v>
      </c>
    </row>
    <row r="4996" spans="1:24">
      <c r="A4996">
        <f>HYPERLINK("https://www.philgeps.gov.ph/GEPSNONPILOT/Tender/SplashBidNoticeAbstractUI.aspx?menuIndex=3&amp;refID=7038999&amp;Result=3","7038999")</f>
        <v>0</v>
      </c>
      <c r="B4996" t="s">
        <v>1682</v>
      </c>
      <c r="C4996" t="s">
        <v>7419</v>
      </c>
      <c r="D4996" t="s">
        <v>13026</v>
      </c>
      <c r="E4996" t="s">
        <v>17511</v>
      </c>
      <c r="F4996" t="s">
        <v>22436</v>
      </c>
      <c r="G4996" t="s">
        <v>22444</v>
      </c>
      <c r="H4996" t="s">
        <v>22454</v>
      </c>
      <c r="I4996" t="s">
        <v>6387</v>
      </c>
      <c r="J4996" t="s">
        <v>22806</v>
      </c>
      <c r="K4996" t="s">
        <v>29333</v>
      </c>
      <c r="M4996" t="s">
        <v>31381</v>
      </c>
      <c r="N4996" t="s">
        <v>32524</v>
      </c>
      <c r="O4996" t="s">
        <v>32525</v>
      </c>
      <c r="P4996">
        <v>0</v>
      </c>
      <c r="Q4996">
        <v>2</v>
      </c>
      <c r="R4996" t="s">
        <v>32531</v>
      </c>
      <c r="S4996" t="s">
        <v>32586</v>
      </c>
      <c r="T4996" t="s">
        <v>33185</v>
      </c>
      <c r="U4996" t="s">
        <v>37797</v>
      </c>
      <c r="W4996" t="s">
        <v>31381</v>
      </c>
      <c r="X4996" t="s">
        <v>32532</v>
      </c>
    </row>
    <row r="4997" spans="1:24">
      <c r="A4997">
        <f>HYPERLINK("https://www.philgeps.gov.ph/GEPSNONPILOT/Tender/SplashBidNoticeAbstractUI.aspx?menuIndex=3&amp;refID=7039050&amp;Result=3","7039050")</f>
        <v>0</v>
      </c>
      <c r="B4997" t="s">
        <v>1683</v>
      </c>
      <c r="C4997" t="s">
        <v>7456</v>
      </c>
      <c r="D4997" t="s">
        <v>13001</v>
      </c>
      <c r="E4997" t="s">
        <v>17544</v>
      </c>
      <c r="F4997" t="s">
        <v>22436</v>
      </c>
      <c r="G4997" t="s">
        <v>22444</v>
      </c>
      <c r="H4997" t="s">
        <v>22454</v>
      </c>
      <c r="I4997" t="s">
        <v>7738</v>
      </c>
      <c r="J4997" t="s">
        <v>25858</v>
      </c>
      <c r="K4997" t="s">
        <v>29338</v>
      </c>
      <c r="M4997" t="s">
        <v>31382</v>
      </c>
      <c r="N4997" t="s">
        <v>32524</v>
      </c>
      <c r="O4997" t="s">
        <v>32525</v>
      </c>
      <c r="P4997">
        <v>0</v>
      </c>
      <c r="Q4997">
        <v>0</v>
      </c>
      <c r="R4997" t="s">
        <v>32531</v>
      </c>
      <c r="S4997" t="s">
        <v>32586</v>
      </c>
      <c r="T4997" t="s">
        <v>33209</v>
      </c>
      <c r="U4997" t="s">
        <v>37831</v>
      </c>
      <c r="V4997" t="s">
        <v>42961</v>
      </c>
      <c r="W4997" t="s">
        <v>31382</v>
      </c>
      <c r="X4997" t="s">
        <v>32532</v>
      </c>
    </row>
    <row r="4998" spans="1:24">
      <c r="A4998">
        <f>HYPERLINK("https://www.philgeps.gov.ph/GEPSNONPILOT/Tender/SplashBidNoticeAbstractUI.aspx?menuIndex=3&amp;refID=7039055&amp;Result=3","7039055")</f>
        <v>0</v>
      </c>
      <c r="B4998" t="s">
        <v>1645</v>
      </c>
      <c r="C4998" t="s">
        <v>7457</v>
      </c>
      <c r="D4998" t="s">
        <v>12992</v>
      </c>
      <c r="E4998" t="s">
        <v>17545</v>
      </c>
      <c r="F4998" t="s">
        <v>22436</v>
      </c>
      <c r="G4998" t="s">
        <v>22444</v>
      </c>
      <c r="H4998" t="s">
        <v>22454</v>
      </c>
      <c r="I4998" t="s">
        <v>7738</v>
      </c>
      <c r="J4998" t="s">
        <v>22634</v>
      </c>
      <c r="K4998" t="s">
        <v>29470</v>
      </c>
      <c r="M4998" t="s">
        <v>31338</v>
      </c>
      <c r="N4998" t="s">
        <v>32524</v>
      </c>
      <c r="O4998" t="s">
        <v>32525</v>
      </c>
      <c r="P4998">
        <v>0</v>
      </c>
      <c r="Q4998">
        <v>0</v>
      </c>
      <c r="R4998" t="s">
        <v>32531</v>
      </c>
      <c r="S4998" t="s">
        <v>32586</v>
      </c>
      <c r="T4998" t="s">
        <v>33483</v>
      </c>
      <c r="U4998" t="s">
        <v>37832</v>
      </c>
      <c r="W4998" t="s">
        <v>31338</v>
      </c>
      <c r="X4998" t="s">
        <v>32532</v>
      </c>
    </row>
    <row r="4999" spans="1:24">
      <c r="A4999">
        <f>HYPERLINK("https://www.philgeps.gov.ph/GEPSNONPILOT/Tender/SplashBidNoticeAbstractUI.aspx?menuIndex=3&amp;refID=7039058&amp;Result=3","7039058")</f>
        <v>0</v>
      </c>
      <c r="B4999" t="s">
        <v>250</v>
      </c>
      <c r="C4999" t="s">
        <v>7458</v>
      </c>
      <c r="D4999" t="s">
        <v>12999</v>
      </c>
      <c r="E4999" t="s">
        <v>17546</v>
      </c>
      <c r="F4999" t="s">
        <v>22436</v>
      </c>
      <c r="G4999" t="s">
        <v>22443</v>
      </c>
      <c r="H4999" t="s">
        <v>22452</v>
      </c>
      <c r="I4999" t="s">
        <v>22488</v>
      </c>
      <c r="J4999" t="s">
        <v>22788</v>
      </c>
      <c r="K4999" t="s">
        <v>29335</v>
      </c>
      <c r="M4999" t="s">
        <v>29824</v>
      </c>
      <c r="N4999" t="s">
        <v>32524</v>
      </c>
      <c r="O4999" t="s">
        <v>32525</v>
      </c>
      <c r="P4999">
        <v>0</v>
      </c>
      <c r="Q4999">
        <v>1</v>
      </c>
      <c r="R4999" t="s">
        <v>32531</v>
      </c>
      <c r="S4999" t="s">
        <v>32586</v>
      </c>
      <c r="T4999" t="s">
        <v>33451</v>
      </c>
      <c r="U4999" t="s">
        <v>37833</v>
      </c>
      <c r="V4999" t="s">
        <v>42960</v>
      </c>
      <c r="W4999" t="s">
        <v>29824</v>
      </c>
      <c r="X4999" t="s">
        <v>32532</v>
      </c>
    </row>
    <row r="5000" spans="1:24">
      <c r="A5000">
        <f>HYPERLINK("https://www.philgeps.gov.ph/GEPSNONPILOT/Tender/SplashBidNoticeAbstractUI.aspx?menuIndex=3&amp;refID=7039063&amp;Result=3","7039063")</f>
        <v>0</v>
      </c>
      <c r="B5000" t="s">
        <v>119</v>
      </c>
      <c r="C5000" t="s">
        <v>7459</v>
      </c>
      <c r="D5000" t="s">
        <v>13020</v>
      </c>
      <c r="E5000" t="s">
        <v>17547</v>
      </c>
      <c r="F5000" t="s">
        <v>22436</v>
      </c>
      <c r="G5000" t="s">
        <v>22444</v>
      </c>
      <c r="H5000" t="s">
        <v>22454</v>
      </c>
      <c r="I5000" t="s">
        <v>7738</v>
      </c>
      <c r="J5000" t="s">
        <v>25859</v>
      </c>
      <c r="K5000" t="s">
        <v>29440</v>
      </c>
      <c r="M5000" t="s">
        <v>29691</v>
      </c>
      <c r="N5000" t="s">
        <v>32524</v>
      </c>
      <c r="O5000" t="s">
        <v>32525</v>
      </c>
      <c r="P5000">
        <v>0</v>
      </c>
      <c r="Q5000">
        <v>10</v>
      </c>
      <c r="R5000" t="s">
        <v>32531</v>
      </c>
      <c r="S5000" t="s">
        <v>32586</v>
      </c>
      <c r="T5000" t="s">
        <v>33212</v>
      </c>
      <c r="U5000" t="s">
        <v>37834</v>
      </c>
      <c r="W5000" t="s">
        <v>29691</v>
      </c>
      <c r="X5000" t="s">
        <v>32532</v>
      </c>
    </row>
    <row r="5001" spans="1:24">
      <c r="A5001">
        <f>HYPERLINK("https://www.philgeps.gov.ph/GEPSNONPILOT/Tender/SplashBidNoticeAbstractUI.aspx?menuIndex=3&amp;refID=7039066&amp;Result=3","7039066")</f>
        <v>0</v>
      </c>
      <c r="B5001" t="s">
        <v>348</v>
      </c>
      <c r="C5001" t="s">
        <v>7460</v>
      </c>
      <c r="D5001" t="s">
        <v>13038</v>
      </c>
      <c r="E5001" t="s">
        <v>17548</v>
      </c>
      <c r="F5001" t="s">
        <v>22436</v>
      </c>
      <c r="G5001" t="s">
        <v>22443</v>
      </c>
      <c r="H5001" t="s">
        <v>22454</v>
      </c>
      <c r="I5001" t="s">
        <v>7738</v>
      </c>
      <c r="J5001" t="s">
        <v>25849</v>
      </c>
      <c r="K5001" t="s">
        <v>29335</v>
      </c>
      <c r="M5001" t="s">
        <v>31320</v>
      </c>
      <c r="N5001" t="s">
        <v>32524</v>
      </c>
      <c r="O5001" t="s">
        <v>32525</v>
      </c>
      <c r="P5001">
        <v>0</v>
      </c>
      <c r="Q5001">
        <v>0</v>
      </c>
      <c r="R5001" t="s">
        <v>32531</v>
      </c>
      <c r="S5001" t="s">
        <v>32586</v>
      </c>
      <c r="T5001" t="s">
        <v>33270</v>
      </c>
      <c r="U5001" t="s">
        <v>37815</v>
      </c>
      <c r="W5001" t="s">
        <v>31320</v>
      </c>
      <c r="X5001" t="s">
        <v>32532</v>
      </c>
    </row>
    <row r="5002" spans="1:24">
      <c r="A5002">
        <f>HYPERLINK("https://www.philgeps.gov.ph/GEPSNONPILOT/Tender/SplashBidNoticeAbstractUI.aspx?menuIndex=3&amp;refID=7039059&amp;Result=3","7039059")</f>
        <v>0</v>
      </c>
      <c r="B5002" t="s">
        <v>1678</v>
      </c>
      <c r="C5002" t="s">
        <v>7431</v>
      </c>
      <c r="D5002" t="s">
        <v>13030</v>
      </c>
      <c r="E5002" t="s">
        <v>13540</v>
      </c>
      <c r="F5002" t="s">
        <v>22436</v>
      </c>
      <c r="G5002" t="s">
        <v>22444</v>
      </c>
      <c r="H5002" t="s">
        <v>22454</v>
      </c>
      <c r="I5002" t="s">
        <v>7738</v>
      </c>
      <c r="J5002" t="s">
        <v>22616</v>
      </c>
      <c r="K5002" t="s">
        <v>29335</v>
      </c>
      <c r="M5002" t="s">
        <v>31376</v>
      </c>
      <c r="N5002" t="s">
        <v>32524</v>
      </c>
      <c r="O5002" t="s">
        <v>32525</v>
      </c>
      <c r="P5002">
        <v>0</v>
      </c>
      <c r="Q5002">
        <v>0</v>
      </c>
      <c r="R5002" t="s">
        <v>32531</v>
      </c>
      <c r="S5002" t="s">
        <v>32586</v>
      </c>
      <c r="T5002" t="s">
        <v>33345</v>
      </c>
      <c r="U5002" t="s">
        <v>37835</v>
      </c>
      <c r="W5002" t="s">
        <v>31376</v>
      </c>
      <c r="X5002" t="s">
        <v>32532</v>
      </c>
    </row>
    <row r="5003" spans="1:24">
      <c r="A5003">
        <f>HYPERLINK("https://www.philgeps.gov.ph/GEPSNONPILOT/Tender/SplashBidNoticeAbstractUI.aspx?menuIndex=3&amp;refID=7039056&amp;Result=3","7039056")</f>
        <v>0</v>
      </c>
      <c r="B5003" t="s">
        <v>1684</v>
      </c>
      <c r="C5003" t="s">
        <v>7451</v>
      </c>
      <c r="D5003" t="s">
        <v>12992</v>
      </c>
      <c r="E5003" t="s">
        <v>17540</v>
      </c>
      <c r="F5003" t="s">
        <v>22436</v>
      </c>
      <c r="G5003" t="s">
        <v>22444</v>
      </c>
      <c r="H5003" t="s">
        <v>22454</v>
      </c>
      <c r="I5003" t="s">
        <v>7738</v>
      </c>
      <c r="J5003" t="s">
        <v>23120</v>
      </c>
      <c r="K5003" t="s">
        <v>29338</v>
      </c>
      <c r="M5003" t="s">
        <v>31383</v>
      </c>
      <c r="N5003" t="s">
        <v>32524</v>
      </c>
      <c r="O5003" t="s">
        <v>32525</v>
      </c>
      <c r="P5003">
        <v>0</v>
      </c>
      <c r="Q5003">
        <v>0</v>
      </c>
      <c r="R5003" t="s">
        <v>32531</v>
      </c>
      <c r="S5003" t="s">
        <v>32586</v>
      </c>
      <c r="T5003" t="s">
        <v>33345</v>
      </c>
      <c r="U5003" t="s">
        <v>37836</v>
      </c>
      <c r="W5003" t="s">
        <v>31383</v>
      </c>
      <c r="X5003" t="s">
        <v>32532</v>
      </c>
    </row>
    <row r="5004" spans="1:24">
      <c r="A5004">
        <f>HYPERLINK("https://www.philgeps.gov.ph/GEPSNONPILOT/Tender/SplashBidNoticeAbstractUI.aspx?menuIndex=3&amp;refID=7039074&amp;Result=3","7039074")</f>
        <v>0</v>
      </c>
      <c r="B5004" t="s">
        <v>1646</v>
      </c>
      <c r="C5004" t="s">
        <v>7461</v>
      </c>
      <c r="D5004" t="s">
        <v>13068</v>
      </c>
      <c r="E5004" t="s">
        <v>17549</v>
      </c>
      <c r="F5004" t="s">
        <v>22436</v>
      </c>
      <c r="G5004" t="s">
        <v>22444</v>
      </c>
      <c r="H5004" t="s">
        <v>22454</v>
      </c>
      <c r="I5004" t="s">
        <v>7738</v>
      </c>
      <c r="J5004" t="s">
        <v>25860</v>
      </c>
      <c r="K5004" t="s">
        <v>29329</v>
      </c>
      <c r="M5004" t="s">
        <v>31339</v>
      </c>
      <c r="N5004" t="s">
        <v>32524</v>
      </c>
      <c r="O5004" t="s">
        <v>32525</v>
      </c>
      <c r="P5004">
        <v>0</v>
      </c>
      <c r="Q5004">
        <v>0</v>
      </c>
      <c r="R5004" t="s">
        <v>32531</v>
      </c>
      <c r="S5004" t="s">
        <v>32586</v>
      </c>
      <c r="T5004" t="s">
        <v>33218</v>
      </c>
      <c r="U5004" t="s">
        <v>37837</v>
      </c>
      <c r="V5004" t="s">
        <v>42962</v>
      </c>
      <c r="W5004" t="s">
        <v>31339</v>
      </c>
      <c r="X5004" t="s">
        <v>32532</v>
      </c>
    </row>
    <row r="5005" spans="1:24">
      <c r="A5005">
        <f>HYPERLINK("https://www.philgeps.gov.ph/GEPSNONPILOT/Tender/SplashBidNoticeAbstractUI.aspx?menuIndex=3&amp;refID=7039103&amp;Result=3","7039103")</f>
        <v>0</v>
      </c>
      <c r="B5005" t="s">
        <v>1190</v>
      </c>
      <c r="C5005" t="s">
        <v>7462</v>
      </c>
      <c r="D5005" t="s">
        <v>12988</v>
      </c>
      <c r="E5005" t="s">
        <v>17550</v>
      </c>
      <c r="F5005" t="s">
        <v>22436</v>
      </c>
      <c r="G5005" t="s">
        <v>22446</v>
      </c>
      <c r="H5005" t="s">
        <v>22452</v>
      </c>
      <c r="I5005" t="s">
        <v>2981</v>
      </c>
      <c r="J5005" t="s">
        <v>25861</v>
      </c>
      <c r="K5005" t="s">
        <v>29338</v>
      </c>
      <c r="M5005" t="s">
        <v>31384</v>
      </c>
      <c r="N5005" t="s">
        <v>32524</v>
      </c>
      <c r="O5005" t="s">
        <v>32525</v>
      </c>
      <c r="P5005">
        <v>0</v>
      </c>
      <c r="Q5005">
        <v>2</v>
      </c>
      <c r="R5005" t="s">
        <v>32531</v>
      </c>
      <c r="S5005" t="s">
        <v>32586</v>
      </c>
      <c r="T5005" t="s">
        <v>33296</v>
      </c>
      <c r="U5005" t="s">
        <v>37838</v>
      </c>
      <c r="W5005" t="s">
        <v>43708</v>
      </c>
      <c r="X5005" t="s">
        <v>32532</v>
      </c>
    </row>
    <row r="5006" spans="1:24">
      <c r="A5006">
        <f>HYPERLINK("https://www.philgeps.gov.ph/GEPSNONPILOT/Tender/SplashBidNoticeAbstractUI.aspx?menuIndex=3&amp;refID=7039098&amp;Result=3","7039098")</f>
        <v>0</v>
      </c>
      <c r="B5006" t="s">
        <v>1685</v>
      </c>
      <c r="C5006" t="s">
        <v>7463</v>
      </c>
      <c r="D5006" t="s">
        <v>13003</v>
      </c>
      <c r="E5006" t="s">
        <v>17551</v>
      </c>
      <c r="F5006" t="s">
        <v>22436</v>
      </c>
      <c r="G5006" t="s">
        <v>22444</v>
      </c>
      <c r="H5006" t="s">
        <v>22454</v>
      </c>
      <c r="I5006" t="s">
        <v>7738</v>
      </c>
      <c r="J5006" t="s">
        <v>22911</v>
      </c>
      <c r="K5006" t="s">
        <v>29333</v>
      </c>
      <c r="M5006" t="s">
        <v>31385</v>
      </c>
      <c r="N5006" t="s">
        <v>32524</v>
      </c>
      <c r="O5006" t="s">
        <v>32525</v>
      </c>
      <c r="Q5006">
        <v>0</v>
      </c>
      <c r="R5006" t="s">
        <v>32531</v>
      </c>
      <c r="S5006" t="s">
        <v>32599</v>
      </c>
      <c r="T5006" t="s">
        <v>33385</v>
      </c>
      <c r="U5006" t="s">
        <v>37839</v>
      </c>
      <c r="W5006" t="s">
        <v>31385</v>
      </c>
      <c r="X5006" t="s">
        <v>32532</v>
      </c>
    </row>
    <row r="5007" spans="1:24">
      <c r="A5007">
        <f>HYPERLINK("https://www.philgeps.gov.ph/GEPSNONPILOT/Tender/SplashBidNoticeAbstractUI.aspx?menuIndex=3&amp;refID=7039051&amp;Result=3","7039051")</f>
        <v>0</v>
      </c>
      <c r="B5007" t="s">
        <v>267</v>
      </c>
      <c r="C5007" t="s">
        <v>7464</v>
      </c>
      <c r="D5007" t="s">
        <v>13032</v>
      </c>
      <c r="E5007" t="s">
        <v>17552</v>
      </c>
      <c r="F5007" t="s">
        <v>22436</v>
      </c>
      <c r="G5007" t="s">
        <v>22447</v>
      </c>
      <c r="H5007" t="s">
        <v>22452</v>
      </c>
      <c r="I5007" t="s">
        <v>5194</v>
      </c>
      <c r="J5007" t="s">
        <v>25862</v>
      </c>
      <c r="K5007" t="s">
        <v>29338</v>
      </c>
      <c r="M5007" t="s">
        <v>29841</v>
      </c>
      <c r="N5007" t="s">
        <v>32524</v>
      </c>
      <c r="O5007" t="s">
        <v>32525</v>
      </c>
      <c r="P5007">
        <v>0</v>
      </c>
      <c r="Q5007">
        <v>0</v>
      </c>
      <c r="R5007" t="s">
        <v>32531</v>
      </c>
      <c r="S5007" t="s">
        <v>32586</v>
      </c>
      <c r="T5007" t="s">
        <v>33213</v>
      </c>
      <c r="U5007" t="s">
        <v>37840</v>
      </c>
      <c r="W5007" t="s">
        <v>43690</v>
      </c>
      <c r="X5007" t="s">
        <v>32532</v>
      </c>
    </row>
    <row r="5008" spans="1:24">
      <c r="A5008">
        <f>HYPERLINK("https://www.philgeps.gov.ph/GEPSNONPILOT/Tender/SplashBidNoticeAbstractUI.aspx?menuIndex=3&amp;refID=7039076&amp;Result=3","7039076")</f>
        <v>0</v>
      </c>
      <c r="B5008" t="s">
        <v>267</v>
      </c>
      <c r="C5008" t="s">
        <v>7465</v>
      </c>
      <c r="D5008" t="s">
        <v>13032</v>
      </c>
      <c r="E5008" t="s">
        <v>17553</v>
      </c>
      <c r="F5008" t="s">
        <v>22436</v>
      </c>
      <c r="G5008" t="s">
        <v>22447</v>
      </c>
      <c r="H5008" t="s">
        <v>22452</v>
      </c>
      <c r="I5008" t="s">
        <v>3840</v>
      </c>
      <c r="J5008" t="s">
        <v>25863</v>
      </c>
      <c r="K5008" t="s">
        <v>29338</v>
      </c>
      <c r="M5008" t="s">
        <v>29841</v>
      </c>
      <c r="N5008" t="s">
        <v>32524</v>
      </c>
      <c r="O5008" t="s">
        <v>32525</v>
      </c>
      <c r="P5008">
        <v>0</v>
      </c>
      <c r="Q5008">
        <v>0</v>
      </c>
      <c r="R5008" t="s">
        <v>32531</v>
      </c>
      <c r="S5008" t="s">
        <v>32586</v>
      </c>
      <c r="T5008" t="s">
        <v>33213</v>
      </c>
      <c r="U5008" t="s">
        <v>37841</v>
      </c>
      <c r="W5008" t="s">
        <v>43690</v>
      </c>
      <c r="X5008" t="s">
        <v>32532</v>
      </c>
    </row>
    <row r="5009" spans="1:24">
      <c r="A5009">
        <f>HYPERLINK("https://www.philgeps.gov.ph/GEPSNONPILOT/Tender/SplashBidNoticeAbstractUI.aspx?menuIndex=3&amp;refID=7039106&amp;Result=3","7039106")</f>
        <v>0</v>
      </c>
      <c r="B5009" t="s">
        <v>1686</v>
      </c>
      <c r="C5009" t="s">
        <v>7466</v>
      </c>
      <c r="D5009" t="s">
        <v>13000</v>
      </c>
      <c r="E5009" t="s">
        <v>17554</v>
      </c>
      <c r="F5009" t="s">
        <v>22436</v>
      </c>
      <c r="G5009" t="s">
        <v>22443</v>
      </c>
      <c r="H5009" t="s">
        <v>22452</v>
      </c>
      <c r="I5009" t="s">
        <v>3529</v>
      </c>
      <c r="J5009" t="s">
        <v>25864</v>
      </c>
      <c r="K5009" t="s">
        <v>29331</v>
      </c>
      <c r="L5009" t="s">
        <v>1686</v>
      </c>
      <c r="M5009" t="s">
        <v>31386</v>
      </c>
      <c r="N5009" t="s">
        <v>32524</v>
      </c>
      <c r="O5009" t="s">
        <v>32525</v>
      </c>
      <c r="P5009">
        <v>0</v>
      </c>
      <c r="Q5009">
        <v>1</v>
      </c>
      <c r="R5009" t="s">
        <v>32531</v>
      </c>
      <c r="S5009" t="s">
        <v>32586</v>
      </c>
      <c r="T5009" t="s">
        <v>33203</v>
      </c>
      <c r="U5009" t="s">
        <v>37842</v>
      </c>
      <c r="W5009" t="s">
        <v>31386</v>
      </c>
      <c r="X5009" t="s">
        <v>32532</v>
      </c>
    </row>
    <row r="5010" spans="1:24">
      <c r="A5010">
        <f>HYPERLINK("https://www.philgeps.gov.ph/GEPSNONPILOT/Tender/SplashBidNoticeAbstractUI.aspx?menuIndex=3&amp;refID=7039089&amp;Result=3","7039089")</f>
        <v>0</v>
      </c>
      <c r="B5010" t="s">
        <v>332</v>
      </c>
      <c r="C5010" t="s">
        <v>7467</v>
      </c>
      <c r="D5010" t="s">
        <v>13013</v>
      </c>
      <c r="E5010" t="s">
        <v>17555</v>
      </c>
      <c r="F5010" t="s">
        <v>22436</v>
      </c>
      <c r="G5010" t="s">
        <v>22443</v>
      </c>
      <c r="H5010" t="s">
        <v>22452</v>
      </c>
      <c r="I5010" t="s">
        <v>22482</v>
      </c>
      <c r="J5010" t="s">
        <v>25865</v>
      </c>
      <c r="K5010" t="s">
        <v>29334</v>
      </c>
      <c r="M5010" t="s">
        <v>29908</v>
      </c>
      <c r="N5010" t="s">
        <v>32524</v>
      </c>
      <c r="O5010" t="s">
        <v>32525</v>
      </c>
      <c r="P5010">
        <v>0</v>
      </c>
      <c r="Q5010">
        <v>1</v>
      </c>
      <c r="R5010" t="s">
        <v>32531</v>
      </c>
      <c r="S5010" t="s">
        <v>32586</v>
      </c>
      <c r="T5010" t="s">
        <v>33185</v>
      </c>
      <c r="U5010" t="s">
        <v>37843</v>
      </c>
      <c r="W5010" t="s">
        <v>43678</v>
      </c>
      <c r="X5010" t="s">
        <v>32532</v>
      </c>
    </row>
    <row r="5011" spans="1:24">
      <c r="A5011">
        <f>HYPERLINK("https://www.philgeps.gov.ph/GEPSNONPILOT/Tender/SplashBidNoticeAbstractUI.aspx?menuIndex=3&amp;refID=7039099&amp;Result=3","7039099")</f>
        <v>0</v>
      </c>
      <c r="B5011" t="s">
        <v>1687</v>
      </c>
      <c r="C5011" t="s">
        <v>7468</v>
      </c>
      <c r="D5011" t="s">
        <v>13004</v>
      </c>
      <c r="E5011" t="s">
        <v>13881</v>
      </c>
      <c r="F5011" t="s">
        <v>22436</v>
      </c>
      <c r="G5011" t="s">
        <v>22444</v>
      </c>
      <c r="H5011" t="s">
        <v>22452</v>
      </c>
      <c r="I5011" t="s">
        <v>2981</v>
      </c>
      <c r="J5011" t="s">
        <v>25866</v>
      </c>
      <c r="K5011" t="s">
        <v>29335</v>
      </c>
      <c r="M5011" t="s">
        <v>31387</v>
      </c>
      <c r="N5011" t="s">
        <v>32524</v>
      </c>
      <c r="O5011" t="s">
        <v>32525</v>
      </c>
      <c r="P5011">
        <v>0</v>
      </c>
      <c r="Q5011">
        <v>2</v>
      </c>
      <c r="R5011" t="s">
        <v>32531</v>
      </c>
      <c r="S5011" t="s">
        <v>32586</v>
      </c>
      <c r="T5011" t="s">
        <v>33209</v>
      </c>
      <c r="U5011" t="s">
        <v>37844</v>
      </c>
      <c r="W5011" t="s">
        <v>31387</v>
      </c>
      <c r="X5011" t="s">
        <v>32532</v>
      </c>
    </row>
    <row r="5012" spans="1:24">
      <c r="A5012">
        <f>HYPERLINK("https://www.philgeps.gov.ph/GEPSNONPILOT/Tender/SplashBidNoticeAbstractUI.aspx?menuIndex=3&amp;refID=7039093&amp;Result=3","7039093")</f>
        <v>0</v>
      </c>
      <c r="B5012" t="s">
        <v>1688</v>
      </c>
      <c r="C5012" t="s">
        <v>7469</v>
      </c>
      <c r="D5012" t="s">
        <v>12988</v>
      </c>
      <c r="E5012" t="s">
        <v>17556</v>
      </c>
      <c r="F5012" t="s">
        <v>22436</v>
      </c>
      <c r="G5012" t="s">
        <v>22446</v>
      </c>
      <c r="H5012" t="s">
        <v>22452</v>
      </c>
      <c r="I5012" t="s">
        <v>22493</v>
      </c>
      <c r="J5012" t="s">
        <v>25867</v>
      </c>
      <c r="K5012" t="s">
        <v>29336</v>
      </c>
      <c r="M5012" t="s">
        <v>31388</v>
      </c>
      <c r="N5012" t="s">
        <v>32524</v>
      </c>
      <c r="O5012" t="s">
        <v>32525</v>
      </c>
      <c r="P5012">
        <v>0</v>
      </c>
      <c r="Q5012">
        <v>4</v>
      </c>
      <c r="R5012" t="s">
        <v>32531</v>
      </c>
      <c r="S5012" t="s">
        <v>32586</v>
      </c>
      <c r="T5012" t="s">
        <v>33371</v>
      </c>
      <c r="U5012" t="s">
        <v>37845</v>
      </c>
      <c r="W5012" t="s">
        <v>31388</v>
      </c>
      <c r="X5012" t="s">
        <v>32532</v>
      </c>
    </row>
    <row r="5013" spans="1:24">
      <c r="A5013">
        <f>HYPERLINK("https://www.philgeps.gov.ph/GEPSNONPILOT/Tender/SplashBidNoticeAbstractUI.aspx?menuIndex=3&amp;refID=7039082&amp;Result=3","7039082")</f>
        <v>0</v>
      </c>
      <c r="B5013" t="s">
        <v>462</v>
      </c>
      <c r="C5013" t="s">
        <v>7470</v>
      </c>
      <c r="D5013" t="s">
        <v>12988</v>
      </c>
      <c r="E5013" t="s">
        <v>17557</v>
      </c>
      <c r="F5013" t="s">
        <v>22436</v>
      </c>
      <c r="G5013" t="s">
        <v>22445</v>
      </c>
      <c r="H5013" t="s">
        <v>22452</v>
      </c>
      <c r="I5013" t="s">
        <v>22460</v>
      </c>
      <c r="J5013" t="s">
        <v>25868</v>
      </c>
      <c r="K5013" t="s">
        <v>29336</v>
      </c>
      <c r="M5013" t="s">
        <v>30044</v>
      </c>
      <c r="N5013" t="s">
        <v>32524</v>
      </c>
      <c r="O5013" t="s">
        <v>32525</v>
      </c>
      <c r="P5013">
        <v>0</v>
      </c>
      <c r="Q5013">
        <v>4</v>
      </c>
      <c r="R5013" t="s">
        <v>32531</v>
      </c>
      <c r="S5013" t="s">
        <v>32586</v>
      </c>
      <c r="T5013" t="s">
        <v>33323</v>
      </c>
      <c r="U5013" t="s">
        <v>37846</v>
      </c>
      <c r="W5013" t="s">
        <v>43683</v>
      </c>
      <c r="X5013" t="s">
        <v>32532</v>
      </c>
    </row>
    <row r="5014" spans="1:24">
      <c r="A5014">
        <f>HYPERLINK("https://www.philgeps.gov.ph/GEPSNONPILOT/Tender/SplashBidNoticeAbstractUI.aspx?menuIndex=3&amp;refID=7039108&amp;Result=3","7039108")</f>
        <v>0</v>
      </c>
      <c r="B5014" t="s">
        <v>1689</v>
      </c>
      <c r="C5014" t="s">
        <v>7471</v>
      </c>
      <c r="D5014" t="s">
        <v>13037</v>
      </c>
      <c r="E5014" t="s">
        <v>16545</v>
      </c>
      <c r="F5014" t="s">
        <v>22436</v>
      </c>
      <c r="G5014" t="s">
        <v>22444</v>
      </c>
      <c r="H5014" t="s">
        <v>22452</v>
      </c>
      <c r="I5014" t="s">
        <v>3529</v>
      </c>
      <c r="J5014" t="s">
        <v>25869</v>
      </c>
      <c r="K5014" t="s">
        <v>29338</v>
      </c>
      <c r="M5014" t="s">
        <v>31389</v>
      </c>
      <c r="N5014" t="s">
        <v>32524</v>
      </c>
      <c r="O5014" t="s">
        <v>32525</v>
      </c>
      <c r="P5014">
        <v>0</v>
      </c>
      <c r="Q5014">
        <v>0</v>
      </c>
      <c r="R5014" t="s">
        <v>32531</v>
      </c>
      <c r="S5014" t="s">
        <v>32586</v>
      </c>
      <c r="T5014" t="s">
        <v>33339</v>
      </c>
      <c r="U5014" t="s">
        <v>37847</v>
      </c>
      <c r="W5014" t="s">
        <v>31389</v>
      </c>
      <c r="X5014" t="s">
        <v>32532</v>
      </c>
    </row>
    <row r="5015" spans="1:24">
      <c r="A5015">
        <f>HYPERLINK("https://www.philgeps.gov.ph/GEPSNONPILOT/Tender/SplashBidNoticeAbstractUI.aspx?menuIndex=3&amp;refID=7039078&amp;Result=3","7039078")</f>
        <v>0</v>
      </c>
      <c r="B5015" t="s">
        <v>515</v>
      </c>
      <c r="C5015" t="s">
        <v>7472</v>
      </c>
      <c r="D5015" t="s">
        <v>13020</v>
      </c>
      <c r="E5015" t="s">
        <v>17558</v>
      </c>
      <c r="F5015" t="s">
        <v>22436</v>
      </c>
      <c r="G5015" t="s">
        <v>22443</v>
      </c>
      <c r="H5015" t="s">
        <v>22452</v>
      </c>
      <c r="I5015" t="s">
        <v>22463</v>
      </c>
      <c r="J5015" t="s">
        <v>25870</v>
      </c>
      <c r="K5015" t="s">
        <v>29336</v>
      </c>
      <c r="M5015" t="s">
        <v>30099</v>
      </c>
      <c r="N5015" t="s">
        <v>32524</v>
      </c>
      <c r="O5015" t="s">
        <v>32525</v>
      </c>
      <c r="P5015">
        <v>0</v>
      </c>
      <c r="Q5015">
        <v>3</v>
      </c>
      <c r="R5015" t="s">
        <v>32531</v>
      </c>
      <c r="S5015" t="s">
        <v>32586</v>
      </c>
      <c r="T5015" t="s">
        <v>33220</v>
      </c>
      <c r="U5015" t="s">
        <v>37848</v>
      </c>
      <c r="V5015" t="s">
        <v>42963</v>
      </c>
      <c r="W5015" t="s">
        <v>30099</v>
      </c>
      <c r="X5015" t="s">
        <v>32532</v>
      </c>
    </row>
    <row r="5016" spans="1:24">
      <c r="A5016">
        <f>HYPERLINK("https://www.philgeps.gov.ph/GEPSNONPILOT/Tender/SplashBidNoticeAbstractUI.aspx?menuIndex=3&amp;refID=7039065&amp;Result=3","7039065")</f>
        <v>0</v>
      </c>
      <c r="B5016" t="s">
        <v>181</v>
      </c>
      <c r="C5016" t="s">
        <v>7473</v>
      </c>
      <c r="D5016" t="s">
        <v>13032</v>
      </c>
      <c r="E5016" t="s">
        <v>17559</v>
      </c>
      <c r="F5016" t="s">
        <v>22436</v>
      </c>
      <c r="G5016" t="s">
        <v>22444</v>
      </c>
      <c r="H5016" t="s">
        <v>22452</v>
      </c>
      <c r="I5016" t="s">
        <v>3529</v>
      </c>
      <c r="J5016" t="s">
        <v>25871</v>
      </c>
      <c r="K5016" t="s">
        <v>29341</v>
      </c>
      <c r="M5016" t="s">
        <v>29753</v>
      </c>
      <c r="N5016" t="s">
        <v>32524</v>
      </c>
      <c r="O5016" t="s">
        <v>32525</v>
      </c>
      <c r="P5016">
        <v>0</v>
      </c>
      <c r="Q5016">
        <v>0</v>
      </c>
      <c r="R5016" t="s">
        <v>32531</v>
      </c>
      <c r="S5016" t="s">
        <v>32586</v>
      </c>
      <c r="T5016" t="s">
        <v>33180</v>
      </c>
      <c r="U5016" t="s">
        <v>37849</v>
      </c>
      <c r="W5016" t="s">
        <v>29753</v>
      </c>
      <c r="X5016" t="s">
        <v>32532</v>
      </c>
    </row>
    <row r="5017" spans="1:24">
      <c r="A5017">
        <f>HYPERLINK("https://www.philgeps.gov.ph/GEPSNONPILOT/Tender/SplashBidNoticeAbstractUI.aspx?menuIndex=3&amp;refID=7039085&amp;Result=3","7039085")</f>
        <v>0</v>
      </c>
      <c r="B5017" t="s">
        <v>1690</v>
      </c>
      <c r="C5017" t="s">
        <v>7474</v>
      </c>
      <c r="D5017" t="s">
        <v>13056</v>
      </c>
      <c r="E5017" t="s">
        <v>17560</v>
      </c>
      <c r="F5017" t="s">
        <v>22436</v>
      </c>
      <c r="G5017" t="s">
        <v>22444</v>
      </c>
      <c r="H5017" t="s">
        <v>22452</v>
      </c>
      <c r="I5017" t="s">
        <v>6387</v>
      </c>
      <c r="J5017" t="s">
        <v>25872</v>
      </c>
      <c r="K5017" t="s">
        <v>29344</v>
      </c>
      <c r="M5017" t="s">
        <v>31390</v>
      </c>
      <c r="N5017" t="s">
        <v>32524</v>
      </c>
      <c r="O5017" t="s">
        <v>32525</v>
      </c>
      <c r="P5017">
        <v>0</v>
      </c>
      <c r="Q5017">
        <v>0</v>
      </c>
      <c r="R5017" t="s">
        <v>32531</v>
      </c>
      <c r="S5017" t="s">
        <v>32586</v>
      </c>
      <c r="T5017" t="s">
        <v>33190</v>
      </c>
      <c r="U5017" t="s">
        <v>37850</v>
      </c>
      <c r="V5017" t="s">
        <v>42964</v>
      </c>
      <c r="W5017" t="s">
        <v>31390</v>
      </c>
      <c r="X5017" t="s">
        <v>32532</v>
      </c>
    </row>
    <row r="5018" spans="1:24">
      <c r="A5018">
        <f>HYPERLINK("https://www.philgeps.gov.ph/GEPSNONPILOT/Tender/SplashBidNoticeAbstractUI.aspx?menuIndex=3&amp;refID=7039110&amp;Result=3","7039110")</f>
        <v>0</v>
      </c>
      <c r="B5018" t="s">
        <v>1686</v>
      </c>
      <c r="C5018" t="s">
        <v>7475</v>
      </c>
      <c r="D5018" t="s">
        <v>13000</v>
      </c>
      <c r="E5018" t="s">
        <v>17561</v>
      </c>
      <c r="F5018" t="s">
        <v>22436</v>
      </c>
      <c r="G5018" t="s">
        <v>22443</v>
      </c>
      <c r="H5018" t="s">
        <v>22452</v>
      </c>
      <c r="I5018" t="s">
        <v>3529</v>
      </c>
      <c r="J5018" t="s">
        <v>25873</v>
      </c>
      <c r="K5018" t="s">
        <v>29331</v>
      </c>
      <c r="L5018" t="s">
        <v>1686</v>
      </c>
      <c r="M5018" t="s">
        <v>31386</v>
      </c>
      <c r="N5018" t="s">
        <v>32524</v>
      </c>
      <c r="O5018" t="s">
        <v>32525</v>
      </c>
      <c r="P5018">
        <v>0</v>
      </c>
      <c r="Q5018">
        <v>1</v>
      </c>
      <c r="R5018" t="s">
        <v>32531</v>
      </c>
      <c r="S5018" t="s">
        <v>32586</v>
      </c>
      <c r="T5018" t="s">
        <v>33203</v>
      </c>
      <c r="U5018" t="s">
        <v>37842</v>
      </c>
      <c r="W5018" t="s">
        <v>31386</v>
      </c>
      <c r="X5018" t="s">
        <v>32532</v>
      </c>
    </row>
    <row r="5019" spans="1:24">
      <c r="A5019">
        <f>HYPERLINK("https://www.philgeps.gov.ph/GEPSNONPILOT/Tender/SplashBidNoticeAbstractUI.aspx?menuIndex=3&amp;refID=7039111&amp;Result=3","7039111")</f>
        <v>0</v>
      </c>
      <c r="B5019" t="s">
        <v>1691</v>
      </c>
      <c r="C5019" t="s">
        <v>7476</v>
      </c>
      <c r="D5019" t="s">
        <v>13010</v>
      </c>
      <c r="E5019" t="s">
        <v>14863</v>
      </c>
      <c r="F5019" t="s">
        <v>22436</v>
      </c>
      <c r="G5019" t="s">
        <v>22444</v>
      </c>
      <c r="H5019" t="s">
        <v>22454</v>
      </c>
      <c r="I5019" t="s">
        <v>3529</v>
      </c>
      <c r="J5019" t="s">
        <v>25874</v>
      </c>
      <c r="K5019" t="s">
        <v>29330</v>
      </c>
      <c r="M5019" t="s">
        <v>31391</v>
      </c>
      <c r="N5019" t="s">
        <v>32524</v>
      </c>
      <c r="O5019" t="s">
        <v>32525</v>
      </c>
      <c r="P5019">
        <v>0</v>
      </c>
      <c r="Q5019">
        <v>0</v>
      </c>
      <c r="R5019" t="s">
        <v>32531</v>
      </c>
      <c r="S5019" t="s">
        <v>32586</v>
      </c>
      <c r="T5019" t="s">
        <v>33423</v>
      </c>
      <c r="U5019" t="s">
        <v>37851</v>
      </c>
      <c r="W5019" t="s">
        <v>31391</v>
      </c>
      <c r="X5019" t="s">
        <v>32532</v>
      </c>
    </row>
    <row r="5020" spans="1:24">
      <c r="A5020">
        <f>HYPERLINK("https://www.philgeps.gov.ph/GEPSNONPILOT/Tender/SplashBidNoticeAbstractUI.aspx?menuIndex=3&amp;refID=7039127&amp;Result=3","7039127")</f>
        <v>0</v>
      </c>
      <c r="B5020" t="s">
        <v>1692</v>
      </c>
      <c r="C5020" t="s">
        <v>7477</v>
      </c>
      <c r="D5020" t="s">
        <v>12988</v>
      </c>
      <c r="E5020" t="s">
        <v>17562</v>
      </c>
      <c r="F5020" t="s">
        <v>22436</v>
      </c>
      <c r="G5020" t="s">
        <v>22443</v>
      </c>
      <c r="H5020" t="s">
        <v>22452</v>
      </c>
      <c r="I5020" t="s">
        <v>22545</v>
      </c>
      <c r="J5020" t="s">
        <v>23847</v>
      </c>
      <c r="K5020" t="s">
        <v>29336</v>
      </c>
      <c r="M5020" t="s">
        <v>31392</v>
      </c>
      <c r="N5020" t="s">
        <v>32524</v>
      </c>
      <c r="O5020" t="s">
        <v>32525</v>
      </c>
      <c r="P5020">
        <v>0</v>
      </c>
      <c r="Q5020">
        <v>4</v>
      </c>
      <c r="R5020" t="s">
        <v>32531</v>
      </c>
      <c r="S5020" t="s">
        <v>32586</v>
      </c>
      <c r="T5020" t="s">
        <v>33322</v>
      </c>
      <c r="U5020" t="s">
        <v>37852</v>
      </c>
      <c r="V5020" t="s">
        <v>42965</v>
      </c>
      <c r="W5020" t="s">
        <v>31392</v>
      </c>
      <c r="X5020" t="s">
        <v>32532</v>
      </c>
    </row>
    <row r="5021" spans="1:24">
      <c r="A5021">
        <f>HYPERLINK("https://www.philgeps.gov.ph/GEPSNONPILOT/Tender/SplashBidNoticeAbstractUI.aspx?menuIndex=3&amp;refID=7039121&amp;Result=3","7039121")</f>
        <v>0</v>
      </c>
      <c r="B5021" t="s">
        <v>1686</v>
      </c>
      <c r="C5021" t="s">
        <v>7478</v>
      </c>
      <c r="D5021" t="s">
        <v>13000</v>
      </c>
      <c r="E5021" t="s">
        <v>17563</v>
      </c>
      <c r="F5021" t="s">
        <v>22436</v>
      </c>
      <c r="G5021" t="s">
        <v>22443</v>
      </c>
      <c r="H5021" t="s">
        <v>22452</v>
      </c>
      <c r="I5021" t="s">
        <v>3529</v>
      </c>
      <c r="J5021" t="s">
        <v>25875</v>
      </c>
      <c r="K5021" t="s">
        <v>29331</v>
      </c>
      <c r="L5021" t="s">
        <v>1686</v>
      </c>
      <c r="M5021" t="s">
        <v>31386</v>
      </c>
      <c r="N5021" t="s">
        <v>32524</v>
      </c>
      <c r="O5021" t="s">
        <v>32525</v>
      </c>
      <c r="P5021">
        <v>0</v>
      </c>
      <c r="Q5021">
        <v>0</v>
      </c>
      <c r="R5021" t="s">
        <v>32531</v>
      </c>
      <c r="S5021" t="s">
        <v>32586</v>
      </c>
      <c r="T5021" t="s">
        <v>33203</v>
      </c>
      <c r="U5021" t="s">
        <v>37842</v>
      </c>
      <c r="W5021" t="s">
        <v>31386</v>
      </c>
      <c r="X5021" t="s">
        <v>32532</v>
      </c>
    </row>
    <row r="5022" spans="1:24">
      <c r="A5022">
        <f>HYPERLINK("https://www.philgeps.gov.ph/GEPSNONPILOT/Tender/SplashBidNoticeAbstractUI.aspx?menuIndex=3&amp;refID=7039129&amp;Result=3","7039129")</f>
        <v>0</v>
      </c>
      <c r="B5022" t="s">
        <v>417</v>
      </c>
      <c r="C5022" t="s">
        <v>7479</v>
      </c>
      <c r="D5022" t="s">
        <v>13019</v>
      </c>
      <c r="E5022" t="s">
        <v>17564</v>
      </c>
      <c r="F5022" t="s">
        <v>22436</v>
      </c>
      <c r="G5022" t="s">
        <v>22444</v>
      </c>
      <c r="H5022" t="s">
        <v>22452</v>
      </c>
      <c r="I5022" t="s">
        <v>22479</v>
      </c>
      <c r="J5022" t="s">
        <v>25876</v>
      </c>
      <c r="K5022" t="s">
        <v>29333</v>
      </c>
      <c r="L5022" t="s">
        <v>417</v>
      </c>
      <c r="M5022" t="s">
        <v>29997</v>
      </c>
      <c r="N5022" t="s">
        <v>32524</v>
      </c>
      <c r="O5022" t="s">
        <v>32525</v>
      </c>
      <c r="P5022">
        <v>0</v>
      </c>
      <c r="Q5022">
        <v>6</v>
      </c>
      <c r="R5022" t="s">
        <v>32531</v>
      </c>
      <c r="S5022" t="s">
        <v>32586</v>
      </c>
      <c r="T5022" t="s">
        <v>33242</v>
      </c>
      <c r="U5022" t="s">
        <v>37853</v>
      </c>
      <c r="V5022" t="s">
        <v>42966</v>
      </c>
      <c r="W5022" t="s">
        <v>29997</v>
      </c>
      <c r="X5022" t="s">
        <v>32532</v>
      </c>
    </row>
    <row r="5023" spans="1:24">
      <c r="A5023">
        <f>HYPERLINK("https://www.philgeps.gov.ph/GEPSNONPILOT/Tender/SplashBidNoticeAbstractUI.aspx?menuIndex=3&amp;refID=7039115&amp;Result=3","7039115")</f>
        <v>0</v>
      </c>
      <c r="B5023" t="s">
        <v>1693</v>
      </c>
      <c r="C5023" t="s">
        <v>7480</v>
      </c>
      <c r="D5023" t="s">
        <v>13036</v>
      </c>
      <c r="E5023" t="s">
        <v>17565</v>
      </c>
      <c r="F5023" t="s">
        <v>22436</v>
      </c>
      <c r="G5023" t="s">
        <v>22444</v>
      </c>
      <c r="H5023" t="s">
        <v>22454</v>
      </c>
      <c r="I5023" t="s">
        <v>7738</v>
      </c>
      <c r="J5023" t="s">
        <v>23489</v>
      </c>
      <c r="K5023" t="s">
        <v>29337</v>
      </c>
      <c r="M5023" t="s">
        <v>31393</v>
      </c>
      <c r="N5023" t="s">
        <v>32524</v>
      </c>
      <c r="O5023" t="s">
        <v>32525</v>
      </c>
      <c r="P5023">
        <v>0</v>
      </c>
      <c r="Q5023">
        <v>0</v>
      </c>
      <c r="R5023" t="s">
        <v>32531</v>
      </c>
      <c r="S5023" t="s">
        <v>32586</v>
      </c>
      <c r="T5023" t="s">
        <v>33185</v>
      </c>
      <c r="U5023" t="s">
        <v>37854</v>
      </c>
      <c r="W5023" t="s">
        <v>31393</v>
      </c>
      <c r="X5023" t="s">
        <v>32532</v>
      </c>
    </row>
    <row r="5024" spans="1:24">
      <c r="A5024">
        <f>HYPERLINK("https://www.philgeps.gov.ph/GEPSNONPILOT/Tender/SplashBidNoticeAbstractUI.aspx?menuIndex=3&amp;refID=7039114&amp;Result=3","7039114")</f>
        <v>0</v>
      </c>
      <c r="B5024" t="s">
        <v>119</v>
      </c>
      <c r="C5024" t="s">
        <v>7481</v>
      </c>
      <c r="D5024" t="s">
        <v>13020</v>
      </c>
      <c r="E5024" t="s">
        <v>17566</v>
      </c>
      <c r="F5024" t="s">
        <v>22436</v>
      </c>
      <c r="G5024" t="s">
        <v>22444</v>
      </c>
      <c r="H5024" t="s">
        <v>22454</v>
      </c>
      <c r="I5024" t="s">
        <v>7738</v>
      </c>
      <c r="J5024" t="s">
        <v>25877</v>
      </c>
      <c r="K5024" t="s">
        <v>29362</v>
      </c>
      <c r="M5024" t="s">
        <v>29691</v>
      </c>
      <c r="N5024" t="s">
        <v>32524</v>
      </c>
      <c r="O5024" t="s">
        <v>32525</v>
      </c>
      <c r="P5024">
        <v>0</v>
      </c>
      <c r="Q5024">
        <v>7</v>
      </c>
      <c r="R5024" t="s">
        <v>32531</v>
      </c>
      <c r="S5024" t="s">
        <v>32586</v>
      </c>
      <c r="T5024" t="s">
        <v>33212</v>
      </c>
      <c r="U5024" t="s">
        <v>37855</v>
      </c>
      <c r="W5024" t="s">
        <v>29691</v>
      </c>
      <c r="X5024" t="s">
        <v>32532</v>
      </c>
    </row>
    <row r="5025" spans="1:24">
      <c r="A5025">
        <f>HYPERLINK("https://www.philgeps.gov.ph/GEPSNONPILOT/Tender/SplashBidNoticeAbstractUI.aspx?menuIndex=3&amp;refID=7039150&amp;Result=3","7039150")</f>
        <v>0</v>
      </c>
      <c r="B5025" t="s">
        <v>1693</v>
      </c>
      <c r="C5025" t="s">
        <v>7482</v>
      </c>
      <c r="D5025" t="s">
        <v>13036</v>
      </c>
      <c r="E5025" t="s">
        <v>17567</v>
      </c>
      <c r="F5025" t="s">
        <v>22436</v>
      </c>
      <c r="G5025" t="s">
        <v>22444</v>
      </c>
      <c r="H5025" t="s">
        <v>22454</v>
      </c>
      <c r="I5025" t="s">
        <v>7738</v>
      </c>
      <c r="J5025" t="s">
        <v>23149</v>
      </c>
      <c r="K5025" t="s">
        <v>29362</v>
      </c>
      <c r="M5025" t="s">
        <v>31393</v>
      </c>
      <c r="N5025" t="s">
        <v>32524</v>
      </c>
      <c r="O5025" t="s">
        <v>32525</v>
      </c>
      <c r="P5025">
        <v>0</v>
      </c>
      <c r="Q5025">
        <v>0</v>
      </c>
      <c r="R5025" t="s">
        <v>32531</v>
      </c>
      <c r="S5025" t="s">
        <v>32586</v>
      </c>
      <c r="T5025" t="s">
        <v>33185</v>
      </c>
      <c r="U5025" t="s">
        <v>37856</v>
      </c>
      <c r="W5025" t="s">
        <v>31393</v>
      </c>
      <c r="X5025" t="s">
        <v>32532</v>
      </c>
    </row>
    <row r="5026" spans="1:24">
      <c r="A5026">
        <f>HYPERLINK("https://www.philgeps.gov.ph/GEPSNONPILOT/Tender/SplashBidNoticeAbstractUI.aspx?menuIndex=3&amp;refID=7039126&amp;Result=3","7039126")</f>
        <v>0</v>
      </c>
      <c r="B5026" t="s">
        <v>1689</v>
      </c>
      <c r="C5026" t="s">
        <v>7483</v>
      </c>
      <c r="D5026" t="s">
        <v>13037</v>
      </c>
      <c r="E5026" t="s">
        <v>16545</v>
      </c>
      <c r="F5026" t="s">
        <v>22436</v>
      </c>
      <c r="G5026" t="s">
        <v>22444</v>
      </c>
      <c r="H5026" t="s">
        <v>22452</v>
      </c>
      <c r="I5026" t="s">
        <v>3529</v>
      </c>
      <c r="J5026" t="s">
        <v>25878</v>
      </c>
      <c r="K5026" t="s">
        <v>29352</v>
      </c>
      <c r="M5026" t="s">
        <v>31389</v>
      </c>
      <c r="N5026" t="s">
        <v>32524</v>
      </c>
      <c r="O5026" t="s">
        <v>32525</v>
      </c>
      <c r="P5026">
        <v>0</v>
      </c>
      <c r="Q5026">
        <v>0</v>
      </c>
      <c r="R5026" t="s">
        <v>32531</v>
      </c>
      <c r="S5026" t="s">
        <v>32586</v>
      </c>
      <c r="T5026" t="s">
        <v>33339</v>
      </c>
      <c r="U5026" t="s">
        <v>37857</v>
      </c>
      <c r="W5026" t="s">
        <v>31389</v>
      </c>
      <c r="X5026" t="s">
        <v>32532</v>
      </c>
    </row>
    <row r="5027" spans="1:24">
      <c r="A5027">
        <f>HYPERLINK("https://www.philgeps.gov.ph/GEPSNONPILOT/Tender/SplashBidNoticeAbstractUI.aspx?menuIndex=3&amp;refID=7039148&amp;Result=3","7039148")</f>
        <v>0</v>
      </c>
      <c r="B5027" t="s">
        <v>1694</v>
      </c>
      <c r="C5027" t="s">
        <v>7484</v>
      </c>
      <c r="D5027" t="s">
        <v>12995</v>
      </c>
      <c r="E5027" t="s">
        <v>17568</v>
      </c>
      <c r="F5027" t="s">
        <v>22436</v>
      </c>
      <c r="G5027" t="s">
        <v>22446</v>
      </c>
      <c r="H5027" t="s">
        <v>22452</v>
      </c>
      <c r="I5027" t="s">
        <v>2981</v>
      </c>
      <c r="J5027" t="s">
        <v>25879</v>
      </c>
      <c r="K5027" t="s">
        <v>29336</v>
      </c>
      <c r="M5027" t="s">
        <v>31394</v>
      </c>
      <c r="N5027" t="s">
        <v>32524</v>
      </c>
      <c r="O5027" t="s">
        <v>32525</v>
      </c>
      <c r="P5027">
        <v>0</v>
      </c>
      <c r="Q5027">
        <v>3</v>
      </c>
      <c r="R5027" t="s">
        <v>32531</v>
      </c>
      <c r="S5027" t="s">
        <v>32586</v>
      </c>
      <c r="T5027" t="s">
        <v>33270</v>
      </c>
      <c r="U5027" t="s">
        <v>37858</v>
      </c>
      <c r="W5027" t="s">
        <v>31394</v>
      </c>
      <c r="X5027" t="s">
        <v>32532</v>
      </c>
    </row>
    <row r="5028" spans="1:24">
      <c r="A5028">
        <f>HYPERLINK("https://www.philgeps.gov.ph/GEPSNONPILOT/Tender/SplashBidNoticeAbstractUI.aspx?menuIndex=3&amp;refID=7039118&amp;Result=3","7039118")</f>
        <v>0</v>
      </c>
      <c r="B5028" t="s">
        <v>1695</v>
      </c>
      <c r="C5028" t="s">
        <v>7485</v>
      </c>
      <c r="D5028" t="s">
        <v>13033</v>
      </c>
      <c r="E5028" t="s">
        <v>14018</v>
      </c>
      <c r="F5028" t="s">
        <v>22436</v>
      </c>
      <c r="G5028" t="s">
        <v>22444</v>
      </c>
      <c r="H5028" t="s">
        <v>22454</v>
      </c>
      <c r="I5028" t="s">
        <v>7738</v>
      </c>
      <c r="J5028" t="s">
        <v>25880</v>
      </c>
      <c r="K5028" t="s">
        <v>29398</v>
      </c>
      <c r="M5028" t="s">
        <v>31395</v>
      </c>
      <c r="N5028" t="s">
        <v>32524</v>
      </c>
      <c r="O5028" t="s">
        <v>32525</v>
      </c>
      <c r="P5028">
        <v>0</v>
      </c>
      <c r="Q5028">
        <v>0</v>
      </c>
      <c r="R5028" t="s">
        <v>32531</v>
      </c>
      <c r="S5028" t="s">
        <v>32586</v>
      </c>
      <c r="T5028" t="s">
        <v>33253</v>
      </c>
      <c r="U5028" t="s">
        <v>37859</v>
      </c>
      <c r="W5028" t="s">
        <v>31395</v>
      </c>
      <c r="X5028" t="s">
        <v>32532</v>
      </c>
    </row>
    <row r="5029" spans="1:24">
      <c r="A5029">
        <f>HYPERLINK("https://www.philgeps.gov.ph/GEPSNONPILOT/Tender/SplashBidNoticeAbstractUI.aspx?menuIndex=3&amp;refID=7039147&amp;Result=3","7039147")</f>
        <v>0</v>
      </c>
      <c r="B5029" t="s">
        <v>1686</v>
      </c>
      <c r="C5029" t="s">
        <v>7486</v>
      </c>
      <c r="D5029" t="s">
        <v>13000</v>
      </c>
      <c r="E5029" t="s">
        <v>17569</v>
      </c>
      <c r="F5029" t="s">
        <v>22436</v>
      </c>
      <c r="G5029" t="s">
        <v>22443</v>
      </c>
      <c r="H5029" t="s">
        <v>22452</v>
      </c>
      <c r="I5029" t="s">
        <v>3529</v>
      </c>
      <c r="J5029" t="s">
        <v>25881</v>
      </c>
      <c r="K5029" t="s">
        <v>29331</v>
      </c>
      <c r="L5029" t="s">
        <v>1686</v>
      </c>
      <c r="M5029" t="s">
        <v>31386</v>
      </c>
      <c r="N5029" t="s">
        <v>32524</v>
      </c>
      <c r="O5029" t="s">
        <v>32525</v>
      </c>
      <c r="P5029">
        <v>0</v>
      </c>
      <c r="Q5029">
        <v>1</v>
      </c>
      <c r="R5029" t="s">
        <v>32531</v>
      </c>
      <c r="S5029" t="s">
        <v>32586</v>
      </c>
      <c r="T5029" t="s">
        <v>33203</v>
      </c>
      <c r="U5029" t="s">
        <v>37842</v>
      </c>
      <c r="W5029" t="s">
        <v>31386</v>
      </c>
      <c r="X5029" t="s">
        <v>32532</v>
      </c>
    </row>
    <row r="5030" spans="1:24">
      <c r="A5030">
        <f>HYPERLINK("https://www.philgeps.gov.ph/GEPSNONPILOT/Tender/SplashBidNoticeAbstractUI.aspx?menuIndex=3&amp;refID=7039116&amp;Result=3","7039116")</f>
        <v>0</v>
      </c>
      <c r="B5030" t="s">
        <v>1686</v>
      </c>
      <c r="C5030" t="s">
        <v>7487</v>
      </c>
      <c r="D5030" t="s">
        <v>13000</v>
      </c>
      <c r="E5030" t="s">
        <v>17570</v>
      </c>
      <c r="F5030" t="s">
        <v>22436</v>
      </c>
      <c r="G5030" t="s">
        <v>22443</v>
      </c>
      <c r="H5030" t="s">
        <v>22452</v>
      </c>
      <c r="I5030" t="s">
        <v>3529</v>
      </c>
      <c r="J5030" t="s">
        <v>25882</v>
      </c>
      <c r="K5030" t="s">
        <v>29331</v>
      </c>
      <c r="L5030" t="s">
        <v>1686</v>
      </c>
      <c r="M5030" t="s">
        <v>31386</v>
      </c>
      <c r="N5030" t="s">
        <v>32524</v>
      </c>
      <c r="O5030" t="s">
        <v>32525</v>
      </c>
      <c r="P5030">
        <v>0</v>
      </c>
      <c r="Q5030">
        <v>0</v>
      </c>
      <c r="R5030" t="s">
        <v>32531</v>
      </c>
      <c r="S5030" t="s">
        <v>32586</v>
      </c>
      <c r="T5030" t="s">
        <v>33203</v>
      </c>
      <c r="U5030" t="s">
        <v>37842</v>
      </c>
      <c r="W5030" t="s">
        <v>31386</v>
      </c>
      <c r="X5030" t="s">
        <v>32532</v>
      </c>
    </row>
    <row r="5031" spans="1:24">
      <c r="A5031">
        <f>HYPERLINK("https://www.philgeps.gov.ph/GEPSNONPILOT/Tender/SplashBidNoticeAbstractUI.aspx?menuIndex=3&amp;refID=7039143&amp;Result=3","7039143")</f>
        <v>0</v>
      </c>
      <c r="B5031" t="s">
        <v>119</v>
      </c>
      <c r="C5031" t="s">
        <v>7488</v>
      </c>
      <c r="D5031" t="s">
        <v>13020</v>
      </c>
      <c r="E5031" t="s">
        <v>17571</v>
      </c>
      <c r="F5031" t="s">
        <v>22436</v>
      </c>
      <c r="G5031" t="s">
        <v>22444</v>
      </c>
      <c r="H5031" t="s">
        <v>22454</v>
      </c>
      <c r="I5031" t="s">
        <v>7738</v>
      </c>
      <c r="J5031" t="s">
        <v>25883</v>
      </c>
      <c r="K5031" t="s">
        <v>29346</v>
      </c>
      <c r="M5031" t="s">
        <v>29691</v>
      </c>
      <c r="N5031" t="s">
        <v>32524</v>
      </c>
      <c r="O5031" t="s">
        <v>32525</v>
      </c>
      <c r="P5031">
        <v>0</v>
      </c>
      <c r="Q5031">
        <v>13</v>
      </c>
      <c r="R5031" t="s">
        <v>32531</v>
      </c>
      <c r="S5031" t="s">
        <v>32586</v>
      </c>
      <c r="T5031" t="s">
        <v>33212</v>
      </c>
      <c r="U5031" t="s">
        <v>37860</v>
      </c>
      <c r="W5031" t="s">
        <v>29691</v>
      </c>
      <c r="X5031" t="s">
        <v>32532</v>
      </c>
    </row>
    <row r="5032" spans="1:24">
      <c r="A5032">
        <f>HYPERLINK("https://www.philgeps.gov.ph/GEPSNONPILOT/Tender/SplashBidNoticeAbstractUI.aspx?menuIndex=3&amp;refID=7039158&amp;Result=3","7039158")</f>
        <v>0</v>
      </c>
      <c r="B5032" t="s">
        <v>199</v>
      </c>
      <c r="C5032" t="s">
        <v>7489</v>
      </c>
      <c r="D5032" t="s">
        <v>13009</v>
      </c>
      <c r="E5032" t="s">
        <v>17572</v>
      </c>
      <c r="F5032" t="s">
        <v>22436</v>
      </c>
      <c r="G5032" t="s">
        <v>22444</v>
      </c>
      <c r="H5032" t="s">
        <v>22454</v>
      </c>
      <c r="I5032" t="s">
        <v>7738</v>
      </c>
      <c r="J5032" t="s">
        <v>25884</v>
      </c>
      <c r="K5032" t="s">
        <v>29471</v>
      </c>
      <c r="M5032" t="s">
        <v>31396</v>
      </c>
      <c r="N5032" t="s">
        <v>32524</v>
      </c>
      <c r="O5032" t="s">
        <v>32525</v>
      </c>
      <c r="P5032">
        <v>0</v>
      </c>
      <c r="Q5032">
        <v>0</v>
      </c>
      <c r="R5032" t="s">
        <v>32531</v>
      </c>
      <c r="S5032" t="s">
        <v>32586</v>
      </c>
      <c r="T5032" t="s">
        <v>33234</v>
      </c>
      <c r="U5032" t="s">
        <v>37861</v>
      </c>
      <c r="W5032" t="s">
        <v>31396</v>
      </c>
      <c r="X5032" t="s">
        <v>32532</v>
      </c>
    </row>
    <row r="5033" spans="1:24">
      <c r="A5033">
        <f>HYPERLINK("https://www.philgeps.gov.ph/GEPSNONPILOT/Tender/SplashBidNoticeAbstractUI.aspx?menuIndex=3&amp;refID=7039144&amp;Result=3","7039144")</f>
        <v>0</v>
      </c>
      <c r="B5033" t="s">
        <v>199</v>
      </c>
      <c r="C5033" t="s">
        <v>7490</v>
      </c>
      <c r="D5033" t="s">
        <v>13009</v>
      </c>
      <c r="E5033" t="s">
        <v>17573</v>
      </c>
      <c r="F5033" t="s">
        <v>22436</v>
      </c>
      <c r="G5033" t="s">
        <v>22444</v>
      </c>
      <c r="H5033" t="s">
        <v>22454</v>
      </c>
      <c r="I5033" t="s">
        <v>7738</v>
      </c>
      <c r="J5033" t="s">
        <v>25885</v>
      </c>
      <c r="K5033" t="s">
        <v>29471</v>
      </c>
      <c r="M5033" t="s">
        <v>31396</v>
      </c>
      <c r="N5033" t="s">
        <v>32524</v>
      </c>
      <c r="O5033" t="s">
        <v>32525</v>
      </c>
      <c r="P5033">
        <v>0</v>
      </c>
      <c r="Q5033">
        <v>0</v>
      </c>
      <c r="R5033" t="s">
        <v>32531</v>
      </c>
      <c r="S5033" t="s">
        <v>32586</v>
      </c>
      <c r="T5033" t="s">
        <v>33234</v>
      </c>
      <c r="U5033" t="s">
        <v>37862</v>
      </c>
      <c r="W5033" t="s">
        <v>31396</v>
      </c>
      <c r="X5033" t="s">
        <v>32532</v>
      </c>
    </row>
    <row r="5034" spans="1:24">
      <c r="A5034">
        <f>HYPERLINK("https://www.philgeps.gov.ph/GEPSNONPILOT/Tender/SplashBidNoticeAbstractUI.aspx?menuIndex=3&amp;refID=7039137&amp;Result=3","7039137")</f>
        <v>0</v>
      </c>
      <c r="B5034" t="s">
        <v>1696</v>
      </c>
      <c r="C5034" t="s">
        <v>7491</v>
      </c>
      <c r="D5034" t="s">
        <v>13066</v>
      </c>
      <c r="E5034" t="s">
        <v>17574</v>
      </c>
      <c r="F5034" t="s">
        <v>22436</v>
      </c>
      <c r="G5034" t="s">
        <v>22444</v>
      </c>
      <c r="H5034" t="s">
        <v>22454</v>
      </c>
      <c r="I5034" t="s">
        <v>7738</v>
      </c>
      <c r="J5034" t="s">
        <v>25886</v>
      </c>
      <c r="K5034" t="s">
        <v>29335</v>
      </c>
      <c r="M5034" t="s">
        <v>31397</v>
      </c>
      <c r="N5034" t="s">
        <v>32524</v>
      </c>
      <c r="O5034" t="s">
        <v>32525</v>
      </c>
      <c r="P5034">
        <v>0</v>
      </c>
      <c r="Q5034">
        <v>0</v>
      </c>
      <c r="R5034" t="s">
        <v>32531</v>
      </c>
      <c r="S5034" t="s">
        <v>32586</v>
      </c>
      <c r="T5034" t="s">
        <v>33220</v>
      </c>
      <c r="U5034" t="s">
        <v>37863</v>
      </c>
      <c r="V5034" t="s">
        <v>42967</v>
      </c>
      <c r="W5034" t="s">
        <v>31397</v>
      </c>
      <c r="X5034" t="s">
        <v>32532</v>
      </c>
    </row>
    <row r="5035" spans="1:24">
      <c r="A5035">
        <f>HYPERLINK("https://www.philgeps.gov.ph/GEPSNONPILOT/Tender/SplashBidNoticeAbstractUI.aspx?menuIndex=3&amp;refID=7039131&amp;Result=3","7039131")</f>
        <v>0</v>
      </c>
      <c r="B5035" t="s">
        <v>199</v>
      </c>
      <c r="C5035" t="s">
        <v>7492</v>
      </c>
      <c r="D5035" t="s">
        <v>13009</v>
      </c>
      <c r="E5035" t="s">
        <v>17575</v>
      </c>
      <c r="F5035" t="s">
        <v>22436</v>
      </c>
      <c r="G5035" t="s">
        <v>22444</v>
      </c>
      <c r="H5035" t="s">
        <v>22454</v>
      </c>
      <c r="I5035" t="s">
        <v>7738</v>
      </c>
      <c r="J5035" t="s">
        <v>25887</v>
      </c>
      <c r="K5035" t="s">
        <v>29472</v>
      </c>
      <c r="M5035" t="s">
        <v>31396</v>
      </c>
      <c r="N5035" t="s">
        <v>32524</v>
      </c>
      <c r="O5035" t="s">
        <v>32525</v>
      </c>
      <c r="P5035">
        <v>0</v>
      </c>
      <c r="Q5035">
        <v>0</v>
      </c>
      <c r="R5035" t="s">
        <v>32531</v>
      </c>
      <c r="S5035" t="s">
        <v>32586</v>
      </c>
      <c r="T5035" t="s">
        <v>33234</v>
      </c>
      <c r="U5035" t="s">
        <v>37864</v>
      </c>
      <c r="W5035" t="s">
        <v>31396</v>
      </c>
      <c r="X5035" t="s">
        <v>32532</v>
      </c>
    </row>
    <row r="5036" spans="1:24">
      <c r="A5036">
        <f>HYPERLINK("https://www.philgeps.gov.ph/GEPSNONPILOT/Tender/SplashBidNoticeAbstractUI.aspx?menuIndex=3&amp;refID=7039141&amp;Result=3","7039141")</f>
        <v>0</v>
      </c>
      <c r="B5036" t="s">
        <v>562</v>
      </c>
      <c r="C5036" t="s">
        <v>7493</v>
      </c>
      <c r="D5036" t="s">
        <v>13023</v>
      </c>
      <c r="E5036" t="s">
        <v>17576</v>
      </c>
      <c r="F5036" t="s">
        <v>22436</v>
      </c>
      <c r="G5036" t="s">
        <v>22444</v>
      </c>
      <c r="H5036" t="s">
        <v>22454</v>
      </c>
      <c r="I5036" t="s">
        <v>7738</v>
      </c>
      <c r="J5036" t="s">
        <v>25888</v>
      </c>
      <c r="K5036" t="s">
        <v>29334</v>
      </c>
      <c r="M5036" t="s">
        <v>31398</v>
      </c>
      <c r="N5036" t="s">
        <v>32524</v>
      </c>
      <c r="O5036" t="s">
        <v>32525</v>
      </c>
      <c r="P5036">
        <v>0</v>
      </c>
      <c r="Q5036">
        <v>1</v>
      </c>
      <c r="R5036" t="s">
        <v>32531</v>
      </c>
      <c r="S5036" t="s">
        <v>32586</v>
      </c>
      <c r="T5036" t="s">
        <v>33484</v>
      </c>
      <c r="U5036" t="s">
        <v>37865</v>
      </c>
      <c r="W5036" t="s">
        <v>31398</v>
      </c>
      <c r="X5036" t="s">
        <v>32532</v>
      </c>
    </row>
    <row r="5037" spans="1:24">
      <c r="A5037">
        <f>HYPERLINK("https://www.philgeps.gov.ph/GEPSNONPILOT/Tender/SplashBidNoticeAbstractUI.aspx?menuIndex=3&amp;refID=7039188&amp;Result=3","7039188")</f>
        <v>0</v>
      </c>
      <c r="B5037" t="s">
        <v>1697</v>
      </c>
      <c r="C5037" t="s">
        <v>7494</v>
      </c>
      <c r="D5037" t="s">
        <v>12993</v>
      </c>
      <c r="E5037" t="s">
        <v>17577</v>
      </c>
      <c r="F5037" t="s">
        <v>22436</v>
      </c>
      <c r="G5037" t="s">
        <v>22444</v>
      </c>
      <c r="H5037" t="s">
        <v>22452</v>
      </c>
      <c r="I5037" t="s">
        <v>22517</v>
      </c>
      <c r="J5037" t="s">
        <v>23285</v>
      </c>
      <c r="K5037" t="s">
        <v>29336</v>
      </c>
      <c r="M5037" t="s">
        <v>31399</v>
      </c>
      <c r="N5037" t="s">
        <v>32524</v>
      </c>
      <c r="O5037" t="s">
        <v>32525</v>
      </c>
      <c r="P5037">
        <v>0</v>
      </c>
      <c r="Q5037">
        <v>0</v>
      </c>
      <c r="R5037" t="s">
        <v>32531</v>
      </c>
      <c r="S5037" t="s">
        <v>32586</v>
      </c>
      <c r="T5037" t="s">
        <v>33169</v>
      </c>
      <c r="U5037" t="s">
        <v>37866</v>
      </c>
      <c r="W5037" t="s">
        <v>31399</v>
      </c>
      <c r="X5037" t="s">
        <v>32532</v>
      </c>
    </row>
    <row r="5038" spans="1:24">
      <c r="A5038">
        <f>HYPERLINK("https://www.philgeps.gov.ph/GEPSNONPILOT/Tender/SplashBidNoticeAbstractUI.aspx?menuIndex=3&amp;refID=7039186&amp;Result=3","7039186")</f>
        <v>0</v>
      </c>
      <c r="B5038" t="s">
        <v>1698</v>
      </c>
      <c r="C5038" t="s">
        <v>7495</v>
      </c>
      <c r="D5038" t="s">
        <v>12990</v>
      </c>
      <c r="E5038" t="s">
        <v>17578</v>
      </c>
      <c r="F5038" t="s">
        <v>22436</v>
      </c>
      <c r="G5038" t="s">
        <v>22444</v>
      </c>
      <c r="H5038" t="s">
        <v>22454</v>
      </c>
      <c r="I5038" t="s">
        <v>7738</v>
      </c>
      <c r="J5038" t="s">
        <v>25071</v>
      </c>
      <c r="K5038" t="s">
        <v>29473</v>
      </c>
      <c r="L5038" t="s">
        <v>1698</v>
      </c>
      <c r="M5038" t="s">
        <v>31400</v>
      </c>
      <c r="N5038" t="s">
        <v>32524</v>
      </c>
      <c r="O5038" t="s">
        <v>32525</v>
      </c>
      <c r="P5038">
        <v>0</v>
      </c>
      <c r="Q5038">
        <v>4</v>
      </c>
      <c r="R5038" t="s">
        <v>32531</v>
      </c>
      <c r="S5038" t="s">
        <v>32586</v>
      </c>
      <c r="T5038" t="s">
        <v>33417</v>
      </c>
      <c r="U5038" t="s">
        <v>37867</v>
      </c>
      <c r="W5038" t="s">
        <v>31400</v>
      </c>
      <c r="X5038" t="s">
        <v>32532</v>
      </c>
    </row>
    <row r="5039" spans="1:24">
      <c r="A5039">
        <f>HYPERLINK("https://www.philgeps.gov.ph/GEPSNONPILOT/Tender/SplashBidNoticeAbstractUI.aspx?menuIndex=3&amp;refID=7039192&amp;Result=3","7039192")</f>
        <v>0</v>
      </c>
      <c r="B5039" t="s">
        <v>1698</v>
      </c>
      <c r="C5039" t="s">
        <v>7496</v>
      </c>
      <c r="D5039" t="s">
        <v>12990</v>
      </c>
      <c r="E5039" t="s">
        <v>17579</v>
      </c>
      <c r="F5039" t="s">
        <v>22436</v>
      </c>
      <c r="G5039" t="s">
        <v>22444</v>
      </c>
      <c r="H5039" t="s">
        <v>22454</v>
      </c>
      <c r="I5039" t="s">
        <v>7738</v>
      </c>
      <c r="J5039" t="s">
        <v>24111</v>
      </c>
      <c r="K5039" t="s">
        <v>29334</v>
      </c>
      <c r="L5039" t="s">
        <v>1698</v>
      </c>
      <c r="M5039" t="s">
        <v>31400</v>
      </c>
      <c r="N5039" t="s">
        <v>32524</v>
      </c>
      <c r="O5039" t="s">
        <v>32525</v>
      </c>
      <c r="P5039">
        <v>0</v>
      </c>
      <c r="Q5039">
        <v>4</v>
      </c>
      <c r="R5039" t="s">
        <v>32531</v>
      </c>
      <c r="S5039" t="s">
        <v>32586</v>
      </c>
      <c r="T5039" t="s">
        <v>33417</v>
      </c>
      <c r="U5039" t="s">
        <v>37867</v>
      </c>
      <c r="W5039" t="s">
        <v>31400</v>
      </c>
      <c r="X5039" t="s">
        <v>32532</v>
      </c>
    </row>
    <row r="5040" spans="1:24">
      <c r="A5040">
        <f>HYPERLINK("https://www.philgeps.gov.ph/GEPSNONPILOT/Tender/SplashBidNoticeAbstractUI.aspx?menuIndex=3&amp;refID=7039181&amp;Result=3","7039181")</f>
        <v>0</v>
      </c>
      <c r="B5040" t="s">
        <v>199</v>
      </c>
      <c r="C5040" t="s">
        <v>7497</v>
      </c>
      <c r="D5040" t="s">
        <v>13009</v>
      </c>
      <c r="E5040" t="s">
        <v>17580</v>
      </c>
      <c r="F5040" t="s">
        <v>22436</v>
      </c>
      <c r="G5040" t="s">
        <v>22444</v>
      </c>
      <c r="H5040" t="s">
        <v>22454</v>
      </c>
      <c r="I5040" t="s">
        <v>7738</v>
      </c>
      <c r="J5040" t="s">
        <v>22960</v>
      </c>
      <c r="K5040" t="s">
        <v>29449</v>
      </c>
      <c r="M5040" t="s">
        <v>31396</v>
      </c>
      <c r="N5040" t="s">
        <v>32524</v>
      </c>
      <c r="O5040" t="s">
        <v>32525</v>
      </c>
      <c r="P5040">
        <v>0</v>
      </c>
      <c r="Q5040">
        <v>0</v>
      </c>
      <c r="R5040" t="s">
        <v>32531</v>
      </c>
      <c r="S5040" t="s">
        <v>32586</v>
      </c>
      <c r="T5040" t="s">
        <v>33234</v>
      </c>
      <c r="U5040" t="s">
        <v>37868</v>
      </c>
      <c r="W5040" t="s">
        <v>31396</v>
      </c>
      <c r="X5040" t="s">
        <v>32532</v>
      </c>
    </row>
    <row r="5041" spans="1:24">
      <c r="A5041">
        <f>HYPERLINK("https://www.philgeps.gov.ph/GEPSNONPILOT/Tender/SplashBidNoticeAbstractUI.aspx?menuIndex=3&amp;refID=7039202&amp;Result=3","7039202")</f>
        <v>0</v>
      </c>
      <c r="B5041" t="s">
        <v>1580</v>
      </c>
      <c r="C5041" t="s">
        <v>7498</v>
      </c>
      <c r="D5041" t="s">
        <v>13006</v>
      </c>
      <c r="E5041" t="s">
        <v>13181</v>
      </c>
      <c r="F5041" t="s">
        <v>22436</v>
      </c>
      <c r="G5041" t="s">
        <v>22444</v>
      </c>
      <c r="H5041" t="s">
        <v>22452</v>
      </c>
      <c r="I5041" t="s">
        <v>3529</v>
      </c>
      <c r="J5041" t="s">
        <v>25889</v>
      </c>
      <c r="K5041" t="s">
        <v>29341</v>
      </c>
      <c r="M5041" t="s">
        <v>31262</v>
      </c>
      <c r="N5041" t="s">
        <v>32524</v>
      </c>
      <c r="O5041" t="s">
        <v>32525</v>
      </c>
      <c r="P5041">
        <v>0</v>
      </c>
      <c r="Q5041">
        <v>0</v>
      </c>
      <c r="R5041" t="s">
        <v>32531</v>
      </c>
      <c r="S5041" t="s">
        <v>32586</v>
      </c>
      <c r="T5041" t="s">
        <v>33457</v>
      </c>
      <c r="U5041" t="s">
        <v>37869</v>
      </c>
      <c r="W5041" t="s">
        <v>31262</v>
      </c>
      <c r="X5041" t="s">
        <v>32532</v>
      </c>
    </row>
    <row r="5042" spans="1:24">
      <c r="A5042">
        <f>HYPERLINK("https://www.philgeps.gov.ph/GEPSNONPILOT/Tender/SplashBidNoticeAbstractUI.aspx?menuIndex=3&amp;refID=7039133&amp;Result=3","7039133")</f>
        <v>0</v>
      </c>
      <c r="B5042" t="s">
        <v>1686</v>
      </c>
      <c r="C5042" t="s">
        <v>7499</v>
      </c>
      <c r="D5042" t="s">
        <v>13000</v>
      </c>
      <c r="E5042" t="s">
        <v>17581</v>
      </c>
      <c r="F5042" t="s">
        <v>22436</v>
      </c>
      <c r="G5042" t="s">
        <v>22443</v>
      </c>
      <c r="H5042" t="s">
        <v>22452</v>
      </c>
      <c r="I5042" t="s">
        <v>3529</v>
      </c>
      <c r="J5042" t="s">
        <v>25890</v>
      </c>
      <c r="K5042" t="s">
        <v>29331</v>
      </c>
      <c r="L5042" t="s">
        <v>1686</v>
      </c>
      <c r="M5042" t="s">
        <v>31386</v>
      </c>
      <c r="N5042" t="s">
        <v>32524</v>
      </c>
      <c r="O5042" t="s">
        <v>32525</v>
      </c>
      <c r="P5042">
        <v>0</v>
      </c>
      <c r="Q5042">
        <v>0</v>
      </c>
      <c r="R5042" t="s">
        <v>32531</v>
      </c>
      <c r="S5042" t="s">
        <v>32586</v>
      </c>
      <c r="T5042" t="s">
        <v>33203</v>
      </c>
      <c r="U5042" t="s">
        <v>37842</v>
      </c>
      <c r="W5042" t="s">
        <v>31386</v>
      </c>
      <c r="X5042" t="s">
        <v>32532</v>
      </c>
    </row>
    <row r="5043" spans="1:24">
      <c r="A5043">
        <f>HYPERLINK("https://www.philgeps.gov.ph/GEPSNONPILOT/Tender/SplashBidNoticeAbstractUI.aspx?menuIndex=3&amp;refID=7039189&amp;Result=3","7039189")</f>
        <v>0</v>
      </c>
      <c r="B5043" t="s">
        <v>267</v>
      </c>
      <c r="C5043" t="s">
        <v>7500</v>
      </c>
      <c r="D5043" t="s">
        <v>13032</v>
      </c>
      <c r="E5043" t="s">
        <v>17582</v>
      </c>
      <c r="F5043" t="s">
        <v>22436</v>
      </c>
      <c r="G5043" t="s">
        <v>22444</v>
      </c>
      <c r="H5043" t="s">
        <v>22452</v>
      </c>
      <c r="I5043" t="s">
        <v>22479</v>
      </c>
      <c r="J5043" t="s">
        <v>25891</v>
      </c>
      <c r="K5043" t="s">
        <v>29338</v>
      </c>
      <c r="M5043" t="s">
        <v>29841</v>
      </c>
      <c r="N5043" t="s">
        <v>32524</v>
      </c>
      <c r="O5043" t="s">
        <v>32525</v>
      </c>
      <c r="P5043">
        <v>0</v>
      </c>
      <c r="Q5043">
        <v>0</v>
      </c>
      <c r="R5043" t="s">
        <v>32531</v>
      </c>
      <c r="S5043" t="s">
        <v>32586</v>
      </c>
      <c r="T5043" t="s">
        <v>33213</v>
      </c>
      <c r="U5043" t="s">
        <v>37870</v>
      </c>
      <c r="W5043" t="s">
        <v>43690</v>
      </c>
      <c r="X5043" t="s">
        <v>32532</v>
      </c>
    </row>
    <row r="5044" spans="1:24">
      <c r="A5044">
        <f>HYPERLINK("https://www.philgeps.gov.ph/GEPSNONPILOT/Tender/SplashBidNoticeAbstractUI.aspx?menuIndex=3&amp;refID=7039135&amp;Result=3","7039135")</f>
        <v>0</v>
      </c>
      <c r="B5044" t="s">
        <v>1401</v>
      </c>
      <c r="C5044" t="s">
        <v>7501</v>
      </c>
      <c r="D5044" t="s">
        <v>12988</v>
      </c>
      <c r="E5044" t="s">
        <v>17583</v>
      </c>
      <c r="F5044" t="s">
        <v>22436</v>
      </c>
      <c r="G5044" t="s">
        <v>22444</v>
      </c>
      <c r="H5044" t="s">
        <v>22452</v>
      </c>
      <c r="I5044" t="s">
        <v>2993</v>
      </c>
      <c r="J5044" t="s">
        <v>23182</v>
      </c>
      <c r="K5044" t="s">
        <v>29336</v>
      </c>
      <c r="M5044" t="s">
        <v>31060</v>
      </c>
      <c r="N5044" t="s">
        <v>32524</v>
      </c>
      <c r="O5044" t="s">
        <v>32525</v>
      </c>
      <c r="P5044">
        <v>0</v>
      </c>
      <c r="Q5044">
        <v>1</v>
      </c>
      <c r="R5044" t="s">
        <v>32531</v>
      </c>
      <c r="S5044" t="s">
        <v>32586</v>
      </c>
      <c r="T5044" t="s">
        <v>33351</v>
      </c>
      <c r="U5044" t="s">
        <v>37871</v>
      </c>
      <c r="W5044" t="s">
        <v>31060</v>
      </c>
      <c r="X5044" t="s">
        <v>32532</v>
      </c>
    </row>
    <row r="5045" spans="1:24">
      <c r="A5045">
        <f>HYPERLINK("https://www.philgeps.gov.ph/GEPSNONPILOT/Tender/SplashBidNoticeAbstractUI.aspx?menuIndex=3&amp;refID=7039178&amp;Result=3","7039178")</f>
        <v>0</v>
      </c>
      <c r="B5045" t="s">
        <v>1699</v>
      </c>
      <c r="C5045" t="s">
        <v>7502</v>
      </c>
      <c r="D5045" t="s">
        <v>13016</v>
      </c>
      <c r="E5045" t="s">
        <v>17584</v>
      </c>
      <c r="F5045" t="s">
        <v>22436</v>
      </c>
      <c r="G5045" t="s">
        <v>22444</v>
      </c>
      <c r="H5045" t="s">
        <v>22454</v>
      </c>
      <c r="I5045" t="s">
        <v>7738</v>
      </c>
      <c r="J5045" t="s">
        <v>24049</v>
      </c>
      <c r="K5045" t="s">
        <v>29344</v>
      </c>
      <c r="M5045" t="s">
        <v>31401</v>
      </c>
      <c r="N5045" t="s">
        <v>32524</v>
      </c>
      <c r="O5045" t="s">
        <v>32525</v>
      </c>
      <c r="P5045">
        <v>0</v>
      </c>
      <c r="Q5045">
        <v>2</v>
      </c>
      <c r="R5045" t="s">
        <v>32531</v>
      </c>
      <c r="S5045" t="s">
        <v>32586</v>
      </c>
      <c r="T5045" t="s">
        <v>33385</v>
      </c>
      <c r="U5045" t="s">
        <v>37872</v>
      </c>
      <c r="W5045" t="s">
        <v>31401</v>
      </c>
      <c r="X5045" t="s">
        <v>32532</v>
      </c>
    </row>
    <row r="5046" spans="1:24">
      <c r="A5046">
        <f>HYPERLINK("https://www.philgeps.gov.ph/GEPSNONPILOT/Tender/SplashBidNoticeAbstractUI.aspx?menuIndex=3&amp;refID=7039201&amp;Result=3","7039201")</f>
        <v>0</v>
      </c>
      <c r="B5046" t="s">
        <v>1480</v>
      </c>
      <c r="C5046" t="s">
        <v>7503</v>
      </c>
      <c r="E5046" t="s">
        <v>17585</v>
      </c>
      <c r="F5046" t="s">
        <v>22436</v>
      </c>
      <c r="G5046" t="s">
        <v>22444</v>
      </c>
      <c r="H5046" t="s">
        <v>22454</v>
      </c>
      <c r="I5046" t="s">
        <v>7738</v>
      </c>
      <c r="J5046" t="s">
        <v>22674</v>
      </c>
      <c r="K5046" t="s">
        <v>29338</v>
      </c>
      <c r="M5046" t="s">
        <v>31150</v>
      </c>
      <c r="N5046" t="s">
        <v>32524</v>
      </c>
      <c r="O5046" t="s">
        <v>32525</v>
      </c>
      <c r="P5046">
        <v>0</v>
      </c>
      <c r="Q5046">
        <v>2</v>
      </c>
      <c r="R5046" t="s">
        <v>32531</v>
      </c>
      <c r="S5046" t="s">
        <v>32586</v>
      </c>
      <c r="T5046" t="s">
        <v>33168</v>
      </c>
      <c r="U5046" t="s">
        <v>37873</v>
      </c>
      <c r="V5046" t="s">
        <v>42461</v>
      </c>
      <c r="W5046" t="s">
        <v>31150</v>
      </c>
      <c r="X5046" t="s">
        <v>32532</v>
      </c>
    </row>
    <row r="5047" spans="1:24">
      <c r="A5047">
        <f>HYPERLINK("https://www.philgeps.gov.ph/GEPSNONPILOT/Tender/SplashBidNoticeAbstractUI.aspx?menuIndex=3&amp;refID=7039171&amp;Result=3","7039171")</f>
        <v>0</v>
      </c>
      <c r="B5047" t="s">
        <v>1700</v>
      </c>
      <c r="C5047" t="s">
        <v>7504</v>
      </c>
      <c r="D5047" t="s">
        <v>13035</v>
      </c>
      <c r="E5047" t="s">
        <v>13368</v>
      </c>
      <c r="F5047" t="s">
        <v>22436</v>
      </c>
      <c r="G5047" t="s">
        <v>22444</v>
      </c>
      <c r="H5047" t="s">
        <v>22452</v>
      </c>
      <c r="I5047" t="s">
        <v>22465</v>
      </c>
      <c r="J5047" t="s">
        <v>25892</v>
      </c>
      <c r="K5047" t="s">
        <v>29338</v>
      </c>
      <c r="M5047" t="s">
        <v>31402</v>
      </c>
      <c r="N5047" t="s">
        <v>32524</v>
      </c>
      <c r="O5047" t="s">
        <v>32525</v>
      </c>
      <c r="P5047">
        <v>0</v>
      </c>
      <c r="Q5047">
        <v>1</v>
      </c>
      <c r="R5047" t="s">
        <v>32531</v>
      </c>
      <c r="S5047" t="s">
        <v>32586</v>
      </c>
      <c r="T5047" t="s">
        <v>33203</v>
      </c>
      <c r="U5047" t="s">
        <v>37874</v>
      </c>
      <c r="W5047" t="s">
        <v>31402</v>
      </c>
      <c r="X5047" t="s">
        <v>32532</v>
      </c>
    </row>
    <row r="5048" spans="1:24">
      <c r="A5048">
        <f>HYPERLINK("https://www.philgeps.gov.ph/GEPSNONPILOT/Tender/SplashBidNoticeAbstractUI.aspx?menuIndex=3&amp;refID=7039165&amp;Result=3","7039165")</f>
        <v>0</v>
      </c>
      <c r="B5048" t="s">
        <v>1685</v>
      </c>
      <c r="C5048" t="s">
        <v>7505</v>
      </c>
      <c r="D5048" t="s">
        <v>13003</v>
      </c>
      <c r="E5048" t="s">
        <v>17586</v>
      </c>
      <c r="F5048" t="s">
        <v>22436</v>
      </c>
      <c r="G5048" t="s">
        <v>22444</v>
      </c>
      <c r="H5048" t="s">
        <v>22454</v>
      </c>
      <c r="I5048" t="s">
        <v>7738</v>
      </c>
      <c r="J5048" t="s">
        <v>22640</v>
      </c>
      <c r="K5048" t="s">
        <v>29334</v>
      </c>
      <c r="M5048" t="s">
        <v>31385</v>
      </c>
      <c r="N5048" t="s">
        <v>32524</v>
      </c>
      <c r="O5048" t="s">
        <v>32525</v>
      </c>
      <c r="Q5048">
        <v>0</v>
      </c>
      <c r="R5048" t="s">
        <v>32531</v>
      </c>
      <c r="S5048" t="s">
        <v>32600</v>
      </c>
      <c r="T5048" t="s">
        <v>33385</v>
      </c>
      <c r="U5048" t="s">
        <v>37839</v>
      </c>
      <c r="W5048" t="s">
        <v>31385</v>
      </c>
      <c r="X5048" t="s">
        <v>32532</v>
      </c>
    </row>
    <row r="5049" spans="1:24">
      <c r="A5049">
        <f>HYPERLINK("https://www.philgeps.gov.ph/GEPSNONPILOT/Tender/SplashBidNoticeAbstractUI.aspx?menuIndex=3&amp;refID=7039166&amp;Result=3","7039166")</f>
        <v>0</v>
      </c>
      <c r="B5049" t="s">
        <v>1701</v>
      </c>
      <c r="C5049" t="s">
        <v>7506</v>
      </c>
      <c r="D5049" t="s">
        <v>13002</v>
      </c>
      <c r="E5049" t="s">
        <v>17587</v>
      </c>
      <c r="F5049" t="s">
        <v>22436</v>
      </c>
      <c r="G5049" t="s">
        <v>22444</v>
      </c>
      <c r="H5049" t="s">
        <v>22454</v>
      </c>
      <c r="I5049" t="s">
        <v>7738</v>
      </c>
      <c r="J5049" t="s">
        <v>25893</v>
      </c>
      <c r="K5049" t="s">
        <v>29344</v>
      </c>
      <c r="M5049" t="s">
        <v>31403</v>
      </c>
      <c r="N5049" t="s">
        <v>32524</v>
      </c>
      <c r="O5049" t="s">
        <v>32525</v>
      </c>
      <c r="P5049">
        <v>0</v>
      </c>
      <c r="Q5049">
        <v>0</v>
      </c>
      <c r="R5049" t="s">
        <v>32531</v>
      </c>
      <c r="S5049" t="s">
        <v>32586</v>
      </c>
      <c r="T5049" t="s">
        <v>33397</v>
      </c>
      <c r="U5049" t="s">
        <v>37875</v>
      </c>
      <c r="W5049" t="s">
        <v>31403</v>
      </c>
      <c r="X5049" t="s">
        <v>32532</v>
      </c>
    </row>
    <row r="5050" spans="1:24">
      <c r="A5050">
        <f>HYPERLINK("https://www.philgeps.gov.ph/GEPSNONPILOT/Tender/SplashBidNoticeAbstractUI.aspx?menuIndex=3&amp;refID=7039197&amp;Result=3","7039197")</f>
        <v>0</v>
      </c>
      <c r="B5050" t="s">
        <v>267</v>
      </c>
      <c r="C5050" t="s">
        <v>7507</v>
      </c>
      <c r="D5050" t="s">
        <v>13032</v>
      </c>
      <c r="E5050" t="s">
        <v>17588</v>
      </c>
      <c r="F5050" t="s">
        <v>22436</v>
      </c>
      <c r="G5050" t="s">
        <v>22444</v>
      </c>
      <c r="H5050" t="s">
        <v>22452</v>
      </c>
      <c r="I5050" t="s">
        <v>22469</v>
      </c>
      <c r="J5050" t="s">
        <v>25894</v>
      </c>
      <c r="K5050" t="s">
        <v>29338</v>
      </c>
      <c r="M5050" t="s">
        <v>29841</v>
      </c>
      <c r="N5050" t="s">
        <v>32524</v>
      </c>
      <c r="O5050" t="s">
        <v>32525</v>
      </c>
      <c r="P5050">
        <v>0</v>
      </c>
      <c r="Q5050">
        <v>3</v>
      </c>
      <c r="R5050" t="s">
        <v>32531</v>
      </c>
      <c r="S5050" t="s">
        <v>32586</v>
      </c>
      <c r="T5050" t="s">
        <v>33213</v>
      </c>
      <c r="U5050" t="s">
        <v>37876</v>
      </c>
      <c r="W5050" t="s">
        <v>43690</v>
      </c>
      <c r="X5050" t="s">
        <v>32532</v>
      </c>
    </row>
    <row r="5051" spans="1:24">
      <c r="A5051">
        <f>HYPERLINK("https://www.philgeps.gov.ph/GEPSNONPILOT/Tender/SplashBidNoticeAbstractUI.aspx?menuIndex=3&amp;refID=7039195&amp;Result=3","7039195")</f>
        <v>0</v>
      </c>
      <c r="B5051" t="s">
        <v>199</v>
      </c>
      <c r="C5051" t="s">
        <v>7508</v>
      </c>
      <c r="D5051" t="s">
        <v>13009</v>
      </c>
      <c r="E5051" t="s">
        <v>17589</v>
      </c>
      <c r="F5051" t="s">
        <v>22436</v>
      </c>
      <c r="G5051" t="s">
        <v>22444</v>
      </c>
      <c r="H5051" t="s">
        <v>22454</v>
      </c>
      <c r="I5051" t="s">
        <v>7738</v>
      </c>
      <c r="J5051" t="s">
        <v>23488</v>
      </c>
      <c r="K5051" t="s">
        <v>29347</v>
      </c>
      <c r="M5051" t="s">
        <v>31396</v>
      </c>
      <c r="N5051" t="s">
        <v>32524</v>
      </c>
      <c r="O5051" t="s">
        <v>32525</v>
      </c>
      <c r="P5051">
        <v>0</v>
      </c>
      <c r="Q5051">
        <v>0</v>
      </c>
      <c r="R5051" t="s">
        <v>32531</v>
      </c>
      <c r="S5051" t="s">
        <v>32586</v>
      </c>
      <c r="T5051" t="s">
        <v>33234</v>
      </c>
      <c r="U5051" t="s">
        <v>37877</v>
      </c>
      <c r="W5051" t="s">
        <v>31396</v>
      </c>
      <c r="X5051" t="s">
        <v>32532</v>
      </c>
    </row>
    <row r="5052" spans="1:24">
      <c r="A5052">
        <f>HYPERLINK("https://www.philgeps.gov.ph/GEPSNONPILOT/Tender/SplashBidNoticeAbstractUI.aspx?menuIndex=3&amp;refID=7039163&amp;Result=3","7039163")</f>
        <v>0</v>
      </c>
      <c r="B5052" t="s">
        <v>199</v>
      </c>
      <c r="C5052" t="s">
        <v>7509</v>
      </c>
      <c r="D5052" t="s">
        <v>13009</v>
      </c>
      <c r="E5052" t="s">
        <v>17590</v>
      </c>
      <c r="F5052" t="s">
        <v>22436</v>
      </c>
      <c r="G5052" t="s">
        <v>22444</v>
      </c>
      <c r="H5052" t="s">
        <v>22454</v>
      </c>
      <c r="I5052" t="s">
        <v>7738</v>
      </c>
      <c r="J5052" t="s">
        <v>22587</v>
      </c>
      <c r="K5052" t="s">
        <v>29388</v>
      </c>
      <c r="M5052" t="s">
        <v>31396</v>
      </c>
      <c r="N5052" t="s">
        <v>32524</v>
      </c>
      <c r="O5052" t="s">
        <v>32525</v>
      </c>
      <c r="P5052">
        <v>0</v>
      </c>
      <c r="Q5052">
        <v>0</v>
      </c>
      <c r="R5052" t="s">
        <v>32531</v>
      </c>
      <c r="S5052" t="s">
        <v>32586</v>
      </c>
      <c r="T5052" t="s">
        <v>33234</v>
      </c>
      <c r="U5052" t="s">
        <v>37878</v>
      </c>
      <c r="W5052" t="s">
        <v>31396</v>
      </c>
      <c r="X5052" t="s">
        <v>32532</v>
      </c>
    </row>
    <row r="5053" spans="1:24">
      <c r="A5053">
        <f>HYPERLINK("https://www.philgeps.gov.ph/GEPSNONPILOT/Tender/SplashBidNoticeAbstractUI.aspx?menuIndex=3&amp;refID=7039162&amp;Result=3","7039162")</f>
        <v>0</v>
      </c>
      <c r="B5053" t="s">
        <v>1342</v>
      </c>
      <c r="C5053" t="s">
        <v>7510</v>
      </c>
      <c r="D5053" t="s">
        <v>13011</v>
      </c>
      <c r="E5053" t="s">
        <v>17591</v>
      </c>
      <c r="F5053" t="s">
        <v>22436</v>
      </c>
      <c r="G5053" t="s">
        <v>22445</v>
      </c>
      <c r="H5053" t="s">
        <v>22452</v>
      </c>
      <c r="I5053" t="s">
        <v>22469</v>
      </c>
      <c r="J5053" t="s">
        <v>25895</v>
      </c>
      <c r="K5053" t="s">
        <v>29338</v>
      </c>
      <c r="M5053" t="s">
        <v>30997</v>
      </c>
      <c r="N5053" t="s">
        <v>32524</v>
      </c>
      <c r="O5053" t="s">
        <v>32525</v>
      </c>
      <c r="P5053">
        <v>0</v>
      </c>
      <c r="Q5053">
        <v>4</v>
      </c>
      <c r="R5053" t="s">
        <v>32531</v>
      </c>
      <c r="S5053" t="s">
        <v>32586</v>
      </c>
      <c r="T5053" t="s">
        <v>33220</v>
      </c>
      <c r="U5053" t="s">
        <v>36805</v>
      </c>
      <c r="W5053" t="s">
        <v>30997</v>
      </c>
      <c r="X5053" t="s">
        <v>32532</v>
      </c>
    </row>
    <row r="5054" spans="1:24">
      <c r="A5054">
        <f>HYPERLINK("https://www.philgeps.gov.ph/GEPSNONPILOT/Tender/SplashBidNoticeAbstractUI.aspx?menuIndex=3&amp;refID=7039159&amp;Result=3","7039159")</f>
        <v>0</v>
      </c>
      <c r="B5054" t="s">
        <v>1686</v>
      </c>
      <c r="C5054" t="s">
        <v>7511</v>
      </c>
      <c r="D5054" t="s">
        <v>13000</v>
      </c>
      <c r="E5054" t="s">
        <v>17592</v>
      </c>
      <c r="F5054" t="s">
        <v>22436</v>
      </c>
      <c r="G5054" t="s">
        <v>22443</v>
      </c>
      <c r="H5054" t="s">
        <v>22452</v>
      </c>
      <c r="I5054" t="s">
        <v>3529</v>
      </c>
      <c r="J5054" t="s">
        <v>25896</v>
      </c>
      <c r="K5054" t="s">
        <v>29331</v>
      </c>
      <c r="L5054" t="s">
        <v>1686</v>
      </c>
      <c r="M5054" t="s">
        <v>31386</v>
      </c>
      <c r="N5054" t="s">
        <v>32524</v>
      </c>
      <c r="O5054" t="s">
        <v>32525</v>
      </c>
      <c r="P5054">
        <v>0</v>
      </c>
      <c r="Q5054">
        <v>0</v>
      </c>
      <c r="R5054" t="s">
        <v>32531</v>
      </c>
      <c r="S5054" t="s">
        <v>32586</v>
      </c>
      <c r="T5054" t="s">
        <v>33203</v>
      </c>
      <c r="U5054" t="s">
        <v>37842</v>
      </c>
      <c r="W5054" t="s">
        <v>31386</v>
      </c>
      <c r="X5054" t="s">
        <v>32532</v>
      </c>
    </row>
    <row r="5055" spans="1:24">
      <c r="A5055">
        <f>HYPERLINK("https://www.philgeps.gov.ph/GEPSNONPILOT/Tender/SplashBidNoticeAbstractUI.aspx?menuIndex=3&amp;refID=7039167&amp;Result=3","7039167")</f>
        <v>0</v>
      </c>
      <c r="B5055" t="s">
        <v>1698</v>
      </c>
      <c r="C5055" t="s">
        <v>7512</v>
      </c>
      <c r="D5055" t="s">
        <v>12990</v>
      </c>
      <c r="E5055" t="s">
        <v>17593</v>
      </c>
      <c r="F5055" t="s">
        <v>22436</v>
      </c>
      <c r="G5055" t="s">
        <v>22444</v>
      </c>
      <c r="H5055" t="s">
        <v>22454</v>
      </c>
      <c r="I5055" t="s">
        <v>7738</v>
      </c>
      <c r="J5055" t="s">
        <v>25897</v>
      </c>
      <c r="K5055" t="s">
        <v>29380</v>
      </c>
      <c r="L5055" t="s">
        <v>1698</v>
      </c>
      <c r="M5055" t="s">
        <v>31400</v>
      </c>
      <c r="N5055" t="s">
        <v>32524</v>
      </c>
      <c r="O5055" t="s">
        <v>32525</v>
      </c>
      <c r="P5055">
        <v>0</v>
      </c>
      <c r="Q5055">
        <v>8</v>
      </c>
      <c r="R5055" t="s">
        <v>32531</v>
      </c>
      <c r="S5055" t="s">
        <v>32586</v>
      </c>
      <c r="T5055" t="s">
        <v>33417</v>
      </c>
      <c r="U5055" t="s">
        <v>37867</v>
      </c>
      <c r="W5055" t="s">
        <v>31400</v>
      </c>
      <c r="X5055" t="s">
        <v>32532</v>
      </c>
    </row>
    <row r="5056" spans="1:24">
      <c r="A5056">
        <f>HYPERLINK("https://www.philgeps.gov.ph/GEPSNONPILOT/Tender/SplashBidNoticeAbstractUI.aspx?menuIndex=3&amp;refID=7039210&amp;Result=3","7039210")</f>
        <v>0</v>
      </c>
      <c r="B5056" t="s">
        <v>972</v>
      </c>
      <c r="C5056" t="s">
        <v>7513</v>
      </c>
      <c r="D5056" t="s">
        <v>12993</v>
      </c>
      <c r="E5056" t="s">
        <v>17594</v>
      </c>
      <c r="F5056" t="s">
        <v>22436</v>
      </c>
      <c r="G5056" t="s">
        <v>22444</v>
      </c>
      <c r="H5056" t="s">
        <v>22452</v>
      </c>
      <c r="I5056" t="s">
        <v>22565</v>
      </c>
      <c r="J5056" t="s">
        <v>25898</v>
      </c>
      <c r="K5056" t="s">
        <v>29341</v>
      </c>
      <c r="M5056" t="s">
        <v>30592</v>
      </c>
      <c r="N5056" t="s">
        <v>32524</v>
      </c>
      <c r="O5056" t="s">
        <v>32525</v>
      </c>
      <c r="P5056">
        <v>0</v>
      </c>
      <c r="Q5056">
        <v>1</v>
      </c>
      <c r="R5056" t="s">
        <v>32531</v>
      </c>
      <c r="S5056" t="s">
        <v>32586</v>
      </c>
      <c r="T5056" t="s">
        <v>33219</v>
      </c>
      <c r="U5056" t="s">
        <v>37879</v>
      </c>
      <c r="W5056" t="s">
        <v>30592</v>
      </c>
      <c r="X5056" t="s">
        <v>32532</v>
      </c>
    </row>
    <row r="5057" spans="1:24">
      <c r="A5057">
        <f>HYPERLINK("https://www.philgeps.gov.ph/GEPSNONPILOT/Tender/SplashBidNoticeAbstractUI.aspx?menuIndex=3&amp;refID=7039196&amp;Result=3","7039196")</f>
        <v>0</v>
      </c>
      <c r="B5057" t="s">
        <v>1698</v>
      </c>
      <c r="C5057" t="s">
        <v>7514</v>
      </c>
      <c r="D5057" t="s">
        <v>12990</v>
      </c>
      <c r="E5057" t="s">
        <v>17595</v>
      </c>
      <c r="F5057" t="s">
        <v>22436</v>
      </c>
      <c r="G5057" t="s">
        <v>22444</v>
      </c>
      <c r="H5057" t="s">
        <v>22454</v>
      </c>
      <c r="I5057" t="s">
        <v>7738</v>
      </c>
      <c r="J5057" t="s">
        <v>25899</v>
      </c>
      <c r="K5057" t="s">
        <v>29345</v>
      </c>
      <c r="L5057" t="s">
        <v>1698</v>
      </c>
      <c r="M5057" t="s">
        <v>31400</v>
      </c>
      <c r="N5057" t="s">
        <v>32524</v>
      </c>
      <c r="O5057" t="s">
        <v>32525</v>
      </c>
      <c r="P5057">
        <v>0</v>
      </c>
      <c r="Q5057">
        <v>4</v>
      </c>
      <c r="R5057" t="s">
        <v>32531</v>
      </c>
      <c r="S5057" t="s">
        <v>32586</v>
      </c>
      <c r="T5057" t="s">
        <v>33417</v>
      </c>
      <c r="U5057" t="s">
        <v>37867</v>
      </c>
      <c r="W5057" t="s">
        <v>31400</v>
      </c>
      <c r="X5057" t="s">
        <v>32532</v>
      </c>
    </row>
    <row r="5058" spans="1:24">
      <c r="A5058">
        <f>HYPERLINK("https://www.philgeps.gov.ph/GEPSNONPILOT/Tender/SplashBidNoticeAbstractUI.aspx?menuIndex=3&amp;refID=7039209&amp;Result=3","7039209")</f>
        <v>0</v>
      </c>
      <c r="B5058" t="s">
        <v>267</v>
      </c>
      <c r="C5058" t="s">
        <v>7515</v>
      </c>
      <c r="D5058" t="s">
        <v>13032</v>
      </c>
      <c r="E5058" t="s">
        <v>17596</v>
      </c>
      <c r="F5058" t="s">
        <v>22436</v>
      </c>
      <c r="G5058" t="s">
        <v>22444</v>
      </c>
      <c r="H5058" t="s">
        <v>22452</v>
      </c>
      <c r="I5058" t="s">
        <v>22495</v>
      </c>
      <c r="J5058" t="s">
        <v>25900</v>
      </c>
      <c r="K5058" t="s">
        <v>29338</v>
      </c>
      <c r="M5058" t="s">
        <v>29841</v>
      </c>
      <c r="N5058" t="s">
        <v>32524</v>
      </c>
      <c r="O5058" t="s">
        <v>32525</v>
      </c>
      <c r="P5058">
        <v>0</v>
      </c>
      <c r="Q5058">
        <v>4</v>
      </c>
      <c r="R5058" t="s">
        <v>32531</v>
      </c>
      <c r="S5058" t="s">
        <v>32586</v>
      </c>
      <c r="T5058" t="s">
        <v>33213</v>
      </c>
      <c r="U5058" t="s">
        <v>37880</v>
      </c>
      <c r="W5058" t="s">
        <v>43690</v>
      </c>
      <c r="X5058" t="s">
        <v>32532</v>
      </c>
    </row>
    <row r="5059" spans="1:24">
      <c r="A5059">
        <f>HYPERLINK("https://www.philgeps.gov.ph/GEPSNONPILOT/Tender/SplashBidNoticeAbstractUI.aspx?menuIndex=3&amp;refID=7039203&amp;Result=3","7039203")</f>
        <v>0</v>
      </c>
      <c r="B5059" t="s">
        <v>267</v>
      </c>
      <c r="C5059" t="s">
        <v>7516</v>
      </c>
      <c r="D5059" t="s">
        <v>13032</v>
      </c>
      <c r="E5059" t="s">
        <v>17597</v>
      </c>
      <c r="F5059" t="s">
        <v>22436</v>
      </c>
      <c r="G5059" t="s">
        <v>22444</v>
      </c>
      <c r="H5059" t="s">
        <v>22452</v>
      </c>
      <c r="I5059" t="s">
        <v>22474</v>
      </c>
      <c r="J5059" t="s">
        <v>25137</v>
      </c>
      <c r="K5059" t="s">
        <v>29338</v>
      </c>
      <c r="M5059" t="s">
        <v>29841</v>
      </c>
      <c r="N5059" t="s">
        <v>32524</v>
      </c>
      <c r="O5059" t="s">
        <v>32525</v>
      </c>
      <c r="P5059">
        <v>0</v>
      </c>
      <c r="Q5059">
        <v>2</v>
      </c>
      <c r="R5059" t="s">
        <v>32531</v>
      </c>
      <c r="S5059" t="s">
        <v>32586</v>
      </c>
      <c r="T5059" t="s">
        <v>33213</v>
      </c>
      <c r="U5059" t="s">
        <v>37881</v>
      </c>
      <c r="W5059" t="s">
        <v>43690</v>
      </c>
      <c r="X5059" t="s">
        <v>32532</v>
      </c>
    </row>
    <row r="5060" spans="1:24">
      <c r="A5060">
        <f>HYPERLINK("https://www.philgeps.gov.ph/GEPSNONPILOT/Tender/SplashBidNoticeAbstractUI.aspx?menuIndex=3&amp;refID=7039225&amp;Result=3","7039225")</f>
        <v>0</v>
      </c>
      <c r="B5060" t="s">
        <v>267</v>
      </c>
      <c r="C5060" t="s">
        <v>7517</v>
      </c>
      <c r="D5060" t="s">
        <v>13032</v>
      </c>
      <c r="E5060" t="s">
        <v>17598</v>
      </c>
      <c r="F5060" t="s">
        <v>22436</v>
      </c>
      <c r="G5060" t="s">
        <v>22444</v>
      </c>
      <c r="H5060" t="s">
        <v>22452</v>
      </c>
      <c r="I5060" t="s">
        <v>22494</v>
      </c>
      <c r="J5060" t="s">
        <v>25901</v>
      </c>
      <c r="K5060" t="s">
        <v>29338</v>
      </c>
      <c r="M5060" t="s">
        <v>29841</v>
      </c>
      <c r="N5060" t="s">
        <v>32524</v>
      </c>
      <c r="O5060" t="s">
        <v>32525</v>
      </c>
      <c r="P5060">
        <v>0</v>
      </c>
      <c r="Q5060">
        <v>0</v>
      </c>
      <c r="R5060" t="s">
        <v>32531</v>
      </c>
      <c r="S5060" t="s">
        <v>32586</v>
      </c>
      <c r="T5060" t="s">
        <v>33213</v>
      </c>
      <c r="U5060" t="s">
        <v>37882</v>
      </c>
      <c r="W5060" t="s">
        <v>43690</v>
      </c>
      <c r="X5060" t="s">
        <v>32532</v>
      </c>
    </row>
    <row r="5061" spans="1:24">
      <c r="A5061">
        <f>HYPERLINK("https://www.philgeps.gov.ph/GEPSNONPILOT/Tender/SplashBidNoticeAbstractUI.aspx?menuIndex=3&amp;refID=7039230&amp;Result=3","7039230")</f>
        <v>0</v>
      </c>
      <c r="B5061" t="s">
        <v>1698</v>
      </c>
      <c r="C5061" t="s">
        <v>7518</v>
      </c>
      <c r="D5061" t="s">
        <v>12990</v>
      </c>
      <c r="E5061" t="s">
        <v>17599</v>
      </c>
      <c r="F5061" t="s">
        <v>22436</v>
      </c>
      <c r="G5061" t="s">
        <v>22444</v>
      </c>
      <c r="H5061" t="s">
        <v>22454</v>
      </c>
      <c r="I5061" t="s">
        <v>7738</v>
      </c>
      <c r="J5061" t="s">
        <v>25369</v>
      </c>
      <c r="K5061" t="s">
        <v>29386</v>
      </c>
      <c r="L5061" t="s">
        <v>1698</v>
      </c>
      <c r="M5061" t="s">
        <v>31400</v>
      </c>
      <c r="N5061" t="s">
        <v>32524</v>
      </c>
      <c r="O5061" t="s">
        <v>32525</v>
      </c>
      <c r="P5061">
        <v>0</v>
      </c>
      <c r="Q5061">
        <v>2</v>
      </c>
      <c r="R5061" t="s">
        <v>32531</v>
      </c>
      <c r="S5061" t="s">
        <v>32586</v>
      </c>
      <c r="T5061" t="s">
        <v>33417</v>
      </c>
      <c r="U5061" t="s">
        <v>37867</v>
      </c>
      <c r="W5061" t="s">
        <v>31400</v>
      </c>
      <c r="X5061" t="s">
        <v>32532</v>
      </c>
    </row>
    <row r="5062" spans="1:24">
      <c r="A5062">
        <f>HYPERLINK("https://www.philgeps.gov.ph/GEPSNONPILOT/Tender/SplashBidNoticeAbstractUI.aspx?menuIndex=3&amp;refID=7039232&amp;Result=3","7039232")</f>
        <v>0</v>
      </c>
      <c r="B5062" t="s">
        <v>1702</v>
      </c>
      <c r="C5062" t="s">
        <v>7519</v>
      </c>
      <c r="D5062" t="s">
        <v>13065</v>
      </c>
      <c r="E5062" t="s">
        <v>17600</v>
      </c>
      <c r="F5062" t="s">
        <v>22436</v>
      </c>
      <c r="G5062" t="s">
        <v>22444</v>
      </c>
      <c r="H5062" t="s">
        <v>22454</v>
      </c>
      <c r="I5062" t="s">
        <v>22490</v>
      </c>
      <c r="J5062" t="s">
        <v>22788</v>
      </c>
      <c r="K5062" t="s">
        <v>29433</v>
      </c>
      <c r="M5062" t="s">
        <v>31404</v>
      </c>
      <c r="N5062" t="s">
        <v>32524</v>
      </c>
      <c r="O5062" t="s">
        <v>32525</v>
      </c>
      <c r="P5062">
        <v>0</v>
      </c>
      <c r="Q5062">
        <v>0</v>
      </c>
      <c r="R5062" t="s">
        <v>32531</v>
      </c>
      <c r="S5062" t="s">
        <v>32586</v>
      </c>
      <c r="T5062" t="s">
        <v>33187</v>
      </c>
      <c r="U5062" t="s">
        <v>37883</v>
      </c>
      <c r="W5062" t="s">
        <v>31404</v>
      </c>
      <c r="X5062" t="s">
        <v>32532</v>
      </c>
    </row>
    <row r="5063" spans="1:24">
      <c r="A5063">
        <f>HYPERLINK("https://www.philgeps.gov.ph/GEPSNONPILOT/Tender/SplashBidNoticeAbstractUI.aspx?menuIndex=3&amp;refID=7039250&amp;Result=3","7039250")</f>
        <v>0</v>
      </c>
      <c r="B5063" t="s">
        <v>267</v>
      </c>
      <c r="C5063" t="s">
        <v>7520</v>
      </c>
      <c r="D5063" t="s">
        <v>13032</v>
      </c>
      <c r="E5063" t="s">
        <v>13355</v>
      </c>
      <c r="F5063" t="s">
        <v>22436</v>
      </c>
      <c r="G5063" t="s">
        <v>22444</v>
      </c>
      <c r="H5063" t="s">
        <v>22452</v>
      </c>
      <c r="I5063" t="s">
        <v>22494</v>
      </c>
      <c r="J5063" t="s">
        <v>25902</v>
      </c>
      <c r="K5063" t="s">
        <v>29338</v>
      </c>
      <c r="M5063" t="s">
        <v>29841</v>
      </c>
      <c r="N5063" t="s">
        <v>32524</v>
      </c>
      <c r="O5063" t="s">
        <v>32525</v>
      </c>
      <c r="P5063">
        <v>0</v>
      </c>
      <c r="Q5063">
        <v>0</v>
      </c>
      <c r="R5063" t="s">
        <v>32531</v>
      </c>
      <c r="S5063" t="s">
        <v>32586</v>
      </c>
      <c r="T5063" t="s">
        <v>33213</v>
      </c>
      <c r="U5063" t="s">
        <v>37884</v>
      </c>
      <c r="W5063" t="s">
        <v>43690</v>
      </c>
      <c r="X5063" t="s">
        <v>32532</v>
      </c>
    </row>
    <row r="5064" spans="1:24">
      <c r="A5064">
        <f>HYPERLINK("https://www.philgeps.gov.ph/GEPSNONPILOT/Tender/SplashBidNoticeAbstractUI.aspx?menuIndex=3&amp;refID=7039248&amp;Result=3","7039248")</f>
        <v>0</v>
      </c>
      <c r="B5064" t="s">
        <v>1703</v>
      </c>
      <c r="C5064" t="s">
        <v>7521</v>
      </c>
      <c r="D5064" t="s">
        <v>13050</v>
      </c>
      <c r="E5064" t="s">
        <v>17601</v>
      </c>
      <c r="F5064" t="s">
        <v>22436</v>
      </c>
      <c r="G5064" t="s">
        <v>22450</v>
      </c>
      <c r="H5064" t="s">
        <v>22452</v>
      </c>
      <c r="I5064" t="s">
        <v>2981</v>
      </c>
      <c r="J5064" t="s">
        <v>23053</v>
      </c>
      <c r="K5064" t="s">
        <v>29357</v>
      </c>
      <c r="M5064" t="s">
        <v>31405</v>
      </c>
      <c r="N5064" t="s">
        <v>32524</v>
      </c>
      <c r="O5064" t="s">
        <v>32525</v>
      </c>
      <c r="P5064">
        <v>0</v>
      </c>
      <c r="Q5064">
        <v>3</v>
      </c>
      <c r="R5064" t="s">
        <v>32531</v>
      </c>
      <c r="S5064" t="s">
        <v>32586</v>
      </c>
      <c r="T5064" t="s">
        <v>33351</v>
      </c>
      <c r="U5064" t="s">
        <v>37885</v>
      </c>
      <c r="W5064" t="s">
        <v>31405</v>
      </c>
      <c r="X5064" t="s">
        <v>32532</v>
      </c>
    </row>
    <row r="5065" spans="1:24">
      <c r="A5065">
        <f>HYPERLINK("https://www.philgeps.gov.ph/GEPSNONPILOT/Tender/SplashBidNoticeAbstractUI.aspx?menuIndex=3&amp;refID=7039238&amp;Result=3","7039238")</f>
        <v>0</v>
      </c>
      <c r="B5065" t="s">
        <v>1698</v>
      </c>
      <c r="C5065" t="s">
        <v>7522</v>
      </c>
      <c r="D5065" t="s">
        <v>12990</v>
      </c>
      <c r="E5065" t="s">
        <v>17602</v>
      </c>
      <c r="F5065" t="s">
        <v>22436</v>
      </c>
      <c r="G5065" t="s">
        <v>22444</v>
      </c>
      <c r="H5065" t="s">
        <v>22454</v>
      </c>
      <c r="I5065" t="s">
        <v>7738</v>
      </c>
      <c r="J5065" t="s">
        <v>24910</v>
      </c>
      <c r="K5065" t="s">
        <v>29329</v>
      </c>
      <c r="L5065" t="s">
        <v>1698</v>
      </c>
      <c r="M5065" t="s">
        <v>31400</v>
      </c>
      <c r="N5065" t="s">
        <v>32524</v>
      </c>
      <c r="O5065" t="s">
        <v>32525</v>
      </c>
      <c r="P5065">
        <v>0</v>
      </c>
      <c r="Q5065">
        <v>0</v>
      </c>
      <c r="R5065" t="s">
        <v>32531</v>
      </c>
      <c r="S5065" t="s">
        <v>32586</v>
      </c>
      <c r="T5065" t="s">
        <v>33417</v>
      </c>
      <c r="U5065" t="s">
        <v>37867</v>
      </c>
      <c r="W5065" t="s">
        <v>31400</v>
      </c>
      <c r="X5065" t="s">
        <v>32532</v>
      </c>
    </row>
    <row r="5066" spans="1:24">
      <c r="A5066">
        <f>HYPERLINK("https://www.philgeps.gov.ph/GEPSNONPILOT/Tender/SplashBidNoticeAbstractUI.aspx?menuIndex=3&amp;refID=7039233&amp;Result=3","7039233")</f>
        <v>0</v>
      </c>
      <c r="B5066" t="s">
        <v>267</v>
      </c>
      <c r="C5066" t="s">
        <v>7523</v>
      </c>
      <c r="D5066" t="s">
        <v>13032</v>
      </c>
      <c r="E5066" t="s">
        <v>13577</v>
      </c>
      <c r="F5066" t="s">
        <v>22436</v>
      </c>
      <c r="G5066" t="s">
        <v>22444</v>
      </c>
      <c r="H5066" t="s">
        <v>22452</v>
      </c>
      <c r="I5066" t="s">
        <v>22494</v>
      </c>
      <c r="J5066" t="s">
        <v>25903</v>
      </c>
      <c r="K5066" t="s">
        <v>29338</v>
      </c>
      <c r="M5066" t="s">
        <v>29841</v>
      </c>
      <c r="N5066" t="s">
        <v>32524</v>
      </c>
      <c r="O5066" t="s">
        <v>32525</v>
      </c>
      <c r="P5066">
        <v>0</v>
      </c>
      <c r="Q5066">
        <v>0</v>
      </c>
      <c r="R5066" t="s">
        <v>32531</v>
      </c>
      <c r="S5066" t="s">
        <v>32586</v>
      </c>
      <c r="T5066" t="s">
        <v>33213</v>
      </c>
      <c r="U5066" t="s">
        <v>37886</v>
      </c>
      <c r="W5066" t="s">
        <v>43690</v>
      </c>
      <c r="X5066" t="s">
        <v>32532</v>
      </c>
    </row>
    <row r="5067" spans="1:24">
      <c r="A5067">
        <f>HYPERLINK("https://www.philgeps.gov.ph/GEPSNONPILOT/Tender/SplashBidNoticeAbstractUI.aspx?menuIndex=3&amp;refID=7039237&amp;Result=3","7039237")</f>
        <v>0</v>
      </c>
      <c r="B5067" t="s">
        <v>267</v>
      </c>
      <c r="C5067" t="s">
        <v>7524</v>
      </c>
      <c r="D5067" t="s">
        <v>13032</v>
      </c>
      <c r="E5067" t="s">
        <v>17603</v>
      </c>
      <c r="F5067" t="s">
        <v>22436</v>
      </c>
      <c r="G5067" t="s">
        <v>22444</v>
      </c>
      <c r="H5067" t="s">
        <v>22452</v>
      </c>
      <c r="I5067" t="s">
        <v>3529</v>
      </c>
      <c r="J5067" t="s">
        <v>25904</v>
      </c>
      <c r="K5067" t="s">
        <v>29338</v>
      </c>
      <c r="M5067" t="s">
        <v>29841</v>
      </c>
      <c r="N5067" t="s">
        <v>32524</v>
      </c>
      <c r="O5067" t="s">
        <v>32525</v>
      </c>
      <c r="P5067">
        <v>0</v>
      </c>
      <c r="Q5067">
        <v>0</v>
      </c>
      <c r="R5067" t="s">
        <v>32531</v>
      </c>
      <c r="S5067" t="s">
        <v>32586</v>
      </c>
      <c r="T5067" t="s">
        <v>33213</v>
      </c>
      <c r="U5067" t="s">
        <v>37887</v>
      </c>
      <c r="W5067" t="s">
        <v>43690</v>
      </c>
      <c r="X5067" t="s">
        <v>32532</v>
      </c>
    </row>
    <row r="5068" spans="1:24">
      <c r="A5068">
        <f>HYPERLINK("https://www.philgeps.gov.ph/GEPSNONPILOT/Tender/SplashBidNoticeAbstractUI.aspx?menuIndex=3&amp;refID=7039218&amp;Result=3","7039218")</f>
        <v>0</v>
      </c>
      <c r="B5068" t="s">
        <v>1702</v>
      </c>
      <c r="C5068" t="s">
        <v>7525</v>
      </c>
      <c r="D5068" t="s">
        <v>13065</v>
      </c>
      <c r="E5068" t="s">
        <v>17604</v>
      </c>
      <c r="F5068" t="s">
        <v>22436</v>
      </c>
      <c r="G5068" t="s">
        <v>22444</v>
      </c>
      <c r="H5068" t="s">
        <v>22454</v>
      </c>
      <c r="I5068" t="s">
        <v>22490</v>
      </c>
      <c r="J5068" t="s">
        <v>22605</v>
      </c>
      <c r="K5068" t="s">
        <v>29333</v>
      </c>
      <c r="M5068" t="s">
        <v>31404</v>
      </c>
      <c r="N5068" t="s">
        <v>32524</v>
      </c>
      <c r="O5068" t="s">
        <v>32525</v>
      </c>
      <c r="P5068">
        <v>0</v>
      </c>
      <c r="Q5068">
        <v>0</v>
      </c>
      <c r="R5068" t="s">
        <v>32531</v>
      </c>
      <c r="S5068" t="s">
        <v>32586</v>
      </c>
      <c r="T5068" t="s">
        <v>33187</v>
      </c>
      <c r="U5068" t="s">
        <v>37883</v>
      </c>
      <c r="W5068" t="s">
        <v>31404</v>
      </c>
      <c r="X5068" t="s">
        <v>32532</v>
      </c>
    </row>
    <row r="5069" spans="1:24">
      <c r="A5069">
        <f>HYPERLINK("https://www.philgeps.gov.ph/GEPSNONPILOT/Tender/SplashBidNoticeAbstractUI.aspx?menuIndex=3&amp;refID=7039249&amp;Result=3","7039249")</f>
        <v>0</v>
      </c>
      <c r="B5069" t="s">
        <v>1698</v>
      </c>
      <c r="C5069" t="s">
        <v>7526</v>
      </c>
      <c r="D5069" t="s">
        <v>12990</v>
      </c>
      <c r="E5069" t="s">
        <v>17605</v>
      </c>
      <c r="F5069" t="s">
        <v>22436</v>
      </c>
      <c r="G5069" t="s">
        <v>22444</v>
      </c>
      <c r="H5069" t="s">
        <v>22454</v>
      </c>
      <c r="I5069" t="s">
        <v>7738</v>
      </c>
      <c r="J5069" t="s">
        <v>25363</v>
      </c>
      <c r="K5069" t="s">
        <v>29344</v>
      </c>
      <c r="L5069" t="s">
        <v>1698</v>
      </c>
      <c r="M5069" t="s">
        <v>31400</v>
      </c>
      <c r="N5069" t="s">
        <v>32524</v>
      </c>
      <c r="O5069" t="s">
        <v>32525</v>
      </c>
      <c r="P5069">
        <v>0</v>
      </c>
      <c r="Q5069">
        <v>0</v>
      </c>
      <c r="R5069" t="s">
        <v>32531</v>
      </c>
      <c r="S5069" t="s">
        <v>32586</v>
      </c>
      <c r="T5069" t="s">
        <v>33417</v>
      </c>
      <c r="U5069" t="s">
        <v>37867</v>
      </c>
      <c r="W5069" t="s">
        <v>31400</v>
      </c>
      <c r="X5069" t="s">
        <v>32532</v>
      </c>
    </row>
    <row r="5070" spans="1:24">
      <c r="A5070">
        <f>HYPERLINK("https://www.philgeps.gov.ph/GEPSNONPILOT/Tender/SplashBidNoticeAbstractUI.aspx?menuIndex=3&amp;refID=7039193&amp;Result=3","7039193")</f>
        <v>0</v>
      </c>
      <c r="B5070" t="s">
        <v>267</v>
      </c>
      <c r="C5070" t="s">
        <v>7527</v>
      </c>
      <c r="D5070" t="s">
        <v>13032</v>
      </c>
      <c r="E5070" t="s">
        <v>17606</v>
      </c>
      <c r="F5070" t="s">
        <v>22436</v>
      </c>
      <c r="G5070" t="s">
        <v>22444</v>
      </c>
      <c r="H5070" t="s">
        <v>22452</v>
      </c>
      <c r="I5070" t="s">
        <v>22474</v>
      </c>
      <c r="J5070" t="s">
        <v>25905</v>
      </c>
      <c r="K5070" t="s">
        <v>29338</v>
      </c>
      <c r="M5070" t="s">
        <v>29841</v>
      </c>
      <c r="N5070" t="s">
        <v>32524</v>
      </c>
      <c r="O5070" t="s">
        <v>32525</v>
      </c>
      <c r="P5070">
        <v>0</v>
      </c>
      <c r="Q5070">
        <v>5</v>
      </c>
      <c r="R5070" t="s">
        <v>32531</v>
      </c>
      <c r="S5070" t="s">
        <v>32586</v>
      </c>
      <c r="T5070" t="s">
        <v>33213</v>
      </c>
      <c r="U5070" t="s">
        <v>37888</v>
      </c>
      <c r="W5070" t="s">
        <v>43690</v>
      </c>
      <c r="X5070" t="s">
        <v>32532</v>
      </c>
    </row>
    <row r="5071" spans="1:24">
      <c r="A5071">
        <f>HYPERLINK("https://www.philgeps.gov.ph/GEPSNONPILOT/Tender/SplashBidNoticeAbstractUI.aspx?menuIndex=3&amp;refID=7039223&amp;Result=3","7039223")</f>
        <v>0</v>
      </c>
      <c r="B5071" t="s">
        <v>1704</v>
      </c>
      <c r="C5071" t="s">
        <v>7528</v>
      </c>
      <c r="D5071" t="s">
        <v>12990</v>
      </c>
      <c r="E5071" t="s">
        <v>17607</v>
      </c>
      <c r="F5071" t="s">
        <v>22436</v>
      </c>
      <c r="G5071" t="s">
        <v>22444</v>
      </c>
      <c r="H5071" t="s">
        <v>22454</v>
      </c>
      <c r="I5071" t="s">
        <v>7738</v>
      </c>
      <c r="J5071" t="s">
        <v>22809</v>
      </c>
      <c r="K5071" t="s">
        <v>29341</v>
      </c>
      <c r="M5071" t="s">
        <v>31406</v>
      </c>
      <c r="N5071" t="s">
        <v>32524</v>
      </c>
      <c r="O5071" t="s">
        <v>32525</v>
      </c>
      <c r="P5071">
        <v>0</v>
      </c>
      <c r="Q5071">
        <v>0</v>
      </c>
      <c r="R5071" t="s">
        <v>32531</v>
      </c>
      <c r="S5071" t="s">
        <v>32586</v>
      </c>
      <c r="T5071" t="s">
        <v>33220</v>
      </c>
      <c r="U5071" t="s">
        <v>37889</v>
      </c>
      <c r="V5071" t="s">
        <v>42968</v>
      </c>
      <c r="W5071" t="s">
        <v>31406</v>
      </c>
      <c r="X5071" t="s">
        <v>32532</v>
      </c>
    </row>
    <row r="5072" spans="1:24">
      <c r="A5072">
        <f>HYPERLINK("https://www.philgeps.gov.ph/GEPSNONPILOT/Tender/SplashBidNoticeAbstractUI.aspx?menuIndex=3&amp;refID=7039217&amp;Result=3","7039217")</f>
        <v>0</v>
      </c>
      <c r="B5072" t="s">
        <v>1705</v>
      </c>
      <c r="C5072" t="s">
        <v>5026</v>
      </c>
      <c r="D5072" t="s">
        <v>13028</v>
      </c>
      <c r="E5072" t="s">
        <v>17608</v>
      </c>
      <c r="F5072" t="s">
        <v>22436</v>
      </c>
      <c r="G5072" t="s">
        <v>22444</v>
      </c>
      <c r="H5072" t="s">
        <v>22454</v>
      </c>
      <c r="I5072" t="s">
        <v>7738</v>
      </c>
      <c r="J5072" t="s">
        <v>22836</v>
      </c>
      <c r="K5072" t="s">
        <v>29335</v>
      </c>
      <c r="M5072" t="s">
        <v>31407</v>
      </c>
      <c r="N5072" t="s">
        <v>32524</v>
      </c>
      <c r="O5072" t="s">
        <v>32525</v>
      </c>
      <c r="P5072">
        <v>0</v>
      </c>
      <c r="Q5072">
        <v>0</v>
      </c>
      <c r="R5072" t="s">
        <v>32531</v>
      </c>
      <c r="S5072" t="s">
        <v>32586</v>
      </c>
      <c r="T5072" t="s">
        <v>33345</v>
      </c>
      <c r="U5072" t="s">
        <v>37890</v>
      </c>
      <c r="W5072" t="s">
        <v>31407</v>
      </c>
      <c r="X5072" t="s">
        <v>32532</v>
      </c>
    </row>
    <row r="5073" spans="1:24">
      <c r="A5073">
        <f>HYPERLINK("https://www.philgeps.gov.ph/GEPSNONPILOT/Tender/SplashBidNoticeAbstractUI.aspx?menuIndex=3&amp;refID=7039227&amp;Result=3","7039227")</f>
        <v>0</v>
      </c>
      <c r="B5073" t="s">
        <v>763</v>
      </c>
      <c r="C5073" t="s">
        <v>7529</v>
      </c>
      <c r="D5073" t="s">
        <v>13013</v>
      </c>
      <c r="E5073" t="s">
        <v>14377</v>
      </c>
      <c r="F5073" t="s">
        <v>22436</v>
      </c>
      <c r="G5073" t="s">
        <v>22443</v>
      </c>
      <c r="H5073" t="s">
        <v>22452</v>
      </c>
      <c r="I5073" t="s">
        <v>22486</v>
      </c>
      <c r="J5073" t="s">
        <v>22605</v>
      </c>
      <c r="K5073" t="s">
        <v>29329</v>
      </c>
      <c r="M5073" t="s">
        <v>30364</v>
      </c>
      <c r="N5073" t="s">
        <v>32524</v>
      </c>
      <c r="O5073" t="s">
        <v>32525</v>
      </c>
      <c r="P5073">
        <v>0</v>
      </c>
      <c r="Q5073">
        <v>0</v>
      </c>
      <c r="R5073" t="s">
        <v>32531</v>
      </c>
      <c r="S5073" t="s">
        <v>32586</v>
      </c>
      <c r="T5073" t="s">
        <v>33310</v>
      </c>
      <c r="U5073" t="s">
        <v>37891</v>
      </c>
      <c r="W5073" t="s">
        <v>30364</v>
      </c>
      <c r="X5073" t="s">
        <v>32532</v>
      </c>
    </row>
    <row r="5074" spans="1:24">
      <c r="A5074">
        <f>HYPERLINK("https://www.philgeps.gov.ph/GEPSNONPILOT/Tender/SplashBidNoticeAbstractUI.aspx?menuIndex=3&amp;refID=7039245&amp;Result=3","7039245")</f>
        <v>0</v>
      </c>
      <c r="B5074" t="s">
        <v>75</v>
      </c>
      <c r="C5074" t="s">
        <v>7530</v>
      </c>
      <c r="D5074" t="s">
        <v>13021</v>
      </c>
      <c r="E5074" t="s">
        <v>17609</v>
      </c>
      <c r="F5074" t="s">
        <v>22436</v>
      </c>
      <c r="G5074" t="s">
        <v>22444</v>
      </c>
      <c r="H5074" t="s">
        <v>22452</v>
      </c>
      <c r="I5074" t="s">
        <v>22463</v>
      </c>
      <c r="J5074" t="s">
        <v>25906</v>
      </c>
      <c r="K5074" t="s">
        <v>29335</v>
      </c>
      <c r="M5074" t="s">
        <v>29647</v>
      </c>
      <c r="N5074" t="s">
        <v>32524</v>
      </c>
      <c r="O5074" t="s">
        <v>32525</v>
      </c>
      <c r="P5074">
        <v>0</v>
      </c>
      <c r="Q5074">
        <v>3</v>
      </c>
      <c r="R5074" t="s">
        <v>32531</v>
      </c>
      <c r="S5074" t="s">
        <v>32586</v>
      </c>
      <c r="T5074" t="s">
        <v>33234</v>
      </c>
      <c r="U5074" t="s">
        <v>37892</v>
      </c>
      <c r="W5074" t="s">
        <v>29647</v>
      </c>
      <c r="X5074" t="s">
        <v>32532</v>
      </c>
    </row>
    <row r="5075" spans="1:24">
      <c r="A5075">
        <f>HYPERLINK("https://www.philgeps.gov.ph/GEPSNONPILOT/Tender/SplashBidNoticeAbstractUI.aspx?menuIndex=3&amp;refID=7039213&amp;Result=3","7039213")</f>
        <v>0</v>
      </c>
      <c r="B5075" t="s">
        <v>1706</v>
      </c>
      <c r="C5075" t="s">
        <v>7531</v>
      </c>
      <c r="D5075" t="s">
        <v>13050</v>
      </c>
      <c r="E5075" t="s">
        <v>17610</v>
      </c>
      <c r="F5075" t="s">
        <v>22436</v>
      </c>
      <c r="G5075" t="s">
        <v>22444</v>
      </c>
      <c r="H5075" t="s">
        <v>22454</v>
      </c>
      <c r="I5075" t="s">
        <v>3529</v>
      </c>
      <c r="J5075" t="s">
        <v>22911</v>
      </c>
      <c r="K5075" t="s">
        <v>29335</v>
      </c>
      <c r="M5075" t="s">
        <v>31408</v>
      </c>
      <c r="N5075" t="s">
        <v>32524</v>
      </c>
      <c r="O5075" t="s">
        <v>32525</v>
      </c>
      <c r="P5075">
        <v>0</v>
      </c>
      <c r="Q5075">
        <v>0</v>
      </c>
      <c r="R5075" t="s">
        <v>32531</v>
      </c>
      <c r="S5075" t="s">
        <v>32586</v>
      </c>
      <c r="T5075" t="s">
        <v>33485</v>
      </c>
      <c r="U5075" t="s">
        <v>37893</v>
      </c>
      <c r="V5075" t="s">
        <v>42969</v>
      </c>
      <c r="W5075" t="s">
        <v>31408</v>
      </c>
      <c r="X5075" t="s">
        <v>32532</v>
      </c>
    </row>
    <row r="5076" spans="1:24">
      <c r="A5076">
        <f>HYPERLINK("https://www.philgeps.gov.ph/GEPSNONPILOT/Tender/SplashBidNoticeAbstractUI.aspx?menuIndex=3&amp;refID=7039273&amp;Result=3","7039273")</f>
        <v>0</v>
      </c>
      <c r="B5076" t="s">
        <v>1675</v>
      </c>
      <c r="C5076" t="s">
        <v>7532</v>
      </c>
      <c r="D5076" t="s">
        <v>13006</v>
      </c>
      <c r="E5076" t="s">
        <v>17611</v>
      </c>
      <c r="F5076" t="s">
        <v>22436</v>
      </c>
      <c r="G5076" t="s">
        <v>22443</v>
      </c>
      <c r="H5076" t="s">
        <v>22452</v>
      </c>
      <c r="I5076" t="s">
        <v>22463</v>
      </c>
      <c r="J5076" t="s">
        <v>25907</v>
      </c>
      <c r="K5076" t="s">
        <v>29331</v>
      </c>
      <c r="M5076" t="s">
        <v>31373</v>
      </c>
      <c r="N5076" t="s">
        <v>32524</v>
      </c>
      <c r="O5076" t="s">
        <v>32525</v>
      </c>
      <c r="P5076">
        <v>0</v>
      </c>
      <c r="Q5076">
        <v>2</v>
      </c>
      <c r="R5076" t="s">
        <v>32531</v>
      </c>
      <c r="S5076" t="s">
        <v>32586</v>
      </c>
      <c r="T5076" t="s">
        <v>33402</v>
      </c>
      <c r="U5076" t="s">
        <v>37894</v>
      </c>
      <c r="W5076" t="s">
        <v>43730</v>
      </c>
      <c r="X5076" t="s">
        <v>32532</v>
      </c>
    </row>
    <row r="5077" spans="1:24">
      <c r="A5077">
        <f>HYPERLINK("https://www.philgeps.gov.ph/GEPSNONPILOT/Tender/SplashBidNoticeAbstractUI.aspx?menuIndex=3&amp;refID=7039216&amp;Result=3","7039216")</f>
        <v>0</v>
      </c>
      <c r="B5077" t="s">
        <v>1698</v>
      </c>
      <c r="C5077" t="s">
        <v>7533</v>
      </c>
      <c r="D5077" t="s">
        <v>12990</v>
      </c>
      <c r="E5077" t="s">
        <v>17612</v>
      </c>
      <c r="F5077" t="s">
        <v>22436</v>
      </c>
      <c r="G5077" t="s">
        <v>22444</v>
      </c>
      <c r="H5077" t="s">
        <v>22454</v>
      </c>
      <c r="I5077" t="s">
        <v>7738</v>
      </c>
      <c r="J5077" t="s">
        <v>25908</v>
      </c>
      <c r="K5077" t="s">
        <v>29344</v>
      </c>
      <c r="L5077" t="s">
        <v>1698</v>
      </c>
      <c r="M5077" t="s">
        <v>31400</v>
      </c>
      <c r="N5077" t="s">
        <v>32524</v>
      </c>
      <c r="O5077" t="s">
        <v>32525</v>
      </c>
      <c r="P5077">
        <v>0</v>
      </c>
      <c r="Q5077">
        <v>1</v>
      </c>
      <c r="R5077" t="s">
        <v>32531</v>
      </c>
      <c r="S5077" t="s">
        <v>32586</v>
      </c>
      <c r="T5077" t="s">
        <v>33417</v>
      </c>
      <c r="U5077" t="s">
        <v>37867</v>
      </c>
      <c r="W5077" t="s">
        <v>31400</v>
      </c>
      <c r="X5077" t="s">
        <v>32532</v>
      </c>
    </row>
    <row r="5078" spans="1:24">
      <c r="A5078">
        <f>HYPERLINK("https://www.philgeps.gov.ph/GEPSNONPILOT/Tender/SplashBidNoticeAbstractUI.aspx?menuIndex=3&amp;refID=7039266&amp;Result=3","7039266")</f>
        <v>0</v>
      </c>
      <c r="B5078" t="s">
        <v>267</v>
      </c>
      <c r="C5078" t="s">
        <v>7534</v>
      </c>
      <c r="D5078" t="s">
        <v>13032</v>
      </c>
      <c r="E5078" t="s">
        <v>17613</v>
      </c>
      <c r="F5078" t="s">
        <v>22436</v>
      </c>
      <c r="G5078" t="s">
        <v>22444</v>
      </c>
      <c r="H5078" t="s">
        <v>22452</v>
      </c>
      <c r="I5078" t="s">
        <v>12358</v>
      </c>
      <c r="J5078" t="s">
        <v>22616</v>
      </c>
      <c r="K5078" t="s">
        <v>29338</v>
      </c>
      <c r="M5078" t="s">
        <v>29841</v>
      </c>
      <c r="N5078" t="s">
        <v>32524</v>
      </c>
      <c r="O5078" t="s">
        <v>32525</v>
      </c>
      <c r="P5078">
        <v>0</v>
      </c>
      <c r="Q5078">
        <v>0</v>
      </c>
      <c r="R5078" t="s">
        <v>32531</v>
      </c>
      <c r="S5078" t="s">
        <v>32586</v>
      </c>
      <c r="T5078" t="s">
        <v>33213</v>
      </c>
      <c r="U5078" t="s">
        <v>37895</v>
      </c>
      <c r="W5078" t="s">
        <v>43690</v>
      </c>
      <c r="X5078" t="s">
        <v>32532</v>
      </c>
    </row>
    <row r="5079" spans="1:24">
      <c r="A5079">
        <f>HYPERLINK("https://www.philgeps.gov.ph/GEPSNONPILOT/Tender/SplashBidNoticeAbstractUI.aspx?menuIndex=3&amp;refID=7039269&amp;Result=3","7039269")</f>
        <v>0</v>
      </c>
      <c r="B5079" t="s">
        <v>1698</v>
      </c>
      <c r="C5079" t="s">
        <v>7535</v>
      </c>
      <c r="D5079" t="s">
        <v>12990</v>
      </c>
      <c r="E5079" t="s">
        <v>17614</v>
      </c>
      <c r="F5079" t="s">
        <v>22436</v>
      </c>
      <c r="G5079" t="s">
        <v>22444</v>
      </c>
      <c r="H5079" t="s">
        <v>22454</v>
      </c>
      <c r="I5079" t="s">
        <v>7738</v>
      </c>
      <c r="J5079" t="s">
        <v>25909</v>
      </c>
      <c r="K5079" t="s">
        <v>29334</v>
      </c>
      <c r="L5079" t="s">
        <v>1698</v>
      </c>
      <c r="M5079" t="s">
        <v>31400</v>
      </c>
      <c r="N5079" t="s">
        <v>32524</v>
      </c>
      <c r="O5079" t="s">
        <v>32525</v>
      </c>
      <c r="P5079">
        <v>0</v>
      </c>
      <c r="Q5079">
        <v>0</v>
      </c>
      <c r="R5079" t="s">
        <v>32531</v>
      </c>
      <c r="S5079" t="s">
        <v>32586</v>
      </c>
      <c r="T5079" t="s">
        <v>33417</v>
      </c>
      <c r="U5079" t="s">
        <v>37867</v>
      </c>
      <c r="W5079" t="s">
        <v>31400</v>
      </c>
      <c r="X5079" t="s">
        <v>32532</v>
      </c>
    </row>
    <row r="5080" spans="1:24">
      <c r="A5080">
        <f>HYPERLINK("https://www.philgeps.gov.ph/GEPSNONPILOT/Tender/SplashBidNoticeAbstractUI.aspx?menuIndex=3&amp;refID=7039212&amp;Result=3","7039212")</f>
        <v>0</v>
      </c>
      <c r="B5080" t="s">
        <v>1707</v>
      </c>
      <c r="C5080" t="s">
        <v>7536</v>
      </c>
      <c r="E5080" t="s">
        <v>17615</v>
      </c>
      <c r="F5080" t="s">
        <v>22436</v>
      </c>
      <c r="G5080" t="s">
        <v>22443</v>
      </c>
      <c r="H5080" t="s">
        <v>22452</v>
      </c>
      <c r="I5080" t="s">
        <v>22546</v>
      </c>
      <c r="J5080" t="s">
        <v>22605</v>
      </c>
      <c r="K5080" t="s">
        <v>29338</v>
      </c>
      <c r="M5080" t="s">
        <v>31409</v>
      </c>
      <c r="N5080" t="s">
        <v>32524</v>
      </c>
      <c r="O5080" t="s">
        <v>32525</v>
      </c>
      <c r="P5080">
        <v>0</v>
      </c>
      <c r="Q5080">
        <v>17</v>
      </c>
      <c r="R5080" t="s">
        <v>32531</v>
      </c>
      <c r="S5080" t="s">
        <v>32586</v>
      </c>
      <c r="T5080" t="s">
        <v>33322</v>
      </c>
      <c r="U5080" t="s">
        <v>37896</v>
      </c>
      <c r="W5080" t="s">
        <v>31409</v>
      </c>
      <c r="X5080" t="s">
        <v>32532</v>
      </c>
    </row>
    <row r="5081" spans="1:24">
      <c r="A5081">
        <f>HYPERLINK("https://www.philgeps.gov.ph/GEPSNONPILOT/Tender/SplashBidNoticeAbstractUI.aspx?menuIndex=3&amp;refID=7039265&amp;Result=3","7039265")</f>
        <v>0</v>
      </c>
      <c r="B5081" t="s">
        <v>1637</v>
      </c>
      <c r="C5081" t="s">
        <v>7537</v>
      </c>
      <c r="D5081" t="s">
        <v>13057</v>
      </c>
      <c r="E5081" t="s">
        <v>17616</v>
      </c>
      <c r="F5081" t="s">
        <v>22436</v>
      </c>
      <c r="G5081" t="s">
        <v>22444</v>
      </c>
      <c r="H5081" t="s">
        <v>22454</v>
      </c>
      <c r="I5081" t="s">
        <v>7738</v>
      </c>
      <c r="J5081" t="s">
        <v>25910</v>
      </c>
      <c r="K5081" t="s">
        <v>29433</v>
      </c>
      <c r="M5081" t="s">
        <v>31328</v>
      </c>
      <c r="N5081" t="s">
        <v>32524</v>
      </c>
      <c r="O5081" t="s">
        <v>32525</v>
      </c>
      <c r="P5081">
        <v>0</v>
      </c>
      <c r="Q5081">
        <v>0</v>
      </c>
      <c r="R5081" t="s">
        <v>32531</v>
      </c>
      <c r="S5081" t="s">
        <v>32586</v>
      </c>
      <c r="T5081" t="s">
        <v>33253</v>
      </c>
      <c r="U5081" t="s">
        <v>37897</v>
      </c>
      <c r="W5081" t="s">
        <v>31328</v>
      </c>
      <c r="X5081" t="s">
        <v>32532</v>
      </c>
    </row>
    <row r="5082" spans="1:24">
      <c r="A5082">
        <f>HYPERLINK("https://www.philgeps.gov.ph/GEPSNONPILOT/Tender/SplashBidNoticeAbstractUI.aspx?menuIndex=3&amp;refID=7039271&amp;Result=3","7039271")</f>
        <v>0</v>
      </c>
      <c r="B5082" t="s">
        <v>1708</v>
      </c>
      <c r="C5082" t="s">
        <v>7538</v>
      </c>
      <c r="D5082" t="s">
        <v>12992</v>
      </c>
      <c r="E5082" t="s">
        <v>17309</v>
      </c>
      <c r="F5082" t="s">
        <v>22436</v>
      </c>
      <c r="G5082" t="s">
        <v>22444</v>
      </c>
      <c r="H5082" t="s">
        <v>22452</v>
      </c>
      <c r="I5082" t="s">
        <v>2981</v>
      </c>
      <c r="J5082" t="s">
        <v>22936</v>
      </c>
      <c r="K5082" t="s">
        <v>29338</v>
      </c>
      <c r="M5082" t="s">
        <v>31410</v>
      </c>
      <c r="N5082" t="s">
        <v>32524</v>
      </c>
      <c r="O5082" t="s">
        <v>32525</v>
      </c>
      <c r="P5082">
        <v>0</v>
      </c>
      <c r="Q5082">
        <v>0</v>
      </c>
      <c r="R5082" t="s">
        <v>32531</v>
      </c>
      <c r="S5082" t="s">
        <v>32586</v>
      </c>
      <c r="T5082" t="s">
        <v>33229</v>
      </c>
      <c r="U5082" t="s">
        <v>37898</v>
      </c>
      <c r="V5082" t="s">
        <v>42970</v>
      </c>
      <c r="W5082" t="s">
        <v>31410</v>
      </c>
      <c r="X5082" t="s">
        <v>32532</v>
      </c>
    </row>
    <row r="5083" spans="1:24">
      <c r="A5083">
        <f>HYPERLINK("https://www.philgeps.gov.ph/GEPSNONPILOT/Tender/SplashBidNoticeAbstractUI.aspx?menuIndex=3&amp;refID=7039252&amp;Result=3","7039252")</f>
        <v>0</v>
      </c>
      <c r="B5083" t="s">
        <v>227</v>
      </c>
      <c r="C5083" t="s">
        <v>7539</v>
      </c>
      <c r="E5083" t="s">
        <v>17617</v>
      </c>
      <c r="F5083" t="s">
        <v>22436</v>
      </c>
      <c r="G5083" t="s">
        <v>22444</v>
      </c>
      <c r="H5083" t="s">
        <v>22454</v>
      </c>
      <c r="I5083" t="s">
        <v>7738</v>
      </c>
      <c r="J5083" t="s">
        <v>25911</v>
      </c>
      <c r="K5083" t="s">
        <v>29447</v>
      </c>
      <c r="M5083" t="s">
        <v>31411</v>
      </c>
      <c r="N5083" t="s">
        <v>32524</v>
      </c>
      <c r="O5083" t="s">
        <v>32525</v>
      </c>
      <c r="P5083">
        <v>0</v>
      </c>
      <c r="Q5083">
        <v>2</v>
      </c>
      <c r="R5083" t="s">
        <v>32531</v>
      </c>
      <c r="S5083" t="s">
        <v>32586</v>
      </c>
      <c r="T5083" t="s">
        <v>33422</v>
      </c>
      <c r="U5083" t="s">
        <v>37899</v>
      </c>
      <c r="W5083" t="s">
        <v>31411</v>
      </c>
      <c r="X5083" t="s">
        <v>32532</v>
      </c>
    </row>
    <row r="5084" spans="1:24">
      <c r="A5084">
        <f>HYPERLINK("https://www.philgeps.gov.ph/GEPSNONPILOT/Tender/SplashBidNoticeAbstractUI.aspx?menuIndex=3&amp;refID=7039268&amp;Result=3","7039268")</f>
        <v>0</v>
      </c>
      <c r="B5084" t="s">
        <v>1703</v>
      </c>
      <c r="C5084" t="s">
        <v>7540</v>
      </c>
      <c r="D5084" t="s">
        <v>13050</v>
      </c>
      <c r="E5084" t="s">
        <v>17618</v>
      </c>
      <c r="F5084" t="s">
        <v>22436</v>
      </c>
      <c r="G5084" t="s">
        <v>22443</v>
      </c>
      <c r="H5084" t="s">
        <v>22452</v>
      </c>
      <c r="I5084" t="s">
        <v>2981</v>
      </c>
      <c r="J5084" t="s">
        <v>22616</v>
      </c>
      <c r="K5084" t="s">
        <v>29357</v>
      </c>
      <c r="M5084" t="s">
        <v>31405</v>
      </c>
      <c r="N5084" t="s">
        <v>32524</v>
      </c>
      <c r="O5084" t="s">
        <v>32525</v>
      </c>
      <c r="P5084">
        <v>0</v>
      </c>
      <c r="Q5084">
        <v>3</v>
      </c>
      <c r="R5084" t="s">
        <v>32531</v>
      </c>
      <c r="S5084" t="s">
        <v>32586</v>
      </c>
      <c r="T5084" t="s">
        <v>33351</v>
      </c>
      <c r="U5084" t="s">
        <v>37900</v>
      </c>
      <c r="W5084" t="s">
        <v>31405</v>
      </c>
      <c r="X5084" t="s">
        <v>32532</v>
      </c>
    </row>
    <row r="5085" spans="1:24">
      <c r="A5085">
        <f>HYPERLINK("https://www.philgeps.gov.ph/GEPSNONPILOT/Tender/SplashBidNoticeAbstractUI.aspx?menuIndex=3&amp;refID=7039272&amp;Result=3","7039272")</f>
        <v>0</v>
      </c>
      <c r="B5085" t="s">
        <v>304</v>
      </c>
      <c r="C5085" t="s">
        <v>7541</v>
      </c>
      <c r="D5085" t="s">
        <v>13000</v>
      </c>
      <c r="E5085" t="s">
        <v>17619</v>
      </c>
      <c r="F5085" t="s">
        <v>22436</v>
      </c>
      <c r="G5085" t="s">
        <v>22444</v>
      </c>
      <c r="H5085" t="s">
        <v>22452</v>
      </c>
      <c r="I5085" t="s">
        <v>22476</v>
      </c>
      <c r="J5085" t="s">
        <v>22788</v>
      </c>
      <c r="K5085" t="s">
        <v>29357</v>
      </c>
      <c r="M5085" t="s">
        <v>29878</v>
      </c>
      <c r="N5085" t="s">
        <v>32524</v>
      </c>
      <c r="O5085" t="s">
        <v>32525</v>
      </c>
      <c r="P5085">
        <v>0</v>
      </c>
      <c r="Q5085">
        <v>1</v>
      </c>
      <c r="R5085" t="s">
        <v>32531</v>
      </c>
      <c r="S5085" t="s">
        <v>32586</v>
      </c>
      <c r="T5085" t="s">
        <v>33167</v>
      </c>
      <c r="U5085" t="s">
        <v>37901</v>
      </c>
      <c r="V5085" t="s">
        <v>42971</v>
      </c>
      <c r="W5085" t="s">
        <v>29878</v>
      </c>
      <c r="X5085" t="s">
        <v>32532</v>
      </c>
    </row>
    <row r="5086" spans="1:24">
      <c r="A5086">
        <f>HYPERLINK("https://www.philgeps.gov.ph/GEPSNONPILOT/Tender/SplashBidNoticeAbstractUI.aspx?menuIndex=3&amp;refID=7039259&amp;Result=3","7039259")</f>
        <v>0</v>
      </c>
      <c r="B5086" t="s">
        <v>1706</v>
      </c>
      <c r="C5086" t="s">
        <v>7542</v>
      </c>
      <c r="D5086" t="s">
        <v>13050</v>
      </c>
      <c r="E5086" t="s">
        <v>4483</v>
      </c>
      <c r="F5086" t="s">
        <v>22436</v>
      </c>
      <c r="G5086" t="s">
        <v>22444</v>
      </c>
      <c r="H5086" t="s">
        <v>22454</v>
      </c>
      <c r="I5086" t="s">
        <v>3529</v>
      </c>
      <c r="J5086" t="s">
        <v>22971</v>
      </c>
      <c r="K5086" t="s">
        <v>29335</v>
      </c>
      <c r="M5086" t="s">
        <v>31408</v>
      </c>
      <c r="N5086" t="s">
        <v>32524</v>
      </c>
      <c r="O5086" t="s">
        <v>32525</v>
      </c>
      <c r="P5086">
        <v>0</v>
      </c>
      <c r="Q5086">
        <v>0</v>
      </c>
      <c r="R5086" t="s">
        <v>32531</v>
      </c>
      <c r="S5086" t="s">
        <v>32586</v>
      </c>
      <c r="T5086" t="s">
        <v>33317</v>
      </c>
      <c r="U5086" t="s">
        <v>37902</v>
      </c>
      <c r="V5086" t="s">
        <v>42969</v>
      </c>
      <c r="W5086" t="s">
        <v>31408</v>
      </c>
      <c r="X5086" t="s">
        <v>32532</v>
      </c>
    </row>
    <row r="5087" spans="1:24">
      <c r="A5087">
        <f>HYPERLINK("https://www.philgeps.gov.ph/GEPSNONPILOT/Tender/SplashBidNoticeAbstractUI.aspx?menuIndex=3&amp;refID=7039263&amp;Result=3","7039263")</f>
        <v>0</v>
      </c>
      <c r="B5087" t="s">
        <v>1709</v>
      </c>
      <c r="C5087" t="s">
        <v>7543</v>
      </c>
      <c r="D5087" t="s">
        <v>13003</v>
      </c>
      <c r="E5087" t="s">
        <v>17620</v>
      </c>
      <c r="F5087" t="s">
        <v>22436</v>
      </c>
      <c r="G5087" t="s">
        <v>22444</v>
      </c>
      <c r="H5087" t="s">
        <v>22452</v>
      </c>
      <c r="I5087" t="s">
        <v>22482</v>
      </c>
      <c r="J5087" t="s">
        <v>23227</v>
      </c>
      <c r="K5087" t="s">
        <v>29337</v>
      </c>
      <c r="M5087" t="s">
        <v>31412</v>
      </c>
      <c r="N5087" t="s">
        <v>32524</v>
      </c>
      <c r="O5087" t="s">
        <v>32525</v>
      </c>
      <c r="P5087">
        <v>0</v>
      </c>
      <c r="Q5087">
        <v>1</v>
      </c>
      <c r="R5087" t="s">
        <v>32531</v>
      </c>
      <c r="S5087" t="s">
        <v>32586</v>
      </c>
      <c r="T5087" t="s">
        <v>33220</v>
      </c>
      <c r="U5087" t="s">
        <v>37903</v>
      </c>
      <c r="W5087" t="s">
        <v>31412</v>
      </c>
      <c r="X5087" t="s">
        <v>32532</v>
      </c>
    </row>
    <row r="5088" spans="1:24">
      <c r="A5088">
        <f>HYPERLINK("https://www.philgeps.gov.ph/GEPSNONPILOT/Tender/SplashBidNoticeAbstractUI.aspx?menuIndex=3&amp;refID=7039277&amp;Result=3","7039277")</f>
        <v>0</v>
      </c>
      <c r="B5088" t="s">
        <v>1698</v>
      </c>
      <c r="C5088" t="s">
        <v>7544</v>
      </c>
      <c r="D5088" t="s">
        <v>12990</v>
      </c>
      <c r="E5088" t="s">
        <v>17621</v>
      </c>
      <c r="F5088" t="s">
        <v>22436</v>
      </c>
      <c r="G5088" t="s">
        <v>22444</v>
      </c>
      <c r="H5088" t="s">
        <v>22454</v>
      </c>
      <c r="I5088" t="s">
        <v>7738</v>
      </c>
      <c r="J5088" t="s">
        <v>24895</v>
      </c>
      <c r="K5088" t="s">
        <v>29334</v>
      </c>
      <c r="L5088" t="s">
        <v>1698</v>
      </c>
      <c r="M5088" t="s">
        <v>31400</v>
      </c>
      <c r="N5088" t="s">
        <v>32524</v>
      </c>
      <c r="O5088" t="s">
        <v>32525</v>
      </c>
      <c r="P5088">
        <v>0</v>
      </c>
      <c r="Q5088">
        <v>0</v>
      </c>
      <c r="R5088" t="s">
        <v>32531</v>
      </c>
      <c r="S5088" t="s">
        <v>32586</v>
      </c>
      <c r="T5088" t="s">
        <v>33417</v>
      </c>
      <c r="U5088" t="s">
        <v>37867</v>
      </c>
      <c r="W5088" t="s">
        <v>31400</v>
      </c>
      <c r="X5088" t="s">
        <v>32532</v>
      </c>
    </row>
    <row r="5089" spans="1:24">
      <c r="A5089">
        <f>HYPERLINK("https://www.philgeps.gov.ph/GEPSNONPILOT/Tender/SplashBidNoticeAbstractUI.aspx?menuIndex=3&amp;refID=7039274&amp;Result=3","7039274")</f>
        <v>0</v>
      </c>
      <c r="B5089" t="s">
        <v>267</v>
      </c>
      <c r="C5089" t="s">
        <v>7545</v>
      </c>
      <c r="D5089" t="s">
        <v>13032</v>
      </c>
      <c r="E5089" t="s">
        <v>17622</v>
      </c>
      <c r="F5089" t="s">
        <v>22436</v>
      </c>
      <c r="G5089" t="s">
        <v>22444</v>
      </c>
      <c r="H5089" t="s">
        <v>22452</v>
      </c>
      <c r="I5089" t="s">
        <v>2981</v>
      </c>
      <c r="J5089" t="s">
        <v>25912</v>
      </c>
      <c r="K5089" t="s">
        <v>29338</v>
      </c>
      <c r="M5089" t="s">
        <v>29841</v>
      </c>
      <c r="N5089" t="s">
        <v>32524</v>
      </c>
      <c r="O5089" t="s">
        <v>32525</v>
      </c>
      <c r="Q5089">
        <v>1</v>
      </c>
      <c r="R5089" t="s">
        <v>32531</v>
      </c>
      <c r="S5089" t="s">
        <v>32601</v>
      </c>
      <c r="T5089" t="s">
        <v>33213</v>
      </c>
      <c r="U5089" t="s">
        <v>37904</v>
      </c>
      <c r="W5089" t="s">
        <v>43690</v>
      </c>
      <c r="X5089" t="s">
        <v>32532</v>
      </c>
    </row>
    <row r="5090" spans="1:24">
      <c r="A5090">
        <f>HYPERLINK("https://www.philgeps.gov.ph/GEPSNONPILOT/Tender/SplashBidNoticeAbstractUI.aspx?menuIndex=3&amp;refID=7039285&amp;Result=3","7039285")</f>
        <v>0</v>
      </c>
      <c r="B5090" t="s">
        <v>267</v>
      </c>
      <c r="C5090" t="s">
        <v>7546</v>
      </c>
      <c r="D5090" t="s">
        <v>13032</v>
      </c>
      <c r="E5090" t="s">
        <v>17623</v>
      </c>
      <c r="F5090" t="s">
        <v>22436</v>
      </c>
      <c r="G5090" t="s">
        <v>22444</v>
      </c>
      <c r="H5090" t="s">
        <v>22452</v>
      </c>
      <c r="I5090" t="s">
        <v>3027</v>
      </c>
      <c r="J5090" t="s">
        <v>22858</v>
      </c>
      <c r="K5090" t="s">
        <v>29338</v>
      </c>
      <c r="M5090" t="s">
        <v>29841</v>
      </c>
      <c r="N5090" t="s">
        <v>32524</v>
      </c>
      <c r="O5090" t="s">
        <v>32525</v>
      </c>
      <c r="P5090">
        <v>0</v>
      </c>
      <c r="Q5090">
        <v>0</v>
      </c>
      <c r="R5090" t="s">
        <v>32531</v>
      </c>
      <c r="S5090" t="s">
        <v>32586</v>
      </c>
      <c r="T5090" t="s">
        <v>33213</v>
      </c>
      <c r="U5090" t="s">
        <v>37905</v>
      </c>
      <c r="W5090" t="s">
        <v>43690</v>
      </c>
      <c r="X5090" t="s">
        <v>32532</v>
      </c>
    </row>
    <row r="5091" spans="1:24">
      <c r="A5091">
        <f>HYPERLINK("https://www.philgeps.gov.ph/GEPSNONPILOT/Tender/SplashBidNoticeAbstractUI.aspx?menuIndex=3&amp;refID=7039258&amp;Result=3","7039258")</f>
        <v>0</v>
      </c>
      <c r="B5091" t="s">
        <v>1698</v>
      </c>
      <c r="C5091" t="s">
        <v>7547</v>
      </c>
      <c r="D5091" t="s">
        <v>12990</v>
      </c>
      <c r="E5091" t="s">
        <v>17624</v>
      </c>
      <c r="F5091" t="s">
        <v>22436</v>
      </c>
      <c r="G5091" t="s">
        <v>22444</v>
      </c>
      <c r="H5091" t="s">
        <v>22454</v>
      </c>
      <c r="I5091" t="s">
        <v>7738</v>
      </c>
      <c r="J5091" t="s">
        <v>25913</v>
      </c>
      <c r="K5091" t="s">
        <v>29362</v>
      </c>
      <c r="L5091" t="s">
        <v>1698</v>
      </c>
      <c r="M5091" t="s">
        <v>31400</v>
      </c>
      <c r="N5091" t="s">
        <v>32524</v>
      </c>
      <c r="O5091" t="s">
        <v>32525</v>
      </c>
      <c r="P5091">
        <v>0</v>
      </c>
      <c r="Q5091">
        <v>0</v>
      </c>
      <c r="R5091" t="s">
        <v>32531</v>
      </c>
      <c r="S5091" t="s">
        <v>32586</v>
      </c>
      <c r="T5091" t="s">
        <v>33417</v>
      </c>
      <c r="U5091" t="s">
        <v>37867</v>
      </c>
      <c r="W5091" t="s">
        <v>31400</v>
      </c>
      <c r="X5091" t="s">
        <v>32532</v>
      </c>
    </row>
    <row r="5092" spans="1:24">
      <c r="A5092">
        <f>HYPERLINK("https://www.philgeps.gov.ph/GEPSNONPILOT/Tender/SplashBidNoticeAbstractUI.aspx?menuIndex=3&amp;refID=7039257&amp;Result=3","7039257")</f>
        <v>0</v>
      </c>
      <c r="B5092" t="s">
        <v>267</v>
      </c>
      <c r="C5092" t="s">
        <v>7548</v>
      </c>
      <c r="D5092" t="s">
        <v>13032</v>
      </c>
      <c r="E5092" t="s">
        <v>17625</v>
      </c>
      <c r="F5092" t="s">
        <v>22436</v>
      </c>
      <c r="G5092" t="s">
        <v>22444</v>
      </c>
      <c r="H5092" t="s">
        <v>22452</v>
      </c>
      <c r="I5092" t="s">
        <v>22495</v>
      </c>
      <c r="J5092" t="s">
        <v>25914</v>
      </c>
      <c r="K5092" t="s">
        <v>29338</v>
      </c>
      <c r="M5092" t="s">
        <v>29841</v>
      </c>
      <c r="N5092" t="s">
        <v>32524</v>
      </c>
      <c r="O5092" t="s">
        <v>32525</v>
      </c>
      <c r="P5092">
        <v>0</v>
      </c>
      <c r="Q5092">
        <v>4</v>
      </c>
      <c r="R5092" t="s">
        <v>32531</v>
      </c>
      <c r="S5092" t="s">
        <v>32586</v>
      </c>
      <c r="T5092" t="s">
        <v>33213</v>
      </c>
      <c r="U5092" t="s">
        <v>37906</v>
      </c>
      <c r="W5092" t="s">
        <v>43690</v>
      </c>
      <c r="X5092" t="s">
        <v>32532</v>
      </c>
    </row>
    <row r="5093" spans="1:24">
      <c r="A5093">
        <f>HYPERLINK("https://www.philgeps.gov.ph/GEPSNONPILOT/Tender/SplashBidNoticeAbstractUI.aspx?menuIndex=3&amp;refID=7039293&amp;Result=3","7039293")</f>
        <v>0</v>
      </c>
      <c r="B5093" t="s">
        <v>1709</v>
      </c>
      <c r="C5093" t="s">
        <v>7549</v>
      </c>
      <c r="D5093" t="s">
        <v>13003</v>
      </c>
      <c r="E5093" t="s">
        <v>17626</v>
      </c>
      <c r="F5093" t="s">
        <v>22436</v>
      </c>
      <c r="G5093" t="s">
        <v>22444</v>
      </c>
      <c r="H5093" t="s">
        <v>22452</v>
      </c>
      <c r="I5093" t="s">
        <v>22460</v>
      </c>
      <c r="J5093" t="s">
        <v>25915</v>
      </c>
      <c r="K5093" t="s">
        <v>29337</v>
      </c>
      <c r="M5093" t="s">
        <v>31412</v>
      </c>
      <c r="N5093" t="s">
        <v>32524</v>
      </c>
      <c r="O5093" t="s">
        <v>32525</v>
      </c>
      <c r="P5093">
        <v>0</v>
      </c>
      <c r="Q5093">
        <v>3</v>
      </c>
      <c r="R5093" t="s">
        <v>32531</v>
      </c>
      <c r="S5093" t="s">
        <v>32586</v>
      </c>
      <c r="T5093" t="s">
        <v>33220</v>
      </c>
      <c r="U5093" t="s">
        <v>37907</v>
      </c>
      <c r="W5093" t="s">
        <v>31412</v>
      </c>
      <c r="X5093" t="s">
        <v>32532</v>
      </c>
    </row>
    <row r="5094" spans="1:24">
      <c r="A5094">
        <f>HYPERLINK("https://www.philgeps.gov.ph/GEPSNONPILOT/Tender/SplashBidNoticeAbstractUI.aspx?menuIndex=3&amp;refID=7039276&amp;Result=3","7039276")</f>
        <v>0</v>
      </c>
      <c r="B5094" t="s">
        <v>1710</v>
      </c>
      <c r="C5094" t="s">
        <v>7550</v>
      </c>
      <c r="E5094" t="s">
        <v>17627</v>
      </c>
      <c r="F5094" t="s">
        <v>22436</v>
      </c>
      <c r="G5094" t="s">
        <v>22444</v>
      </c>
      <c r="H5094" t="s">
        <v>22452</v>
      </c>
      <c r="I5094" t="s">
        <v>22474</v>
      </c>
      <c r="J5094" t="s">
        <v>23598</v>
      </c>
      <c r="K5094" t="s">
        <v>29338</v>
      </c>
      <c r="M5094" t="s">
        <v>31413</v>
      </c>
      <c r="N5094" t="s">
        <v>32524</v>
      </c>
      <c r="O5094" t="s">
        <v>32525</v>
      </c>
      <c r="P5094">
        <v>0</v>
      </c>
      <c r="Q5094">
        <v>0</v>
      </c>
      <c r="R5094" t="s">
        <v>32531</v>
      </c>
      <c r="S5094" t="s">
        <v>32586</v>
      </c>
      <c r="T5094" t="s">
        <v>33220</v>
      </c>
      <c r="U5094" t="s">
        <v>37908</v>
      </c>
      <c r="W5094" t="s">
        <v>31413</v>
      </c>
      <c r="X5094" t="s">
        <v>32532</v>
      </c>
    </row>
    <row r="5095" spans="1:24">
      <c r="A5095">
        <f>HYPERLINK("https://www.philgeps.gov.ph/GEPSNONPILOT/Tender/SplashBidNoticeAbstractUI.aspx?menuIndex=3&amp;refID=7039286&amp;Result=3","7039286")</f>
        <v>0</v>
      </c>
      <c r="B5095" t="s">
        <v>546</v>
      </c>
      <c r="C5095" t="s">
        <v>7551</v>
      </c>
      <c r="D5095" t="s">
        <v>13039</v>
      </c>
      <c r="E5095" t="s">
        <v>17628</v>
      </c>
      <c r="F5095" t="s">
        <v>22436</v>
      </c>
      <c r="G5095" t="s">
        <v>22444</v>
      </c>
      <c r="H5095" t="s">
        <v>22452</v>
      </c>
      <c r="I5095" t="s">
        <v>22471</v>
      </c>
      <c r="J5095" t="s">
        <v>25916</v>
      </c>
      <c r="K5095" t="s">
        <v>29331</v>
      </c>
      <c r="L5095" t="s">
        <v>546</v>
      </c>
      <c r="M5095" t="s">
        <v>30130</v>
      </c>
      <c r="N5095" t="s">
        <v>32524</v>
      </c>
      <c r="O5095" t="s">
        <v>32525</v>
      </c>
      <c r="P5095">
        <v>0</v>
      </c>
      <c r="Q5095">
        <v>0</v>
      </c>
      <c r="R5095" t="s">
        <v>32531</v>
      </c>
      <c r="S5095" t="s">
        <v>32586</v>
      </c>
      <c r="T5095" t="s">
        <v>33241</v>
      </c>
      <c r="U5095" t="s">
        <v>34732</v>
      </c>
      <c r="V5095" t="s">
        <v>42972</v>
      </c>
      <c r="W5095" t="s">
        <v>30130</v>
      </c>
      <c r="X5095" t="s">
        <v>32532</v>
      </c>
    </row>
    <row r="5096" spans="1:24">
      <c r="A5096">
        <f>HYPERLINK("https://www.philgeps.gov.ph/GEPSNONPILOT/Tender/SplashBidNoticeAbstractUI.aspx?menuIndex=3&amp;refID=7039287&amp;Result=3","7039287")</f>
        <v>0</v>
      </c>
      <c r="B5096" t="s">
        <v>1711</v>
      </c>
      <c r="C5096" t="s">
        <v>7552</v>
      </c>
      <c r="D5096" t="s">
        <v>12994</v>
      </c>
      <c r="E5096" t="s">
        <v>17629</v>
      </c>
      <c r="F5096" t="s">
        <v>22436</v>
      </c>
      <c r="G5096" t="s">
        <v>22443</v>
      </c>
      <c r="H5096" t="s">
        <v>22452</v>
      </c>
      <c r="I5096" t="s">
        <v>3840</v>
      </c>
      <c r="J5096" t="s">
        <v>25917</v>
      </c>
      <c r="K5096" t="s">
        <v>29341</v>
      </c>
      <c r="M5096" t="s">
        <v>31414</v>
      </c>
      <c r="N5096" t="s">
        <v>32524</v>
      </c>
      <c r="O5096" t="s">
        <v>32525</v>
      </c>
      <c r="P5096">
        <v>0</v>
      </c>
      <c r="Q5096">
        <v>1</v>
      </c>
      <c r="R5096" t="s">
        <v>32531</v>
      </c>
      <c r="S5096" t="s">
        <v>32586</v>
      </c>
      <c r="T5096" t="s">
        <v>33296</v>
      </c>
      <c r="U5096" t="s">
        <v>37909</v>
      </c>
      <c r="W5096" t="s">
        <v>31414</v>
      </c>
      <c r="X5096" t="s">
        <v>32532</v>
      </c>
    </row>
    <row r="5097" spans="1:24">
      <c r="A5097">
        <f>HYPERLINK("https://www.philgeps.gov.ph/GEPSNONPILOT/Tender/SplashBidNoticeAbstractUI.aspx?menuIndex=3&amp;refID=7039284&amp;Result=3","7039284")</f>
        <v>0</v>
      </c>
      <c r="B5097" t="s">
        <v>71</v>
      </c>
      <c r="C5097" t="s">
        <v>7553</v>
      </c>
      <c r="D5097" t="s">
        <v>13007</v>
      </c>
      <c r="E5097" t="s">
        <v>17630</v>
      </c>
      <c r="F5097" t="s">
        <v>22436</v>
      </c>
      <c r="G5097" t="s">
        <v>22444</v>
      </c>
      <c r="H5097" t="s">
        <v>22452</v>
      </c>
      <c r="I5097" t="s">
        <v>6421</v>
      </c>
      <c r="J5097" t="s">
        <v>23278</v>
      </c>
      <c r="K5097" t="s">
        <v>29338</v>
      </c>
      <c r="M5097" t="s">
        <v>29643</v>
      </c>
      <c r="N5097" t="s">
        <v>32524</v>
      </c>
      <c r="O5097" t="s">
        <v>32525</v>
      </c>
      <c r="P5097">
        <v>0</v>
      </c>
      <c r="Q5097">
        <v>3</v>
      </c>
      <c r="R5097" t="s">
        <v>32531</v>
      </c>
      <c r="S5097" t="s">
        <v>32586</v>
      </c>
      <c r="T5097" t="s">
        <v>33486</v>
      </c>
      <c r="U5097" t="s">
        <v>37910</v>
      </c>
      <c r="V5097" t="s">
        <v>42441</v>
      </c>
      <c r="W5097" t="s">
        <v>29643</v>
      </c>
      <c r="X5097" t="s">
        <v>32532</v>
      </c>
    </row>
    <row r="5098" spans="1:24">
      <c r="A5098">
        <f>HYPERLINK("https://www.philgeps.gov.ph/GEPSNONPILOT/Tender/SplashBidNoticeAbstractUI.aspx?menuIndex=3&amp;refID=7039289&amp;Result=3","7039289")</f>
        <v>0</v>
      </c>
      <c r="B5098" t="s">
        <v>1698</v>
      </c>
      <c r="C5098" t="s">
        <v>7554</v>
      </c>
      <c r="D5098" t="s">
        <v>12990</v>
      </c>
      <c r="E5098" t="s">
        <v>17631</v>
      </c>
      <c r="F5098" t="s">
        <v>22436</v>
      </c>
      <c r="G5098" t="s">
        <v>22444</v>
      </c>
      <c r="H5098" t="s">
        <v>22454</v>
      </c>
      <c r="I5098" t="s">
        <v>7738</v>
      </c>
      <c r="J5098" t="s">
        <v>25326</v>
      </c>
      <c r="K5098" t="s">
        <v>29347</v>
      </c>
      <c r="L5098" t="s">
        <v>1698</v>
      </c>
      <c r="M5098" t="s">
        <v>31400</v>
      </c>
      <c r="N5098" t="s">
        <v>32524</v>
      </c>
      <c r="O5098" t="s">
        <v>32525</v>
      </c>
      <c r="P5098">
        <v>0</v>
      </c>
      <c r="Q5098">
        <v>0</v>
      </c>
      <c r="R5098" t="s">
        <v>32531</v>
      </c>
      <c r="S5098" t="s">
        <v>32586</v>
      </c>
      <c r="T5098" t="s">
        <v>33417</v>
      </c>
      <c r="U5098" t="s">
        <v>37867</v>
      </c>
      <c r="W5098" t="s">
        <v>31400</v>
      </c>
      <c r="X5098" t="s">
        <v>32532</v>
      </c>
    </row>
    <row r="5099" spans="1:24">
      <c r="A5099">
        <f>HYPERLINK("https://www.philgeps.gov.ph/GEPSNONPILOT/Tender/SplashBidNoticeAbstractUI.aspx?menuIndex=3&amp;refID=7039298&amp;Result=3","7039298")</f>
        <v>0</v>
      </c>
      <c r="B5099" t="s">
        <v>1698</v>
      </c>
      <c r="C5099" t="s">
        <v>7555</v>
      </c>
      <c r="D5099" t="s">
        <v>12990</v>
      </c>
      <c r="E5099" t="s">
        <v>17632</v>
      </c>
      <c r="F5099" t="s">
        <v>22436</v>
      </c>
      <c r="G5099" t="s">
        <v>22444</v>
      </c>
      <c r="H5099" t="s">
        <v>22454</v>
      </c>
      <c r="I5099" t="s">
        <v>7738</v>
      </c>
      <c r="J5099" t="s">
        <v>25537</v>
      </c>
      <c r="K5099" t="s">
        <v>29333</v>
      </c>
      <c r="L5099" t="s">
        <v>1698</v>
      </c>
      <c r="M5099" t="s">
        <v>31400</v>
      </c>
      <c r="N5099" t="s">
        <v>32524</v>
      </c>
      <c r="O5099" t="s">
        <v>32525</v>
      </c>
      <c r="P5099">
        <v>0</v>
      </c>
      <c r="Q5099">
        <v>0</v>
      </c>
      <c r="R5099" t="s">
        <v>32531</v>
      </c>
      <c r="S5099" t="s">
        <v>32586</v>
      </c>
      <c r="T5099" t="s">
        <v>33417</v>
      </c>
      <c r="U5099" t="s">
        <v>37867</v>
      </c>
      <c r="W5099" t="s">
        <v>31400</v>
      </c>
      <c r="X5099" t="s">
        <v>32532</v>
      </c>
    </row>
    <row r="5100" spans="1:24">
      <c r="A5100">
        <f>HYPERLINK("https://www.philgeps.gov.ph/GEPSNONPILOT/Tender/SplashBidNoticeAbstractUI.aspx?menuIndex=3&amp;refID=7039295&amp;Result=3","7039295")</f>
        <v>0</v>
      </c>
      <c r="B5100" t="s">
        <v>1182</v>
      </c>
      <c r="C5100" t="s">
        <v>7556</v>
      </c>
      <c r="D5100" t="s">
        <v>12993</v>
      </c>
      <c r="E5100" t="s">
        <v>17633</v>
      </c>
      <c r="F5100" t="s">
        <v>22436</v>
      </c>
      <c r="G5100" t="s">
        <v>22447</v>
      </c>
      <c r="H5100" t="s">
        <v>22452</v>
      </c>
      <c r="I5100" t="s">
        <v>22463</v>
      </c>
      <c r="J5100" t="s">
        <v>25918</v>
      </c>
      <c r="K5100" t="s">
        <v>29331</v>
      </c>
      <c r="M5100" t="s">
        <v>31415</v>
      </c>
      <c r="N5100" t="s">
        <v>32524</v>
      </c>
      <c r="O5100" t="s">
        <v>32525</v>
      </c>
      <c r="P5100">
        <v>0</v>
      </c>
      <c r="Q5100">
        <v>1</v>
      </c>
      <c r="R5100" t="s">
        <v>32531</v>
      </c>
      <c r="S5100" t="s">
        <v>32586</v>
      </c>
      <c r="T5100" t="s">
        <v>33213</v>
      </c>
      <c r="U5100" t="s">
        <v>37911</v>
      </c>
      <c r="W5100" t="s">
        <v>43731</v>
      </c>
      <c r="X5100" t="s">
        <v>32532</v>
      </c>
    </row>
    <row r="5101" spans="1:24">
      <c r="A5101">
        <f>HYPERLINK("https://www.philgeps.gov.ph/GEPSNONPILOT/Tender/SplashBidNoticeAbstractUI.aspx?menuIndex=3&amp;refID=7039280&amp;Result=3","7039280")</f>
        <v>0</v>
      </c>
      <c r="B5101" t="s">
        <v>338</v>
      </c>
      <c r="C5101" t="s">
        <v>7557</v>
      </c>
      <c r="D5101" t="s">
        <v>13043</v>
      </c>
      <c r="E5101" t="s">
        <v>17634</v>
      </c>
      <c r="F5101" t="s">
        <v>22436</v>
      </c>
      <c r="G5101" t="s">
        <v>22444</v>
      </c>
      <c r="H5101" t="s">
        <v>22452</v>
      </c>
      <c r="I5101" t="s">
        <v>22484</v>
      </c>
      <c r="J5101" t="s">
        <v>25919</v>
      </c>
      <c r="K5101" t="s">
        <v>29338</v>
      </c>
      <c r="M5101" t="s">
        <v>29914</v>
      </c>
      <c r="N5101" t="s">
        <v>32524</v>
      </c>
      <c r="O5101" t="s">
        <v>32525</v>
      </c>
      <c r="P5101">
        <v>0</v>
      </c>
      <c r="Q5101">
        <v>8</v>
      </c>
      <c r="R5101" t="s">
        <v>32531</v>
      </c>
      <c r="S5101" t="s">
        <v>32586</v>
      </c>
      <c r="T5101" t="s">
        <v>33487</v>
      </c>
      <c r="U5101" t="s">
        <v>37912</v>
      </c>
      <c r="W5101" t="s">
        <v>29914</v>
      </c>
      <c r="X5101" t="s">
        <v>32532</v>
      </c>
    </row>
    <row r="5102" spans="1:24">
      <c r="A5102">
        <f>HYPERLINK("https://www.philgeps.gov.ph/GEPSNONPILOT/Tender/SplashBidNoticeAbstractUI.aspx?menuIndex=3&amp;refID=7039341&amp;Result=3","7039341")</f>
        <v>0</v>
      </c>
      <c r="B5102" t="s">
        <v>1709</v>
      </c>
      <c r="C5102" t="s">
        <v>7558</v>
      </c>
      <c r="D5102" t="s">
        <v>13003</v>
      </c>
      <c r="E5102" t="s">
        <v>17635</v>
      </c>
      <c r="F5102" t="s">
        <v>22436</v>
      </c>
      <c r="G5102" t="s">
        <v>22444</v>
      </c>
      <c r="H5102" t="s">
        <v>22452</v>
      </c>
      <c r="I5102" t="s">
        <v>22494</v>
      </c>
      <c r="J5102" t="s">
        <v>25920</v>
      </c>
      <c r="K5102" t="s">
        <v>29337</v>
      </c>
      <c r="M5102" t="s">
        <v>31412</v>
      </c>
      <c r="N5102" t="s">
        <v>32524</v>
      </c>
      <c r="O5102" t="s">
        <v>32525</v>
      </c>
      <c r="P5102">
        <v>0</v>
      </c>
      <c r="Q5102">
        <v>0</v>
      </c>
      <c r="R5102" t="s">
        <v>32531</v>
      </c>
      <c r="S5102" t="s">
        <v>32586</v>
      </c>
      <c r="T5102" t="s">
        <v>33220</v>
      </c>
      <c r="U5102" t="s">
        <v>37913</v>
      </c>
      <c r="W5102" t="s">
        <v>31412</v>
      </c>
      <c r="X5102" t="s">
        <v>32532</v>
      </c>
    </row>
    <row r="5103" spans="1:24">
      <c r="A5103">
        <f>HYPERLINK("https://www.philgeps.gov.ph/GEPSNONPILOT/Tender/SplashBidNoticeAbstractUI.aspx?menuIndex=3&amp;refID=7039303&amp;Result=3","7039303")</f>
        <v>0</v>
      </c>
      <c r="B5103" t="s">
        <v>481</v>
      </c>
      <c r="C5103" t="s">
        <v>7559</v>
      </c>
      <c r="D5103" t="s">
        <v>12994</v>
      </c>
      <c r="E5103" t="s">
        <v>17636</v>
      </c>
      <c r="F5103" t="s">
        <v>22436</v>
      </c>
      <c r="G5103" t="s">
        <v>22444</v>
      </c>
      <c r="H5103" t="s">
        <v>22452</v>
      </c>
      <c r="I5103" t="s">
        <v>12358</v>
      </c>
      <c r="J5103" t="s">
        <v>25921</v>
      </c>
      <c r="K5103" t="s">
        <v>29331</v>
      </c>
      <c r="M5103" t="s">
        <v>30065</v>
      </c>
      <c r="N5103" t="s">
        <v>32524</v>
      </c>
      <c r="O5103" t="s">
        <v>32525</v>
      </c>
      <c r="P5103">
        <v>0</v>
      </c>
      <c r="Q5103">
        <v>0</v>
      </c>
      <c r="R5103" t="s">
        <v>32531</v>
      </c>
      <c r="S5103" t="s">
        <v>32586</v>
      </c>
      <c r="T5103" t="s">
        <v>33416</v>
      </c>
      <c r="U5103" t="s">
        <v>34603</v>
      </c>
      <c r="W5103" t="s">
        <v>30065</v>
      </c>
      <c r="X5103" t="s">
        <v>32532</v>
      </c>
    </row>
    <row r="5104" spans="1:24">
      <c r="A5104">
        <f>HYPERLINK("https://www.philgeps.gov.ph/GEPSNONPILOT/Tender/SplashBidNoticeAbstractUI.aspx?menuIndex=3&amp;refID=7039282&amp;Result=3","7039282")</f>
        <v>0</v>
      </c>
      <c r="B5104" t="s">
        <v>149</v>
      </c>
      <c r="C5104" t="s">
        <v>7560</v>
      </c>
      <c r="D5104" t="s">
        <v>13001</v>
      </c>
      <c r="E5104" t="s">
        <v>17513</v>
      </c>
      <c r="F5104" t="s">
        <v>22436</v>
      </c>
      <c r="G5104" t="s">
        <v>22443</v>
      </c>
      <c r="H5104" t="s">
        <v>22452</v>
      </c>
      <c r="I5104" t="s">
        <v>22460</v>
      </c>
      <c r="J5104" t="s">
        <v>25922</v>
      </c>
      <c r="K5104" t="s">
        <v>29336</v>
      </c>
      <c r="M5104" t="s">
        <v>29721</v>
      </c>
      <c r="N5104" t="s">
        <v>32524</v>
      </c>
      <c r="O5104" t="s">
        <v>32525</v>
      </c>
      <c r="P5104">
        <v>0</v>
      </c>
      <c r="Q5104">
        <v>1</v>
      </c>
      <c r="R5104" t="s">
        <v>32531</v>
      </c>
      <c r="S5104" t="s">
        <v>32586</v>
      </c>
      <c r="T5104" t="s">
        <v>33304</v>
      </c>
      <c r="U5104" t="s">
        <v>37914</v>
      </c>
      <c r="W5104" t="s">
        <v>29721</v>
      </c>
      <c r="X5104" t="s">
        <v>32532</v>
      </c>
    </row>
    <row r="5105" spans="1:24">
      <c r="A5105">
        <f>HYPERLINK("https://www.philgeps.gov.ph/GEPSNONPILOT/Tender/SplashBidNoticeAbstractUI.aspx?menuIndex=3&amp;refID=7039335&amp;Result=3","7039335")</f>
        <v>0</v>
      </c>
      <c r="B5105" t="s">
        <v>1182</v>
      </c>
      <c r="C5105" t="s">
        <v>7561</v>
      </c>
      <c r="D5105" t="s">
        <v>12993</v>
      </c>
      <c r="E5105" t="s">
        <v>17637</v>
      </c>
      <c r="F5105" t="s">
        <v>22436</v>
      </c>
      <c r="G5105" t="s">
        <v>22447</v>
      </c>
      <c r="H5105" t="s">
        <v>22452</v>
      </c>
      <c r="I5105" t="s">
        <v>22469</v>
      </c>
      <c r="J5105" t="s">
        <v>24863</v>
      </c>
      <c r="K5105" t="s">
        <v>29331</v>
      </c>
      <c r="M5105" t="s">
        <v>31415</v>
      </c>
      <c r="N5105" t="s">
        <v>32524</v>
      </c>
      <c r="O5105" t="s">
        <v>32525</v>
      </c>
      <c r="P5105">
        <v>0</v>
      </c>
      <c r="Q5105">
        <v>3</v>
      </c>
      <c r="R5105" t="s">
        <v>32531</v>
      </c>
      <c r="S5105" t="s">
        <v>32586</v>
      </c>
      <c r="T5105" t="s">
        <v>33213</v>
      </c>
      <c r="U5105" t="s">
        <v>37915</v>
      </c>
      <c r="W5105" t="s">
        <v>43731</v>
      </c>
      <c r="X5105" t="s">
        <v>32532</v>
      </c>
    </row>
    <row r="5106" spans="1:24">
      <c r="A5106">
        <f>HYPERLINK("https://www.philgeps.gov.ph/GEPSNONPILOT/Tender/SplashBidNoticeAbstractUI.aspx?menuIndex=3&amp;refID=7039304&amp;Result=3","7039304")</f>
        <v>0</v>
      </c>
      <c r="B5106" t="s">
        <v>1712</v>
      </c>
      <c r="C5106" t="s">
        <v>7562</v>
      </c>
      <c r="D5106" t="s">
        <v>13012</v>
      </c>
      <c r="E5106" t="s">
        <v>17638</v>
      </c>
      <c r="F5106" t="s">
        <v>22436</v>
      </c>
      <c r="G5106" t="s">
        <v>22444</v>
      </c>
      <c r="H5106" t="s">
        <v>22452</v>
      </c>
      <c r="I5106" t="s">
        <v>3529</v>
      </c>
      <c r="J5106" t="s">
        <v>25923</v>
      </c>
      <c r="K5106" t="s">
        <v>29341</v>
      </c>
      <c r="M5106" t="s">
        <v>31416</v>
      </c>
      <c r="N5106" t="s">
        <v>32524</v>
      </c>
      <c r="O5106" t="s">
        <v>32525</v>
      </c>
      <c r="P5106">
        <v>0</v>
      </c>
      <c r="Q5106">
        <v>0</v>
      </c>
      <c r="R5106" t="s">
        <v>32531</v>
      </c>
      <c r="S5106" t="s">
        <v>32586</v>
      </c>
      <c r="T5106" t="s">
        <v>33215</v>
      </c>
      <c r="U5106" t="s">
        <v>37916</v>
      </c>
      <c r="W5106" t="s">
        <v>31416</v>
      </c>
      <c r="X5106" t="s">
        <v>32532</v>
      </c>
    </row>
    <row r="5107" spans="1:24">
      <c r="A5107">
        <f>HYPERLINK("https://www.philgeps.gov.ph/GEPSNONPILOT/Tender/SplashBidNoticeAbstractUI.aspx?menuIndex=3&amp;refID=7039297&amp;Result=3","7039297")</f>
        <v>0</v>
      </c>
      <c r="B5107" t="s">
        <v>1706</v>
      </c>
      <c r="C5107" t="s">
        <v>7563</v>
      </c>
      <c r="D5107" t="s">
        <v>13050</v>
      </c>
      <c r="E5107" t="s">
        <v>17639</v>
      </c>
      <c r="F5107" t="s">
        <v>22436</v>
      </c>
      <c r="G5107" t="s">
        <v>22444</v>
      </c>
      <c r="H5107" t="s">
        <v>22454</v>
      </c>
      <c r="I5107" t="s">
        <v>3529</v>
      </c>
      <c r="J5107" t="s">
        <v>22911</v>
      </c>
      <c r="K5107" t="s">
        <v>29335</v>
      </c>
      <c r="M5107" t="s">
        <v>31408</v>
      </c>
      <c r="N5107" t="s">
        <v>32524</v>
      </c>
      <c r="O5107" t="s">
        <v>32525</v>
      </c>
      <c r="P5107">
        <v>0</v>
      </c>
      <c r="Q5107">
        <v>0</v>
      </c>
      <c r="R5107" t="s">
        <v>32531</v>
      </c>
      <c r="S5107" t="s">
        <v>32586</v>
      </c>
      <c r="T5107" t="s">
        <v>33317</v>
      </c>
      <c r="U5107" t="s">
        <v>37917</v>
      </c>
      <c r="V5107" t="s">
        <v>42969</v>
      </c>
      <c r="W5107" t="s">
        <v>31408</v>
      </c>
      <c r="X5107" t="s">
        <v>32532</v>
      </c>
    </row>
    <row r="5108" spans="1:24">
      <c r="A5108">
        <f>HYPERLINK("https://www.philgeps.gov.ph/GEPSNONPILOT/Tender/SplashBidNoticeAbstractUI.aspx?menuIndex=3&amp;refID=7039333&amp;Result=3","7039333")</f>
        <v>0</v>
      </c>
      <c r="B5108" t="s">
        <v>71</v>
      </c>
      <c r="C5108" t="s">
        <v>7564</v>
      </c>
      <c r="D5108" t="s">
        <v>13007</v>
      </c>
      <c r="E5108" t="s">
        <v>17640</v>
      </c>
      <c r="F5108" t="s">
        <v>22436</v>
      </c>
      <c r="G5108" t="s">
        <v>22444</v>
      </c>
      <c r="H5108" t="s">
        <v>22452</v>
      </c>
      <c r="I5108" t="s">
        <v>6421</v>
      </c>
      <c r="J5108" t="s">
        <v>25924</v>
      </c>
      <c r="K5108" t="s">
        <v>29338</v>
      </c>
      <c r="M5108" t="s">
        <v>29643</v>
      </c>
      <c r="N5108" t="s">
        <v>32524</v>
      </c>
      <c r="O5108" t="s">
        <v>32525</v>
      </c>
      <c r="P5108">
        <v>0</v>
      </c>
      <c r="Q5108">
        <v>1</v>
      </c>
      <c r="R5108" t="s">
        <v>32531</v>
      </c>
      <c r="S5108" t="s">
        <v>32586</v>
      </c>
      <c r="T5108" t="s">
        <v>33486</v>
      </c>
      <c r="U5108" t="s">
        <v>37918</v>
      </c>
      <c r="V5108" t="s">
        <v>42441</v>
      </c>
      <c r="W5108" t="s">
        <v>29643</v>
      </c>
      <c r="X5108" t="s">
        <v>32532</v>
      </c>
    </row>
    <row r="5109" spans="1:24">
      <c r="A5109">
        <f>HYPERLINK("https://www.philgeps.gov.ph/GEPSNONPILOT/Tender/SplashBidNoticeAbstractUI.aspx?menuIndex=3&amp;refID=7039332&amp;Result=3","7039332")</f>
        <v>0</v>
      </c>
      <c r="B5109" t="s">
        <v>51</v>
      </c>
      <c r="C5109" t="s">
        <v>7565</v>
      </c>
      <c r="D5109" t="s">
        <v>13009</v>
      </c>
      <c r="E5109" t="s">
        <v>17641</v>
      </c>
      <c r="F5109" t="s">
        <v>22436</v>
      </c>
      <c r="G5109" t="s">
        <v>22444</v>
      </c>
      <c r="H5109" t="s">
        <v>22452</v>
      </c>
      <c r="I5109" t="s">
        <v>22494</v>
      </c>
      <c r="J5109" t="s">
        <v>25635</v>
      </c>
      <c r="K5109" t="s">
        <v>29335</v>
      </c>
      <c r="M5109" t="s">
        <v>29623</v>
      </c>
      <c r="N5109" t="s">
        <v>32524</v>
      </c>
      <c r="O5109" t="s">
        <v>32525</v>
      </c>
      <c r="P5109">
        <v>0</v>
      </c>
      <c r="Q5109">
        <v>0</v>
      </c>
      <c r="R5109" t="s">
        <v>32531</v>
      </c>
      <c r="S5109" t="s">
        <v>32586</v>
      </c>
      <c r="T5109" t="s">
        <v>33164</v>
      </c>
      <c r="U5109" t="s">
        <v>37919</v>
      </c>
      <c r="W5109" t="s">
        <v>29623</v>
      </c>
      <c r="X5109" t="s">
        <v>32532</v>
      </c>
    </row>
    <row r="5110" spans="1:24">
      <c r="A5110">
        <f>HYPERLINK("https://www.philgeps.gov.ph/GEPSNONPILOT/Tender/SplashBidNoticeAbstractUI.aspx?menuIndex=3&amp;refID=7039306&amp;Result=3","7039306")</f>
        <v>0</v>
      </c>
      <c r="B5110" t="s">
        <v>1713</v>
      </c>
      <c r="C5110" t="s">
        <v>7566</v>
      </c>
      <c r="D5110" t="s">
        <v>13015</v>
      </c>
      <c r="E5110" t="s">
        <v>17642</v>
      </c>
      <c r="F5110" t="s">
        <v>22436</v>
      </c>
      <c r="G5110" t="s">
        <v>22444</v>
      </c>
      <c r="H5110" t="s">
        <v>22452</v>
      </c>
      <c r="I5110" t="s">
        <v>22467</v>
      </c>
      <c r="J5110" t="s">
        <v>25106</v>
      </c>
      <c r="K5110" t="s">
        <v>29335</v>
      </c>
      <c r="L5110" t="s">
        <v>1713</v>
      </c>
      <c r="M5110" t="s">
        <v>31417</v>
      </c>
      <c r="N5110" t="s">
        <v>32524</v>
      </c>
      <c r="O5110" t="s">
        <v>32525</v>
      </c>
      <c r="P5110">
        <v>0</v>
      </c>
      <c r="Q5110">
        <v>0</v>
      </c>
      <c r="R5110" t="s">
        <v>32531</v>
      </c>
      <c r="S5110" t="s">
        <v>32586</v>
      </c>
      <c r="T5110" t="s">
        <v>33168</v>
      </c>
      <c r="U5110" t="s">
        <v>37920</v>
      </c>
      <c r="V5110" t="s">
        <v>42973</v>
      </c>
      <c r="W5110" t="s">
        <v>31417</v>
      </c>
      <c r="X5110" t="s">
        <v>32532</v>
      </c>
    </row>
    <row r="5111" spans="1:24">
      <c r="A5111">
        <f>HYPERLINK("https://www.philgeps.gov.ph/GEPSNONPILOT/Tender/SplashBidNoticeAbstractUI.aspx?menuIndex=3&amp;refID=7039336&amp;Result=3","7039336")</f>
        <v>0</v>
      </c>
      <c r="B5111" t="s">
        <v>1714</v>
      </c>
      <c r="C5111" t="s">
        <v>7567</v>
      </c>
      <c r="D5111" t="s">
        <v>12993</v>
      </c>
      <c r="E5111" t="s">
        <v>17643</v>
      </c>
      <c r="F5111" t="s">
        <v>22436</v>
      </c>
      <c r="G5111" t="s">
        <v>22443</v>
      </c>
      <c r="H5111" t="s">
        <v>22452</v>
      </c>
      <c r="I5111" t="s">
        <v>3529</v>
      </c>
      <c r="J5111" t="s">
        <v>25925</v>
      </c>
      <c r="K5111" t="s">
        <v>29335</v>
      </c>
      <c r="M5111" t="s">
        <v>31418</v>
      </c>
      <c r="N5111" t="s">
        <v>32524</v>
      </c>
      <c r="O5111" t="s">
        <v>32525</v>
      </c>
      <c r="P5111">
        <v>0</v>
      </c>
      <c r="Q5111">
        <v>0</v>
      </c>
      <c r="R5111" t="s">
        <v>32531</v>
      </c>
      <c r="S5111" t="s">
        <v>32586</v>
      </c>
      <c r="T5111" t="s">
        <v>33167</v>
      </c>
      <c r="U5111" t="s">
        <v>37921</v>
      </c>
      <c r="W5111" t="s">
        <v>43732</v>
      </c>
      <c r="X5111" t="s">
        <v>32532</v>
      </c>
    </row>
    <row r="5112" spans="1:24">
      <c r="A5112">
        <f>HYPERLINK("https://www.philgeps.gov.ph/GEPSNONPILOT/Tender/SplashBidNoticeAbstractUI.aspx?menuIndex=3&amp;refID=7039318&amp;Result=3","7039318")</f>
        <v>0</v>
      </c>
      <c r="B5112" t="s">
        <v>562</v>
      </c>
      <c r="C5112" t="s">
        <v>7568</v>
      </c>
      <c r="D5112" t="s">
        <v>13023</v>
      </c>
      <c r="E5112" t="s">
        <v>17644</v>
      </c>
      <c r="F5112" t="s">
        <v>22436</v>
      </c>
      <c r="G5112" t="s">
        <v>22444</v>
      </c>
      <c r="H5112" t="s">
        <v>22454</v>
      </c>
      <c r="I5112" t="s">
        <v>7738</v>
      </c>
      <c r="J5112" t="s">
        <v>25926</v>
      </c>
      <c r="K5112" t="s">
        <v>29347</v>
      </c>
      <c r="M5112" t="s">
        <v>31398</v>
      </c>
      <c r="N5112" t="s">
        <v>32524</v>
      </c>
      <c r="O5112" t="s">
        <v>32525</v>
      </c>
      <c r="P5112">
        <v>0</v>
      </c>
      <c r="Q5112">
        <v>0</v>
      </c>
      <c r="R5112" t="s">
        <v>32531</v>
      </c>
      <c r="S5112" t="s">
        <v>32586</v>
      </c>
      <c r="T5112" t="s">
        <v>33484</v>
      </c>
      <c r="U5112" t="s">
        <v>37922</v>
      </c>
      <c r="W5112" t="s">
        <v>31398</v>
      </c>
      <c r="X5112" t="s">
        <v>32532</v>
      </c>
    </row>
    <row r="5113" spans="1:24">
      <c r="A5113">
        <f>HYPERLINK("https://www.philgeps.gov.ph/GEPSNONPILOT/Tender/SplashBidNoticeAbstractUI.aspx?menuIndex=3&amp;refID=7039315&amp;Result=3","7039315")</f>
        <v>0</v>
      </c>
      <c r="B5113" t="s">
        <v>1709</v>
      </c>
      <c r="C5113" t="s">
        <v>7569</v>
      </c>
      <c r="D5113" t="s">
        <v>13003</v>
      </c>
      <c r="E5113" t="s">
        <v>17645</v>
      </c>
      <c r="F5113" t="s">
        <v>22436</v>
      </c>
      <c r="G5113" t="s">
        <v>22444</v>
      </c>
      <c r="H5113" t="s">
        <v>22452</v>
      </c>
      <c r="I5113" t="s">
        <v>3122</v>
      </c>
      <c r="J5113" t="s">
        <v>23216</v>
      </c>
      <c r="K5113" t="s">
        <v>29338</v>
      </c>
      <c r="M5113" t="s">
        <v>31412</v>
      </c>
      <c r="N5113" t="s">
        <v>32524</v>
      </c>
      <c r="O5113" t="s">
        <v>32525</v>
      </c>
      <c r="P5113">
        <v>0</v>
      </c>
      <c r="Q5113">
        <v>1</v>
      </c>
      <c r="R5113" t="s">
        <v>32531</v>
      </c>
      <c r="S5113" t="s">
        <v>32586</v>
      </c>
      <c r="T5113" t="s">
        <v>33220</v>
      </c>
      <c r="U5113" t="s">
        <v>37923</v>
      </c>
      <c r="W5113" t="s">
        <v>31412</v>
      </c>
      <c r="X5113" t="s">
        <v>32532</v>
      </c>
    </row>
    <row r="5114" spans="1:24">
      <c r="A5114">
        <f>HYPERLINK("https://www.philgeps.gov.ph/GEPSNONPILOT/Tender/SplashBidNoticeAbstractUI.aspx?menuIndex=3&amp;refID=7039305&amp;Result=3","7039305")</f>
        <v>0</v>
      </c>
      <c r="B5114" t="s">
        <v>1715</v>
      </c>
      <c r="C5114" t="s">
        <v>7570</v>
      </c>
      <c r="D5114" t="s">
        <v>13006</v>
      </c>
      <c r="E5114" t="s">
        <v>13521</v>
      </c>
      <c r="F5114" t="s">
        <v>22436</v>
      </c>
      <c r="G5114" t="s">
        <v>22444</v>
      </c>
      <c r="H5114" t="s">
        <v>22454</v>
      </c>
      <c r="I5114" t="s">
        <v>7738</v>
      </c>
      <c r="J5114" t="s">
        <v>25927</v>
      </c>
      <c r="K5114" t="s">
        <v>29331</v>
      </c>
      <c r="M5114" t="s">
        <v>31419</v>
      </c>
      <c r="N5114" t="s">
        <v>32524</v>
      </c>
      <c r="O5114" t="s">
        <v>32525</v>
      </c>
      <c r="P5114">
        <v>0</v>
      </c>
      <c r="Q5114">
        <v>0</v>
      </c>
      <c r="R5114" t="s">
        <v>32531</v>
      </c>
      <c r="S5114" t="s">
        <v>32586</v>
      </c>
      <c r="T5114" t="s">
        <v>33196</v>
      </c>
      <c r="U5114" t="s">
        <v>37924</v>
      </c>
      <c r="V5114" t="s">
        <v>42974</v>
      </c>
      <c r="W5114" t="s">
        <v>31419</v>
      </c>
      <c r="X5114" t="s">
        <v>32532</v>
      </c>
    </row>
    <row r="5115" spans="1:24">
      <c r="A5115">
        <f>HYPERLINK("https://www.philgeps.gov.ph/GEPSNONPILOT/Tender/SplashBidNoticeAbstractUI.aspx?menuIndex=3&amp;refID=7039316&amp;Result=3","7039316")</f>
        <v>0</v>
      </c>
      <c r="B5115" t="s">
        <v>398</v>
      </c>
      <c r="C5115" t="s">
        <v>7571</v>
      </c>
      <c r="D5115" t="s">
        <v>13018</v>
      </c>
      <c r="E5115" t="s">
        <v>17646</v>
      </c>
      <c r="F5115" t="s">
        <v>22436</v>
      </c>
      <c r="G5115" t="s">
        <v>22444</v>
      </c>
      <c r="H5115" t="s">
        <v>22454</v>
      </c>
      <c r="I5115" t="s">
        <v>7738</v>
      </c>
      <c r="J5115" t="s">
        <v>25928</v>
      </c>
      <c r="K5115" t="s">
        <v>29471</v>
      </c>
      <c r="M5115" t="s">
        <v>29977</v>
      </c>
      <c r="N5115" t="s">
        <v>32524</v>
      </c>
      <c r="O5115" t="s">
        <v>32525</v>
      </c>
      <c r="P5115">
        <v>0</v>
      </c>
      <c r="Q5115">
        <v>2</v>
      </c>
      <c r="R5115" t="s">
        <v>32531</v>
      </c>
      <c r="S5115" t="s">
        <v>32586</v>
      </c>
      <c r="T5115" t="s">
        <v>33424</v>
      </c>
      <c r="U5115" t="s">
        <v>37925</v>
      </c>
      <c r="W5115" t="s">
        <v>29977</v>
      </c>
      <c r="X5115" t="s">
        <v>32532</v>
      </c>
    </row>
    <row r="5116" spans="1:24">
      <c r="A5116">
        <f>HYPERLINK("https://www.philgeps.gov.ph/GEPSNONPILOT/Tender/SplashBidNoticeAbstractUI.aspx?menuIndex=3&amp;refID=7039345&amp;Result=3","7039345")</f>
        <v>0</v>
      </c>
      <c r="B5116" t="s">
        <v>1707</v>
      </c>
      <c r="C5116" t="s">
        <v>7572</v>
      </c>
      <c r="D5116" t="s">
        <v>12988</v>
      </c>
      <c r="E5116" t="s">
        <v>17647</v>
      </c>
      <c r="F5116" t="s">
        <v>22436</v>
      </c>
      <c r="G5116" t="s">
        <v>22443</v>
      </c>
      <c r="H5116" t="s">
        <v>22452</v>
      </c>
      <c r="I5116" t="s">
        <v>22469</v>
      </c>
      <c r="J5116" t="s">
        <v>25929</v>
      </c>
      <c r="K5116" t="s">
        <v>29338</v>
      </c>
      <c r="M5116" t="s">
        <v>31409</v>
      </c>
      <c r="N5116" t="s">
        <v>32524</v>
      </c>
      <c r="O5116" t="s">
        <v>32525</v>
      </c>
      <c r="P5116">
        <v>0</v>
      </c>
      <c r="Q5116">
        <v>5</v>
      </c>
      <c r="R5116" t="s">
        <v>32531</v>
      </c>
      <c r="S5116" t="s">
        <v>32586</v>
      </c>
      <c r="T5116" t="s">
        <v>33322</v>
      </c>
      <c r="U5116" t="s">
        <v>37926</v>
      </c>
      <c r="W5116" t="s">
        <v>31409</v>
      </c>
      <c r="X5116" t="s">
        <v>32532</v>
      </c>
    </row>
    <row r="5117" spans="1:24">
      <c r="A5117">
        <f>HYPERLINK("https://www.philgeps.gov.ph/GEPSNONPILOT/Tender/SplashBidNoticeAbstractUI.aspx?menuIndex=3&amp;refID=7039326&amp;Result=3","7039326")</f>
        <v>0</v>
      </c>
      <c r="B5117" t="s">
        <v>226</v>
      </c>
      <c r="C5117" t="s">
        <v>7573</v>
      </c>
      <c r="D5117" t="s">
        <v>13025</v>
      </c>
      <c r="E5117" t="s">
        <v>17648</v>
      </c>
      <c r="F5117" t="s">
        <v>22437</v>
      </c>
      <c r="G5117" t="s">
        <v>22444</v>
      </c>
      <c r="H5117" t="s">
        <v>22452</v>
      </c>
      <c r="I5117" t="s">
        <v>22464</v>
      </c>
      <c r="J5117" t="s">
        <v>25930</v>
      </c>
      <c r="K5117" t="s">
        <v>29337</v>
      </c>
      <c r="M5117" t="s">
        <v>29799</v>
      </c>
      <c r="N5117" t="s">
        <v>32524</v>
      </c>
      <c r="O5117" t="s">
        <v>32525</v>
      </c>
      <c r="P5117">
        <v>0</v>
      </c>
      <c r="Q5117">
        <v>0</v>
      </c>
      <c r="R5117" t="s">
        <v>32531</v>
      </c>
      <c r="S5117" t="s">
        <v>32586</v>
      </c>
      <c r="T5117" t="s">
        <v>33211</v>
      </c>
      <c r="U5117" t="s">
        <v>37927</v>
      </c>
      <c r="W5117" t="s">
        <v>29799</v>
      </c>
      <c r="X5117" t="s">
        <v>32532</v>
      </c>
    </row>
    <row r="5118" spans="1:24">
      <c r="A5118">
        <f>HYPERLINK("https://www.philgeps.gov.ph/GEPSNONPILOT/Tender/SplashBidNoticeAbstractUI.aspx?menuIndex=3&amp;refID=7039317&amp;Result=3","7039317")</f>
        <v>0</v>
      </c>
      <c r="B5118" t="s">
        <v>835</v>
      </c>
      <c r="C5118" t="s">
        <v>7574</v>
      </c>
      <c r="D5118" t="s">
        <v>13067</v>
      </c>
      <c r="E5118" t="s">
        <v>17649</v>
      </c>
      <c r="F5118" t="s">
        <v>22436</v>
      </c>
      <c r="G5118" t="s">
        <v>22444</v>
      </c>
      <c r="H5118" t="s">
        <v>22454</v>
      </c>
      <c r="I5118" t="s">
        <v>7738</v>
      </c>
      <c r="J5118" t="s">
        <v>25931</v>
      </c>
      <c r="K5118" t="s">
        <v>29334</v>
      </c>
      <c r="M5118" t="s">
        <v>30441</v>
      </c>
      <c r="N5118" t="s">
        <v>32524</v>
      </c>
      <c r="O5118" t="s">
        <v>32525</v>
      </c>
      <c r="P5118">
        <v>0</v>
      </c>
      <c r="Q5118">
        <v>0</v>
      </c>
      <c r="R5118" t="s">
        <v>32531</v>
      </c>
      <c r="S5118" t="s">
        <v>32586</v>
      </c>
      <c r="T5118" t="s">
        <v>33186</v>
      </c>
      <c r="U5118" t="s">
        <v>37928</v>
      </c>
      <c r="W5118" t="s">
        <v>30441</v>
      </c>
      <c r="X5118" t="s">
        <v>32532</v>
      </c>
    </row>
    <row r="5119" spans="1:24">
      <c r="A5119">
        <f>HYPERLINK("https://www.philgeps.gov.ph/GEPSNONPILOT/Tender/SplashBidNoticeAbstractUI.aspx?menuIndex=3&amp;refID=7039361&amp;Result=3","7039361")</f>
        <v>0</v>
      </c>
      <c r="B5119" t="s">
        <v>562</v>
      </c>
      <c r="C5119" t="s">
        <v>7575</v>
      </c>
      <c r="D5119" t="s">
        <v>13023</v>
      </c>
      <c r="E5119" t="s">
        <v>17650</v>
      </c>
      <c r="F5119" t="s">
        <v>22436</v>
      </c>
      <c r="G5119" t="s">
        <v>22444</v>
      </c>
      <c r="H5119" t="s">
        <v>22454</v>
      </c>
      <c r="I5119" t="s">
        <v>7738</v>
      </c>
      <c r="J5119" t="s">
        <v>25888</v>
      </c>
      <c r="K5119" t="s">
        <v>29334</v>
      </c>
      <c r="M5119" t="s">
        <v>31398</v>
      </c>
      <c r="N5119" t="s">
        <v>32524</v>
      </c>
      <c r="O5119" t="s">
        <v>32525</v>
      </c>
      <c r="P5119">
        <v>0</v>
      </c>
      <c r="Q5119">
        <v>0</v>
      </c>
      <c r="R5119" t="s">
        <v>32531</v>
      </c>
      <c r="S5119" t="s">
        <v>32586</v>
      </c>
      <c r="T5119" t="s">
        <v>33484</v>
      </c>
      <c r="U5119" t="s">
        <v>37929</v>
      </c>
      <c r="W5119" t="s">
        <v>31398</v>
      </c>
      <c r="X5119" t="s">
        <v>32532</v>
      </c>
    </row>
    <row r="5120" spans="1:24">
      <c r="A5120">
        <f>HYPERLINK("https://www.philgeps.gov.ph/GEPSNONPILOT/Tender/SplashBidNoticeAbstractUI.aspx?menuIndex=3&amp;refID=7039354&amp;Result=3","7039354")</f>
        <v>0</v>
      </c>
      <c r="B5120" t="s">
        <v>1708</v>
      </c>
      <c r="C5120" t="s">
        <v>7576</v>
      </c>
      <c r="D5120" t="s">
        <v>12992</v>
      </c>
      <c r="E5120" t="s">
        <v>17335</v>
      </c>
      <c r="F5120" t="s">
        <v>22436</v>
      </c>
      <c r="G5120" t="s">
        <v>22444</v>
      </c>
      <c r="H5120" t="s">
        <v>22452</v>
      </c>
      <c r="I5120" t="s">
        <v>22529</v>
      </c>
      <c r="J5120" t="s">
        <v>25932</v>
      </c>
      <c r="K5120" t="s">
        <v>29338</v>
      </c>
      <c r="M5120" t="s">
        <v>31410</v>
      </c>
      <c r="N5120" t="s">
        <v>32524</v>
      </c>
      <c r="O5120" t="s">
        <v>32525</v>
      </c>
      <c r="P5120">
        <v>0</v>
      </c>
      <c r="Q5120">
        <v>1</v>
      </c>
      <c r="R5120" t="s">
        <v>32531</v>
      </c>
      <c r="S5120" t="s">
        <v>32586</v>
      </c>
      <c r="T5120" t="s">
        <v>33464</v>
      </c>
      <c r="U5120" t="s">
        <v>37930</v>
      </c>
      <c r="V5120" t="s">
        <v>42970</v>
      </c>
      <c r="W5120" t="s">
        <v>31410</v>
      </c>
      <c r="X5120" t="s">
        <v>32532</v>
      </c>
    </row>
    <row r="5121" spans="1:24">
      <c r="A5121">
        <f>HYPERLINK("https://www.philgeps.gov.ph/GEPSNONPILOT/Tender/SplashBidNoticeAbstractUI.aspx?menuIndex=3&amp;refID=7039352&amp;Result=3","7039352")</f>
        <v>0</v>
      </c>
      <c r="B5121" t="s">
        <v>1192</v>
      </c>
      <c r="C5121" t="s">
        <v>7577</v>
      </c>
      <c r="D5121" t="s">
        <v>13007</v>
      </c>
      <c r="E5121" t="s">
        <v>17651</v>
      </c>
      <c r="F5121" t="s">
        <v>22436</v>
      </c>
      <c r="G5121" t="s">
        <v>22444</v>
      </c>
      <c r="H5121" t="s">
        <v>22452</v>
      </c>
      <c r="I5121" t="s">
        <v>22460</v>
      </c>
      <c r="J5121" t="s">
        <v>25933</v>
      </c>
      <c r="K5121" t="s">
        <v>29337</v>
      </c>
      <c r="M5121" t="s">
        <v>30839</v>
      </c>
      <c r="N5121" t="s">
        <v>32524</v>
      </c>
      <c r="O5121" t="s">
        <v>32525</v>
      </c>
      <c r="Q5121">
        <v>3</v>
      </c>
      <c r="R5121" t="s">
        <v>32531</v>
      </c>
      <c r="S5121" t="s">
        <v>32602</v>
      </c>
      <c r="T5121" t="s">
        <v>33455</v>
      </c>
      <c r="U5121" t="s">
        <v>37485</v>
      </c>
      <c r="W5121" t="s">
        <v>43709</v>
      </c>
      <c r="X5121" t="s">
        <v>32532</v>
      </c>
    </row>
    <row r="5122" spans="1:24">
      <c r="A5122">
        <f>HYPERLINK("https://www.philgeps.gov.ph/GEPSNONPILOT/Tender/SplashBidNoticeAbstractUI.aspx?menuIndex=3&amp;refID=7039350&amp;Result=3","7039350")</f>
        <v>0</v>
      </c>
      <c r="B5122" t="s">
        <v>1716</v>
      </c>
      <c r="C5122" t="s">
        <v>7578</v>
      </c>
      <c r="D5122" t="s">
        <v>13029</v>
      </c>
      <c r="E5122" t="s">
        <v>17652</v>
      </c>
      <c r="F5122" t="s">
        <v>22436</v>
      </c>
      <c r="G5122" t="s">
        <v>22446</v>
      </c>
      <c r="H5122" t="s">
        <v>22452</v>
      </c>
      <c r="I5122" t="s">
        <v>22482</v>
      </c>
      <c r="J5122" t="s">
        <v>23829</v>
      </c>
      <c r="K5122" t="s">
        <v>29331</v>
      </c>
      <c r="M5122" t="s">
        <v>31420</v>
      </c>
      <c r="N5122" t="s">
        <v>32524</v>
      </c>
      <c r="O5122" t="s">
        <v>32525</v>
      </c>
      <c r="P5122">
        <v>0</v>
      </c>
      <c r="Q5122">
        <v>2</v>
      </c>
      <c r="R5122" t="s">
        <v>32531</v>
      </c>
      <c r="S5122" t="s">
        <v>32586</v>
      </c>
      <c r="T5122" t="s">
        <v>33304</v>
      </c>
      <c r="U5122" t="s">
        <v>37931</v>
      </c>
      <c r="W5122" t="s">
        <v>31420</v>
      </c>
      <c r="X5122" t="s">
        <v>32532</v>
      </c>
    </row>
    <row r="5123" spans="1:24">
      <c r="A5123">
        <f>HYPERLINK("https://www.philgeps.gov.ph/GEPSNONPILOT/Tender/SplashBidNoticeAbstractUI.aspx?menuIndex=3&amp;refID=7039360&amp;Result=3","7039360")</f>
        <v>0</v>
      </c>
      <c r="B5123" t="s">
        <v>950</v>
      </c>
      <c r="C5123" t="s">
        <v>7579</v>
      </c>
      <c r="D5123" t="s">
        <v>13010</v>
      </c>
      <c r="E5123" t="s">
        <v>17653</v>
      </c>
      <c r="F5123" t="s">
        <v>22436</v>
      </c>
      <c r="G5123" t="s">
        <v>22444</v>
      </c>
      <c r="H5123" t="s">
        <v>22452</v>
      </c>
      <c r="I5123" t="s">
        <v>3529</v>
      </c>
      <c r="J5123" t="s">
        <v>25934</v>
      </c>
      <c r="K5123" t="s">
        <v>29338</v>
      </c>
      <c r="M5123" t="s">
        <v>30564</v>
      </c>
      <c r="N5123" t="s">
        <v>32524</v>
      </c>
      <c r="O5123" t="s">
        <v>32525</v>
      </c>
      <c r="P5123">
        <v>0</v>
      </c>
      <c r="Q5123">
        <v>0</v>
      </c>
      <c r="R5123" t="s">
        <v>32531</v>
      </c>
      <c r="S5123" t="s">
        <v>32586</v>
      </c>
      <c r="T5123" t="s">
        <v>33488</v>
      </c>
      <c r="U5123" t="s">
        <v>37932</v>
      </c>
      <c r="W5123" t="s">
        <v>30564</v>
      </c>
      <c r="X5123" t="s">
        <v>32532</v>
      </c>
    </row>
    <row r="5124" spans="1:24">
      <c r="A5124">
        <f>HYPERLINK("https://www.philgeps.gov.ph/GEPSNONPILOT/Tender/SplashBidNoticeAbstractUI.aspx?menuIndex=3&amp;refID=7039351&amp;Result=3","7039351")</f>
        <v>0</v>
      </c>
      <c r="B5124" t="s">
        <v>460</v>
      </c>
      <c r="C5124" t="s">
        <v>7580</v>
      </c>
      <c r="D5124" t="s">
        <v>13023</v>
      </c>
      <c r="E5124" t="s">
        <v>17654</v>
      </c>
      <c r="F5124" t="s">
        <v>22436</v>
      </c>
      <c r="G5124" t="s">
        <v>22444</v>
      </c>
      <c r="H5124" t="s">
        <v>22454</v>
      </c>
      <c r="I5124" t="s">
        <v>7738</v>
      </c>
      <c r="J5124" t="s">
        <v>25935</v>
      </c>
      <c r="K5124" t="s">
        <v>29333</v>
      </c>
      <c r="M5124" t="s">
        <v>30042</v>
      </c>
      <c r="N5124" t="s">
        <v>32524</v>
      </c>
      <c r="O5124" t="s">
        <v>32525</v>
      </c>
      <c r="P5124">
        <v>0</v>
      </c>
      <c r="Q5124">
        <v>0</v>
      </c>
      <c r="R5124" t="s">
        <v>32531</v>
      </c>
      <c r="S5124" t="s">
        <v>32586</v>
      </c>
      <c r="T5124" t="s">
        <v>33185</v>
      </c>
      <c r="U5124" t="s">
        <v>37933</v>
      </c>
      <c r="W5124" t="s">
        <v>30042</v>
      </c>
      <c r="X5124" t="s">
        <v>32532</v>
      </c>
    </row>
    <row r="5125" spans="1:24">
      <c r="A5125">
        <f>HYPERLINK("https://www.philgeps.gov.ph/GEPSNONPILOT/Tender/SplashBidNoticeAbstractUI.aspx?menuIndex=3&amp;refID=7039347&amp;Result=3","7039347")</f>
        <v>0</v>
      </c>
      <c r="B5125" t="s">
        <v>1270</v>
      </c>
      <c r="C5125" t="s">
        <v>7581</v>
      </c>
      <c r="D5125" t="s">
        <v>13035</v>
      </c>
      <c r="E5125" t="s">
        <v>17655</v>
      </c>
      <c r="F5125" t="s">
        <v>22436</v>
      </c>
      <c r="G5125" t="s">
        <v>22444</v>
      </c>
      <c r="H5125" t="s">
        <v>22452</v>
      </c>
      <c r="I5125" t="s">
        <v>22460</v>
      </c>
      <c r="J5125" t="s">
        <v>25936</v>
      </c>
      <c r="K5125" t="s">
        <v>29331</v>
      </c>
      <c r="M5125" t="s">
        <v>30923</v>
      </c>
      <c r="N5125" t="s">
        <v>32524</v>
      </c>
      <c r="O5125" t="s">
        <v>32525</v>
      </c>
      <c r="P5125">
        <v>0</v>
      </c>
      <c r="Q5125">
        <v>0</v>
      </c>
      <c r="R5125" t="s">
        <v>32531</v>
      </c>
      <c r="S5125" t="s">
        <v>32586</v>
      </c>
      <c r="T5125" t="s">
        <v>33293</v>
      </c>
      <c r="U5125" t="s">
        <v>37934</v>
      </c>
      <c r="W5125" t="s">
        <v>30923</v>
      </c>
      <c r="X5125" t="s">
        <v>32532</v>
      </c>
    </row>
    <row r="5126" spans="1:24">
      <c r="A5126">
        <f>HYPERLINK("https://www.philgeps.gov.ph/GEPSNONPILOT/Tender/SplashBidNoticeAbstractUI.aspx?menuIndex=3&amp;refID=7039359&amp;Result=3","7039359")</f>
        <v>0</v>
      </c>
      <c r="B5126" t="s">
        <v>972</v>
      </c>
      <c r="C5126" t="s">
        <v>7582</v>
      </c>
      <c r="D5126" t="s">
        <v>13035</v>
      </c>
      <c r="E5126" t="s">
        <v>17656</v>
      </c>
      <c r="F5126" t="s">
        <v>22436</v>
      </c>
      <c r="G5126" t="s">
        <v>22444</v>
      </c>
      <c r="H5126" t="s">
        <v>22452</v>
      </c>
      <c r="I5126" t="s">
        <v>22565</v>
      </c>
      <c r="J5126" t="s">
        <v>25937</v>
      </c>
      <c r="K5126" t="s">
        <v>29341</v>
      </c>
      <c r="M5126" t="s">
        <v>30592</v>
      </c>
      <c r="N5126" t="s">
        <v>32524</v>
      </c>
      <c r="O5126" t="s">
        <v>32525</v>
      </c>
      <c r="P5126">
        <v>0</v>
      </c>
      <c r="Q5126">
        <v>1</v>
      </c>
      <c r="R5126" t="s">
        <v>32531</v>
      </c>
      <c r="S5126" t="s">
        <v>32586</v>
      </c>
      <c r="T5126" t="s">
        <v>33219</v>
      </c>
      <c r="U5126" t="s">
        <v>37879</v>
      </c>
      <c r="W5126" t="s">
        <v>30592</v>
      </c>
      <c r="X5126" t="s">
        <v>32532</v>
      </c>
    </row>
    <row r="5127" spans="1:24">
      <c r="A5127">
        <f>HYPERLINK("https://www.philgeps.gov.ph/GEPSNONPILOT/Tender/SplashBidNoticeAbstractUI.aspx?menuIndex=3&amp;refID=7039368&amp;Result=3","7039368")</f>
        <v>0</v>
      </c>
      <c r="B5127" t="s">
        <v>267</v>
      </c>
      <c r="C5127" t="s">
        <v>7583</v>
      </c>
      <c r="D5127" t="s">
        <v>13032</v>
      </c>
      <c r="E5127" t="s">
        <v>13364</v>
      </c>
      <c r="F5127" t="s">
        <v>22436</v>
      </c>
      <c r="G5127" t="s">
        <v>22444</v>
      </c>
      <c r="H5127" t="s">
        <v>22452</v>
      </c>
      <c r="I5127" t="s">
        <v>2981</v>
      </c>
      <c r="J5127" t="s">
        <v>25938</v>
      </c>
      <c r="K5127" t="s">
        <v>29338</v>
      </c>
      <c r="M5127" t="s">
        <v>29841</v>
      </c>
      <c r="N5127" t="s">
        <v>32524</v>
      </c>
      <c r="O5127" t="s">
        <v>32525</v>
      </c>
      <c r="P5127">
        <v>0</v>
      </c>
      <c r="Q5127">
        <v>0</v>
      </c>
      <c r="R5127" t="s">
        <v>32531</v>
      </c>
      <c r="S5127" t="s">
        <v>32586</v>
      </c>
      <c r="T5127" t="s">
        <v>33385</v>
      </c>
      <c r="U5127" t="s">
        <v>37935</v>
      </c>
      <c r="W5127" t="s">
        <v>43690</v>
      </c>
      <c r="X5127" t="s">
        <v>32532</v>
      </c>
    </row>
    <row r="5128" spans="1:24">
      <c r="A5128">
        <f>HYPERLINK("https://www.philgeps.gov.ph/GEPSNONPILOT/Tender/SplashBidNoticeAbstractUI.aspx?menuIndex=3&amp;refID=7039369&amp;Result=3","7039369")</f>
        <v>0</v>
      </c>
      <c r="B5128" t="s">
        <v>1717</v>
      </c>
      <c r="C5128" t="s">
        <v>7584</v>
      </c>
      <c r="D5128" t="s">
        <v>13041</v>
      </c>
      <c r="E5128" t="s">
        <v>17657</v>
      </c>
      <c r="F5128" t="s">
        <v>22436</v>
      </c>
      <c r="G5128" t="s">
        <v>22444</v>
      </c>
      <c r="H5128" t="s">
        <v>22454</v>
      </c>
      <c r="I5128" t="s">
        <v>7738</v>
      </c>
      <c r="J5128" t="s">
        <v>22893</v>
      </c>
      <c r="K5128" t="s">
        <v>29338</v>
      </c>
      <c r="M5128" t="s">
        <v>31421</v>
      </c>
      <c r="N5128" t="s">
        <v>32524</v>
      </c>
      <c r="O5128" t="s">
        <v>32525</v>
      </c>
      <c r="P5128">
        <v>0</v>
      </c>
      <c r="Q5128">
        <v>0</v>
      </c>
      <c r="R5128" t="s">
        <v>32531</v>
      </c>
      <c r="S5128" t="s">
        <v>32586</v>
      </c>
      <c r="T5128" t="s">
        <v>33197</v>
      </c>
      <c r="U5128" t="s">
        <v>37936</v>
      </c>
      <c r="W5128" t="s">
        <v>31421</v>
      </c>
      <c r="X5128" t="s">
        <v>32532</v>
      </c>
    </row>
    <row r="5129" spans="1:24">
      <c r="A5129">
        <f>HYPERLINK("https://www.philgeps.gov.ph/GEPSNONPILOT/Tender/SplashBidNoticeAbstractUI.aspx?menuIndex=3&amp;refID=7039355&amp;Result=3","7039355")</f>
        <v>0</v>
      </c>
      <c r="B5129" t="s">
        <v>1698</v>
      </c>
      <c r="C5129" t="s">
        <v>7585</v>
      </c>
      <c r="D5129" t="s">
        <v>12990</v>
      </c>
      <c r="E5129" t="s">
        <v>17658</v>
      </c>
      <c r="F5129" t="s">
        <v>22436</v>
      </c>
      <c r="G5129" t="s">
        <v>22444</v>
      </c>
      <c r="H5129" t="s">
        <v>22454</v>
      </c>
      <c r="I5129" t="s">
        <v>7738</v>
      </c>
      <c r="J5129" t="s">
        <v>22779</v>
      </c>
      <c r="K5129" t="s">
        <v>29335</v>
      </c>
      <c r="L5129" t="s">
        <v>1698</v>
      </c>
      <c r="M5129" t="s">
        <v>31400</v>
      </c>
      <c r="N5129" t="s">
        <v>32524</v>
      </c>
      <c r="O5129" t="s">
        <v>32525</v>
      </c>
      <c r="P5129">
        <v>0</v>
      </c>
      <c r="Q5129">
        <v>0</v>
      </c>
      <c r="R5129" t="s">
        <v>32531</v>
      </c>
      <c r="S5129" t="s">
        <v>32586</v>
      </c>
      <c r="T5129" t="s">
        <v>33417</v>
      </c>
      <c r="U5129" t="s">
        <v>37867</v>
      </c>
      <c r="W5129" t="s">
        <v>31400</v>
      </c>
      <c r="X5129" t="s">
        <v>32532</v>
      </c>
    </row>
    <row r="5130" spans="1:24">
      <c r="A5130">
        <f>HYPERLINK("https://www.philgeps.gov.ph/GEPSNONPILOT/Tender/SplashBidNoticeAbstractUI.aspx?menuIndex=3&amp;refID=7039365&amp;Result=3","7039365")</f>
        <v>0</v>
      </c>
      <c r="B5130" t="s">
        <v>1714</v>
      </c>
      <c r="C5130" t="s">
        <v>7586</v>
      </c>
      <c r="D5130" t="s">
        <v>12993</v>
      </c>
      <c r="E5130" t="s">
        <v>14764</v>
      </c>
      <c r="F5130" t="s">
        <v>22436</v>
      </c>
      <c r="G5130" t="s">
        <v>22443</v>
      </c>
      <c r="H5130" t="s">
        <v>22452</v>
      </c>
      <c r="I5130" t="s">
        <v>22479</v>
      </c>
      <c r="J5130" t="s">
        <v>22874</v>
      </c>
      <c r="K5130" t="s">
        <v>29335</v>
      </c>
      <c r="M5130" t="s">
        <v>31418</v>
      </c>
      <c r="N5130" t="s">
        <v>32524</v>
      </c>
      <c r="O5130" t="s">
        <v>32525</v>
      </c>
      <c r="P5130">
        <v>0</v>
      </c>
      <c r="Q5130">
        <v>1</v>
      </c>
      <c r="R5130" t="s">
        <v>32531</v>
      </c>
      <c r="S5130" t="s">
        <v>32586</v>
      </c>
      <c r="T5130" t="s">
        <v>33167</v>
      </c>
      <c r="U5130" t="s">
        <v>37937</v>
      </c>
      <c r="W5130" t="s">
        <v>43732</v>
      </c>
      <c r="X5130" t="s">
        <v>32532</v>
      </c>
    </row>
    <row r="5131" spans="1:24">
      <c r="A5131">
        <f>HYPERLINK("https://www.philgeps.gov.ph/GEPSNONPILOT/Tender/SplashBidNoticeAbstractUI.aspx?menuIndex=3&amp;refID=7039357&amp;Result=3","7039357")</f>
        <v>0</v>
      </c>
      <c r="B5131" t="s">
        <v>267</v>
      </c>
      <c r="C5131" t="s">
        <v>7587</v>
      </c>
      <c r="D5131" t="s">
        <v>13032</v>
      </c>
      <c r="E5131" t="s">
        <v>13358</v>
      </c>
      <c r="F5131" t="s">
        <v>22436</v>
      </c>
      <c r="G5131" t="s">
        <v>22444</v>
      </c>
      <c r="H5131" t="s">
        <v>22452</v>
      </c>
      <c r="I5131" t="s">
        <v>2981</v>
      </c>
      <c r="J5131" t="s">
        <v>25939</v>
      </c>
      <c r="K5131" t="s">
        <v>29338</v>
      </c>
      <c r="M5131" t="s">
        <v>29841</v>
      </c>
      <c r="N5131" t="s">
        <v>32524</v>
      </c>
      <c r="O5131" t="s">
        <v>32525</v>
      </c>
      <c r="P5131">
        <v>0</v>
      </c>
      <c r="Q5131">
        <v>2</v>
      </c>
      <c r="R5131" t="s">
        <v>32531</v>
      </c>
      <c r="S5131" t="s">
        <v>32586</v>
      </c>
      <c r="T5131" t="s">
        <v>33385</v>
      </c>
      <c r="U5131" t="s">
        <v>37938</v>
      </c>
      <c r="W5131" t="s">
        <v>43690</v>
      </c>
      <c r="X5131" t="s">
        <v>32532</v>
      </c>
    </row>
    <row r="5132" spans="1:24">
      <c r="A5132">
        <f>HYPERLINK("https://www.philgeps.gov.ph/GEPSNONPILOT/Tender/SplashBidNoticeAbstractUI.aspx?menuIndex=3&amp;refID=7039378&amp;Result=3","7039378")</f>
        <v>0</v>
      </c>
      <c r="B5132" t="s">
        <v>1192</v>
      </c>
      <c r="C5132" t="s">
        <v>7588</v>
      </c>
      <c r="D5132" t="s">
        <v>13007</v>
      </c>
      <c r="E5132" t="s">
        <v>17659</v>
      </c>
      <c r="F5132" t="s">
        <v>22436</v>
      </c>
      <c r="G5132" t="s">
        <v>22444</v>
      </c>
      <c r="H5132" t="s">
        <v>22452</v>
      </c>
      <c r="I5132" t="s">
        <v>6421</v>
      </c>
      <c r="J5132" t="s">
        <v>25940</v>
      </c>
      <c r="K5132" t="s">
        <v>29337</v>
      </c>
      <c r="M5132" t="s">
        <v>30839</v>
      </c>
      <c r="N5132" t="s">
        <v>32524</v>
      </c>
      <c r="O5132" t="s">
        <v>32525</v>
      </c>
      <c r="Q5132">
        <v>8</v>
      </c>
      <c r="R5132" t="s">
        <v>32531</v>
      </c>
      <c r="S5132" t="s">
        <v>32603</v>
      </c>
      <c r="T5132" t="s">
        <v>33455</v>
      </c>
      <c r="U5132" t="s">
        <v>37485</v>
      </c>
      <c r="W5132" t="s">
        <v>43709</v>
      </c>
      <c r="X5132" t="s">
        <v>32532</v>
      </c>
    </row>
    <row r="5133" spans="1:24">
      <c r="A5133">
        <f>HYPERLINK("https://www.philgeps.gov.ph/GEPSNONPILOT/Tender/SplashBidNoticeAbstractUI.aspx?menuIndex=3&amp;refID=7039380&amp;Result=3","7039380")</f>
        <v>0</v>
      </c>
      <c r="B5133" t="s">
        <v>267</v>
      </c>
      <c r="C5133" t="s">
        <v>7589</v>
      </c>
      <c r="D5133" t="s">
        <v>13032</v>
      </c>
      <c r="E5133" t="s">
        <v>13382</v>
      </c>
      <c r="F5133" t="s">
        <v>22436</v>
      </c>
      <c r="G5133" t="s">
        <v>22444</v>
      </c>
      <c r="H5133" t="s">
        <v>22452</v>
      </c>
      <c r="I5133" t="s">
        <v>2981</v>
      </c>
      <c r="J5133" t="s">
        <v>25941</v>
      </c>
      <c r="K5133" t="s">
        <v>29338</v>
      </c>
      <c r="M5133" t="s">
        <v>29841</v>
      </c>
      <c r="N5133" t="s">
        <v>32524</v>
      </c>
      <c r="O5133" t="s">
        <v>32525</v>
      </c>
      <c r="P5133">
        <v>0</v>
      </c>
      <c r="Q5133">
        <v>0</v>
      </c>
      <c r="R5133" t="s">
        <v>32531</v>
      </c>
      <c r="S5133" t="s">
        <v>32586</v>
      </c>
      <c r="T5133" t="s">
        <v>33385</v>
      </c>
      <c r="U5133" t="s">
        <v>37939</v>
      </c>
      <c r="W5133" t="s">
        <v>43690</v>
      </c>
      <c r="X5133" t="s">
        <v>32532</v>
      </c>
    </row>
    <row r="5134" spans="1:24">
      <c r="A5134">
        <f>HYPERLINK("https://www.philgeps.gov.ph/GEPSNONPILOT/Tender/SplashBidNoticeAbstractUI.aspx?menuIndex=3&amp;refID=7039367&amp;Result=3","7039367")</f>
        <v>0</v>
      </c>
      <c r="B5134" t="s">
        <v>1182</v>
      </c>
      <c r="C5134" t="s">
        <v>7590</v>
      </c>
      <c r="D5134" t="s">
        <v>12993</v>
      </c>
      <c r="E5134" t="s">
        <v>17660</v>
      </c>
      <c r="F5134" t="s">
        <v>22436</v>
      </c>
      <c r="G5134" t="s">
        <v>22447</v>
      </c>
      <c r="H5134" t="s">
        <v>22452</v>
      </c>
      <c r="I5134" t="s">
        <v>22465</v>
      </c>
      <c r="J5134" t="s">
        <v>25942</v>
      </c>
      <c r="K5134" t="s">
        <v>29331</v>
      </c>
      <c r="M5134" t="s">
        <v>31415</v>
      </c>
      <c r="N5134" t="s">
        <v>32524</v>
      </c>
      <c r="O5134" t="s">
        <v>32525</v>
      </c>
      <c r="P5134">
        <v>0</v>
      </c>
      <c r="Q5134">
        <v>1</v>
      </c>
      <c r="R5134" t="s">
        <v>32531</v>
      </c>
      <c r="S5134" t="s">
        <v>32586</v>
      </c>
      <c r="T5134" t="s">
        <v>33213</v>
      </c>
      <c r="U5134" t="s">
        <v>37940</v>
      </c>
      <c r="W5134" t="s">
        <v>43731</v>
      </c>
      <c r="X5134" t="s">
        <v>32532</v>
      </c>
    </row>
    <row r="5135" spans="1:24">
      <c r="A5135">
        <f>HYPERLINK("https://www.philgeps.gov.ph/GEPSNONPILOT/Tender/SplashBidNoticeAbstractUI.aspx?menuIndex=3&amp;refID=7039348&amp;Result=3","7039348")</f>
        <v>0</v>
      </c>
      <c r="B5135" t="s">
        <v>1718</v>
      </c>
      <c r="C5135" t="s">
        <v>7591</v>
      </c>
      <c r="D5135" t="s">
        <v>13000</v>
      </c>
      <c r="E5135" t="s">
        <v>17661</v>
      </c>
      <c r="F5135" t="s">
        <v>22436</v>
      </c>
      <c r="G5135" t="s">
        <v>22443</v>
      </c>
      <c r="H5135" t="s">
        <v>22454</v>
      </c>
      <c r="I5135" t="s">
        <v>7738</v>
      </c>
      <c r="J5135" t="s">
        <v>22617</v>
      </c>
      <c r="K5135" t="s">
        <v>29331</v>
      </c>
      <c r="M5135" t="s">
        <v>31422</v>
      </c>
      <c r="N5135" t="s">
        <v>32524</v>
      </c>
      <c r="O5135" t="s">
        <v>32525</v>
      </c>
      <c r="P5135">
        <v>0</v>
      </c>
      <c r="Q5135">
        <v>0</v>
      </c>
      <c r="R5135" t="s">
        <v>32531</v>
      </c>
      <c r="S5135" t="s">
        <v>32586</v>
      </c>
      <c r="T5135" t="s">
        <v>33229</v>
      </c>
      <c r="U5135" t="s">
        <v>37941</v>
      </c>
      <c r="W5135" t="s">
        <v>31422</v>
      </c>
      <c r="X5135" t="s">
        <v>32532</v>
      </c>
    </row>
    <row r="5136" spans="1:24">
      <c r="A5136">
        <f>HYPERLINK("https://www.philgeps.gov.ph/GEPSNONPILOT/Tender/SplashBidNoticeAbstractUI.aspx?menuIndex=3&amp;refID=7039379&amp;Result=3","7039379")</f>
        <v>0</v>
      </c>
      <c r="B5136" t="s">
        <v>884</v>
      </c>
      <c r="C5136" t="s">
        <v>7592</v>
      </c>
      <c r="D5136" t="s">
        <v>13077</v>
      </c>
      <c r="E5136" t="s">
        <v>17662</v>
      </c>
      <c r="F5136" t="s">
        <v>22436</v>
      </c>
      <c r="G5136" t="s">
        <v>22444</v>
      </c>
      <c r="H5136" t="s">
        <v>22452</v>
      </c>
      <c r="I5136" t="s">
        <v>3122</v>
      </c>
      <c r="J5136" t="s">
        <v>25943</v>
      </c>
      <c r="K5136" t="s">
        <v>29336</v>
      </c>
      <c r="M5136" t="s">
        <v>30495</v>
      </c>
      <c r="N5136" t="s">
        <v>32524</v>
      </c>
      <c r="O5136" t="s">
        <v>32525</v>
      </c>
      <c r="P5136">
        <v>0</v>
      </c>
      <c r="Q5136">
        <v>6</v>
      </c>
      <c r="R5136" t="s">
        <v>32531</v>
      </c>
      <c r="S5136" t="s">
        <v>32586</v>
      </c>
      <c r="T5136" t="s">
        <v>33489</v>
      </c>
      <c r="U5136" t="s">
        <v>37942</v>
      </c>
      <c r="V5136" t="s">
        <v>42975</v>
      </c>
      <c r="W5136" t="s">
        <v>30495</v>
      </c>
      <c r="X5136" t="s">
        <v>32532</v>
      </c>
    </row>
    <row r="5137" spans="1:24">
      <c r="A5137">
        <f>HYPERLINK("https://www.philgeps.gov.ph/GEPSNONPILOT/Tender/SplashBidNoticeAbstractUI.aspx?menuIndex=3&amp;refID=7039381&amp;Result=3","7039381")</f>
        <v>0</v>
      </c>
      <c r="B5137" t="s">
        <v>562</v>
      </c>
      <c r="C5137" t="s">
        <v>7593</v>
      </c>
      <c r="D5137" t="s">
        <v>13023</v>
      </c>
      <c r="E5137" t="s">
        <v>17663</v>
      </c>
      <c r="F5137" t="s">
        <v>22436</v>
      </c>
      <c r="G5137" t="s">
        <v>22444</v>
      </c>
      <c r="H5137" t="s">
        <v>22454</v>
      </c>
      <c r="I5137" t="s">
        <v>7738</v>
      </c>
      <c r="J5137" t="s">
        <v>25944</v>
      </c>
      <c r="K5137" t="s">
        <v>29334</v>
      </c>
      <c r="M5137" t="s">
        <v>31398</v>
      </c>
      <c r="N5137" t="s">
        <v>32524</v>
      </c>
      <c r="O5137" t="s">
        <v>32525</v>
      </c>
      <c r="P5137">
        <v>0</v>
      </c>
      <c r="Q5137">
        <v>0</v>
      </c>
      <c r="R5137" t="s">
        <v>32531</v>
      </c>
      <c r="S5137" t="s">
        <v>32586</v>
      </c>
      <c r="T5137" t="s">
        <v>33484</v>
      </c>
      <c r="U5137" t="s">
        <v>37943</v>
      </c>
      <c r="W5137" t="s">
        <v>31398</v>
      </c>
      <c r="X5137" t="s">
        <v>32532</v>
      </c>
    </row>
    <row r="5138" spans="1:24">
      <c r="A5138">
        <f>HYPERLINK("https://www.philgeps.gov.ph/GEPSNONPILOT/Tender/SplashBidNoticeAbstractUI.aspx?menuIndex=3&amp;refID=7039370&amp;Result=3","7039370")</f>
        <v>0</v>
      </c>
      <c r="B5138" t="s">
        <v>279</v>
      </c>
      <c r="C5138" t="s">
        <v>7594</v>
      </c>
      <c r="D5138" t="s">
        <v>13010</v>
      </c>
      <c r="E5138" t="s">
        <v>17664</v>
      </c>
      <c r="F5138" t="s">
        <v>22436</v>
      </c>
      <c r="G5138" t="s">
        <v>22444</v>
      </c>
      <c r="H5138" t="s">
        <v>22452</v>
      </c>
      <c r="I5138" t="s">
        <v>22540</v>
      </c>
      <c r="J5138" t="s">
        <v>25945</v>
      </c>
      <c r="K5138" t="s">
        <v>29335</v>
      </c>
      <c r="M5138" t="s">
        <v>30132</v>
      </c>
      <c r="N5138" t="s">
        <v>32524</v>
      </c>
      <c r="O5138" t="s">
        <v>32525</v>
      </c>
      <c r="P5138">
        <v>0</v>
      </c>
      <c r="Q5138">
        <v>4</v>
      </c>
      <c r="R5138" t="s">
        <v>32531</v>
      </c>
      <c r="S5138" t="s">
        <v>32586</v>
      </c>
      <c r="T5138" t="s">
        <v>33234</v>
      </c>
      <c r="U5138" t="s">
        <v>37944</v>
      </c>
      <c r="W5138" t="s">
        <v>30132</v>
      </c>
      <c r="X5138" t="s">
        <v>32532</v>
      </c>
    </row>
    <row r="5139" spans="1:24">
      <c r="A5139">
        <f>HYPERLINK("https://www.philgeps.gov.ph/GEPSNONPILOT/Tender/SplashBidNoticeAbstractUI.aspx?menuIndex=3&amp;refID=7039397&amp;Result=3","7039397")</f>
        <v>0</v>
      </c>
      <c r="B5139" t="s">
        <v>267</v>
      </c>
      <c r="C5139" t="s">
        <v>7595</v>
      </c>
      <c r="D5139" t="s">
        <v>13032</v>
      </c>
      <c r="E5139" t="s">
        <v>17665</v>
      </c>
      <c r="F5139" t="s">
        <v>22436</v>
      </c>
      <c r="G5139" t="s">
        <v>22444</v>
      </c>
      <c r="H5139" t="s">
        <v>22452</v>
      </c>
      <c r="I5139" t="s">
        <v>2981</v>
      </c>
      <c r="J5139" t="s">
        <v>25946</v>
      </c>
      <c r="K5139" t="s">
        <v>29338</v>
      </c>
      <c r="M5139" t="s">
        <v>29841</v>
      </c>
      <c r="N5139" t="s">
        <v>32524</v>
      </c>
      <c r="O5139" t="s">
        <v>32525</v>
      </c>
      <c r="P5139">
        <v>0</v>
      </c>
      <c r="Q5139">
        <v>0</v>
      </c>
      <c r="R5139" t="s">
        <v>32531</v>
      </c>
      <c r="S5139" t="s">
        <v>32586</v>
      </c>
      <c r="T5139" t="s">
        <v>33385</v>
      </c>
      <c r="U5139" t="s">
        <v>37945</v>
      </c>
      <c r="W5139" t="s">
        <v>43690</v>
      </c>
      <c r="X5139" t="s">
        <v>32532</v>
      </c>
    </row>
    <row r="5140" spans="1:24">
      <c r="A5140">
        <f>HYPERLINK("https://www.philgeps.gov.ph/GEPSNONPILOT/Tender/SplashBidNoticeAbstractUI.aspx?menuIndex=3&amp;refID=7039392&amp;Result=3","7039392")</f>
        <v>0</v>
      </c>
      <c r="B5140" t="s">
        <v>1712</v>
      </c>
      <c r="C5140" t="s">
        <v>7596</v>
      </c>
      <c r="D5140" t="s">
        <v>13012</v>
      </c>
      <c r="E5140" t="s">
        <v>13318</v>
      </c>
      <c r="F5140" t="s">
        <v>22436</v>
      </c>
      <c r="G5140" t="s">
        <v>22444</v>
      </c>
      <c r="H5140" t="s">
        <v>22452</v>
      </c>
      <c r="I5140" t="s">
        <v>3529</v>
      </c>
      <c r="J5140" t="s">
        <v>25947</v>
      </c>
      <c r="K5140" t="s">
        <v>29341</v>
      </c>
      <c r="M5140" t="s">
        <v>31416</v>
      </c>
      <c r="N5140" t="s">
        <v>32524</v>
      </c>
      <c r="O5140" t="s">
        <v>32525</v>
      </c>
      <c r="P5140">
        <v>0</v>
      </c>
      <c r="Q5140">
        <v>0</v>
      </c>
      <c r="R5140" t="s">
        <v>32531</v>
      </c>
      <c r="S5140" t="s">
        <v>32586</v>
      </c>
      <c r="T5140" t="s">
        <v>33197</v>
      </c>
      <c r="U5140" t="s">
        <v>37946</v>
      </c>
      <c r="W5140" t="s">
        <v>31416</v>
      </c>
      <c r="X5140" t="s">
        <v>32532</v>
      </c>
    </row>
    <row r="5141" spans="1:24">
      <c r="A5141">
        <f>HYPERLINK("https://www.philgeps.gov.ph/GEPSNONPILOT/Tender/SplashBidNoticeAbstractUI.aspx?menuIndex=3&amp;refID=7039389&amp;Result=3","7039389")</f>
        <v>0</v>
      </c>
      <c r="B5141" t="s">
        <v>1621</v>
      </c>
      <c r="C5141" t="s">
        <v>7597</v>
      </c>
      <c r="D5141" t="s">
        <v>13007</v>
      </c>
      <c r="E5141" t="s">
        <v>17666</v>
      </c>
      <c r="F5141" t="s">
        <v>22436</v>
      </c>
      <c r="G5141" t="s">
        <v>22443</v>
      </c>
      <c r="H5141" t="s">
        <v>22452</v>
      </c>
      <c r="I5141" t="s">
        <v>6421</v>
      </c>
      <c r="J5141" t="s">
        <v>23467</v>
      </c>
      <c r="K5141" t="s">
        <v>29331</v>
      </c>
      <c r="M5141" t="s">
        <v>31306</v>
      </c>
      <c r="N5141" t="s">
        <v>32524</v>
      </c>
      <c r="O5141" t="s">
        <v>32525</v>
      </c>
      <c r="P5141">
        <v>0</v>
      </c>
      <c r="Q5141">
        <v>2</v>
      </c>
      <c r="R5141" t="s">
        <v>32531</v>
      </c>
      <c r="S5141" t="s">
        <v>32586</v>
      </c>
      <c r="T5141" t="s">
        <v>33238</v>
      </c>
      <c r="U5141" t="s">
        <v>37947</v>
      </c>
      <c r="W5141" t="s">
        <v>43728</v>
      </c>
      <c r="X5141" t="s">
        <v>32532</v>
      </c>
    </row>
    <row r="5142" spans="1:24">
      <c r="A5142">
        <f>HYPERLINK("https://www.philgeps.gov.ph/GEPSNONPILOT/Tender/SplashBidNoticeAbstractUI.aspx?menuIndex=3&amp;refID=7039388&amp;Result=3","7039388")</f>
        <v>0</v>
      </c>
      <c r="B5142" t="s">
        <v>1709</v>
      </c>
      <c r="C5142" t="s">
        <v>7598</v>
      </c>
      <c r="D5142" t="s">
        <v>13003</v>
      </c>
      <c r="E5142" t="s">
        <v>17667</v>
      </c>
      <c r="F5142" t="s">
        <v>22436</v>
      </c>
      <c r="G5142" t="s">
        <v>22444</v>
      </c>
      <c r="H5142" t="s">
        <v>22452</v>
      </c>
      <c r="I5142" t="s">
        <v>2981</v>
      </c>
      <c r="J5142" t="s">
        <v>22785</v>
      </c>
      <c r="K5142" t="s">
        <v>29337</v>
      </c>
      <c r="M5142" t="s">
        <v>31412</v>
      </c>
      <c r="N5142" t="s">
        <v>32524</v>
      </c>
      <c r="O5142" t="s">
        <v>32525</v>
      </c>
      <c r="P5142">
        <v>0</v>
      </c>
      <c r="Q5142">
        <v>3</v>
      </c>
      <c r="R5142" t="s">
        <v>32531</v>
      </c>
      <c r="S5142" t="s">
        <v>32586</v>
      </c>
      <c r="T5142" t="s">
        <v>33220</v>
      </c>
      <c r="U5142" t="s">
        <v>37948</v>
      </c>
      <c r="W5142" t="s">
        <v>31412</v>
      </c>
      <c r="X5142" t="s">
        <v>32532</v>
      </c>
    </row>
    <row r="5143" spans="1:24">
      <c r="A5143">
        <f>HYPERLINK("https://www.philgeps.gov.ph/GEPSNONPILOT/Tender/SplashBidNoticeAbstractUI.aspx?menuIndex=3&amp;refID=7039395&amp;Result=3","7039395")</f>
        <v>0</v>
      </c>
      <c r="B5143" t="s">
        <v>1719</v>
      </c>
      <c r="C5143" t="s">
        <v>7599</v>
      </c>
      <c r="D5143" t="s">
        <v>13022</v>
      </c>
      <c r="E5143" t="s">
        <v>17668</v>
      </c>
      <c r="F5143" t="s">
        <v>22436</v>
      </c>
      <c r="G5143" t="s">
        <v>22444</v>
      </c>
      <c r="H5143" t="s">
        <v>22454</v>
      </c>
      <c r="I5143" t="s">
        <v>7738</v>
      </c>
      <c r="J5143" t="s">
        <v>22605</v>
      </c>
      <c r="K5143" t="s">
        <v>29341</v>
      </c>
      <c r="M5143" t="s">
        <v>31423</v>
      </c>
      <c r="N5143" t="s">
        <v>32524</v>
      </c>
      <c r="O5143" t="s">
        <v>32525</v>
      </c>
      <c r="P5143">
        <v>0</v>
      </c>
      <c r="Q5143">
        <v>0</v>
      </c>
      <c r="R5143" t="s">
        <v>32531</v>
      </c>
      <c r="S5143" t="s">
        <v>32586</v>
      </c>
      <c r="T5143" t="s">
        <v>33422</v>
      </c>
      <c r="U5143" t="s">
        <v>37949</v>
      </c>
      <c r="V5143" t="s">
        <v>42476</v>
      </c>
      <c r="W5143" t="s">
        <v>31423</v>
      </c>
      <c r="X5143" t="s">
        <v>32532</v>
      </c>
    </row>
    <row r="5144" spans="1:24">
      <c r="A5144">
        <f>HYPERLINK("https://www.philgeps.gov.ph/GEPSNONPILOT/Tender/SplashBidNoticeAbstractUI.aspx?menuIndex=3&amp;refID=7039384&amp;Result=3","7039384")</f>
        <v>0</v>
      </c>
      <c r="B5144" t="s">
        <v>75</v>
      </c>
      <c r="C5144" t="s">
        <v>7600</v>
      </c>
      <c r="D5144" t="s">
        <v>13021</v>
      </c>
      <c r="E5144" t="s">
        <v>17669</v>
      </c>
      <c r="F5144" t="s">
        <v>22436</v>
      </c>
      <c r="G5144" t="s">
        <v>22444</v>
      </c>
      <c r="H5144" t="s">
        <v>22452</v>
      </c>
      <c r="I5144" t="s">
        <v>3529</v>
      </c>
      <c r="J5144" t="s">
        <v>23249</v>
      </c>
      <c r="K5144" t="s">
        <v>29335</v>
      </c>
      <c r="M5144" t="s">
        <v>29647</v>
      </c>
      <c r="N5144" t="s">
        <v>32524</v>
      </c>
      <c r="O5144" t="s">
        <v>32525</v>
      </c>
      <c r="P5144">
        <v>0</v>
      </c>
      <c r="Q5144">
        <v>0</v>
      </c>
      <c r="R5144" t="s">
        <v>32531</v>
      </c>
      <c r="S5144" t="s">
        <v>32586</v>
      </c>
      <c r="T5144" t="s">
        <v>33234</v>
      </c>
      <c r="U5144" t="s">
        <v>37950</v>
      </c>
      <c r="W5144" t="s">
        <v>29647</v>
      </c>
      <c r="X5144" t="s">
        <v>32532</v>
      </c>
    </row>
    <row r="5145" spans="1:24">
      <c r="A5145">
        <f>HYPERLINK("https://www.philgeps.gov.ph/GEPSNONPILOT/Tender/SplashBidNoticeAbstractUI.aspx?menuIndex=3&amp;refID=7039390&amp;Result=3","7039390")</f>
        <v>0</v>
      </c>
      <c r="B5145" t="s">
        <v>267</v>
      </c>
      <c r="C5145" t="s">
        <v>7601</v>
      </c>
      <c r="D5145" t="s">
        <v>13032</v>
      </c>
      <c r="E5145" t="s">
        <v>17670</v>
      </c>
      <c r="F5145" t="s">
        <v>22436</v>
      </c>
      <c r="G5145" t="s">
        <v>22444</v>
      </c>
      <c r="H5145" t="s">
        <v>22452</v>
      </c>
      <c r="I5145" t="s">
        <v>2981</v>
      </c>
      <c r="J5145" t="s">
        <v>25948</v>
      </c>
      <c r="K5145" t="s">
        <v>29338</v>
      </c>
      <c r="M5145" t="s">
        <v>29841</v>
      </c>
      <c r="N5145" t="s">
        <v>32524</v>
      </c>
      <c r="O5145" t="s">
        <v>32525</v>
      </c>
      <c r="P5145">
        <v>0</v>
      </c>
      <c r="Q5145">
        <v>1</v>
      </c>
      <c r="R5145" t="s">
        <v>32531</v>
      </c>
      <c r="S5145" t="s">
        <v>32586</v>
      </c>
      <c r="T5145" t="s">
        <v>33385</v>
      </c>
      <c r="U5145" t="s">
        <v>37951</v>
      </c>
      <c r="W5145" t="s">
        <v>43690</v>
      </c>
      <c r="X5145" t="s">
        <v>32532</v>
      </c>
    </row>
    <row r="5146" spans="1:24">
      <c r="A5146">
        <f>HYPERLINK("https://www.philgeps.gov.ph/GEPSNONPILOT/Tender/SplashBidNoticeAbstractUI.aspx?menuIndex=3&amp;refID=7039394&amp;Result=3","7039394")</f>
        <v>0</v>
      </c>
      <c r="B5146" t="s">
        <v>1720</v>
      </c>
      <c r="C5146" t="s">
        <v>7602</v>
      </c>
      <c r="D5146" t="s">
        <v>13004</v>
      </c>
      <c r="E5146" t="s">
        <v>17671</v>
      </c>
      <c r="F5146" t="s">
        <v>22436</v>
      </c>
      <c r="G5146" t="s">
        <v>22443</v>
      </c>
      <c r="H5146" t="s">
        <v>22452</v>
      </c>
      <c r="I5146" t="s">
        <v>3529</v>
      </c>
      <c r="J5146" t="s">
        <v>25949</v>
      </c>
      <c r="K5146" t="s">
        <v>29331</v>
      </c>
      <c r="M5146" t="s">
        <v>31424</v>
      </c>
      <c r="N5146" t="s">
        <v>32524</v>
      </c>
      <c r="O5146" t="s">
        <v>32525</v>
      </c>
      <c r="P5146">
        <v>0</v>
      </c>
      <c r="Q5146">
        <v>2</v>
      </c>
      <c r="R5146" t="s">
        <v>32531</v>
      </c>
      <c r="S5146" t="s">
        <v>32586</v>
      </c>
      <c r="T5146" t="s">
        <v>33356</v>
      </c>
      <c r="U5146" t="s">
        <v>37952</v>
      </c>
      <c r="W5146" t="s">
        <v>31424</v>
      </c>
      <c r="X5146" t="s">
        <v>32532</v>
      </c>
    </row>
    <row r="5147" spans="1:24">
      <c r="A5147">
        <f>HYPERLINK("https://www.philgeps.gov.ph/GEPSNONPILOT/Tender/SplashBidNoticeAbstractUI.aspx?menuIndex=3&amp;refID=7039383&amp;Result=3","7039383")</f>
        <v>0</v>
      </c>
      <c r="B5147" t="s">
        <v>364</v>
      </c>
      <c r="C5147" t="s">
        <v>7603</v>
      </c>
      <c r="D5147" t="s">
        <v>13011</v>
      </c>
      <c r="E5147" t="s">
        <v>17672</v>
      </c>
      <c r="F5147" t="s">
        <v>22436</v>
      </c>
      <c r="G5147" t="s">
        <v>22446</v>
      </c>
      <c r="H5147" t="s">
        <v>22452</v>
      </c>
      <c r="I5147" t="s">
        <v>22460</v>
      </c>
      <c r="J5147" t="s">
        <v>25950</v>
      </c>
      <c r="K5147" t="s">
        <v>29338</v>
      </c>
      <c r="M5147" t="s">
        <v>29942</v>
      </c>
      <c r="N5147" t="s">
        <v>32524</v>
      </c>
      <c r="O5147" t="s">
        <v>32525</v>
      </c>
      <c r="P5147">
        <v>0</v>
      </c>
      <c r="Q5147">
        <v>0</v>
      </c>
      <c r="R5147" t="s">
        <v>32531</v>
      </c>
      <c r="S5147" t="s">
        <v>32586</v>
      </c>
      <c r="T5147" t="s">
        <v>33401</v>
      </c>
      <c r="U5147" t="s">
        <v>37953</v>
      </c>
      <c r="W5147" t="s">
        <v>29942</v>
      </c>
      <c r="X5147" t="s">
        <v>32532</v>
      </c>
    </row>
    <row r="5148" spans="1:24">
      <c r="A5148">
        <f>HYPERLINK("https://www.philgeps.gov.ph/GEPSNONPILOT/Tender/SplashBidNoticeAbstractUI.aspx?menuIndex=3&amp;refID=7039385&amp;Result=3","7039385")</f>
        <v>0</v>
      </c>
      <c r="B5148" t="s">
        <v>755</v>
      </c>
      <c r="C5148" t="s">
        <v>7604</v>
      </c>
      <c r="D5148" t="s">
        <v>13061</v>
      </c>
      <c r="E5148" t="s">
        <v>17673</v>
      </c>
      <c r="F5148" t="s">
        <v>22436</v>
      </c>
      <c r="G5148" t="s">
        <v>22446</v>
      </c>
      <c r="H5148" t="s">
        <v>22453</v>
      </c>
      <c r="I5148" t="s">
        <v>3529</v>
      </c>
      <c r="J5148" t="s">
        <v>25951</v>
      </c>
      <c r="K5148" t="s">
        <v>29336</v>
      </c>
      <c r="M5148" t="s">
        <v>30356</v>
      </c>
      <c r="N5148" t="s">
        <v>32524</v>
      </c>
      <c r="O5148" t="s">
        <v>32525</v>
      </c>
      <c r="P5148">
        <v>0</v>
      </c>
      <c r="Q5148">
        <v>0</v>
      </c>
      <c r="R5148" t="s">
        <v>32531</v>
      </c>
      <c r="S5148" t="s">
        <v>32586</v>
      </c>
      <c r="T5148" t="s">
        <v>33296</v>
      </c>
      <c r="U5148" t="s">
        <v>35238</v>
      </c>
      <c r="W5148" t="s">
        <v>30356</v>
      </c>
      <c r="X5148" t="s">
        <v>32532</v>
      </c>
    </row>
    <row r="5149" spans="1:24">
      <c r="A5149">
        <f>HYPERLINK("https://www.philgeps.gov.ph/GEPSNONPILOT/Tender/SplashBidNoticeAbstractUI.aspx?menuIndex=3&amp;refID=7039408&amp;Result=3","7039408")</f>
        <v>0</v>
      </c>
      <c r="B5149" t="s">
        <v>1650</v>
      </c>
      <c r="C5149" t="s">
        <v>7605</v>
      </c>
      <c r="D5149" t="s">
        <v>12999</v>
      </c>
      <c r="E5149" t="s">
        <v>17674</v>
      </c>
      <c r="F5149" t="s">
        <v>22436</v>
      </c>
      <c r="G5149" t="s">
        <v>22443</v>
      </c>
      <c r="H5149" t="s">
        <v>22452</v>
      </c>
      <c r="I5149" t="s">
        <v>22469</v>
      </c>
      <c r="J5149" t="s">
        <v>23215</v>
      </c>
      <c r="K5149" t="s">
        <v>29357</v>
      </c>
      <c r="M5149" t="s">
        <v>31347</v>
      </c>
      <c r="N5149" t="s">
        <v>32524</v>
      </c>
      <c r="O5149" t="s">
        <v>32525</v>
      </c>
      <c r="P5149">
        <v>0</v>
      </c>
      <c r="Q5149">
        <v>5</v>
      </c>
      <c r="R5149" t="s">
        <v>32531</v>
      </c>
      <c r="S5149" t="s">
        <v>32586</v>
      </c>
      <c r="T5149" t="s">
        <v>33209</v>
      </c>
      <c r="U5149" t="s">
        <v>37705</v>
      </c>
      <c r="W5149" t="s">
        <v>31347</v>
      </c>
      <c r="X5149" t="s">
        <v>32532</v>
      </c>
    </row>
    <row r="5150" spans="1:24">
      <c r="A5150">
        <f>HYPERLINK("https://www.philgeps.gov.ph/GEPSNONPILOT/Tender/SplashBidNoticeAbstractUI.aspx?menuIndex=3&amp;refID=7039404&amp;Result=3","7039404")</f>
        <v>0</v>
      </c>
      <c r="B5150" t="s">
        <v>1721</v>
      </c>
      <c r="C5150" t="s">
        <v>7606</v>
      </c>
      <c r="D5150" t="s">
        <v>13032</v>
      </c>
      <c r="E5150" t="s">
        <v>14329</v>
      </c>
      <c r="F5150" t="s">
        <v>22436</v>
      </c>
      <c r="G5150" t="s">
        <v>22445</v>
      </c>
      <c r="H5150" t="s">
        <v>22454</v>
      </c>
      <c r="I5150" t="s">
        <v>7738</v>
      </c>
      <c r="J5150" t="s">
        <v>22640</v>
      </c>
      <c r="K5150" t="s">
        <v>29335</v>
      </c>
      <c r="M5150" t="s">
        <v>31425</v>
      </c>
      <c r="N5150" t="s">
        <v>32524</v>
      </c>
      <c r="O5150" t="s">
        <v>32525</v>
      </c>
      <c r="P5150">
        <v>0</v>
      </c>
      <c r="Q5150">
        <v>0</v>
      </c>
      <c r="R5150" t="s">
        <v>32531</v>
      </c>
      <c r="S5150" t="s">
        <v>32586</v>
      </c>
      <c r="T5150" t="s">
        <v>33296</v>
      </c>
      <c r="U5150" t="s">
        <v>37954</v>
      </c>
      <c r="W5150" t="s">
        <v>31425</v>
      </c>
      <c r="X5150" t="s">
        <v>32532</v>
      </c>
    </row>
    <row r="5151" spans="1:24">
      <c r="A5151">
        <f>HYPERLINK("https://www.philgeps.gov.ph/GEPSNONPILOT/Tender/SplashBidNoticeAbstractUI.aspx?menuIndex=3&amp;refID=7039391&amp;Result=3","7039391")</f>
        <v>0</v>
      </c>
      <c r="B5151" t="s">
        <v>1722</v>
      </c>
      <c r="C5151" t="s">
        <v>7607</v>
      </c>
      <c r="D5151" t="s">
        <v>13062</v>
      </c>
      <c r="E5151" t="s">
        <v>17675</v>
      </c>
      <c r="F5151" t="s">
        <v>22436</v>
      </c>
      <c r="G5151" t="s">
        <v>22444</v>
      </c>
      <c r="H5151" t="s">
        <v>22452</v>
      </c>
      <c r="I5151" t="s">
        <v>3529</v>
      </c>
      <c r="J5151" t="s">
        <v>25952</v>
      </c>
      <c r="K5151" t="s">
        <v>29330</v>
      </c>
      <c r="M5151" t="s">
        <v>31426</v>
      </c>
      <c r="N5151" t="s">
        <v>32524</v>
      </c>
      <c r="O5151" t="s">
        <v>32525</v>
      </c>
      <c r="P5151">
        <v>0</v>
      </c>
      <c r="Q5151">
        <v>0</v>
      </c>
      <c r="R5151" t="s">
        <v>32531</v>
      </c>
      <c r="S5151" t="s">
        <v>32586</v>
      </c>
      <c r="T5151" t="s">
        <v>33155</v>
      </c>
      <c r="U5151" t="s">
        <v>37955</v>
      </c>
      <c r="W5151" t="s">
        <v>31426</v>
      </c>
      <c r="X5151" t="s">
        <v>32532</v>
      </c>
    </row>
    <row r="5152" spans="1:24">
      <c r="A5152">
        <f>HYPERLINK("https://www.philgeps.gov.ph/GEPSNONPILOT/Tender/SplashBidNoticeAbstractUI.aspx?menuIndex=3&amp;refID=7039401&amp;Result=3","7039401")</f>
        <v>0</v>
      </c>
      <c r="B5152" t="s">
        <v>250</v>
      </c>
      <c r="C5152" t="s">
        <v>7608</v>
      </c>
      <c r="D5152" t="s">
        <v>12999</v>
      </c>
      <c r="E5152" t="s">
        <v>14217</v>
      </c>
      <c r="F5152" t="s">
        <v>22438</v>
      </c>
      <c r="G5152" t="s">
        <v>22449</v>
      </c>
      <c r="H5152" t="s">
        <v>22455</v>
      </c>
      <c r="I5152" t="s">
        <v>22455</v>
      </c>
      <c r="J5152" t="s">
        <v>22896</v>
      </c>
      <c r="K5152" t="s">
        <v>29371</v>
      </c>
      <c r="M5152" t="s">
        <v>29824</v>
      </c>
      <c r="N5152" t="s">
        <v>32524</v>
      </c>
      <c r="O5152" t="s">
        <v>32525</v>
      </c>
      <c r="P5152">
        <v>0</v>
      </c>
      <c r="Q5152">
        <v>0</v>
      </c>
      <c r="R5152" t="s">
        <v>32531</v>
      </c>
      <c r="S5152" t="s">
        <v>32586</v>
      </c>
      <c r="T5152" t="s">
        <v>33351</v>
      </c>
      <c r="U5152" t="s">
        <v>37956</v>
      </c>
      <c r="V5152" t="s">
        <v>42960</v>
      </c>
      <c r="W5152" t="s">
        <v>29824</v>
      </c>
      <c r="X5152" t="s">
        <v>32532</v>
      </c>
    </row>
    <row r="5153" spans="1:24">
      <c r="A5153">
        <f>HYPERLINK("https://www.philgeps.gov.ph/GEPSNONPILOT/Tender/SplashBidNoticeAbstractUI.aspx?menuIndex=3&amp;refID=7039407&amp;Result=3","7039407")</f>
        <v>0</v>
      </c>
      <c r="B5153" t="s">
        <v>267</v>
      </c>
      <c r="C5153" t="s">
        <v>7609</v>
      </c>
      <c r="D5153" t="s">
        <v>13032</v>
      </c>
      <c r="E5153" t="s">
        <v>17676</v>
      </c>
      <c r="F5153" t="s">
        <v>22436</v>
      </c>
      <c r="G5153" t="s">
        <v>22444</v>
      </c>
      <c r="H5153" t="s">
        <v>22452</v>
      </c>
      <c r="I5153" t="s">
        <v>2981</v>
      </c>
      <c r="J5153" t="s">
        <v>25953</v>
      </c>
      <c r="K5153" t="s">
        <v>29338</v>
      </c>
      <c r="M5153" t="s">
        <v>29841</v>
      </c>
      <c r="N5153" t="s">
        <v>32524</v>
      </c>
      <c r="O5153" t="s">
        <v>32525</v>
      </c>
      <c r="P5153">
        <v>0</v>
      </c>
      <c r="Q5153">
        <v>1</v>
      </c>
      <c r="R5153" t="s">
        <v>32531</v>
      </c>
      <c r="S5153" t="s">
        <v>32586</v>
      </c>
      <c r="T5153" t="s">
        <v>33385</v>
      </c>
      <c r="U5153" t="s">
        <v>37957</v>
      </c>
      <c r="W5153" t="s">
        <v>43690</v>
      </c>
      <c r="X5153" t="s">
        <v>32532</v>
      </c>
    </row>
    <row r="5154" spans="1:24">
      <c r="A5154">
        <f>HYPERLINK("https://www.philgeps.gov.ph/GEPSNONPILOT/Tender/SplashBidNoticeAbstractUI.aspx?menuIndex=3&amp;refID=7039403&amp;Result=3","7039403")</f>
        <v>0</v>
      </c>
      <c r="B5154" t="s">
        <v>562</v>
      </c>
      <c r="C5154" t="s">
        <v>7610</v>
      </c>
      <c r="D5154" t="s">
        <v>13023</v>
      </c>
      <c r="E5154" t="s">
        <v>17677</v>
      </c>
      <c r="F5154" t="s">
        <v>22436</v>
      </c>
      <c r="G5154" t="s">
        <v>22444</v>
      </c>
      <c r="H5154" t="s">
        <v>22454</v>
      </c>
      <c r="I5154" t="s">
        <v>7738</v>
      </c>
      <c r="J5154" t="s">
        <v>25888</v>
      </c>
      <c r="K5154" t="s">
        <v>29333</v>
      </c>
      <c r="M5154" t="s">
        <v>31398</v>
      </c>
      <c r="N5154" t="s">
        <v>32524</v>
      </c>
      <c r="O5154" t="s">
        <v>32525</v>
      </c>
      <c r="P5154">
        <v>0</v>
      </c>
      <c r="Q5154">
        <v>0</v>
      </c>
      <c r="R5154" t="s">
        <v>32531</v>
      </c>
      <c r="S5154" t="s">
        <v>32586</v>
      </c>
      <c r="T5154" t="s">
        <v>33484</v>
      </c>
      <c r="U5154" t="s">
        <v>37958</v>
      </c>
      <c r="W5154" t="s">
        <v>31398</v>
      </c>
      <c r="X5154" t="s">
        <v>32532</v>
      </c>
    </row>
    <row r="5155" spans="1:24">
      <c r="A5155">
        <f>HYPERLINK("https://www.philgeps.gov.ph/GEPSNONPILOT/Tender/SplashBidNoticeAbstractUI.aspx?menuIndex=3&amp;refID=7039393&amp;Result=3","7039393")</f>
        <v>0</v>
      </c>
      <c r="B5155" t="s">
        <v>997</v>
      </c>
      <c r="C5155" t="s">
        <v>7611</v>
      </c>
      <c r="D5155" t="s">
        <v>13025</v>
      </c>
      <c r="E5155" t="s">
        <v>17678</v>
      </c>
      <c r="F5155" t="s">
        <v>22436</v>
      </c>
      <c r="G5155" t="s">
        <v>22443</v>
      </c>
      <c r="H5155" t="s">
        <v>22452</v>
      </c>
      <c r="I5155" t="s">
        <v>2981</v>
      </c>
      <c r="J5155" t="s">
        <v>25954</v>
      </c>
      <c r="K5155" t="s">
        <v>29341</v>
      </c>
      <c r="M5155" t="s">
        <v>31427</v>
      </c>
      <c r="N5155" t="s">
        <v>32524</v>
      </c>
      <c r="O5155" t="s">
        <v>32525</v>
      </c>
      <c r="P5155">
        <v>0</v>
      </c>
      <c r="Q5155">
        <v>0</v>
      </c>
      <c r="R5155" t="s">
        <v>32531</v>
      </c>
      <c r="S5155" t="s">
        <v>32586</v>
      </c>
      <c r="T5155" t="s">
        <v>33209</v>
      </c>
      <c r="U5155" t="s">
        <v>37959</v>
      </c>
      <c r="W5155" t="s">
        <v>31427</v>
      </c>
      <c r="X5155" t="s">
        <v>32532</v>
      </c>
    </row>
    <row r="5156" spans="1:24">
      <c r="A5156">
        <f>HYPERLINK("https://www.philgeps.gov.ph/GEPSNONPILOT/Tender/SplashBidNoticeAbstractUI.aspx?menuIndex=3&amp;refID=7039400&amp;Result=3","7039400")</f>
        <v>0</v>
      </c>
      <c r="B5156" t="s">
        <v>1691</v>
      </c>
      <c r="C5156" t="s">
        <v>7612</v>
      </c>
      <c r="D5156" t="s">
        <v>13010</v>
      </c>
      <c r="E5156" t="s">
        <v>14881</v>
      </c>
      <c r="F5156" t="s">
        <v>22436</v>
      </c>
      <c r="G5156" t="s">
        <v>22444</v>
      </c>
      <c r="H5156" t="s">
        <v>22452</v>
      </c>
      <c r="I5156" t="s">
        <v>11896</v>
      </c>
      <c r="J5156" t="s">
        <v>22589</v>
      </c>
      <c r="K5156" t="s">
        <v>29330</v>
      </c>
      <c r="M5156" t="s">
        <v>31391</v>
      </c>
      <c r="N5156" t="s">
        <v>32524</v>
      </c>
      <c r="O5156" t="s">
        <v>32525</v>
      </c>
      <c r="P5156">
        <v>0</v>
      </c>
      <c r="Q5156">
        <v>0</v>
      </c>
      <c r="R5156" t="s">
        <v>32531</v>
      </c>
      <c r="S5156" t="s">
        <v>32586</v>
      </c>
      <c r="T5156" t="s">
        <v>33423</v>
      </c>
      <c r="U5156" t="s">
        <v>37960</v>
      </c>
      <c r="W5156" t="s">
        <v>31391</v>
      </c>
      <c r="X5156" t="s">
        <v>32532</v>
      </c>
    </row>
    <row r="5157" spans="1:24">
      <c r="A5157">
        <f>HYPERLINK("https://www.philgeps.gov.ph/GEPSNONPILOT/Tender/SplashBidNoticeAbstractUI.aspx?menuIndex=3&amp;refID=7039409&amp;Result=3","7039409")</f>
        <v>0</v>
      </c>
      <c r="B5157" t="s">
        <v>437</v>
      </c>
      <c r="C5157" t="s">
        <v>7613</v>
      </c>
      <c r="D5157" t="s">
        <v>13023</v>
      </c>
      <c r="E5157" t="s">
        <v>17679</v>
      </c>
      <c r="F5157" t="s">
        <v>22437</v>
      </c>
      <c r="G5157" t="s">
        <v>22444</v>
      </c>
      <c r="H5157" t="s">
        <v>22452</v>
      </c>
      <c r="I5157" t="s">
        <v>22479</v>
      </c>
      <c r="J5157" t="s">
        <v>23350</v>
      </c>
      <c r="K5157" t="s">
        <v>29334</v>
      </c>
      <c r="M5157" t="s">
        <v>30018</v>
      </c>
      <c r="N5157" t="s">
        <v>32524</v>
      </c>
      <c r="O5157" t="s">
        <v>32525</v>
      </c>
      <c r="Q5157">
        <v>2</v>
      </c>
      <c r="R5157" t="s">
        <v>32531</v>
      </c>
      <c r="S5157" t="s">
        <v>32604</v>
      </c>
      <c r="T5157" t="s">
        <v>33438</v>
      </c>
      <c r="U5157" t="s">
        <v>37961</v>
      </c>
      <c r="W5157" t="s">
        <v>30018</v>
      </c>
      <c r="X5157" t="s">
        <v>32532</v>
      </c>
    </row>
    <row r="5158" spans="1:24">
      <c r="A5158">
        <f>HYPERLINK("https://www.philgeps.gov.ph/GEPSNONPILOT/Tender/SplashBidNoticeAbstractUI.aspx?menuIndex=3&amp;refID=7039411&amp;Result=3","7039411")</f>
        <v>0</v>
      </c>
      <c r="B5158" t="s">
        <v>1723</v>
      </c>
      <c r="C5158" t="s">
        <v>7614</v>
      </c>
      <c r="D5158" t="s">
        <v>13045</v>
      </c>
      <c r="E5158" t="s">
        <v>17680</v>
      </c>
      <c r="F5158" t="s">
        <v>22436</v>
      </c>
      <c r="G5158" t="s">
        <v>22444</v>
      </c>
      <c r="H5158" t="s">
        <v>22454</v>
      </c>
      <c r="I5158" t="s">
        <v>3529</v>
      </c>
      <c r="J5158" t="s">
        <v>25955</v>
      </c>
      <c r="K5158" t="s">
        <v>29340</v>
      </c>
      <c r="M5158" t="s">
        <v>31428</v>
      </c>
      <c r="N5158" t="s">
        <v>32524</v>
      </c>
      <c r="O5158" t="s">
        <v>32525</v>
      </c>
      <c r="P5158">
        <v>0</v>
      </c>
      <c r="Q5158">
        <v>1</v>
      </c>
      <c r="R5158" t="s">
        <v>32531</v>
      </c>
      <c r="S5158" t="s">
        <v>32586</v>
      </c>
      <c r="T5158" t="s">
        <v>33171</v>
      </c>
      <c r="U5158" t="s">
        <v>37962</v>
      </c>
      <c r="W5158" t="s">
        <v>31428</v>
      </c>
      <c r="X5158" t="s">
        <v>32532</v>
      </c>
    </row>
    <row r="5159" spans="1:24">
      <c r="A5159">
        <f>HYPERLINK("https://www.philgeps.gov.ph/GEPSNONPILOT/Tender/SplashBidNoticeAbstractUI.aspx?menuIndex=3&amp;refID=7039421&amp;Result=3","7039421")</f>
        <v>0</v>
      </c>
      <c r="B5159" t="s">
        <v>1724</v>
      </c>
      <c r="C5159" t="s">
        <v>7615</v>
      </c>
      <c r="D5159" t="s">
        <v>12988</v>
      </c>
      <c r="E5159" t="s">
        <v>17681</v>
      </c>
      <c r="F5159" t="s">
        <v>22436</v>
      </c>
      <c r="G5159" t="s">
        <v>22443</v>
      </c>
      <c r="H5159" t="s">
        <v>22452</v>
      </c>
      <c r="I5159" t="s">
        <v>22470</v>
      </c>
      <c r="J5159" t="s">
        <v>25956</v>
      </c>
      <c r="K5159" t="s">
        <v>29336</v>
      </c>
      <c r="M5159" t="s">
        <v>31429</v>
      </c>
      <c r="N5159" t="s">
        <v>32524</v>
      </c>
      <c r="O5159" t="s">
        <v>32525</v>
      </c>
      <c r="P5159">
        <v>0</v>
      </c>
      <c r="Q5159">
        <v>5</v>
      </c>
      <c r="R5159" t="s">
        <v>32531</v>
      </c>
      <c r="S5159" t="s">
        <v>32586</v>
      </c>
      <c r="T5159" t="s">
        <v>33372</v>
      </c>
      <c r="U5159" t="s">
        <v>37963</v>
      </c>
      <c r="W5159" t="s">
        <v>31429</v>
      </c>
      <c r="X5159" t="s">
        <v>32532</v>
      </c>
    </row>
    <row r="5160" spans="1:24">
      <c r="A5160">
        <f>HYPERLINK("https://www.philgeps.gov.ph/GEPSNONPILOT/Tender/SplashBidNoticeAbstractUI.aspx?menuIndex=3&amp;refID=7039434&amp;Result=3","7039434")</f>
        <v>0</v>
      </c>
      <c r="B5160" t="s">
        <v>1709</v>
      </c>
      <c r="C5160" t="s">
        <v>7616</v>
      </c>
      <c r="D5160" t="s">
        <v>13003</v>
      </c>
      <c r="E5160" t="s">
        <v>17682</v>
      </c>
      <c r="F5160" t="s">
        <v>22436</v>
      </c>
      <c r="G5160" t="s">
        <v>22444</v>
      </c>
      <c r="H5160" t="s">
        <v>22452</v>
      </c>
      <c r="I5160" t="s">
        <v>3122</v>
      </c>
      <c r="J5160" t="s">
        <v>25957</v>
      </c>
      <c r="K5160" t="s">
        <v>29338</v>
      </c>
      <c r="M5160" t="s">
        <v>31412</v>
      </c>
      <c r="N5160" t="s">
        <v>32524</v>
      </c>
      <c r="O5160" t="s">
        <v>32525</v>
      </c>
      <c r="P5160">
        <v>0</v>
      </c>
      <c r="Q5160">
        <v>0</v>
      </c>
      <c r="R5160" t="s">
        <v>32531</v>
      </c>
      <c r="S5160" t="s">
        <v>32586</v>
      </c>
      <c r="T5160" t="s">
        <v>33220</v>
      </c>
      <c r="U5160" t="s">
        <v>37964</v>
      </c>
      <c r="W5160" t="s">
        <v>31412</v>
      </c>
      <c r="X5160" t="s">
        <v>32532</v>
      </c>
    </row>
    <row r="5161" spans="1:24">
      <c r="A5161">
        <f>HYPERLINK("https://www.philgeps.gov.ph/GEPSNONPILOT/Tender/SplashBidNoticeAbstractUI.aspx?menuIndex=3&amp;refID=7039427&amp;Result=3","7039427")</f>
        <v>0</v>
      </c>
      <c r="B5161" t="s">
        <v>168</v>
      </c>
      <c r="C5161" t="s">
        <v>7617</v>
      </c>
      <c r="D5161" t="s">
        <v>13015</v>
      </c>
      <c r="E5161" t="s">
        <v>17683</v>
      </c>
      <c r="F5161" t="s">
        <v>22436</v>
      </c>
      <c r="G5161" t="s">
        <v>22444</v>
      </c>
      <c r="H5161" t="s">
        <v>22452</v>
      </c>
      <c r="I5161" t="s">
        <v>22460</v>
      </c>
      <c r="J5161" t="s">
        <v>25958</v>
      </c>
      <c r="K5161" t="s">
        <v>29335</v>
      </c>
      <c r="M5161" t="s">
        <v>31341</v>
      </c>
      <c r="N5161" t="s">
        <v>32524</v>
      </c>
      <c r="O5161" t="s">
        <v>32525</v>
      </c>
      <c r="P5161">
        <v>0</v>
      </c>
      <c r="Q5161">
        <v>0</v>
      </c>
      <c r="R5161" t="s">
        <v>32531</v>
      </c>
      <c r="S5161" t="s">
        <v>32586</v>
      </c>
      <c r="T5161" t="s">
        <v>33213</v>
      </c>
      <c r="U5161" t="s">
        <v>33937</v>
      </c>
      <c r="V5161" t="s">
        <v>42464</v>
      </c>
      <c r="W5161" t="s">
        <v>31341</v>
      </c>
      <c r="X5161" t="s">
        <v>32532</v>
      </c>
    </row>
    <row r="5162" spans="1:24">
      <c r="A5162">
        <f>HYPERLINK("https://www.philgeps.gov.ph/GEPSNONPILOT/Tender/SplashBidNoticeAbstractUI.aspx?menuIndex=3&amp;refID=7039433&amp;Result=3","7039433")</f>
        <v>0</v>
      </c>
      <c r="B5162" t="s">
        <v>75</v>
      </c>
      <c r="C5162" t="s">
        <v>7618</v>
      </c>
      <c r="D5162" t="s">
        <v>13021</v>
      </c>
      <c r="E5162" t="s">
        <v>17684</v>
      </c>
      <c r="F5162" t="s">
        <v>22436</v>
      </c>
      <c r="G5162" t="s">
        <v>22444</v>
      </c>
      <c r="H5162" t="s">
        <v>22452</v>
      </c>
      <c r="I5162" t="s">
        <v>22467</v>
      </c>
      <c r="J5162" t="s">
        <v>25959</v>
      </c>
      <c r="K5162" t="s">
        <v>29408</v>
      </c>
      <c r="M5162" t="s">
        <v>29647</v>
      </c>
      <c r="N5162" t="s">
        <v>32524</v>
      </c>
      <c r="O5162" t="s">
        <v>32525</v>
      </c>
      <c r="P5162">
        <v>0</v>
      </c>
      <c r="Q5162">
        <v>0</v>
      </c>
      <c r="R5162" t="s">
        <v>32531</v>
      </c>
      <c r="S5162" t="s">
        <v>32586</v>
      </c>
      <c r="T5162" t="s">
        <v>33234</v>
      </c>
      <c r="U5162" t="s">
        <v>37965</v>
      </c>
      <c r="W5162" t="s">
        <v>29647</v>
      </c>
      <c r="X5162" t="s">
        <v>32532</v>
      </c>
    </row>
    <row r="5163" spans="1:24">
      <c r="A5163">
        <f>HYPERLINK("https://www.philgeps.gov.ph/GEPSNONPILOT/Tender/SplashBidNoticeAbstractUI.aspx?menuIndex=3&amp;refID=7039424&amp;Result=3","7039424")</f>
        <v>0</v>
      </c>
      <c r="B5163" t="s">
        <v>1714</v>
      </c>
      <c r="C5163" t="s">
        <v>7619</v>
      </c>
      <c r="D5163" t="s">
        <v>12993</v>
      </c>
      <c r="E5163" t="s">
        <v>17685</v>
      </c>
      <c r="F5163" t="s">
        <v>22436</v>
      </c>
      <c r="G5163" t="s">
        <v>22443</v>
      </c>
      <c r="H5163" t="s">
        <v>22452</v>
      </c>
      <c r="I5163" t="s">
        <v>22506</v>
      </c>
      <c r="J5163" t="s">
        <v>25960</v>
      </c>
      <c r="K5163" t="s">
        <v>29335</v>
      </c>
      <c r="M5163" t="s">
        <v>31418</v>
      </c>
      <c r="N5163" t="s">
        <v>32524</v>
      </c>
      <c r="O5163" t="s">
        <v>32525</v>
      </c>
      <c r="P5163">
        <v>0</v>
      </c>
      <c r="Q5163">
        <v>1</v>
      </c>
      <c r="R5163" t="s">
        <v>32531</v>
      </c>
      <c r="S5163" t="s">
        <v>32586</v>
      </c>
      <c r="T5163" t="s">
        <v>33167</v>
      </c>
      <c r="U5163" t="s">
        <v>37966</v>
      </c>
      <c r="W5163" t="s">
        <v>43732</v>
      </c>
      <c r="X5163" t="s">
        <v>32532</v>
      </c>
    </row>
    <row r="5164" spans="1:24">
      <c r="A5164">
        <f>HYPERLINK("https://www.philgeps.gov.ph/GEPSNONPILOT/Tender/SplashBidNoticeAbstractUI.aspx?menuIndex=3&amp;refID=7039432&amp;Result=3","7039432")</f>
        <v>0</v>
      </c>
      <c r="B5164" t="s">
        <v>267</v>
      </c>
      <c r="C5164" t="s">
        <v>7620</v>
      </c>
      <c r="D5164" t="s">
        <v>13032</v>
      </c>
      <c r="E5164" t="s">
        <v>17686</v>
      </c>
      <c r="F5164" t="s">
        <v>22436</v>
      </c>
      <c r="G5164" t="s">
        <v>22444</v>
      </c>
      <c r="H5164" t="s">
        <v>22452</v>
      </c>
      <c r="I5164" t="s">
        <v>2981</v>
      </c>
      <c r="J5164" t="s">
        <v>25961</v>
      </c>
      <c r="K5164" t="s">
        <v>29338</v>
      </c>
      <c r="M5164" t="s">
        <v>29841</v>
      </c>
      <c r="N5164" t="s">
        <v>32524</v>
      </c>
      <c r="O5164" t="s">
        <v>32525</v>
      </c>
      <c r="P5164">
        <v>0</v>
      </c>
      <c r="Q5164">
        <v>1</v>
      </c>
      <c r="R5164" t="s">
        <v>32531</v>
      </c>
      <c r="S5164" t="s">
        <v>32586</v>
      </c>
      <c r="T5164" t="s">
        <v>33385</v>
      </c>
      <c r="U5164" t="s">
        <v>37967</v>
      </c>
      <c r="W5164" t="s">
        <v>43690</v>
      </c>
      <c r="X5164" t="s">
        <v>32532</v>
      </c>
    </row>
    <row r="5165" spans="1:24">
      <c r="A5165">
        <f>HYPERLINK("https://www.philgeps.gov.ph/GEPSNONPILOT/Tender/SplashBidNoticeAbstractUI.aspx?menuIndex=3&amp;refID=7039417&amp;Result=3","7039417")</f>
        <v>0</v>
      </c>
      <c r="B5165" t="s">
        <v>972</v>
      </c>
      <c r="C5165" t="s">
        <v>7621</v>
      </c>
      <c r="D5165" t="s">
        <v>13031</v>
      </c>
      <c r="E5165" t="s">
        <v>17687</v>
      </c>
      <c r="F5165" t="s">
        <v>22436</v>
      </c>
      <c r="G5165" t="s">
        <v>22444</v>
      </c>
      <c r="H5165" t="s">
        <v>22452</v>
      </c>
      <c r="I5165" t="s">
        <v>22565</v>
      </c>
      <c r="J5165" t="s">
        <v>25962</v>
      </c>
      <c r="K5165" t="s">
        <v>29341</v>
      </c>
      <c r="M5165" t="s">
        <v>30592</v>
      </c>
      <c r="N5165" t="s">
        <v>32524</v>
      </c>
      <c r="O5165" t="s">
        <v>32525</v>
      </c>
      <c r="P5165">
        <v>0</v>
      </c>
      <c r="Q5165">
        <v>0</v>
      </c>
      <c r="R5165" t="s">
        <v>32531</v>
      </c>
      <c r="S5165" t="s">
        <v>32586</v>
      </c>
      <c r="T5165" t="s">
        <v>33219</v>
      </c>
      <c r="U5165" t="s">
        <v>37968</v>
      </c>
      <c r="W5165" t="s">
        <v>30592</v>
      </c>
      <c r="X5165" t="s">
        <v>32532</v>
      </c>
    </row>
    <row r="5166" spans="1:24">
      <c r="A5166">
        <f>HYPERLINK("https://www.philgeps.gov.ph/GEPSNONPILOT/Tender/SplashBidNoticeAbstractUI.aspx?menuIndex=3&amp;refID=7039429&amp;Result=3","7039429")</f>
        <v>0</v>
      </c>
      <c r="B5166" t="s">
        <v>364</v>
      </c>
      <c r="C5166" t="s">
        <v>7622</v>
      </c>
      <c r="D5166" t="s">
        <v>13011</v>
      </c>
      <c r="E5166" t="s">
        <v>17688</v>
      </c>
      <c r="F5166" t="s">
        <v>22436</v>
      </c>
      <c r="G5166" t="s">
        <v>22446</v>
      </c>
      <c r="H5166" t="s">
        <v>22452</v>
      </c>
      <c r="I5166" t="s">
        <v>6421</v>
      </c>
      <c r="J5166" t="s">
        <v>25963</v>
      </c>
      <c r="K5166" t="s">
        <v>29338</v>
      </c>
      <c r="M5166" t="s">
        <v>29942</v>
      </c>
      <c r="N5166" t="s">
        <v>32524</v>
      </c>
      <c r="O5166" t="s">
        <v>32525</v>
      </c>
      <c r="P5166">
        <v>0</v>
      </c>
      <c r="Q5166">
        <v>0</v>
      </c>
      <c r="R5166" t="s">
        <v>32531</v>
      </c>
      <c r="S5166" t="s">
        <v>32586</v>
      </c>
      <c r="T5166" t="s">
        <v>33401</v>
      </c>
      <c r="U5166" t="s">
        <v>37969</v>
      </c>
      <c r="W5166" t="s">
        <v>29942</v>
      </c>
      <c r="X5166" t="s">
        <v>32532</v>
      </c>
    </row>
    <row r="5167" spans="1:24">
      <c r="A5167">
        <f>HYPERLINK("https://www.philgeps.gov.ph/GEPSNONPILOT/Tender/SplashBidNoticeAbstractUI.aspx?menuIndex=3&amp;refID=7039425&amp;Result=3","7039425")</f>
        <v>0</v>
      </c>
      <c r="B5167" t="s">
        <v>1384</v>
      </c>
      <c r="C5167" t="s">
        <v>7623</v>
      </c>
      <c r="D5167" t="s">
        <v>13054</v>
      </c>
      <c r="E5167" t="s">
        <v>17689</v>
      </c>
      <c r="F5167" t="s">
        <v>22436</v>
      </c>
      <c r="G5167" t="s">
        <v>22444</v>
      </c>
      <c r="H5167" t="s">
        <v>22455</v>
      </c>
      <c r="I5167" t="s">
        <v>22455</v>
      </c>
      <c r="J5167" t="s">
        <v>25964</v>
      </c>
      <c r="K5167" t="s">
        <v>29430</v>
      </c>
      <c r="M5167" t="s">
        <v>31042</v>
      </c>
      <c r="N5167" t="s">
        <v>32524</v>
      </c>
      <c r="O5167" t="s">
        <v>32525</v>
      </c>
      <c r="P5167">
        <v>0</v>
      </c>
      <c r="Q5167">
        <v>3</v>
      </c>
      <c r="R5167" t="s">
        <v>32531</v>
      </c>
      <c r="S5167" t="s">
        <v>32586</v>
      </c>
      <c r="T5167" t="s">
        <v>33167</v>
      </c>
      <c r="U5167" t="s">
        <v>37970</v>
      </c>
      <c r="V5167" t="s">
        <v>42976</v>
      </c>
      <c r="W5167" t="s">
        <v>31042</v>
      </c>
      <c r="X5167" t="s">
        <v>32532</v>
      </c>
    </row>
    <row r="5168" spans="1:24">
      <c r="A5168">
        <f>HYPERLINK("https://www.philgeps.gov.ph/GEPSNONPILOT/Tender/SplashBidNoticeAbstractUI.aspx?menuIndex=3&amp;refID=7039418&amp;Result=3","7039418")</f>
        <v>0</v>
      </c>
      <c r="B5168" t="s">
        <v>267</v>
      </c>
      <c r="C5168" t="s">
        <v>7624</v>
      </c>
      <c r="D5168" t="s">
        <v>13032</v>
      </c>
      <c r="E5168" t="s">
        <v>17690</v>
      </c>
      <c r="F5168" t="s">
        <v>22436</v>
      </c>
      <c r="G5168" t="s">
        <v>22444</v>
      </c>
      <c r="H5168" t="s">
        <v>22452</v>
      </c>
      <c r="I5168" t="s">
        <v>2981</v>
      </c>
      <c r="J5168" t="s">
        <v>25965</v>
      </c>
      <c r="K5168" t="s">
        <v>29338</v>
      </c>
      <c r="M5168" t="s">
        <v>29841</v>
      </c>
      <c r="N5168" t="s">
        <v>32524</v>
      </c>
      <c r="O5168" t="s">
        <v>32525</v>
      </c>
      <c r="P5168">
        <v>0</v>
      </c>
      <c r="Q5168">
        <v>0</v>
      </c>
      <c r="R5168" t="s">
        <v>32531</v>
      </c>
      <c r="S5168" t="s">
        <v>32586</v>
      </c>
      <c r="T5168" t="s">
        <v>33385</v>
      </c>
      <c r="U5168" t="s">
        <v>37971</v>
      </c>
      <c r="W5168" t="s">
        <v>43690</v>
      </c>
      <c r="X5168" t="s">
        <v>32532</v>
      </c>
    </row>
    <row r="5169" spans="1:24">
      <c r="A5169">
        <f>HYPERLINK("https://www.philgeps.gov.ph/GEPSNONPILOT/Tender/SplashBidNoticeAbstractUI.aspx?menuIndex=3&amp;refID=7039431&amp;Result=3","7039431")</f>
        <v>0</v>
      </c>
      <c r="B5169" t="s">
        <v>1725</v>
      </c>
      <c r="C5169" t="s">
        <v>7625</v>
      </c>
      <c r="D5169" t="s">
        <v>13049</v>
      </c>
      <c r="E5169" t="s">
        <v>16315</v>
      </c>
      <c r="F5169" t="s">
        <v>22436</v>
      </c>
      <c r="G5169" t="s">
        <v>22444</v>
      </c>
      <c r="H5169" t="s">
        <v>22454</v>
      </c>
      <c r="I5169" t="s">
        <v>7738</v>
      </c>
      <c r="J5169" t="s">
        <v>22877</v>
      </c>
      <c r="K5169" t="s">
        <v>29338</v>
      </c>
      <c r="M5169" t="s">
        <v>31430</v>
      </c>
      <c r="N5169" t="s">
        <v>32524</v>
      </c>
      <c r="O5169" t="s">
        <v>32525</v>
      </c>
      <c r="P5169">
        <v>0</v>
      </c>
      <c r="Q5169">
        <v>0</v>
      </c>
      <c r="R5169" t="s">
        <v>32531</v>
      </c>
      <c r="S5169" t="s">
        <v>32586</v>
      </c>
      <c r="T5169" t="s">
        <v>33423</v>
      </c>
      <c r="U5169" t="s">
        <v>37972</v>
      </c>
      <c r="W5169" t="s">
        <v>43733</v>
      </c>
      <c r="X5169" t="s">
        <v>32532</v>
      </c>
    </row>
    <row r="5170" spans="1:24">
      <c r="A5170">
        <f>HYPERLINK("https://www.philgeps.gov.ph/GEPSNONPILOT/Tender/SplashBidNoticeAbstractUI.aspx?menuIndex=3&amp;refID=7039442&amp;Result=3","7039442")</f>
        <v>0</v>
      </c>
      <c r="B5170" t="s">
        <v>59</v>
      </c>
      <c r="C5170" t="s">
        <v>7626</v>
      </c>
      <c r="D5170" t="s">
        <v>13004</v>
      </c>
      <c r="E5170" t="s">
        <v>17691</v>
      </c>
      <c r="F5170" t="s">
        <v>22436</v>
      </c>
      <c r="G5170" t="s">
        <v>22443</v>
      </c>
      <c r="H5170" t="s">
        <v>22452</v>
      </c>
      <c r="I5170" t="s">
        <v>7738</v>
      </c>
      <c r="J5170" t="s">
        <v>25966</v>
      </c>
      <c r="K5170" t="s">
        <v>29338</v>
      </c>
      <c r="L5170" t="s">
        <v>59</v>
      </c>
      <c r="M5170" t="s">
        <v>29631</v>
      </c>
      <c r="N5170" t="s">
        <v>32524</v>
      </c>
      <c r="O5170" t="s">
        <v>32525</v>
      </c>
      <c r="P5170">
        <v>0</v>
      </c>
      <c r="Q5170">
        <v>0</v>
      </c>
      <c r="R5170" t="s">
        <v>32531</v>
      </c>
      <c r="S5170" t="s">
        <v>32586</v>
      </c>
      <c r="T5170" t="s">
        <v>33296</v>
      </c>
      <c r="U5170" t="s">
        <v>37973</v>
      </c>
      <c r="W5170" t="s">
        <v>29631</v>
      </c>
      <c r="X5170" t="s">
        <v>32532</v>
      </c>
    </row>
    <row r="5171" spans="1:24">
      <c r="A5171">
        <f>HYPERLINK("https://www.philgeps.gov.ph/GEPSNONPILOT/Tender/SplashBidNoticeAbstractUI.aspx?menuIndex=3&amp;refID=7039413&amp;Result=3","7039413")</f>
        <v>0</v>
      </c>
      <c r="B5171" t="s">
        <v>1726</v>
      </c>
      <c r="C5171" t="s">
        <v>7627</v>
      </c>
      <c r="D5171" t="s">
        <v>12988</v>
      </c>
      <c r="E5171" t="s">
        <v>17692</v>
      </c>
      <c r="F5171" t="s">
        <v>22436</v>
      </c>
      <c r="G5171" t="s">
        <v>22444</v>
      </c>
      <c r="H5171" t="s">
        <v>22452</v>
      </c>
      <c r="I5171" t="s">
        <v>22460</v>
      </c>
      <c r="J5171" t="s">
        <v>25967</v>
      </c>
      <c r="K5171" t="s">
        <v>29336</v>
      </c>
      <c r="M5171" t="s">
        <v>31431</v>
      </c>
      <c r="N5171" t="s">
        <v>32524</v>
      </c>
      <c r="O5171" t="s">
        <v>32525</v>
      </c>
      <c r="P5171">
        <v>0</v>
      </c>
      <c r="Q5171">
        <v>0</v>
      </c>
      <c r="R5171" t="s">
        <v>32531</v>
      </c>
      <c r="S5171" t="s">
        <v>32586</v>
      </c>
      <c r="T5171" t="s">
        <v>33259</v>
      </c>
      <c r="U5171" t="s">
        <v>37974</v>
      </c>
      <c r="W5171" t="s">
        <v>31431</v>
      </c>
      <c r="X5171" t="s">
        <v>32532</v>
      </c>
    </row>
    <row r="5172" spans="1:24">
      <c r="A5172">
        <f>HYPERLINK("https://www.philgeps.gov.ph/GEPSNONPILOT/Tender/SplashBidNoticeAbstractUI.aspx?menuIndex=3&amp;refID=7039445&amp;Result=3","7039445")</f>
        <v>0</v>
      </c>
      <c r="B5172" t="s">
        <v>1726</v>
      </c>
      <c r="C5172" t="s">
        <v>7628</v>
      </c>
      <c r="D5172" t="s">
        <v>12988</v>
      </c>
      <c r="E5172" t="s">
        <v>17693</v>
      </c>
      <c r="F5172" t="s">
        <v>22436</v>
      </c>
      <c r="G5172" t="s">
        <v>22444</v>
      </c>
      <c r="H5172" t="s">
        <v>22452</v>
      </c>
      <c r="I5172" t="s">
        <v>2981</v>
      </c>
      <c r="J5172" t="s">
        <v>25968</v>
      </c>
      <c r="K5172" t="s">
        <v>29336</v>
      </c>
      <c r="M5172" t="s">
        <v>31431</v>
      </c>
      <c r="N5172" t="s">
        <v>32524</v>
      </c>
      <c r="O5172" t="s">
        <v>32525</v>
      </c>
      <c r="P5172">
        <v>0</v>
      </c>
      <c r="Q5172">
        <v>1</v>
      </c>
      <c r="R5172" t="s">
        <v>32531</v>
      </c>
      <c r="S5172" t="s">
        <v>32586</v>
      </c>
      <c r="T5172" t="s">
        <v>33259</v>
      </c>
      <c r="U5172" t="s">
        <v>37975</v>
      </c>
      <c r="W5172" t="s">
        <v>31431</v>
      </c>
      <c r="X5172" t="s">
        <v>32532</v>
      </c>
    </row>
    <row r="5173" spans="1:24">
      <c r="A5173">
        <f>HYPERLINK("https://www.philgeps.gov.ph/GEPSNONPILOT/Tender/SplashBidNoticeAbstractUI.aspx?menuIndex=3&amp;refID=7039436&amp;Result=3","7039436")</f>
        <v>0</v>
      </c>
      <c r="B5173" t="s">
        <v>1727</v>
      </c>
      <c r="C5173" t="s">
        <v>7629</v>
      </c>
      <c r="D5173" t="s">
        <v>13029</v>
      </c>
      <c r="E5173" t="s">
        <v>17694</v>
      </c>
      <c r="F5173" t="s">
        <v>22436</v>
      </c>
      <c r="G5173" t="s">
        <v>22444</v>
      </c>
      <c r="H5173" t="s">
        <v>22454</v>
      </c>
      <c r="I5173" t="s">
        <v>7738</v>
      </c>
      <c r="J5173" t="s">
        <v>25969</v>
      </c>
      <c r="K5173" t="s">
        <v>29388</v>
      </c>
      <c r="M5173" t="s">
        <v>31432</v>
      </c>
      <c r="N5173" t="s">
        <v>32524</v>
      </c>
      <c r="O5173" t="s">
        <v>32525</v>
      </c>
      <c r="P5173">
        <v>0</v>
      </c>
      <c r="Q5173">
        <v>4</v>
      </c>
      <c r="R5173" t="s">
        <v>32531</v>
      </c>
      <c r="S5173" t="s">
        <v>32586</v>
      </c>
      <c r="T5173" t="s">
        <v>33345</v>
      </c>
      <c r="U5173" t="s">
        <v>37976</v>
      </c>
      <c r="W5173" t="s">
        <v>31432</v>
      </c>
      <c r="X5173" t="s">
        <v>32532</v>
      </c>
    </row>
    <row r="5174" spans="1:24">
      <c r="A5174">
        <f>HYPERLINK("https://www.philgeps.gov.ph/GEPSNONPILOT/Tender/SplashBidNoticeAbstractUI.aspx?menuIndex=3&amp;refID=7039439&amp;Result=3","7039439")</f>
        <v>0</v>
      </c>
      <c r="B5174" t="s">
        <v>1728</v>
      </c>
      <c r="C5174" t="s">
        <v>7630</v>
      </c>
      <c r="D5174" t="s">
        <v>12998</v>
      </c>
      <c r="E5174" t="s">
        <v>17695</v>
      </c>
      <c r="F5174" t="s">
        <v>22436</v>
      </c>
      <c r="G5174" t="s">
        <v>22443</v>
      </c>
      <c r="H5174" t="s">
        <v>22455</v>
      </c>
      <c r="I5174" t="s">
        <v>22455</v>
      </c>
      <c r="J5174" t="s">
        <v>22704</v>
      </c>
      <c r="K5174" t="s">
        <v>29337</v>
      </c>
      <c r="M5174" t="s">
        <v>31433</v>
      </c>
      <c r="N5174" t="s">
        <v>32524</v>
      </c>
      <c r="O5174" t="s">
        <v>32525</v>
      </c>
      <c r="P5174">
        <v>0</v>
      </c>
      <c r="Q5174">
        <v>0</v>
      </c>
      <c r="R5174" t="s">
        <v>32531</v>
      </c>
      <c r="S5174" t="s">
        <v>32586</v>
      </c>
      <c r="T5174" t="s">
        <v>33372</v>
      </c>
      <c r="U5174" t="s">
        <v>37977</v>
      </c>
      <c r="W5174" t="s">
        <v>31433</v>
      </c>
      <c r="X5174" t="s">
        <v>32532</v>
      </c>
    </row>
    <row r="5175" spans="1:24">
      <c r="A5175">
        <f>HYPERLINK("https://www.philgeps.gov.ph/GEPSNONPILOT/Tender/SplashBidNoticeAbstractUI.aspx?menuIndex=3&amp;refID=7039446&amp;Result=3","7039446")</f>
        <v>0</v>
      </c>
      <c r="B5175" t="s">
        <v>669</v>
      </c>
      <c r="C5175" t="s">
        <v>7631</v>
      </c>
      <c r="D5175" t="s">
        <v>12988</v>
      </c>
      <c r="E5175" t="s">
        <v>17696</v>
      </c>
      <c r="F5175" t="s">
        <v>22436</v>
      </c>
      <c r="G5175" t="s">
        <v>22443</v>
      </c>
      <c r="H5175" t="s">
        <v>22452</v>
      </c>
      <c r="I5175" t="s">
        <v>3529</v>
      </c>
      <c r="J5175" t="s">
        <v>25970</v>
      </c>
      <c r="K5175" t="s">
        <v>29341</v>
      </c>
      <c r="M5175" t="s">
        <v>30261</v>
      </c>
      <c r="N5175" t="s">
        <v>32524</v>
      </c>
      <c r="O5175" t="s">
        <v>32525</v>
      </c>
      <c r="P5175">
        <v>0</v>
      </c>
      <c r="Q5175">
        <v>6</v>
      </c>
      <c r="R5175" t="s">
        <v>32531</v>
      </c>
      <c r="S5175" t="s">
        <v>32586</v>
      </c>
      <c r="T5175" t="s">
        <v>33322</v>
      </c>
      <c r="U5175" t="s">
        <v>35621</v>
      </c>
      <c r="W5175" t="s">
        <v>30261</v>
      </c>
      <c r="X5175" t="s">
        <v>32532</v>
      </c>
    </row>
    <row r="5176" spans="1:24">
      <c r="A5176">
        <f>HYPERLINK("https://www.philgeps.gov.ph/GEPSNONPILOT/Tender/SplashBidNoticeAbstractUI.aspx?menuIndex=3&amp;refID=7039444&amp;Result=3","7039444")</f>
        <v>0</v>
      </c>
      <c r="B5176" t="s">
        <v>168</v>
      </c>
      <c r="C5176" t="s">
        <v>7632</v>
      </c>
      <c r="D5176" t="s">
        <v>13015</v>
      </c>
      <c r="E5176" t="s">
        <v>17697</v>
      </c>
      <c r="F5176" t="s">
        <v>22436</v>
      </c>
      <c r="G5176" t="s">
        <v>22444</v>
      </c>
      <c r="H5176" t="s">
        <v>22452</v>
      </c>
      <c r="I5176" t="s">
        <v>22469</v>
      </c>
      <c r="J5176" t="s">
        <v>25971</v>
      </c>
      <c r="K5176" t="s">
        <v>29335</v>
      </c>
      <c r="M5176" t="s">
        <v>31341</v>
      </c>
      <c r="N5176" t="s">
        <v>32524</v>
      </c>
      <c r="O5176" t="s">
        <v>32525</v>
      </c>
      <c r="P5176">
        <v>0</v>
      </c>
      <c r="Q5176">
        <v>1</v>
      </c>
      <c r="R5176" t="s">
        <v>32531</v>
      </c>
      <c r="S5176" t="s">
        <v>32586</v>
      </c>
      <c r="T5176" t="s">
        <v>33213</v>
      </c>
      <c r="U5176" t="s">
        <v>33937</v>
      </c>
      <c r="V5176" t="s">
        <v>42464</v>
      </c>
      <c r="W5176" t="s">
        <v>31341</v>
      </c>
      <c r="X5176" t="s">
        <v>32532</v>
      </c>
    </row>
    <row r="5177" spans="1:24">
      <c r="A5177">
        <f>HYPERLINK("https://www.philgeps.gov.ph/GEPSNONPILOT/Tender/SplashBidNoticeAbstractUI.aspx?menuIndex=3&amp;refID=7039448&amp;Result=3","7039448")</f>
        <v>0</v>
      </c>
      <c r="B5177" t="s">
        <v>516</v>
      </c>
      <c r="C5177" t="s">
        <v>7633</v>
      </c>
      <c r="D5177" t="s">
        <v>13067</v>
      </c>
      <c r="E5177" t="s">
        <v>17698</v>
      </c>
      <c r="F5177" t="s">
        <v>22437</v>
      </c>
      <c r="G5177" t="s">
        <v>22443</v>
      </c>
      <c r="H5177" t="s">
        <v>22453</v>
      </c>
      <c r="I5177" t="s">
        <v>3827</v>
      </c>
      <c r="J5177" t="s">
        <v>22861</v>
      </c>
      <c r="K5177" t="s">
        <v>29336</v>
      </c>
      <c r="M5177" t="s">
        <v>30100</v>
      </c>
      <c r="N5177" t="s">
        <v>32524</v>
      </c>
      <c r="O5177" t="s">
        <v>32525</v>
      </c>
      <c r="P5177">
        <v>0</v>
      </c>
      <c r="Q5177">
        <v>0</v>
      </c>
      <c r="R5177" t="s">
        <v>32531</v>
      </c>
      <c r="S5177" t="s">
        <v>32586</v>
      </c>
      <c r="T5177" t="s">
        <v>33185</v>
      </c>
      <c r="U5177" t="s">
        <v>37978</v>
      </c>
      <c r="W5177" t="s">
        <v>30100</v>
      </c>
      <c r="X5177" t="s">
        <v>32532</v>
      </c>
    </row>
    <row r="5178" spans="1:24">
      <c r="A5178">
        <f>HYPERLINK("https://www.philgeps.gov.ph/GEPSNONPILOT/Tender/SplashBidNoticeAbstractUI.aspx?menuIndex=3&amp;refID=7039441&amp;Result=3","7039441")</f>
        <v>0</v>
      </c>
      <c r="B5178" t="s">
        <v>267</v>
      </c>
      <c r="C5178" t="s">
        <v>7634</v>
      </c>
      <c r="D5178" t="s">
        <v>13032</v>
      </c>
      <c r="E5178" t="s">
        <v>17699</v>
      </c>
      <c r="F5178" t="s">
        <v>22436</v>
      </c>
      <c r="G5178" t="s">
        <v>22444</v>
      </c>
      <c r="H5178" t="s">
        <v>22452</v>
      </c>
      <c r="I5178" t="s">
        <v>2981</v>
      </c>
      <c r="J5178" t="s">
        <v>25972</v>
      </c>
      <c r="K5178" t="s">
        <v>29338</v>
      </c>
      <c r="M5178" t="s">
        <v>29841</v>
      </c>
      <c r="N5178" t="s">
        <v>32524</v>
      </c>
      <c r="O5178" t="s">
        <v>32525</v>
      </c>
      <c r="P5178">
        <v>0</v>
      </c>
      <c r="Q5178">
        <v>2</v>
      </c>
      <c r="R5178" t="s">
        <v>32531</v>
      </c>
      <c r="S5178" t="s">
        <v>32586</v>
      </c>
      <c r="T5178" t="s">
        <v>33385</v>
      </c>
      <c r="U5178" t="s">
        <v>37979</v>
      </c>
      <c r="W5178" t="s">
        <v>43690</v>
      </c>
      <c r="X5178" t="s">
        <v>32532</v>
      </c>
    </row>
    <row r="5179" spans="1:24">
      <c r="A5179">
        <f>HYPERLINK("https://www.philgeps.gov.ph/GEPSNONPILOT/Tender/SplashBidNoticeAbstractUI.aspx?menuIndex=3&amp;refID=7039451&amp;Result=3","7039451")</f>
        <v>0</v>
      </c>
      <c r="B5179" t="s">
        <v>1621</v>
      </c>
      <c r="C5179" t="s">
        <v>7635</v>
      </c>
      <c r="D5179" t="s">
        <v>13007</v>
      </c>
      <c r="E5179" t="s">
        <v>17700</v>
      </c>
      <c r="F5179" t="s">
        <v>22436</v>
      </c>
      <c r="G5179" t="s">
        <v>22443</v>
      </c>
      <c r="H5179" t="s">
        <v>22452</v>
      </c>
      <c r="I5179" t="s">
        <v>3122</v>
      </c>
      <c r="J5179" t="s">
        <v>25973</v>
      </c>
      <c r="K5179" t="s">
        <v>29361</v>
      </c>
      <c r="M5179" t="s">
        <v>31306</v>
      </c>
      <c r="N5179" t="s">
        <v>32524</v>
      </c>
      <c r="O5179" t="s">
        <v>32525</v>
      </c>
      <c r="P5179">
        <v>0</v>
      </c>
      <c r="Q5179">
        <v>0</v>
      </c>
      <c r="R5179" t="s">
        <v>32531</v>
      </c>
      <c r="S5179" t="s">
        <v>32586</v>
      </c>
      <c r="T5179" t="s">
        <v>33238</v>
      </c>
      <c r="U5179" t="s">
        <v>37980</v>
      </c>
      <c r="W5179" t="s">
        <v>43728</v>
      </c>
      <c r="X5179" t="s">
        <v>32532</v>
      </c>
    </row>
    <row r="5180" spans="1:24">
      <c r="A5180">
        <f>HYPERLINK("https://www.philgeps.gov.ph/GEPSNONPILOT/Tender/SplashBidNoticeAbstractUI.aspx?menuIndex=3&amp;refID=7039467&amp;Result=3","7039467")</f>
        <v>0</v>
      </c>
      <c r="B5180" t="s">
        <v>998</v>
      </c>
      <c r="C5180" t="s">
        <v>7636</v>
      </c>
      <c r="D5180" t="s">
        <v>12992</v>
      </c>
      <c r="E5180" t="s">
        <v>17701</v>
      </c>
      <c r="F5180" t="s">
        <v>22436</v>
      </c>
      <c r="G5180" t="s">
        <v>22443</v>
      </c>
      <c r="H5180" t="s">
        <v>22452</v>
      </c>
      <c r="I5180" t="s">
        <v>22486</v>
      </c>
      <c r="J5180" t="s">
        <v>22605</v>
      </c>
      <c r="K5180" t="s">
        <v>29335</v>
      </c>
      <c r="M5180" t="s">
        <v>30624</v>
      </c>
      <c r="N5180" t="s">
        <v>32524</v>
      </c>
      <c r="O5180" t="s">
        <v>32525</v>
      </c>
      <c r="P5180">
        <v>0</v>
      </c>
      <c r="Q5180">
        <v>2</v>
      </c>
      <c r="R5180" t="s">
        <v>32531</v>
      </c>
      <c r="S5180" t="s">
        <v>32586</v>
      </c>
      <c r="T5180" t="s">
        <v>33169</v>
      </c>
      <c r="U5180" t="s">
        <v>37981</v>
      </c>
      <c r="V5180" t="s">
        <v>42977</v>
      </c>
      <c r="W5180" t="s">
        <v>30624</v>
      </c>
      <c r="X5180" t="s">
        <v>32532</v>
      </c>
    </row>
    <row r="5181" spans="1:24">
      <c r="A5181">
        <f>HYPERLINK("https://www.philgeps.gov.ph/GEPSNONPILOT/Tender/SplashBidNoticeAbstractUI.aspx?menuIndex=3&amp;refID=7039449&amp;Result=3","7039449")</f>
        <v>0</v>
      </c>
      <c r="B5181" t="s">
        <v>950</v>
      </c>
      <c r="C5181" t="s">
        <v>7637</v>
      </c>
      <c r="D5181" t="s">
        <v>13010</v>
      </c>
      <c r="E5181" t="s">
        <v>17702</v>
      </c>
      <c r="F5181" t="s">
        <v>22436</v>
      </c>
      <c r="G5181" t="s">
        <v>22444</v>
      </c>
      <c r="H5181" t="s">
        <v>22452</v>
      </c>
      <c r="I5181" t="s">
        <v>22494</v>
      </c>
      <c r="J5181" t="s">
        <v>25974</v>
      </c>
      <c r="K5181" t="s">
        <v>29338</v>
      </c>
      <c r="M5181" t="s">
        <v>30564</v>
      </c>
      <c r="N5181" t="s">
        <v>32524</v>
      </c>
      <c r="O5181" t="s">
        <v>32525</v>
      </c>
      <c r="P5181">
        <v>0</v>
      </c>
      <c r="Q5181">
        <v>1</v>
      </c>
      <c r="R5181" t="s">
        <v>32531</v>
      </c>
      <c r="S5181" t="s">
        <v>32586</v>
      </c>
      <c r="T5181" t="s">
        <v>33253</v>
      </c>
      <c r="U5181" t="s">
        <v>37982</v>
      </c>
      <c r="W5181" t="s">
        <v>30564</v>
      </c>
      <c r="X5181" t="s">
        <v>32532</v>
      </c>
    </row>
    <row r="5182" spans="1:24">
      <c r="A5182">
        <f>HYPERLINK("https://www.philgeps.gov.ph/GEPSNONPILOT/Tender/SplashBidNoticeAbstractUI.aspx?menuIndex=3&amp;refID=7039478&amp;Result=3","7039478")</f>
        <v>0</v>
      </c>
      <c r="B5182" t="s">
        <v>1726</v>
      </c>
      <c r="C5182" t="s">
        <v>7638</v>
      </c>
      <c r="D5182" t="s">
        <v>12988</v>
      </c>
      <c r="E5182" t="s">
        <v>17703</v>
      </c>
      <c r="F5182" t="s">
        <v>22436</v>
      </c>
      <c r="G5182" t="s">
        <v>22444</v>
      </c>
      <c r="H5182" t="s">
        <v>22452</v>
      </c>
      <c r="I5182" t="s">
        <v>22460</v>
      </c>
      <c r="J5182" t="s">
        <v>23085</v>
      </c>
      <c r="K5182" t="s">
        <v>29336</v>
      </c>
      <c r="M5182" t="s">
        <v>31431</v>
      </c>
      <c r="N5182" t="s">
        <v>32524</v>
      </c>
      <c r="O5182" t="s">
        <v>32525</v>
      </c>
      <c r="P5182">
        <v>0</v>
      </c>
      <c r="Q5182">
        <v>1</v>
      </c>
      <c r="R5182" t="s">
        <v>32531</v>
      </c>
      <c r="S5182" t="s">
        <v>32586</v>
      </c>
      <c r="T5182" t="s">
        <v>33259</v>
      </c>
      <c r="U5182" t="s">
        <v>37974</v>
      </c>
      <c r="W5182" t="s">
        <v>31431</v>
      </c>
      <c r="X5182" t="s">
        <v>32532</v>
      </c>
    </row>
    <row r="5183" spans="1:24">
      <c r="A5183">
        <f>HYPERLINK("https://www.philgeps.gov.ph/GEPSNONPILOT/Tender/SplashBidNoticeAbstractUI.aspx?menuIndex=3&amp;refID=7039454&amp;Result=3","7039454")</f>
        <v>0</v>
      </c>
      <c r="B5183" t="s">
        <v>1729</v>
      </c>
      <c r="C5183" t="s">
        <v>7639</v>
      </c>
      <c r="D5183" t="s">
        <v>12988</v>
      </c>
      <c r="E5183" t="s">
        <v>17704</v>
      </c>
      <c r="F5183" t="s">
        <v>22436</v>
      </c>
      <c r="G5183" t="s">
        <v>22444</v>
      </c>
      <c r="H5183" t="s">
        <v>22452</v>
      </c>
      <c r="I5183" t="s">
        <v>3529</v>
      </c>
      <c r="J5183" t="s">
        <v>25975</v>
      </c>
      <c r="K5183" t="s">
        <v>29335</v>
      </c>
      <c r="M5183" t="s">
        <v>31434</v>
      </c>
      <c r="N5183" t="s">
        <v>32524</v>
      </c>
      <c r="O5183" t="s">
        <v>32525</v>
      </c>
      <c r="P5183">
        <v>0</v>
      </c>
      <c r="Q5183">
        <v>0</v>
      </c>
      <c r="R5183" t="s">
        <v>32531</v>
      </c>
      <c r="S5183" t="s">
        <v>32586</v>
      </c>
      <c r="T5183" t="s">
        <v>33209</v>
      </c>
      <c r="U5183" t="s">
        <v>37983</v>
      </c>
      <c r="W5183" t="s">
        <v>31434</v>
      </c>
      <c r="X5183" t="s">
        <v>32532</v>
      </c>
    </row>
    <row r="5184" spans="1:24">
      <c r="A5184">
        <f>HYPERLINK("https://www.philgeps.gov.ph/GEPSNONPILOT/Tender/SplashBidNoticeAbstractUI.aspx?menuIndex=3&amp;refID=7039466&amp;Result=3","7039466")</f>
        <v>0</v>
      </c>
      <c r="B5184" t="s">
        <v>649</v>
      </c>
      <c r="C5184" t="s">
        <v>7640</v>
      </c>
      <c r="D5184" t="s">
        <v>13064</v>
      </c>
      <c r="E5184" t="s">
        <v>17705</v>
      </c>
      <c r="F5184" t="s">
        <v>22436</v>
      </c>
      <c r="G5184" t="s">
        <v>22444</v>
      </c>
      <c r="H5184" t="s">
        <v>22452</v>
      </c>
      <c r="I5184" t="s">
        <v>6387</v>
      </c>
      <c r="J5184" t="s">
        <v>25635</v>
      </c>
      <c r="K5184" t="s">
        <v>29330</v>
      </c>
      <c r="M5184" t="s">
        <v>30240</v>
      </c>
      <c r="N5184" t="s">
        <v>32524</v>
      </c>
      <c r="O5184" t="s">
        <v>32525</v>
      </c>
      <c r="P5184">
        <v>0</v>
      </c>
      <c r="Q5184">
        <v>0</v>
      </c>
      <c r="R5184" t="s">
        <v>32531</v>
      </c>
      <c r="S5184" t="s">
        <v>32586</v>
      </c>
      <c r="T5184" t="s">
        <v>33171</v>
      </c>
      <c r="U5184" t="s">
        <v>37984</v>
      </c>
      <c r="W5184" t="s">
        <v>30240</v>
      </c>
      <c r="X5184" t="s">
        <v>32532</v>
      </c>
    </row>
    <row r="5185" spans="1:24">
      <c r="A5185">
        <f>HYPERLINK("https://www.philgeps.gov.ph/GEPSNONPILOT/Tender/SplashBidNoticeAbstractUI.aspx?menuIndex=3&amp;refID=7039471&amp;Result=3","7039471")</f>
        <v>0</v>
      </c>
      <c r="B5185" t="s">
        <v>75</v>
      </c>
      <c r="C5185" t="s">
        <v>7641</v>
      </c>
      <c r="D5185" t="s">
        <v>13021</v>
      </c>
      <c r="E5185" t="s">
        <v>17706</v>
      </c>
      <c r="F5185" t="s">
        <v>22436</v>
      </c>
      <c r="G5185" t="s">
        <v>22444</v>
      </c>
      <c r="H5185" t="s">
        <v>22452</v>
      </c>
      <c r="I5185" t="s">
        <v>22460</v>
      </c>
      <c r="J5185" t="s">
        <v>25976</v>
      </c>
      <c r="K5185" t="s">
        <v>29335</v>
      </c>
      <c r="M5185" t="s">
        <v>29647</v>
      </c>
      <c r="N5185" t="s">
        <v>32524</v>
      </c>
      <c r="O5185" t="s">
        <v>32525</v>
      </c>
      <c r="P5185">
        <v>0</v>
      </c>
      <c r="Q5185">
        <v>2</v>
      </c>
      <c r="R5185" t="s">
        <v>32531</v>
      </c>
      <c r="S5185" t="s">
        <v>32586</v>
      </c>
      <c r="T5185" t="s">
        <v>33220</v>
      </c>
      <c r="U5185" t="s">
        <v>37985</v>
      </c>
      <c r="W5185" t="s">
        <v>29647</v>
      </c>
      <c r="X5185" t="s">
        <v>32532</v>
      </c>
    </row>
    <row r="5186" spans="1:24">
      <c r="A5186">
        <f>HYPERLINK("https://www.philgeps.gov.ph/GEPSNONPILOT/Tender/SplashBidNoticeAbstractUI.aspx?menuIndex=3&amp;refID=7039469&amp;Result=3","7039469")</f>
        <v>0</v>
      </c>
      <c r="B5186" t="s">
        <v>168</v>
      </c>
      <c r="C5186" t="s">
        <v>7642</v>
      </c>
      <c r="D5186" t="s">
        <v>13015</v>
      </c>
      <c r="E5186" t="s">
        <v>17707</v>
      </c>
      <c r="F5186" t="s">
        <v>22436</v>
      </c>
      <c r="G5186" t="s">
        <v>22444</v>
      </c>
      <c r="H5186" t="s">
        <v>22452</v>
      </c>
      <c r="I5186" t="s">
        <v>22471</v>
      </c>
      <c r="J5186" t="s">
        <v>22878</v>
      </c>
      <c r="K5186" t="s">
        <v>29335</v>
      </c>
      <c r="M5186" t="s">
        <v>31341</v>
      </c>
      <c r="N5186" t="s">
        <v>32524</v>
      </c>
      <c r="O5186" t="s">
        <v>32525</v>
      </c>
      <c r="P5186">
        <v>0</v>
      </c>
      <c r="Q5186">
        <v>1</v>
      </c>
      <c r="R5186" t="s">
        <v>32531</v>
      </c>
      <c r="S5186" t="s">
        <v>32586</v>
      </c>
      <c r="T5186" t="s">
        <v>33213</v>
      </c>
      <c r="U5186" t="s">
        <v>33937</v>
      </c>
      <c r="V5186" t="s">
        <v>42464</v>
      </c>
      <c r="W5186" t="s">
        <v>31341</v>
      </c>
      <c r="X5186" t="s">
        <v>32532</v>
      </c>
    </row>
    <row r="5187" spans="1:24">
      <c r="A5187">
        <f>HYPERLINK("https://www.philgeps.gov.ph/GEPSNONPILOT/Tender/SplashBidNoticeAbstractUI.aspx?menuIndex=3&amp;refID=7039475&amp;Result=3","7039475")</f>
        <v>0</v>
      </c>
      <c r="B5187" t="s">
        <v>1270</v>
      </c>
      <c r="C5187" t="s">
        <v>7643</v>
      </c>
      <c r="D5187" t="s">
        <v>13035</v>
      </c>
      <c r="E5187" t="s">
        <v>17708</v>
      </c>
      <c r="F5187" t="s">
        <v>22436</v>
      </c>
      <c r="G5187" t="s">
        <v>22444</v>
      </c>
      <c r="H5187" t="s">
        <v>22452</v>
      </c>
      <c r="I5187" t="s">
        <v>22460</v>
      </c>
      <c r="J5187" t="s">
        <v>25977</v>
      </c>
      <c r="K5187" t="s">
        <v>29331</v>
      </c>
      <c r="M5187" t="s">
        <v>30923</v>
      </c>
      <c r="N5187" t="s">
        <v>32524</v>
      </c>
      <c r="O5187" t="s">
        <v>32525</v>
      </c>
      <c r="P5187">
        <v>0</v>
      </c>
      <c r="Q5187">
        <v>0</v>
      </c>
      <c r="R5187" t="s">
        <v>32531</v>
      </c>
      <c r="S5187" t="s">
        <v>32586</v>
      </c>
      <c r="T5187" t="s">
        <v>33293</v>
      </c>
      <c r="U5187" t="s">
        <v>37986</v>
      </c>
      <c r="W5187" t="s">
        <v>30923</v>
      </c>
      <c r="X5187" t="s">
        <v>32532</v>
      </c>
    </row>
    <row r="5188" spans="1:24">
      <c r="A5188">
        <f>HYPERLINK("https://www.philgeps.gov.ph/GEPSNONPILOT/Tender/SplashBidNoticeAbstractUI.aspx?menuIndex=3&amp;refID=7039460&amp;Result=3","7039460")</f>
        <v>0</v>
      </c>
      <c r="B5188" t="s">
        <v>1726</v>
      </c>
      <c r="C5188" t="s">
        <v>7644</v>
      </c>
      <c r="D5188" t="s">
        <v>12988</v>
      </c>
      <c r="E5188" t="s">
        <v>17709</v>
      </c>
      <c r="F5188" t="s">
        <v>22436</v>
      </c>
      <c r="G5188" t="s">
        <v>22444</v>
      </c>
      <c r="H5188" t="s">
        <v>22452</v>
      </c>
      <c r="I5188" t="s">
        <v>3122</v>
      </c>
      <c r="J5188" t="s">
        <v>22743</v>
      </c>
      <c r="K5188" t="s">
        <v>29336</v>
      </c>
      <c r="M5188" t="s">
        <v>31431</v>
      </c>
      <c r="N5188" t="s">
        <v>32524</v>
      </c>
      <c r="O5188" t="s">
        <v>32525</v>
      </c>
      <c r="P5188">
        <v>0</v>
      </c>
      <c r="Q5188">
        <v>2</v>
      </c>
      <c r="R5188" t="s">
        <v>32531</v>
      </c>
      <c r="S5188" t="s">
        <v>32586</v>
      </c>
      <c r="T5188" t="s">
        <v>33249</v>
      </c>
      <c r="U5188" t="s">
        <v>37987</v>
      </c>
      <c r="W5188" t="s">
        <v>31431</v>
      </c>
      <c r="X5188" t="s">
        <v>32532</v>
      </c>
    </row>
    <row r="5189" spans="1:24">
      <c r="A5189">
        <f>HYPERLINK("https://www.philgeps.gov.ph/GEPSNONPILOT/Tender/SplashBidNoticeAbstractUI.aspx?menuIndex=3&amp;refID=7039493&amp;Result=3","7039493")</f>
        <v>0</v>
      </c>
      <c r="B5189" t="s">
        <v>1723</v>
      </c>
      <c r="C5189" t="s">
        <v>7645</v>
      </c>
      <c r="D5189" t="s">
        <v>13045</v>
      </c>
      <c r="E5189" t="s">
        <v>17710</v>
      </c>
      <c r="F5189" t="s">
        <v>22436</v>
      </c>
      <c r="G5189" t="s">
        <v>22444</v>
      </c>
      <c r="H5189" t="s">
        <v>22452</v>
      </c>
      <c r="I5189" t="s">
        <v>3529</v>
      </c>
      <c r="J5189" t="s">
        <v>25978</v>
      </c>
      <c r="K5189" t="s">
        <v>29340</v>
      </c>
      <c r="M5189" t="s">
        <v>31428</v>
      </c>
      <c r="N5189" t="s">
        <v>32524</v>
      </c>
      <c r="O5189" t="s">
        <v>32525</v>
      </c>
      <c r="P5189">
        <v>0</v>
      </c>
      <c r="Q5189">
        <v>2</v>
      </c>
      <c r="R5189" t="s">
        <v>32531</v>
      </c>
      <c r="S5189" t="s">
        <v>32586</v>
      </c>
      <c r="T5189" t="s">
        <v>33171</v>
      </c>
      <c r="U5189" t="s">
        <v>37962</v>
      </c>
      <c r="W5189" t="s">
        <v>31428</v>
      </c>
      <c r="X5189" t="s">
        <v>32532</v>
      </c>
    </row>
    <row r="5190" spans="1:24">
      <c r="A5190">
        <f>HYPERLINK("https://www.philgeps.gov.ph/GEPSNONPILOT/Tender/SplashBidNoticeAbstractUI.aspx?menuIndex=3&amp;refID=7039491&amp;Result=3","7039491")</f>
        <v>0</v>
      </c>
      <c r="B5190" t="s">
        <v>781</v>
      </c>
      <c r="C5190" t="s">
        <v>7646</v>
      </c>
      <c r="D5190" t="s">
        <v>12990</v>
      </c>
      <c r="E5190" t="s">
        <v>7646</v>
      </c>
      <c r="F5190" t="s">
        <v>22436</v>
      </c>
      <c r="G5190" t="s">
        <v>22444</v>
      </c>
      <c r="H5190" t="s">
        <v>22454</v>
      </c>
      <c r="I5190" t="s">
        <v>7738</v>
      </c>
      <c r="J5190" t="s">
        <v>22970</v>
      </c>
      <c r="K5190" t="s">
        <v>29338</v>
      </c>
      <c r="M5190" t="s">
        <v>30382</v>
      </c>
      <c r="N5190" t="s">
        <v>32524</v>
      </c>
      <c r="O5190" t="s">
        <v>32525</v>
      </c>
      <c r="P5190">
        <v>0</v>
      </c>
      <c r="Q5190">
        <v>0</v>
      </c>
      <c r="R5190" t="s">
        <v>32531</v>
      </c>
      <c r="S5190" t="s">
        <v>32586</v>
      </c>
      <c r="T5190" t="s">
        <v>33185</v>
      </c>
      <c r="U5190" t="s">
        <v>37988</v>
      </c>
      <c r="W5190" t="s">
        <v>30382</v>
      </c>
      <c r="X5190" t="s">
        <v>32532</v>
      </c>
    </row>
    <row r="5191" spans="1:24">
      <c r="A5191">
        <f>HYPERLINK("https://www.philgeps.gov.ph/GEPSNONPILOT/Tender/SplashBidNoticeAbstractUI.aspx?menuIndex=3&amp;refID=7039483&amp;Result=3","7039483")</f>
        <v>0</v>
      </c>
      <c r="B5191" t="s">
        <v>168</v>
      </c>
      <c r="C5191" t="s">
        <v>7647</v>
      </c>
      <c r="D5191" t="s">
        <v>13015</v>
      </c>
      <c r="E5191" t="s">
        <v>17711</v>
      </c>
      <c r="F5191" t="s">
        <v>22436</v>
      </c>
      <c r="G5191" t="s">
        <v>22444</v>
      </c>
      <c r="H5191" t="s">
        <v>22452</v>
      </c>
      <c r="I5191" t="s">
        <v>22465</v>
      </c>
      <c r="J5191" t="s">
        <v>23162</v>
      </c>
      <c r="K5191" t="s">
        <v>29335</v>
      </c>
      <c r="M5191" t="s">
        <v>31341</v>
      </c>
      <c r="N5191" t="s">
        <v>32524</v>
      </c>
      <c r="O5191" t="s">
        <v>32525</v>
      </c>
      <c r="P5191">
        <v>0</v>
      </c>
      <c r="Q5191">
        <v>0</v>
      </c>
      <c r="R5191" t="s">
        <v>32531</v>
      </c>
      <c r="S5191" t="s">
        <v>32586</v>
      </c>
      <c r="T5191" t="s">
        <v>33213</v>
      </c>
      <c r="U5191" t="s">
        <v>33937</v>
      </c>
      <c r="V5191" t="s">
        <v>42464</v>
      </c>
      <c r="W5191" t="s">
        <v>31341</v>
      </c>
      <c r="X5191" t="s">
        <v>32532</v>
      </c>
    </row>
    <row r="5192" spans="1:24">
      <c r="A5192">
        <f>HYPERLINK("https://www.philgeps.gov.ph/GEPSNONPILOT/Tender/SplashBidNoticeAbstractUI.aspx?menuIndex=3&amp;refID=7039470&amp;Result=3","7039470")</f>
        <v>0</v>
      </c>
      <c r="B5192" t="s">
        <v>1708</v>
      </c>
      <c r="C5192" t="s">
        <v>7648</v>
      </c>
      <c r="D5192" t="s">
        <v>12992</v>
      </c>
      <c r="E5192" t="s">
        <v>13889</v>
      </c>
      <c r="F5192" t="s">
        <v>22436</v>
      </c>
      <c r="G5192" t="s">
        <v>22444</v>
      </c>
      <c r="H5192" t="s">
        <v>22452</v>
      </c>
      <c r="I5192" t="s">
        <v>11896</v>
      </c>
      <c r="J5192" t="s">
        <v>22692</v>
      </c>
      <c r="K5192" t="s">
        <v>29338</v>
      </c>
      <c r="M5192" t="s">
        <v>31410</v>
      </c>
      <c r="N5192" t="s">
        <v>32524</v>
      </c>
      <c r="O5192" t="s">
        <v>32525</v>
      </c>
      <c r="P5192">
        <v>0</v>
      </c>
      <c r="Q5192">
        <v>0</v>
      </c>
      <c r="R5192" t="s">
        <v>32531</v>
      </c>
      <c r="S5192" t="s">
        <v>32586</v>
      </c>
      <c r="T5192" t="s">
        <v>33213</v>
      </c>
      <c r="U5192" t="s">
        <v>37989</v>
      </c>
      <c r="V5192" t="s">
        <v>42970</v>
      </c>
      <c r="W5192" t="s">
        <v>31410</v>
      </c>
      <c r="X5192" t="s">
        <v>32532</v>
      </c>
    </row>
    <row r="5193" spans="1:24">
      <c r="A5193">
        <f>HYPERLINK("https://www.philgeps.gov.ph/GEPSNONPILOT/Tender/SplashBidNoticeAbstractUI.aspx?menuIndex=3&amp;refID=7039479&amp;Result=3","7039479")</f>
        <v>0</v>
      </c>
      <c r="B5193" t="s">
        <v>196</v>
      </c>
      <c r="C5193" t="s">
        <v>7649</v>
      </c>
      <c r="D5193" t="s">
        <v>13002</v>
      </c>
      <c r="E5193" t="s">
        <v>17712</v>
      </c>
      <c r="F5193" t="s">
        <v>22436</v>
      </c>
      <c r="G5193" t="s">
        <v>22443</v>
      </c>
      <c r="H5193" t="s">
        <v>22452</v>
      </c>
      <c r="I5193" t="s">
        <v>22469</v>
      </c>
      <c r="J5193" t="s">
        <v>23120</v>
      </c>
      <c r="K5193" t="s">
        <v>29335</v>
      </c>
      <c r="M5193" t="s">
        <v>29769</v>
      </c>
      <c r="N5193" t="s">
        <v>32524</v>
      </c>
      <c r="O5193" t="s">
        <v>32525</v>
      </c>
      <c r="P5193">
        <v>0</v>
      </c>
      <c r="Q5193">
        <v>1</v>
      </c>
      <c r="R5193" t="s">
        <v>32531</v>
      </c>
      <c r="S5193" t="s">
        <v>32586</v>
      </c>
      <c r="T5193" t="s">
        <v>33296</v>
      </c>
      <c r="U5193" t="s">
        <v>37990</v>
      </c>
      <c r="W5193" t="s">
        <v>29769</v>
      </c>
      <c r="X5193" t="s">
        <v>32532</v>
      </c>
    </row>
    <row r="5194" spans="1:24">
      <c r="A5194">
        <f>HYPERLINK("https://www.philgeps.gov.ph/GEPSNONPILOT/Tender/SplashBidNoticeAbstractUI.aspx?menuIndex=3&amp;refID=7039456&amp;Result=3","7039456")</f>
        <v>0</v>
      </c>
      <c r="B5194" t="s">
        <v>1730</v>
      </c>
      <c r="C5194" t="s">
        <v>7650</v>
      </c>
      <c r="D5194" t="s">
        <v>13022</v>
      </c>
      <c r="E5194" t="s">
        <v>17713</v>
      </c>
      <c r="F5194" t="s">
        <v>22436</v>
      </c>
      <c r="G5194" t="s">
        <v>22444</v>
      </c>
      <c r="H5194" t="s">
        <v>22454</v>
      </c>
      <c r="I5194" t="s">
        <v>7738</v>
      </c>
      <c r="J5194" t="s">
        <v>25979</v>
      </c>
      <c r="K5194" t="s">
        <v>29334</v>
      </c>
      <c r="M5194" t="s">
        <v>31435</v>
      </c>
      <c r="N5194" t="s">
        <v>32524</v>
      </c>
      <c r="O5194" t="s">
        <v>32525</v>
      </c>
      <c r="P5194">
        <v>0</v>
      </c>
      <c r="Q5194">
        <v>3</v>
      </c>
      <c r="R5194" t="s">
        <v>32531</v>
      </c>
      <c r="S5194" t="s">
        <v>32586</v>
      </c>
      <c r="T5194" t="s">
        <v>33242</v>
      </c>
      <c r="U5194" t="s">
        <v>37991</v>
      </c>
      <c r="V5194" t="s">
        <v>42978</v>
      </c>
      <c r="W5194" t="s">
        <v>31435</v>
      </c>
      <c r="X5194" t="s">
        <v>32532</v>
      </c>
    </row>
    <row r="5195" spans="1:24">
      <c r="A5195">
        <f>HYPERLINK("https://www.philgeps.gov.ph/GEPSNONPILOT/Tender/SplashBidNoticeAbstractUI.aspx?menuIndex=3&amp;refID=7039485&amp;Result=3","7039485")</f>
        <v>0</v>
      </c>
      <c r="B5195" t="s">
        <v>1731</v>
      </c>
      <c r="C5195" t="s">
        <v>7651</v>
      </c>
      <c r="D5195" t="s">
        <v>13049</v>
      </c>
      <c r="E5195" t="s">
        <v>17714</v>
      </c>
      <c r="F5195" t="s">
        <v>22436</v>
      </c>
      <c r="G5195" t="s">
        <v>22444</v>
      </c>
      <c r="H5195" t="s">
        <v>22452</v>
      </c>
      <c r="I5195" t="s">
        <v>22460</v>
      </c>
      <c r="J5195" t="s">
        <v>22743</v>
      </c>
      <c r="K5195" t="s">
        <v>29341</v>
      </c>
      <c r="M5195" t="s">
        <v>31436</v>
      </c>
      <c r="N5195" t="s">
        <v>32524</v>
      </c>
      <c r="O5195" t="s">
        <v>32525</v>
      </c>
      <c r="P5195">
        <v>0</v>
      </c>
      <c r="Q5195">
        <v>0</v>
      </c>
      <c r="R5195" t="s">
        <v>32531</v>
      </c>
      <c r="S5195" t="s">
        <v>32586</v>
      </c>
      <c r="T5195" t="s">
        <v>33218</v>
      </c>
      <c r="U5195" t="s">
        <v>37992</v>
      </c>
      <c r="W5195" t="s">
        <v>31436</v>
      </c>
      <c r="X5195" t="s">
        <v>32532</v>
      </c>
    </row>
    <row r="5196" spans="1:24">
      <c r="A5196">
        <f>HYPERLINK("https://www.philgeps.gov.ph/GEPSNONPILOT/Tender/SplashBidNoticeAbstractUI.aspx?menuIndex=3&amp;refID=7039486&amp;Result=3","7039486")</f>
        <v>0</v>
      </c>
      <c r="B5196" t="s">
        <v>1709</v>
      </c>
      <c r="C5196" t="s">
        <v>7652</v>
      </c>
      <c r="D5196" t="s">
        <v>13003</v>
      </c>
      <c r="E5196" t="s">
        <v>17715</v>
      </c>
      <c r="F5196" t="s">
        <v>22436</v>
      </c>
      <c r="G5196" t="s">
        <v>22444</v>
      </c>
      <c r="H5196" t="s">
        <v>22452</v>
      </c>
      <c r="I5196" t="s">
        <v>3122</v>
      </c>
      <c r="J5196" t="s">
        <v>22929</v>
      </c>
      <c r="K5196" t="s">
        <v>29338</v>
      </c>
      <c r="M5196" t="s">
        <v>31412</v>
      </c>
      <c r="N5196" t="s">
        <v>32524</v>
      </c>
      <c r="O5196" t="s">
        <v>32525</v>
      </c>
      <c r="P5196">
        <v>0</v>
      </c>
      <c r="Q5196">
        <v>0</v>
      </c>
      <c r="R5196" t="s">
        <v>32531</v>
      </c>
      <c r="S5196" t="s">
        <v>32586</v>
      </c>
      <c r="T5196" t="s">
        <v>33220</v>
      </c>
      <c r="U5196" t="s">
        <v>37993</v>
      </c>
      <c r="W5196" t="s">
        <v>31412</v>
      </c>
      <c r="X5196" t="s">
        <v>32532</v>
      </c>
    </row>
    <row r="5197" spans="1:24">
      <c r="A5197">
        <f>HYPERLINK("https://www.philgeps.gov.ph/GEPSNONPILOT/Tender/SplashBidNoticeAbstractUI.aspx?menuIndex=3&amp;refID=7039494&amp;Result=3","7039494")</f>
        <v>0</v>
      </c>
      <c r="B5197" t="s">
        <v>1725</v>
      </c>
      <c r="C5197" t="s">
        <v>7653</v>
      </c>
      <c r="D5197" t="s">
        <v>13049</v>
      </c>
      <c r="E5197" t="s">
        <v>17716</v>
      </c>
      <c r="F5197" t="s">
        <v>22436</v>
      </c>
      <c r="G5197" t="s">
        <v>22444</v>
      </c>
      <c r="H5197" t="s">
        <v>22454</v>
      </c>
      <c r="I5197" t="s">
        <v>7738</v>
      </c>
      <c r="J5197" t="s">
        <v>22936</v>
      </c>
      <c r="K5197" t="s">
        <v>29338</v>
      </c>
      <c r="M5197" t="s">
        <v>31430</v>
      </c>
      <c r="N5197" t="s">
        <v>32524</v>
      </c>
      <c r="O5197" t="s">
        <v>32525</v>
      </c>
      <c r="P5197">
        <v>0</v>
      </c>
      <c r="Q5197">
        <v>0</v>
      </c>
      <c r="R5197" t="s">
        <v>32531</v>
      </c>
      <c r="S5197" t="s">
        <v>32586</v>
      </c>
      <c r="T5197" t="s">
        <v>33426</v>
      </c>
      <c r="U5197" t="s">
        <v>37994</v>
      </c>
      <c r="W5197" t="s">
        <v>43733</v>
      </c>
      <c r="X5197" t="s">
        <v>32532</v>
      </c>
    </row>
    <row r="5198" spans="1:24">
      <c r="A5198">
        <f>HYPERLINK("https://www.philgeps.gov.ph/GEPSNONPILOT/Tender/SplashBidNoticeAbstractUI.aspx?menuIndex=3&amp;refID=7039480&amp;Result=3","7039480")</f>
        <v>0</v>
      </c>
      <c r="B5198" t="s">
        <v>972</v>
      </c>
      <c r="C5198" t="s">
        <v>7654</v>
      </c>
      <c r="D5198" t="s">
        <v>13031</v>
      </c>
      <c r="E5198" t="s">
        <v>17717</v>
      </c>
      <c r="F5198" t="s">
        <v>22436</v>
      </c>
      <c r="G5198" t="s">
        <v>22444</v>
      </c>
      <c r="H5198" t="s">
        <v>22452</v>
      </c>
      <c r="I5198" t="s">
        <v>22482</v>
      </c>
      <c r="J5198" t="s">
        <v>25980</v>
      </c>
      <c r="K5198" t="s">
        <v>29335</v>
      </c>
      <c r="M5198" t="s">
        <v>30592</v>
      </c>
      <c r="N5198" t="s">
        <v>32524</v>
      </c>
      <c r="O5198" t="s">
        <v>32525</v>
      </c>
      <c r="P5198">
        <v>0</v>
      </c>
      <c r="Q5198">
        <v>7</v>
      </c>
      <c r="R5198" t="s">
        <v>32531</v>
      </c>
      <c r="S5198" t="s">
        <v>32586</v>
      </c>
      <c r="T5198" t="s">
        <v>33219</v>
      </c>
      <c r="U5198" t="s">
        <v>37995</v>
      </c>
      <c r="W5198" t="s">
        <v>30592</v>
      </c>
      <c r="X5198" t="s">
        <v>32532</v>
      </c>
    </row>
    <row r="5199" spans="1:24">
      <c r="A5199">
        <f>HYPERLINK("https://www.philgeps.gov.ph/GEPSNONPILOT/Tender/SplashBidNoticeAbstractUI.aspx?menuIndex=3&amp;refID=7039505&amp;Result=3","7039505")</f>
        <v>0</v>
      </c>
      <c r="B5199" t="s">
        <v>398</v>
      </c>
      <c r="C5199" t="s">
        <v>7655</v>
      </c>
      <c r="D5199" t="s">
        <v>13018</v>
      </c>
      <c r="E5199" t="s">
        <v>17718</v>
      </c>
      <c r="F5199" t="s">
        <v>22436</v>
      </c>
      <c r="G5199" t="s">
        <v>22444</v>
      </c>
      <c r="H5199" t="s">
        <v>22454</v>
      </c>
      <c r="I5199" t="s">
        <v>7738</v>
      </c>
      <c r="J5199" t="s">
        <v>25981</v>
      </c>
      <c r="K5199" t="s">
        <v>29388</v>
      </c>
      <c r="M5199" t="s">
        <v>29977</v>
      </c>
      <c r="N5199" t="s">
        <v>32524</v>
      </c>
      <c r="O5199" t="s">
        <v>32525</v>
      </c>
      <c r="P5199">
        <v>0</v>
      </c>
      <c r="Q5199">
        <v>4</v>
      </c>
      <c r="R5199" t="s">
        <v>32531</v>
      </c>
      <c r="S5199" t="s">
        <v>32586</v>
      </c>
      <c r="T5199" t="s">
        <v>33424</v>
      </c>
      <c r="U5199" t="s">
        <v>37996</v>
      </c>
      <c r="W5199" t="s">
        <v>29977</v>
      </c>
      <c r="X5199" t="s">
        <v>32532</v>
      </c>
    </row>
    <row r="5200" spans="1:24">
      <c r="A5200">
        <f>HYPERLINK("https://www.philgeps.gov.ph/GEPSNONPILOT/Tender/SplashBidNoticeAbstractUI.aspx?menuIndex=3&amp;refID=7039504&amp;Result=3","7039504")</f>
        <v>0</v>
      </c>
      <c r="B5200" t="s">
        <v>649</v>
      </c>
      <c r="C5200" t="s">
        <v>7656</v>
      </c>
      <c r="D5200" t="s">
        <v>13064</v>
      </c>
      <c r="E5200" t="s">
        <v>17719</v>
      </c>
      <c r="F5200" t="s">
        <v>22436</v>
      </c>
      <c r="G5200" t="s">
        <v>22444</v>
      </c>
      <c r="H5200" t="s">
        <v>22452</v>
      </c>
      <c r="I5200" t="s">
        <v>3529</v>
      </c>
      <c r="J5200" t="s">
        <v>22960</v>
      </c>
      <c r="K5200" t="s">
        <v>29330</v>
      </c>
      <c r="M5200" t="s">
        <v>30240</v>
      </c>
      <c r="N5200" t="s">
        <v>32524</v>
      </c>
      <c r="O5200" t="s">
        <v>32525</v>
      </c>
      <c r="P5200">
        <v>0</v>
      </c>
      <c r="Q5200">
        <v>0</v>
      </c>
      <c r="R5200" t="s">
        <v>32531</v>
      </c>
      <c r="S5200" t="s">
        <v>32586</v>
      </c>
      <c r="T5200" t="s">
        <v>33171</v>
      </c>
      <c r="U5200" t="s">
        <v>37997</v>
      </c>
      <c r="W5200" t="s">
        <v>30240</v>
      </c>
      <c r="X5200" t="s">
        <v>32532</v>
      </c>
    </row>
    <row r="5201" spans="1:24">
      <c r="A5201">
        <f>HYPERLINK("https://www.philgeps.gov.ph/GEPSNONPILOT/Tender/SplashBidNoticeAbstractUI.aspx?menuIndex=3&amp;refID=7039514&amp;Result=3","7039514")</f>
        <v>0</v>
      </c>
      <c r="B5201" t="s">
        <v>1732</v>
      </c>
      <c r="C5201" t="s">
        <v>7657</v>
      </c>
      <c r="D5201" t="s">
        <v>13004</v>
      </c>
      <c r="E5201" t="s">
        <v>17720</v>
      </c>
      <c r="F5201" t="s">
        <v>22436</v>
      </c>
      <c r="G5201" t="s">
        <v>22443</v>
      </c>
      <c r="H5201" t="s">
        <v>22452</v>
      </c>
      <c r="I5201" t="s">
        <v>3529</v>
      </c>
      <c r="J5201" t="s">
        <v>22971</v>
      </c>
      <c r="K5201" t="s">
        <v>29335</v>
      </c>
      <c r="M5201" t="s">
        <v>31437</v>
      </c>
      <c r="N5201" t="s">
        <v>32524</v>
      </c>
      <c r="O5201" t="s">
        <v>32525</v>
      </c>
      <c r="P5201">
        <v>0</v>
      </c>
      <c r="Q5201">
        <v>1</v>
      </c>
      <c r="R5201" t="s">
        <v>32531</v>
      </c>
      <c r="S5201" t="s">
        <v>32586</v>
      </c>
      <c r="T5201" t="s">
        <v>33238</v>
      </c>
      <c r="U5201" t="s">
        <v>37998</v>
      </c>
      <c r="W5201" t="s">
        <v>31437</v>
      </c>
      <c r="X5201" t="s">
        <v>32532</v>
      </c>
    </row>
    <row r="5202" spans="1:24">
      <c r="A5202">
        <f>HYPERLINK("https://www.philgeps.gov.ph/GEPSNONPILOT/Tender/SplashBidNoticeAbstractUI.aspx?menuIndex=3&amp;refID=7039509&amp;Result=3","7039509")</f>
        <v>0</v>
      </c>
      <c r="B5202" t="s">
        <v>1726</v>
      </c>
      <c r="C5202" t="s">
        <v>7658</v>
      </c>
      <c r="D5202" t="s">
        <v>12988</v>
      </c>
      <c r="E5202" t="s">
        <v>17721</v>
      </c>
      <c r="F5202" t="s">
        <v>22436</v>
      </c>
      <c r="G5202" t="s">
        <v>22444</v>
      </c>
      <c r="H5202" t="s">
        <v>22452</v>
      </c>
      <c r="I5202" t="s">
        <v>2981</v>
      </c>
      <c r="J5202" t="s">
        <v>25982</v>
      </c>
      <c r="K5202" t="s">
        <v>29336</v>
      </c>
      <c r="M5202" t="s">
        <v>31431</v>
      </c>
      <c r="N5202" t="s">
        <v>32524</v>
      </c>
      <c r="O5202" t="s">
        <v>32525</v>
      </c>
      <c r="P5202">
        <v>0</v>
      </c>
      <c r="Q5202">
        <v>1</v>
      </c>
      <c r="R5202" t="s">
        <v>32531</v>
      </c>
      <c r="S5202" t="s">
        <v>32586</v>
      </c>
      <c r="T5202" t="s">
        <v>33403</v>
      </c>
      <c r="U5202" t="s">
        <v>37975</v>
      </c>
      <c r="W5202" t="s">
        <v>31431</v>
      </c>
      <c r="X5202" t="s">
        <v>32532</v>
      </c>
    </row>
    <row r="5203" spans="1:24">
      <c r="A5203">
        <f>HYPERLINK("https://www.philgeps.gov.ph/GEPSNONPILOT/Tender/SplashBidNoticeAbstractUI.aspx?menuIndex=3&amp;refID=7039521&amp;Result=3","7039521")</f>
        <v>0</v>
      </c>
      <c r="B5203" t="s">
        <v>460</v>
      </c>
      <c r="C5203" t="s">
        <v>7659</v>
      </c>
      <c r="D5203" t="s">
        <v>13023</v>
      </c>
      <c r="E5203" t="s">
        <v>17722</v>
      </c>
      <c r="F5203" t="s">
        <v>22436</v>
      </c>
      <c r="G5203" t="s">
        <v>22444</v>
      </c>
      <c r="H5203" t="s">
        <v>22454</v>
      </c>
      <c r="I5203" t="s">
        <v>7738</v>
      </c>
      <c r="J5203" t="s">
        <v>25983</v>
      </c>
      <c r="K5203" t="s">
        <v>29344</v>
      </c>
      <c r="M5203" t="s">
        <v>30042</v>
      </c>
      <c r="N5203" t="s">
        <v>32524</v>
      </c>
      <c r="O5203" t="s">
        <v>32525</v>
      </c>
      <c r="P5203">
        <v>0</v>
      </c>
      <c r="Q5203">
        <v>0</v>
      </c>
      <c r="R5203" t="s">
        <v>32531</v>
      </c>
      <c r="S5203" t="s">
        <v>32586</v>
      </c>
      <c r="T5203" t="s">
        <v>33163</v>
      </c>
      <c r="U5203" t="s">
        <v>37999</v>
      </c>
      <c r="W5203" t="s">
        <v>30042</v>
      </c>
      <c r="X5203" t="s">
        <v>32532</v>
      </c>
    </row>
    <row r="5204" spans="1:24">
      <c r="A5204">
        <f>HYPERLINK("https://www.philgeps.gov.ph/GEPSNONPILOT/Tender/SplashBidNoticeAbstractUI.aspx?menuIndex=3&amp;refID=7039496&amp;Result=3","7039496")</f>
        <v>0</v>
      </c>
      <c r="B5204" t="s">
        <v>1496</v>
      </c>
      <c r="C5204" t="s">
        <v>7660</v>
      </c>
      <c r="D5204" t="s">
        <v>12988</v>
      </c>
      <c r="E5204" t="s">
        <v>17723</v>
      </c>
      <c r="F5204" t="s">
        <v>22436</v>
      </c>
      <c r="G5204" t="s">
        <v>22445</v>
      </c>
      <c r="H5204" t="s">
        <v>22452</v>
      </c>
      <c r="I5204" t="s">
        <v>5194</v>
      </c>
      <c r="J5204" t="s">
        <v>25984</v>
      </c>
      <c r="K5204" t="s">
        <v>29337</v>
      </c>
      <c r="M5204" t="s">
        <v>31170</v>
      </c>
      <c r="N5204" t="s">
        <v>32524</v>
      </c>
      <c r="O5204" t="s">
        <v>32525</v>
      </c>
      <c r="P5204">
        <v>0</v>
      </c>
      <c r="Q5204">
        <v>5</v>
      </c>
      <c r="R5204" t="s">
        <v>32531</v>
      </c>
      <c r="S5204" t="s">
        <v>32586</v>
      </c>
      <c r="T5204" t="s">
        <v>33323</v>
      </c>
      <c r="U5204" t="s">
        <v>38000</v>
      </c>
      <c r="W5204" t="s">
        <v>31170</v>
      </c>
      <c r="X5204" t="s">
        <v>32532</v>
      </c>
    </row>
    <row r="5205" spans="1:24">
      <c r="A5205">
        <f>HYPERLINK("https://www.philgeps.gov.ph/GEPSNONPILOT/Tender/SplashBidNoticeAbstractUI.aspx?menuIndex=3&amp;refID=7039510&amp;Result=3","7039510")</f>
        <v>0</v>
      </c>
      <c r="B5205" t="s">
        <v>168</v>
      </c>
      <c r="C5205" t="s">
        <v>7661</v>
      </c>
      <c r="D5205" t="s">
        <v>13015</v>
      </c>
      <c r="E5205" t="s">
        <v>17724</v>
      </c>
      <c r="F5205" t="s">
        <v>22436</v>
      </c>
      <c r="G5205" t="s">
        <v>22444</v>
      </c>
      <c r="H5205" t="s">
        <v>22452</v>
      </c>
      <c r="I5205" t="s">
        <v>22465</v>
      </c>
      <c r="J5205" t="s">
        <v>23234</v>
      </c>
      <c r="K5205" t="s">
        <v>29335</v>
      </c>
      <c r="M5205" t="s">
        <v>31341</v>
      </c>
      <c r="N5205" t="s">
        <v>32524</v>
      </c>
      <c r="O5205" t="s">
        <v>32525</v>
      </c>
      <c r="P5205">
        <v>0</v>
      </c>
      <c r="Q5205">
        <v>0</v>
      </c>
      <c r="R5205" t="s">
        <v>32531</v>
      </c>
      <c r="S5205" t="s">
        <v>32586</v>
      </c>
      <c r="T5205" t="s">
        <v>33213</v>
      </c>
      <c r="U5205" t="s">
        <v>33937</v>
      </c>
      <c r="V5205" t="s">
        <v>42464</v>
      </c>
      <c r="W5205" t="s">
        <v>31341</v>
      </c>
      <c r="X5205" t="s">
        <v>32532</v>
      </c>
    </row>
    <row r="5206" spans="1:24">
      <c r="A5206">
        <f>HYPERLINK("https://www.philgeps.gov.ph/GEPSNONPILOT/Tender/SplashBidNoticeAbstractUI.aspx?menuIndex=3&amp;refID=7039540&amp;Result=3","7039540")</f>
        <v>0</v>
      </c>
      <c r="B5206" t="s">
        <v>1708</v>
      </c>
      <c r="C5206" t="s">
        <v>7662</v>
      </c>
      <c r="D5206" t="s">
        <v>12992</v>
      </c>
      <c r="E5206" t="s">
        <v>17725</v>
      </c>
      <c r="F5206" t="s">
        <v>22436</v>
      </c>
      <c r="G5206" t="s">
        <v>22444</v>
      </c>
      <c r="H5206" t="s">
        <v>22452</v>
      </c>
      <c r="I5206" t="s">
        <v>22488</v>
      </c>
      <c r="J5206" t="s">
        <v>22893</v>
      </c>
      <c r="K5206" t="s">
        <v>29338</v>
      </c>
      <c r="M5206" t="s">
        <v>31410</v>
      </c>
      <c r="N5206" t="s">
        <v>32524</v>
      </c>
      <c r="O5206" t="s">
        <v>32525</v>
      </c>
      <c r="P5206">
        <v>0</v>
      </c>
      <c r="Q5206">
        <v>0</v>
      </c>
      <c r="R5206" t="s">
        <v>32531</v>
      </c>
      <c r="S5206" t="s">
        <v>32586</v>
      </c>
      <c r="T5206" t="s">
        <v>33416</v>
      </c>
      <c r="U5206" t="s">
        <v>38001</v>
      </c>
      <c r="V5206" t="s">
        <v>42970</v>
      </c>
      <c r="W5206" t="s">
        <v>31410</v>
      </c>
      <c r="X5206" t="s">
        <v>32532</v>
      </c>
    </row>
    <row r="5207" spans="1:24">
      <c r="A5207">
        <f>HYPERLINK("https://www.philgeps.gov.ph/GEPSNONPILOT/Tender/SplashBidNoticeAbstractUI.aspx?menuIndex=3&amp;refID=7039507&amp;Result=3","7039507")</f>
        <v>0</v>
      </c>
      <c r="B5207" t="s">
        <v>1733</v>
      </c>
      <c r="C5207" t="s">
        <v>7663</v>
      </c>
      <c r="D5207" t="s">
        <v>13006</v>
      </c>
      <c r="E5207" t="s">
        <v>13521</v>
      </c>
      <c r="F5207" t="s">
        <v>22436</v>
      </c>
      <c r="G5207" t="s">
        <v>22444</v>
      </c>
      <c r="H5207" t="s">
        <v>22454</v>
      </c>
      <c r="I5207" t="s">
        <v>7738</v>
      </c>
      <c r="J5207" t="s">
        <v>25985</v>
      </c>
      <c r="K5207" t="s">
        <v>29331</v>
      </c>
      <c r="M5207" t="s">
        <v>31438</v>
      </c>
      <c r="N5207" t="s">
        <v>32524</v>
      </c>
      <c r="O5207" t="s">
        <v>32525</v>
      </c>
      <c r="P5207">
        <v>0</v>
      </c>
      <c r="Q5207">
        <v>1</v>
      </c>
      <c r="R5207" t="s">
        <v>32531</v>
      </c>
      <c r="S5207" t="s">
        <v>32586</v>
      </c>
      <c r="T5207" t="s">
        <v>33488</v>
      </c>
      <c r="U5207" t="s">
        <v>38002</v>
      </c>
      <c r="V5207" t="s">
        <v>42979</v>
      </c>
      <c r="W5207" t="s">
        <v>31438</v>
      </c>
      <c r="X5207" t="s">
        <v>32532</v>
      </c>
    </row>
    <row r="5208" spans="1:24">
      <c r="A5208">
        <f>HYPERLINK("https://www.philgeps.gov.ph/GEPSNONPILOT/Tender/SplashBidNoticeAbstractUI.aspx?menuIndex=3&amp;refID=7039536&amp;Result=3","7039536")</f>
        <v>0</v>
      </c>
      <c r="B5208" t="s">
        <v>1734</v>
      </c>
      <c r="C5208" t="s">
        <v>7664</v>
      </c>
      <c r="D5208" t="s">
        <v>13007</v>
      </c>
      <c r="E5208" t="s">
        <v>17726</v>
      </c>
      <c r="F5208" t="s">
        <v>22436</v>
      </c>
      <c r="G5208" t="s">
        <v>22445</v>
      </c>
      <c r="H5208" t="s">
        <v>22452</v>
      </c>
      <c r="I5208" t="s">
        <v>22460</v>
      </c>
      <c r="J5208" t="s">
        <v>25986</v>
      </c>
      <c r="K5208" t="s">
        <v>29331</v>
      </c>
      <c r="M5208" t="s">
        <v>31439</v>
      </c>
      <c r="N5208" t="s">
        <v>32524</v>
      </c>
      <c r="O5208" t="s">
        <v>32525</v>
      </c>
      <c r="P5208">
        <v>0</v>
      </c>
      <c r="Q5208">
        <v>2</v>
      </c>
      <c r="R5208" t="s">
        <v>32531</v>
      </c>
      <c r="S5208" t="s">
        <v>32586</v>
      </c>
      <c r="T5208" t="s">
        <v>33323</v>
      </c>
      <c r="U5208" t="s">
        <v>38003</v>
      </c>
      <c r="W5208" t="s">
        <v>31439</v>
      </c>
      <c r="X5208" t="s">
        <v>32532</v>
      </c>
    </row>
    <row r="5209" spans="1:24">
      <c r="A5209">
        <f>HYPERLINK("https://www.philgeps.gov.ph/GEPSNONPILOT/Tender/SplashBidNoticeAbstractUI.aspx?menuIndex=3&amp;refID=7039533&amp;Result=3","7039533")</f>
        <v>0</v>
      </c>
      <c r="B5209" t="s">
        <v>1735</v>
      </c>
      <c r="C5209" t="s">
        <v>4853</v>
      </c>
      <c r="D5209" t="s">
        <v>13039</v>
      </c>
      <c r="E5209" t="s">
        <v>17727</v>
      </c>
      <c r="F5209" t="s">
        <v>22436</v>
      </c>
      <c r="G5209" t="s">
        <v>22444</v>
      </c>
      <c r="H5209" t="s">
        <v>22452</v>
      </c>
      <c r="I5209" t="s">
        <v>3827</v>
      </c>
      <c r="J5209" t="s">
        <v>22616</v>
      </c>
      <c r="K5209" t="s">
        <v>29341</v>
      </c>
      <c r="M5209" t="s">
        <v>31440</v>
      </c>
      <c r="N5209" t="s">
        <v>32524</v>
      </c>
      <c r="O5209" t="s">
        <v>32525</v>
      </c>
      <c r="P5209">
        <v>0</v>
      </c>
      <c r="Q5209">
        <v>0</v>
      </c>
      <c r="R5209" t="s">
        <v>32531</v>
      </c>
      <c r="S5209" t="s">
        <v>32586</v>
      </c>
      <c r="T5209" t="s">
        <v>33154</v>
      </c>
      <c r="U5209" t="s">
        <v>38004</v>
      </c>
      <c r="V5209" t="s">
        <v>42980</v>
      </c>
      <c r="W5209" t="s">
        <v>31440</v>
      </c>
      <c r="X5209" t="s">
        <v>32532</v>
      </c>
    </row>
    <row r="5210" spans="1:24">
      <c r="A5210">
        <f>HYPERLINK("https://www.philgeps.gov.ph/GEPSNONPILOT/Tender/SplashBidNoticeAbstractUI.aspx?menuIndex=3&amp;refID=7039511&amp;Result=3","7039511")</f>
        <v>0</v>
      </c>
      <c r="B5210" t="s">
        <v>262</v>
      </c>
      <c r="C5210" t="s">
        <v>7665</v>
      </c>
      <c r="D5210" t="s">
        <v>12990</v>
      </c>
      <c r="E5210" t="s">
        <v>17728</v>
      </c>
      <c r="F5210" t="s">
        <v>22436</v>
      </c>
      <c r="G5210" t="s">
        <v>22443</v>
      </c>
      <c r="H5210" t="s">
        <v>22452</v>
      </c>
      <c r="I5210" t="s">
        <v>22470</v>
      </c>
      <c r="J5210" t="s">
        <v>25987</v>
      </c>
      <c r="K5210" t="s">
        <v>29335</v>
      </c>
      <c r="M5210" t="s">
        <v>29836</v>
      </c>
      <c r="N5210" t="s">
        <v>32524</v>
      </c>
      <c r="O5210" t="s">
        <v>32525</v>
      </c>
      <c r="P5210">
        <v>0</v>
      </c>
      <c r="Q5210">
        <v>2</v>
      </c>
      <c r="R5210" t="s">
        <v>32531</v>
      </c>
      <c r="S5210" t="s">
        <v>32586</v>
      </c>
      <c r="T5210" t="s">
        <v>33372</v>
      </c>
      <c r="U5210" t="s">
        <v>38005</v>
      </c>
      <c r="W5210" t="s">
        <v>29836</v>
      </c>
      <c r="X5210" t="s">
        <v>32532</v>
      </c>
    </row>
    <row r="5211" spans="1:24">
      <c r="A5211">
        <f>HYPERLINK("https://www.philgeps.gov.ph/GEPSNONPILOT/Tender/SplashBidNoticeAbstractUI.aspx?menuIndex=3&amp;refID=7039512&amp;Result=3","7039512")</f>
        <v>0</v>
      </c>
      <c r="B5211" t="s">
        <v>538</v>
      </c>
      <c r="C5211" t="s">
        <v>7666</v>
      </c>
      <c r="D5211" t="s">
        <v>13022</v>
      </c>
      <c r="E5211" t="s">
        <v>17729</v>
      </c>
      <c r="F5211" t="s">
        <v>22436</v>
      </c>
      <c r="G5211" t="s">
        <v>22444</v>
      </c>
      <c r="H5211" t="s">
        <v>22454</v>
      </c>
      <c r="I5211" t="s">
        <v>7738</v>
      </c>
      <c r="J5211" t="s">
        <v>25988</v>
      </c>
      <c r="K5211" t="s">
        <v>29469</v>
      </c>
      <c r="M5211" t="s">
        <v>30122</v>
      </c>
      <c r="N5211" t="s">
        <v>32524</v>
      </c>
      <c r="O5211" t="s">
        <v>32525</v>
      </c>
      <c r="P5211">
        <v>0</v>
      </c>
      <c r="Q5211">
        <v>0</v>
      </c>
      <c r="R5211" t="s">
        <v>32531</v>
      </c>
      <c r="S5211" t="s">
        <v>32586</v>
      </c>
      <c r="T5211" t="s">
        <v>33197</v>
      </c>
      <c r="U5211" t="s">
        <v>38006</v>
      </c>
      <c r="W5211" t="s">
        <v>30122</v>
      </c>
      <c r="X5211" t="s">
        <v>32532</v>
      </c>
    </row>
    <row r="5212" spans="1:24">
      <c r="A5212">
        <f>HYPERLINK("https://www.philgeps.gov.ph/GEPSNONPILOT/Tender/SplashBidNoticeAbstractUI.aspx?menuIndex=3&amp;refID=7039544&amp;Result=3","7039544")</f>
        <v>0</v>
      </c>
      <c r="B5212" t="s">
        <v>1621</v>
      </c>
      <c r="C5212" t="s">
        <v>7667</v>
      </c>
      <c r="D5212" t="s">
        <v>13007</v>
      </c>
      <c r="E5212" t="s">
        <v>17730</v>
      </c>
      <c r="F5212" t="s">
        <v>22436</v>
      </c>
      <c r="G5212" t="s">
        <v>22443</v>
      </c>
      <c r="H5212" t="s">
        <v>22452</v>
      </c>
      <c r="I5212" t="s">
        <v>3122</v>
      </c>
      <c r="J5212" t="s">
        <v>25989</v>
      </c>
      <c r="K5212" t="s">
        <v>29331</v>
      </c>
      <c r="M5212" t="s">
        <v>31306</v>
      </c>
      <c r="N5212" t="s">
        <v>32524</v>
      </c>
      <c r="O5212" t="s">
        <v>32525</v>
      </c>
      <c r="P5212">
        <v>0</v>
      </c>
      <c r="Q5212">
        <v>0</v>
      </c>
      <c r="R5212" t="s">
        <v>32531</v>
      </c>
      <c r="S5212" t="s">
        <v>32586</v>
      </c>
      <c r="T5212" t="s">
        <v>33238</v>
      </c>
      <c r="U5212" t="s">
        <v>38007</v>
      </c>
      <c r="W5212" t="s">
        <v>43728</v>
      </c>
      <c r="X5212" t="s">
        <v>32532</v>
      </c>
    </row>
    <row r="5213" spans="1:24">
      <c r="A5213">
        <f>HYPERLINK("https://www.philgeps.gov.ph/GEPSNONPILOT/Tender/SplashBidNoticeAbstractUI.aspx?menuIndex=3&amp;refID=7039532&amp;Result=3","7039532")</f>
        <v>0</v>
      </c>
      <c r="B5213" t="s">
        <v>75</v>
      </c>
      <c r="C5213" t="s">
        <v>7668</v>
      </c>
      <c r="D5213" t="s">
        <v>13021</v>
      </c>
      <c r="E5213" t="s">
        <v>17731</v>
      </c>
      <c r="F5213" t="s">
        <v>22436</v>
      </c>
      <c r="G5213" t="s">
        <v>22444</v>
      </c>
      <c r="H5213" t="s">
        <v>22452</v>
      </c>
      <c r="I5213" t="s">
        <v>3827</v>
      </c>
      <c r="J5213" t="s">
        <v>22657</v>
      </c>
      <c r="K5213" t="s">
        <v>29335</v>
      </c>
      <c r="M5213" t="s">
        <v>29647</v>
      </c>
      <c r="N5213" t="s">
        <v>32524</v>
      </c>
      <c r="O5213" t="s">
        <v>32525</v>
      </c>
      <c r="P5213">
        <v>0</v>
      </c>
      <c r="Q5213">
        <v>1</v>
      </c>
      <c r="R5213" t="s">
        <v>32531</v>
      </c>
      <c r="S5213" t="s">
        <v>32586</v>
      </c>
      <c r="T5213" t="s">
        <v>33234</v>
      </c>
      <c r="U5213" t="s">
        <v>38008</v>
      </c>
      <c r="W5213" t="s">
        <v>29647</v>
      </c>
      <c r="X5213" t="s">
        <v>32532</v>
      </c>
    </row>
    <row r="5214" spans="1:24">
      <c r="A5214">
        <f>HYPERLINK("https://www.philgeps.gov.ph/GEPSNONPILOT/Tender/SplashBidNoticeAbstractUI.aspx?menuIndex=3&amp;refID=7039538&amp;Result=3","7039538")</f>
        <v>0</v>
      </c>
      <c r="B5214" t="s">
        <v>1736</v>
      </c>
      <c r="C5214" t="s">
        <v>7669</v>
      </c>
      <c r="D5214" t="s">
        <v>12990</v>
      </c>
      <c r="E5214" t="s">
        <v>17732</v>
      </c>
      <c r="F5214" t="s">
        <v>22436</v>
      </c>
      <c r="G5214" t="s">
        <v>22444</v>
      </c>
      <c r="H5214" t="s">
        <v>22454</v>
      </c>
      <c r="I5214" t="s">
        <v>7738</v>
      </c>
      <c r="J5214" t="s">
        <v>22669</v>
      </c>
      <c r="K5214" t="s">
        <v>29333</v>
      </c>
      <c r="L5214" t="s">
        <v>1736</v>
      </c>
      <c r="M5214" t="s">
        <v>31441</v>
      </c>
      <c r="N5214" t="s">
        <v>32524</v>
      </c>
      <c r="O5214" t="s">
        <v>32525</v>
      </c>
      <c r="P5214">
        <v>0</v>
      </c>
      <c r="Q5214">
        <v>0</v>
      </c>
      <c r="R5214" t="s">
        <v>32531</v>
      </c>
      <c r="S5214" t="s">
        <v>32586</v>
      </c>
      <c r="T5214" t="s">
        <v>33234</v>
      </c>
      <c r="U5214" t="s">
        <v>38009</v>
      </c>
      <c r="V5214" t="s">
        <v>42981</v>
      </c>
      <c r="W5214" t="s">
        <v>31441</v>
      </c>
      <c r="X5214" t="s">
        <v>32532</v>
      </c>
    </row>
    <row r="5215" spans="1:24">
      <c r="A5215">
        <f>HYPERLINK("https://www.philgeps.gov.ph/GEPSNONPILOT/Tender/SplashBidNoticeAbstractUI.aspx?menuIndex=3&amp;refID=7039527&amp;Result=3","7039527")</f>
        <v>0</v>
      </c>
      <c r="B5215" t="s">
        <v>799</v>
      </c>
      <c r="C5215" t="s">
        <v>7670</v>
      </c>
      <c r="D5215" t="s">
        <v>12988</v>
      </c>
      <c r="E5215" t="s">
        <v>17733</v>
      </c>
      <c r="F5215" t="s">
        <v>22436</v>
      </c>
      <c r="G5215" t="s">
        <v>22445</v>
      </c>
      <c r="H5215" t="s">
        <v>22452</v>
      </c>
      <c r="I5215" t="s">
        <v>7110</v>
      </c>
      <c r="J5215" t="s">
        <v>25990</v>
      </c>
      <c r="K5215" t="s">
        <v>29337</v>
      </c>
      <c r="M5215" t="s">
        <v>30864</v>
      </c>
      <c r="N5215" t="s">
        <v>32524</v>
      </c>
      <c r="O5215" t="s">
        <v>32525</v>
      </c>
      <c r="P5215">
        <v>0</v>
      </c>
      <c r="Q5215">
        <v>8</v>
      </c>
      <c r="R5215" t="s">
        <v>32531</v>
      </c>
      <c r="S5215" t="s">
        <v>32586</v>
      </c>
      <c r="T5215" t="s">
        <v>33323</v>
      </c>
      <c r="U5215" t="s">
        <v>36535</v>
      </c>
      <c r="V5215" t="s">
        <v>42982</v>
      </c>
      <c r="W5215" t="s">
        <v>30864</v>
      </c>
      <c r="X5215" t="s">
        <v>32532</v>
      </c>
    </row>
    <row r="5216" spans="1:24">
      <c r="A5216">
        <f>HYPERLINK("https://www.philgeps.gov.ph/GEPSNONPILOT/Tender/SplashBidNoticeAbstractUI.aspx?menuIndex=3&amp;refID=7039546&amp;Result=3","7039546")</f>
        <v>0</v>
      </c>
      <c r="B5216" t="s">
        <v>950</v>
      </c>
      <c r="C5216" t="s">
        <v>7671</v>
      </c>
      <c r="D5216" t="s">
        <v>13010</v>
      </c>
      <c r="E5216" t="s">
        <v>17734</v>
      </c>
      <c r="F5216" t="s">
        <v>22436</v>
      </c>
      <c r="G5216" t="s">
        <v>22444</v>
      </c>
      <c r="H5216" t="s">
        <v>22452</v>
      </c>
      <c r="I5216" t="s">
        <v>22502</v>
      </c>
      <c r="J5216" t="s">
        <v>25991</v>
      </c>
      <c r="K5216" t="s">
        <v>29338</v>
      </c>
      <c r="M5216" t="s">
        <v>30564</v>
      </c>
      <c r="N5216" t="s">
        <v>32524</v>
      </c>
      <c r="O5216" t="s">
        <v>32525</v>
      </c>
      <c r="P5216">
        <v>0</v>
      </c>
      <c r="Q5216">
        <v>19</v>
      </c>
      <c r="R5216" t="s">
        <v>32531</v>
      </c>
      <c r="S5216" t="s">
        <v>32586</v>
      </c>
      <c r="T5216" t="s">
        <v>33212</v>
      </c>
      <c r="U5216" t="s">
        <v>38010</v>
      </c>
      <c r="W5216" t="s">
        <v>30564</v>
      </c>
      <c r="X5216" t="s">
        <v>32532</v>
      </c>
    </row>
    <row r="5217" spans="1:24">
      <c r="A5217">
        <f>HYPERLINK("https://www.philgeps.gov.ph/GEPSNONPILOT/Tender/SplashBidNoticeAbstractUI.aspx?menuIndex=3&amp;refID=7039522&amp;Result=3","7039522")</f>
        <v>0</v>
      </c>
      <c r="B5217" t="s">
        <v>1723</v>
      </c>
      <c r="C5217" t="s">
        <v>7672</v>
      </c>
      <c r="D5217" t="s">
        <v>13045</v>
      </c>
      <c r="E5217" t="s">
        <v>17735</v>
      </c>
      <c r="F5217" t="s">
        <v>22436</v>
      </c>
      <c r="G5217" t="s">
        <v>22444</v>
      </c>
      <c r="H5217" t="s">
        <v>22454</v>
      </c>
      <c r="I5217" t="s">
        <v>3529</v>
      </c>
      <c r="J5217" t="s">
        <v>25992</v>
      </c>
      <c r="K5217" t="s">
        <v>29340</v>
      </c>
      <c r="M5217" t="s">
        <v>31428</v>
      </c>
      <c r="N5217" t="s">
        <v>32524</v>
      </c>
      <c r="O5217" t="s">
        <v>32525</v>
      </c>
      <c r="P5217">
        <v>0</v>
      </c>
      <c r="Q5217">
        <v>0</v>
      </c>
      <c r="R5217" t="s">
        <v>32531</v>
      </c>
      <c r="S5217" t="s">
        <v>32586</v>
      </c>
      <c r="T5217" t="s">
        <v>33171</v>
      </c>
      <c r="U5217" t="s">
        <v>37962</v>
      </c>
      <c r="W5217" t="s">
        <v>31428</v>
      </c>
      <c r="X5217" t="s">
        <v>32532</v>
      </c>
    </row>
    <row r="5218" spans="1:24">
      <c r="A5218">
        <f>HYPERLINK("https://www.philgeps.gov.ph/GEPSNONPILOT/Tender/SplashBidNoticeAbstractUI.aspx?menuIndex=3&amp;refID=7039537&amp;Result=3","7039537")</f>
        <v>0</v>
      </c>
      <c r="B5218" t="s">
        <v>196</v>
      </c>
      <c r="C5218" t="s">
        <v>7673</v>
      </c>
      <c r="D5218" t="s">
        <v>13002</v>
      </c>
      <c r="E5218" t="s">
        <v>17736</v>
      </c>
      <c r="F5218" t="s">
        <v>22436</v>
      </c>
      <c r="G5218" t="s">
        <v>22443</v>
      </c>
      <c r="H5218" t="s">
        <v>22452</v>
      </c>
      <c r="I5218" t="s">
        <v>22460</v>
      </c>
      <c r="J5218" t="s">
        <v>22616</v>
      </c>
      <c r="K5218" t="s">
        <v>29335</v>
      </c>
      <c r="M5218" t="s">
        <v>29769</v>
      </c>
      <c r="N5218" t="s">
        <v>32524</v>
      </c>
      <c r="O5218" t="s">
        <v>32525</v>
      </c>
      <c r="P5218">
        <v>0</v>
      </c>
      <c r="Q5218">
        <v>0</v>
      </c>
      <c r="R5218" t="s">
        <v>32531</v>
      </c>
      <c r="S5218" t="s">
        <v>32586</v>
      </c>
      <c r="T5218" t="s">
        <v>33296</v>
      </c>
      <c r="U5218" t="s">
        <v>38011</v>
      </c>
      <c r="W5218" t="s">
        <v>29769</v>
      </c>
      <c r="X5218" t="s">
        <v>32532</v>
      </c>
    </row>
    <row r="5219" spans="1:24">
      <c r="A5219">
        <f>HYPERLINK("https://www.philgeps.gov.ph/GEPSNONPILOT/Tender/SplashBidNoticeAbstractUI.aspx?menuIndex=3&amp;refID=7039523&amp;Result=3","7039523")</f>
        <v>0</v>
      </c>
      <c r="B5219" t="s">
        <v>1669</v>
      </c>
      <c r="C5219" t="s">
        <v>7674</v>
      </c>
      <c r="D5219" t="s">
        <v>12993</v>
      </c>
      <c r="E5219" t="s">
        <v>7674</v>
      </c>
      <c r="F5219" t="s">
        <v>22436</v>
      </c>
      <c r="G5219" t="s">
        <v>22443</v>
      </c>
      <c r="H5219" t="s">
        <v>22452</v>
      </c>
      <c r="I5219" t="s">
        <v>3529</v>
      </c>
      <c r="J5219" t="s">
        <v>25993</v>
      </c>
      <c r="K5219" t="s">
        <v>29335</v>
      </c>
      <c r="M5219" t="s">
        <v>31366</v>
      </c>
      <c r="N5219" t="s">
        <v>32524</v>
      </c>
      <c r="O5219" t="s">
        <v>32525</v>
      </c>
      <c r="P5219">
        <v>0</v>
      </c>
      <c r="Q5219">
        <v>2</v>
      </c>
      <c r="R5219" t="s">
        <v>32531</v>
      </c>
      <c r="S5219" t="s">
        <v>32586</v>
      </c>
      <c r="T5219" t="s">
        <v>33238</v>
      </c>
      <c r="U5219" t="s">
        <v>38012</v>
      </c>
      <c r="W5219" t="s">
        <v>31366</v>
      </c>
      <c r="X5219" t="s">
        <v>32532</v>
      </c>
    </row>
    <row r="5220" spans="1:24">
      <c r="A5220">
        <f>HYPERLINK("https://www.philgeps.gov.ph/GEPSNONPILOT/Tender/SplashBidNoticeAbstractUI.aspx?menuIndex=3&amp;refID=7039559&amp;Result=3","7039559")</f>
        <v>0</v>
      </c>
      <c r="B5220" t="s">
        <v>466</v>
      </c>
      <c r="C5220" t="s">
        <v>7675</v>
      </c>
      <c r="D5220" t="s">
        <v>13045</v>
      </c>
      <c r="E5220" t="s">
        <v>17737</v>
      </c>
      <c r="F5220" t="s">
        <v>22436</v>
      </c>
      <c r="G5220" t="s">
        <v>22443</v>
      </c>
      <c r="H5220" t="s">
        <v>22452</v>
      </c>
      <c r="I5220" t="s">
        <v>22466</v>
      </c>
      <c r="J5220" t="s">
        <v>22750</v>
      </c>
      <c r="K5220" t="s">
        <v>29338</v>
      </c>
      <c r="M5220" t="s">
        <v>30595</v>
      </c>
      <c r="N5220" t="s">
        <v>32524</v>
      </c>
      <c r="O5220" t="s">
        <v>32525</v>
      </c>
      <c r="P5220">
        <v>0</v>
      </c>
      <c r="Q5220">
        <v>9</v>
      </c>
      <c r="R5220" t="s">
        <v>32531</v>
      </c>
      <c r="S5220" t="s">
        <v>32586</v>
      </c>
      <c r="T5220" t="s">
        <v>33209</v>
      </c>
      <c r="U5220" t="s">
        <v>38013</v>
      </c>
      <c r="W5220" t="s">
        <v>30595</v>
      </c>
      <c r="X5220" t="s">
        <v>32532</v>
      </c>
    </row>
    <row r="5221" spans="1:24">
      <c r="A5221">
        <f>HYPERLINK("https://www.philgeps.gov.ph/GEPSNONPILOT/Tender/SplashBidNoticeAbstractUI.aspx?menuIndex=3&amp;refID=7039564&amp;Result=3","7039564")</f>
        <v>0</v>
      </c>
      <c r="B5221" t="s">
        <v>1726</v>
      </c>
      <c r="C5221" t="s">
        <v>7676</v>
      </c>
      <c r="D5221" t="s">
        <v>12988</v>
      </c>
      <c r="E5221" t="s">
        <v>17738</v>
      </c>
      <c r="F5221" t="s">
        <v>22436</v>
      </c>
      <c r="G5221" t="s">
        <v>22444</v>
      </c>
      <c r="H5221" t="s">
        <v>22452</v>
      </c>
      <c r="I5221" t="s">
        <v>22460</v>
      </c>
      <c r="J5221" t="s">
        <v>25994</v>
      </c>
      <c r="K5221" t="s">
        <v>29336</v>
      </c>
      <c r="M5221" t="s">
        <v>31431</v>
      </c>
      <c r="N5221" t="s">
        <v>32524</v>
      </c>
      <c r="O5221" t="s">
        <v>32525</v>
      </c>
      <c r="P5221">
        <v>0</v>
      </c>
      <c r="Q5221">
        <v>0</v>
      </c>
      <c r="R5221" t="s">
        <v>32531</v>
      </c>
      <c r="S5221" t="s">
        <v>32586</v>
      </c>
      <c r="T5221" t="s">
        <v>33259</v>
      </c>
      <c r="U5221" t="s">
        <v>37974</v>
      </c>
      <c r="W5221" t="s">
        <v>31431</v>
      </c>
      <c r="X5221" t="s">
        <v>32532</v>
      </c>
    </row>
    <row r="5222" spans="1:24">
      <c r="A5222">
        <f>HYPERLINK("https://www.philgeps.gov.ph/GEPSNONPILOT/Tender/SplashBidNoticeAbstractUI.aspx?menuIndex=3&amp;refID=7039577&amp;Result=3","7039577")</f>
        <v>0</v>
      </c>
      <c r="B5222" t="s">
        <v>1737</v>
      </c>
      <c r="C5222" t="s">
        <v>7677</v>
      </c>
      <c r="D5222" t="s">
        <v>13018</v>
      </c>
      <c r="E5222" t="s">
        <v>17739</v>
      </c>
      <c r="F5222" t="s">
        <v>22436</v>
      </c>
      <c r="G5222" t="s">
        <v>22444</v>
      </c>
      <c r="H5222" t="s">
        <v>22452</v>
      </c>
      <c r="I5222" t="s">
        <v>12358</v>
      </c>
      <c r="J5222" t="s">
        <v>25995</v>
      </c>
      <c r="K5222" t="s">
        <v>29341</v>
      </c>
      <c r="M5222" t="s">
        <v>31442</v>
      </c>
      <c r="N5222" t="s">
        <v>32524</v>
      </c>
      <c r="O5222" t="s">
        <v>32525</v>
      </c>
      <c r="P5222">
        <v>0</v>
      </c>
      <c r="Q5222">
        <v>0</v>
      </c>
      <c r="R5222" t="s">
        <v>32531</v>
      </c>
      <c r="S5222" t="s">
        <v>32586</v>
      </c>
      <c r="T5222" t="s">
        <v>33213</v>
      </c>
      <c r="U5222" t="s">
        <v>38014</v>
      </c>
      <c r="W5222" t="s">
        <v>31442</v>
      </c>
      <c r="X5222" t="s">
        <v>32532</v>
      </c>
    </row>
    <row r="5223" spans="1:24">
      <c r="A5223">
        <f>HYPERLINK("https://www.philgeps.gov.ph/GEPSNONPILOT/Tender/SplashBidNoticeAbstractUI.aspx?menuIndex=3&amp;refID=7039558&amp;Result=3","7039558")</f>
        <v>0</v>
      </c>
      <c r="B5223" t="s">
        <v>1724</v>
      </c>
      <c r="C5223" t="s">
        <v>7678</v>
      </c>
      <c r="D5223" t="s">
        <v>12988</v>
      </c>
      <c r="E5223" t="s">
        <v>14895</v>
      </c>
      <c r="F5223" t="s">
        <v>22436</v>
      </c>
      <c r="G5223" t="s">
        <v>22443</v>
      </c>
      <c r="H5223" t="s">
        <v>22453</v>
      </c>
      <c r="I5223" t="s">
        <v>22571</v>
      </c>
      <c r="J5223" t="s">
        <v>22861</v>
      </c>
      <c r="K5223" t="s">
        <v>29336</v>
      </c>
      <c r="M5223" t="s">
        <v>31429</v>
      </c>
      <c r="N5223" t="s">
        <v>32524</v>
      </c>
      <c r="O5223" t="s">
        <v>32525</v>
      </c>
      <c r="P5223">
        <v>0</v>
      </c>
      <c r="Q5223">
        <v>1</v>
      </c>
      <c r="R5223" t="s">
        <v>32531</v>
      </c>
      <c r="S5223" t="s">
        <v>32586</v>
      </c>
      <c r="T5223" t="s">
        <v>33372</v>
      </c>
      <c r="U5223" t="s">
        <v>38015</v>
      </c>
      <c r="W5223" t="s">
        <v>31429</v>
      </c>
      <c r="X5223" t="s">
        <v>32532</v>
      </c>
    </row>
    <row r="5224" spans="1:24">
      <c r="A5224">
        <f>HYPERLINK("https://www.philgeps.gov.ph/GEPSNONPILOT/Tender/SplashBidNoticeAbstractUI.aspx?menuIndex=3&amp;refID=7039570&amp;Result=3","7039570")</f>
        <v>0</v>
      </c>
      <c r="B5224" t="s">
        <v>1738</v>
      </c>
      <c r="C5224" t="s">
        <v>7679</v>
      </c>
      <c r="D5224" t="s">
        <v>13024</v>
      </c>
      <c r="E5224" t="s">
        <v>16426</v>
      </c>
      <c r="F5224" t="s">
        <v>22436</v>
      </c>
      <c r="G5224" t="s">
        <v>22444</v>
      </c>
      <c r="H5224" t="s">
        <v>22452</v>
      </c>
      <c r="I5224" t="s">
        <v>22494</v>
      </c>
      <c r="J5224" t="s">
        <v>25996</v>
      </c>
      <c r="K5224" t="s">
        <v>29330</v>
      </c>
      <c r="M5224" t="s">
        <v>31443</v>
      </c>
      <c r="N5224" t="s">
        <v>32524</v>
      </c>
      <c r="O5224" t="s">
        <v>32525</v>
      </c>
      <c r="P5224">
        <v>0</v>
      </c>
      <c r="Q5224">
        <v>0</v>
      </c>
      <c r="R5224" t="s">
        <v>32531</v>
      </c>
      <c r="S5224" t="s">
        <v>32586</v>
      </c>
      <c r="T5224" t="s">
        <v>33215</v>
      </c>
      <c r="U5224" t="s">
        <v>38016</v>
      </c>
      <c r="W5224" t="s">
        <v>31443</v>
      </c>
      <c r="X5224" t="s">
        <v>32532</v>
      </c>
    </row>
    <row r="5225" spans="1:24">
      <c r="A5225">
        <f>HYPERLINK("https://www.philgeps.gov.ph/GEPSNONPILOT/Tender/SplashBidNoticeAbstractUI.aspx?menuIndex=3&amp;refID=7039551&amp;Result=3","7039551")</f>
        <v>0</v>
      </c>
      <c r="B5225" t="s">
        <v>1669</v>
      </c>
      <c r="C5225" t="s">
        <v>7680</v>
      </c>
      <c r="D5225" t="s">
        <v>12993</v>
      </c>
      <c r="E5225" t="s">
        <v>7680</v>
      </c>
      <c r="F5225" t="s">
        <v>22436</v>
      </c>
      <c r="G5225" t="s">
        <v>22443</v>
      </c>
      <c r="H5225" t="s">
        <v>22452</v>
      </c>
      <c r="I5225" t="s">
        <v>3529</v>
      </c>
      <c r="J5225" t="s">
        <v>25997</v>
      </c>
      <c r="K5225" t="s">
        <v>29335</v>
      </c>
      <c r="M5225" t="s">
        <v>31366</v>
      </c>
      <c r="N5225" t="s">
        <v>32524</v>
      </c>
      <c r="O5225" t="s">
        <v>32525</v>
      </c>
      <c r="P5225">
        <v>0</v>
      </c>
      <c r="Q5225">
        <v>2</v>
      </c>
      <c r="R5225" t="s">
        <v>32531</v>
      </c>
      <c r="S5225" t="s">
        <v>32586</v>
      </c>
      <c r="T5225" t="s">
        <v>33238</v>
      </c>
      <c r="U5225" t="s">
        <v>38012</v>
      </c>
      <c r="W5225" t="s">
        <v>31366</v>
      </c>
      <c r="X5225" t="s">
        <v>32532</v>
      </c>
    </row>
    <row r="5226" spans="1:24">
      <c r="A5226">
        <f>HYPERLINK("https://www.philgeps.gov.ph/GEPSNONPILOT/Tender/SplashBidNoticeAbstractUI.aspx?menuIndex=3&amp;refID=7039565&amp;Result=3","7039565")</f>
        <v>0</v>
      </c>
      <c r="B5226" t="s">
        <v>1349</v>
      </c>
      <c r="C5226" t="s">
        <v>7681</v>
      </c>
      <c r="D5226" t="s">
        <v>13038</v>
      </c>
      <c r="E5226" t="s">
        <v>17740</v>
      </c>
      <c r="F5226" t="s">
        <v>22436</v>
      </c>
      <c r="G5226" t="s">
        <v>22443</v>
      </c>
      <c r="H5226" t="s">
        <v>22452</v>
      </c>
      <c r="I5226" t="s">
        <v>22488</v>
      </c>
      <c r="J5226" t="s">
        <v>25998</v>
      </c>
      <c r="K5226" t="s">
        <v>29340</v>
      </c>
      <c r="M5226" t="s">
        <v>31004</v>
      </c>
      <c r="N5226" t="s">
        <v>32524</v>
      </c>
      <c r="O5226" t="s">
        <v>32525</v>
      </c>
      <c r="P5226">
        <v>0</v>
      </c>
      <c r="Q5226">
        <v>0</v>
      </c>
      <c r="R5226" t="s">
        <v>32531</v>
      </c>
      <c r="S5226" t="s">
        <v>32586</v>
      </c>
      <c r="T5226" t="s">
        <v>33296</v>
      </c>
      <c r="U5226" t="s">
        <v>38017</v>
      </c>
      <c r="V5226" t="s">
        <v>42983</v>
      </c>
      <c r="W5226" t="s">
        <v>31004</v>
      </c>
      <c r="X5226" t="s">
        <v>32532</v>
      </c>
    </row>
    <row r="5227" spans="1:24">
      <c r="A5227">
        <f>HYPERLINK("https://www.philgeps.gov.ph/GEPSNONPILOT/Tender/SplashBidNoticeAbstractUI.aspx?menuIndex=3&amp;refID=7039590&amp;Result=3","7039590")</f>
        <v>0</v>
      </c>
      <c r="B5227" t="s">
        <v>1731</v>
      </c>
      <c r="C5227" t="s">
        <v>7682</v>
      </c>
      <c r="D5227" t="s">
        <v>13049</v>
      </c>
      <c r="E5227" t="s">
        <v>17741</v>
      </c>
      <c r="F5227" t="s">
        <v>22436</v>
      </c>
      <c r="G5227" t="s">
        <v>22444</v>
      </c>
      <c r="H5227" t="s">
        <v>22452</v>
      </c>
      <c r="I5227" t="s">
        <v>3827</v>
      </c>
      <c r="J5227" t="s">
        <v>22585</v>
      </c>
      <c r="K5227" t="s">
        <v>29341</v>
      </c>
      <c r="M5227" t="s">
        <v>31436</v>
      </c>
      <c r="N5227" t="s">
        <v>32524</v>
      </c>
      <c r="O5227" t="s">
        <v>32525</v>
      </c>
      <c r="P5227">
        <v>0</v>
      </c>
      <c r="Q5227">
        <v>0</v>
      </c>
      <c r="R5227" t="s">
        <v>32531</v>
      </c>
      <c r="S5227" t="s">
        <v>32586</v>
      </c>
      <c r="T5227" t="s">
        <v>33218</v>
      </c>
      <c r="U5227" t="s">
        <v>38018</v>
      </c>
      <c r="W5227" t="s">
        <v>31436</v>
      </c>
      <c r="X5227" t="s">
        <v>32532</v>
      </c>
    </row>
    <row r="5228" spans="1:24">
      <c r="A5228">
        <f>HYPERLINK("https://www.philgeps.gov.ph/GEPSNONPILOT/Tender/SplashBidNoticeAbstractUI.aspx?menuIndex=3&amp;refID=7039566&amp;Result=3","7039566")</f>
        <v>0</v>
      </c>
      <c r="B5228" t="s">
        <v>110</v>
      </c>
      <c r="C5228" t="s">
        <v>7683</v>
      </c>
      <c r="D5228" t="s">
        <v>13028</v>
      </c>
      <c r="E5228" t="s">
        <v>17742</v>
      </c>
      <c r="F5228" t="s">
        <v>22436</v>
      </c>
      <c r="G5228" t="s">
        <v>22443</v>
      </c>
      <c r="H5228" t="s">
        <v>22452</v>
      </c>
      <c r="I5228" t="s">
        <v>3827</v>
      </c>
      <c r="J5228" t="s">
        <v>22894</v>
      </c>
      <c r="K5228" t="s">
        <v>29341</v>
      </c>
      <c r="M5228" t="s">
        <v>29682</v>
      </c>
      <c r="N5228" t="s">
        <v>32524</v>
      </c>
      <c r="O5228" t="s">
        <v>32525</v>
      </c>
      <c r="P5228">
        <v>0</v>
      </c>
      <c r="Q5228">
        <v>6</v>
      </c>
      <c r="R5228" t="s">
        <v>32531</v>
      </c>
      <c r="S5228" t="s">
        <v>32586</v>
      </c>
      <c r="T5228" t="s">
        <v>33180</v>
      </c>
      <c r="U5228" t="s">
        <v>38019</v>
      </c>
      <c r="W5228" t="s">
        <v>29682</v>
      </c>
      <c r="X5228" t="s">
        <v>32532</v>
      </c>
    </row>
    <row r="5229" spans="1:24">
      <c r="A5229">
        <f>HYPERLINK("https://www.philgeps.gov.ph/GEPSNONPILOT/Tender/SplashBidNoticeAbstractUI.aspx?menuIndex=3&amp;refID=7039552&amp;Result=3","7039552")</f>
        <v>0</v>
      </c>
      <c r="B5229" t="s">
        <v>799</v>
      </c>
      <c r="C5229" t="s">
        <v>7684</v>
      </c>
      <c r="D5229" t="s">
        <v>12988</v>
      </c>
      <c r="E5229" t="s">
        <v>17743</v>
      </c>
      <c r="F5229" t="s">
        <v>22436</v>
      </c>
      <c r="G5229" t="s">
        <v>22445</v>
      </c>
      <c r="H5229" t="s">
        <v>22452</v>
      </c>
      <c r="I5229" t="s">
        <v>7110</v>
      </c>
      <c r="J5229" t="s">
        <v>25999</v>
      </c>
      <c r="K5229" t="s">
        <v>29331</v>
      </c>
      <c r="M5229" t="s">
        <v>30864</v>
      </c>
      <c r="N5229" t="s">
        <v>32524</v>
      </c>
      <c r="O5229" t="s">
        <v>32525</v>
      </c>
      <c r="P5229">
        <v>0</v>
      </c>
      <c r="Q5229">
        <v>6</v>
      </c>
      <c r="R5229" t="s">
        <v>32531</v>
      </c>
      <c r="S5229" t="s">
        <v>32586</v>
      </c>
      <c r="T5229" t="s">
        <v>33323</v>
      </c>
      <c r="U5229" t="s">
        <v>36535</v>
      </c>
      <c r="V5229" t="s">
        <v>42984</v>
      </c>
      <c r="W5229" t="s">
        <v>30864</v>
      </c>
      <c r="X5229" t="s">
        <v>32532</v>
      </c>
    </row>
    <row r="5230" spans="1:24">
      <c r="A5230">
        <f>HYPERLINK("https://www.philgeps.gov.ph/GEPSNONPILOT/Tender/SplashBidNoticeAbstractUI.aspx?menuIndex=3&amp;refID=7039584&amp;Result=3","7039584")</f>
        <v>0</v>
      </c>
      <c r="B5230" t="s">
        <v>1726</v>
      </c>
      <c r="C5230" t="s">
        <v>7685</v>
      </c>
      <c r="D5230" t="s">
        <v>12988</v>
      </c>
      <c r="E5230" t="s">
        <v>17744</v>
      </c>
      <c r="F5230" t="s">
        <v>22436</v>
      </c>
      <c r="G5230" t="s">
        <v>22444</v>
      </c>
      <c r="H5230" t="s">
        <v>22452</v>
      </c>
      <c r="I5230" t="s">
        <v>2981</v>
      </c>
      <c r="J5230" t="s">
        <v>26000</v>
      </c>
      <c r="K5230" t="s">
        <v>29336</v>
      </c>
      <c r="M5230" t="s">
        <v>31431</v>
      </c>
      <c r="N5230" t="s">
        <v>32524</v>
      </c>
      <c r="O5230" t="s">
        <v>32525</v>
      </c>
      <c r="P5230">
        <v>0</v>
      </c>
      <c r="Q5230">
        <v>2</v>
      </c>
      <c r="R5230" t="s">
        <v>32531</v>
      </c>
      <c r="S5230" t="s">
        <v>32586</v>
      </c>
      <c r="T5230" t="s">
        <v>33340</v>
      </c>
      <c r="U5230" t="s">
        <v>37975</v>
      </c>
      <c r="W5230" t="s">
        <v>31431</v>
      </c>
      <c r="X5230" t="s">
        <v>32532</v>
      </c>
    </row>
    <row r="5231" spans="1:24">
      <c r="A5231">
        <f>HYPERLINK("https://www.philgeps.gov.ph/GEPSNONPILOT/Tender/SplashBidNoticeAbstractUI.aspx?menuIndex=3&amp;refID=7039587&amp;Result=3","7039587")</f>
        <v>0</v>
      </c>
      <c r="B5231" t="s">
        <v>1739</v>
      </c>
      <c r="C5231" t="s">
        <v>7686</v>
      </c>
      <c r="D5231" t="s">
        <v>13010</v>
      </c>
      <c r="E5231" t="s">
        <v>14010</v>
      </c>
      <c r="F5231" t="s">
        <v>22436</v>
      </c>
      <c r="G5231" t="s">
        <v>22443</v>
      </c>
      <c r="H5231" t="s">
        <v>22452</v>
      </c>
      <c r="I5231" t="s">
        <v>22489</v>
      </c>
      <c r="J5231" t="s">
        <v>22817</v>
      </c>
      <c r="K5231" t="s">
        <v>29337</v>
      </c>
      <c r="M5231" t="s">
        <v>31444</v>
      </c>
      <c r="N5231" t="s">
        <v>32524</v>
      </c>
      <c r="O5231" t="s">
        <v>32525</v>
      </c>
      <c r="P5231">
        <v>0</v>
      </c>
      <c r="Q5231">
        <v>7</v>
      </c>
      <c r="R5231" t="s">
        <v>32531</v>
      </c>
      <c r="S5231" t="s">
        <v>32586</v>
      </c>
      <c r="T5231" t="s">
        <v>33154</v>
      </c>
      <c r="U5231" t="s">
        <v>38020</v>
      </c>
      <c r="W5231" t="s">
        <v>31444</v>
      </c>
      <c r="X5231" t="s">
        <v>32532</v>
      </c>
    </row>
    <row r="5232" spans="1:24">
      <c r="A5232">
        <f>HYPERLINK("https://www.philgeps.gov.ph/GEPSNONPILOT/Tender/SplashBidNoticeAbstractUI.aspx?menuIndex=3&amp;refID=7039579&amp;Result=3","7039579")</f>
        <v>0</v>
      </c>
      <c r="B5232" t="s">
        <v>1496</v>
      </c>
      <c r="C5232" t="s">
        <v>7687</v>
      </c>
      <c r="D5232" t="s">
        <v>12988</v>
      </c>
      <c r="E5232" t="s">
        <v>17745</v>
      </c>
      <c r="F5232" t="s">
        <v>22436</v>
      </c>
      <c r="G5232" t="s">
        <v>22445</v>
      </c>
      <c r="H5232" t="s">
        <v>22452</v>
      </c>
      <c r="I5232" t="s">
        <v>5194</v>
      </c>
      <c r="J5232" t="s">
        <v>26001</v>
      </c>
      <c r="K5232" t="s">
        <v>29331</v>
      </c>
      <c r="M5232" t="s">
        <v>31170</v>
      </c>
      <c r="N5232" t="s">
        <v>32524</v>
      </c>
      <c r="O5232" t="s">
        <v>32525</v>
      </c>
      <c r="P5232">
        <v>0</v>
      </c>
      <c r="Q5232">
        <v>6</v>
      </c>
      <c r="R5232" t="s">
        <v>32531</v>
      </c>
      <c r="S5232" t="s">
        <v>32586</v>
      </c>
      <c r="T5232" t="s">
        <v>33323</v>
      </c>
      <c r="U5232" t="s">
        <v>38021</v>
      </c>
      <c r="W5232" t="s">
        <v>31170</v>
      </c>
      <c r="X5232" t="s">
        <v>32532</v>
      </c>
    </row>
    <row r="5233" spans="1:24">
      <c r="A5233">
        <f>HYPERLINK("https://www.philgeps.gov.ph/GEPSNONPILOT/Tender/SplashBidNoticeAbstractUI.aspx?menuIndex=3&amp;refID=7039548&amp;Result=3","7039548")</f>
        <v>0</v>
      </c>
      <c r="B5233" t="s">
        <v>1738</v>
      </c>
      <c r="C5233" t="s">
        <v>7688</v>
      </c>
      <c r="D5233" t="s">
        <v>13024</v>
      </c>
      <c r="E5233" t="s">
        <v>16406</v>
      </c>
      <c r="F5233" t="s">
        <v>22436</v>
      </c>
      <c r="G5233" t="s">
        <v>22444</v>
      </c>
      <c r="H5233" t="s">
        <v>22452</v>
      </c>
      <c r="I5233" t="s">
        <v>22537</v>
      </c>
      <c r="J5233" t="s">
        <v>22747</v>
      </c>
      <c r="K5233" t="s">
        <v>29335</v>
      </c>
      <c r="M5233" t="s">
        <v>31443</v>
      </c>
      <c r="N5233" t="s">
        <v>32524</v>
      </c>
      <c r="O5233" t="s">
        <v>32525</v>
      </c>
      <c r="P5233">
        <v>0</v>
      </c>
      <c r="Q5233">
        <v>0</v>
      </c>
      <c r="R5233" t="s">
        <v>32531</v>
      </c>
      <c r="S5233" t="s">
        <v>32586</v>
      </c>
      <c r="T5233" t="s">
        <v>33215</v>
      </c>
      <c r="U5233" t="s">
        <v>38022</v>
      </c>
      <c r="W5233" t="s">
        <v>31443</v>
      </c>
      <c r="X5233" t="s">
        <v>32532</v>
      </c>
    </row>
    <row r="5234" spans="1:24">
      <c r="A5234">
        <f>HYPERLINK("https://www.philgeps.gov.ph/GEPSNONPILOT/Tender/SplashBidNoticeAbstractUI.aspx?menuIndex=3&amp;refID=7039593&amp;Result=3","7039593")</f>
        <v>0</v>
      </c>
      <c r="B5234" t="s">
        <v>1740</v>
      </c>
      <c r="C5234" t="s">
        <v>7689</v>
      </c>
      <c r="D5234" t="s">
        <v>13045</v>
      </c>
      <c r="E5234" t="s">
        <v>17746</v>
      </c>
      <c r="F5234" t="s">
        <v>22436</v>
      </c>
      <c r="G5234" t="s">
        <v>22444</v>
      </c>
      <c r="H5234" t="s">
        <v>22452</v>
      </c>
      <c r="I5234" t="s">
        <v>22461</v>
      </c>
      <c r="J5234" t="s">
        <v>22788</v>
      </c>
      <c r="K5234" t="s">
        <v>29335</v>
      </c>
      <c r="M5234" t="s">
        <v>31445</v>
      </c>
      <c r="N5234" t="s">
        <v>32524</v>
      </c>
      <c r="O5234" t="s">
        <v>32525</v>
      </c>
      <c r="P5234">
        <v>0</v>
      </c>
      <c r="Q5234">
        <v>0</v>
      </c>
      <c r="R5234" t="s">
        <v>32531</v>
      </c>
      <c r="S5234" t="s">
        <v>32586</v>
      </c>
      <c r="T5234" t="s">
        <v>33227</v>
      </c>
      <c r="U5234" t="s">
        <v>38023</v>
      </c>
      <c r="W5234" t="s">
        <v>31445</v>
      </c>
      <c r="X5234" t="s">
        <v>32532</v>
      </c>
    </row>
    <row r="5235" spans="1:24">
      <c r="A5235">
        <f>HYPERLINK("https://www.philgeps.gov.ph/GEPSNONPILOT/Tender/SplashBidNoticeAbstractUI.aspx?menuIndex=3&amp;refID=7039591&amp;Result=3","7039591")</f>
        <v>0</v>
      </c>
      <c r="B5235" t="s">
        <v>1741</v>
      </c>
      <c r="C5235" t="s">
        <v>7690</v>
      </c>
      <c r="E5235" t="s">
        <v>13559</v>
      </c>
      <c r="F5235" t="s">
        <v>22436</v>
      </c>
      <c r="G5235" t="s">
        <v>22450</v>
      </c>
      <c r="H5235" t="s">
        <v>22452</v>
      </c>
      <c r="I5235" t="s">
        <v>22457</v>
      </c>
      <c r="J5235" t="s">
        <v>26002</v>
      </c>
      <c r="K5235" t="s">
        <v>29338</v>
      </c>
      <c r="M5235" t="s">
        <v>31446</v>
      </c>
      <c r="N5235" t="s">
        <v>32524</v>
      </c>
      <c r="O5235" t="s">
        <v>32525</v>
      </c>
      <c r="P5235">
        <v>0</v>
      </c>
      <c r="Q5235">
        <v>4</v>
      </c>
      <c r="R5235" t="s">
        <v>32531</v>
      </c>
      <c r="S5235" t="s">
        <v>32586</v>
      </c>
      <c r="T5235" t="s">
        <v>33340</v>
      </c>
      <c r="U5235" t="s">
        <v>38024</v>
      </c>
      <c r="W5235" t="s">
        <v>31446</v>
      </c>
      <c r="X5235" t="s">
        <v>32532</v>
      </c>
    </row>
    <row r="5236" spans="1:24">
      <c r="A5236">
        <f>HYPERLINK("https://www.philgeps.gov.ph/GEPSNONPILOT/Tender/SplashBidNoticeAbstractUI.aspx?menuIndex=3&amp;refID=7039578&amp;Result=3","7039578")</f>
        <v>0</v>
      </c>
      <c r="B5236" t="s">
        <v>1669</v>
      </c>
      <c r="C5236" t="s">
        <v>7691</v>
      </c>
      <c r="D5236" t="s">
        <v>12993</v>
      </c>
      <c r="E5236" t="s">
        <v>7691</v>
      </c>
      <c r="F5236" t="s">
        <v>22436</v>
      </c>
      <c r="G5236" t="s">
        <v>22443</v>
      </c>
      <c r="H5236" t="s">
        <v>22452</v>
      </c>
      <c r="I5236" t="s">
        <v>3529</v>
      </c>
      <c r="J5236" t="s">
        <v>26003</v>
      </c>
      <c r="K5236" t="s">
        <v>29335</v>
      </c>
      <c r="M5236" t="s">
        <v>31366</v>
      </c>
      <c r="N5236" t="s">
        <v>32524</v>
      </c>
      <c r="O5236" t="s">
        <v>32525</v>
      </c>
      <c r="P5236">
        <v>0</v>
      </c>
      <c r="Q5236">
        <v>2</v>
      </c>
      <c r="R5236" t="s">
        <v>32531</v>
      </c>
      <c r="S5236" t="s">
        <v>32586</v>
      </c>
      <c r="T5236" t="s">
        <v>33238</v>
      </c>
      <c r="U5236" t="s">
        <v>38012</v>
      </c>
      <c r="W5236" t="s">
        <v>31366</v>
      </c>
      <c r="X5236" t="s">
        <v>32532</v>
      </c>
    </row>
    <row r="5237" spans="1:24">
      <c r="A5237">
        <f>HYPERLINK("https://www.philgeps.gov.ph/GEPSNONPILOT/Tender/SplashBidNoticeAbstractUI.aspx?menuIndex=3&amp;refID=7039589&amp;Result=3","7039589")</f>
        <v>0</v>
      </c>
      <c r="B5237" t="s">
        <v>1288</v>
      </c>
      <c r="C5237" t="s">
        <v>7692</v>
      </c>
      <c r="D5237" t="s">
        <v>13010</v>
      </c>
      <c r="E5237" t="s">
        <v>17747</v>
      </c>
      <c r="F5237" t="s">
        <v>22436</v>
      </c>
      <c r="G5237" t="s">
        <v>22443</v>
      </c>
      <c r="H5237" t="s">
        <v>22452</v>
      </c>
      <c r="I5237" t="s">
        <v>22501</v>
      </c>
      <c r="J5237" t="s">
        <v>22893</v>
      </c>
      <c r="K5237" t="s">
        <v>29335</v>
      </c>
      <c r="M5237" t="s">
        <v>30942</v>
      </c>
      <c r="N5237" t="s">
        <v>32524</v>
      </c>
      <c r="O5237" t="s">
        <v>32525</v>
      </c>
      <c r="P5237">
        <v>0</v>
      </c>
      <c r="Q5237">
        <v>0</v>
      </c>
      <c r="R5237" t="s">
        <v>32531</v>
      </c>
      <c r="S5237" t="s">
        <v>32586</v>
      </c>
      <c r="T5237" t="s">
        <v>33351</v>
      </c>
      <c r="U5237" t="s">
        <v>38025</v>
      </c>
      <c r="V5237" t="s">
        <v>42780</v>
      </c>
      <c r="W5237" t="s">
        <v>30942</v>
      </c>
      <c r="X5237" t="s">
        <v>32532</v>
      </c>
    </row>
    <row r="5238" spans="1:24">
      <c r="A5238">
        <f>HYPERLINK("https://www.philgeps.gov.ph/GEPSNONPILOT/Tender/SplashBidNoticeAbstractUI.aspx?menuIndex=3&amp;refID=7039612&amp;Result=3","7039612")</f>
        <v>0</v>
      </c>
      <c r="B5238" t="s">
        <v>1288</v>
      </c>
      <c r="C5238" t="s">
        <v>7693</v>
      </c>
      <c r="D5238" t="s">
        <v>13010</v>
      </c>
      <c r="E5238" t="s">
        <v>17748</v>
      </c>
      <c r="F5238" t="s">
        <v>22436</v>
      </c>
      <c r="G5238" t="s">
        <v>22443</v>
      </c>
      <c r="H5238" t="s">
        <v>22452</v>
      </c>
      <c r="I5238" t="s">
        <v>22501</v>
      </c>
      <c r="J5238" t="s">
        <v>26004</v>
      </c>
      <c r="K5238" t="s">
        <v>29335</v>
      </c>
      <c r="M5238" t="s">
        <v>30942</v>
      </c>
      <c r="N5238" t="s">
        <v>32524</v>
      </c>
      <c r="O5238" t="s">
        <v>32525</v>
      </c>
      <c r="P5238">
        <v>0</v>
      </c>
      <c r="Q5238">
        <v>0</v>
      </c>
      <c r="R5238" t="s">
        <v>32531</v>
      </c>
      <c r="S5238" t="s">
        <v>32586</v>
      </c>
      <c r="T5238" t="s">
        <v>33351</v>
      </c>
      <c r="U5238" t="s">
        <v>38026</v>
      </c>
      <c r="V5238" t="s">
        <v>42780</v>
      </c>
      <c r="W5238" t="s">
        <v>30942</v>
      </c>
      <c r="X5238" t="s">
        <v>32532</v>
      </c>
    </row>
    <row r="5239" spans="1:24">
      <c r="A5239">
        <f>HYPERLINK("https://www.philgeps.gov.ph/GEPSNONPILOT/Tender/SplashBidNoticeAbstractUI.aspx?menuIndex=3&amp;refID=7039585&amp;Result=3","7039585")</f>
        <v>0</v>
      </c>
      <c r="B5239" t="s">
        <v>1742</v>
      </c>
      <c r="C5239" t="s">
        <v>7694</v>
      </c>
      <c r="D5239" t="s">
        <v>12990</v>
      </c>
      <c r="E5239" t="s">
        <v>17749</v>
      </c>
      <c r="F5239" t="s">
        <v>22436</v>
      </c>
      <c r="G5239" t="s">
        <v>22443</v>
      </c>
      <c r="H5239" t="s">
        <v>22452</v>
      </c>
      <c r="I5239" t="s">
        <v>22482</v>
      </c>
      <c r="J5239" t="s">
        <v>23550</v>
      </c>
      <c r="K5239" t="s">
        <v>29335</v>
      </c>
      <c r="M5239" t="s">
        <v>31447</v>
      </c>
      <c r="N5239" t="s">
        <v>32524</v>
      </c>
      <c r="O5239" t="s">
        <v>32525</v>
      </c>
      <c r="P5239">
        <v>0</v>
      </c>
      <c r="Q5239">
        <v>2</v>
      </c>
      <c r="R5239" t="s">
        <v>32531</v>
      </c>
      <c r="S5239" t="s">
        <v>32586</v>
      </c>
      <c r="T5239" t="s">
        <v>33169</v>
      </c>
      <c r="U5239" t="s">
        <v>38027</v>
      </c>
      <c r="W5239" t="s">
        <v>31447</v>
      </c>
      <c r="X5239" t="s">
        <v>32532</v>
      </c>
    </row>
    <row r="5240" spans="1:24">
      <c r="A5240">
        <f>HYPERLINK("https://www.philgeps.gov.ph/GEPSNONPILOT/Tender/SplashBidNoticeAbstractUI.aspx?menuIndex=3&amp;refID=7039554&amp;Result=3","7039554")</f>
        <v>0</v>
      </c>
      <c r="B5240" t="s">
        <v>572</v>
      </c>
      <c r="C5240" t="s">
        <v>7695</v>
      </c>
      <c r="D5240" t="s">
        <v>12990</v>
      </c>
      <c r="E5240" t="s">
        <v>17750</v>
      </c>
      <c r="F5240" t="s">
        <v>22436</v>
      </c>
      <c r="G5240" t="s">
        <v>22443</v>
      </c>
      <c r="H5240" t="s">
        <v>22452</v>
      </c>
      <c r="I5240" t="s">
        <v>3122</v>
      </c>
      <c r="J5240" t="s">
        <v>26005</v>
      </c>
      <c r="K5240" t="s">
        <v>29338</v>
      </c>
      <c r="M5240" t="s">
        <v>30160</v>
      </c>
      <c r="N5240" t="s">
        <v>32524</v>
      </c>
      <c r="O5240" t="s">
        <v>32525</v>
      </c>
      <c r="P5240">
        <v>0</v>
      </c>
      <c r="Q5240">
        <v>1</v>
      </c>
      <c r="R5240" t="s">
        <v>32531</v>
      </c>
      <c r="S5240" t="s">
        <v>32586</v>
      </c>
      <c r="T5240" t="s">
        <v>33322</v>
      </c>
      <c r="U5240" t="s">
        <v>38028</v>
      </c>
      <c r="W5240" t="s">
        <v>30160</v>
      </c>
      <c r="X5240" t="s">
        <v>32532</v>
      </c>
    </row>
    <row r="5241" spans="1:24">
      <c r="A5241">
        <f>HYPERLINK("https://www.philgeps.gov.ph/GEPSNONPILOT/Tender/SplashBidNoticeAbstractUI.aspx?menuIndex=3&amp;refID=7039611&amp;Result=3","7039611")</f>
        <v>0</v>
      </c>
      <c r="B5241" t="s">
        <v>1738</v>
      </c>
      <c r="C5241" t="s">
        <v>7696</v>
      </c>
      <c r="D5241" t="s">
        <v>13024</v>
      </c>
      <c r="E5241" t="s">
        <v>16434</v>
      </c>
      <c r="F5241" t="s">
        <v>22436</v>
      </c>
      <c r="G5241" t="s">
        <v>22444</v>
      </c>
      <c r="H5241" t="s">
        <v>22452</v>
      </c>
      <c r="I5241" t="s">
        <v>22467</v>
      </c>
      <c r="J5241" t="s">
        <v>26006</v>
      </c>
      <c r="K5241" t="s">
        <v>29330</v>
      </c>
      <c r="M5241" t="s">
        <v>31443</v>
      </c>
      <c r="N5241" t="s">
        <v>32524</v>
      </c>
      <c r="O5241" t="s">
        <v>32525</v>
      </c>
      <c r="P5241">
        <v>0</v>
      </c>
      <c r="Q5241">
        <v>0</v>
      </c>
      <c r="R5241" t="s">
        <v>32531</v>
      </c>
      <c r="S5241" t="s">
        <v>32586</v>
      </c>
      <c r="T5241" t="s">
        <v>33215</v>
      </c>
      <c r="U5241" t="s">
        <v>38029</v>
      </c>
      <c r="W5241" t="s">
        <v>31443</v>
      </c>
      <c r="X5241" t="s">
        <v>32532</v>
      </c>
    </row>
    <row r="5242" spans="1:24">
      <c r="A5242">
        <f>HYPERLINK("https://www.philgeps.gov.ph/GEPSNONPILOT/Tender/SplashBidNoticeAbstractUI.aspx?menuIndex=3&amp;refID=7039601&amp;Result=3","7039601")</f>
        <v>0</v>
      </c>
      <c r="B5242" t="s">
        <v>1726</v>
      </c>
      <c r="C5242" t="s">
        <v>7697</v>
      </c>
      <c r="D5242" t="s">
        <v>12988</v>
      </c>
      <c r="E5242" t="s">
        <v>17751</v>
      </c>
      <c r="F5242" t="s">
        <v>22436</v>
      </c>
      <c r="G5242" t="s">
        <v>22444</v>
      </c>
      <c r="H5242" t="s">
        <v>22452</v>
      </c>
      <c r="I5242" t="s">
        <v>3122</v>
      </c>
      <c r="J5242" t="s">
        <v>22911</v>
      </c>
      <c r="K5242" t="s">
        <v>29336</v>
      </c>
      <c r="M5242" t="s">
        <v>31431</v>
      </c>
      <c r="N5242" t="s">
        <v>32524</v>
      </c>
      <c r="O5242" t="s">
        <v>32525</v>
      </c>
      <c r="P5242">
        <v>0</v>
      </c>
      <c r="Q5242">
        <v>0</v>
      </c>
      <c r="R5242" t="s">
        <v>32531</v>
      </c>
      <c r="S5242" t="s">
        <v>32586</v>
      </c>
      <c r="T5242" t="s">
        <v>33259</v>
      </c>
      <c r="U5242" t="s">
        <v>37987</v>
      </c>
      <c r="W5242" t="s">
        <v>31431</v>
      </c>
      <c r="X5242" t="s">
        <v>32532</v>
      </c>
    </row>
    <row r="5243" spans="1:24">
      <c r="A5243">
        <f>HYPERLINK("https://www.philgeps.gov.ph/GEPSNONPILOT/Tender/SplashBidNoticeAbstractUI.aspx?menuIndex=3&amp;refID=7039609&amp;Result=3","7039609")</f>
        <v>0</v>
      </c>
      <c r="B5243" t="s">
        <v>1708</v>
      </c>
      <c r="C5243" t="s">
        <v>7698</v>
      </c>
      <c r="D5243" t="s">
        <v>12992</v>
      </c>
      <c r="E5243" t="s">
        <v>17752</v>
      </c>
      <c r="F5243" t="s">
        <v>22436</v>
      </c>
      <c r="G5243" t="s">
        <v>22444</v>
      </c>
      <c r="H5243" t="s">
        <v>22452</v>
      </c>
      <c r="I5243" t="s">
        <v>12358</v>
      </c>
      <c r="J5243" t="s">
        <v>22654</v>
      </c>
      <c r="K5243" t="s">
        <v>29338</v>
      </c>
      <c r="M5243" t="s">
        <v>31410</v>
      </c>
      <c r="N5243" t="s">
        <v>32524</v>
      </c>
      <c r="O5243" t="s">
        <v>32525</v>
      </c>
      <c r="P5243">
        <v>0</v>
      </c>
      <c r="Q5243">
        <v>0</v>
      </c>
      <c r="R5243" t="s">
        <v>32531</v>
      </c>
      <c r="S5243" t="s">
        <v>32586</v>
      </c>
      <c r="T5243" t="s">
        <v>33220</v>
      </c>
      <c r="U5243" t="s">
        <v>38030</v>
      </c>
      <c r="V5243" t="s">
        <v>42970</v>
      </c>
      <c r="W5243" t="s">
        <v>31410</v>
      </c>
      <c r="X5243" t="s">
        <v>32532</v>
      </c>
    </row>
    <row r="5244" spans="1:24">
      <c r="A5244">
        <f>HYPERLINK("https://www.philgeps.gov.ph/GEPSNONPILOT/Tender/SplashBidNoticeAbstractUI.aspx?menuIndex=3&amp;refID=7039598&amp;Result=3","7039598")</f>
        <v>0</v>
      </c>
      <c r="B5244" t="s">
        <v>1738</v>
      </c>
      <c r="C5244" t="s">
        <v>7699</v>
      </c>
      <c r="D5244" t="s">
        <v>13024</v>
      </c>
      <c r="E5244" t="s">
        <v>16408</v>
      </c>
      <c r="F5244" t="s">
        <v>22436</v>
      </c>
      <c r="G5244" t="s">
        <v>22444</v>
      </c>
      <c r="H5244" t="s">
        <v>22452</v>
      </c>
      <c r="I5244" t="s">
        <v>22465</v>
      </c>
      <c r="J5244" t="s">
        <v>26007</v>
      </c>
      <c r="K5244" t="s">
        <v>29335</v>
      </c>
      <c r="M5244" t="s">
        <v>31443</v>
      </c>
      <c r="N5244" t="s">
        <v>32524</v>
      </c>
      <c r="O5244" t="s">
        <v>32525</v>
      </c>
      <c r="P5244">
        <v>0</v>
      </c>
      <c r="Q5244">
        <v>1</v>
      </c>
      <c r="R5244" t="s">
        <v>32531</v>
      </c>
      <c r="S5244" t="s">
        <v>32586</v>
      </c>
      <c r="T5244" t="s">
        <v>33215</v>
      </c>
      <c r="U5244" t="s">
        <v>38031</v>
      </c>
      <c r="W5244" t="s">
        <v>31443</v>
      </c>
      <c r="X5244" t="s">
        <v>32532</v>
      </c>
    </row>
    <row r="5245" spans="1:24">
      <c r="A5245">
        <f>HYPERLINK("https://www.philgeps.gov.ph/GEPSNONPILOT/Tender/SplashBidNoticeAbstractUI.aspx?menuIndex=3&amp;refID=7039607&amp;Result=3","7039607")</f>
        <v>0</v>
      </c>
      <c r="B5245" t="s">
        <v>1737</v>
      </c>
      <c r="C5245" t="s">
        <v>7700</v>
      </c>
      <c r="D5245" t="s">
        <v>13018</v>
      </c>
      <c r="E5245" t="s">
        <v>17753</v>
      </c>
      <c r="F5245" t="s">
        <v>22436</v>
      </c>
      <c r="G5245" t="s">
        <v>22443</v>
      </c>
      <c r="H5245" t="s">
        <v>22452</v>
      </c>
      <c r="I5245" t="s">
        <v>22460</v>
      </c>
      <c r="J5245" t="s">
        <v>26008</v>
      </c>
      <c r="K5245" t="s">
        <v>29341</v>
      </c>
      <c r="M5245" t="s">
        <v>31442</v>
      </c>
      <c r="N5245" t="s">
        <v>32524</v>
      </c>
      <c r="O5245" t="s">
        <v>32525</v>
      </c>
      <c r="P5245">
        <v>0</v>
      </c>
      <c r="Q5245">
        <v>0</v>
      </c>
      <c r="R5245" t="s">
        <v>32531</v>
      </c>
      <c r="S5245" t="s">
        <v>32586</v>
      </c>
      <c r="T5245" t="s">
        <v>33213</v>
      </c>
      <c r="U5245" t="s">
        <v>38032</v>
      </c>
      <c r="W5245" t="s">
        <v>31442</v>
      </c>
      <c r="X5245" t="s">
        <v>32532</v>
      </c>
    </row>
    <row r="5246" spans="1:24">
      <c r="A5246">
        <f>HYPERLINK("https://www.philgeps.gov.ph/GEPSNONPILOT/Tender/SplashBidNoticeAbstractUI.aspx?menuIndex=3&amp;refID=7039636&amp;Result=3","7039636")</f>
        <v>0</v>
      </c>
      <c r="B5246" t="s">
        <v>1669</v>
      </c>
      <c r="C5246" t="s">
        <v>7701</v>
      </c>
      <c r="D5246" t="s">
        <v>12993</v>
      </c>
      <c r="E5246" t="s">
        <v>7701</v>
      </c>
      <c r="F5246" t="s">
        <v>22436</v>
      </c>
      <c r="G5246" t="s">
        <v>22443</v>
      </c>
      <c r="H5246" t="s">
        <v>22452</v>
      </c>
      <c r="I5246" t="s">
        <v>3529</v>
      </c>
      <c r="J5246" t="s">
        <v>26009</v>
      </c>
      <c r="K5246" t="s">
        <v>29335</v>
      </c>
      <c r="M5246" t="s">
        <v>31366</v>
      </c>
      <c r="N5246" t="s">
        <v>32524</v>
      </c>
      <c r="O5246" t="s">
        <v>32525</v>
      </c>
      <c r="P5246">
        <v>0</v>
      </c>
      <c r="Q5246">
        <v>2</v>
      </c>
      <c r="R5246" t="s">
        <v>32531</v>
      </c>
      <c r="S5246" t="s">
        <v>32586</v>
      </c>
      <c r="T5246" t="s">
        <v>33238</v>
      </c>
      <c r="U5246" t="s">
        <v>38012</v>
      </c>
      <c r="W5246" t="s">
        <v>31366</v>
      </c>
      <c r="X5246" t="s">
        <v>32532</v>
      </c>
    </row>
    <row r="5247" spans="1:24">
      <c r="A5247">
        <f>HYPERLINK("https://www.philgeps.gov.ph/GEPSNONPILOT/Tender/SplashBidNoticeAbstractUI.aspx?menuIndex=3&amp;refID=7039605&amp;Result=3","7039605")</f>
        <v>0</v>
      </c>
      <c r="B5247" t="s">
        <v>1743</v>
      </c>
      <c r="C5247" t="s">
        <v>6396</v>
      </c>
      <c r="D5247" t="s">
        <v>13001</v>
      </c>
      <c r="E5247" t="s">
        <v>17754</v>
      </c>
      <c r="F5247" t="s">
        <v>22436</v>
      </c>
      <c r="G5247" t="s">
        <v>22444</v>
      </c>
      <c r="H5247" t="s">
        <v>22452</v>
      </c>
      <c r="I5247" t="s">
        <v>6421</v>
      </c>
      <c r="J5247" t="s">
        <v>22605</v>
      </c>
      <c r="K5247" t="s">
        <v>29338</v>
      </c>
      <c r="M5247" t="s">
        <v>31448</v>
      </c>
      <c r="N5247" t="s">
        <v>32524</v>
      </c>
      <c r="O5247" t="s">
        <v>32525</v>
      </c>
      <c r="P5247">
        <v>0</v>
      </c>
      <c r="Q5247">
        <v>4</v>
      </c>
      <c r="R5247" t="s">
        <v>32531</v>
      </c>
      <c r="S5247" t="s">
        <v>32586</v>
      </c>
      <c r="T5247" t="s">
        <v>33209</v>
      </c>
      <c r="U5247" t="s">
        <v>38033</v>
      </c>
      <c r="V5247" t="s">
        <v>42985</v>
      </c>
      <c r="W5247" t="s">
        <v>31448</v>
      </c>
      <c r="X5247" t="s">
        <v>32532</v>
      </c>
    </row>
    <row r="5248" spans="1:24">
      <c r="A5248">
        <f>HYPERLINK("https://www.philgeps.gov.ph/GEPSNONPILOT/Tender/SplashBidNoticeAbstractUI.aspx?menuIndex=3&amp;refID=7039634&amp;Result=3","7039634")</f>
        <v>0</v>
      </c>
      <c r="B5248" t="s">
        <v>799</v>
      </c>
      <c r="C5248" t="s">
        <v>7702</v>
      </c>
      <c r="D5248" t="s">
        <v>13051</v>
      </c>
      <c r="E5248" t="s">
        <v>17755</v>
      </c>
      <c r="F5248" t="s">
        <v>22436</v>
      </c>
      <c r="G5248" t="s">
        <v>22444</v>
      </c>
      <c r="H5248" t="s">
        <v>22452</v>
      </c>
      <c r="I5248" t="s">
        <v>22540</v>
      </c>
      <c r="J5248" t="s">
        <v>26010</v>
      </c>
      <c r="K5248" t="s">
        <v>29338</v>
      </c>
      <c r="M5248" t="s">
        <v>30401</v>
      </c>
      <c r="N5248" t="s">
        <v>32524</v>
      </c>
      <c r="O5248" t="s">
        <v>32525</v>
      </c>
      <c r="P5248">
        <v>0</v>
      </c>
      <c r="Q5248">
        <v>4</v>
      </c>
      <c r="R5248" t="s">
        <v>32531</v>
      </c>
      <c r="S5248" t="s">
        <v>32586</v>
      </c>
      <c r="T5248" t="s">
        <v>33440</v>
      </c>
      <c r="U5248" t="s">
        <v>38034</v>
      </c>
      <c r="V5248" t="s">
        <v>42986</v>
      </c>
      <c r="W5248" t="s">
        <v>30401</v>
      </c>
      <c r="X5248" t="s">
        <v>32532</v>
      </c>
    </row>
    <row r="5249" spans="1:24">
      <c r="A5249">
        <f>HYPERLINK("https://www.philgeps.gov.ph/GEPSNONPILOT/Tender/SplashBidNoticeAbstractUI.aspx?menuIndex=3&amp;refID=7039629&amp;Result=3","7039629")</f>
        <v>0</v>
      </c>
      <c r="B5249" t="s">
        <v>1288</v>
      </c>
      <c r="C5249" t="s">
        <v>7703</v>
      </c>
      <c r="D5249" t="s">
        <v>13010</v>
      </c>
      <c r="E5249" t="s">
        <v>17756</v>
      </c>
      <c r="F5249" t="s">
        <v>22436</v>
      </c>
      <c r="G5249" t="s">
        <v>22443</v>
      </c>
      <c r="H5249" t="s">
        <v>22452</v>
      </c>
      <c r="I5249" t="s">
        <v>22501</v>
      </c>
      <c r="J5249" t="s">
        <v>26011</v>
      </c>
      <c r="K5249" t="s">
        <v>29335</v>
      </c>
      <c r="M5249" t="s">
        <v>30942</v>
      </c>
      <c r="N5249" t="s">
        <v>32524</v>
      </c>
      <c r="O5249" t="s">
        <v>32525</v>
      </c>
      <c r="P5249">
        <v>0</v>
      </c>
      <c r="Q5249">
        <v>0</v>
      </c>
      <c r="R5249" t="s">
        <v>32531</v>
      </c>
      <c r="S5249" t="s">
        <v>32586</v>
      </c>
      <c r="T5249" t="s">
        <v>33351</v>
      </c>
      <c r="U5249" t="s">
        <v>38035</v>
      </c>
      <c r="V5249" t="s">
        <v>42780</v>
      </c>
      <c r="W5249" t="s">
        <v>30942</v>
      </c>
      <c r="X5249" t="s">
        <v>32532</v>
      </c>
    </row>
    <row r="5250" spans="1:24">
      <c r="A5250">
        <f>HYPERLINK("https://www.philgeps.gov.ph/GEPSNONPILOT/Tender/SplashBidNoticeAbstractUI.aspx?menuIndex=3&amp;refID=7039623&amp;Result=3","7039623")</f>
        <v>0</v>
      </c>
      <c r="B5250" t="s">
        <v>1744</v>
      </c>
      <c r="C5250" t="s">
        <v>7704</v>
      </c>
      <c r="D5250" t="s">
        <v>13004</v>
      </c>
      <c r="E5250" t="s">
        <v>17757</v>
      </c>
      <c r="F5250" t="s">
        <v>22436</v>
      </c>
      <c r="G5250" t="s">
        <v>22443</v>
      </c>
      <c r="H5250" t="s">
        <v>22452</v>
      </c>
      <c r="I5250" t="s">
        <v>3840</v>
      </c>
      <c r="J5250" t="s">
        <v>26012</v>
      </c>
      <c r="K5250" t="s">
        <v>29341</v>
      </c>
      <c r="M5250" t="s">
        <v>31449</v>
      </c>
      <c r="N5250" t="s">
        <v>32524</v>
      </c>
      <c r="O5250" t="s">
        <v>32525</v>
      </c>
      <c r="P5250">
        <v>0</v>
      </c>
      <c r="Q5250">
        <v>1</v>
      </c>
      <c r="R5250" t="s">
        <v>32531</v>
      </c>
      <c r="S5250" t="s">
        <v>32586</v>
      </c>
      <c r="T5250" t="s">
        <v>33310</v>
      </c>
      <c r="U5250" t="s">
        <v>38036</v>
      </c>
      <c r="W5250" t="s">
        <v>31449</v>
      </c>
      <c r="X5250" t="s">
        <v>32532</v>
      </c>
    </row>
    <row r="5251" spans="1:24">
      <c r="A5251">
        <f>HYPERLINK("https://www.philgeps.gov.ph/GEPSNONPILOT/Tender/SplashBidNoticeAbstractUI.aspx?menuIndex=3&amp;refID=7039618&amp;Result=3","7039618")</f>
        <v>0</v>
      </c>
      <c r="B5251" t="s">
        <v>1669</v>
      </c>
      <c r="C5251" t="s">
        <v>7705</v>
      </c>
      <c r="D5251" t="s">
        <v>12993</v>
      </c>
      <c r="E5251" t="s">
        <v>7705</v>
      </c>
      <c r="F5251" t="s">
        <v>22436</v>
      </c>
      <c r="G5251" t="s">
        <v>22443</v>
      </c>
      <c r="H5251" t="s">
        <v>22452</v>
      </c>
      <c r="I5251" t="s">
        <v>3529</v>
      </c>
      <c r="J5251" t="s">
        <v>26013</v>
      </c>
      <c r="K5251" t="s">
        <v>29335</v>
      </c>
      <c r="M5251" t="s">
        <v>31366</v>
      </c>
      <c r="N5251" t="s">
        <v>32524</v>
      </c>
      <c r="O5251" t="s">
        <v>32525</v>
      </c>
      <c r="P5251">
        <v>0</v>
      </c>
      <c r="Q5251">
        <v>2</v>
      </c>
      <c r="R5251" t="s">
        <v>32531</v>
      </c>
      <c r="S5251" t="s">
        <v>32586</v>
      </c>
      <c r="T5251" t="s">
        <v>33238</v>
      </c>
      <c r="U5251" t="s">
        <v>38012</v>
      </c>
      <c r="W5251" t="s">
        <v>31366</v>
      </c>
      <c r="X5251" t="s">
        <v>32532</v>
      </c>
    </row>
    <row r="5252" spans="1:24">
      <c r="A5252">
        <f>HYPERLINK("https://www.philgeps.gov.ph/GEPSNONPILOT/Tender/SplashBidNoticeAbstractUI.aspx?menuIndex=3&amp;refID=7039600&amp;Result=3","7039600")</f>
        <v>0</v>
      </c>
      <c r="B5252" t="s">
        <v>1678</v>
      </c>
      <c r="C5252" t="s">
        <v>7706</v>
      </c>
      <c r="D5252" t="s">
        <v>13030</v>
      </c>
      <c r="E5252" t="s">
        <v>14823</v>
      </c>
      <c r="F5252" t="s">
        <v>22436</v>
      </c>
      <c r="G5252" t="s">
        <v>22444</v>
      </c>
      <c r="H5252" t="s">
        <v>22454</v>
      </c>
      <c r="I5252" t="s">
        <v>7738</v>
      </c>
      <c r="J5252" t="s">
        <v>22634</v>
      </c>
      <c r="K5252" t="s">
        <v>29388</v>
      </c>
      <c r="M5252" t="s">
        <v>31376</v>
      </c>
      <c r="N5252" t="s">
        <v>32524</v>
      </c>
      <c r="O5252" t="s">
        <v>32525</v>
      </c>
      <c r="P5252">
        <v>0</v>
      </c>
      <c r="Q5252">
        <v>0</v>
      </c>
      <c r="R5252" t="s">
        <v>32531</v>
      </c>
      <c r="S5252" t="s">
        <v>32586</v>
      </c>
      <c r="T5252" t="s">
        <v>33490</v>
      </c>
      <c r="U5252" t="s">
        <v>38037</v>
      </c>
      <c r="W5252" t="s">
        <v>31376</v>
      </c>
      <c r="X5252" t="s">
        <v>32532</v>
      </c>
    </row>
    <row r="5253" spans="1:24">
      <c r="A5253">
        <f>HYPERLINK("https://www.philgeps.gov.ph/GEPSNONPILOT/Tender/SplashBidNoticeAbstractUI.aspx?menuIndex=3&amp;refID=7039639&amp;Result=3","7039639")</f>
        <v>0</v>
      </c>
      <c r="B5253" t="s">
        <v>1745</v>
      </c>
      <c r="C5253" t="s">
        <v>7707</v>
      </c>
      <c r="D5253" t="s">
        <v>13061</v>
      </c>
      <c r="E5253" t="s">
        <v>17758</v>
      </c>
      <c r="F5253" t="s">
        <v>22436</v>
      </c>
      <c r="G5253" t="s">
        <v>22446</v>
      </c>
      <c r="H5253" t="s">
        <v>22452</v>
      </c>
      <c r="I5253" t="s">
        <v>22493</v>
      </c>
      <c r="J5253" t="s">
        <v>26014</v>
      </c>
      <c r="K5253" t="s">
        <v>29336</v>
      </c>
      <c r="M5253" t="s">
        <v>31450</v>
      </c>
      <c r="N5253" t="s">
        <v>32524</v>
      </c>
      <c r="O5253" t="s">
        <v>32525</v>
      </c>
      <c r="P5253">
        <v>0</v>
      </c>
      <c r="Q5253">
        <v>0</v>
      </c>
      <c r="R5253" t="s">
        <v>32531</v>
      </c>
      <c r="S5253" t="s">
        <v>32586</v>
      </c>
      <c r="T5253" t="s">
        <v>33183</v>
      </c>
      <c r="U5253" t="s">
        <v>38038</v>
      </c>
      <c r="W5253" t="s">
        <v>31450</v>
      </c>
      <c r="X5253" t="s">
        <v>32532</v>
      </c>
    </row>
    <row r="5254" spans="1:24">
      <c r="A5254">
        <f>HYPERLINK("https://www.philgeps.gov.ph/GEPSNONPILOT/Tender/SplashBidNoticeAbstractUI.aspx?menuIndex=3&amp;refID=7039599&amp;Result=3","7039599")</f>
        <v>0</v>
      </c>
      <c r="B5254" t="s">
        <v>1669</v>
      </c>
      <c r="C5254" t="s">
        <v>7708</v>
      </c>
      <c r="D5254" t="s">
        <v>12993</v>
      </c>
      <c r="E5254" t="s">
        <v>7708</v>
      </c>
      <c r="F5254" t="s">
        <v>22436</v>
      </c>
      <c r="G5254" t="s">
        <v>22443</v>
      </c>
      <c r="H5254" t="s">
        <v>22452</v>
      </c>
      <c r="I5254" t="s">
        <v>3529</v>
      </c>
      <c r="J5254" t="s">
        <v>26015</v>
      </c>
      <c r="K5254" t="s">
        <v>29335</v>
      </c>
      <c r="M5254" t="s">
        <v>31366</v>
      </c>
      <c r="N5254" t="s">
        <v>32524</v>
      </c>
      <c r="O5254" t="s">
        <v>32525</v>
      </c>
      <c r="P5254">
        <v>0</v>
      </c>
      <c r="Q5254">
        <v>2</v>
      </c>
      <c r="R5254" t="s">
        <v>32531</v>
      </c>
      <c r="S5254" t="s">
        <v>32586</v>
      </c>
      <c r="T5254" t="s">
        <v>33238</v>
      </c>
      <c r="U5254" t="s">
        <v>38012</v>
      </c>
      <c r="W5254" t="s">
        <v>31366</v>
      </c>
      <c r="X5254" t="s">
        <v>32532</v>
      </c>
    </row>
    <row r="5255" spans="1:24">
      <c r="A5255">
        <f>HYPERLINK("https://www.philgeps.gov.ph/GEPSNONPILOT/Tender/SplashBidNoticeAbstractUI.aspx?menuIndex=3&amp;refID=7039641&amp;Result=3","7039641")</f>
        <v>0</v>
      </c>
      <c r="B5255" t="s">
        <v>1737</v>
      </c>
      <c r="C5255" t="s">
        <v>7709</v>
      </c>
      <c r="D5255" t="s">
        <v>13018</v>
      </c>
      <c r="E5255" t="s">
        <v>17759</v>
      </c>
      <c r="F5255" t="s">
        <v>22436</v>
      </c>
      <c r="G5255" t="s">
        <v>22443</v>
      </c>
      <c r="H5255" t="s">
        <v>22452</v>
      </c>
      <c r="I5255" t="s">
        <v>22493</v>
      </c>
      <c r="J5255" t="s">
        <v>25681</v>
      </c>
      <c r="K5255" t="s">
        <v>29341</v>
      </c>
      <c r="M5255" t="s">
        <v>31442</v>
      </c>
      <c r="N5255" t="s">
        <v>32524</v>
      </c>
      <c r="O5255" t="s">
        <v>32525</v>
      </c>
      <c r="P5255">
        <v>0</v>
      </c>
      <c r="Q5255">
        <v>1</v>
      </c>
      <c r="R5255" t="s">
        <v>32531</v>
      </c>
      <c r="S5255" t="s">
        <v>32586</v>
      </c>
      <c r="T5255" t="s">
        <v>33213</v>
      </c>
      <c r="U5255" t="s">
        <v>38039</v>
      </c>
      <c r="W5255" t="s">
        <v>31442</v>
      </c>
      <c r="X5255" t="s">
        <v>32532</v>
      </c>
    </row>
    <row r="5256" spans="1:24">
      <c r="A5256">
        <f>HYPERLINK("https://www.philgeps.gov.ph/GEPSNONPILOT/Tender/SplashBidNoticeAbstractUI.aspx?menuIndex=3&amp;refID=7039643&amp;Result=3","7039643")</f>
        <v>0</v>
      </c>
      <c r="B5256" t="s">
        <v>1746</v>
      </c>
      <c r="C5256" t="s">
        <v>7710</v>
      </c>
      <c r="D5256" t="s">
        <v>13012</v>
      </c>
      <c r="E5256" t="s">
        <v>17760</v>
      </c>
      <c r="F5256" t="s">
        <v>22436</v>
      </c>
      <c r="G5256" t="s">
        <v>22444</v>
      </c>
      <c r="H5256" t="s">
        <v>22452</v>
      </c>
      <c r="I5256" t="s">
        <v>22482</v>
      </c>
      <c r="J5256" t="s">
        <v>22605</v>
      </c>
      <c r="K5256" t="s">
        <v>29336</v>
      </c>
      <c r="M5256" t="s">
        <v>31451</v>
      </c>
      <c r="N5256" t="s">
        <v>32524</v>
      </c>
      <c r="O5256" t="s">
        <v>32525</v>
      </c>
      <c r="P5256">
        <v>0</v>
      </c>
      <c r="Q5256">
        <v>5</v>
      </c>
      <c r="R5256" t="s">
        <v>32531</v>
      </c>
      <c r="S5256" t="s">
        <v>32586</v>
      </c>
      <c r="T5256" t="s">
        <v>33154</v>
      </c>
      <c r="U5256" t="s">
        <v>38040</v>
      </c>
      <c r="W5256" t="s">
        <v>31451</v>
      </c>
      <c r="X5256" t="s">
        <v>32532</v>
      </c>
    </row>
    <row r="5257" spans="1:24">
      <c r="A5257">
        <f>HYPERLINK("https://www.philgeps.gov.ph/GEPSNONPILOT/Tender/SplashBidNoticeAbstractUI.aspx?menuIndex=3&amp;refID=7039615&amp;Result=3","7039615")</f>
        <v>0</v>
      </c>
      <c r="B5257" t="s">
        <v>1709</v>
      </c>
      <c r="C5257" t="s">
        <v>7711</v>
      </c>
      <c r="D5257" t="s">
        <v>13003</v>
      </c>
      <c r="E5257" t="s">
        <v>17761</v>
      </c>
      <c r="F5257" t="s">
        <v>22436</v>
      </c>
      <c r="G5257" t="s">
        <v>22444</v>
      </c>
      <c r="H5257" t="s">
        <v>22452</v>
      </c>
      <c r="I5257" t="s">
        <v>3122</v>
      </c>
      <c r="J5257" t="s">
        <v>23120</v>
      </c>
      <c r="K5257" t="s">
        <v>29338</v>
      </c>
      <c r="M5257" t="s">
        <v>31412</v>
      </c>
      <c r="N5257" t="s">
        <v>32524</v>
      </c>
      <c r="O5257" t="s">
        <v>32525</v>
      </c>
      <c r="P5257">
        <v>0</v>
      </c>
      <c r="Q5257">
        <v>1</v>
      </c>
      <c r="R5257" t="s">
        <v>32531</v>
      </c>
      <c r="S5257" t="s">
        <v>32586</v>
      </c>
      <c r="T5257" t="s">
        <v>33220</v>
      </c>
      <c r="U5257" t="s">
        <v>38041</v>
      </c>
      <c r="W5257" t="s">
        <v>31412</v>
      </c>
      <c r="X5257" t="s">
        <v>32532</v>
      </c>
    </row>
    <row r="5258" spans="1:24">
      <c r="A5258">
        <f>HYPERLINK("https://www.philgeps.gov.ph/GEPSNONPILOT/Tender/SplashBidNoticeAbstractUI.aspx?menuIndex=3&amp;refID=7039645&amp;Result=3","7039645")</f>
        <v>0</v>
      </c>
      <c r="B5258" t="s">
        <v>196</v>
      </c>
      <c r="C5258" t="s">
        <v>4514</v>
      </c>
      <c r="D5258" t="s">
        <v>13002</v>
      </c>
      <c r="E5258" t="s">
        <v>17762</v>
      </c>
      <c r="F5258" t="s">
        <v>22436</v>
      </c>
      <c r="G5258" t="s">
        <v>22443</v>
      </c>
      <c r="H5258" t="s">
        <v>22452</v>
      </c>
      <c r="I5258" t="s">
        <v>22463</v>
      </c>
      <c r="J5258" t="s">
        <v>22802</v>
      </c>
      <c r="K5258" t="s">
        <v>29331</v>
      </c>
      <c r="M5258" t="s">
        <v>31297</v>
      </c>
      <c r="N5258" t="s">
        <v>32524</v>
      </c>
      <c r="O5258" t="s">
        <v>32525</v>
      </c>
      <c r="P5258">
        <v>0</v>
      </c>
      <c r="Q5258">
        <v>7</v>
      </c>
      <c r="R5258" t="s">
        <v>32531</v>
      </c>
      <c r="S5258" t="s">
        <v>32586</v>
      </c>
      <c r="T5258" t="s">
        <v>33296</v>
      </c>
      <c r="U5258" t="s">
        <v>38042</v>
      </c>
      <c r="W5258" t="s">
        <v>31297</v>
      </c>
      <c r="X5258" t="s">
        <v>32532</v>
      </c>
    </row>
    <row r="5259" spans="1:24">
      <c r="A5259">
        <f>HYPERLINK("https://www.philgeps.gov.ph/GEPSNONPILOT/Tender/SplashBidNoticeAbstractUI.aspx?menuIndex=3&amp;refID=7039673&amp;Result=3","7039673")</f>
        <v>0</v>
      </c>
      <c r="B5259" t="s">
        <v>1747</v>
      </c>
      <c r="C5259" t="s">
        <v>3027</v>
      </c>
      <c r="D5259" t="s">
        <v>13033</v>
      </c>
      <c r="E5259" t="s">
        <v>17763</v>
      </c>
      <c r="F5259" t="s">
        <v>22436</v>
      </c>
      <c r="G5259" t="s">
        <v>22444</v>
      </c>
      <c r="H5259" t="s">
        <v>22452</v>
      </c>
      <c r="I5259" t="s">
        <v>3027</v>
      </c>
      <c r="J5259" t="s">
        <v>26016</v>
      </c>
      <c r="K5259" t="s">
        <v>29341</v>
      </c>
      <c r="M5259" t="s">
        <v>31452</v>
      </c>
      <c r="N5259" t="s">
        <v>32524</v>
      </c>
      <c r="O5259" t="s">
        <v>32525</v>
      </c>
      <c r="P5259">
        <v>0</v>
      </c>
      <c r="Q5259">
        <v>0</v>
      </c>
      <c r="R5259" t="s">
        <v>32531</v>
      </c>
      <c r="S5259" t="s">
        <v>32586</v>
      </c>
      <c r="T5259" t="s">
        <v>33234</v>
      </c>
      <c r="U5259" t="s">
        <v>38043</v>
      </c>
      <c r="V5259" t="s">
        <v>42987</v>
      </c>
      <c r="W5259" t="s">
        <v>31452</v>
      </c>
      <c r="X5259" t="s">
        <v>32532</v>
      </c>
    </row>
    <row r="5260" spans="1:24">
      <c r="A5260">
        <f>HYPERLINK("https://www.philgeps.gov.ph/GEPSNONPILOT/Tender/SplashBidNoticeAbstractUI.aspx?menuIndex=3&amp;refID=7039642&amp;Result=3","7039642")</f>
        <v>0</v>
      </c>
      <c r="B5260" t="s">
        <v>525</v>
      </c>
      <c r="C5260" t="s">
        <v>7712</v>
      </c>
      <c r="D5260" t="s">
        <v>13038</v>
      </c>
      <c r="E5260" t="s">
        <v>7712</v>
      </c>
      <c r="F5260" t="s">
        <v>22436</v>
      </c>
      <c r="G5260" t="s">
        <v>22444</v>
      </c>
      <c r="H5260" t="s">
        <v>22452</v>
      </c>
      <c r="I5260" t="s">
        <v>22546</v>
      </c>
      <c r="J5260" t="s">
        <v>26017</v>
      </c>
      <c r="K5260" t="s">
        <v>29335</v>
      </c>
      <c r="M5260" t="s">
        <v>30109</v>
      </c>
      <c r="N5260" t="s">
        <v>32524</v>
      </c>
      <c r="O5260" t="s">
        <v>32525</v>
      </c>
      <c r="P5260">
        <v>0</v>
      </c>
      <c r="Q5260">
        <v>2</v>
      </c>
      <c r="R5260" t="s">
        <v>32531</v>
      </c>
      <c r="S5260" t="s">
        <v>32586</v>
      </c>
      <c r="T5260" t="s">
        <v>33252</v>
      </c>
      <c r="U5260" t="s">
        <v>38044</v>
      </c>
      <c r="W5260" t="s">
        <v>30109</v>
      </c>
      <c r="X5260" t="s">
        <v>32532</v>
      </c>
    </row>
    <row r="5261" spans="1:24">
      <c r="A5261">
        <f>HYPERLINK("https://www.philgeps.gov.ph/GEPSNONPILOT/Tender/SplashBidNoticeAbstractUI.aspx?menuIndex=3&amp;refID=7039617&amp;Result=3","7039617")</f>
        <v>0</v>
      </c>
      <c r="B5261" t="s">
        <v>1726</v>
      </c>
      <c r="C5261" t="s">
        <v>7713</v>
      </c>
      <c r="D5261" t="s">
        <v>12988</v>
      </c>
      <c r="E5261" t="s">
        <v>17764</v>
      </c>
      <c r="F5261" t="s">
        <v>22436</v>
      </c>
      <c r="G5261" t="s">
        <v>22444</v>
      </c>
      <c r="H5261" t="s">
        <v>22452</v>
      </c>
      <c r="I5261" t="s">
        <v>2981</v>
      </c>
      <c r="J5261" t="s">
        <v>26018</v>
      </c>
      <c r="K5261" t="s">
        <v>29336</v>
      </c>
      <c r="M5261" t="s">
        <v>31431</v>
      </c>
      <c r="N5261" t="s">
        <v>32524</v>
      </c>
      <c r="O5261" t="s">
        <v>32525</v>
      </c>
      <c r="P5261">
        <v>0</v>
      </c>
      <c r="Q5261">
        <v>0</v>
      </c>
      <c r="R5261" t="s">
        <v>32531</v>
      </c>
      <c r="S5261" t="s">
        <v>32586</v>
      </c>
      <c r="T5261" t="s">
        <v>33259</v>
      </c>
      <c r="U5261" t="s">
        <v>37975</v>
      </c>
      <c r="W5261" t="s">
        <v>31431</v>
      </c>
      <c r="X5261" t="s">
        <v>32532</v>
      </c>
    </row>
    <row r="5262" spans="1:24">
      <c r="A5262">
        <f>HYPERLINK("https://www.philgeps.gov.ph/GEPSNONPILOT/Tender/SplashBidNoticeAbstractUI.aspx?menuIndex=3&amp;refID=7039594&amp;Result=3","7039594")</f>
        <v>0</v>
      </c>
      <c r="B5262" t="s">
        <v>1746</v>
      </c>
      <c r="C5262" t="s">
        <v>7714</v>
      </c>
      <c r="D5262" t="s">
        <v>13012</v>
      </c>
      <c r="E5262" t="s">
        <v>17765</v>
      </c>
      <c r="F5262" t="s">
        <v>22436</v>
      </c>
      <c r="G5262" t="s">
        <v>22444</v>
      </c>
      <c r="H5262" t="s">
        <v>22453</v>
      </c>
      <c r="I5262" t="s">
        <v>12358</v>
      </c>
      <c r="J5262" t="s">
        <v>26019</v>
      </c>
      <c r="K5262" t="s">
        <v>29336</v>
      </c>
      <c r="M5262" t="s">
        <v>31451</v>
      </c>
      <c r="N5262" t="s">
        <v>32524</v>
      </c>
      <c r="O5262" t="s">
        <v>32525</v>
      </c>
      <c r="P5262">
        <v>0</v>
      </c>
      <c r="Q5262">
        <v>0</v>
      </c>
      <c r="R5262" t="s">
        <v>32531</v>
      </c>
      <c r="S5262" t="s">
        <v>32586</v>
      </c>
      <c r="T5262" t="s">
        <v>33154</v>
      </c>
      <c r="U5262" t="s">
        <v>38045</v>
      </c>
      <c r="W5262" t="s">
        <v>31451</v>
      </c>
      <c r="X5262" t="s">
        <v>32532</v>
      </c>
    </row>
    <row r="5263" spans="1:24">
      <c r="A5263">
        <f>HYPERLINK("https://www.philgeps.gov.ph/GEPSNONPILOT/Tender/SplashBidNoticeAbstractUI.aspx?menuIndex=3&amp;refID=7039654&amp;Result=3","7039654")</f>
        <v>0</v>
      </c>
      <c r="B5263" t="s">
        <v>1748</v>
      </c>
      <c r="C5263" t="s">
        <v>7715</v>
      </c>
      <c r="D5263" t="s">
        <v>13053</v>
      </c>
      <c r="E5263" t="s">
        <v>17766</v>
      </c>
      <c r="F5263" t="s">
        <v>22436</v>
      </c>
      <c r="G5263" t="s">
        <v>22444</v>
      </c>
      <c r="H5263" t="s">
        <v>22452</v>
      </c>
      <c r="I5263" t="s">
        <v>3529</v>
      </c>
      <c r="J5263" t="s">
        <v>26020</v>
      </c>
      <c r="K5263" t="s">
        <v>29331</v>
      </c>
      <c r="M5263" t="s">
        <v>31453</v>
      </c>
      <c r="N5263" t="s">
        <v>32524</v>
      </c>
      <c r="O5263" t="s">
        <v>32525</v>
      </c>
      <c r="P5263">
        <v>0</v>
      </c>
      <c r="Q5263">
        <v>0</v>
      </c>
      <c r="R5263" t="s">
        <v>32531</v>
      </c>
      <c r="S5263" t="s">
        <v>32586</v>
      </c>
      <c r="T5263" t="s">
        <v>33167</v>
      </c>
      <c r="U5263" t="s">
        <v>35200</v>
      </c>
      <c r="V5263" t="s">
        <v>42988</v>
      </c>
      <c r="W5263" t="s">
        <v>31453</v>
      </c>
      <c r="X5263" t="s">
        <v>32532</v>
      </c>
    </row>
    <row r="5264" spans="1:24">
      <c r="A5264">
        <f>HYPERLINK("https://www.philgeps.gov.ph/GEPSNONPILOT/Tender/SplashBidNoticeAbstractUI.aspx?menuIndex=3&amp;refID=7039662&amp;Result=3","7039662")</f>
        <v>0</v>
      </c>
      <c r="B5264" t="s">
        <v>1182</v>
      </c>
      <c r="C5264" t="s">
        <v>7716</v>
      </c>
      <c r="D5264" t="s">
        <v>12993</v>
      </c>
      <c r="E5264" t="s">
        <v>17767</v>
      </c>
      <c r="F5264" t="s">
        <v>22436</v>
      </c>
      <c r="G5264" t="s">
        <v>22447</v>
      </c>
      <c r="H5264" t="s">
        <v>22452</v>
      </c>
      <c r="I5264" t="s">
        <v>22492</v>
      </c>
      <c r="J5264" t="s">
        <v>24681</v>
      </c>
      <c r="K5264" t="s">
        <v>29331</v>
      </c>
      <c r="M5264" t="s">
        <v>31415</v>
      </c>
      <c r="N5264" t="s">
        <v>32524</v>
      </c>
      <c r="O5264" t="s">
        <v>32525</v>
      </c>
      <c r="P5264">
        <v>0</v>
      </c>
      <c r="Q5264">
        <v>2</v>
      </c>
      <c r="R5264" t="s">
        <v>32531</v>
      </c>
      <c r="S5264" t="s">
        <v>32586</v>
      </c>
      <c r="T5264" t="s">
        <v>33213</v>
      </c>
      <c r="U5264" t="s">
        <v>38046</v>
      </c>
      <c r="W5264" t="s">
        <v>43731</v>
      </c>
      <c r="X5264" t="s">
        <v>32532</v>
      </c>
    </row>
    <row r="5265" spans="1:24">
      <c r="A5265">
        <f>HYPERLINK("https://www.philgeps.gov.ph/GEPSNONPILOT/Tender/SplashBidNoticeAbstractUI.aspx?menuIndex=3&amp;refID=7039660&amp;Result=3","7039660")</f>
        <v>0</v>
      </c>
      <c r="B5265" t="s">
        <v>1737</v>
      </c>
      <c r="C5265" t="s">
        <v>7717</v>
      </c>
      <c r="D5265" t="s">
        <v>13018</v>
      </c>
      <c r="E5265" t="s">
        <v>17768</v>
      </c>
      <c r="F5265" t="s">
        <v>22436</v>
      </c>
      <c r="G5265" t="s">
        <v>22443</v>
      </c>
      <c r="H5265" t="s">
        <v>22452</v>
      </c>
      <c r="I5265" t="s">
        <v>3827</v>
      </c>
      <c r="J5265" t="s">
        <v>22986</v>
      </c>
      <c r="K5265" t="s">
        <v>29341</v>
      </c>
      <c r="M5265" t="s">
        <v>31442</v>
      </c>
      <c r="N5265" t="s">
        <v>32524</v>
      </c>
      <c r="O5265" t="s">
        <v>32525</v>
      </c>
      <c r="P5265">
        <v>0</v>
      </c>
      <c r="Q5265">
        <v>0</v>
      </c>
      <c r="R5265" t="s">
        <v>32531</v>
      </c>
      <c r="S5265" t="s">
        <v>32586</v>
      </c>
      <c r="T5265" t="s">
        <v>33213</v>
      </c>
      <c r="U5265" t="s">
        <v>38047</v>
      </c>
      <c r="W5265" t="s">
        <v>31442</v>
      </c>
      <c r="X5265" t="s">
        <v>32532</v>
      </c>
    </row>
    <row r="5266" spans="1:24">
      <c r="A5266">
        <f>HYPERLINK("https://www.philgeps.gov.ph/GEPSNONPILOT/Tender/SplashBidNoticeAbstractUI.aspx?menuIndex=3&amp;refID=7039672&amp;Result=3","7039672")</f>
        <v>0</v>
      </c>
      <c r="B5266" t="s">
        <v>1709</v>
      </c>
      <c r="C5266" t="s">
        <v>7718</v>
      </c>
      <c r="D5266" t="s">
        <v>13003</v>
      </c>
      <c r="E5266" t="s">
        <v>17769</v>
      </c>
      <c r="F5266" t="s">
        <v>22436</v>
      </c>
      <c r="G5266" t="s">
        <v>22444</v>
      </c>
      <c r="H5266" t="s">
        <v>22452</v>
      </c>
      <c r="I5266" t="s">
        <v>22505</v>
      </c>
      <c r="J5266" t="s">
        <v>26021</v>
      </c>
      <c r="K5266" t="s">
        <v>29337</v>
      </c>
      <c r="M5266" t="s">
        <v>31412</v>
      </c>
      <c r="N5266" t="s">
        <v>32524</v>
      </c>
      <c r="O5266" t="s">
        <v>32525</v>
      </c>
      <c r="P5266">
        <v>0</v>
      </c>
      <c r="Q5266">
        <v>2</v>
      </c>
      <c r="R5266" t="s">
        <v>32531</v>
      </c>
      <c r="S5266" t="s">
        <v>32586</v>
      </c>
      <c r="T5266" t="s">
        <v>33220</v>
      </c>
      <c r="U5266" t="s">
        <v>38048</v>
      </c>
      <c r="W5266" t="s">
        <v>31412</v>
      </c>
      <c r="X5266" t="s">
        <v>32532</v>
      </c>
    </row>
    <row r="5267" spans="1:24">
      <c r="A5267">
        <f>HYPERLINK("https://www.philgeps.gov.ph/GEPSNONPILOT/Tender/SplashBidNoticeAbstractUI.aspx?menuIndex=3&amp;refID=7039656&amp;Result=3","7039656")</f>
        <v>0</v>
      </c>
      <c r="B5267" t="s">
        <v>1709</v>
      </c>
      <c r="C5267" t="s">
        <v>7719</v>
      </c>
      <c r="D5267" t="s">
        <v>13003</v>
      </c>
      <c r="E5267" t="s">
        <v>17770</v>
      </c>
      <c r="F5267" t="s">
        <v>22436</v>
      </c>
      <c r="G5267" t="s">
        <v>22444</v>
      </c>
      <c r="H5267" t="s">
        <v>22452</v>
      </c>
      <c r="I5267" t="s">
        <v>2981</v>
      </c>
      <c r="J5267" t="s">
        <v>22874</v>
      </c>
      <c r="K5267" t="s">
        <v>29337</v>
      </c>
      <c r="M5267" t="s">
        <v>31412</v>
      </c>
      <c r="N5267" t="s">
        <v>32524</v>
      </c>
      <c r="O5267" t="s">
        <v>32525</v>
      </c>
      <c r="P5267">
        <v>0</v>
      </c>
      <c r="Q5267">
        <v>1</v>
      </c>
      <c r="R5267" t="s">
        <v>32531</v>
      </c>
      <c r="S5267" t="s">
        <v>32586</v>
      </c>
      <c r="T5267" t="s">
        <v>33220</v>
      </c>
      <c r="U5267" t="s">
        <v>38049</v>
      </c>
      <c r="W5267" t="s">
        <v>31412</v>
      </c>
      <c r="X5267" t="s">
        <v>32532</v>
      </c>
    </row>
    <row r="5268" spans="1:24">
      <c r="A5268">
        <f>HYPERLINK("https://www.philgeps.gov.ph/GEPSNONPILOT/Tender/SplashBidNoticeAbstractUI.aspx?menuIndex=3&amp;refID=7039657&amp;Result=3","7039657")</f>
        <v>0</v>
      </c>
      <c r="B5268" t="s">
        <v>1749</v>
      </c>
      <c r="C5268" t="s">
        <v>7720</v>
      </c>
      <c r="D5268" t="s">
        <v>13000</v>
      </c>
      <c r="E5268" t="s">
        <v>15687</v>
      </c>
      <c r="F5268" t="s">
        <v>22437</v>
      </c>
      <c r="G5268" t="s">
        <v>22446</v>
      </c>
      <c r="H5268" t="s">
        <v>22452</v>
      </c>
      <c r="I5268" t="s">
        <v>22540</v>
      </c>
      <c r="J5268" t="s">
        <v>26022</v>
      </c>
      <c r="K5268" t="s">
        <v>29331</v>
      </c>
      <c r="M5268" t="s">
        <v>31454</v>
      </c>
      <c r="N5268" t="s">
        <v>32524</v>
      </c>
      <c r="O5268" t="s">
        <v>32525</v>
      </c>
      <c r="P5268">
        <v>0</v>
      </c>
      <c r="Q5268">
        <v>12</v>
      </c>
      <c r="R5268" t="s">
        <v>32531</v>
      </c>
      <c r="S5268" t="s">
        <v>32586</v>
      </c>
      <c r="T5268" t="s">
        <v>33185</v>
      </c>
      <c r="U5268" t="s">
        <v>38050</v>
      </c>
      <c r="W5268" t="s">
        <v>31454</v>
      </c>
      <c r="X5268" t="s">
        <v>32532</v>
      </c>
    </row>
    <row r="5269" spans="1:24">
      <c r="A5269">
        <f>HYPERLINK("https://www.philgeps.gov.ph/GEPSNONPILOT/Tender/SplashBidNoticeAbstractUI.aspx?menuIndex=3&amp;refID=7039663&amp;Result=3","7039663")</f>
        <v>0</v>
      </c>
      <c r="B5269" t="s">
        <v>1547</v>
      </c>
      <c r="C5269" t="s">
        <v>7721</v>
      </c>
      <c r="E5269" t="s">
        <v>17771</v>
      </c>
      <c r="F5269" t="s">
        <v>22436</v>
      </c>
      <c r="G5269" t="s">
        <v>22443</v>
      </c>
      <c r="H5269" t="s">
        <v>22452</v>
      </c>
      <c r="I5269" t="s">
        <v>22460</v>
      </c>
      <c r="J5269" t="s">
        <v>26023</v>
      </c>
      <c r="K5269" t="s">
        <v>29335</v>
      </c>
      <c r="M5269" t="s">
        <v>31226</v>
      </c>
      <c r="N5269" t="s">
        <v>32524</v>
      </c>
      <c r="O5269" t="s">
        <v>32525</v>
      </c>
      <c r="P5269">
        <v>0</v>
      </c>
      <c r="Q5269">
        <v>3</v>
      </c>
      <c r="R5269" t="s">
        <v>32531</v>
      </c>
      <c r="S5269" t="s">
        <v>32586</v>
      </c>
      <c r="T5269" t="s">
        <v>33256</v>
      </c>
      <c r="U5269" t="s">
        <v>38051</v>
      </c>
      <c r="W5269" t="s">
        <v>43727</v>
      </c>
      <c r="X5269" t="s">
        <v>32532</v>
      </c>
    </row>
    <row r="5270" spans="1:24">
      <c r="A5270">
        <f>HYPERLINK("https://www.philgeps.gov.ph/GEPSNONPILOT/Tender/SplashBidNoticeAbstractUI.aspx?menuIndex=3&amp;refID=7039621&amp;Result=3","7039621")</f>
        <v>0</v>
      </c>
      <c r="B5270" t="s">
        <v>110</v>
      </c>
      <c r="C5270" t="s">
        <v>7722</v>
      </c>
      <c r="D5270" t="s">
        <v>13028</v>
      </c>
      <c r="E5270" t="s">
        <v>17772</v>
      </c>
      <c r="F5270" t="s">
        <v>22436</v>
      </c>
      <c r="G5270" t="s">
        <v>22444</v>
      </c>
      <c r="H5270" t="s">
        <v>22452</v>
      </c>
      <c r="I5270" t="s">
        <v>22476</v>
      </c>
      <c r="J5270" t="s">
        <v>26024</v>
      </c>
      <c r="K5270" t="s">
        <v>29337</v>
      </c>
      <c r="M5270" t="s">
        <v>29682</v>
      </c>
      <c r="N5270" t="s">
        <v>32524</v>
      </c>
      <c r="O5270" t="s">
        <v>32525</v>
      </c>
      <c r="P5270">
        <v>0</v>
      </c>
      <c r="Q5270">
        <v>1</v>
      </c>
      <c r="R5270" t="s">
        <v>32531</v>
      </c>
      <c r="S5270" t="s">
        <v>32586</v>
      </c>
      <c r="T5270" t="s">
        <v>33199</v>
      </c>
      <c r="U5270" t="s">
        <v>38052</v>
      </c>
      <c r="W5270" t="s">
        <v>29682</v>
      </c>
      <c r="X5270" t="s">
        <v>32532</v>
      </c>
    </row>
    <row r="5271" spans="1:24">
      <c r="A5271">
        <f>HYPERLINK("https://www.philgeps.gov.ph/GEPSNONPILOT/Tender/SplashBidNoticeAbstractUI.aspx?menuIndex=3&amp;refID=7039675&amp;Result=3","7039675")</f>
        <v>0</v>
      </c>
      <c r="B5271" t="s">
        <v>1745</v>
      </c>
      <c r="C5271" t="s">
        <v>7723</v>
      </c>
      <c r="D5271" t="s">
        <v>13061</v>
      </c>
      <c r="E5271" t="s">
        <v>17773</v>
      </c>
      <c r="F5271" t="s">
        <v>22436</v>
      </c>
      <c r="G5271" t="s">
        <v>22446</v>
      </c>
      <c r="H5271" t="s">
        <v>22452</v>
      </c>
      <c r="I5271" t="s">
        <v>22572</v>
      </c>
      <c r="J5271" t="s">
        <v>23885</v>
      </c>
      <c r="K5271" t="s">
        <v>29336</v>
      </c>
      <c r="M5271" t="s">
        <v>31450</v>
      </c>
      <c r="N5271" t="s">
        <v>32524</v>
      </c>
      <c r="O5271" t="s">
        <v>32525</v>
      </c>
      <c r="P5271">
        <v>0</v>
      </c>
      <c r="Q5271">
        <v>2</v>
      </c>
      <c r="R5271" t="s">
        <v>32531</v>
      </c>
      <c r="S5271" t="s">
        <v>32586</v>
      </c>
      <c r="T5271" t="s">
        <v>33183</v>
      </c>
      <c r="U5271" t="s">
        <v>38053</v>
      </c>
      <c r="W5271" t="s">
        <v>31450</v>
      </c>
      <c r="X5271" t="s">
        <v>32532</v>
      </c>
    </row>
    <row r="5272" spans="1:24">
      <c r="A5272">
        <f>HYPERLINK("https://www.philgeps.gov.ph/GEPSNONPILOT/Tender/SplashBidNoticeAbstractUI.aspx?menuIndex=3&amp;refID=7039655&amp;Result=3","7039655")</f>
        <v>0</v>
      </c>
      <c r="B5272" t="s">
        <v>1708</v>
      </c>
      <c r="C5272" t="s">
        <v>7724</v>
      </c>
      <c r="D5272" t="s">
        <v>12992</v>
      </c>
      <c r="E5272" t="s">
        <v>17774</v>
      </c>
      <c r="F5272" t="s">
        <v>22436</v>
      </c>
      <c r="G5272" t="s">
        <v>22444</v>
      </c>
      <c r="H5272" t="s">
        <v>22452</v>
      </c>
      <c r="I5272" t="s">
        <v>22492</v>
      </c>
      <c r="J5272" t="s">
        <v>26025</v>
      </c>
      <c r="K5272" t="s">
        <v>29338</v>
      </c>
      <c r="M5272" t="s">
        <v>31410</v>
      </c>
      <c r="N5272" t="s">
        <v>32524</v>
      </c>
      <c r="O5272" t="s">
        <v>32525</v>
      </c>
      <c r="P5272">
        <v>0</v>
      </c>
      <c r="Q5272">
        <v>1</v>
      </c>
      <c r="R5272" t="s">
        <v>32531</v>
      </c>
      <c r="S5272" t="s">
        <v>32586</v>
      </c>
      <c r="T5272" t="s">
        <v>33471</v>
      </c>
      <c r="U5272" t="s">
        <v>38054</v>
      </c>
      <c r="V5272" t="s">
        <v>42970</v>
      </c>
      <c r="W5272" t="s">
        <v>31410</v>
      </c>
      <c r="X5272" t="s">
        <v>32532</v>
      </c>
    </row>
    <row r="5273" spans="1:24">
      <c r="A5273">
        <f>HYPERLINK("https://www.philgeps.gov.ph/GEPSNONPILOT/Tender/SplashBidNoticeAbstractUI.aspx?menuIndex=3&amp;refID=7039671&amp;Result=3","7039671")</f>
        <v>0</v>
      </c>
      <c r="B5273" t="s">
        <v>1737</v>
      </c>
      <c r="C5273" t="s">
        <v>7725</v>
      </c>
      <c r="D5273" t="s">
        <v>13018</v>
      </c>
      <c r="E5273" t="s">
        <v>17775</v>
      </c>
      <c r="F5273" t="s">
        <v>22436</v>
      </c>
      <c r="G5273" t="s">
        <v>22443</v>
      </c>
      <c r="H5273" t="s">
        <v>22452</v>
      </c>
      <c r="I5273" t="s">
        <v>3027</v>
      </c>
      <c r="J5273" t="s">
        <v>26026</v>
      </c>
      <c r="K5273" t="s">
        <v>29341</v>
      </c>
      <c r="M5273" t="s">
        <v>31442</v>
      </c>
      <c r="N5273" t="s">
        <v>32524</v>
      </c>
      <c r="O5273" t="s">
        <v>32525</v>
      </c>
      <c r="P5273">
        <v>0</v>
      </c>
      <c r="Q5273">
        <v>0</v>
      </c>
      <c r="R5273" t="s">
        <v>32531</v>
      </c>
      <c r="S5273" t="s">
        <v>32586</v>
      </c>
      <c r="T5273" t="s">
        <v>33213</v>
      </c>
      <c r="U5273" t="s">
        <v>38055</v>
      </c>
      <c r="W5273" t="s">
        <v>31442</v>
      </c>
      <c r="X5273" t="s">
        <v>32532</v>
      </c>
    </row>
    <row r="5274" spans="1:24">
      <c r="A5274">
        <f>HYPERLINK("https://www.philgeps.gov.ph/GEPSNONPILOT/Tender/SplashBidNoticeAbstractUI.aspx?menuIndex=3&amp;refID=7039661&amp;Result=3","7039661")</f>
        <v>0</v>
      </c>
      <c r="B5274" t="s">
        <v>1750</v>
      </c>
      <c r="C5274" t="s">
        <v>7726</v>
      </c>
      <c r="D5274" t="s">
        <v>13066</v>
      </c>
      <c r="E5274" t="s">
        <v>17776</v>
      </c>
      <c r="F5274" t="s">
        <v>22436</v>
      </c>
      <c r="G5274" t="s">
        <v>22444</v>
      </c>
      <c r="H5274" t="s">
        <v>22452</v>
      </c>
      <c r="I5274" t="s">
        <v>22474</v>
      </c>
      <c r="J5274" t="s">
        <v>25164</v>
      </c>
      <c r="K5274" t="s">
        <v>29335</v>
      </c>
      <c r="M5274" t="s">
        <v>31455</v>
      </c>
      <c r="N5274" t="s">
        <v>32524</v>
      </c>
      <c r="O5274" t="s">
        <v>32525</v>
      </c>
      <c r="P5274">
        <v>0</v>
      </c>
      <c r="Q5274">
        <v>8</v>
      </c>
      <c r="R5274" t="s">
        <v>32531</v>
      </c>
      <c r="S5274" t="s">
        <v>32586</v>
      </c>
      <c r="T5274" t="s">
        <v>33207</v>
      </c>
      <c r="U5274" t="s">
        <v>38056</v>
      </c>
      <c r="W5274" t="s">
        <v>31455</v>
      </c>
      <c r="X5274" t="s">
        <v>32532</v>
      </c>
    </row>
    <row r="5275" spans="1:24">
      <c r="A5275">
        <f>HYPERLINK("https://www.philgeps.gov.ph/GEPSNONPILOT/Tender/SplashBidNoticeAbstractUI.aspx?menuIndex=3&amp;refID=7039678&amp;Result=3","7039678")</f>
        <v>0</v>
      </c>
      <c r="B5275" t="s">
        <v>525</v>
      </c>
      <c r="C5275" t="s">
        <v>7727</v>
      </c>
      <c r="D5275" t="s">
        <v>13038</v>
      </c>
      <c r="E5275" t="s">
        <v>17777</v>
      </c>
      <c r="F5275" t="s">
        <v>22436</v>
      </c>
      <c r="G5275" t="s">
        <v>22444</v>
      </c>
      <c r="H5275" t="s">
        <v>22452</v>
      </c>
      <c r="I5275" t="s">
        <v>12358</v>
      </c>
      <c r="J5275" t="s">
        <v>26027</v>
      </c>
      <c r="K5275" t="s">
        <v>29335</v>
      </c>
      <c r="M5275" t="s">
        <v>30109</v>
      </c>
      <c r="N5275" t="s">
        <v>32524</v>
      </c>
      <c r="O5275" t="s">
        <v>32525</v>
      </c>
      <c r="P5275">
        <v>0</v>
      </c>
      <c r="Q5275">
        <v>1</v>
      </c>
      <c r="R5275" t="s">
        <v>32531</v>
      </c>
      <c r="S5275" t="s">
        <v>32586</v>
      </c>
      <c r="T5275" t="s">
        <v>33252</v>
      </c>
      <c r="U5275" t="s">
        <v>38057</v>
      </c>
      <c r="W5275" t="s">
        <v>30109</v>
      </c>
      <c r="X5275" t="s">
        <v>32532</v>
      </c>
    </row>
    <row r="5276" spans="1:24">
      <c r="A5276">
        <f>HYPERLINK("https://www.philgeps.gov.ph/GEPSNONPILOT/Tender/SplashBidNoticeAbstractUI.aspx?menuIndex=3&amp;refID=7039699&amp;Result=3","7039699")</f>
        <v>0</v>
      </c>
      <c r="B5276" t="s">
        <v>1751</v>
      </c>
      <c r="C5276" t="s">
        <v>7728</v>
      </c>
      <c r="D5276" t="s">
        <v>13000</v>
      </c>
      <c r="E5276" t="s">
        <v>13182</v>
      </c>
      <c r="F5276" t="s">
        <v>22436</v>
      </c>
      <c r="G5276" t="s">
        <v>22443</v>
      </c>
      <c r="H5276" t="s">
        <v>22452</v>
      </c>
      <c r="I5276" t="s">
        <v>22478</v>
      </c>
      <c r="J5276" t="s">
        <v>23780</v>
      </c>
      <c r="K5276" t="s">
        <v>29356</v>
      </c>
      <c r="M5276" t="s">
        <v>31456</v>
      </c>
      <c r="N5276" t="s">
        <v>32524</v>
      </c>
      <c r="O5276" t="s">
        <v>32525</v>
      </c>
      <c r="P5276">
        <v>0</v>
      </c>
      <c r="Q5276">
        <v>1</v>
      </c>
      <c r="R5276" t="s">
        <v>32531</v>
      </c>
      <c r="S5276" t="s">
        <v>32586</v>
      </c>
      <c r="T5276" t="s">
        <v>33167</v>
      </c>
      <c r="U5276" t="s">
        <v>38058</v>
      </c>
      <c r="W5276" t="s">
        <v>31456</v>
      </c>
      <c r="X5276" t="s">
        <v>32532</v>
      </c>
    </row>
    <row r="5277" spans="1:24">
      <c r="A5277">
        <f>HYPERLINK("https://www.philgeps.gov.ph/GEPSNONPILOT/Tender/SplashBidNoticeAbstractUI.aspx?menuIndex=3&amp;refID=7039674&amp;Result=3","7039674")</f>
        <v>0</v>
      </c>
      <c r="B5277" t="s">
        <v>131</v>
      </c>
      <c r="C5277" t="s">
        <v>7729</v>
      </c>
      <c r="D5277" t="s">
        <v>13032</v>
      </c>
      <c r="E5277" t="s">
        <v>17778</v>
      </c>
      <c r="F5277" t="s">
        <v>22436</v>
      </c>
      <c r="G5277" t="s">
        <v>22443</v>
      </c>
      <c r="H5277" t="s">
        <v>22452</v>
      </c>
      <c r="I5277" t="s">
        <v>22484</v>
      </c>
      <c r="J5277" t="s">
        <v>22640</v>
      </c>
      <c r="K5277" t="s">
        <v>29338</v>
      </c>
      <c r="M5277" t="s">
        <v>29703</v>
      </c>
      <c r="N5277" t="s">
        <v>32524</v>
      </c>
      <c r="O5277" t="s">
        <v>32525</v>
      </c>
      <c r="P5277">
        <v>0</v>
      </c>
      <c r="Q5277">
        <v>3</v>
      </c>
      <c r="R5277" t="s">
        <v>32531</v>
      </c>
      <c r="S5277" t="s">
        <v>32586</v>
      </c>
      <c r="T5277" t="s">
        <v>33238</v>
      </c>
      <c r="U5277" t="s">
        <v>38059</v>
      </c>
      <c r="W5277" t="s">
        <v>29703</v>
      </c>
      <c r="X5277" t="s">
        <v>32532</v>
      </c>
    </row>
    <row r="5278" spans="1:24">
      <c r="A5278">
        <f>HYPERLINK("https://www.philgeps.gov.ph/GEPSNONPILOT/Tender/SplashBidNoticeAbstractUI.aspx?menuIndex=3&amp;refID=7039698&amp;Result=3","7039698")</f>
        <v>0</v>
      </c>
      <c r="B5278" t="s">
        <v>525</v>
      </c>
      <c r="C5278" t="s">
        <v>7730</v>
      </c>
      <c r="D5278" t="s">
        <v>13038</v>
      </c>
      <c r="E5278" t="s">
        <v>17779</v>
      </c>
      <c r="F5278" t="s">
        <v>22436</v>
      </c>
      <c r="G5278" t="s">
        <v>22444</v>
      </c>
      <c r="H5278" t="s">
        <v>22452</v>
      </c>
      <c r="I5278" t="s">
        <v>12358</v>
      </c>
      <c r="J5278" t="s">
        <v>26028</v>
      </c>
      <c r="K5278" t="s">
        <v>29335</v>
      </c>
      <c r="M5278" t="s">
        <v>30109</v>
      </c>
      <c r="N5278" t="s">
        <v>32524</v>
      </c>
      <c r="O5278" t="s">
        <v>32525</v>
      </c>
      <c r="P5278">
        <v>0</v>
      </c>
      <c r="Q5278">
        <v>0</v>
      </c>
      <c r="R5278" t="s">
        <v>32531</v>
      </c>
      <c r="S5278" t="s">
        <v>32586</v>
      </c>
      <c r="T5278" t="s">
        <v>33252</v>
      </c>
      <c r="U5278" t="s">
        <v>38060</v>
      </c>
      <c r="W5278" t="s">
        <v>30109</v>
      </c>
      <c r="X5278" t="s">
        <v>32532</v>
      </c>
    </row>
    <row r="5279" spans="1:24">
      <c r="A5279">
        <f>HYPERLINK("https://www.philgeps.gov.ph/GEPSNONPILOT/Tender/SplashBidNoticeAbstractUI.aspx?menuIndex=3&amp;refID=7039696&amp;Result=3","7039696")</f>
        <v>0</v>
      </c>
      <c r="B5279" t="s">
        <v>1182</v>
      </c>
      <c r="C5279" t="s">
        <v>7731</v>
      </c>
      <c r="D5279" t="s">
        <v>12993</v>
      </c>
      <c r="E5279" t="s">
        <v>17780</v>
      </c>
      <c r="F5279" t="s">
        <v>22436</v>
      </c>
      <c r="G5279" t="s">
        <v>22447</v>
      </c>
      <c r="H5279" t="s">
        <v>22452</v>
      </c>
      <c r="I5279" t="s">
        <v>22465</v>
      </c>
      <c r="J5279" t="s">
        <v>22893</v>
      </c>
      <c r="K5279" t="s">
        <v>29331</v>
      </c>
      <c r="M5279" t="s">
        <v>31415</v>
      </c>
      <c r="N5279" t="s">
        <v>32524</v>
      </c>
      <c r="O5279" t="s">
        <v>32525</v>
      </c>
      <c r="P5279">
        <v>0</v>
      </c>
      <c r="Q5279">
        <v>2</v>
      </c>
      <c r="R5279" t="s">
        <v>32531</v>
      </c>
      <c r="S5279" t="s">
        <v>32586</v>
      </c>
      <c r="T5279" t="s">
        <v>33213</v>
      </c>
      <c r="U5279" t="s">
        <v>38061</v>
      </c>
      <c r="W5279" t="s">
        <v>43731</v>
      </c>
      <c r="X5279" t="s">
        <v>32532</v>
      </c>
    </row>
    <row r="5280" spans="1:24">
      <c r="A5280">
        <f>HYPERLINK("https://www.philgeps.gov.ph/GEPSNONPILOT/Tender/SplashBidNoticeAbstractUI.aspx?menuIndex=3&amp;refID=7039702&amp;Result=3","7039702")</f>
        <v>0</v>
      </c>
      <c r="B5280" t="s">
        <v>1752</v>
      </c>
      <c r="C5280" t="s">
        <v>7732</v>
      </c>
      <c r="D5280" t="s">
        <v>13022</v>
      </c>
      <c r="E5280" t="s">
        <v>17781</v>
      </c>
      <c r="F5280" t="s">
        <v>22436</v>
      </c>
      <c r="G5280" t="s">
        <v>22443</v>
      </c>
      <c r="H5280" t="s">
        <v>22452</v>
      </c>
      <c r="I5280" t="s">
        <v>6387</v>
      </c>
      <c r="J5280" t="s">
        <v>26029</v>
      </c>
      <c r="K5280" t="s">
        <v>29335</v>
      </c>
      <c r="M5280" t="s">
        <v>31457</v>
      </c>
      <c r="N5280" t="s">
        <v>32524</v>
      </c>
      <c r="O5280" t="s">
        <v>32525</v>
      </c>
      <c r="P5280">
        <v>0</v>
      </c>
      <c r="Q5280">
        <v>3</v>
      </c>
      <c r="R5280" t="s">
        <v>32531</v>
      </c>
      <c r="S5280" t="s">
        <v>32586</v>
      </c>
      <c r="T5280" t="s">
        <v>33372</v>
      </c>
      <c r="U5280" t="s">
        <v>38062</v>
      </c>
      <c r="W5280" t="s">
        <v>31457</v>
      </c>
      <c r="X5280" t="s">
        <v>32532</v>
      </c>
    </row>
    <row r="5281" spans="1:24">
      <c r="A5281">
        <f>HYPERLINK("https://www.philgeps.gov.ph/GEPSNONPILOT/Tender/SplashBidNoticeAbstractUI.aspx?menuIndex=3&amp;refID=7039693&amp;Result=3","7039693")</f>
        <v>0</v>
      </c>
      <c r="B5281" t="s">
        <v>1753</v>
      </c>
      <c r="C5281" t="s">
        <v>3333</v>
      </c>
      <c r="D5281" t="s">
        <v>13024</v>
      </c>
      <c r="E5281" t="s">
        <v>14765</v>
      </c>
      <c r="F5281" t="s">
        <v>22436</v>
      </c>
      <c r="G5281" t="s">
        <v>22443</v>
      </c>
      <c r="H5281" t="s">
        <v>22452</v>
      </c>
      <c r="I5281" t="s">
        <v>3122</v>
      </c>
      <c r="J5281" t="s">
        <v>23458</v>
      </c>
      <c r="K5281" t="s">
        <v>29338</v>
      </c>
      <c r="M5281" t="s">
        <v>31458</v>
      </c>
      <c r="N5281" t="s">
        <v>32524</v>
      </c>
      <c r="O5281" t="s">
        <v>32525</v>
      </c>
      <c r="P5281">
        <v>0</v>
      </c>
      <c r="Q5281">
        <v>3</v>
      </c>
      <c r="R5281" t="s">
        <v>32531</v>
      </c>
      <c r="S5281" t="s">
        <v>32586</v>
      </c>
      <c r="T5281" t="s">
        <v>33372</v>
      </c>
      <c r="U5281" t="s">
        <v>38063</v>
      </c>
      <c r="W5281" t="s">
        <v>31458</v>
      </c>
      <c r="X5281" t="s">
        <v>32532</v>
      </c>
    </row>
    <row r="5282" spans="1:24">
      <c r="A5282">
        <f>HYPERLINK("https://www.philgeps.gov.ph/GEPSNONPILOT/Tender/SplashBidNoticeAbstractUI.aspx?menuIndex=3&amp;refID=7039697&amp;Result=3","7039697")</f>
        <v>0</v>
      </c>
      <c r="B5282" t="s">
        <v>1740</v>
      </c>
      <c r="C5282" t="s">
        <v>7733</v>
      </c>
      <c r="D5282" t="s">
        <v>13045</v>
      </c>
      <c r="E5282" t="s">
        <v>17782</v>
      </c>
      <c r="F5282" t="s">
        <v>22436</v>
      </c>
      <c r="G5282" t="s">
        <v>22444</v>
      </c>
      <c r="H5282" t="s">
        <v>22452</v>
      </c>
      <c r="I5282" t="s">
        <v>6421</v>
      </c>
      <c r="J5282" t="s">
        <v>26030</v>
      </c>
      <c r="K5282" t="s">
        <v>29335</v>
      </c>
      <c r="M5282" t="s">
        <v>31445</v>
      </c>
      <c r="N5282" t="s">
        <v>32524</v>
      </c>
      <c r="O5282" t="s">
        <v>32525</v>
      </c>
      <c r="P5282">
        <v>0</v>
      </c>
      <c r="Q5282">
        <v>3</v>
      </c>
      <c r="R5282" t="s">
        <v>32531</v>
      </c>
      <c r="S5282" t="s">
        <v>32586</v>
      </c>
      <c r="T5282" t="s">
        <v>33227</v>
      </c>
      <c r="U5282" t="s">
        <v>38064</v>
      </c>
      <c r="W5282" t="s">
        <v>31445</v>
      </c>
      <c r="X5282" t="s">
        <v>32532</v>
      </c>
    </row>
    <row r="5283" spans="1:24">
      <c r="A5283">
        <f>HYPERLINK("https://www.philgeps.gov.ph/GEPSNONPILOT/Tender/SplashBidNoticeAbstractUI.aspx?menuIndex=3&amp;refID=7039704&amp;Result=3","7039704")</f>
        <v>0</v>
      </c>
      <c r="B5283" t="s">
        <v>332</v>
      </c>
      <c r="C5283" t="s">
        <v>7734</v>
      </c>
      <c r="D5283" t="s">
        <v>13013</v>
      </c>
      <c r="E5283" t="s">
        <v>17783</v>
      </c>
      <c r="F5283" t="s">
        <v>22436</v>
      </c>
      <c r="G5283" t="s">
        <v>22443</v>
      </c>
      <c r="H5283" t="s">
        <v>22452</v>
      </c>
      <c r="I5283" t="s">
        <v>3381</v>
      </c>
      <c r="J5283" t="s">
        <v>26031</v>
      </c>
      <c r="K5283" t="s">
        <v>29335</v>
      </c>
      <c r="M5283" t="s">
        <v>29908</v>
      </c>
      <c r="N5283" t="s">
        <v>32524</v>
      </c>
      <c r="O5283" t="s">
        <v>32525</v>
      </c>
      <c r="P5283">
        <v>0</v>
      </c>
      <c r="Q5283">
        <v>1</v>
      </c>
      <c r="R5283" t="s">
        <v>32531</v>
      </c>
      <c r="S5283" t="s">
        <v>32586</v>
      </c>
      <c r="T5283" t="s">
        <v>33185</v>
      </c>
      <c r="U5283" t="s">
        <v>38065</v>
      </c>
      <c r="W5283" t="s">
        <v>43678</v>
      </c>
      <c r="X5283" t="s">
        <v>32532</v>
      </c>
    </row>
    <row r="5284" spans="1:24">
      <c r="A5284">
        <f>HYPERLINK("https://www.philgeps.gov.ph/GEPSNONPILOT/Tender/SplashBidNoticeAbstractUI.aspx?menuIndex=3&amp;refID=7039692&amp;Result=3","7039692")</f>
        <v>0</v>
      </c>
      <c r="B5284" t="s">
        <v>1446</v>
      </c>
      <c r="C5284" t="s">
        <v>7735</v>
      </c>
      <c r="D5284" t="s">
        <v>13049</v>
      </c>
      <c r="E5284" t="s">
        <v>17784</v>
      </c>
      <c r="F5284" t="s">
        <v>22436</v>
      </c>
      <c r="G5284" t="s">
        <v>22444</v>
      </c>
      <c r="H5284" t="s">
        <v>22454</v>
      </c>
      <c r="I5284" t="s">
        <v>7738</v>
      </c>
      <c r="J5284" t="s">
        <v>26032</v>
      </c>
      <c r="K5284" t="s">
        <v>29341</v>
      </c>
      <c r="M5284" t="s">
        <v>31110</v>
      </c>
      <c r="N5284" t="s">
        <v>32524</v>
      </c>
      <c r="O5284" t="s">
        <v>32525</v>
      </c>
      <c r="P5284">
        <v>0</v>
      </c>
      <c r="Q5284">
        <v>0</v>
      </c>
      <c r="R5284" t="s">
        <v>32531</v>
      </c>
      <c r="S5284" t="s">
        <v>32586</v>
      </c>
      <c r="T5284" t="s">
        <v>33234</v>
      </c>
      <c r="U5284" t="s">
        <v>38066</v>
      </c>
      <c r="V5284" t="s">
        <v>42989</v>
      </c>
      <c r="W5284" t="s">
        <v>31110</v>
      </c>
      <c r="X5284" t="s">
        <v>32532</v>
      </c>
    </row>
    <row r="5285" spans="1:24">
      <c r="A5285">
        <f>HYPERLINK("https://www.philgeps.gov.ph/GEPSNONPILOT/Tender/SplashBidNoticeAbstractUI.aspx?menuIndex=3&amp;refID=7039676&amp;Result=3","7039676")</f>
        <v>0</v>
      </c>
      <c r="B5285" t="s">
        <v>196</v>
      </c>
      <c r="C5285" t="s">
        <v>4514</v>
      </c>
      <c r="D5285" t="s">
        <v>13002</v>
      </c>
      <c r="E5285" t="s">
        <v>17785</v>
      </c>
      <c r="F5285" t="s">
        <v>22436</v>
      </c>
      <c r="G5285" t="s">
        <v>22443</v>
      </c>
      <c r="H5285" t="s">
        <v>22452</v>
      </c>
      <c r="I5285" t="s">
        <v>22463</v>
      </c>
      <c r="J5285" t="s">
        <v>26033</v>
      </c>
      <c r="K5285" t="s">
        <v>29331</v>
      </c>
      <c r="M5285" t="s">
        <v>31297</v>
      </c>
      <c r="N5285" t="s">
        <v>32524</v>
      </c>
      <c r="O5285" t="s">
        <v>32525</v>
      </c>
      <c r="P5285">
        <v>0</v>
      </c>
      <c r="Q5285">
        <v>3</v>
      </c>
      <c r="R5285" t="s">
        <v>32531</v>
      </c>
      <c r="S5285" t="s">
        <v>32586</v>
      </c>
      <c r="T5285" t="s">
        <v>33296</v>
      </c>
      <c r="U5285" t="s">
        <v>38067</v>
      </c>
      <c r="W5285" t="s">
        <v>31297</v>
      </c>
      <c r="X5285" t="s">
        <v>32532</v>
      </c>
    </row>
    <row r="5286" spans="1:24">
      <c r="A5286">
        <f>HYPERLINK("https://www.philgeps.gov.ph/GEPSNONPILOT/Tender/SplashBidNoticeAbstractUI.aspx?menuIndex=3&amp;refID=7039714&amp;Result=3","7039714")</f>
        <v>0</v>
      </c>
      <c r="B5286" t="s">
        <v>1019</v>
      </c>
      <c r="C5286" t="s">
        <v>7736</v>
      </c>
      <c r="D5286" t="s">
        <v>13016</v>
      </c>
      <c r="E5286" t="s">
        <v>17786</v>
      </c>
      <c r="F5286" t="s">
        <v>22436</v>
      </c>
      <c r="G5286" t="s">
        <v>22444</v>
      </c>
      <c r="H5286" t="s">
        <v>22452</v>
      </c>
      <c r="I5286" t="s">
        <v>3529</v>
      </c>
      <c r="J5286" t="s">
        <v>26034</v>
      </c>
      <c r="K5286" t="s">
        <v>29338</v>
      </c>
      <c r="M5286" t="s">
        <v>30647</v>
      </c>
      <c r="N5286" t="s">
        <v>32524</v>
      </c>
      <c r="O5286" t="s">
        <v>32525</v>
      </c>
      <c r="P5286">
        <v>0</v>
      </c>
      <c r="Q5286">
        <v>2</v>
      </c>
      <c r="R5286" t="s">
        <v>32531</v>
      </c>
      <c r="S5286" t="s">
        <v>32586</v>
      </c>
      <c r="T5286" t="s">
        <v>33491</v>
      </c>
      <c r="U5286" t="s">
        <v>38068</v>
      </c>
      <c r="V5286" t="s">
        <v>42990</v>
      </c>
      <c r="W5286" t="s">
        <v>30647</v>
      </c>
      <c r="X5286" t="s">
        <v>32532</v>
      </c>
    </row>
    <row r="5287" spans="1:24">
      <c r="A5287">
        <f>HYPERLINK("https://www.philgeps.gov.ph/GEPSNONPILOT/Tender/SplashBidNoticeAbstractUI.aspx?menuIndex=3&amp;refID=7039712&amp;Result=3","7039712")</f>
        <v>0</v>
      </c>
      <c r="B5287" t="s">
        <v>1664</v>
      </c>
      <c r="C5287" t="s">
        <v>7737</v>
      </c>
      <c r="D5287" t="s">
        <v>12999</v>
      </c>
      <c r="E5287" t="s">
        <v>17787</v>
      </c>
      <c r="F5287" t="s">
        <v>22436</v>
      </c>
      <c r="G5287" t="s">
        <v>22444</v>
      </c>
      <c r="H5287" t="s">
        <v>22454</v>
      </c>
      <c r="I5287" t="s">
        <v>7738</v>
      </c>
      <c r="J5287" t="s">
        <v>26035</v>
      </c>
      <c r="K5287" t="s">
        <v>29338</v>
      </c>
      <c r="M5287" t="s">
        <v>31361</v>
      </c>
      <c r="N5287" t="s">
        <v>32524</v>
      </c>
      <c r="O5287" t="s">
        <v>32525</v>
      </c>
      <c r="P5287">
        <v>0</v>
      </c>
      <c r="Q5287">
        <v>0</v>
      </c>
      <c r="R5287" t="s">
        <v>32531</v>
      </c>
      <c r="S5287" t="s">
        <v>32586</v>
      </c>
      <c r="T5287" t="s">
        <v>33405</v>
      </c>
      <c r="U5287" t="s">
        <v>38069</v>
      </c>
      <c r="W5287" t="s">
        <v>31361</v>
      </c>
      <c r="X5287" t="s">
        <v>32532</v>
      </c>
    </row>
    <row r="5288" spans="1:24">
      <c r="A5288">
        <f>HYPERLINK("https://www.philgeps.gov.ph/GEPSNONPILOT/Tender/SplashBidNoticeAbstractUI.aspx?menuIndex=3&amp;refID=7039683&amp;Result=3","7039683")</f>
        <v>0</v>
      </c>
      <c r="B5288" t="s">
        <v>1754</v>
      </c>
      <c r="C5288" t="s">
        <v>7738</v>
      </c>
      <c r="D5288" t="s">
        <v>13005</v>
      </c>
      <c r="E5288" t="s">
        <v>17788</v>
      </c>
      <c r="F5288" t="s">
        <v>22436</v>
      </c>
      <c r="G5288" t="s">
        <v>22444</v>
      </c>
      <c r="H5288" t="s">
        <v>22454</v>
      </c>
      <c r="I5288" t="s">
        <v>7738</v>
      </c>
      <c r="J5288" t="s">
        <v>26036</v>
      </c>
      <c r="K5288" t="s">
        <v>29338</v>
      </c>
      <c r="M5288" t="s">
        <v>31459</v>
      </c>
      <c r="N5288" t="s">
        <v>32524</v>
      </c>
      <c r="O5288" t="s">
        <v>32525</v>
      </c>
      <c r="P5288">
        <v>0</v>
      </c>
      <c r="Q5288">
        <v>0</v>
      </c>
      <c r="R5288" t="s">
        <v>32531</v>
      </c>
      <c r="S5288" t="s">
        <v>32586</v>
      </c>
      <c r="T5288" t="s">
        <v>33169</v>
      </c>
      <c r="U5288" t="s">
        <v>38070</v>
      </c>
      <c r="W5288" t="s">
        <v>31459</v>
      </c>
      <c r="X5288" t="s">
        <v>32532</v>
      </c>
    </row>
    <row r="5289" spans="1:24">
      <c r="A5289">
        <f>HYPERLINK("https://www.philgeps.gov.ph/GEPSNONPILOT/Tender/SplashBidNoticeAbstractUI.aspx?menuIndex=3&amp;refID=7039700&amp;Result=3","7039700")</f>
        <v>0</v>
      </c>
      <c r="B5289" t="s">
        <v>169</v>
      </c>
      <c r="C5289" t="s">
        <v>7739</v>
      </c>
      <c r="D5289" t="s">
        <v>13044</v>
      </c>
      <c r="E5289" t="s">
        <v>17789</v>
      </c>
      <c r="F5289" t="s">
        <v>22436</v>
      </c>
      <c r="G5289" t="s">
        <v>22443</v>
      </c>
      <c r="H5289" t="s">
        <v>22454</v>
      </c>
      <c r="I5289" t="s">
        <v>7738</v>
      </c>
      <c r="J5289" t="s">
        <v>26037</v>
      </c>
      <c r="K5289" t="s">
        <v>29335</v>
      </c>
      <c r="M5289" t="s">
        <v>29741</v>
      </c>
      <c r="N5289" t="s">
        <v>32524</v>
      </c>
      <c r="O5289" t="s">
        <v>32525</v>
      </c>
      <c r="P5289">
        <v>0</v>
      </c>
      <c r="Q5289">
        <v>0</v>
      </c>
      <c r="R5289" t="s">
        <v>32531</v>
      </c>
      <c r="S5289" t="s">
        <v>32586</v>
      </c>
      <c r="T5289" t="s">
        <v>33213</v>
      </c>
      <c r="U5289" t="s">
        <v>38071</v>
      </c>
      <c r="V5289" t="s">
        <v>42991</v>
      </c>
      <c r="W5289" t="s">
        <v>29741</v>
      </c>
      <c r="X5289" t="s">
        <v>32532</v>
      </c>
    </row>
    <row r="5290" spans="1:24">
      <c r="A5290">
        <f>HYPERLINK("https://www.philgeps.gov.ph/GEPSNONPILOT/Tender/SplashBidNoticeAbstractUI.aspx?menuIndex=3&amp;refID=7039711&amp;Result=3","7039711")</f>
        <v>0</v>
      </c>
      <c r="B5290" t="s">
        <v>1746</v>
      </c>
      <c r="C5290" t="s">
        <v>7740</v>
      </c>
      <c r="D5290" t="s">
        <v>13012</v>
      </c>
      <c r="E5290" t="s">
        <v>17790</v>
      </c>
      <c r="F5290" t="s">
        <v>22436</v>
      </c>
      <c r="G5290" t="s">
        <v>22444</v>
      </c>
      <c r="H5290" t="s">
        <v>22452</v>
      </c>
      <c r="I5290" t="s">
        <v>22469</v>
      </c>
      <c r="J5290" t="s">
        <v>26038</v>
      </c>
      <c r="K5290" t="s">
        <v>29336</v>
      </c>
      <c r="M5290" t="s">
        <v>31451</v>
      </c>
      <c r="N5290" t="s">
        <v>32524</v>
      </c>
      <c r="O5290" t="s">
        <v>32525</v>
      </c>
      <c r="P5290">
        <v>0</v>
      </c>
      <c r="Q5290">
        <v>5</v>
      </c>
      <c r="R5290" t="s">
        <v>32531</v>
      </c>
      <c r="S5290" t="s">
        <v>32586</v>
      </c>
      <c r="T5290" t="s">
        <v>33154</v>
      </c>
      <c r="U5290" t="s">
        <v>38072</v>
      </c>
      <c r="W5290" t="s">
        <v>31451</v>
      </c>
      <c r="X5290" t="s">
        <v>32532</v>
      </c>
    </row>
    <row r="5291" spans="1:24">
      <c r="A5291">
        <f>HYPERLINK("https://www.philgeps.gov.ph/GEPSNONPILOT/Tender/SplashBidNoticeAbstractUI.aspx?menuIndex=3&amp;refID=7039706&amp;Result=3","7039706")</f>
        <v>0</v>
      </c>
      <c r="B5291" t="s">
        <v>1745</v>
      </c>
      <c r="C5291" t="s">
        <v>7741</v>
      </c>
      <c r="D5291" t="s">
        <v>13061</v>
      </c>
      <c r="E5291" t="s">
        <v>17791</v>
      </c>
      <c r="F5291" t="s">
        <v>22436</v>
      </c>
      <c r="G5291" t="s">
        <v>22446</v>
      </c>
      <c r="H5291" t="s">
        <v>22452</v>
      </c>
      <c r="I5291" t="s">
        <v>22463</v>
      </c>
      <c r="J5291" t="s">
        <v>25583</v>
      </c>
      <c r="K5291" t="s">
        <v>29336</v>
      </c>
      <c r="M5291" t="s">
        <v>31450</v>
      </c>
      <c r="N5291" t="s">
        <v>32524</v>
      </c>
      <c r="O5291" t="s">
        <v>32525</v>
      </c>
      <c r="P5291">
        <v>0</v>
      </c>
      <c r="Q5291">
        <v>3</v>
      </c>
      <c r="R5291" t="s">
        <v>32531</v>
      </c>
      <c r="S5291" t="s">
        <v>32586</v>
      </c>
      <c r="T5291" t="s">
        <v>33183</v>
      </c>
      <c r="U5291" t="s">
        <v>38073</v>
      </c>
      <c r="W5291" t="s">
        <v>31450</v>
      </c>
      <c r="X5291" t="s">
        <v>32532</v>
      </c>
    </row>
    <row r="5292" spans="1:24">
      <c r="A5292">
        <f>HYPERLINK("https://www.philgeps.gov.ph/GEPSNONPILOT/Tender/SplashBidNoticeAbstractUI.aspx?menuIndex=3&amp;refID=7039713&amp;Result=3","7039713")</f>
        <v>0</v>
      </c>
      <c r="B5292" t="s">
        <v>1743</v>
      </c>
      <c r="C5292" t="s">
        <v>7742</v>
      </c>
      <c r="D5292" t="s">
        <v>13001</v>
      </c>
      <c r="E5292" t="s">
        <v>17792</v>
      </c>
      <c r="F5292" t="s">
        <v>22436</v>
      </c>
      <c r="G5292" t="s">
        <v>22444</v>
      </c>
      <c r="H5292" t="s">
        <v>22454</v>
      </c>
      <c r="I5292" t="s">
        <v>7738</v>
      </c>
      <c r="J5292" t="s">
        <v>26039</v>
      </c>
      <c r="K5292" t="s">
        <v>29338</v>
      </c>
      <c r="M5292" t="s">
        <v>31448</v>
      </c>
      <c r="N5292" t="s">
        <v>32524</v>
      </c>
      <c r="O5292" t="s">
        <v>32525</v>
      </c>
      <c r="P5292">
        <v>0</v>
      </c>
      <c r="Q5292">
        <v>0</v>
      </c>
      <c r="R5292" t="s">
        <v>32531</v>
      </c>
      <c r="S5292" t="s">
        <v>32586</v>
      </c>
      <c r="T5292" t="s">
        <v>33209</v>
      </c>
      <c r="U5292" t="s">
        <v>38074</v>
      </c>
      <c r="V5292" t="s">
        <v>42992</v>
      </c>
      <c r="W5292" t="s">
        <v>31448</v>
      </c>
      <c r="X5292" t="s">
        <v>32532</v>
      </c>
    </row>
    <row r="5293" spans="1:24">
      <c r="A5293">
        <f>HYPERLINK("https://www.philgeps.gov.ph/GEPSNONPILOT/Tender/SplashBidNoticeAbstractUI.aspx?menuIndex=3&amp;refID=7039687&amp;Result=3","7039687")</f>
        <v>0</v>
      </c>
      <c r="B5293" t="s">
        <v>1349</v>
      </c>
      <c r="C5293" t="s">
        <v>7743</v>
      </c>
      <c r="D5293" t="s">
        <v>13038</v>
      </c>
      <c r="E5293" t="s">
        <v>17793</v>
      </c>
      <c r="F5293" t="s">
        <v>22436</v>
      </c>
      <c r="G5293" t="s">
        <v>22443</v>
      </c>
      <c r="H5293" t="s">
        <v>22452</v>
      </c>
      <c r="I5293" t="s">
        <v>3358</v>
      </c>
      <c r="J5293" t="s">
        <v>24442</v>
      </c>
      <c r="K5293" t="s">
        <v>29340</v>
      </c>
      <c r="M5293" t="s">
        <v>31004</v>
      </c>
      <c r="N5293" t="s">
        <v>32524</v>
      </c>
      <c r="O5293" t="s">
        <v>32525</v>
      </c>
      <c r="P5293">
        <v>0</v>
      </c>
      <c r="Q5293">
        <v>1</v>
      </c>
      <c r="R5293" t="s">
        <v>32531</v>
      </c>
      <c r="S5293" t="s">
        <v>32586</v>
      </c>
      <c r="T5293" t="s">
        <v>33296</v>
      </c>
      <c r="U5293" t="s">
        <v>38075</v>
      </c>
      <c r="V5293" t="s">
        <v>42993</v>
      </c>
      <c r="W5293" t="s">
        <v>31004</v>
      </c>
      <c r="X5293" t="s">
        <v>32532</v>
      </c>
    </row>
    <row r="5294" spans="1:24">
      <c r="A5294">
        <f>HYPERLINK("https://www.philgeps.gov.ph/GEPSNONPILOT/Tender/SplashBidNoticeAbstractUI.aspx?menuIndex=3&amp;refID=7039681&amp;Result=3","7039681")</f>
        <v>0</v>
      </c>
      <c r="B5294" t="s">
        <v>128</v>
      </c>
      <c r="C5294" t="s">
        <v>7744</v>
      </c>
      <c r="D5294" t="s">
        <v>13025</v>
      </c>
      <c r="E5294" t="s">
        <v>17794</v>
      </c>
      <c r="F5294" t="s">
        <v>22436</v>
      </c>
      <c r="G5294" t="s">
        <v>22444</v>
      </c>
      <c r="H5294" t="s">
        <v>22452</v>
      </c>
      <c r="I5294" t="s">
        <v>3529</v>
      </c>
      <c r="J5294" t="s">
        <v>26040</v>
      </c>
      <c r="K5294" t="s">
        <v>29331</v>
      </c>
      <c r="M5294" t="s">
        <v>29700</v>
      </c>
      <c r="N5294" t="s">
        <v>32524</v>
      </c>
      <c r="O5294" t="s">
        <v>32525</v>
      </c>
      <c r="P5294">
        <v>0</v>
      </c>
      <c r="Q5294">
        <v>0</v>
      </c>
      <c r="R5294" t="s">
        <v>32531</v>
      </c>
      <c r="S5294" t="s">
        <v>32586</v>
      </c>
      <c r="T5294" t="s">
        <v>33220</v>
      </c>
      <c r="U5294" t="s">
        <v>38076</v>
      </c>
      <c r="W5294" t="s">
        <v>29700</v>
      </c>
      <c r="X5294" t="s">
        <v>32532</v>
      </c>
    </row>
    <row r="5295" spans="1:24">
      <c r="A5295">
        <f>HYPERLINK("https://www.philgeps.gov.ph/GEPSNONPILOT/Tender/SplashBidNoticeAbstractUI.aspx?menuIndex=3&amp;refID=7039689&amp;Result=3","7039689")</f>
        <v>0</v>
      </c>
      <c r="B5295" t="s">
        <v>1737</v>
      </c>
      <c r="C5295" t="s">
        <v>7745</v>
      </c>
      <c r="D5295" t="s">
        <v>13018</v>
      </c>
      <c r="E5295" t="s">
        <v>17795</v>
      </c>
      <c r="F5295" t="s">
        <v>22436</v>
      </c>
      <c r="G5295" t="s">
        <v>22443</v>
      </c>
      <c r="H5295" t="s">
        <v>22452</v>
      </c>
      <c r="I5295" t="s">
        <v>12358</v>
      </c>
      <c r="J5295" t="s">
        <v>26041</v>
      </c>
      <c r="K5295" t="s">
        <v>29341</v>
      </c>
      <c r="M5295" t="s">
        <v>31442</v>
      </c>
      <c r="N5295" t="s">
        <v>32524</v>
      </c>
      <c r="O5295" t="s">
        <v>32525</v>
      </c>
      <c r="P5295">
        <v>0</v>
      </c>
      <c r="Q5295">
        <v>0</v>
      </c>
      <c r="R5295" t="s">
        <v>32531</v>
      </c>
      <c r="S5295" t="s">
        <v>32586</v>
      </c>
      <c r="T5295" t="s">
        <v>33213</v>
      </c>
      <c r="U5295" t="s">
        <v>38077</v>
      </c>
      <c r="W5295" t="s">
        <v>31442</v>
      </c>
      <c r="X5295" t="s">
        <v>32532</v>
      </c>
    </row>
    <row r="5296" spans="1:24">
      <c r="A5296">
        <f>HYPERLINK("https://www.philgeps.gov.ph/GEPSNONPILOT/Tender/SplashBidNoticeAbstractUI.aspx?menuIndex=3&amp;refID=7039677&amp;Result=3","7039677")</f>
        <v>0</v>
      </c>
      <c r="B5296" t="s">
        <v>1748</v>
      </c>
      <c r="C5296" t="s">
        <v>7746</v>
      </c>
      <c r="D5296" t="s">
        <v>13053</v>
      </c>
      <c r="E5296" t="s">
        <v>17796</v>
      </c>
      <c r="F5296" t="s">
        <v>22436</v>
      </c>
      <c r="G5296" t="s">
        <v>22444</v>
      </c>
      <c r="H5296" t="s">
        <v>22452</v>
      </c>
      <c r="I5296" t="s">
        <v>3529</v>
      </c>
      <c r="J5296" t="s">
        <v>26042</v>
      </c>
      <c r="K5296" t="s">
        <v>29331</v>
      </c>
      <c r="M5296" t="s">
        <v>31453</v>
      </c>
      <c r="N5296" t="s">
        <v>32524</v>
      </c>
      <c r="O5296" t="s">
        <v>32525</v>
      </c>
      <c r="P5296">
        <v>0</v>
      </c>
      <c r="Q5296">
        <v>0</v>
      </c>
      <c r="R5296" t="s">
        <v>32531</v>
      </c>
      <c r="S5296" t="s">
        <v>32586</v>
      </c>
      <c r="T5296" t="s">
        <v>33167</v>
      </c>
      <c r="U5296" t="s">
        <v>35200</v>
      </c>
      <c r="V5296" t="s">
        <v>42988</v>
      </c>
      <c r="W5296" t="s">
        <v>31453</v>
      </c>
      <c r="X5296" t="s">
        <v>32532</v>
      </c>
    </row>
    <row r="5297" spans="1:24">
      <c r="A5297">
        <f>HYPERLINK("https://www.philgeps.gov.ph/GEPSNONPILOT/Tender/SplashBidNoticeAbstractUI.aspx?menuIndex=3&amp;refID=7039715&amp;Result=3","7039715")</f>
        <v>0</v>
      </c>
      <c r="B5297" t="s">
        <v>1724</v>
      </c>
      <c r="C5297" t="s">
        <v>7747</v>
      </c>
      <c r="D5297" t="s">
        <v>12988</v>
      </c>
      <c r="E5297" t="s">
        <v>17797</v>
      </c>
      <c r="F5297" t="s">
        <v>22436</v>
      </c>
      <c r="G5297" t="s">
        <v>22443</v>
      </c>
      <c r="H5297" t="s">
        <v>22452</v>
      </c>
      <c r="I5297" t="s">
        <v>3529</v>
      </c>
      <c r="J5297" t="s">
        <v>26043</v>
      </c>
      <c r="K5297" t="s">
        <v>29336</v>
      </c>
      <c r="M5297" t="s">
        <v>31429</v>
      </c>
      <c r="N5297" t="s">
        <v>32524</v>
      </c>
      <c r="O5297" t="s">
        <v>32525</v>
      </c>
      <c r="P5297">
        <v>0</v>
      </c>
      <c r="Q5297">
        <v>2</v>
      </c>
      <c r="R5297" t="s">
        <v>32531</v>
      </c>
      <c r="S5297" t="s">
        <v>32586</v>
      </c>
      <c r="T5297" t="s">
        <v>33372</v>
      </c>
      <c r="U5297" t="s">
        <v>38078</v>
      </c>
      <c r="W5297" t="s">
        <v>31429</v>
      </c>
      <c r="X5297" t="s">
        <v>32532</v>
      </c>
    </row>
    <row r="5298" spans="1:24">
      <c r="A5298">
        <f>HYPERLINK("https://www.philgeps.gov.ph/GEPSNONPILOT/Tender/SplashBidNoticeAbstractUI.aspx?menuIndex=3&amp;refID=7039730&amp;Result=3","7039730")</f>
        <v>0</v>
      </c>
      <c r="B5298" t="s">
        <v>1752</v>
      </c>
      <c r="C5298" t="s">
        <v>7748</v>
      </c>
      <c r="D5298" t="s">
        <v>13022</v>
      </c>
      <c r="E5298" t="s">
        <v>17798</v>
      </c>
      <c r="F5298" t="s">
        <v>22436</v>
      </c>
      <c r="G5298" t="s">
        <v>22443</v>
      </c>
      <c r="H5298" t="s">
        <v>22452</v>
      </c>
      <c r="I5298" t="s">
        <v>22456</v>
      </c>
      <c r="J5298" t="s">
        <v>25187</v>
      </c>
      <c r="K5298" t="s">
        <v>29335</v>
      </c>
      <c r="M5298" t="s">
        <v>31457</v>
      </c>
      <c r="N5298" t="s">
        <v>32524</v>
      </c>
      <c r="O5298" t="s">
        <v>32525</v>
      </c>
      <c r="P5298">
        <v>0</v>
      </c>
      <c r="Q5298">
        <v>0</v>
      </c>
      <c r="R5298" t="s">
        <v>32531</v>
      </c>
      <c r="S5298" t="s">
        <v>32586</v>
      </c>
      <c r="T5298" t="s">
        <v>33372</v>
      </c>
      <c r="U5298" t="s">
        <v>38079</v>
      </c>
      <c r="W5298" t="s">
        <v>31457</v>
      </c>
      <c r="X5298" t="s">
        <v>32532</v>
      </c>
    </row>
    <row r="5299" spans="1:24">
      <c r="A5299">
        <f>HYPERLINK("https://www.philgeps.gov.ph/GEPSNONPILOT/Tender/SplashBidNoticeAbstractUI.aspx?menuIndex=3&amp;refID=7039721&amp;Result=3","7039721")</f>
        <v>0</v>
      </c>
      <c r="B5299" t="s">
        <v>1675</v>
      </c>
      <c r="C5299" t="s">
        <v>7749</v>
      </c>
      <c r="D5299" t="s">
        <v>13006</v>
      </c>
      <c r="E5299" t="s">
        <v>17799</v>
      </c>
      <c r="F5299" t="s">
        <v>22436</v>
      </c>
      <c r="G5299" t="s">
        <v>22444</v>
      </c>
      <c r="H5299" t="s">
        <v>22452</v>
      </c>
      <c r="I5299" t="s">
        <v>22493</v>
      </c>
      <c r="J5299" t="s">
        <v>22893</v>
      </c>
      <c r="K5299" t="s">
        <v>29331</v>
      </c>
      <c r="M5299" t="s">
        <v>31373</v>
      </c>
      <c r="N5299" t="s">
        <v>32524</v>
      </c>
      <c r="O5299" t="s">
        <v>32525</v>
      </c>
      <c r="P5299">
        <v>0</v>
      </c>
      <c r="Q5299">
        <v>2</v>
      </c>
      <c r="R5299" t="s">
        <v>32531</v>
      </c>
      <c r="S5299" t="s">
        <v>32586</v>
      </c>
      <c r="T5299" t="s">
        <v>33480</v>
      </c>
      <c r="U5299" t="s">
        <v>37798</v>
      </c>
      <c r="W5299" t="s">
        <v>43730</v>
      </c>
      <c r="X5299" t="s">
        <v>32532</v>
      </c>
    </row>
    <row r="5300" spans="1:24">
      <c r="A5300">
        <f>HYPERLINK("https://www.philgeps.gov.ph/GEPSNONPILOT/Tender/SplashBidNoticeAbstractUI.aspx?menuIndex=3&amp;refID=7039720&amp;Result=3","7039720")</f>
        <v>0</v>
      </c>
      <c r="B5300" t="s">
        <v>1182</v>
      </c>
      <c r="C5300" t="s">
        <v>7750</v>
      </c>
      <c r="D5300" t="s">
        <v>12993</v>
      </c>
      <c r="E5300" t="s">
        <v>17800</v>
      </c>
      <c r="F5300" t="s">
        <v>22436</v>
      </c>
      <c r="G5300" t="s">
        <v>22447</v>
      </c>
      <c r="H5300" t="s">
        <v>22452</v>
      </c>
      <c r="I5300" t="s">
        <v>22465</v>
      </c>
      <c r="J5300" t="s">
        <v>26044</v>
      </c>
      <c r="K5300" t="s">
        <v>29331</v>
      </c>
      <c r="M5300" t="s">
        <v>31415</v>
      </c>
      <c r="N5300" t="s">
        <v>32524</v>
      </c>
      <c r="O5300" t="s">
        <v>32525</v>
      </c>
      <c r="P5300">
        <v>0</v>
      </c>
      <c r="Q5300">
        <v>1</v>
      </c>
      <c r="R5300" t="s">
        <v>32531</v>
      </c>
      <c r="S5300" t="s">
        <v>32586</v>
      </c>
      <c r="T5300" t="s">
        <v>33213</v>
      </c>
      <c r="U5300" t="s">
        <v>38080</v>
      </c>
      <c r="W5300" t="s">
        <v>43731</v>
      </c>
      <c r="X5300" t="s">
        <v>32532</v>
      </c>
    </row>
    <row r="5301" spans="1:24">
      <c r="A5301">
        <f>HYPERLINK("https://www.philgeps.gov.ph/GEPSNONPILOT/Tender/SplashBidNoticeAbstractUI.aspx?menuIndex=3&amp;refID=7039709&amp;Result=3","7039709")</f>
        <v>0</v>
      </c>
      <c r="B5301" t="s">
        <v>1748</v>
      </c>
      <c r="C5301" t="s">
        <v>7751</v>
      </c>
      <c r="D5301" t="s">
        <v>13053</v>
      </c>
      <c r="E5301" t="s">
        <v>17801</v>
      </c>
      <c r="F5301" t="s">
        <v>22436</v>
      </c>
      <c r="G5301" t="s">
        <v>22444</v>
      </c>
      <c r="H5301" t="s">
        <v>22452</v>
      </c>
      <c r="I5301" t="s">
        <v>3529</v>
      </c>
      <c r="J5301" t="s">
        <v>26045</v>
      </c>
      <c r="K5301" t="s">
        <v>29331</v>
      </c>
      <c r="M5301" t="s">
        <v>31453</v>
      </c>
      <c r="N5301" t="s">
        <v>32524</v>
      </c>
      <c r="O5301" t="s">
        <v>32525</v>
      </c>
      <c r="P5301">
        <v>0</v>
      </c>
      <c r="Q5301">
        <v>0</v>
      </c>
      <c r="R5301" t="s">
        <v>32531</v>
      </c>
      <c r="S5301" t="s">
        <v>32586</v>
      </c>
      <c r="T5301" t="s">
        <v>33167</v>
      </c>
      <c r="U5301" t="s">
        <v>35200</v>
      </c>
      <c r="V5301" t="s">
        <v>42988</v>
      </c>
      <c r="W5301" t="s">
        <v>31453</v>
      </c>
      <c r="X5301" t="s">
        <v>32532</v>
      </c>
    </row>
    <row r="5302" spans="1:24">
      <c r="A5302">
        <f>HYPERLINK("https://www.philgeps.gov.ph/GEPSNONPILOT/Tender/SplashBidNoticeAbstractUI.aspx?menuIndex=3&amp;refID=7039724&amp;Result=3","7039724")</f>
        <v>0</v>
      </c>
      <c r="B5302" t="s">
        <v>525</v>
      </c>
      <c r="C5302" t="s">
        <v>7752</v>
      </c>
      <c r="D5302" t="s">
        <v>13038</v>
      </c>
      <c r="E5302" t="s">
        <v>7752</v>
      </c>
      <c r="F5302" t="s">
        <v>22436</v>
      </c>
      <c r="G5302" t="s">
        <v>22444</v>
      </c>
      <c r="H5302" t="s">
        <v>22452</v>
      </c>
      <c r="I5302" t="s">
        <v>22473</v>
      </c>
      <c r="J5302" t="s">
        <v>26046</v>
      </c>
      <c r="K5302" t="s">
        <v>29335</v>
      </c>
      <c r="M5302" t="s">
        <v>30109</v>
      </c>
      <c r="N5302" t="s">
        <v>32524</v>
      </c>
      <c r="O5302" t="s">
        <v>32525</v>
      </c>
      <c r="P5302">
        <v>0</v>
      </c>
      <c r="Q5302">
        <v>0</v>
      </c>
      <c r="R5302" t="s">
        <v>32531</v>
      </c>
      <c r="S5302" t="s">
        <v>32586</v>
      </c>
      <c r="T5302" t="s">
        <v>33252</v>
      </c>
      <c r="U5302" t="s">
        <v>38081</v>
      </c>
      <c r="W5302" t="s">
        <v>30109</v>
      </c>
      <c r="X5302" t="s">
        <v>32532</v>
      </c>
    </row>
    <row r="5303" spans="1:24">
      <c r="A5303">
        <f>HYPERLINK("https://www.philgeps.gov.ph/GEPSNONPILOT/Tender/SplashBidNoticeAbstractUI.aspx?menuIndex=3&amp;refID=7039722&amp;Result=3","7039722")</f>
        <v>0</v>
      </c>
      <c r="B5303" t="s">
        <v>59</v>
      </c>
      <c r="C5303" t="s">
        <v>7753</v>
      </c>
      <c r="D5303" t="s">
        <v>13004</v>
      </c>
      <c r="E5303" t="s">
        <v>17802</v>
      </c>
      <c r="F5303" t="s">
        <v>22436</v>
      </c>
      <c r="G5303" t="s">
        <v>22443</v>
      </c>
      <c r="H5303" t="s">
        <v>22452</v>
      </c>
      <c r="I5303" t="s">
        <v>22493</v>
      </c>
      <c r="J5303" t="s">
        <v>26047</v>
      </c>
      <c r="K5303" t="s">
        <v>29338</v>
      </c>
      <c r="L5303" t="s">
        <v>59</v>
      </c>
      <c r="M5303" t="s">
        <v>29631</v>
      </c>
      <c r="N5303" t="s">
        <v>32524</v>
      </c>
      <c r="O5303" t="s">
        <v>32525</v>
      </c>
      <c r="P5303">
        <v>0</v>
      </c>
      <c r="Q5303">
        <v>2</v>
      </c>
      <c r="R5303" t="s">
        <v>32531</v>
      </c>
      <c r="S5303" t="s">
        <v>32586</v>
      </c>
      <c r="T5303" t="s">
        <v>33296</v>
      </c>
      <c r="U5303" t="s">
        <v>38082</v>
      </c>
      <c r="W5303" t="s">
        <v>29631</v>
      </c>
      <c r="X5303" t="s">
        <v>32532</v>
      </c>
    </row>
    <row r="5304" spans="1:24">
      <c r="A5304">
        <f>HYPERLINK("https://www.philgeps.gov.ph/GEPSNONPILOT/Tender/SplashBidNoticeAbstractUI.aspx?menuIndex=3&amp;refID=7039748&amp;Result=3","7039748")</f>
        <v>0</v>
      </c>
      <c r="B5304" t="s">
        <v>1734</v>
      </c>
      <c r="C5304" t="s">
        <v>7664</v>
      </c>
      <c r="D5304" t="s">
        <v>13007</v>
      </c>
      <c r="E5304" t="s">
        <v>17726</v>
      </c>
      <c r="F5304" t="s">
        <v>22436</v>
      </c>
      <c r="G5304" t="s">
        <v>22446</v>
      </c>
      <c r="H5304" t="s">
        <v>22452</v>
      </c>
      <c r="I5304" t="s">
        <v>22465</v>
      </c>
      <c r="J5304" t="s">
        <v>26048</v>
      </c>
      <c r="K5304" t="s">
        <v>29331</v>
      </c>
      <c r="M5304" t="s">
        <v>31439</v>
      </c>
      <c r="N5304" t="s">
        <v>32524</v>
      </c>
      <c r="O5304" t="s">
        <v>32525</v>
      </c>
      <c r="P5304">
        <v>0</v>
      </c>
      <c r="Q5304">
        <v>0</v>
      </c>
      <c r="R5304" t="s">
        <v>32531</v>
      </c>
      <c r="S5304" t="s">
        <v>32586</v>
      </c>
      <c r="T5304" t="s">
        <v>33492</v>
      </c>
      <c r="U5304" t="s">
        <v>38083</v>
      </c>
      <c r="W5304" t="s">
        <v>31439</v>
      </c>
      <c r="X5304" t="s">
        <v>32532</v>
      </c>
    </row>
    <row r="5305" spans="1:24">
      <c r="A5305">
        <f>HYPERLINK("https://www.philgeps.gov.ph/GEPSNONPILOT/Tender/SplashBidNoticeAbstractUI.aspx?menuIndex=3&amp;refID=7039718&amp;Result=3","7039718")</f>
        <v>0</v>
      </c>
      <c r="B5305" t="s">
        <v>1381</v>
      </c>
      <c r="C5305" t="s">
        <v>7754</v>
      </c>
      <c r="D5305" t="s">
        <v>13035</v>
      </c>
      <c r="E5305" t="s">
        <v>17803</v>
      </c>
      <c r="F5305" t="s">
        <v>22436</v>
      </c>
      <c r="G5305" t="s">
        <v>22444</v>
      </c>
      <c r="H5305" t="s">
        <v>22454</v>
      </c>
      <c r="I5305" t="s">
        <v>7738</v>
      </c>
      <c r="J5305" t="s">
        <v>26049</v>
      </c>
      <c r="K5305" t="s">
        <v>29386</v>
      </c>
      <c r="M5305" t="s">
        <v>31460</v>
      </c>
      <c r="N5305" t="s">
        <v>32524</v>
      </c>
      <c r="O5305" t="s">
        <v>32525</v>
      </c>
      <c r="P5305">
        <v>0</v>
      </c>
      <c r="Q5305">
        <v>0</v>
      </c>
      <c r="R5305" t="s">
        <v>32531</v>
      </c>
      <c r="S5305" t="s">
        <v>32586</v>
      </c>
      <c r="T5305" t="s">
        <v>33493</v>
      </c>
      <c r="U5305" t="s">
        <v>38084</v>
      </c>
      <c r="V5305" t="s">
        <v>42994</v>
      </c>
      <c r="W5305" t="s">
        <v>31460</v>
      </c>
      <c r="X5305" t="s">
        <v>32532</v>
      </c>
    </row>
    <row r="5306" spans="1:24">
      <c r="A5306">
        <f>HYPERLINK("https://www.philgeps.gov.ph/GEPSNONPILOT/Tender/SplashBidNoticeAbstractUI.aspx?menuIndex=3&amp;refID=7039719&amp;Result=3","7039719")</f>
        <v>0</v>
      </c>
      <c r="B5306" t="s">
        <v>110</v>
      </c>
      <c r="C5306" t="s">
        <v>7755</v>
      </c>
      <c r="D5306" t="s">
        <v>13028</v>
      </c>
      <c r="E5306" t="s">
        <v>17804</v>
      </c>
      <c r="F5306" t="s">
        <v>22436</v>
      </c>
      <c r="G5306" t="s">
        <v>22444</v>
      </c>
      <c r="H5306" t="s">
        <v>22452</v>
      </c>
      <c r="I5306" t="s">
        <v>22469</v>
      </c>
      <c r="J5306" t="s">
        <v>26050</v>
      </c>
      <c r="K5306" t="s">
        <v>29337</v>
      </c>
      <c r="M5306" t="s">
        <v>29682</v>
      </c>
      <c r="N5306" t="s">
        <v>32524</v>
      </c>
      <c r="O5306" t="s">
        <v>32525</v>
      </c>
      <c r="P5306">
        <v>0</v>
      </c>
      <c r="Q5306">
        <v>2</v>
      </c>
      <c r="R5306" t="s">
        <v>32531</v>
      </c>
      <c r="S5306" t="s">
        <v>32586</v>
      </c>
      <c r="T5306" t="s">
        <v>33199</v>
      </c>
      <c r="U5306" t="s">
        <v>38085</v>
      </c>
      <c r="W5306" t="s">
        <v>29682</v>
      </c>
      <c r="X5306" t="s">
        <v>32532</v>
      </c>
    </row>
    <row r="5307" spans="1:24">
      <c r="A5307">
        <f>HYPERLINK("https://www.philgeps.gov.ph/GEPSNONPILOT/Tender/SplashBidNoticeAbstractUI.aspx?menuIndex=3&amp;refID=7039726&amp;Result=3","7039726")</f>
        <v>0</v>
      </c>
      <c r="B5307" t="s">
        <v>997</v>
      </c>
      <c r="C5307" t="s">
        <v>7756</v>
      </c>
      <c r="D5307" t="s">
        <v>13025</v>
      </c>
      <c r="E5307" t="s">
        <v>17805</v>
      </c>
      <c r="F5307" t="s">
        <v>22436</v>
      </c>
      <c r="G5307" t="s">
        <v>22444</v>
      </c>
      <c r="H5307" t="s">
        <v>22452</v>
      </c>
      <c r="I5307" t="s">
        <v>22471</v>
      </c>
      <c r="J5307" t="s">
        <v>26051</v>
      </c>
      <c r="K5307" t="s">
        <v>29335</v>
      </c>
      <c r="M5307" t="s">
        <v>30623</v>
      </c>
      <c r="N5307" t="s">
        <v>32524</v>
      </c>
      <c r="O5307" t="s">
        <v>32525</v>
      </c>
      <c r="P5307">
        <v>0</v>
      </c>
      <c r="Q5307">
        <v>3</v>
      </c>
      <c r="R5307" t="s">
        <v>32531</v>
      </c>
      <c r="S5307" t="s">
        <v>32586</v>
      </c>
      <c r="T5307" t="s">
        <v>33234</v>
      </c>
      <c r="U5307" t="s">
        <v>38086</v>
      </c>
      <c r="W5307" t="s">
        <v>30623</v>
      </c>
      <c r="X5307" t="s">
        <v>32532</v>
      </c>
    </row>
    <row r="5308" spans="1:24">
      <c r="A5308">
        <f>HYPERLINK("https://www.philgeps.gov.ph/GEPSNONPILOT/Tender/SplashBidNoticeAbstractUI.aspx?menuIndex=3&amp;refID=7039729&amp;Result=3","7039729")</f>
        <v>0</v>
      </c>
      <c r="B5308" t="s">
        <v>516</v>
      </c>
      <c r="C5308" t="s">
        <v>7757</v>
      </c>
      <c r="D5308" t="s">
        <v>13067</v>
      </c>
      <c r="E5308" t="s">
        <v>17806</v>
      </c>
      <c r="F5308" t="s">
        <v>22437</v>
      </c>
      <c r="G5308" t="s">
        <v>22443</v>
      </c>
      <c r="H5308" t="s">
        <v>22453</v>
      </c>
      <c r="I5308" t="s">
        <v>11896</v>
      </c>
      <c r="J5308" t="s">
        <v>22872</v>
      </c>
      <c r="K5308" t="s">
        <v>29336</v>
      </c>
      <c r="M5308" t="s">
        <v>30100</v>
      </c>
      <c r="N5308" t="s">
        <v>32524</v>
      </c>
      <c r="O5308" t="s">
        <v>32525</v>
      </c>
      <c r="P5308">
        <v>0</v>
      </c>
      <c r="Q5308">
        <v>0</v>
      </c>
      <c r="R5308" t="s">
        <v>32531</v>
      </c>
      <c r="S5308" t="s">
        <v>32586</v>
      </c>
      <c r="T5308" t="s">
        <v>33185</v>
      </c>
      <c r="U5308" t="s">
        <v>38087</v>
      </c>
      <c r="W5308" t="s">
        <v>30100</v>
      </c>
      <c r="X5308" t="s">
        <v>32532</v>
      </c>
    </row>
    <row r="5309" spans="1:24">
      <c r="A5309">
        <f>HYPERLINK("https://www.philgeps.gov.ph/GEPSNONPILOT/Tender/SplashBidNoticeAbstractUI.aspx?menuIndex=3&amp;refID=7039745&amp;Result=3","7039745")</f>
        <v>0</v>
      </c>
      <c r="B5309" t="s">
        <v>1754</v>
      </c>
      <c r="C5309" t="s">
        <v>7738</v>
      </c>
      <c r="D5309" t="s">
        <v>13005</v>
      </c>
      <c r="E5309" t="s">
        <v>17807</v>
      </c>
      <c r="F5309" t="s">
        <v>22436</v>
      </c>
      <c r="G5309" t="s">
        <v>22444</v>
      </c>
      <c r="H5309" t="s">
        <v>22452</v>
      </c>
      <c r="I5309" t="s">
        <v>7738</v>
      </c>
      <c r="J5309" t="s">
        <v>22893</v>
      </c>
      <c r="K5309" t="s">
        <v>29338</v>
      </c>
      <c r="M5309" t="s">
        <v>31459</v>
      </c>
      <c r="N5309" t="s">
        <v>32524</v>
      </c>
      <c r="O5309" t="s">
        <v>32525</v>
      </c>
      <c r="P5309">
        <v>0</v>
      </c>
      <c r="Q5309">
        <v>0</v>
      </c>
      <c r="R5309" t="s">
        <v>32531</v>
      </c>
      <c r="S5309" t="s">
        <v>32586</v>
      </c>
      <c r="T5309" t="s">
        <v>33169</v>
      </c>
      <c r="U5309" t="s">
        <v>38088</v>
      </c>
      <c r="W5309" t="s">
        <v>31459</v>
      </c>
      <c r="X5309" t="s">
        <v>32532</v>
      </c>
    </row>
    <row r="5310" spans="1:24">
      <c r="A5310">
        <f>HYPERLINK("https://www.philgeps.gov.ph/GEPSNONPILOT/Tender/SplashBidNoticeAbstractUI.aspx?menuIndex=3&amp;refID=7039744&amp;Result=3","7039744")</f>
        <v>0</v>
      </c>
      <c r="B5310" t="s">
        <v>978</v>
      </c>
      <c r="C5310" t="s">
        <v>7758</v>
      </c>
      <c r="D5310" t="s">
        <v>13032</v>
      </c>
      <c r="E5310" t="s">
        <v>17808</v>
      </c>
      <c r="F5310" t="s">
        <v>22436</v>
      </c>
      <c r="G5310" t="s">
        <v>22444</v>
      </c>
      <c r="H5310" t="s">
        <v>22454</v>
      </c>
      <c r="I5310" t="s">
        <v>7738</v>
      </c>
      <c r="J5310" t="s">
        <v>26052</v>
      </c>
      <c r="K5310" t="s">
        <v>29335</v>
      </c>
      <c r="M5310" t="s">
        <v>30599</v>
      </c>
      <c r="N5310" t="s">
        <v>32524</v>
      </c>
      <c r="O5310" t="s">
        <v>32525</v>
      </c>
      <c r="P5310">
        <v>0</v>
      </c>
      <c r="Q5310">
        <v>0</v>
      </c>
      <c r="R5310" t="s">
        <v>32531</v>
      </c>
      <c r="S5310" t="s">
        <v>32586</v>
      </c>
      <c r="T5310" t="s">
        <v>33167</v>
      </c>
      <c r="U5310" t="s">
        <v>38089</v>
      </c>
      <c r="V5310" t="s">
        <v>42675</v>
      </c>
      <c r="W5310" t="s">
        <v>30599</v>
      </c>
      <c r="X5310" t="s">
        <v>32532</v>
      </c>
    </row>
    <row r="5311" spans="1:24">
      <c r="A5311">
        <f>HYPERLINK("https://www.philgeps.gov.ph/GEPSNONPILOT/Tender/SplashBidNoticeAbstractUI.aspx?menuIndex=3&amp;refID=7039731&amp;Result=3","7039731")</f>
        <v>0</v>
      </c>
      <c r="B5311" t="s">
        <v>169</v>
      </c>
      <c r="C5311" t="s">
        <v>7759</v>
      </c>
      <c r="D5311" t="s">
        <v>13044</v>
      </c>
      <c r="E5311" t="s">
        <v>17809</v>
      </c>
      <c r="F5311" t="s">
        <v>22436</v>
      </c>
      <c r="G5311" t="s">
        <v>22443</v>
      </c>
      <c r="H5311" t="s">
        <v>22454</v>
      </c>
      <c r="I5311" t="s">
        <v>7738</v>
      </c>
      <c r="J5311" t="s">
        <v>26053</v>
      </c>
      <c r="K5311" t="s">
        <v>29335</v>
      </c>
      <c r="M5311" t="s">
        <v>29741</v>
      </c>
      <c r="N5311" t="s">
        <v>32524</v>
      </c>
      <c r="O5311" t="s">
        <v>32525</v>
      </c>
      <c r="P5311">
        <v>0</v>
      </c>
      <c r="Q5311">
        <v>0</v>
      </c>
      <c r="R5311" t="s">
        <v>32531</v>
      </c>
      <c r="S5311" t="s">
        <v>32586</v>
      </c>
      <c r="T5311" t="s">
        <v>33213</v>
      </c>
      <c r="U5311" t="s">
        <v>38090</v>
      </c>
      <c r="V5311" t="s">
        <v>42995</v>
      </c>
      <c r="W5311" t="s">
        <v>29741</v>
      </c>
      <c r="X5311" t="s">
        <v>32532</v>
      </c>
    </row>
    <row r="5312" spans="1:24">
      <c r="A5312">
        <f>HYPERLINK("https://www.philgeps.gov.ph/GEPSNONPILOT/Tender/SplashBidNoticeAbstractUI.aspx?menuIndex=3&amp;refID=7039739&amp;Result=3","7039739")</f>
        <v>0</v>
      </c>
      <c r="B5312" t="s">
        <v>1381</v>
      </c>
      <c r="C5312" t="s">
        <v>7760</v>
      </c>
      <c r="D5312" t="s">
        <v>13035</v>
      </c>
      <c r="E5312" t="s">
        <v>17810</v>
      </c>
      <c r="F5312" t="s">
        <v>22436</v>
      </c>
      <c r="G5312" t="s">
        <v>22444</v>
      </c>
      <c r="H5312" t="s">
        <v>22454</v>
      </c>
      <c r="I5312" t="s">
        <v>7738</v>
      </c>
      <c r="J5312" t="s">
        <v>26054</v>
      </c>
      <c r="K5312" t="s">
        <v>29344</v>
      </c>
      <c r="M5312" t="s">
        <v>31460</v>
      </c>
      <c r="N5312" t="s">
        <v>32524</v>
      </c>
      <c r="O5312" t="s">
        <v>32525</v>
      </c>
      <c r="P5312">
        <v>0</v>
      </c>
      <c r="Q5312">
        <v>0</v>
      </c>
      <c r="R5312" t="s">
        <v>32531</v>
      </c>
      <c r="S5312" t="s">
        <v>32586</v>
      </c>
      <c r="T5312" t="s">
        <v>33493</v>
      </c>
      <c r="U5312" t="s">
        <v>38091</v>
      </c>
      <c r="V5312" t="s">
        <v>42994</v>
      </c>
      <c r="W5312" t="s">
        <v>31460</v>
      </c>
      <c r="X5312" t="s">
        <v>32532</v>
      </c>
    </row>
    <row r="5313" spans="1:24">
      <c r="A5313">
        <f>HYPERLINK("https://www.philgeps.gov.ph/GEPSNONPILOT/Tender/SplashBidNoticeAbstractUI.aspx?menuIndex=3&amp;refID=7039743&amp;Result=3","7039743")</f>
        <v>0</v>
      </c>
      <c r="B5313" t="s">
        <v>1755</v>
      </c>
      <c r="C5313" t="s">
        <v>5992</v>
      </c>
      <c r="D5313" t="s">
        <v>13039</v>
      </c>
      <c r="E5313" t="s">
        <v>17811</v>
      </c>
      <c r="F5313" t="s">
        <v>22436</v>
      </c>
      <c r="G5313" t="s">
        <v>22444</v>
      </c>
      <c r="H5313" t="s">
        <v>22452</v>
      </c>
      <c r="I5313" t="s">
        <v>3529</v>
      </c>
      <c r="J5313" t="s">
        <v>26055</v>
      </c>
      <c r="K5313" t="s">
        <v>29336</v>
      </c>
      <c r="M5313" t="s">
        <v>31461</v>
      </c>
      <c r="N5313" t="s">
        <v>32524</v>
      </c>
      <c r="O5313" t="s">
        <v>32525</v>
      </c>
      <c r="P5313">
        <v>0</v>
      </c>
      <c r="Q5313">
        <v>0</v>
      </c>
      <c r="R5313" t="s">
        <v>32531</v>
      </c>
      <c r="S5313" t="s">
        <v>32586</v>
      </c>
      <c r="T5313" t="s">
        <v>33310</v>
      </c>
      <c r="U5313" t="s">
        <v>33733</v>
      </c>
      <c r="W5313" t="s">
        <v>31461</v>
      </c>
      <c r="X5313" t="s">
        <v>32532</v>
      </c>
    </row>
    <row r="5314" spans="1:24">
      <c r="A5314">
        <f>HYPERLINK("https://www.philgeps.gov.ph/GEPSNONPILOT/Tender/SplashBidNoticeAbstractUI.aspx?menuIndex=3&amp;refID=7039742&amp;Result=3","7039742")</f>
        <v>0</v>
      </c>
      <c r="B5314" t="s">
        <v>1678</v>
      </c>
      <c r="C5314" t="s">
        <v>7761</v>
      </c>
      <c r="D5314" t="s">
        <v>13030</v>
      </c>
      <c r="E5314" t="s">
        <v>14837</v>
      </c>
      <c r="F5314" t="s">
        <v>22436</v>
      </c>
      <c r="G5314" t="s">
        <v>22444</v>
      </c>
      <c r="H5314" t="s">
        <v>22454</v>
      </c>
      <c r="I5314" t="s">
        <v>7738</v>
      </c>
      <c r="J5314" t="s">
        <v>22747</v>
      </c>
      <c r="K5314" t="s">
        <v>29329</v>
      </c>
      <c r="M5314" t="s">
        <v>31376</v>
      </c>
      <c r="N5314" t="s">
        <v>32524</v>
      </c>
      <c r="O5314" t="s">
        <v>32525</v>
      </c>
      <c r="P5314">
        <v>0</v>
      </c>
      <c r="Q5314">
        <v>0</v>
      </c>
      <c r="R5314" t="s">
        <v>32531</v>
      </c>
      <c r="S5314" t="s">
        <v>32586</v>
      </c>
      <c r="T5314" t="s">
        <v>33494</v>
      </c>
      <c r="U5314" t="s">
        <v>38092</v>
      </c>
      <c r="W5314" t="s">
        <v>31376</v>
      </c>
      <c r="X5314" t="s">
        <v>32532</v>
      </c>
    </row>
    <row r="5315" spans="1:24">
      <c r="A5315">
        <f>HYPERLINK("https://www.philgeps.gov.ph/GEPSNONPILOT/Tender/SplashBidNoticeAbstractUI.aspx?menuIndex=3&amp;refID=7039737&amp;Result=3","7039737")</f>
        <v>0</v>
      </c>
      <c r="B5315" t="s">
        <v>1745</v>
      </c>
      <c r="C5315" t="s">
        <v>7762</v>
      </c>
      <c r="D5315" t="s">
        <v>13061</v>
      </c>
      <c r="E5315" t="s">
        <v>17812</v>
      </c>
      <c r="F5315" t="s">
        <v>22436</v>
      </c>
      <c r="G5315" t="s">
        <v>22446</v>
      </c>
      <c r="H5315" t="s">
        <v>22452</v>
      </c>
      <c r="I5315" t="s">
        <v>7110</v>
      </c>
      <c r="J5315" t="s">
        <v>22607</v>
      </c>
      <c r="K5315" t="s">
        <v>29336</v>
      </c>
      <c r="M5315" t="s">
        <v>31450</v>
      </c>
      <c r="N5315" t="s">
        <v>32524</v>
      </c>
      <c r="O5315" t="s">
        <v>32525</v>
      </c>
      <c r="P5315">
        <v>0</v>
      </c>
      <c r="Q5315">
        <v>7</v>
      </c>
      <c r="R5315" t="s">
        <v>32531</v>
      </c>
      <c r="S5315" t="s">
        <v>32586</v>
      </c>
      <c r="T5315" t="s">
        <v>33183</v>
      </c>
      <c r="U5315" t="s">
        <v>38093</v>
      </c>
      <c r="W5315" t="s">
        <v>31450</v>
      </c>
      <c r="X5315" t="s">
        <v>32532</v>
      </c>
    </row>
    <row r="5316" spans="1:24">
      <c r="A5316">
        <f>HYPERLINK("https://www.philgeps.gov.ph/GEPSNONPILOT/Tender/SplashBidNoticeAbstractUI.aspx?menuIndex=3&amp;refID=7039738&amp;Result=3","7039738")</f>
        <v>0</v>
      </c>
      <c r="B5316" t="s">
        <v>950</v>
      </c>
      <c r="C5316" t="s">
        <v>7763</v>
      </c>
      <c r="D5316" t="s">
        <v>13010</v>
      </c>
      <c r="E5316" t="s">
        <v>17813</v>
      </c>
      <c r="F5316" t="s">
        <v>22436</v>
      </c>
      <c r="G5316" t="s">
        <v>22444</v>
      </c>
      <c r="H5316" t="s">
        <v>22452</v>
      </c>
      <c r="I5316" t="s">
        <v>22474</v>
      </c>
      <c r="J5316" t="s">
        <v>26056</v>
      </c>
      <c r="K5316" t="s">
        <v>29338</v>
      </c>
      <c r="M5316" t="s">
        <v>30564</v>
      </c>
      <c r="N5316" t="s">
        <v>32524</v>
      </c>
      <c r="O5316" t="s">
        <v>32525</v>
      </c>
      <c r="P5316">
        <v>0</v>
      </c>
      <c r="Q5316">
        <v>2</v>
      </c>
      <c r="R5316" t="s">
        <v>32531</v>
      </c>
      <c r="S5316" t="s">
        <v>32586</v>
      </c>
      <c r="T5316" t="s">
        <v>33423</v>
      </c>
      <c r="U5316" t="s">
        <v>38094</v>
      </c>
      <c r="W5316" t="s">
        <v>30564</v>
      </c>
      <c r="X5316" t="s">
        <v>32532</v>
      </c>
    </row>
    <row r="5317" spans="1:24">
      <c r="A5317">
        <f>HYPERLINK("https://www.philgeps.gov.ph/GEPSNONPILOT/Tender/SplashBidNoticeAbstractUI.aspx?menuIndex=3&amp;refID=7039734&amp;Result=3","7039734")</f>
        <v>0</v>
      </c>
      <c r="B5317" t="s">
        <v>1709</v>
      </c>
      <c r="C5317" t="s">
        <v>7764</v>
      </c>
      <c r="D5317" t="s">
        <v>13003</v>
      </c>
      <c r="E5317" t="s">
        <v>17814</v>
      </c>
      <c r="F5317" t="s">
        <v>22436</v>
      </c>
      <c r="G5317" t="s">
        <v>22444</v>
      </c>
      <c r="H5317" t="s">
        <v>22452</v>
      </c>
      <c r="I5317" t="s">
        <v>22522</v>
      </c>
      <c r="J5317" t="s">
        <v>25106</v>
      </c>
      <c r="K5317" t="s">
        <v>29335</v>
      </c>
      <c r="M5317" t="s">
        <v>31412</v>
      </c>
      <c r="N5317" t="s">
        <v>32524</v>
      </c>
      <c r="O5317" t="s">
        <v>32525</v>
      </c>
      <c r="P5317">
        <v>0</v>
      </c>
      <c r="Q5317">
        <v>0</v>
      </c>
      <c r="R5317" t="s">
        <v>32531</v>
      </c>
      <c r="S5317" t="s">
        <v>32586</v>
      </c>
      <c r="T5317" t="s">
        <v>33220</v>
      </c>
      <c r="U5317" t="s">
        <v>38095</v>
      </c>
      <c r="W5317" t="s">
        <v>31412</v>
      </c>
      <c r="X5317" t="s">
        <v>32532</v>
      </c>
    </row>
    <row r="5318" spans="1:24">
      <c r="A5318">
        <f>HYPERLINK("https://www.philgeps.gov.ph/GEPSNONPILOT/Tender/SplashBidNoticeAbstractUI.aspx?menuIndex=3&amp;refID=7039750&amp;Result=3","7039750")</f>
        <v>0</v>
      </c>
      <c r="B5318" t="s">
        <v>1752</v>
      </c>
      <c r="C5318" t="s">
        <v>7765</v>
      </c>
      <c r="D5318" t="s">
        <v>13022</v>
      </c>
      <c r="E5318" t="s">
        <v>17815</v>
      </c>
      <c r="F5318" t="s">
        <v>22436</v>
      </c>
      <c r="G5318" t="s">
        <v>22443</v>
      </c>
      <c r="H5318" t="s">
        <v>22452</v>
      </c>
      <c r="I5318" t="s">
        <v>22456</v>
      </c>
      <c r="J5318" t="s">
        <v>23076</v>
      </c>
      <c r="K5318" t="s">
        <v>29335</v>
      </c>
      <c r="M5318" t="s">
        <v>31457</v>
      </c>
      <c r="N5318" t="s">
        <v>32524</v>
      </c>
      <c r="O5318" t="s">
        <v>32525</v>
      </c>
      <c r="P5318">
        <v>0</v>
      </c>
      <c r="Q5318">
        <v>0</v>
      </c>
      <c r="R5318" t="s">
        <v>32531</v>
      </c>
      <c r="S5318" t="s">
        <v>32586</v>
      </c>
      <c r="T5318" t="s">
        <v>33372</v>
      </c>
      <c r="U5318" t="s">
        <v>38096</v>
      </c>
      <c r="W5318" t="s">
        <v>31457</v>
      </c>
      <c r="X5318" t="s">
        <v>32532</v>
      </c>
    </row>
    <row r="5319" spans="1:24">
      <c r="A5319">
        <f>HYPERLINK("https://www.philgeps.gov.ph/GEPSNONPILOT/Tender/SplashBidNoticeAbstractUI.aspx?menuIndex=3&amp;refID=7039757&amp;Result=3","7039757")</f>
        <v>0</v>
      </c>
      <c r="B5319" t="s">
        <v>1756</v>
      </c>
      <c r="C5319" t="s">
        <v>7766</v>
      </c>
      <c r="D5319" t="s">
        <v>13013</v>
      </c>
      <c r="E5319" t="s">
        <v>17816</v>
      </c>
      <c r="F5319" t="s">
        <v>22436</v>
      </c>
      <c r="G5319" t="s">
        <v>22443</v>
      </c>
      <c r="H5319" t="s">
        <v>22452</v>
      </c>
      <c r="I5319" t="s">
        <v>3529</v>
      </c>
      <c r="J5319" t="s">
        <v>26057</v>
      </c>
      <c r="K5319" t="s">
        <v>29357</v>
      </c>
      <c r="M5319" t="s">
        <v>31462</v>
      </c>
      <c r="N5319" t="s">
        <v>32524</v>
      </c>
      <c r="O5319" t="s">
        <v>32525</v>
      </c>
      <c r="P5319">
        <v>0</v>
      </c>
      <c r="Q5319">
        <v>1</v>
      </c>
      <c r="R5319" t="s">
        <v>32531</v>
      </c>
      <c r="S5319" t="s">
        <v>32586</v>
      </c>
      <c r="T5319" t="s">
        <v>33371</v>
      </c>
      <c r="U5319" t="s">
        <v>38097</v>
      </c>
      <c r="V5319" t="s">
        <v>42462</v>
      </c>
      <c r="W5319" t="s">
        <v>31462</v>
      </c>
      <c r="X5319" t="s">
        <v>32532</v>
      </c>
    </row>
    <row r="5320" spans="1:24">
      <c r="A5320">
        <f>HYPERLINK("https://www.philgeps.gov.ph/GEPSNONPILOT/Tender/SplashBidNoticeAbstractUI.aspx?menuIndex=3&amp;refID=7039784&amp;Result=3","7039784")</f>
        <v>0</v>
      </c>
      <c r="B5320" t="s">
        <v>1429</v>
      </c>
      <c r="C5320" t="s">
        <v>7767</v>
      </c>
      <c r="D5320" t="s">
        <v>12988</v>
      </c>
      <c r="E5320" t="s">
        <v>17817</v>
      </c>
      <c r="F5320" t="s">
        <v>22436</v>
      </c>
      <c r="G5320" t="s">
        <v>22444</v>
      </c>
      <c r="H5320" t="s">
        <v>22452</v>
      </c>
      <c r="I5320" t="s">
        <v>22486</v>
      </c>
      <c r="J5320" t="s">
        <v>23505</v>
      </c>
      <c r="K5320" t="s">
        <v>29338</v>
      </c>
      <c r="M5320" t="s">
        <v>31092</v>
      </c>
      <c r="N5320" t="s">
        <v>32524</v>
      </c>
      <c r="O5320" t="s">
        <v>32525</v>
      </c>
      <c r="Q5320">
        <v>9</v>
      </c>
      <c r="R5320" t="s">
        <v>32531</v>
      </c>
      <c r="S5320" t="s">
        <v>32605</v>
      </c>
      <c r="T5320" t="s">
        <v>33301</v>
      </c>
      <c r="U5320" t="s">
        <v>38098</v>
      </c>
      <c r="W5320" t="s">
        <v>31092</v>
      </c>
      <c r="X5320" t="s">
        <v>32532</v>
      </c>
    </row>
    <row r="5321" spans="1:24">
      <c r="A5321">
        <f>HYPERLINK("https://www.philgeps.gov.ph/GEPSNONPILOT/Tender/SplashBidNoticeAbstractUI.aspx?menuIndex=3&amp;refID=7039777&amp;Result=3","7039777")</f>
        <v>0</v>
      </c>
      <c r="B5321" t="s">
        <v>1752</v>
      </c>
      <c r="C5321" t="s">
        <v>7768</v>
      </c>
      <c r="D5321" t="s">
        <v>13022</v>
      </c>
      <c r="E5321" t="s">
        <v>17818</v>
      </c>
      <c r="F5321" t="s">
        <v>22436</v>
      </c>
      <c r="G5321" t="s">
        <v>22443</v>
      </c>
      <c r="H5321" t="s">
        <v>22452</v>
      </c>
      <c r="I5321" t="s">
        <v>22456</v>
      </c>
      <c r="J5321" t="s">
        <v>26058</v>
      </c>
      <c r="K5321" t="s">
        <v>29335</v>
      </c>
      <c r="M5321" t="s">
        <v>31457</v>
      </c>
      <c r="N5321" t="s">
        <v>32524</v>
      </c>
      <c r="O5321" t="s">
        <v>32525</v>
      </c>
      <c r="P5321">
        <v>0</v>
      </c>
      <c r="Q5321">
        <v>0</v>
      </c>
      <c r="R5321" t="s">
        <v>32531</v>
      </c>
      <c r="S5321" t="s">
        <v>32586</v>
      </c>
      <c r="T5321" t="s">
        <v>33372</v>
      </c>
      <c r="U5321" t="s">
        <v>38099</v>
      </c>
      <c r="W5321" t="s">
        <v>31457</v>
      </c>
      <c r="X5321" t="s">
        <v>32532</v>
      </c>
    </row>
    <row r="5322" spans="1:24">
      <c r="A5322">
        <f>HYPERLINK("https://www.philgeps.gov.ph/GEPSNONPILOT/Tender/SplashBidNoticeAbstractUI.aspx?menuIndex=3&amp;refID=7039788&amp;Result=3","7039788")</f>
        <v>0</v>
      </c>
      <c r="B5322" t="s">
        <v>1745</v>
      </c>
      <c r="C5322" t="s">
        <v>7769</v>
      </c>
      <c r="D5322" t="s">
        <v>13061</v>
      </c>
      <c r="E5322" t="s">
        <v>17819</v>
      </c>
      <c r="F5322" t="s">
        <v>22436</v>
      </c>
      <c r="G5322" t="s">
        <v>22446</v>
      </c>
      <c r="H5322" t="s">
        <v>22452</v>
      </c>
      <c r="I5322" t="s">
        <v>22460</v>
      </c>
      <c r="J5322" t="s">
        <v>26059</v>
      </c>
      <c r="K5322" t="s">
        <v>29336</v>
      </c>
      <c r="M5322" t="s">
        <v>31450</v>
      </c>
      <c r="N5322" t="s">
        <v>32524</v>
      </c>
      <c r="O5322" t="s">
        <v>32525</v>
      </c>
      <c r="P5322">
        <v>0</v>
      </c>
      <c r="Q5322">
        <v>1</v>
      </c>
      <c r="R5322" t="s">
        <v>32531</v>
      </c>
      <c r="S5322" t="s">
        <v>32586</v>
      </c>
      <c r="T5322" t="s">
        <v>33183</v>
      </c>
      <c r="U5322" t="s">
        <v>38100</v>
      </c>
      <c r="W5322" t="s">
        <v>31450</v>
      </c>
      <c r="X5322" t="s">
        <v>32532</v>
      </c>
    </row>
    <row r="5323" spans="1:24">
      <c r="A5323">
        <f>HYPERLINK("https://www.philgeps.gov.ph/GEPSNONPILOT/Tender/SplashBidNoticeAbstractUI.aspx?menuIndex=3&amp;refID=7039773&amp;Result=3","7039773")</f>
        <v>0</v>
      </c>
      <c r="B5323" t="s">
        <v>1757</v>
      </c>
      <c r="C5323" t="s">
        <v>7770</v>
      </c>
      <c r="D5323" t="s">
        <v>12988</v>
      </c>
      <c r="E5323" t="s">
        <v>17820</v>
      </c>
      <c r="F5323" t="s">
        <v>22436</v>
      </c>
      <c r="G5323" t="s">
        <v>22443</v>
      </c>
      <c r="H5323" t="s">
        <v>22452</v>
      </c>
      <c r="I5323" t="s">
        <v>22563</v>
      </c>
      <c r="J5323" t="s">
        <v>26060</v>
      </c>
      <c r="K5323" t="s">
        <v>29338</v>
      </c>
      <c r="M5323" t="s">
        <v>31463</v>
      </c>
      <c r="N5323" t="s">
        <v>32524</v>
      </c>
      <c r="O5323" t="s">
        <v>32525</v>
      </c>
      <c r="P5323">
        <v>0</v>
      </c>
      <c r="Q5323">
        <v>5</v>
      </c>
      <c r="R5323" t="s">
        <v>32531</v>
      </c>
      <c r="S5323" t="s">
        <v>32586</v>
      </c>
      <c r="T5323" t="s">
        <v>33209</v>
      </c>
      <c r="U5323" t="s">
        <v>38101</v>
      </c>
      <c r="W5323" t="s">
        <v>31463</v>
      </c>
      <c r="X5323" t="s">
        <v>32532</v>
      </c>
    </row>
    <row r="5324" spans="1:24">
      <c r="A5324">
        <f>HYPERLINK("https://www.philgeps.gov.ph/GEPSNONPILOT/Tender/SplashBidNoticeAbstractUI.aspx?menuIndex=3&amp;refID=7039774&amp;Result=3","7039774")</f>
        <v>0</v>
      </c>
      <c r="B5324" t="s">
        <v>1381</v>
      </c>
      <c r="C5324" t="s">
        <v>7771</v>
      </c>
      <c r="D5324" t="s">
        <v>13035</v>
      </c>
      <c r="E5324" t="s">
        <v>17821</v>
      </c>
      <c r="F5324" t="s">
        <v>22436</v>
      </c>
      <c r="G5324" t="s">
        <v>22444</v>
      </c>
      <c r="H5324" t="s">
        <v>22454</v>
      </c>
      <c r="I5324" t="s">
        <v>7738</v>
      </c>
      <c r="J5324" t="s">
        <v>26061</v>
      </c>
      <c r="K5324" t="s">
        <v>29334</v>
      </c>
      <c r="M5324" t="s">
        <v>31460</v>
      </c>
      <c r="N5324" t="s">
        <v>32524</v>
      </c>
      <c r="O5324" t="s">
        <v>32525</v>
      </c>
      <c r="P5324">
        <v>0</v>
      </c>
      <c r="Q5324">
        <v>0</v>
      </c>
      <c r="R5324" t="s">
        <v>32531</v>
      </c>
      <c r="S5324" t="s">
        <v>32586</v>
      </c>
      <c r="T5324" t="s">
        <v>33493</v>
      </c>
      <c r="U5324" t="s">
        <v>38102</v>
      </c>
      <c r="V5324" t="s">
        <v>42994</v>
      </c>
      <c r="W5324" t="s">
        <v>31460</v>
      </c>
      <c r="X5324" t="s">
        <v>32532</v>
      </c>
    </row>
    <row r="5325" spans="1:24">
      <c r="A5325">
        <f>HYPERLINK("https://www.philgeps.gov.ph/GEPSNONPILOT/Tender/SplashBidNoticeAbstractUI.aspx?menuIndex=3&amp;refID=7039760&amp;Result=3","7039760")</f>
        <v>0</v>
      </c>
      <c r="B5325" t="s">
        <v>1709</v>
      </c>
      <c r="C5325" t="s">
        <v>7772</v>
      </c>
      <c r="D5325" t="s">
        <v>13003</v>
      </c>
      <c r="E5325" t="s">
        <v>17822</v>
      </c>
      <c r="F5325" t="s">
        <v>22436</v>
      </c>
      <c r="G5325" t="s">
        <v>22444</v>
      </c>
      <c r="H5325" t="s">
        <v>22452</v>
      </c>
      <c r="I5325" t="s">
        <v>3122</v>
      </c>
      <c r="J5325" t="s">
        <v>22874</v>
      </c>
      <c r="K5325" t="s">
        <v>29338</v>
      </c>
      <c r="M5325" t="s">
        <v>31412</v>
      </c>
      <c r="N5325" t="s">
        <v>32524</v>
      </c>
      <c r="O5325" t="s">
        <v>32525</v>
      </c>
      <c r="P5325">
        <v>0</v>
      </c>
      <c r="Q5325">
        <v>0</v>
      </c>
      <c r="R5325" t="s">
        <v>32531</v>
      </c>
      <c r="S5325" t="s">
        <v>32586</v>
      </c>
      <c r="T5325" t="s">
        <v>33220</v>
      </c>
      <c r="U5325" t="s">
        <v>38103</v>
      </c>
      <c r="W5325" t="s">
        <v>31412</v>
      </c>
      <c r="X5325" t="s">
        <v>32532</v>
      </c>
    </row>
    <row r="5326" spans="1:24">
      <c r="A5326">
        <f>HYPERLINK("https://www.philgeps.gov.ph/GEPSNONPILOT/Tender/SplashBidNoticeAbstractUI.aspx?menuIndex=3&amp;refID=7039768&amp;Result=3","7039768")</f>
        <v>0</v>
      </c>
      <c r="B5326" t="s">
        <v>971</v>
      </c>
      <c r="C5326" t="s">
        <v>7773</v>
      </c>
      <c r="D5326" t="s">
        <v>12999</v>
      </c>
      <c r="E5326" t="s">
        <v>17823</v>
      </c>
      <c r="F5326" t="s">
        <v>22436</v>
      </c>
      <c r="G5326" t="s">
        <v>22445</v>
      </c>
      <c r="H5326" t="s">
        <v>22452</v>
      </c>
      <c r="I5326" t="s">
        <v>22460</v>
      </c>
      <c r="J5326" t="s">
        <v>26062</v>
      </c>
      <c r="K5326" t="s">
        <v>29335</v>
      </c>
      <c r="M5326" t="s">
        <v>30591</v>
      </c>
      <c r="N5326" t="s">
        <v>32524</v>
      </c>
      <c r="O5326" t="s">
        <v>32525</v>
      </c>
      <c r="P5326">
        <v>0</v>
      </c>
      <c r="Q5326">
        <v>2</v>
      </c>
      <c r="R5326" t="s">
        <v>32531</v>
      </c>
      <c r="S5326" t="s">
        <v>32586</v>
      </c>
      <c r="T5326" t="s">
        <v>33296</v>
      </c>
      <c r="U5326" t="s">
        <v>38104</v>
      </c>
      <c r="W5326" t="s">
        <v>30591</v>
      </c>
      <c r="X5326" t="s">
        <v>32532</v>
      </c>
    </row>
    <row r="5327" spans="1:24">
      <c r="A5327">
        <f>HYPERLINK("https://www.philgeps.gov.ph/GEPSNONPILOT/Tender/SplashBidNoticeAbstractUI.aspx?menuIndex=3&amp;refID=7039769&amp;Result=3","7039769")</f>
        <v>0</v>
      </c>
      <c r="B5327" t="s">
        <v>1745</v>
      </c>
      <c r="C5327" t="s">
        <v>7774</v>
      </c>
      <c r="D5327" t="s">
        <v>13061</v>
      </c>
      <c r="E5327" t="s">
        <v>17824</v>
      </c>
      <c r="F5327" t="s">
        <v>22436</v>
      </c>
      <c r="G5327" t="s">
        <v>22446</v>
      </c>
      <c r="H5327" t="s">
        <v>22452</v>
      </c>
      <c r="I5327" t="s">
        <v>22460</v>
      </c>
      <c r="J5327" t="s">
        <v>26063</v>
      </c>
      <c r="K5327" t="s">
        <v>29336</v>
      </c>
      <c r="M5327" t="s">
        <v>31450</v>
      </c>
      <c r="N5327" t="s">
        <v>32524</v>
      </c>
      <c r="O5327" t="s">
        <v>32525</v>
      </c>
      <c r="P5327">
        <v>0</v>
      </c>
      <c r="Q5327">
        <v>1</v>
      </c>
      <c r="R5327" t="s">
        <v>32531</v>
      </c>
      <c r="S5327" t="s">
        <v>32586</v>
      </c>
      <c r="T5327" t="s">
        <v>33183</v>
      </c>
      <c r="U5327" t="s">
        <v>38100</v>
      </c>
      <c r="W5327" t="s">
        <v>31450</v>
      </c>
      <c r="X5327" t="s">
        <v>32532</v>
      </c>
    </row>
    <row r="5328" spans="1:24">
      <c r="A5328">
        <f>HYPERLINK("https://www.philgeps.gov.ph/GEPSNONPILOT/Tender/SplashBidNoticeAbstractUI.aspx?menuIndex=3&amp;refID=7039762&amp;Result=3","7039762")</f>
        <v>0</v>
      </c>
      <c r="B5328" t="s">
        <v>1480</v>
      </c>
      <c r="C5328" t="s">
        <v>7775</v>
      </c>
      <c r="E5328" t="s">
        <v>17825</v>
      </c>
      <c r="F5328" t="s">
        <v>22436</v>
      </c>
      <c r="G5328" t="s">
        <v>22444</v>
      </c>
      <c r="H5328" t="s">
        <v>22452</v>
      </c>
      <c r="I5328" t="s">
        <v>7738</v>
      </c>
      <c r="J5328" t="s">
        <v>26064</v>
      </c>
      <c r="K5328" t="s">
        <v>29338</v>
      </c>
      <c r="M5328" t="s">
        <v>31150</v>
      </c>
      <c r="N5328" t="s">
        <v>32524</v>
      </c>
      <c r="O5328" t="s">
        <v>32525</v>
      </c>
      <c r="P5328">
        <v>0</v>
      </c>
      <c r="Q5328">
        <v>3</v>
      </c>
      <c r="R5328" t="s">
        <v>32531</v>
      </c>
      <c r="S5328" t="s">
        <v>32586</v>
      </c>
      <c r="T5328" t="s">
        <v>33168</v>
      </c>
      <c r="U5328" t="s">
        <v>38105</v>
      </c>
      <c r="V5328" t="s">
        <v>42461</v>
      </c>
      <c r="W5328" t="s">
        <v>31150</v>
      </c>
      <c r="X5328" t="s">
        <v>32532</v>
      </c>
    </row>
    <row r="5329" spans="1:24">
      <c r="A5329">
        <f>HYPERLINK("https://www.philgeps.gov.ph/GEPSNONPILOT/Tender/SplashBidNoticeAbstractUI.aspx?menuIndex=3&amp;refID=7039767&amp;Result=3","7039767")</f>
        <v>0</v>
      </c>
      <c r="B5329" t="s">
        <v>332</v>
      </c>
      <c r="C5329" t="s">
        <v>7776</v>
      </c>
      <c r="D5329" t="s">
        <v>13013</v>
      </c>
      <c r="E5329" t="s">
        <v>17826</v>
      </c>
      <c r="F5329" t="s">
        <v>22436</v>
      </c>
      <c r="G5329" t="s">
        <v>22443</v>
      </c>
      <c r="H5329" t="s">
        <v>22452</v>
      </c>
      <c r="I5329" t="s">
        <v>3381</v>
      </c>
      <c r="J5329" t="s">
        <v>26065</v>
      </c>
      <c r="K5329" t="s">
        <v>29344</v>
      </c>
      <c r="M5329" t="s">
        <v>29908</v>
      </c>
      <c r="N5329" t="s">
        <v>32524</v>
      </c>
      <c r="O5329" t="s">
        <v>32525</v>
      </c>
      <c r="P5329">
        <v>0</v>
      </c>
      <c r="Q5329">
        <v>1</v>
      </c>
      <c r="R5329" t="s">
        <v>32531</v>
      </c>
      <c r="S5329" t="s">
        <v>32586</v>
      </c>
      <c r="T5329" t="s">
        <v>33185</v>
      </c>
      <c r="U5329" t="s">
        <v>38106</v>
      </c>
      <c r="W5329" t="s">
        <v>43678</v>
      </c>
      <c r="X5329" t="s">
        <v>32532</v>
      </c>
    </row>
    <row r="5330" spans="1:24">
      <c r="A5330">
        <f>HYPERLINK("https://www.philgeps.gov.ph/GEPSNONPILOT/Tender/SplashBidNoticeAbstractUI.aspx?menuIndex=3&amp;refID=7039796&amp;Result=3","7039796")</f>
        <v>0</v>
      </c>
      <c r="B5330" t="s">
        <v>1381</v>
      </c>
      <c r="C5330" t="s">
        <v>7777</v>
      </c>
      <c r="D5330" t="s">
        <v>13035</v>
      </c>
      <c r="E5330" t="s">
        <v>17827</v>
      </c>
      <c r="F5330" t="s">
        <v>22436</v>
      </c>
      <c r="G5330" t="s">
        <v>22444</v>
      </c>
      <c r="H5330" t="s">
        <v>22454</v>
      </c>
      <c r="I5330" t="s">
        <v>7738</v>
      </c>
      <c r="J5330" t="s">
        <v>26066</v>
      </c>
      <c r="K5330" t="s">
        <v>29334</v>
      </c>
      <c r="M5330" t="s">
        <v>31460</v>
      </c>
      <c r="N5330" t="s">
        <v>32524</v>
      </c>
      <c r="O5330" t="s">
        <v>32525</v>
      </c>
      <c r="P5330">
        <v>0</v>
      </c>
      <c r="Q5330">
        <v>0</v>
      </c>
      <c r="R5330" t="s">
        <v>32531</v>
      </c>
      <c r="S5330" t="s">
        <v>32586</v>
      </c>
      <c r="T5330" t="s">
        <v>33493</v>
      </c>
      <c r="U5330" t="s">
        <v>38107</v>
      </c>
      <c r="V5330" t="s">
        <v>42994</v>
      </c>
      <c r="W5330" t="s">
        <v>31460</v>
      </c>
      <c r="X5330" t="s">
        <v>32532</v>
      </c>
    </row>
    <row r="5331" spans="1:24">
      <c r="A5331">
        <f>HYPERLINK("https://www.philgeps.gov.ph/GEPSNONPILOT/Tender/SplashBidNoticeAbstractUI.aspx?menuIndex=3&amp;refID=7039764&amp;Result=3","7039764")</f>
        <v>0</v>
      </c>
      <c r="B5331" t="s">
        <v>799</v>
      </c>
      <c r="C5331" t="s">
        <v>7778</v>
      </c>
      <c r="D5331" t="s">
        <v>13024</v>
      </c>
      <c r="E5331" t="s">
        <v>17828</v>
      </c>
      <c r="F5331" t="s">
        <v>22436</v>
      </c>
      <c r="G5331" t="s">
        <v>22444</v>
      </c>
      <c r="H5331" t="s">
        <v>22452</v>
      </c>
      <c r="I5331" t="s">
        <v>22540</v>
      </c>
      <c r="J5331" t="s">
        <v>26067</v>
      </c>
      <c r="K5331" t="s">
        <v>29338</v>
      </c>
      <c r="M5331" t="s">
        <v>30401</v>
      </c>
      <c r="N5331" t="s">
        <v>32524</v>
      </c>
      <c r="O5331" t="s">
        <v>32525</v>
      </c>
      <c r="P5331">
        <v>0</v>
      </c>
      <c r="Q5331">
        <v>4</v>
      </c>
      <c r="R5331" t="s">
        <v>32531</v>
      </c>
      <c r="S5331" t="s">
        <v>32586</v>
      </c>
      <c r="T5331" t="s">
        <v>33440</v>
      </c>
      <c r="U5331" t="s">
        <v>38108</v>
      </c>
      <c r="V5331" t="s">
        <v>42996</v>
      </c>
      <c r="W5331" t="s">
        <v>30401</v>
      </c>
      <c r="X5331" t="s">
        <v>32532</v>
      </c>
    </row>
    <row r="5332" spans="1:24">
      <c r="A5332">
        <f>HYPERLINK("https://www.philgeps.gov.ph/GEPSNONPILOT/Tender/SplashBidNoticeAbstractUI.aspx?menuIndex=3&amp;refID=7039775&amp;Result=3","7039775")</f>
        <v>0</v>
      </c>
      <c r="B5332" t="s">
        <v>1758</v>
      </c>
      <c r="C5332" t="s">
        <v>7779</v>
      </c>
      <c r="D5332" t="s">
        <v>13000</v>
      </c>
      <c r="E5332" t="s">
        <v>17829</v>
      </c>
      <c r="F5332" t="s">
        <v>22436</v>
      </c>
      <c r="G5332" t="s">
        <v>22444</v>
      </c>
      <c r="H5332" t="s">
        <v>22455</v>
      </c>
      <c r="I5332" t="s">
        <v>22455</v>
      </c>
      <c r="J5332" t="s">
        <v>26068</v>
      </c>
      <c r="K5332" t="s">
        <v>29335</v>
      </c>
      <c r="M5332" t="s">
        <v>31464</v>
      </c>
      <c r="N5332" t="s">
        <v>32524</v>
      </c>
      <c r="O5332" t="s">
        <v>32525</v>
      </c>
      <c r="P5332">
        <v>0</v>
      </c>
      <c r="Q5332">
        <v>3</v>
      </c>
      <c r="R5332" t="s">
        <v>32531</v>
      </c>
      <c r="S5332" t="s">
        <v>32586</v>
      </c>
      <c r="T5332" t="s">
        <v>33220</v>
      </c>
      <c r="U5332" t="s">
        <v>38109</v>
      </c>
      <c r="W5332" t="s">
        <v>31464</v>
      </c>
      <c r="X5332" t="s">
        <v>32532</v>
      </c>
    </row>
    <row r="5333" spans="1:24">
      <c r="A5333">
        <f>HYPERLINK("https://www.philgeps.gov.ph/GEPSNONPILOT/Tender/SplashBidNoticeAbstractUI.aspx?menuIndex=3&amp;refID=7039791&amp;Result=3","7039791")</f>
        <v>0</v>
      </c>
      <c r="B5333" t="s">
        <v>1746</v>
      </c>
      <c r="C5333" t="s">
        <v>7780</v>
      </c>
      <c r="D5333" t="s">
        <v>13012</v>
      </c>
      <c r="E5333" t="s">
        <v>17830</v>
      </c>
      <c r="F5333" t="s">
        <v>22436</v>
      </c>
      <c r="G5333" t="s">
        <v>22444</v>
      </c>
      <c r="H5333" t="s">
        <v>22454</v>
      </c>
      <c r="I5333" t="s">
        <v>7738</v>
      </c>
      <c r="J5333" t="s">
        <v>22877</v>
      </c>
      <c r="K5333" t="s">
        <v>29344</v>
      </c>
      <c r="M5333" t="s">
        <v>31451</v>
      </c>
      <c r="N5333" t="s">
        <v>32524</v>
      </c>
      <c r="O5333" t="s">
        <v>32525</v>
      </c>
      <c r="P5333">
        <v>0</v>
      </c>
      <c r="Q5333">
        <v>0</v>
      </c>
      <c r="R5333" t="s">
        <v>32531</v>
      </c>
      <c r="S5333" t="s">
        <v>32586</v>
      </c>
      <c r="T5333" t="s">
        <v>33206</v>
      </c>
      <c r="U5333" t="s">
        <v>38110</v>
      </c>
      <c r="V5333" t="s">
        <v>42997</v>
      </c>
      <c r="W5333" t="s">
        <v>31451</v>
      </c>
      <c r="X5333" t="s">
        <v>32532</v>
      </c>
    </row>
    <row r="5334" spans="1:24">
      <c r="A5334">
        <f>HYPERLINK("https://www.philgeps.gov.ph/GEPSNONPILOT/Tender/SplashBidNoticeAbstractUI.aspx?menuIndex=3&amp;refID=7039753&amp;Result=3","7039753")</f>
        <v>0</v>
      </c>
      <c r="B5334" t="s">
        <v>1270</v>
      </c>
      <c r="C5334" t="s">
        <v>7781</v>
      </c>
      <c r="D5334" t="s">
        <v>13035</v>
      </c>
      <c r="E5334" t="s">
        <v>17831</v>
      </c>
      <c r="F5334" t="s">
        <v>22436</v>
      </c>
      <c r="G5334" t="s">
        <v>22444</v>
      </c>
      <c r="H5334" t="s">
        <v>22452</v>
      </c>
      <c r="I5334" t="s">
        <v>22460</v>
      </c>
      <c r="J5334" t="s">
        <v>26069</v>
      </c>
      <c r="K5334" t="s">
        <v>29331</v>
      </c>
      <c r="M5334" t="s">
        <v>30923</v>
      </c>
      <c r="N5334" t="s">
        <v>32524</v>
      </c>
      <c r="O5334" t="s">
        <v>32525</v>
      </c>
      <c r="P5334">
        <v>0</v>
      </c>
      <c r="Q5334">
        <v>0</v>
      </c>
      <c r="R5334" t="s">
        <v>32531</v>
      </c>
      <c r="S5334" t="s">
        <v>32586</v>
      </c>
      <c r="T5334" t="s">
        <v>33293</v>
      </c>
      <c r="U5334" t="s">
        <v>38111</v>
      </c>
      <c r="W5334" t="s">
        <v>30923</v>
      </c>
      <c r="X5334" t="s">
        <v>32532</v>
      </c>
    </row>
    <row r="5335" spans="1:24">
      <c r="A5335">
        <f>HYPERLINK("https://www.philgeps.gov.ph/GEPSNONPILOT/Tender/SplashBidNoticeAbstractUI.aspx?menuIndex=3&amp;refID=7039799&amp;Result=3","7039799")</f>
        <v>0</v>
      </c>
      <c r="B5335" t="s">
        <v>59</v>
      </c>
      <c r="C5335" t="s">
        <v>7782</v>
      </c>
      <c r="D5335" t="s">
        <v>13004</v>
      </c>
      <c r="E5335" t="s">
        <v>17832</v>
      </c>
      <c r="F5335" t="s">
        <v>22436</v>
      </c>
      <c r="G5335" t="s">
        <v>22443</v>
      </c>
      <c r="H5335" t="s">
        <v>22452</v>
      </c>
      <c r="I5335" t="s">
        <v>22500</v>
      </c>
      <c r="J5335" t="s">
        <v>26070</v>
      </c>
      <c r="K5335" t="s">
        <v>29338</v>
      </c>
      <c r="L5335" t="s">
        <v>59</v>
      </c>
      <c r="M5335" t="s">
        <v>29631</v>
      </c>
      <c r="N5335" t="s">
        <v>32524</v>
      </c>
      <c r="O5335" t="s">
        <v>32525</v>
      </c>
      <c r="P5335">
        <v>0</v>
      </c>
      <c r="Q5335">
        <v>2</v>
      </c>
      <c r="R5335" t="s">
        <v>32531</v>
      </c>
      <c r="S5335" t="s">
        <v>32586</v>
      </c>
      <c r="T5335" t="s">
        <v>33296</v>
      </c>
      <c r="U5335" t="s">
        <v>38112</v>
      </c>
      <c r="W5335" t="s">
        <v>29631</v>
      </c>
      <c r="X5335" t="s">
        <v>32532</v>
      </c>
    </row>
    <row r="5336" spans="1:24">
      <c r="A5336">
        <f>HYPERLINK("https://www.philgeps.gov.ph/GEPSNONPILOT/Tender/SplashBidNoticeAbstractUI.aspx?menuIndex=3&amp;refID=7039795&amp;Result=3","7039795")</f>
        <v>0</v>
      </c>
      <c r="B5336" t="s">
        <v>1759</v>
      </c>
      <c r="C5336" t="s">
        <v>7783</v>
      </c>
      <c r="D5336" t="s">
        <v>13013</v>
      </c>
      <c r="E5336" t="s">
        <v>17833</v>
      </c>
      <c r="F5336" t="s">
        <v>22436</v>
      </c>
      <c r="G5336" t="s">
        <v>22444</v>
      </c>
      <c r="H5336" t="s">
        <v>22454</v>
      </c>
      <c r="I5336" t="s">
        <v>7738</v>
      </c>
      <c r="J5336" t="s">
        <v>26071</v>
      </c>
      <c r="K5336" t="s">
        <v>29346</v>
      </c>
      <c r="M5336" t="s">
        <v>31465</v>
      </c>
      <c r="N5336" t="s">
        <v>32524</v>
      </c>
      <c r="O5336" t="s">
        <v>32525</v>
      </c>
      <c r="Q5336">
        <v>3</v>
      </c>
      <c r="R5336" t="s">
        <v>32531</v>
      </c>
      <c r="S5336" t="s">
        <v>32606</v>
      </c>
      <c r="T5336" t="s">
        <v>33197</v>
      </c>
      <c r="U5336" t="s">
        <v>38113</v>
      </c>
      <c r="V5336" t="s">
        <v>42998</v>
      </c>
      <c r="W5336" t="s">
        <v>31465</v>
      </c>
      <c r="X5336" t="s">
        <v>32532</v>
      </c>
    </row>
    <row r="5337" spans="1:24">
      <c r="A5337">
        <f>HYPERLINK("https://www.philgeps.gov.ph/GEPSNONPILOT/Tender/SplashBidNoticeAbstractUI.aspx?menuIndex=3&amp;refID=7039786&amp;Result=3","7039786")</f>
        <v>0</v>
      </c>
      <c r="B5337" t="s">
        <v>1749</v>
      </c>
      <c r="C5337" t="s">
        <v>7784</v>
      </c>
      <c r="D5337" t="s">
        <v>13000</v>
      </c>
      <c r="E5337" t="s">
        <v>15154</v>
      </c>
      <c r="F5337" t="s">
        <v>22437</v>
      </c>
      <c r="G5337" t="s">
        <v>22446</v>
      </c>
      <c r="H5337" t="s">
        <v>22452</v>
      </c>
      <c r="I5337" t="s">
        <v>22460</v>
      </c>
      <c r="J5337" t="s">
        <v>26072</v>
      </c>
      <c r="K5337" t="s">
        <v>29337</v>
      </c>
      <c r="M5337" t="s">
        <v>31454</v>
      </c>
      <c r="N5337" t="s">
        <v>32524</v>
      </c>
      <c r="O5337" t="s">
        <v>32525</v>
      </c>
      <c r="P5337">
        <v>0</v>
      </c>
      <c r="Q5337">
        <v>2</v>
      </c>
      <c r="R5337" t="s">
        <v>32531</v>
      </c>
      <c r="S5337" t="s">
        <v>32586</v>
      </c>
      <c r="T5337" t="s">
        <v>33185</v>
      </c>
      <c r="U5337" t="s">
        <v>38114</v>
      </c>
      <c r="W5337" t="s">
        <v>31454</v>
      </c>
      <c r="X5337" t="s">
        <v>32532</v>
      </c>
    </row>
    <row r="5338" spans="1:24">
      <c r="A5338">
        <f>HYPERLINK("https://www.philgeps.gov.ph/GEPSNONPILOT/Tender/SplashBidNoticeAbstractUI.aspx?menuIndex=3&amp;refID=7039794&amp;Result=3","7039794")</f>
        <v>0</v>
      </c>
      <c r="B5338" t="s">
        <v>799</v>
      </c>
      <c r="C5338" t="s">
        <v>7785</v>
      </c>
      <c r="D5338" t="s">
        <v>13060</v>
      </c>
      <c r="E5338" t="s">
        <v>17834</v>
      </c>
      <c r="F5338" t="s">
        <v>22436</v>
      </c>
      <c r="G5338" t="s">
        <v>22444</v>
      </c>
      <c r="H5338" t="s">
        <v>22452</v>
      </c>
      <c r="I5338" t="s">
        <v>22540</v>
      </c>
      <c r="J5338" t="s">
        <v>26073</v>
      </c>
      <c r="K5338" t="s">
        <v>29338</v>
      </c>
      <c r="M5338" t="s">
        <v>30401</v>
      </c>
      <c r="N5338" t="s">
        <v>32524</v>
      </c>
      <c r="O5338" t="s">
        <v>32525</v>
      </c>
      <c r="P5338">
        <v>0</v>
      </c>
      <c r="Q5338">
        <v>2</v>
      </c>
      <c r="R5338" t="s">
        <v>32531</v>
      </c>
      <c r="S5338" t="s">
        <v>32586</v>
      </c>
      <c r="T5338" t="s">
        <v>33440</v>
      </c>
      <c r="U5338" t="s">
        <v>38108</v>
      </c>
      <c r="V5338" t="s">
        <v>42996</v>
      </c>
      <c r="W5338" t="s">
        <v>30401</v>
      </c>
      <c r="X5338" t="s">
        <v>32532</v>
      </c>
    </row>
    <row r="5339" spans="1:24">
      <c r="A5339">
        <f>HYPERLINK("https://www.philgeps.gov.ph/GEPSNONPILOT/Tender/SplashBidNoticeAbstractUI.aspx?menuIndex=3&amp;refID=7039814&amp;Result=3","7039814")</f>
        <v>0</v>
      </c>
      <c r="B5339" t="s">
        <v>503</v>
      </c>
      <c r="C5339" t="s">
        <v>7786</v>
      </c>
      <c r="D5339" t="s">
        <v>13056</v>
      </c>
      <c r="E5339" t="s">
        <v>17835</v>
      </c>
      <c r="F5339" t="s">
        <v>22436</v>
      </c>
      <c r="G5339" t="s">
        <v>22443</v>
      </c>
      <c r="H5339" t="s">
        <v>22452</v>
      </c>
      <c r="I5339" t="s">
        <v>22495</v>
      </c>
      <c r="J5339" t="s">
        <v>23643</v>
      </c>
      <c r="K5339" t="s">
        <v>29335</v>
      </c>
      <c r="M5339" t="s">
        <v>30087</v>
      </c>
      <c r="N5339" t="s">
        <v>32524</v>
      </c>
      <c r="O5339" t="s">
        <v>32525</v>
      </c>
      <c r="P5339">
        <v>0</v>
      </c>
      <c r="Q5339">
        <v>1</v>
      </c>
      <c r="R5339" t="s">
        <v>32531</v>
      </c>
      <c r="S5339" t="s">
        <v>32586</v>
      </c>
      <c r="T5339" t="s">
        <v>33209</v>
      </c>
      <c r="U5339" t="s">
        <v>38115</v>
      </c>
      <c r="V5339" t="s">
        <v>42530</v>
      </c>
      <c r="W5339" t="s">
        <v>30087</v>
      </c>
      <c r="X5339" t="s">
        <v>32532</v>
      </c>
    </row>
    <row r="5340" spans="1:24">
      <c r="A5340">
        <f>HYPERLINK("https://www.philgeps.gov.ph/GEPSNONPILOT/Tender/SplashBidNoticeAbstractUI.aspx?menuIndex=3&amp;refID=7039797&amp;Result=3","7039797")</f>
        <v>0</v>
      </c>
      <c r="B5340" t="s">
        <v>1678</v>
      </c>
      <c r="C5340" t="s">
        <v>7787</v>
      </c>
      <c r="D5340" t="s">
        <v>13030</v>
      </c>
      <c r="E5340" t="s">
        <v>17836</v>
      </c>
      <c r="F5340" t="s">
        <v>22436</v>
      </c>
      <c r="G5340" t="s">
        <v>22444</v>
      </c>
      <c r="H5340" t="s">
        <v>22452</v>
      </c>
      <c r="I5340" t="s">
        <v>22463</v>
      </c>
      <c r="J5340" t="s">
        <v>26074</v>
      </c>
      <c r="K5340" t="s">
        <v>29335</v>
      </c>
      <c r="M5340" t="s">
        <v>31376</v>
      </c>
      <c r="N5340" t="s">
        <v>32524</v>
      </c>
      <c r="O5340" t="s">
        <v>32525</v>
      </c>
      <c r="P5340">
        <v>0</v>
      </c>
      <c r="Q5340">
        <v>1</v>
      </c>
      <c r="R5340" t="s">
        <v>32531</v>
      </c>
      <c r="S5340" t="s">
        <v>32586</v>
      </c>
      <c r="T5340" t="s">
        <v>33422</v>
      </c>
      <c r="U5340" t="s">
        <v>38116</v>
      </c>
      <c r="W5340" t="s">
        <v>31376</v>
      </c>
      <c r="X5340" t="s">
        <v>32532</v>
      </c>
    </row>
    <row r="5341" spans="1:24">
      <c r="A5341">
        <f>HYPERLINK("https://www.philgeps.gov.ph/GEPSNONPILOT/Tender/SplashBidNoticeAbstractUI.aspx?menuIndex=3&amp;refID=7039810&amp;Result=3","7039810")</f>
        <v>0</v>
      </c>
      <c r="B5341" t="s">
        <v>594</v>
      </c>
      <c r="C5341" t="s">
        <v>7788</v>
      </c>
      <c r="D5341" t="s">
        <v>13040</v>
      </c>
      <c r="E5341" t="s">
        <v>17837</v>
      </c>
      <c r="F5341" t="s">
        <v>22436</v>
      </c>
      <c r="G5341" t="s">
        <v>22444</v>
      </c>
      <c r="H5341" t="s">
        <v>22452</v>
      </c>
      <c r="I5341" t="s">
        <v>22476</v>
      </c>
      <c r="J5341" t="s">
        <v>26075</v>
      </c>
      <c r="K5341" t="s">
        <v>29335</v>
      </c>
      <c r="M5341" t="s">
        <v>30184</v>
      </c>
      <c r="N5341" t="s">
        <v>32524</v>
      </c>
      <c r="O5341" t="s">
        <v>32525</v>
      </c>
      <c r="P5341">
        <v>0</v>
      </c>
      <c r="Q5341">
        <v>2</v>
      </c>
      <c r="R5341" t="s">
        <v>32531</v>
      </c>
      <c r="S5341" t="s">
        <v>32586</v>
      </c>
      <c r="T5341" t="s">
        <v>33220</v>
      </c>
      <c r="U5341" t="s">
        <v>38117</v>
      </c>
      <c r="W5341" t="s">
        <v>31493</v>
      </c>
      <c r="X5341" t="s">
        <v>32532</v>
      </c>
    </row>
    <row r="5342" spans="1:24">
      <c r="A5342">
        <f>HYPERLINK("https://www.philgeps.gov.ph/GEPSNONPILOT/Tender/SplashBidNoticeAbstractUI.aspx?menuIndex=3&amp;refID=7039808&amp;Result=3","7039808")</f>
        <v>0</v>
      </c>
      <c r="B5342" t="s">
        <v>1760</v>
      </c>
      <c r="C5342" t="s">
        <v>7789</v>
      </c>
      <c r="D5342" t="s">
        <v>13017</v>
      </c>
      <c r="E5342" t="s">
        <v>17838</v>
      </c>
      <c r="F5342" t="s">
        <v>22436</v>
      </c>
      <c r="G5342" t="s">
        <v>22444</v>
      </c>
      <c r="H5342" t="s">
        <v>22452</v>
      </c>
      <c r="I5342" t="s">
        <v>22463</v>
      </c>
      <c r="J5342" t="s">
        <v>26076</v>
      </c>
      <c r="K5342" t="s">
        <v>29341</v>
      </c>
      <c r="M5342" t="s">
        <v>31466</v>
      </c>
      <c r="N5342" t="s">
        <v>32524</v>
      </c>
      <c r="O5342" t="s">
        <v>32525</v>
      </c>
      <c r="P5342">
        <v>0</v>
      </c>
      <c r="Q5342">
        <v>3</v>
      </c>
      <c r="R5342" t="s">
        <v>32531</v>
      </c>
      <c r="S5342" t="s">
        <v>32586</v>
      </c>
      <c r="T5342" t="s">
        <v>33218</v>
      </c>
      <c r="U5342" t="s">
        <v>38118</v>
      </c>
      <c r="W5342" t="s">
        <v>31466</v>
      </c>
      <c r="X5342" t="s">
        <v>32532</v>
      </c>
    </row>
    <row r="5343" spans="1:24">
      <c r="A5343">
        <f>HYPERLINK("https://www.philgeps.gov.ph/GEPSNONPILOT/Tender/SplashBidNoticeAbstractUI.aspx?menuIndex=3&amp;refID=7039817&amp;Result=3","7039817")</f>
        <v>0</v>
      </c>
      <c r="B5343" t="s">
        <v>763</v>
      </c>
      <c r="C5343" t="s">
        <v>7790</v>
      </c>
      <c r="D5343" t="s">
        <v>13013</v>
      </c>
      <c r="E5343" t="s">
        <v>17839</v>
      </c>
      <c r="F5343" t="s">
        <v>22436</v>
      </c>
      <c r="G5343" t="s">
        <v>22443</v>
      </c>
      <c r="H5343" t="s">
        <v>22452</v>
      </c>
      <c r="I5343" t="s">
        <v>22466</v>
      </c>
      <c r="J5343" t="s">
        <v>26077</v>
      </c>
      <c r="K5343" t="s">
        <v>29341</v>
      </c>
      <c r="M5343" t="s">
        <v>30364</v>
      </c>
      <c r="N5343" t="s">
        <v>32524</v>
      </c>
      <c r="O5343" t="s">
        <v>32525</v>
      </c>
      <c r="P5343">
        <v>0</v>
      </c>
      <c r="Q5343">
        <v>6</v>
      </c>
      <c r="R5343" t="s">
        <v>32531</v>
      </c>
      <c r="S5343" t="s">
        <v>32586</v>
      </c>
      <c r="T5343" t="s">
        <v>33310</v>
      </c>
      <c r="U5343" t="s">
        <v>38119</v>
      </c>
      <c r="W5343" t="s">
        <v>30364</v>
      </c>
      <c r="X5343" t="s">
        <v>32532</v>
      </c>
    </row>
    <row r="5344" spans="1:24">
      <c r="A5344">
        <f>HYPERLINK("https://www.philgeps.gov.ph/GEPSNONPILOT/Tender/SplashBidNoticeAbstractUI.aspx?menuIndex=3&amp;refID=7039802&amp;Result=3","7039802")</f>
        <v>0</v>
      </c>
      <c r="B5344" t="s">
        <v>1752</v>
      </c>
      <c r="C5344" t="s">
        <v>7791</v>
      </c>
      <c r="D5344" t="s">
        <v>13022</v>
      </c>
      <c r="E5344" t="s">
        <v>17840</v>
      </c>
      <c r="F5344" t="s">
        <v>22436</v>
      </c>
      <c r="G5344" t="s">
        <v>22443</v>
      </c>
      <c r="H5344" t="s">
        <v>22452</v>
      </c>
      <c r="I5344" t="s">
        <v>22456</v>
      </c>
      <c r="J5344" t="s">
        <v>26078</v>
      </c>
      <c r="K5344" t="s">
        <v>29329</v>
      </c>
      <c r="M5344" t="s">
        <v>31457</v>
      </c>
      <c r="N5344" t="s">
        <v>32524</v>
      </c>
      <c r="O5344" t="s">
        <v>32525</v>
      </c>
      <c r="P5344">
        <v>0</v>
      </c>
      <c r="Q5344">
        <v>0</v>
      </c>
      <c r="R5344" t="s">
        <v>32531</v>
      </c>
      <c r="S5344" t="s">
        <v>32586</v>
      </c>
      <c r="T5344" t="s">
        <v>33372</v>
      </c>
      <c r="U5344" t="s">
        <v>38120</v>
      </c>
      <c r="W5344" t="s">
        <v>31457</v>
      </c>
      <c r="X5344" t="s">
        <v>32532</v>
      </c>
    </row>
    <row r="5345" spans="1:24">
      <c r="A5345">
        <f>HYPERLINK("https://www.philgeps.gov.ph/GEPSNONPILOT/Tender/SplashBidNoticeAbstractUI.aspx?menuIndex=3&amp;refID=7039807&amp;Result=3","7039807")</f>
        <v>0</v>
      </c>
      <c r="B5345" t="s">
        <v>1761</v>
      </c>
      <c r="C5345" t="s">
        <v>7792</v>
      </c>
      <c r="D5345" t="s">
        <v>12990</v>
      </c>
      <c r="E5345" t="s">
        <v>17841</v>
      </c>
      <c r="F5345" t="s">
        <v>22436</v>
      </c>
      <c r="G5345" t="s">
        <v>22444</v>
      </c>
      <c r="H5345" t="s">
        <v>22452</v>
      </c>
      <c r="I5345" t="s">
        <v>22474</v>
      </c>
      <c r="J5345" t="s">
        <v>22936</v>
      </c>
      <c r="K5345" t="s">
        <v>29341</v>
      </c>
      <c r="M5345" t="s">
        <v>31467</v>
      </c>
      <c r="N5345" t="s">
        <v>32524</v>
      </c>
      <c r="O5345" t="s">
        <v>32525</v>
      </c>
      <c r="P5345">
        <v>0</v>
      </c>
      <c r="Q5345">
        <v>2</v>
      </c>
      <c r="R5345" t="s">
        <v>32531</v>
      </c>
      <c r="S5345" t="s">
        <v>32586</v>
      </c>
      <c r="T5345" t="s">
        <v>33262</v>
      </c>
      <c r="U5345" t="s">
        <v>38121</v>
      </c>
      <c r="W5345" t="s">
        <v>31467</v>
      </c>
      <c r="X5345" t="s">
        <v>32532</v>
      </c>
    </row>
    <row r="5346" spans="1:24">
      <c r="A5346">
        <f>HYPERLINK("https://www.philgeps.gov.ph/GEPSNONPILOT/Tender/SplashBidNoticeAbstractUI.aspx?menuIndex=3&amp;refID=7039811&amp;Result=3","7039811")</f>
        <v>0</v>
      </c>
      <c r="B5346" t="s">
        <v>1762</v>
      </c>
      <c r="C5346" t="s">
        <v>7793</v>
      </c>
      <c r="D5346" t="s">
        <v>13022</v>
      </c>
      <c r="E5346" t="s">
        <v>17842</v>
      </c>
      <c r="F5346" t="s">
        <v>22436</v>
      </c>
      <c r="G5346" t="s">
        <v>22444</v>
      </c>
      <c r="H5346" t="s">
        <v>22452</v>
      </c>
      <c r="I5346" t="s">
        <v>7738</v>
      </c>
      <c r="J5346" t="s">
        <v>26079</v>
      </c>
      <c r="K5346" t="s">
        <v>29335</v>
      </c>
      <c r="L5346" t="s">
        <v>1762</v>
      </c>
      <c r="M5346" t="s">
        <v>31468</v>
      </c>
      <c r="N5346" t="s">
        <v>32524</v>
      </c>
      <c r="O5346" t="s">
        <v>32525</v>
      </c>
      <c r="P5346">
        <v>0</v>
      </c>
      <c r="Q5346">
        <v>2</v>
      </c>
      <c r="R5346" t="s">
        <v>32531</v>
      </c>
      <c r="S5346" t="s">
        <v>32586</v>
      </c>
      <c r="T5346" t="s">
        <v>33405</v>
      </c>
      <c r="U5346" t="s">
        <v>38122</v>
      </c>
      <c r="W5346" t="s">
        <v>31468</v>
      </c>
      <c r="X5346" t="s">
        <v>32532</v>
      </c>
    </row>
    <row r="5347" spans="1:24">
      <c r="A5347">
        <f>HYPERLINK("https://www.philgeps.gov.ph/GEPSNONPILOT/Tender/SplashBidNoticeAbstractUI.aspx?menuIndex=3&amp;refID=7039804&amp;Result=3","7039804")</f>
        <v>0</v>
      </c>
      <c r="B5347" t="s">
        <v>169</v>
      </c>
      <c r="C5347" t="s">
        <v>7794</v>
      </c>
      <c r="D5347" t="s">
        <v>13044</v>
      </c>
      <c r="E5347" t="s">
        <v>17843</v>
      </c>
      <c r="F5347" t="s">
        <v>22436</v>
      </c>
      <c r="G5347" t="s">
        <v>22443</v>
      </c>
      <c r="H5347" t="s">
        <v>22454</v>
      </c>
      <c r="I5347" t="s">
        <v>7738</v>
      </c>
      <c r="J5347" t="s">
        <v>26080</v>
      </c>
      <c r="K5347" t="s">
        <v>29342</v>
      </c>
      <c r="M5347" t="s">
        <v>29741</v>
      </c>
      <c r="N5347" t="s">
        <v>32524</v>
      </c>
      <c r="O5347" t="s">
        <v>32525</v>
      </c>
      <c r="P5347">
        <v>0</v>
      </c>
      <c r="Q5347">
        <v>1</v>
      </c>
      <c r="R5347" t="s">
        <v>32531</v>
      </c>
      <c r="S5347" t="s">
        <v>32586</v>
      </c>
      <c r="T5347" t="s">
        <v>33213</v>
      </c>
      <c r="U5347" t="s">
        <v>38123</v>
      </c>
      <c r="V5347" t="s">
        <v>42999</v>
      </c>
      <c r="W5347" t="s">
        <v>29741</v>
      </c>
      <c r="X5347" t="s">
        <v>32532</v>
      </c>
    </row>
    <row r="5348" spans="1:24">
      <c r="A5348">
        <f>HYPERLINK("https://www.philgeps.gov.ph/GEPSNONPILOT/Tender/SplashBidNoticeAbstractUI.aspx?menuIndex=3&amp;refID=7039828&amp;Result=3","7039828")</f>
        <v>0</v>
      </c>
      <c r="B5348" t="s">
        <v>1381</v>
      </c>
      <c r="C5348" t="s">
        <v>7795</v>
      </c>
      <c r="D5348" t="s">
        <v>13035</v>
      </c>
      <c r="E5348" t="s">
        <v>17844</v>
      </c>
      <c r="F5348" t="s">
        <v>22436</v>
      </c>
      <c r="G5348" t="s">
        <v>22444</v>
      </c>
      <c r="H5348" t="s">
        <v>22454</v>
      </c>
      <c r="I5348" t="s">
        <v>7738</v>
      </c>
      <c r="J5348" t="s">
        <v>26081</v>
      </c>
      <c r="K5348" t="s">
        <v>29433</v>
      </c>
      <c r="M5348" t="s">
        <v>31460</v>
      </c>
      <c r="N5348" t="s">
        <v>32524</v>
      </c>
      <c r="O5348" t="s">
        <v>32525</v>
      </c>
      <c r="P5348">
        <v>0</v>
      </c>
      <c r="Q5348">
        <v>1</v>
      </c>
      <c r="R5348" t="s">
        <v>32531</v>
      </c>
      <c r="S5348" t="s">
        <v>32586</v>
      </c>
      <c r="T5348" t="s">
        <v>33493</v>
      </c>
      <c r="U5348" t="s">
        <v>38124</v>
      </c>
      <c r="V5348" t="s">
        <v>42994</v>
      </c>
      <c r="W5348" t="s">
        <v>31460</v>
      </c>
      <c r="X5348" t="s">
        <v>32532</v>
      </c>
    </row>
    <row r="5349" spans="1:24">
      <c r="A5349">
        <f>HYPERLINK("https://www.philgeps.gov.ph/GEPSNONPILOT/Tender/SplashBidNoticeAbstractUI.aspx?menuIndex=3&amp;refID=7039822&amp;Result=3","7039822")</f>
        <v>0</v>
      </c>
      <c r="B5349" t="s">
        <v>1763</v>
      </c>
      <c r="C5349" t="s">
        <v>7796</v>
      </c>
      <c r="D5349" t="s">
        <v>13038</v>
      </c>
      <c r="E5349" t="s">
        <v>17845</v>
      </c>
      <c r="F5349" t="s">
        <v>22436</v>
      </c>
      <c r="G5349" t="s">
        <v>22443</v>
      </c>
      <c r="H5349" t="s">
        <v>22452</v>
      </c>
      <c r="I5349" t="s">
        <v>22553</v>
      </c>
      <c r="J5349" t="s">
        <v>26082</v>
      </c>
      <c r="K5349" t="s">
        <v>29335</v>
      </c>
      <c r="M5349" t="s">
        <v>31469</v>
      </c>
      <c r="N5349" t="s">
        <v>32524</v>
      </c>
      <c r="O5349" t="s">
        <v>32525</v>
      </c>
      <c r="P5349">
        <v>0</v>
      </c>
      <c r="Q5349">
        <v>1</v>
      </c>
      <c r="R5349" t="s">
        <v>32531</v>
      </c>
      <c r="S5349" t="s">
        <v>32586</v>
      </c>
      <c r="T5349" t="s">
        <v>33203</v>
      </c>
      <c r="U5349" t="s">
        <v>38125</v>
      </c>
      <c r="W5349" t="s">
        <v>31469</v>
      </c>
      <c r="X5349" t="s">
        <v>32532</v>
      </c>
    </row>
    <row r="5350" spans="1:24">
      <c r="A5350">
        <f>HYPERLINK("https://www.philgeps.gov.ph/GEPSNONPILOT/Tender/SplashBidNoticeAbstractUI.aspx?menuIndex=3&amp;refID=7039801&amp;Result=3","7039801")</f>
        <v>0</v>
      </c>
      <c r="B5350" t="s">
        <v>188</v>
      </c>
      <c r="C5350" t="s">
        <v>7797</v>
      </c>
      <c r="D5350" t="s">
        <v>12998</v>
      </c>
      <c r="E5350" t="s">
        <v>17846</v>
      </c>
      <c r="F5350" t="s">
        <v>22436</v>
      </c>
      <c r="G5350" t="s">
        <v>22443</v>
      </c>
      <c r="H5350" t="s">
        <v>22452</v>
      </c>
      <c r="I5350" t="s">
        <v>22479</v>
      </c>
      <c r="J5350" t="s">
        <v>22617</v>
      </c>
      <c r="K5350" t="s">
        <v>29341</v>
      </c>
      <c r="M5350" t="s">
        <v>29761</v>
      </c>
      <c r="N5350" t="s">
        <v>32524</v>
      </c>
      <c r="O5350" t="s">
        <v>32525</v>
      </c>
      <c r="P5350">
        <v>0</v>
      </c>
      <c r="Q5350">
        <v>7</v>
      </c>
      <c r="R5350" t="s">
        <v>32531</v>
      </c>
      <c r="S5350" t="s">
        <v>32586</v>
      </c>
      <c r="T5350" t="s">
        <v>33372</v>
      </c>
      <c r="U5350" t="s">
        <v>38126</v>
      </c>
      <c r="V5350" t="s">
        <v>42472</v>
      </c>
      <c r="W5350" t="s">
        <v>29761</v>
      </c>
      <c r="X5350" t="s">
        <v>32532</v>
      </c>
    </row>
    <row r="5351" spans="1:24">
      <c r="A5351">
        <f>HYPERLINK("https://www.philgeps.gov.ph/GEPSNONPILOT/Tender/SplashBidNoticeAbstractUI.aspx?menuIndex=3&amp;refID=7039841&amp;Result=3","7039841")</f>
        <v>0</v>
      </c>
      <c r="B5351" t="s">
        <v>59</v>
      </c>
      <c r="C5351" t="s">
        <v>7798</v>
      </c>
      <c r="D5351" t="s">
        <v>13004</v>
      </c>
      <c r="E5351" t="s">
        <v>17847</v>
      </c>
      <c r="F5351" t="s">
        <v>22436</v>
      </c>
      <c r="G5351" t="s">
        <v>22443</v>
      </c>
      <c r="H5351" t="s">
        <v>22452</v>
      </c>
      <c r="I5351" t="s">
        <v>22500</v>
      </c>
      <c r="J5351" t="s">
        <v>26083</v>
      </c>
      <c r="K5351" t="s">
        <v>29338</v>
      </c>
      <c r="L5351" t="s">
        <v>59</v>
      </c>
      <c r="M5351" t="s">
        <v>29631</v>
      </c>
      <c r="N5351" t="s">
        <v>32524</v>
      </c>
      <c r="O5351" t="s">
        <v>32525</v>
      </c>
      <c r="P5351">
        <v>0</v>
      </c>
      <c r="Q5351">
        <v>2</v>
      </c>
      <c r="R5351" t="s">
        <v>32531</v>
      </c>
      <c r="S5351" t="s">
        <v>32586</v>
      </c>
      <c r="T5351" t="s">
        <v>33296</v>
      </c>
      <c r="U5351" t="s">
        <v>38127</v>
      </c>
      <c r="W5351" t="s">
        <v>29631</v>
      </c>
      <c r="X5351" t="s">
        <v>32532</v>
      </c>
    </row>
    <row r="5352" spans="1:24">
      <c r="A5352">
        <f>HYPERLINK("https://www.philgeps.gov.ph/GEPSNONPILOT/Tender/SplashBidNoticeAbstractUI.aspx?menuIndex=3&amp;refID=7039819&amp;Result=3","7039819")</f>
        <v>0</v>
      </c>
      <c r="B5352" t="s">
        <v>799</v>
      </c>
      <c r="C5352" t="s">
        <v>7799</v>
      </c>
      <c r="D5352" t="s">
        <v>13060</v>
      </c>
      <c r="E5352" t="s">
        <v>17848</v>
      </c>
      <c r="F5352" t="s">
        <v>22436</v>
      </c>
      <c r="G5352" t="s">
        <v>22444</v>
      </c>
      <c r="H5352" t="s">
        <v>22452</v>
      </c>
      <c r="I5352" t="s">
        <v>22540</v>
      </c>
      <c r="J5352" t="s">
        <v>26084</v>
      </c>
      <c r="K5352" t="s">
        <v>29338</v>
      </c>
      <c r="M5352" t="s">
        <v>30401</v>
      </c>
      <c r="N5352" t="s">
        <v>32524</v>
      </c>
      <c r="O5352" t="s">
        <v>32525</v>
      </c>
      <c r="P5352">
        <v>0</v>
      </c>
      <c r="Q5352">
        <v>2</v>
      </c>
      <c r="R5352" t="s">
        <v>32531</v>
      </c>
      <c r="S5352" t="s">
        <v>32586</v>
      </c>
      <c r="T5352" t="s">
        <v>33440</v>
      </c>
      <c r="U5352" t="s">
        <v>38108</v>
      </c>
      <c r="V5352" t="s">
        <v>42996</v>
      </c>
      <c r="W5352" t="s">
        <v>30401</v>
      </c>
      <c r="X5352" t="s">
        <v>32532</v>
      </c>
    </row>
    <row r="5353" spans="1:24">
      <c r="A5353">
        <f>HYPERLINK("https://www.philgeps.gov.ph/GEPSNONPILOT/Tender/SplashBidNoticeAbstractUI.aspx?menuIndex=3&amp;refID=7039831&amp;Result=3","7039831")</f>
        <v>0</v>
      </c>
      <c r="B5353" t="s">
        <v>1764</v>
      </c>
      <c r="C5353" t="s">
        <v>7800</v>
      </c>
      <c r="D5353" t="s">
        <v>13067</v>
      </c>
      <c r="E5353" t="s">
        <v>17849</v>
      </c>
      <c r="F5353" t="s">
        <v>22436</v>
      </c>
      <c r="G5353" t="s">
        <v>22443</v>
      </c>
      <c r="H5353" t="s">
        <v>22452</v>
      </c>
      <c r="I5353" t="s">
        <v>5194</v>
      </c>
      <c r="J5353" t="s">
        <v>26085</v>
      </c>
      <c r="K5353" t="s">
        <v>29331</v>
      </c>
      <c r="M5353" t="s">
        <v>31470</v>
      </c>
      <c r="N5353" t="s">
        <v>32524</v>
      </c>
      <c r="O5353" t="s">
        <v>32525</v>
      </c>
      <c r="P5353">
        <v>0</v>
      </c>
      <c r="Q5353">
        <v>0</v>
      </c>
      <c r="R5353" t="s">
        <v>32531</v>
      </c>
      <c r="S5353" t="s">
        <v>32586</v>
      </c>
      <c r="T5353" t="s">
        <v>33220</v>
      </c>
      <c r="U5353" t="s">
        <v>38128</v>
      </c>
      <c r="V5353" t="s">
        <v>43000</v>
      </c>
      <c r="W5353" t="s">
        <v>31470</v>
      </c>
      <c r="X5353" t="s">
        <v>32532</v>
      </c>
    </row>
    <row r="5354" spans="1:24">
      <c r="A5354">
        <f>HYPERLINK("https://www.philgeps.gov.ph/GEPSNONPILOT/Tender/SplashBidNoticeAbstractUI.aspx?menuIndex=3&amp;refID=7039837&amp;Result=3","7039837")</f>
        <v>0</v>
      </c>
      <c r="B5354" t="s">
        <v>169</v>
      </c>
      <c r="C5354" t="s">
        <v>7801</v>
      </c>
      <c r="D5354" t="s">
        <v>13044</v>
      </c>
      <c r="E5354" t="s">
        <v>17850</v>
      </c>
      <c r="F5354" t="s">
        <v>22436</v>
      </c>
      <c r="G5354" t="s">
        <v>22443</v>
      </c>
      <c r="H5354" t="s">
        <v>22454</v>
      </c>
      <c r="I5354" t="s">
        <v>7738</v>
      </c>
      <c r="J5354" t="s">
        <v>26086</v>
      </c>
      <c r="K5354" t="s">
        <v>29335</v>
      </c>
      <c r="M5354" t="s">
        <v>29741</v>
      </c>
      <c r="N5354" t="s">
        <v>32524</v>
      </c>
      <c r="O5354" t="s">
        <v>32525</v>
      </c>
      <c r="P5354">
        <v>0</v>
      </c>
      <c r="Q5354">
        <v>0</v>
      </c>
      <c r="R5354" t="s">
        <v>32531</v>
      </c>
      <c r="S5354" t="s">
        <v>32586</v>
      </c>
      <c r="T5354" t="s">
        <v>33213</v>
      </c>
      <c r="U5354" t="s">
        <v>38129</v>
      </c>
      <c r="V5354" t="s">
        <v>42999</v>
      </c>
      <c r="W5354" t="s">
        <v>29741</v>
      </c>
      <c r="X5354" t="s">
        <v>32532</v>
      </c>
    </row>
    <row r="5355" spans="1:24">
      <c r="A5355">
        <f>HYPERLINK("https://www.philgeps.gov.ph/GEPSNONPILOT/Tender/SplashBidNoticeAbstractUI.aspx?menuIndex=3&amp;refID=7039833&amp;Result=3","7039833")</f>
        <v>0</v>
      </c>
      <c r="B5355" t="s">
        <v>1752</v>
      </c>
      <c r="C5355" t="s">
        <v>7802</v>
      </c>
      <c r="D5355" t="s">
        <v>13022</v>
      </c>
      <c r="E5355" t="s">
        <v>17851</v>
      </c>
      <c r="F5355" t="s">
        <v>22436</v>
      </c>
      <c r="G5355" t="s">
        <v>22443</v>
      </c>
      <c r="H5355" t="s">
        <v>22452</v>
      </c>
      <c r="I5355" t="s">
        <v>22456</v>
      </c>
      <c r="J5355" t="s">
        <v>22874</v>
      </c>
      <c r="K5355" t="s">
        <v>29329</v>
      </c>
      <c r="M5355" t="s">
        <v>31457</v>
      </c>
      <c r="N5355" t="s">
        <v>32524</v>
      </c>
      <c r="O5355" t="s">
        <v>32525</v>
      </c>
      <c r="P5355">
        <v>0</v>
      </c>
      <c r="Q5355">
        <v>0</v>
      </c>
      <c r="R5355" t="s">
        <v>32531</v>
      </c>
      <c r="S5355" t="s">
        <v>32586</v>
      </c>
      <c r="T5355" t="s">
        <v>33372</v>
      </c>
      <c r="U5355" t="s">
        <v>38130</v>
      </c>
      <c r="W5355" t="s">
        <v>31457</v>
      </c>
      <c r="X5355" t="s">
        <v>32532</v>
      </c>
    </row>
    <row r="5356" spans="1:24">
      <c r="A5356">
        <f>HYPERLINK("https://www.philgeps.gov.ph/GEPSNONPILOT/Tender/SplashBidNoticeAbstractUI.aspx?menuIndex=3&amp;refID=7039874&amp;Result=3","7039874")</f>
        <v>0</v>
      </c>
      <c r="B5356" t="s">
        <v>210</v>
      </c>
      <c r="C5356" t="s">
        <v>7803</v>
      </c>
      <c r="D5356" t="s">
        <v>12994</v>
      </c>
      <c r="E5356" t="s">
        <v>17852</v>
      </c>
      <c r="F5356" t="s">
        <v>22436</v>
      </c>
      <c r="G5356" t="s">
        <v>22444</v>
      </c>
      <c r="H5356" t="s">
        <v>22452</v>
      </c>
      <c r="I5356" t="s">
        <v>22510</v>
      </c>
      <c r="J5356" t="s">
        <v>26087</v>
      </c>
      <c r="K5356" t="s">
        <v>29331</v>
      </c>
      <c r="M5356" t="s">
        <v>29783</v>
      </c>
      <c r="N5356" t="s">
        <v>32524</v>
      </c>
      <c r="O5356" t="s">
        <v>32525</v>
      </c>
      <c r="P5356">
        <v>0</v>
      </c>
      <c r="Q5356">
        <v>3</v>
      </c>
      <c r="R5356" t="s">
        <v>32531</v>
      </c>
      <c r="S5356" t="s">
        <v>32586</v>
      </c>
      <c r="T5356" t="s">
        <v>33220</v>
      </c>
      <c r="U5356" t="s">
        <v>38131</v>
      </c>
      <c r="W5356" t="s">
        <v>29783</v>
      </c>
      <c r="X5356" t="s">
        <v>32532</v>
      </c>
    </row>
    <row r="5357" spans="1:24">
      <c r="A5357">
        <f>HYPERLINK("https://www.philgeps.gov.ph/GEPSNONPILOT/Tender/SplashBidNoticeAbstractUI.aspx?menuIndex=3&amp;refID=7039812&amp;Result=3","7039812")</f>
        <v>0</v>
      </c>
      <c r="B5357" t="s">
        <v>1765</v>
      </c>
      <c r="C5357" t="s">
        <v>5403</v>
      </c>
      <c r="D5357" t="s">
        <v>12988</v>
      </c>
      <c r="E5357" t="s">
        <v>17853</v>
      </c>
      <c r="F5357" t="s">
        <v>22436</v>
      </c>
      <c r="G5357" t="s">
        <v>22446</v>
      </c>
      <c r="H5357" t="s">
        <v>22452</v>
      </c>
      <c r="I5357" t="s">
        <v>3840</v>
      </c>
      <c r="J5357" t="s">
        <v>26088</v>
      </c>
      <c r="K5357" t="s">
        <v>29336</v>
      </c>
      <c r="M5357" t="s">
        <v>31471</v>
      </c>
      <c r="N5357" t="s">
        <v>32524</v>
      </c>
      <c r="O5357" t="s">
        <v>32525</v>
      </c>
      <c r="P5357">
        <v>0</v>
      </c>
      <c r="Q5357">
        <v>12</v>
      </c>
      <c r="R5357" t="s">
        <v>32531</v>
      </c>
      <c r="S5357" t="s">
        <v>32586</v>
      </c>
      <c r="T5357" t="s">
        <v>33372</v>
      </c>
      <c r="U5357" t="s">
        <v>38132</v>
      </c>
      <c r="W5357" t="s">
        <v>31471</v>
      </c>
      <c r="X5357" t="s">
        <v>32532</v>
      </c>
    </row>
    <row r="5358" spans="1:24">
      <c r="A5358">
        <f>HYPERLINK("https://www.philgeps.gov.ph/GEPSNONPILOT/Tender/SplashBidNoticeAbstractUI.aspx?menuIndex=3&amp;refID=7039871&amp;Result=3","7039871")</f>
        <v>0</v>
      </c>
      <c r="B5358" t="s">
        <v>169</v>
      </c>
      <c r="C5358" t="s">
        <v>7804</v>
      </c>
      <c r="D5358" t="s">
        <v>13044</v>
      </c>
      <c r="E5358" t="s">
        <v>17854</v>
      </c>
      <c r="F5358" t="s">
        <v>22436</v>
      </c>
      <c r="G5358" t="s">
        <v>22443</v>
      </c>
      <c r="H5358" t="s">
        <v>22454</v>
      </c>
      <c r="I5358" t="s">
        <v>7738</v>
      </c>
      <c r="J5358" t="s">
        <v>26089</v>
      </c>
      <c r="K5358" t="s">
        <v>29335</v>
      </c>
      <c r="M5358" t="s">
        <v>29741</v>
      </c>
      <c r="N5358" t="s">
        <v>32524</v>
      </c>
      <c r="O5358" t="s">
        <v>32525</v>
      </c>
      <c r="P5358">
        <v>0</v>
      </c>
      <c r="Q5358">
        <v>0</v>
      </c>
      <c r="R5358" t="s">
        <v>32531</v>
      </c>
      <c r="S5358" t="s">
        <v>32586</v>
      </c>
      <c r="T5358" t="s">
        <v>33213</v>
      </c>
      <c r="U5358" t="s">
        <v>38133</v>
      </c>
      <c r="V5358" t="s">
        <v>42999</v>
      </c>
      <c r="W5358" t="s">
        <v>29741</v>
      </c>
      <c r="X5358" t="s">
        <v>32532</v>
      </c>
    </row>
    <row r="5359" spans="1:24">
      <c r="A5359">
        <f>HYPERLINK("https://www.philgeps.gov.ph/GEPSNONPILOT/Tender/SplashBidNoticeAbstractUI.aspx?menuIndex=3&amp;refID=7039820&amp;Result=3","7039820")</f>
        <v>0</v>
      </c>
      <c r="B5359" t="s">
        <v>1766</v>
      </c>
      <c r="C5359" t="s">
        <v>7805</v>
      </c>
      <c r="D5359" t="s">
        <v>13045</v>
      </c>
      <c r="E5359" t="s">
        <v>13927</v>
      </c>
      <c r="F5359" t="s">
        <v>22436</v>
      </c>
      <c r="G5359" t="s">
        <v>22443</v>
      </c>
      <c r="H5359" t="s">
        <v>22452</v>
      </c>
      <c r="I5359" t="s">
        <v>22466</v>
      </c>
      <c r="J5359" t="s">
        <v>25177</v>
      </c>
      <c r="K5359" t="s">
        <v>29331</v>
      </c>
      <c r="M5359" t="s">
        <v>31472</v>
      </c>
      <c r="N5359" t="s">
        <v>32524</v>
      </c>
      <c r="O5359" t="s">
        <v>32525</v>
      </c>
      <c r="P5359">
        <v>0</v>
      </c>
      <c r="Q5359">
        <v>9</v>
      </c>
      <c r="R5359" t="s">
        <v>32531</v>
      </c>
      <c r="S5359" t="s">
        <v>32586</v>
      </c>
      <c r="T5359" t="s">
        <v>33392</v>
      </c>
      <c r="U5359" t="s">
        <v>38134</v>
      </c>
      <c r="W5359" t="s">
        <v>31472</v>
      </c>
      <c r="X5359" t="s">
        <v>32532</v>
      </c>
    </row>
    <row r="5360" spans="1:24">
      <c r="A5360">
        <f>HYPERLINK("https://www.philgeps.gov.ph/GEPSNONPILOT/Tender/SplashBidNoticeAbstractUI.aspx?menuIndex=3&amp;refID=7039870&amp;Result=3","7039870")</f>
        <v>0</v>
      </c>
      <c r="B5360" t="s">
        <v>525</v>
      </c>
      <c r="C5360" t="s">
        <v>7806</v>
      </c>
      <c r="D5360" t="s">
        <v>13038</v>
      </c>
      <c r="E5360" t="s">
        <v>7806</v>
      </c>
      <c r="F5360" t="s">
        <v>22436</v>
      </c>
      <c r="G5360" t="s">
        <v>22444</v>
      </c>
      <c r="H5360" t="s">
        <v>22452</v>
      </c>
      <c r="I5360" t="s">
        <v>22467</v>
      </c>
      <c r="J5360" t="s">
        <v>26090</v>
      </c>
      <c r="K5360" t="s">
        <v>29338</v>
      </c>
      <c r="M5360" t="s">
        <v>30109</v>
      </c>
      <c r="N5360" t="s">
        <v>32524</v>
      </c>
      <c r="O5360" t="s">
        <v>32525</v>
      </c>
      <c r="P5360">
        <v>0</v>
      </c>
      <c r="Q5360">
        <v>0</v>
      </c>
      <c r="R5360" t="s">
        <v>32531</v>
      </c>
      <c r="S5360" t="s">
        <v>32586</v>
      </c>
      <c r="T5360" t="s">
        <v>33252</v>
      </c>
      <c r="U5360" t="s">
        <v>38135</v>
      </c>
      <c r="W5360" t="s">
        <v>30109</v>
      </c>
      <c r="X5360" t="s">
        <v>32532</v>
      </c>
    </row>
    <row r="5361" spans="1:24">
      <c r="A5361">
        <f>HYPERLINK("https://www.philgeps.gov.ph/GEPSNONPILOT/Tender/SplashBidNoticeAbstractUI.aspx?menuIndex=3&amp;refID=7039838&amp;Result=3","7039838")</f>
        <v>0</v>
      </c>
      <c r="B5361" t="s">
        <v>1767</v>
      </c>
      <c r="C5361" t="s">
        <v>7807</v>
      </c>
      <c r="D5361" t="s">
        <v>12995</v>
      </c>
      <c r="E5361" t="s">
        <v>13278</v>
      </c>
      <c r="F5361" t="s">
        <v>22436</v>
      </c>
      <c r="G5361" t="s">
        <v>22443</v>
      </c>
      <c r="H5361" t="s">
        <v>22454</v>
      </c>
      <c r="I5361" t="s">
        <v>22526</v>
      </c>
      <c r="J5361" t="s">
        <v>26091</v>
      </c>
      <c r="K5361" t="s">
        <v>29334</v>
      </c>
      <c r="M5361" t="s">
        <v>31473</v>
      </c>
      <c r="N5361" t="s">
        <v>32524</v>
      </c>
      <c r="O5361" t="s">
        <v>32525</v>
      </c>
      <c r="P5361">
        <v>0</v>
      </c>
      <c r="Q5361">
        <v>0</v>
      </c>
      <c r="R5361" t="s">
        <v>32531</v>
      </c>
      <c r="S5361" t="s">
        <v>32586</v>
      </c>
      <c r="T5361" t="s">
        <v>33270</v>
      </c>
      <c r="U5361" t="s">
        <v>38136</v>
      </c>
      <c r="W5361" t="s">
        <v>31473</v>
      </c>
      <c r="X5361" t="s">
        <v>32532</v>
      </c>
    </row>
    <row r="5362" spans="1:24">
      <c r="A5362">
        <f>HYPERLINK("https://www.philgeps.gov.ph/GEPSNONPILOT/Tender/SplashBidNoticeAbstractUI.aspx?menuIndex=3&amp;refID=7039825&amp;Result=3","7039825")</f>
        <v>0</v>
      </c>
      <c r="B5362" t="s">
        <v>1740</v>
      </c>
      <c r="C5362" t="s">
        <v>7808</v>
      </c>
      <c r="D5362" t="s">
        <v>13045</v>
      </c>
      <c r="E5362" t="s">
        <v>17855</v>
      </c>
      <c r="F5362" t="s">
        <v>22436</v>
      </c>
      <c r="G5362" t="s">
        <v>22444</v>
      </c>
      <c r="H5362" t="s">
        <v>22452</v>
      </c>
      <c r="I5362" t="s">
        <v>6421</v>
      </c>
      <c r="J5362" t="s">
        <v>26092</v>
      </c>
      <c r="K5362" t="s">
        <v>29335</v>
      </c>
      <c r="M5362" t="s">
        <v>31445</v>
      </c>
      <c r="N5362" t="s">
        <v>32524</v>
      </c>
      <c r="O5362" t="s">
        <v>32525</v>
      </c>
      <c r="P5362">
        <v>0</v>
      </c>
      <c r="Q5362">
        <v>3</v>
      </c>
      <c r="R5362" t="s">
        <v>32531</v>
      </c>
      <c r="S5362" t="s">
        <v>32586</v>
      </c>
      <c r="T5362" t="s">
        <v>33227</v>
      </c>
      <c r="U5362" t="s">
        <v>38137</v>
      </c>
      <c r="W5362" t="s">
        <v>31445</v>
      </c>
      <c r="X5362" t="s">
        <v>32532</v>
      </c>
    </row>
    <row r="5363" spans="1:24">
      <c r="A5363">
        <f>HYPERLINK("https://www.philgeps.gov.ph/GEPSNONPILOT/Tender/SplashBidNoticeAbstractUI.aspx?menuIndex=3&amp;refID=7039862&amp;Result=3","7039862")</f>
        <v>0</v>
      </c>
      <c r="B5363" t="s">
        <v>799</v>
      </c>
      <c r="C5363" t="s">
        <v>7809</v>
      </c>
      <c r="D5363" t="s">
        <v>13024</v>
      </c>
      <c r="E5363" t="s">
        <v>17856</v>
      </c>
      <c r="F5363" t="s">
        <v>22436</v>
      </c>
      <c r="G5363" t="s">
        <v>22444</v>
      </c>
      <c r="H5363" t="s">
        <v>22452</v>
      </c>
      <c r="I5363" t="s">
        <v>22540</v>
      </c>
      <c r="J5363" t="s">
        <v>26093</v>
      </c>
      <c r="K5363" t="s">
        <v>29338</v>
      </c>
      <c r="M5363" t="s">
        <v>30401</v>
      </c>
      <c r="N5363" t="s">
        <v>32524</v>
      </c>
      <c r="O5363" t="s">
        <v>32525</v>
      </c>
      <c r="P5363">
        <v>0</v>
      </c>
      <c r="Q5363">
        <v>1</v>
      </c>
      <c r="R5363" t="s">
        <v>32531</v>
      </c>
      <c r="S5363" t="s">
        <v>32586</v>
      </c>
      <c r="T5363" t="s">
        <v>33440</v>
      </c>
      <c r="U5363" t="s">
        <v>38108</v>
      </c>
      <c r="V5363" t="s">
        <v>42996</v>
      </c>
      <c r="W5363" t="s">
        <v>30401</v>
      </c>
      <c r="X5363" t="s">
        <v>32532</v>
      </c>
    </row>
    <row r="5364" spans="1:24">
      <c r="A5364">
        <f>HYPERLINK("https://www.philgeps.gov.ph/GEPSNONPILOT/Tender/SplashBidNoticeAbstractUI.aspx?menuIndex=3&amp;refID=7039881&amp;Result=3","7039881")</f>
        <v>0</v>
      </c>
      <c r="B5364" t="s">
        <v>1768</v>
      </c>
      <c r="C5364" t="s">
        <v>7810</v>
      </c>
      <c r="D5364" t="s">
        <v>13025</v>
      </c>
      <c r="E5364" t="s">
        <v>14052</v>
      </c>
      <c r="F5364" t="s">
        <v>22436</v>
      </c>
      <c r="G5364" t="s">
        <v>22445</v>
      </c>
      <c r="H5364" t="s">
        <v>22452</v>
      </c>
      <c r="I5364" t="s">
        <v>22471</v>
      </c>
      <c r="J5364" t="s">
        <v>26094</v>
      </c>
      <c r="K5364" t="s">
        <v>29336</v>
      </c>
      <c r="M5364" t="s">
        <v>31474</v>
      </c>
      <c r="N5364" t="s">
        <v>32524</v>
      </c>
      <c r="O5364" t="s">
        <v>32525</v>
      </c>
      <c r="P5364">
        <v>0</v>
      </c>
      <c r="Q5364">
        <v>13</v>
      </c>
      <c r="R5364" t="s">
        <v>32531</v>
      </c>
      <c r="S5364" t="s">
        <v>32586</v>
      </c>
      <c r="T5364" t="s">
        <v>33209</v>
      </c>
      <c r="U5364" t="s">
        <v>38138</v>
      </c>
      <c r="W5364" t="s">
        <v>31474</v>
      </c>
      <c r="X5364" t="s">
        <v>32532</v>
      </c>
    </row>
    <row r="5365" spans="1:24">
      <c r="A5365">
        <f>HYPERLINK("https://www.philgeps.gov.ph/GEPSNONPILOT/Tender/SplashBidNoticeAbstractUI.aspx?menuIndex=3&amp;refID=7039835&amp;Result=3","7039835")</f>
        <v>0</v>
      </c>
      <c r="B5365" t="s">
        <v>292</v>
      </c>
      <c r="C5365" t="s">
        <v>7811</v>
      </c>
      <c r="D5365" t="s">
        <v>13041</v>
      </c>
      <c r="E5365" t="s">
        <v>17857</v>
      </c>
      <c r="F5365" t="s">
        <v>22436</v>
      </c>
      <c r="G5365" t="s">
        <v>22444</v>
      </c>
      <c r="H5365" t="s">
        <v>22452</v>
      </c>
      <c r="I5365" t="s">
        <v>22474</v>
      </c>
      <c r="J5365" t="s">
        <v>23205</v>
      </c>
      <c r="K5365" t="s">
        <v>29335</v>
      </c>
      <c r="M5365" t="s">
        <v>31475</v>
      </c>
      <c r="N5365" t="s">
        <v>32524</v>
      </c>
      <c r="O5365" t="s">
        <v>32525</v>
      </c>
      <c r="P5365">
        <v>0</v>
      </c>
      <c r="Q5365">
        <v>3</v>
      </c>
      <c r="R5365" t="s">
        <v>32531</v>
      </c>
      <c r="S5365" t="s">
        <v>32586</v>
      </c>
      <c r="T5365" t="s">
        <v>33212</v>
      </c>
      <c r="U5365" t="s">
        <v>38139</v>
      </c>
      <c r="V5365" t="s">
        <v>43001</v>
      </c>
      <c r="W5365" t="s">
        <v>31475</v>
      </c>
      <c r="X5365" t="s">
        <v>32532</v>
      </c>
    </row>
    <row r="5366" spans="1:24">
      <c r="A5366">
        <f>HYPERLINK("https://www.philgeps.gov.ph/GEPSNONPILOT/Tender/SplashBidNoticeAbstractUI.aspx?menuIndex=3&amp;refID=7039883&amp;Result=3","7039883")</f>
        <v>0</v>
      </c>
      <c r="B5366" t="s">
        <v>1769</v>
      </c>
      <c r="C5366" t="s">
        <v>7812</v>
      </c>
      <c r="E5366" t="s">
        <v>17858</v>
      </c>
      <c r="F5366" t="s">
        <v>22436</v>
      </c>
      <c r="G5366" t="s">
        <v>22444</v>
      </c>
      <c r="H5366" t="s">
        <v>22452</v>
      </c>
      <c r="I5366" t="s">
        <v>22482</v>
      </c>
      <c r="J5366" t="s">
        <v>26095</v>
      </c>
      <c r="K5366" t="s">
        <v>29337</v>
      </c>
      <c r="M5366" t="s">
        <v>31476</v>
      </c>
      <c r="N5366" t="s">
        <v>32524</v>
      </c>
      <c r="O5366" t="s">
        <v>32525</v>
      </c>
      <c r="P5366">
        <v>0</v>
      </c>
      <c r="Q5366">
        <v>6</v>
      </c>
      <c r="R5366" t="s">
        <v>32531</v>
      </c>
      <c r="S5366" t="s">
        <v>32586</v>
      </c>
      <c r="T5366" t="s">
        <v>33452</v>
      </c>
      <c r="U5366" t="s">
        <v>38140</v>
      </c>
      <c r="W5366" t="s">
        <v>31476</v>
      </c>
      <c r="X5366" t="s">
        <v>32532</v>
      </c>
    </row>
    <row r="5367" spans="1:24">
      <c r="A5367">
        <f>HYPERLINK("https://www.philgeps.gov.ph/GEPSNONPILOT/Tender/SplashBidNoticeAbstractUI.aspx?menuIndex=3&amp;refID=7039859&amp;Result=3","7039859")</f>
        <v>0</v>
      </c>
      <c r="B5367" t="s">
        <v>128</v>
      </c>
      <c r="C5367" t="s">
        <v>7813</v>
      </c>
      <c r="D5367" t="s">
        <v>13025</v>
      </c>
      <c r="E5367" t="s">
        <v>17859</v>
      </c>
      <c r="F5367" t="s">
        <v>22436</v>
      </c>
      <c r="G5367" t="s">
        <v>22444</v>
      </c>
      <c r="H5367" t="s">
        <v>22452</v>
      </c>
      <c r="I5367" t="s">
        <v>3529</v>
      </c>
      <c r="J5367" t="s">
        <v>26096</v>
      </c>
      <c r="K5367" t="s">
        <v>29331</v>
      </c>
      <c r="M5367" t="s">
        <v>29700</v>
      </c>
      <c r="N5367" t="s">
        <v>32524</v>
      </c>
      <c r="O5367" t="s">
        <v>32525</v>
      </c>
      <c r="P5367">
        <v>0</v>
      </c>
      <c r="Q5367">
        <v>0</v>
      </c>
      <c r="R5367" t="s">
        <v>32531</v>
      </c>
      <c r="S5367" t="s">
        <v>32586</v>
      </c>
      <c r="T5367" t="s">
        <v>33220</v>
      </c>
      <c r="U5367" t="s">
        <v>38141</v>
      </c>
      <c r="W5367" t="s">
        <v>29700</v>
      </c>
      <c r="X5367" t="s">
        <v>32532</v>
      </c>
    </row>
    <row r="5368" spans="1:24">
      <c r="A5368">
        <f>HYPERLINK("https://www.philgeps.gov.ph/GEPSNONPILOT/Tender/SplashBidNoticeAbstractUI.aspx?menuIndex=3&amp;refID=7039875&amp;Result=3","7039875")</f>
        <v>0</v>
      </c>
      <c r="B5368" t="s">
        <v>660</v>
      </c>
      <c r="C5368" t="s">
        <v>7814</v>
      </c>
      <c r="D5368" t="s">
        <v>13013</v>
      </c>
      <c r="E5368" t="s">
        <v>17860</v>
      </c>
      <c r="F5368" t="s">
        <v>22436</v>
      </c>
      <c r="G5368" t="s">
        <v>22444</v>
      </c>
      <c r="H5368" t="s">
        <v>22454</v>
      </c>
      <c r="I5368" t="s">
        <v>7738</v>
      </c>
      <c r="J5368" t="s">
        <v>24431</v>
      </c>
      <c r="K5368" t="s">
        <v>29335</v>
      </c>
      <c r="M5368" t="s">
        <v>30252</v>
      </c>
      <c r="N5368" t="s">
        <v>32524</v>
      </c>
      <c r="O5368" t="s">
        <v>32525</v>
      </c>
      <c r="P5368">
        <v>0</v>
      </c>
      <c r="Q5368">
        <v>0</v>
      </c>
      <c r="R5368" t="s">
        <v>32531</v>
      </c>
      <c r="S5368" t="s">
        <v>32586</v>
      </c>
      <c r="T5368" t="s">
        <v>33249</v>
      </c>
      <c r="U5368" t="s">
        <v>38142</v>
      </c>
      <c r="W5368" t="s">
        <v>30252</v>
      </c>
      <c r="X5368" t="s">
        <v>32532</v>
      </c>
    </row>
    <row r="5369" spans="1:24">
      <c r="A5369">
        <f>HYPERLINK("https://www.philgeps.gov.ph/GEPSNONPILOT/Tender/SplashBidNoticeAbstractUI.aspx?menuIndex=3&amp;refID=7039876&amp;Result=3","7039876")</f>
        <v>0</v>
      </c>
      <c r="B5369" t="s">
        <v>1678</v>
      </c>
      <c r="C5369" t="s">
        <v>7815</v>
      </c>
      <c r="D5369" t="s">
        <v>13030</v>
      </c>
      <c r="E5369" t="s">
        <v>17861</v>
      </c>
      <c r="F5369" t="s">
        <v>22436</v>
      </c>
      <c r="G5369" t="s">
        <v>22444</v>
      </c>
      <c r="H5369" t="s">
        <v>22452</v>
      </c>
      <c r="I5369" t="s">
        <v>22463</v>
      </c>
      <c r="J5369" t="s">
        <v>26097</v>
      </c>
      <c r="K5369" t="s">
        <v>29335</v>
      </c>
      <c r="M5369" t="s">
        <v>31376</v>
      </c>
      <c r="N5369" t="s">
        <v>32524</v>
      </c>
      <c r="O5369" t="s">
        <v>32525</v>
      </c>
      <c r="P5369">
        <v>0</v>
      </c>
      <c r="Q5369">
        <v>5</v>
      </c>
      <c r="R5369" t="s">
        <v>32531</v>
      </c>
      <c r="S5369" t="s">
        <v>32586</v>
      </c>
      <c r="T5369" t="s">
        <v>33495</v>
      </c>
      <c r="U5369" t="s">
        <v>38143</v>
      </c>
      <c r="W5369" t="s">
        <v>31376</v>
      </c>
      <c r="X5369" t="s">
        <v>32532</v>
      </c>
    </row>
    <row r="5370" spans="1:24">
      <c r="A5370">
        <f>HYPERLINK("https://www.philgeps.gov.ph/GEPSNONPILOT/Tender/SplashBidNoticeAbstractUI.aspx?menuIndex=3&amp;refID=7039879&amp;Result=3","7039879")</f>
        <v>0</v>
      </c>
      <c r="B5370" t="s">
        <v>799</v>
      </c>
      <c r="C5370" t="s">
        <v>7816</v>
      </c>
      <c r="D5370" t="s">
        <v>12990</v>
      </c>
      <c r="E5370" t="s">
        <v>17862</v>
      </c>
      <c r="F5370" t="s">
        <v>22436</v>
      </c>
      <c r="G5370" t="s">
        <v>22444</v>
      </c>
      <c r="H5370" t="s">
        <v>22452</v>
      </c>
      <c r="I5370" t="s">
        <v>22540</v>
      </c>
      <c r="J5370" t="s">
        <v>26098</v>
      </c>
      <c r="K5370" t="s">
        <v>29338</v>
      </c>
      <c r="M5370" t="s">
        <v>30401</v>
      </c>
      <c r="N5370" t="s">
        <v>32524</v>
      </c>
      <c r="O5370" t="s">
        <v>32525</v>
      </c>
      <c r="P5370">
        <v>0</v>
      </c>
      <c r="Q5370">
        <v>3</v>
      </c>
      <c r="R5370" t="s">
        <v>32531</v>
      </c>
      <c r="S5370" t="s">
        <v>32586</v>
      </c>
      <c r="T5370" t="s">
        <v>33440</v>
      </c>
      <c r="U5370" t="s">
        <v>38108</v>
      </c>
      <c r="V5370" t="s">
        <v>42996</v>
      </c>
      <c r="W5370" t="s">
        <v>30401</v>
      </c>
      <c r="X5370" t="s">
        <v>32532</v>
      </c>
    </row>
    <row r="5371" spans="1:24">
      <c r="A5371">
        <f>HYPERLINK("https://www.philgeps.gov.ph/GEPSNONPILOT/Tender/SplashBidNoticeAbstractUI.aspx?menuIndex=3&amp;refID=7039854&amp;Result=3","7039854")</f>
        <v>0</v>
      </c>
      <c r="B5371" t="s">
        <v>1270</v>
      </c>
      <c r="C5371" t="s">
        <v>7817</v>
      </c>
      <c r="D5371" t="s">
        <v>13035</v>
      </c>
      <c r="E5371" t="s">
        <v>17863</v>
      </c>
      <c r="F5371" t="s">
        <v>22436</v>
      </c>
      <c r="G5371" t="s">
        <v>22444</v>
      </c>
      <c r="H5371" t="s">
        <v>22452</v>
      </c>
      <c r="I5371" t="s">
        <v>3529</v>
      </c>
      <c r="J5371" t="s">
        <v>26099</v>
      </c>
      <c r="K5371" t="s">
        <v>29331</v>
      </c>
      <c r="M5371" t="s">
        <v>30923</v>
      </c>
      <c r="N5371" t="s">
        <v>32524</v>
      </c>
      <c r="O5371" t="s">
        <v>32525</v>
      </c>
      <c r="P5371">
        <v>0</v>
      </c>
      <c r="Q5371">
        <v>1</v>
      </c>
      <c r="R5371" t="s">
        <v>32531</v>
      </c>
      <c r="S5371" t="s">
        <v>32586</v>
      </c>
      <c r="T5371" t="s">
        <v>33293</v>
      </c>
      <c r="U5371" t="s">
        <v>38144</v>
      </c>
      <c r="W5371" t="s">
        <v>30923</v>
      </c>
      <c r="X5371" t="s">
        <v>32532</v>
      </c>
    </row>
    <row r="5372" spans="1:24">
      <c r="A5372">
        <f>HYPERLINK("https://www.philgeps.gov.ph/GEPSNONPILOT/Tender/SplashBidNoticeAbstractUI.aspx?menuIndex=3&amp;refID=7039858&amp;Result=3","7039858")</f>
        <v>0</v>
      </c>
      <c r="B5372" t="s">
        <v>1752</v>
      </c>
      <c r="C5372" t="s">
        <v>7818</v>
      </c>
      <c r="D5372" t="s">
        <v>13022</v>
      </c>
      <c r="E5372" t="s">
        <v>17864</v>
      </c>
      <c r="F5372" t="s">
        <v>22436</v>
      </c>
      <c r="G5372" t="s">
        <v>22443</v>
      </c>
      <c r="H5372" t="s">
        <v>22452</v>
      </c>
      <c r="I5372" t="s">
        <v>22502</v>
      </c>
      <c r="J5372" t="s">
        <v>26100</v>
      </c>
      <c r="K5372" t="s">
        <v>29342</v>
      </c>
      <c r="M5372" t="s">
        <v>31457</v>
      </c>
      <c r="N5372" t="s">
        <v>32524</v>
      </c>
      <c r="O5372" t="s">
        <v>32525</v>
      </c>
      <c r="P5372">
        <v>0</v>
      </c>
      <c r="Q5372">
        <v>5</v>
      </c>
      <c r="R5372" t="s">
        <v>32531</v>
      </c>
      <c r="S5372" t="s">
        <v>32586</v>
      </c>
      <c r="T5372" t="s">
        <v>33372</v>
      </c>
      <c r="U5372" t="s">
        <v>38145</v>
      </c>
      <c r="W5372" t="s">
        <v>31457</v>
      </c>
      <c r="X5372" t="s">
        <v>32532</v>
      </c>
    </row>
    <row r="5373" spans="1:24">
      <c r="A5373">
        <f>HYPERLINK("https://www.philgeps.gov.ph/GEPSNONPILOT/Tender/SplashBidNoticeAbstractUI.aspx?menuIndex=3&amp;refID=7039852&amp;Result=3","7039852")</f>
        <v>0</v>
      </c>
      <c r="B5373" t="s">
        <v>1480</v>
      </c>
      <c r="C5373" t="s">
        <v>7819</v>
      </c>
      <c r="E5373" t="s">
        <v>16898</v>
      </c>
      <c r="F5373" t="s">
        <v>22436</v>
      </c>
      <c r="G5373" t="s">
        <v>22444</v>
      </c>
      <c r="H5373" t="s">
        <v>22452</v>
      </c>
      <c r="I5373" t="s">
        <v>7738</v>
      </c>
      <c r="J5373" t="s">
        <v>22893</v>
      </c>
      <c r="K5373" t="s">
        <v>29338</v>
      </c>
      <c r="M5373" t="s">
        <v>31150</v>
      </c>
      <c r="N5373" t="s">
        <v>32524</v>
      </c>
      <c r="O5373" t="s">
        <v>32525</v>
      </c>
      <c r="P5373">
        <v>0</v>
      </c>
      <c r="Q5373">
        <v>3</v>
      </c>
      <c r="R5373" t="s">
        <v>32531</v>
      </c>
      <c r="S5373" t="s">
        <v>32586</v>
      </c>
      <c r="T5373" t="s">
        <v>33168</v>
      </c>
      <c r="U5373" t="s">
        <v>38146</v>
      </c>
      <c r="V5373" t="s">
        <v>42461</v>
      </c>
      <c r="W5373" t="s">
        <v>31150</v>
      </c>
      <c r="X5373" t="s">
        <v>32532</v>
      </c>
    </row>
    <row r="5374" spans="1:24">
      <c r="A5374">
        <f>HYPERLINK("https://www.philgeps.gov.ph/GEPSNONPILOT/Tender/SplashBidNoticeAbstractUI.aspx?menuIndex=3&amp;refID=7039842&amp;Result=3","7039842")</f>
        <v>0</v>
      </c>
      <c r="B5374" t="s">
        <v>75</v>
      </c>
      <c r="C5374" t="s">
        <v>7820</v>
      </c>
      <c r="D5374" t="s">
        <v>13021</v>
      </c>
      <c r="E5374" t="s">
        <v>17865</v>
      </c>
      <c r="F5374" t="s">
        <v>22436</v>
      </c>
      <c r="G5374" t="s">
        <v>22444</v>
      </c>
      <c r="H5374" t="s">
        <v>22452</v>
      </c>
      <c r="I5374" t="s">
        <v>22474</v>
      </c>
      <c r="J5374" t="s">
        <v>26101</v>
      </c>
      <c r="K5374" t="s">
        <v>29335</v>
      </c>
      <c r="M5374" t="s">
        <v>29647</v>
      </c>
      <c r="N5374" t="s">
        <v>32524</v>
      </c>
      <c r="O5374" t="s">
        <v>32525</v>
      </c>
      <c r="P5374">
        <v>0</v>
      </c>
      <c r="Q5374">
        <v>2</v>
      </c>
      <c r="R5374" t="s">
        <v>32531</v>
      </c>
      <c r="S5374" t="s">
        <v>32586</v>
      </c>
      <c r="T5374" t="s">
        <v>33261</v>
      </c>
      <c r="U5374" t="s">
        <v>38147</v>
      </c>
      <c r="W5374" t="s">
        <v>29647</v>
      </c>
      <c r="X5374" t="s">
        <v>32532</v>
      </c>
    </row>
    <row r="5375" spans="1:24">
      <c r="A5375">
        <f>HYPERLINK("https://www.philgeps.gov.ph/GEPSNONPILOT/Tender/SplashBidNoticeAbstractUI.aspx?menuIndex=3&amp;refID=7039882&amp;Result=3","7039882")</f>
        <v>0</v>
      </c>
      <c r="B5375" t="s">
        <v>572</v>
      </c>
      <c r="C5375" t="s">
        <v>7695</v>
      </c>
      <c r="D5375" t="s">
        <v>12990</v>
      </c>
      <c r="E5375" t="s">
        <v>17866</v>
      </c>
      <c r="F5375" t="s">
        <v>22436</v>
      </c>
      <c r="G5375" t="s">
        <v>22443</v>
      </c>
      <c r="H5375" t="s">
        <v>22452</v>
      </c>
      <c r="I5375" t="s">
        <v>22494</v>
      </c>
      <c r="J5375" t="s">
        <v>26102</v>
      </c>
      <c r="K5375" t="s">
        <v>29338</v>
      </c>
      <c r="M5375" t="s">
        <v>30160</v>
      </c>
      <c r="N5375" t="s">
        <v>32524</v>
      </c>
      <c r="O5375" t="s">
        <v>32525</v>
      </c>
      <c r="P5375">
        <v>0</v>
      </c>
      <c r="Q5375">
        <v>1</v>
      </c>
      <c r="R5375" t="s">
        <v>32531</v>
      </c>
      <c r="S5375" t="s">
        <v>32586</v>
      </c>
      <c r="T5375" t="s">
        <v>33322</v>
      </c>
      <c r="U5375" t="s">
        <v>38028</v>
      </c>
      <c r="W5375" t="s">
        <v>30160</v>
      </c>
      <c r="X5375" t="s">
        <v>32532</v>
      </c>
    </row>
    <row r="5376" spans="1:24">
      <c r="A5376">
        <f>HYPERLINK("https://www.philgeps.gov.ph/GEPSNONPILOT/Tender/SplashBidNoticeAbstractUI.aspx?menuIndex=3&amp;refID=7039848&amp;Result=3","7039848")</f>
        <v>0</v>
      </c>
      <c r="B5376" t="s">
        <v>594</v>
      </c>
      <c r="C5376" t="s">
        <v>7821</v>
      </c>
      <c r="D5376" t="s">
        <v>13040</v>
      </c>
      <c r="E5376" t="s">
        <v>17867</v>
      </c>
      <c r="F5376" t="s">
        <v>22436</v>
      </c>
      <c r="G5376" t="s">
        <v>22444</v>
      </c>
      <c r="H5376" t="s">
        <v>22452</v>
      </c>
      <c r="I5376" t="s">
        <v>22493</v>
      </c>
      <c r="J5376" t="s">
        <v>26103</v>
      </c>
      <c r="K5376" t="s">
        <v>29335</v>
      </c>
      <c r="M5376" t="s">
        <v>30184</v>
      </c>
      <c r="N5376" t="s">
        <v>32524</v>
      </c>
      <c r="O5376" t="s">
        <v>32525</v>
      </c>
      <c r="P5376">
        <v>0</v>
      </c>
      <c r="Q5376">
        <v>7</v>
      </c>
      <c r="R5376" t="s">
        <v>32531</v>
      </c>
      <c r="S5376" t="s">
        <v>32586</v>
      </c>
      <c r="T5376" t="s">
        <v>33220</v>
      </c>
      <c r="U5376" t="s">
        <v>38148</v>
      </c>
      <c r="W5376" t="s">
        <v>31493</v>
      </c>
      <c r="X5376" t="s">
        <v>32532</v>
      </c>
    </row>
    <row r="5377" spans="1:24">
      <c r="A5377">
        <f>HYPERLINK("https://www.philgeps.gov.ph/GEPSNONPILOT/Tender/SplashBidNoticeAbstractUI.aspx?menuIndex=3&amp;refID=7039843&amp;Result=3","7039843")</f>
        <v>0</v>
      </c>
      <c r="B5377" t="s">
        <v>625</v>
      </c>
      <c r="C5377" t="s">
        <v>7822</v>
      </c>
      <c r="D5377" t="s">
        <v>13018</v>
      </c>
      <c r="E5377" t="s">
        <v>14979</v>
      </c>
      <c r="F5377" t="s">
        <v>22437</v>
      </c>
      <c r="G5377" t="s">
        <v>22445</v>
      </c>
      <c r="H5377" t="s">
        <v>22452</v>
      </c>
      <c r="I5377" t="s">
        <v>22472</v>
      </c>
      <c r="J5377" t="s">
        <v>26104</v>
      </c>
      <c r="K5377" t="s">
        <v>29356</v>
      </c>
      <c r="M5377" t="s">
        <v>30216</v>
      </c>
      <c r="N5377" t="s">
        <v>32524</v>
      </c>
      <c r="O5377" t="s">
        <v>32525</v>
      </c>
      <c r="P5377">
        <v>0</v>
      </c>
      <c r="Q5377">
        <v>1</v>
      </c>
      <c r="R5377" t="s">
        <v>32531</v>
      </c>
      <c r="S5377" t="s">
        <v>32586</v>
      </c>
      <c r="T5377" t="s">
        <v>33220</v>
      </c>
      <c r="U5377" t="s">
        <v>38149</v>
      </c>
      <c r="V5377" t="s">
        <v>43002</v>
      </c>
      <c r="W5377" t="s">
        <v>30216</v>
      </c>
      <c r="X5377" t="s">
        <v>32532</v>
      </c>
    </row>
    <row r="5378" spans="1:24">
      <c r="A5378">
        <f>HYPERLINK("https://www.philgeps.gov.ph/GEPSNONPILOT/Tender/SplashBidNoticeAbstractUI.aspx?menuIndex=3&amp;refID=7039884&amp;Result=3","7039884")</f>
        <v>0</v>
      </c>
      <c r="B5378" t="s">
        <v>1752</v>
      </c>
      <c r="C5378" t="s">
        <v>7823</v>
      </c>
      <c r="D5378" t="s">
        <v>13022</v>
      </c>
      <c r="E5378" t="s">
        <v>17868</v>
      </c>
      <c r="F5378" t="s">
        <v>22436</v>
      </c>
      <c r="G5378" t="s">
        <v>22443</v>
      </c>
      <c r="H5378" t="s">
        <v>22452</v>
      </c>
      <c r="I5378" t="s">
        <v>6421</v>
      </c>
      <c r="J5378" t="s">
        <v>26105</v>
      </c>
      <c r="K5378" t="s">
        <v>29342</v>
      </c>
      <c r="M5378" t="s">
        <v>31457</v>
      </c>
      <c r="N5378" t="s">
        <v>32524</v>
      </c>
      <c r="O5378" t="s">
        <v>32525</v>
      </c>
      <c r="P5378">
        <v>0</v>
      </c>
      <c r="Q5378">
        <v>1</v>
      </c>
      <c r="R5378" t="s">
        <v>32531</v>
      </c>
      <c r="S5378" t="s">
        <v>32586</v>
      </c>
      <c r="T5378" t="s">
        <v>33372</v>
      </c>
      <c r="U5378" t="s">
        <v>38150</v>
      </c>
      <c r="W5378" t="s">
        <v>31457</v>
      </c>
      <c r="X5378" t="s">
        <v>32532</v>
      </c>
    </row>
    <row r="5379" spans="1:24">
      <c r="A5379">
        <f>HYPERLINK("https://www.philgeps.gov.ph/GEPSNONPILOT/Tender/SplashBidNoticeAbstractUI.aspx?menuIndex=3&amp;refID=7039886&amp;Result=3","7039886")</f>
        <v>0</v>
      </c>
      <c r="B5379" t="s">
        <v>1770</v>
      </c>
      <c r="C5379" t="s">
        <v>7824</v>
      </c>
      <c r="D5379" t="s">
        <v>13040</v>
      </c>
      <c r="E5379" t="s">
        <v>17869</v>
      </c>
      <c r="F5379" t="s">
        <v>22436</v>
      </c>
      <c r="G5379" t="s">
        <v>22444</v>
      </c>
      <c r="H5379" t="s">
        <v>22452</v>
      </c>
      <c r="I5379" t="s">
        <v>22474</v>
      </c>
      <c r="J5379" t="s">
        <v>23627</v>
      </c>
      <c r="K5379" t="s">
        <v>29338</v>
      </c>
      <c r="M5379" t="s">
        <v>31477</v>
      </c>
      <c r="N5379" t="s">
        <v>32524</v>
      </c>
      <c r="O5379" t="s">
        <v>32525</v>
      </c>
      <c r="P5379">
        <v>0</v>
      </c>
      <c r="Q5379">
        <v>3</v>
      </c>
      <c r="R5379" t="s">
        <v>32531</v>
      </c>
      <c r="S5379" t="s">
        <v>32586</v>
      </c>
      <c r="T5379" t="s">
        <v>33320</v>
      </c>
      <c r="U5379" t="s">
        <v>38151</v>
      </c>
      <c r="W5379" t="s">
        <v>31477</v>
      </c>
      <c r="X5379" t="s">
        <v>32532</v>
      </c>
    </row>
    <row r="5380" spans="1:24">
      <c r="A5380">
        <f>HYPERLINK("https://www.philgeps.gov.ph/GEPSNONPILOT/Tender/SplashBidNoticeAbstractUI.aspx?menuIndex=3&amp;refID=7039885&amp;Result=3","7039885")</f>
        <v>0</v>
      </c>
      <c r="B5380" t="s">
        <v>676</v>
      </c>
      <c r="C5380" t="s">
        <v>7825</v>
      </c>
      <c r="D5380" t="s">
        <v>13025</v>
      </c>
      <c r="E5380" t="s">
        <v>17870</v>
      </c>
      <c r="F5380" t="s">
        <v>22436</v>
      </c>
      <c r="G5380" t="s">
        <v>22444</v>
      </c>
      <c r="H5380" t="s">
        <v>22452</v>
      </c>
      <c r="I5380" t="s">
        <v>3529</v>
      </c>
      <c r="J5380" t="s">
        <v>26106</v>
      </c>
      <c r="K5380" t="s">
        <v>29338</v>
      </c>
      <c r="M5380" t="s">
        <v>30270</v>
      </c>
      <c r="N5380" t="s">
        <v>32524</v>
      </c>
      <c r="O5380" t="s">
        <v>32525</v>
      </c>
      <c r="P5380">
        <v>0</v>
      </c>
      <c r="Q5380">
        <v>0</v>
      </c>
      <c r="R5380" t="s">
        <v>32531</v>
      </c>
      <c r="S5380" t="s">
        <v>32586</v>
      </c>
      <c r="T5380" t="s">
        <v>33166</v>
      </c>
      <c r="U5380" t="s">
        <v>38152</v>
      </c>
      <c r="W5380" t="s">
        <v>30270</v>
      </c>
      <c r="X5380" t="s">
        <v>32532</v>
      </c>
    </row>
    <row r="5381" spans="1:24">
      <c r="A5381">
        <f>HYPERLINK("https://www.philgeps.gov.ph/GEPSNONPILOT/Tender/SplashBidNoticeAbstractUI.aspx?menuIndex=3&amp;refID=7039892&amp;Result=3","7039892")</f>
        <v>0</v>
      </c>
      <c r="B5381" t="s">
        <v>1480</v>
      </c>
      <c r="C5381" t="s">
        <v>7826</v>
      </c>
      <c r="E5381" t="s">
        <v>17871</v>
      </c>
      <c r="F5381" t="s">
        <v>22436</v>
      </c>
      <c r="G5381" t="s">
        <v>22444</v>
      </c>
      <c r="H5381" t="s">
        <v>22454</v>
      </c>
      <c r="I5381" t="s">
        <v>7738</v>
      </c>
      <c r="J5381" t="s">
        <v>22743</v>
      </c>
      <c r="K5381" t="s">
        <v>29338</v>
      </c>
      <c r="M5381" t="s">
        <v>31150</v>
      </c>
      <c r="N5381" t="s">
        <v>32524</v>
      </c>
      <c r="O5381" t="s">
        <v>32525</v>
      </c>
      <c r="P5381">
        <v>0</v>
      </c>
      <c r="Q5381">
        <v>1</v>
      </c>
      <c r="R5381" t="s">
        <v>32531</v>
      </c>
      <c r="S5381" t="s">
        <v>32586</v>
      </c>
      <c r="T5381" t="s">
        <v>33168</v>
      </c>
      <c r="U5381" t="s">
        <v>38153</v>
      </c>
      <c r="V5381" t="s">
        <v>42461</v>
      </c>
      <c r="W5381" t="s">
        <v>31150</v>
      </c>
      <c r="X5381" t="s">
        <v>32532</v>
      </c>
    </row>
    <row r="5382" spans="1:24">
      <c r="A5382">
        <f>HYPERLINK("https://www.philgeps.gov.ph/GEPSNONPILOT/Tender/SplashBidNoticeAbstractUI.aspx?menuIndex=3&amp;refID=7039918&amp;Result=3","7039918")</f>
        <v>0</v>
      </c>
      <c r="B5382" t="s">
        <v>1771</v>
      </c>
      <c r="C5382" t="s">
        <v>7827</v>
      </c>
      <c r="E5382" t="s">
        <v>17872</v>
      </c>
      <c r="F5382" t="s">
        <v>22436</v>
      </c>
      <c r="G5382" t="s">
        <v>22444</v>
      </c>
      <c r="H5382" t="s">
        <v>22452</v>
      </c>
      <c r="I5382" t="s">
        <v>3529</v>
      </c>
      <c r="J5382" t="s">
        <v>26107</v>
      </c>
      <c r="K5382" t="s">
        <v>29338</v>
      </c>
      <c r="M5382" t="s">
        <v>31478</v>
      </c>
      <c r="N5382" t="s">
        <v>32524</v>
      </c>
      <c r="O5382" t="s">
        <v>32525</v>
      </c>
      <c r="P5382">
        <v>0</v>
      </c>
      <c r="Q5382">
        <v>0</v>
      </c>
      <c r="R5382" t="s">
        <v>32531</v>
      </c>
      <c r="S5382" t="s">
        <v>32586</v>
      </c>
      <c r="T5382" t="s">
        <v>33197</v>
      </c>
      <c r="U5382" t="s">
        <v>38154</v>
      </c>
      <c r="W5382" t="s">
        <v>43734</v>
      </c>
      <c r="X5382" t="s">
        <v>32532</v>
      </c>
    </row>
    <row r="5383" spans="1:24">
      <c r="A5383">
        <f>HYPERLINK("https://www.philgeps.gov.ph/GEPSNONPILOT/Tender/SplashBidNoticeAbstractUI.aspx?menuIndex=3&amp;refID=7039922&amp;Result=3","7039922")</f>
        <v>0</v>
      </c>
      <c r="B5383" t="s">
        <v>1480</v>
      </c>
      <c r="C5383" t="s">
        <v>7828</v>
      </c>
      <c r="E5383" t="s">
        <v>17873</v>
      </c>
      <c r="F5383" t="s">
        <v>22436</v>
      </c>
      <c r="G5383" t="s">
        <v>22444</v>
      </c>
      <c r="H5383" t="s">
        <v>22452</v>
      </c>
      <c r="I5383" t="s">
        <v>7738</v>
      </c>
      <c r="J5383" t="s">
        <v>26108</v>
      </c>
      <c r="K5383" t="s">
        <v>29338</v>
      </c>
      <c r="M5383" t="s">
        <v>31150</v>
      </c>
      <c r="N5383" t="s">
        <v>32524</v>
      </c>
      <c r="O5383" t="s">
        <v>32525</v>
      </c>
      <c r="P5383">
        <v>0</v>
      </c>
      <c r="Q5383">
        <v>0</v>
      </c>
      <c r="R5383" t="s">
        <v>32531</v>
      </c>
      <c r="S5383" t="s">
        <v>32586</v>
      </c>
      <c r="T5383" t="s">
        <v>33168</v>
      </c>
      <c r="U5383" t="s">
        <v>38155</v>
      </c>
      <c r="V5383" t="s">
        <v>42461</v>
      </c>
      <c r="W5383" t="s">
        <v>31150</v>
      </c>
      <c r="X5383" t="s">
        <v>32532</v>
      </c>
    </row>
    <row r="5384" spans="1:24">
      <c r="A5384">
        <f>HYPERLINK("https://www.philgeps.gov.ph/GEPSNONPILOT/Tender/SplashBidNoticeAbstractUI.aspx?menuIndex=3&amp;refID=7039917&amp;Result=3","7039917")</f>
        <v>0</v>
      </c>
      <c r="B5384" t="s">
        <v>587</v>
      </c>
      <c r="C5384" t="s">
        <v>7829</v>
      </c>
      <c r="D5384" t="s">
        <v>12988</v>
      </c>
      <c r="E5384" t="s">
        <v>17874</v>
      </c>
      <c r="F5384" t="s">
        <v>22436</v>
      </c>
      <c r="G5384" t="s">
        <v>22443</v>
      </c>
      <c r="H5384" t="s">
        <v>22452</v>
      </c>
      <c r="I5384" t="s">
        <v>22456</v>
      </c>
      <c r="J5384" t="s">
        <v>22911</v>
      </c>
      <c r="K5384" t="s">
        <v>29329</v>
      </c>
      <c r="M5384" t="s">
        <v>30177</v>
      </c>
      <c r="N5384" t="s">
        <v>32524</v>
      </c>
      <c r="O5384" t="s">
        <v>32525</v>
      </c>
      <c r="P5384">
        <v>0</v>
      </c>
      <c r="Q5384">
        <v>4</v>
      </c>
      <c r="R5384" t="s">
        <v>32531</v>
      </c>
      <c r="S5384" t="s">
        <v>32586</v>
      </c>
      <c r="T5384" t="s">
        <v>33209</v>
      </c>
      <c r="U5384" t="s">
        <v>38156</v>
      </c>
      <c r="W5384" t="s">
        <v>30177</v>
      </c>
      <c r="X5384" t="s">
        <v>32532</v>
      </c>
    </row>
    <row r="5385" spans="1:24">
      <c r="A5385">
        <f>HYPERLINK("https://www.philgeps.gov.ph/GEPSNONPILOT/Tender/SplashBidNoticeAbstractUI.aspx?menuIndex=3&amp;refID=7039916&amp;Result=3","7039916")</f>
        <v>0</v>
      </c>
      <c r="B5385" t="s">
        <v>1770</v>
      </c>
      <c r="C5385" t="s">
        <v>7830</v>
      </c>
      <c r="D5385" t="s">
        <v>13040</v>
      </c>
      <c r="E5385" t="s">
        <v>17875</v>
      </c>
      <c r="F5385" t="s">
        <v>22436</v>
      </c>
      <c r="G5385" t="s">
        <v>22444</v>
      </c>
      <c r="H5385" t="s">
        <v>22452</v>
      </c>
      <c r="I5385" t="s">
        <v>22460</v>
      </c>
      <c r="J5385" t="s">
        <v>26109</v>
      </c>
      <c r="K5385" t="s">
        <v>29338</v>
      </c>
      <c r="M5385" t="s">
        <v>31477</v>
      </c>
      <c r="N5385" t="s">
        <v>32524</v>
      </c>
      <c r="O5385" t="s">
        <v>32525</v>
      </c>
      <c r="P5385">
        <v>0</v>
      </c>
      <c r="Q5385">
        <v>2</v>
      </c>
      <c r="R5385" t="s">
        <v>32531</v>
      </c>
      <c r="S5385" t="s">
        <v>32586</v>
      </c>
      <c r="T5385" t="s">
        <v>33320</v>
      </c>
      <c r="U5385" t="s">
        <v>38157</v>
      </c>
      <c r="W5385" t="s">
        <v>31477</v>
      </c>
      <c r="X5385" t="s">
        <v>32532</v>
      </c>
    </row>
    <row r="5386" spans="1:24">
      <c r="A5386">
        <f>HYPERLINK("https://www.philgeps.gov.ph/GEPSNONPILOT/Tender/SplashBidNoticeAbstractUI.aspx?menuIndex=3&amp;refID=7039891&amp;Result=3","7039891")</f>
        <v>0</v>
      </c>
      <c r="B5386" t="s">
        <v>1772</v>
      </c>
      <c r="C5386" t="s">
        <v>7831</v>
      </c>
      <c r="D5386" t="s">
        <v>13007</v>
      </c>
      <c r="E5386" t="s">
        <v>17876</v>
      </c>
      <c r="F5386" t="s">
        <v>22436</v>
      </c>
      <c r="G5386" t="s">
        <v>22446</v>
      </c>
      <c r="H5386" t="s">
        <v>22452</v>
      </c>
      <c r="I5386" t="s">
        <v>22471</v>
      </c>
      <c r="J5386" t="s">
        <v>26110</v>
      </c>
      <c r="K5386" t="s">
        <v>29337</v>
      </c>
      <c r="M5386" t="s">
        <v>31479</v>
      </c>
      <c r="N5386" t="s">
        <v>32524</v>
      </c>
      <c r="O5386" t="s">
        <v>32525</v>
      </c>
      <c r="P5386">
        <v>0</v>
      </c>
      <c r="Q5386">
        <v>14</v>
      </c>
      <c r="R5386" t="s">
        <v>32531</v>
      </c>
      <c r="S5386" t="s">
        <v>32586</v>
      </c>
      <c r="T5386" t="s">
        <v>33229</v>
      </c>
      <c r="U5386" t="s">
        <v>35029</v>
      </c>
      <c r="V5386" t="s">
        <v>43003</v>
      </c>
      <c r="W5386" t="s">
        <v>31479</v>
      </c>
      <c r="X5386" t="s">
        <v>32532</v>
      </c>
    </row>
    <row r="5387" spans="1:24">
      <c r="A5387">
        <f>HYPERLINK("https://www.philgeps.gov.ph/GEPSNONPILOT/Tender/SplashBidNoticeAbstractUI.aspx?menuIndex=3&amp;refID=7039915&amp;Result=3","7039915")</f>
        <v>0</v>
      </c>
      <c r="B5387" t="s">
        <v>799</v>
      </c>
      <c r="C5387" t="s">
        <v>7832</v>
      </c>
      <c r="D5387" t="s">
        <v>13062</v>
      </c>
      <c r="E5387" t="s">
        <v>17877</v>
      </c>
      <c r="F5387" t="s">
        <v>22436</v>
      </c>
      <c r="G5387" t="s">
        <v>22444</v>
      </c>
      <c r="H5387" t="s">
        <v>22452</v>
      </c>
      <c r="I5387" t="s">
        <v>22540</v>
      </c>
      <c r="J5387" t="s">
        <v>26111</v>
      </c>
      <c r="K5387" t="s">
        <v>29338</v>
      </c>
      <c r="M5387" t="s">
        <v>30401</v>
      </c>
      <c r="N5387" t="s">
        <v>32524</v>
      </c>
      <c r="O5387" t="s">
        <v>32525</v>
      </c>
      <c r="P5387">
        <v>0</v>
      </c>
      <c r="Q5387">
        <v>0</v>
      </c>
      <c r="R5387" t="s">
        <v>32531</v>
      </c>
      <c r="S5387" t="s">
        <v>32586</v>
      </c>
      <c r="T5387" t="s">
        <v>33440</v>
      </c>
      <c r="U5387" t="s">
        <v>38108</v>
      </c>
      <c r="V5387" t="s">
        <v>42996</v>
      </c>
      <c r="W5387" t="s">
        <v>30401</v>
      </c>
      <c r="X5387" t="s">
        <v>32532</v>
      </c>
    </row>
    <row r="5388" spans="1:24">
      <c r="A5388">
        <f>HYPERLINK("https://www.philgeps.gov.ph/GEPSNONPILOT/Tender/SplashBidNoticeAbstractUI.aspx?menuIndex=3&amp;refID=7039889&amp;Result=3","7039889")</f>
        <v>0</v>
      </c>
      <c r="B5388" t="s">
        <v>799</v>
      </c>
      <c r="C5388" t="s">
        <v>7833</v>
      </c>
      <c r="D5388" t="s">
        <v>13078</v>
      </c>
      <c r="E5388" t="s">
        <v>17878</v>
      </c>
      <c r="F5388" t="s">
        <v>22436</v>
      </c>
      <c r="G5388" t="s">
        <v>22444</v>
      </c>
      <c r="H5388" t="s">
        <v>22452</v>
      </c>
      <c r="I5388" t="s">
        <v>22540</v>
      </c>
      <c r="J5388" t="s">
        <v>26112</v>
      </c>
      <c r="K5388" t="s">
        <v>29338</v>
      </c>
      <c r="M5388" t="s">
        <v>30401</v>
      </c>
      <c r="N5388" t="s">
        <v>32524</v>
      </c>
      <c r="O5388" t="s">
        <v>32525</v>
      </c>
      <c r="P5388">
        <v>0</v>
      </c>
      <c r="Q5388">
        <v>0</v>
      </c>
      <c r="R5388" t="s">
        <v>32531</v>
      </c>
      <c r="S5388" t="s">
        <v>32586</v>
      </c>
      <c r="T5388" t="s">
        <v>33440</v>
      </c>
      <c r="U5388" t="s">
        <v>38108</v>
      </c>
      <c r="V5388" t="s">
        <v>42996</v>
      </c>
      <c r="W5388" t="s">
        <v>30401</v>
      </c>
      <c r="X5388" t="s">
        <v>32532</v>
      </c>
    </row>
    <row r="5389" spans="1:24">
      <c r="A5389">
        <f>HYPERLINK("https://www.philgeps.gov.ph/GEPSNONPILOT/Tender/SplashBidNoticeAbstractUI.aspx?menuIndex=3&amp;refID=7039910&amp;Result=3","7039910")</f>
        <v>0</v>
      </c>
      <c r="B5389" t="s">
        <v>525</v>
      </c>
      <c r="C5389" t="s">
        <v>7834</v>
      </c>
      <c r="D5389" t="s">
        <v>13038</v>
      </c>
      <c r="E5389" t="s">
        <v>7834</v>
      </c>
      <c r="F5389" t="s">
        <v>22436</v>
      </c>
      <c r="G5389" t="s">
        <v>22444</v>
      </c>
      <c r="H5389" t="s">
        <v>22452</v>
      </c>
      <c r="I5389" t="s">
        <v>3027</v>
      </c>
      <c r="J5389" t="s">
        <v>26113</v>
      </c>
      <c r="K5389" t="s">
        <v>29335</v>
      </c>
      <c r="M5389" t="s">
        <v>30109</v>
      </c>
      <c r="N5389" t="s">
        <v>32524</v>
      </c>
      <c r="O5389" t="s">
        <v>32525</v>
      </c>
      <c r="P5389">
        <v>0</v>
      </c>
      <c r="Q5389">
        <v>0</v>
      </c>
      <c r="R5389" t="s">
        <v>32531</v>
      </c>
      <c r="S5389" t="s">
        <v>32586</v>
      </c>
      <c r="T5389" t="s">
        <v>33252</v>
      </c>
      <c r="U5389" t="s">
        <v>38158</v>
      </c>
      <c r="W5389" t="s">
        <v>30109</v>
      </c>
      <c r="X5389" t="s">
        <v>32532</v>
      </c>
    </row>
    <row r="5390" spans="1:24">
      <c r="A5390">
        <f>HYPERLINK("https://www.philgeps.gov.ph/GEPSNONPILOT/Tender/SplashBidNoticeAbstractUI.aspx?menuIndex=3&amp;refID=7039901&amp;Result=3","7039901")</f>
        <v>0</v>
      </c>
      <c r="B5390" t="s">
        <v>59</v>
      </c>
      <c r="C5390" t="s">
        <v>7835</v>
      </c>
      <c r="D5390" t="s">
        <v>13004</v>
      </c>
      <c r="E5390" t="s">
        <v>17879</v>
      </c>
      <c r="F5390" t="s">
        <v>22436</v>
      </c>
      <c r="G5390" t="s">
        <v>22443</v>
      </c>
      <c r="H5390" t="s">
        <v>22452</v>
      </c>
      <c r="I5390" t="s">
        <v>7110</v>
      </c>
      <c r="J5390" t="s">
        <v>26114</v>
      </c>
      <c r="K5390" t="s">
        <v>29338</v>
      </c>
      <c r="L5390" t="s">
        <v>59</v>
      </c>
      <c r="M5390" t="s">
        <v>29631</v>
      </c>
      <c r="N5390" t="s">
        <v>32524</v>
      </c>
      <c r="O5390" t="s">
        <v>32525</v>
      </c>
      <c r="P5390">
        <v>0</v>
      </c>
      <c r="Q5390">
        <v>1</v>
      </c>
      <c r="R5390" t="s">
        <v>32531</v>
      </c>
      <c r="S5390" t="s">
        <v>32586</v>
      </c>
      <c r="T5390" t="s">
        <v>33296</v>
      </c>
      <c r="U5390" t="s">
        <v>38159</v>
      </c>
      <c r="W5390" t="s">
        <v>29631</v>
      </c>
      <c r="X5390" t="s">
        <v>32532</v>
      </c>
    </row>
    <row r="5391" spans="1:24">
      <c r="A5391">
        <f>HYPERLINK("https://www.philgeps.gov.ph/GEPSNONPILOT/Tender/SplashBidNoticeAbstractUI.aspx?menuIndex=3&amp;refID=7039895&amp;Result=3","7039895")</f>
        <v>0</v>
      </c>
      <c r="B5391" t="s">
        <v>1746</v>
      </c>
      <c r="C5391" t="s">
        <v>7836</v>
      </c>
      <c r="D5391" t="s">
        <v>13012</v>
      </c>
      <c r="E5391" t="s">
        <v>17880</v>
      </c>
      <c r="F5391" t="s">
        <v>22436</v>
      </c>
      <c r="G5391" t="s">
        <v>22444</v>
      </c>
      <c r="H5391" t="s">
        <v>22453</v>
      </c>
      <c r="I5391" t="s">
        <v>22476</v>
      </c>
      <c r="J5391" t="s">
        <v>22588</v>
      </c>
      <c r="K5391" t="s">
        <v>29336</v>
      </c>
      <c r="M5391" t="s">
        <v>31451</v>
      </c>
      <c r="N5391" t="s">
        <v>32524</v>
      </c>
      <c r="O5391" t="s">
        <v>32525</v>
      </c>
      <c r="P5391">
        <v>0</v>
      </c>
      <c r="Q5391">
        <v>3</v>
      </c>
      <c r="R5391" t="s">
        <v>32531</v>
      </c>
      <c r="S5391" t="s">
        <v>32586</v>
      </c>
      <c r="T5391" t="s">
        <v>33154</v>
      </c>
      <c r="U5391" t="s">
        <v>38160</v>
      </c>
      <c r="V5391" t="s">
        <v>43004</v>
      </c>
      <c r="W5391" t="s">
        <v>31451</v>
      </c>
      <c r="X5391" t="s">
        <v>32532</v>
      </c>
    </row>
    <row r="5392" spans="1:24">
      <c r="A5392">
        <f>HYPERLINK("https://www.philgeps.gov.ph/GEPSNONPILOT/Tender/SplashBidNoticeAbstractUI.aspx?menuIndex=3&amp;refID=7039912&amp;Result=3","7039912")</f>
        <v>0</v>
      </c>
      <c r="B5392" t="s">
        <v>1752</v>
      </c>
      <c r="C5392" t="s">
        <v>7837</v>
      </c>
      <c r="D5392" t="s">
        <v>13022</v>
      </c>
      <c r="E5392" t="s">
        <v>17881</v>
      </c>
      <c r="F5392" t="s">
        <v>22436</v>
      </c>
      <c r="G5392" t="s">
        <v>22443</v>
      </c>
      <c r="H5392" t="s">
        <v>22452</v>
      </c>
      <c r="I5392" t="s">
        <v>22467</v>
      </c>
      <c r="J5392" t="s">
        <v>26115</v>
      </c>
      <c r="K5392" t="s">
        <v>29337</v>
      </c>
      <c r="M5392" t="s">
        <v>31457</v>
      </c>
      <c r="N5392" t="s">
        <v>32524</v>
      </c>
      <c r="O5392" t="s">
        <v>32525</v>
      </c>
      <c r="P5392">
        <v>0</v>
      </c>
      <c r="Q5392">
        <v>0</v>
      </c>
      <c r="R5392" t="s">
        <v>32531</v>
      </c>
      <c r="S5392" t="s">
        <v>32586</v>
      </c>
      <c r="T5392" t="s">
        <v>33372</v>
      </c>
      <c r="U5392" t="s">
        <v>38161</v>
      </c>
      <c r="W5392" t="s">
        <v>31457</v>
      </c>
      <c r="X5392" t="s">
        <v>32532</v>
      </c>
    </row>
    <row r="5393" spans="1:24">
      <c r="A5393">
        <f>HYPERLINK("https://www.philgeps.gov.ph/GEPSNONPILOT/Tender/SplashBidNoticeAbstractUI.aspx?menuIndex=3&amp;refID=7039899&amp;Result=3","7039899")</f>
        <v>0</v>
      </c>
      <c r="B5393" t="s">
        <v>1773</v>
      </c>
      <c r="C5393" t="s">
        <v>7838</v>
      </c>
      <c r="D5393" t="s">
        <v>12994</v>
      </c>
      <c r="E5393" t="s">
        <v>17882</v>
      </c>
      <c r="F5393" t="s">
        <v>22436</v>
      </c>
      <c r="G5393" t="s">
        <v>22443</v>
      </c>
      <c r="H5393" t="s">
        <v>22454</v>
      </c>
      <c r="I5393" t="s">
        <v>22496</v>
      </c>
      <c r="J5393" t="s">
        <v>26116</v>
      </c>
      <c r="K5393" t="s">
        <v>29338</v>
      </c>
      <c r="M5393" t="s">
        <v>31480</v>
      </c>
      <c r="N5393" t="s">
        <v>32524</v>
      </c>
      <c r="O5393" t="s">
        <v>32525</v>
      </c>
      <c r="P5393">
        <v>0</v>
      </c>
      <c r="Q5393">
        <v>0</v>
      </c>
      <c r="R5393" t="s">
        <v>32531</v>
      </c>
      <c r="S5393" t="s">
        <v>32586</v>
      </c>
      <c r="T5393" t="s">
        <v>33304</v>
      </c>
      <c r="U5393" t="s">
        <v>38162</v>
      </c>
      <c r="V5393" t="s">
        <v>43005</v>
      </c>
      <c r="W5393" t="s">
        <v>31480</v>
      </c>
      <c r="X5393" t="s">
        <v>32532</v>
      </c>
    </row>
    <row r="5394" spans="1:24">
      <c r="A5394">
        <f>HYPERLINK("https://www.philgeps.gov.ph/GEPSNONPILOT/Tender/SplashBidNoticeAbstractUI.aspx?menuIndex=3&amp;refID=7039896&amp;Result=3","7039896")</f>
        <v>0</v>
      </c>
      <c r="B5394" t="s">
        <v>69</v>
      </c>
      <c r="C5394" t="s">
        <v>7839</v>
      </c>
      <c r="D5394" t="s">
        <v>12998</v>
      </c>
      <c r="E5394" t="s">
        <v>16315</v>
      </c>
      <c r="F5394" t="s">
        <v>22436</v>
      </c>
      <c r="G5394" t="s">
        <v>22444</v>
      </c>
      <c r="H5394" t="s">
        <v>22452</v>
      </c>
      <c r="I5394" t="s">
        <v>3027</v>
      </c>
      <c r="J5394" t="s">
        <v>26117</v>
      </c>
      <c r="K5394" t="s">
        <v>29395</v>
      </c>
      <c r="M5394" t="s">
        <v>29641</v>
      </c>
      <c r="N5394" t="s">
        <v>32524</v>
      </c>
      <c r="O5394" t="s">
        <v>32525</v>
      </c>
      <c r="P5394">
        <v>0</v>
      </c>
      <c r="Q5394">
        <v>0</v>
      </c>
      <c r="R5394" t="s">
        <v>32531</v>
      </c>
      <c r="S5394" t="s">
        <v>32586</v>
      </c>
      <c r="T5394" t="s">
        <v>33242</v>
      </c>
      <c r="U5394" t="s">
        <v>38163</v>
      </c>
      <c r="W5394" t="s">
        <v>29641</v>
      </c>
      <c r="X5394" t="s">
        <v>32532</v>
      </c>
    </row>
    <row r="5395" spans="1:24">
      <c r="A5395">
        <f>HYPERLINK("https://www.philgeps.gov.ph/GEPSNONPILOT/Tender/SplashBidNoticeAbstractUI.aspx?menuIndex=3&amp;refID=7039906&amp;Result=3","7039906")</f>
        <v>0</v>
      </c>
      <c r="B5395" t="s">
        <v>1774</v>
      </c>
      <c r="C5395" t="s">
        <v>7840</v>
      </c>
      <c r="D5395" t="s">
        <v>13041</v>
      </c>
      <c r="E5395" t="s">
        <v>17883</v>
      </c>
      <c r="F5395" t="s">
        <v>22436</v>
      </c>
      <c r="G5395" t="s">
        <v>22446</v>
      </c>
      <c r="H5395" t="s">
        <v>22452</v>
      </c>
      <c r="I5395" t="s">
        <v>2981</v>
      </c>
      <c r="J5395" t="s">
        <v>26118</v>
      </c>
      <c r="K5395" t="s">
        <v>29335</v>
      </c>
      <c r="M5395" t="s">
        <v>31481</v>
      </c>
      <c r="N5395" t="s">
        <v>32524</v>
      </c>
      <c r="O5395" t="s">
        <v>32525</v>
      </c>
      <c r="P5395">
        <v>0</v>
      </c>
      <c r="Q5395">
        <v>2</v>
      </c>
      <c r="R5395" t="s">
        <v>32531</v>
      </c>
      <c r="S5395" t="s">
        <v>32586</v>
      </c>
      <c r="T5395" t="s">
        <v>33351</v>
      </c>
      <c r="U5395" t="s">
        <v>38164</v>
      </c>
      <c r="W5395" t="s">
        <v>31481</v>
      </c>
      <c r="X5395" t="s">
        <v>32532</v>
      </c>
    </row>
    <row r="5396" spans="1:24">
      <c r="A5396">
        <f>HYPERLINK("https://www.philgeps.gov.ph/GEPSNONPILOT/Tender/SplashBidNoticeAbstractUI.aspx?menuIndex=3&amp;refID=7039923&amp;Result=3","7039923")</f>
        <v>0</v>
      </c>
      <c r="B5396" t="s">
        <v>594</v>
      </c>
      <c r="C5396" t="s">
        <v>7841</v>
      </c>
      <c r="D5396" t="s">
        <v>13040</v>
      </c>
      <c r="E5396" t="s">
        <v>17884</v>
      </c>
      <c r="F5396" t="s">
        <v>22436</v>
      </c>
      <c r="G5396" t="s">
        <v>22444</v>
      </c>
      <c r="H5396" t="s">
        <v>22452</v>
      </c>
      <c r="I5396" t="s">
        <v>22468</v>
      </c>
      <c r="J5396" t="s">
        <v>26119</v>
      </c>
      <c r="K5396" t="s">
        <v>29335</v>
      </c>
      <c r="M5396" t="s">
        <v>30184</v>
      </c>
      <c r="N5396" t="s">
        <v>32524</v>
      </c>
      <c r="O5396" t="s">
        <v>32525</v>
      </c>
      <c r="P5396">
        <v>0</v>
      </c>
      <c r="Q5396">
        <v>3</v>
      </c>
      <c r="R5396" t="s">
        <v>32531</v>
      </c>
      <c r="S5396" t="s">
        <v>32586</v>
      </c>
      <c r="T5396" t="s">
        <v>33220</v>
      </c>
      <c r="U5396" t="s">
        <v>38165</v>
      </c>
      <c r="W5396" t="s">
        <v>31493</v>
      </c>
      <c r="X5396" t="s">
        <v>32532</v>
      </c>
    </row>
    <row r="5397" spans="1:24">
      <c r="A5397">
        <f>HYPERLINK("https://www.philgeps.gov.ph/GEPSNONPILOT/Tender/SplashBidNoticeAbstractUI.aspx?menuIndex=3&amp;refID=7039924&amp;Result=3","7039924")</f>
        <v>0</v>
      </c>
      <c r="B5397" t="s">
        <v>1185</v>
      </c>
      <c r="C5397" t="s">
        <v>7842</v>
      </c>
      <c r="D5397" t="s">
        <v>12996</v>
      </c>
      <c r="E5397" t="s">
        <v>17885</v>
      </c>
      <c r="F5397" t="s">
        <v>22436</v>
      </c>
      <c r="G5397" t="s">
        <v>22444</v>
      </c>
      <c r="H5397" t="s">
        <v>22454</v>
      </c>
      <c r="I5397" t="s">
        <v>7738</v>
      </c>
      <c r="J5397" t="s">
        <v>22634</v>
      </c>
      <c r="K5397" t="s">
        <v>29338</v>
      </c>
      <c r="M5397" t="s">
        <v>30832</v>
      </c>
      <c r="N5397" t="s">
        <v>32524</v>
      </c>
      <c r="O5397" t="s">
        <v>32525</v>
      </c>
      <c r="P5397">
        <v>0</v>
      </c>
      <c r="Q5397">
        <v>1</v>
      </c>
      <c r="R5397" t="s">
        <v>32531</v>
      </c>
      <c r="S5397" t="s">
        <v>32586</v>
      </c>
      <c r="T5397" t="s">
        <v>33310</v>
      </c>
      <c r="U5397" t="s">
        <v>38166</v>
      </c>
      <c r="W5397" t="s">
        <v>30832</v>
      </c>
      <c r="X5397" t="s">
        <v>32532</v>
      </c>
    </row>
    <row r="5398" spans="1:24">
      <c r="A5398">
        <f>HYPERLINK("https://www.philgeps.gov.ph/GEPSNONPILOT/Tender/SplashBidNoticeAbstractUI.aspx?menuIndex=3&amp;refID=7039900&amp;Result=3","7039900")</f>
        <v>0</v>
      </c>
      <c r="B5398" t="s">
        <v>128</v>
      </c>
      <c r="C5398" t="s">
        <v>7843</v>
      </c>
      <c r="D5398" t="s">
        <v>13025</v>
      </c>
      <c r="E5398" t="s">
        <v>17886</v>
      </c>
      <c r="F5398" t="s">
        <v>22436</v>
      </c>
      <c r="G5398" t="s">
        <v>22444</v>
      </c>
      <c r="H5398" t="s">
        <v>22452</v>
      </c>
      <c r="I5398" t="s">
        <v>3529</v>
      </c>
      <c r="J5398" t="s">
        <v>26120</v>
      </c>
      <c r="K5398" t="s">
        <v>29331</v>
      </c>
      <c r="M5398" t="s">
        <v>29700</v>
      </c>
      <c r="N5398" t="s">
        <v>32524</v>
      </c>
      <c r="O5398" t="s">
        <v>32525</v>
      </c>
      <c r="P5398">
        <v>0</v>
      </c>
      <c r="Q5398">
        <v>0</v>
      </c>
      <c r="R5398" t="s">
        <v>32531</v>
      </c>
      <c r="S5398" t="s">
        <v>32586</v>
      </c>
      <c r="T5398" t="s">
        <v>33220</v>
      </c>
      <c r="U5398" t="s">
        <v>38167</v>
      </c>
      <c r="W5398" t="s">
        <v>29700</v>
      </c>
      <c r="X5398" t="s">
        <v>32532</v>
      </c>
    </row>
    <row r="5399" spans="1:24">
      <c r="A5399">
        <f>HYPERLINK("https://www.philgeps.gov.ph/GEPSNONPILOT/Tender/SplashBidNoticeAbstractUI.aspx?menuIndex=3&amp;refID=7039894&amp;Result=3","7039894")</f>
        <v>0</v>
      </c>
      <c r="B5399" t="s">
        <v>1021</v>
      </c>
      <c r="C5399" t="s">
        <v>7844</v>
      </c>
      <c r="D5399" t="s">
        <v>13020</v>
      </c>
      <c r="E5399" t="s">
        <v>17887</v>
      </c>
      <c r="F5399" t="s">
        <v>22436</v>
      </c>
      <c r="G5399" t="s">
        <v>22444</v>
      </c>
      <c r="H5399" t="s">
        <v>22452</v>
      </c>
      <c r="I5399" t="s">
        <v>22492</v>
      </c>
      <c r="J5399" t="s">
        <v>26121</v>
      </c>
      <c r="K5399" t="s">
        <v>29335</v>
      </c>
      <c r="M5399" t="s">
        <v>30649</v>
      </c>
      <c r="N5399" t="s">
        <v>32524</v>
      </c>
      <c r="O5399" t="s">
        <v>32525</v>
      </c>
      <c r="P5399">
        <v>0</v>
      </c>
      <c r="Q5399">
        <v>4</v>
      </c>
      <c r="R5399" t="s">
        <v>32531</v>
      </c>
      <c r="S5399" t="s">
        <v>32586</v>
      </c>
      <c r="T5399" t="s">
        <v>33218</v>
      </c>
      <c r="U5399" t="s">
        <v>38168</v>
      </c>
      <c r="W5399" t="s">
        <v>43703</v>
      </c>
      <c r="X5399" t="s">
        <v>32532</v>
      </c>
    </row>
    <row r="5400" spans="1:24">
      <c r="A5400">
        <f>HYPERLINK("https://www.philgeps.gov.ph/GEPSNONPILOT/Tender/SplashBidNoticeAbstractUI.aspx?menuIndex=3&amp;refID=7039942&amp;Result=3","7039942")</f>
        <v>0</v>
      </c>
      <c r="B5400" t="s">
        <v>140</v>
      </c>
      <c r="C5400" t="s">
        <v>7845</v>
      </c>
      <c r="D5400" t="s">
        <v>12988</v>
      </c>
      <c r="E5400" t="s">
        <v>17888</v>
      </c>
      <c r="F5400" t="s">
        <v>22436</v>
      </c>
      <c r="G5400" t="s">
        <v>22443</v>
      </c>
      <c r="H5400" t="s">
        <v>22452</v>
      </c>
      <c r="I5400" t="s">
        <v>2981</v>
      </c>
      <c r="J5400" t="s">
        <v>26122</v>
      </c>
      <c r="K5400" t="s">
        <v>29338</v>
      </c>
      <c r="M5400" t="s">
        <v>31482</v>
      </c>
      <c r="N5400" t="s">
        <v>32524</v>
      </c>
      <c r="O5400" t="s">
        <v>32525</v>
      </c>
      <c r="P5400">
        <v>0</v>
      </c>
      <c r="Q5400">
        <v>2</v>
      </c>
      <c r="R5400" t="s">
        <v>32531</v>
      </c>
      <c r="S5400" t="s">
        <v>32586</v>
      </c>
      <c r="T5400" t="s">
        <v>33419</v>
      </c>
      <c r="U5400" t="s">
        <v>38169</v>
      </c>
      <c r="W5400" t="s">
        <v>31482</v>
      </c>
      <c r="X5400" t="s">
        <v>32532</v>
      </c>
    </row>
    <row r="5401" spans="1:24">
      <c r="A5401">
        <f>HYPERLINK("https://www.philgeps.gov.ph/GEPSNONPILOT/Tender/SplashBidNoticeAbstractUI.aspx?menuIndex=3&amp;refID=7039936&amp;Result=3","7039936")</f>
        <v>0</v>
      </c>
      <c r="B5401" t="s">
        <v>59</v>
      </c>
      <c r="C5401" t="s">
        <v>7846</v>
      </c>
      <c r="D5401" t="s">
        <v>13004</v>
      </c>
      <c r="E5401" t="s">
        <v>17889</v>
      </c>
      <c r="F5401" t="s">
        <v>22436</v>
      </c>
      <c r="G5401" t="s">
        <v>22443</v>
      </c>
      <c r="H5401" t="s">
        <v>22452</v>
      </c>
      <c r="I5401" t="s">
        <v>12358</v>
      </c>
      <c r="J5401" t="s">
        <v>26123</v>
      </c>
      <c r="K5401" t="s">
        <v>29338</v>
      </c>
      <c r="L5401" t="s">
        <v>59</v>
      </c>
      <c r="M5401" t="s">
        <v>29631</v>
      </c>
      <c r="N5401" t="s">
        <v>32524</v>
      </c>
      <c r="O5401" t="s">
        <v>32525</v>
      </c>
      <c r="P5401">
        <v>0</v>
      </c>
      <c r="Q5401">
        <v>0</v>
      </c>
      <c r="R5401" t="s">
        <v>32531</v>
      </c>
      <c r="S5401" t="s">
        <v>32586</v>
      </c>
      <c r="T5401" t="s">
        <v>33296</v>
      </c>
      <c r="U5401" t="s">
        <v>38170</v>
      </c>
      <c r="W5401" t="s">
        <v>29631</v>
      </c>
      <c r="X5401" t="s">
        <v>32532</v>
      </c>
    </row>
    <row r="5402" spans="1:24">
      <c r="A5402">
        <f>HYPERLINK("https://www.philgeps.gov.ph/GEPSNONPILOT/Tender/SplashBidNoticeAbstractUI.aspx?menuIndex=3&amp;refID=7039928&amp;Result=3","7039928")</f>
        <v>0</v>
      </c>
      <c r="B5402" t="s">
        <v>1775</v>
      </c>
      <c r="C5402" t="s">
        <v>7847</v>
      </c>
      <c r="D5402" t="s">
        <v>13037</v>
      </c>
      <c r="E5402" t="s">
        <v>17357</v>
      </c>
      <c r="F5402" t="s">
        <v>22436</v>
      </c>
      <c r="G5402" t="s">
        <v>22444</v>
      </c>
      <c r="H5402" t="s">
        <v>22454</v>
      </c>
      <c r="I5402" t="s">
        <v>7738</v>
      </c>
      <c r="J5402" t="s">
        <v>26124</v>
      </c>
      <c r="K5402" t="s">
        <v>29346</v>
      </c>
      <c r="M5402" t="s">
        <v>31483</v>
      </c>
      <c r="N5402" t="s">
        <v>32524</v>
      </c>
      <c r="O5402" t="s">
        <v>32525</v>
      </c>
      <c r="P5402">
        <v>0</v>
      </c>
      <c r="Q5402">
        <v>4</v>
      </c>
      <c r="R5402" t="s">
        <v>32531</v>
      </c>
      <c r="S5402" t="s">
        <v>32586</v>
      </c>
      <c r="T5402" t="s">
        <v>33165</v>
      </c>
      <c r="U5402" t="s">
        <v>38171</v>
      </c>
      <c r="W5402" t="s">
        <v>31483</v>
      </c>
      <c r="X5402" t="s">
        <v>32532</v>
      </c>
    </row>
    <row r="5403" spans="1:24">
      <c r="A5403">
        <f>HYPERLINK("https://www.philgeps.gov.ph/GEPSNONPILOT/Tender/SplashBidNoticeAbstractUI.aspx?menuIndex=3&amp;refID=7039932&amp;Result=3","7039932")</f>
        <v>0</v>
      </c>
      <c r="B5403" t="s">
        <v>1768</v>
      </c>
      <c r="C5403" t="s">
        <v>7848</v>
      </c>
      <c r="D5403" t="s">
        <v>13025</v>
      </c>
      <c r="E5403" t="s">
        <v>15162</v>
      </c>
      <c r="F5403" t="s">
        <v>22436</v>
      </c>
      <c r="G5403" t="s">
        <v>22445</v>
      </c>
      <c r="H5403" t="s">
        <v>22452</v>
      </c>
      <c r="I5403" t="s">
        <v>22460</v>
      </c>
      <c r="J5403" t="s">
        <v>26125</v>
      </c>
      <c r="K5403" t="s">
        <v>29336</v>
      </c>
      <c r="M5403" t="s">
        <v>31474</v>
      </c>
      <c r="N5403" t="s">
        <v>32524</v>
      </c>
      <c r="O5403" t="s">
        <v>32525</v>
      </c>
      <c r="P5403">
        <v>0</v>
      </c>
      <c r="Q5403">
        <v>1</v>
      </c>
      <c r="R5403" t="s">
        <v>32531</v>
      </c>
      <c r="S5403" t="s">
        <v>32586</v>
      </c>
      <c r="T5403" t="s">
        <v>33209</v>
      </c>
      <c r="U5403" t="s">
        <v>34065</v>
      </c>
      <c r="W5403" t="s">
        <v>31474</v>
      </c>
      <c r="X5403" t="s">
        <v>32532</v>
      </c>
    </row>
    <row r="5404" spans="1:24">
      <c r="A5404">
        <f>HYPERLINK("https://www.philgeps.gov.ph/GEPSNONPILOT/Tender/SplashBidNoticeAbstractUI.aspx?menuIndex=3&amp;refID=7039925&amp;Result=3","7039925")</f>
        <v>0</v>
      </c>
      <c r="B5404" t="s">
        <v>740</v>
      </c>
      <c r="C5404" t="s">
        <v>7849</v>
      </c>
      <c r="D5404" t="s">
        <v>13002</v>
      </c>
      <c r="E5404" t="s">
        <v>17890</v>
      </c>
      <c r="F5404" t="s">
        <v>22436</v>
      </c>
      <c r="G5404" t="s">
        <v>22444</v>
      </c>
      <c r="H5404" t="s">
        <v>22454</v>
      </c>
      <c r="I5404" t="s">
        <v>7738</v>
      </c>
      <c r="J5404" t="s">
        <v>26126</v>
      </c>
      <c r="K5404" t="s">
        <v>29334</v>
      </c>
      <c r="M5404" t="s">
        <v>30341</v>
      </c>
      <c r="N5404" t="s">
        <v>32524</v>
      </c>
      <c r="O5404" t="s">
        <v>32525</v>
      </c>
      <c r="P5404">
        <v>0</v>
      </c>
      <c r="Q5404">
        <v>0</v>
      </c>
      <c r="R5404" t="s">
        <v>32531</v>
      </c>
      <c r="S5404" t="s">
        <v>32586</v>
      </c>
      <c r="T5404" t="s">
        <v>33242</v>
      </c>
      <c r="U5404" t="s">
        <v>38172</v>
      </c>
      <c r="W5404" t="s">
        <v>30341</v>
      </c>
      <c r="X5404" t="s">
        <v>32532</v>
      </c>
    </row>
    <row r="5405" spans="1:24">
      <c r="A5405">
        <f>HYPERLINK("https://www.philgeps.gov.ph/GEPSNONPILOT/Tender/SplashBidNoticeAbstractUI.aspx?menuIndex=3&amp;refID=7039929&amp;Result=3","7039929")</f>
        <v>0</v>
      </c>
      <c r="B5405" t="s">
        <v>64</v>
      </c>
      <c r="C5405" t="s">
        <v>7850</v>
      </c>
      <c r="D5405" t="s">
        <v>13016</v>
      </c>
      <c r="E5405" t="s">
        <v>17891</v>
      </c>
      <c r="F5405" t="s">
        <v>22436</v>
      </c>
      <c r="G5405" t="s">
        <v>22446</v>
      </c>
      <c r="H5405" t="s">
        <v>22452</v>
      </c>
      <c r="I5405" t="s">
        <v>22489</v>
      </c>
      <c r="J5405" t="s">
        <v>23192</v>
      </c>
      <c r="K5405" t="s">
        <v>29329</v>
      </c>
      <c r="M5405" t="s">
        <v>29636</v>
      </c>
      <c r="N5405" t="s">
        <v>32524</v>
      </c>
      <c r="O5405" t="s">
        <v>32525</v>
      </c>
      <c r="P5405">
        <v>0</v>
      </c>
      <c r="Q5405">
        <v>2</v>
      </c>
      <c r="R5405" t="s">
        <v>32531</v>
      </c>
      <c r="S5405" t="s">
        <v>32586</v>
      </c>
      <c r="T5405" t="s">
        <v>33220</v>
      </c>
      <c r="U5405" t="s">
        <v>38173</v>
      </c>
      <c r="V5405" t="s">
        <v>42432</v>
      </c>
      <c r="W5405" t="s">
        <v>29636</v>
      </c>
      <c r="X5405" t="s">
        <v>32532</v>
      </c>
    </row>
    <row r="5406" spans="1:24">
      <c r="A5406">
        <f>HYPERLINK("https://www.philgeps.gov.ph/GEPSNONPILOT/Tender/SplashBidNoticeAbstractUI.aspx?menuIndex=3&amp;refID=7039940&amp;Result=3","7039940")</f>
        <v>0</v>
      </c>
      <c r="B5406" t="s">
        <v>1678</v>
      </c>
      <c r="C5406" t="s">
        <v>7851</v>
      </c>
      <c r="D5406" t="s">
        <v>13030</v>
      </c>
      <c r="E5406" t="s">
        <v>17892</v>
      </c>
      <c r="F5406" t="s">
        <v>22436</v>
      </c>
      <c r="G5406" t="s">
        <v>22444</v>
      </c>
      <c r="H5406" t="s">
        <v>22452</v>
      </c>
      <c r="I5406" t="s">
        <v>22494</v>
      </c>
      <c r="J5406" t="s">
        <v>26127</v>
      </c>
      <c r="K5406" t="s">
        <v>29329</v>
      </c>
      <c r="M5406" t="s">
        <v>31376</v>
      </c>
      <c r="N5406" t="s">
        <v>32524</v>
      </c>
      <c r="O5406" t="s">
        <v>32525</v>
      </c>
      <c r="P5406">
        <v>0</v>
      </c>
      <c r="Q5406">
        <v>0</v>
      </c>
      <c r="R5406" t="s">
        <v>32531</v>
      </c>
      <c r="S5406" t="s">
        <v>32586</v>
      </c>
      <c r="T5406" t="s">
        <v>33407</v>
      </c>
      <c r="U5406" t="s">
        <v>38174</v>
      </c>
      <c r="W5406" t="s">
        <v>31376</v>
      </c>
      <c r="X5406" t="s">
        <v>32532</v>
      </c>
    </row>
    <row r="5407" spans="1:24">
      <c r="A5407">
        <f>HYPERLINK("https://www.philgeps.gov.ph/GEPSNONPILOT/Tender/SplashBidNoticeAbstractUI.aspx?menuIndex=3&amp;refID=7039967&amp;Result=3","7039967")</f>
        <v>0</v>
      </c>
      <c r="B5407" t="s">
        <v>1770</v>
      </c>
      <c r="C5407" t="s">
        <v>7852</v>
      </c>
      <c r="D5407" t="s">
        <v>13040</v>
      </c>
      <c r="E5407" t="s">
        <v>17893</v>
      </c>
      <c r="F5407" t="s">
        <v>22436</v>
      </c>
      <c r="G5407" t="s">
        <v>22444</v>
      </c>
      <c r="H5407" t="s">
        <v>22454</v>
      </c>
      <c r="I5407" t="s">
        <v>7738</v>
      </c>
      <c r="J5407" t="s">
        <v>26128</v>
      </c>
      <c r="K5407" t="s">
        <v>29338</v>
      </c>
      <c r="M5407" t="s">
        <v>31477</v>
      </c>
      <c r="N5407" t="s">
        <v>32524</v>
      </c>
      <c r="O5407" t="s">
        <v>32525</v>
      </c>
      <c r="P5407">
        <v>0</v>
      </c>
      <c r="Q5407">
        <v>0</v>
      </c>
      <c r="R5407" t="s">
        <v>32531</v>
      </c>
      <c r="S5407" t="s">
        <v>32586</v>
      </c>
      <c r="T5407" t="s">
        <v>33320</v>
      </c>
      <c r="U5407" t="s">
        <v>38175</v>
      </c>
      <c r="W5407" t="s">
        <v>31477</v>
      </c>
      <c r="X5407" t="s">
        <v>32532</v>
      </c>
    </row>
    <row r="5408" spans="1:24">
      <c r="A5408">
        <f>HYPERLINK("https://www.philgeps.gov.ph/GEPSNONPILOT/Tender/SplashBidNoticeAbstractUI.aspx?menuIndex=3&amp;refID=7039926&amp;Result=3","7039926")</f>
        <v>0</v>
      </c>
      <c r="B5408" t="s">
        <v>1774</v>
      </c>
      <c r="C5408" t="s">
        <v>7853</v>
      </c>
      <c r="D5408" t="s">
        <v>13041</v>
      </c>
      <c r="E5408" t="s">
        <v>17894</v>
      </c>
      <c r="F5408" t="s">
        <v>22436</v>
      </c>
      <c r="G5408" t="s">
        <v>22446</v>
      </c>
      <c r="H5408" t="s">
        <v>22452</v>
      </c>
      <c r="I5408" t="s">
        <v>3529</v>
      </c>
      <c r="J5408" t="s">
        <v>26129</v>
      </c>
      <c r="K5408" t="s">
        <v>29335</v>
      </c>
      <c r="M5408" t="s">
        <v>31481</v>
      </c>
      <c r="N5408" t="s">
        <v>32524</v>
      </c>
      <c r="O5408" t="s">
        <v>32525</v>
      </c>
      <c r="P5408">
        <v>0</v>
      </c>
      <c r="Q5408">
        <v>0</v>
      </c>
      <c r="R5408" t="s">
        <v>32531</v>
      </c>
      <c r="S5408" t="s">
        <v>32586</v>
      </c>
      <c r="T5408" t="s">
        <v>33351</v>
      </c>
      <c r="U5408" t="s">
        <v>38176</v>
      </c>
      <c r="W5408" t="s">
        <v>31481</v>
      </c>
      <c r="X5408" t="s">
        <v>32532</v>
      </c>
    </row>
    <row r="5409" spans="1:24">
      <c r="A5409">
        <f>HYPERLINK("https://www.philgeps.gov.ph/GEPSNONPILOT/Tender/SplashBidNoticeAbstractUI.aspx?menuIndex=3&amp;refID=7039930&amp;Result=3","7039930")</f>
        <v>0</v>
      </c>
      <c r="B5409" t="s">
        <v>364</v>
      </c>
      <c r="C5409" t="s">
        <v>7854</v>
      </c>
      <c r="D5409" t="s">
        <v>13011</v>
      </c>
      <c r="E5409" t="s">
        <v>17895</v>
      </c>
      <c r="F5409" t="s">
        <v>22436</v>
      </c>
      <c r="G5409" t="s">
        <v>22446</v>
      </c>
      <c r="H5409" t="s">
        <v>22452</v>
      </c>
      <c r="I5409" t="s">
        <v>22463</v>
      </c>
      <c r="J5409" t="s">
        <v>26130</v>
      </c>
      <c r="K5409" t="s">
        <v>29338</v>
      </c>
      <c r="M5409" t="s">
        <v>29942</v>
      </c>
      <c r="N5409" t="s">
        <v>32524</v>
      </c>
      <c r="O5409" t="s">
        <v>32525</v>
      </c>
      <c r="P5409">
        <v>0</v>
      </c>
      <c r="Q5409">
        <v>1</v>
      </c>
      <c r="R5409" t="s">
        <v>32531</v>
      </c>
      <c r="S5409" t="s">
        <v>32586</v>
      </c>
      <c r="T5409" t="s">
        <v>33401</v>
      </c>
      <c r="U5409" t="s">
        <v>38177</v>
      </c>
      <c r="W5409" t="s">
        <v>29942</v>
      </c>
      <c r="X5409" t="s">
        <v>32532</v>
      </c>
    </row>
    <row r="5410" spans="1:24">
      <c r="A5410">
        <f>HYPERLINK("https://www.philgeps.gov.ph/GEPSNONPILOT/Tender/SplashBidNoticeAbstractUI.aspx?menuIndex=3&amp;refID=7039935&amp;Result=3","7039935")</f>
        <v>0</v>
      </c>
      <c r="B5410" t="s">
        <v>1429</v>
      </c>
      <c r="C5410" t="s">
        <v>7855</v>
      </c>
      <c r="D5410" t="s">
        <v>12988</v>
      </c>
      <c r="E5410" t="s">
        <v>17896</v>
      </c>
      <c r="F5410" t="s">
        <v>22436</v>
      </c>
      <c r="G5410" t="s">
        <v>22444</v>
      </c>
      <c r="H5410" t="s">
        <v>22452</v>
      </c>
      <c r="I5410" t="s">
        <v>22486</v>
      </c>
      <c r="J5410" t="s">
        <v>22921</v>
      </c>
      <c r="K5410" t="s">
        <v>29338</v>
      </c>
      <c r="M5410" t="s">
        <v>31092</v>
      </c>
      <c r="N5410" t="s">
        <v>32524</v>
      </c>
      <c r="O5410" t="s">
        <v>32525</v>
      </c>
      <c r="Q5410">
        <v>1</v>
      </c>
      <c r="R5410" t="s">
        <v>32531</v>
      </c>
      <c r="S5410" t="s">
        <v>32607</v>
      </c>
      <c r="T5410" t="s">
        <v>33301</v>
      </c>
      <c r="U5410" t="s">
        <v>38178</v>
      </c>
      <c r="W5410" t="s">
        <v>31092</v>
      </c>
      <c r="X5410" t="s">
        <v>32532</v>
      </c>
    </row>
    <row r="5411" spans="1:24">
      <c r="A5411">
        <f>HYPERLINK("https://www.philgeps.gov.ph/GEPSNONPILOT/Tender/SplashBidNoticeAbstractUI.aspx?menuIndex=3&amp;refID=7039959&amp;Result=3","7039959")</f>
        <v>0</v>
      </c>
      <c r="B5411" t="s">
        <v>1021</v>
      </c>
      <c r="C5411" t="s">
        <v>7856</v>
      </c>
      <c r="D5411" t="s">
        <v>13020</v>
      </c>
      <c r="E5411" t="s">
        <v>17897</v>
      </c>
      <c r="F5411" t="s">
        <v>22436</v>
      </c>
      <c r="G5411" t="s">
        <v>22444</v>
      </c>
      <c r="H5411" t="s">
        <v>22452</v>
      </c>
      <c r="I5411" t="s">
        <v>22461</v>
      </c>
      <c r="J5411" t="s">
        <v>26131</v>
      </c>
      <c r="K5411" t="s">
        <v>29335</v>
      </c>
      <c r="M5411" t="s">
        <v>30649</v>
      </c>
      <c r="N5411" t="s">
        <v>32524</v>
      </c>
      <c r="O5411" t="s">
        <v>32525</v>
      </c>
      <c r="P5411">
        <v>0</v>
      </c>
      <c r="Q5411">
        <v>5</v>
      </c>
      <c r="R5411" t="s">
        <v>32531</v>
      </c>
      <c r="S5411" t="s">
        <v>32586</v>
      </c>
      <c r="T5411" t="s">
        <v>33218</v>
      </c>
      <c r="U5411" t="s">
        <v>38179</v>
      </c>
      <c r="W5411" t="s">
        <v>43703</v>
      </c>
      <c r="X5411" t="s">
        <v>32532</v>
      </c>
    </row>
    <row r="5412" spans="1:24">
      <c r="A5412">
        <f>HYPERLINK("https://www.philgeps.gov.ph/GEPSNONPILOT/Tender/SplashBidNoticeAbstractUI.aspx?menuIndex=3&amp;refID=7039958&amp;Result=3","7039958")</f>
        <v>0</v>
      </c>
      <c r="B5412" t="s">
        <v>1019</v>
      </c>
      <c r="C5412" t="s">
        <v>7857</v>
      </c>
      <c r="D5412" t="s">
        <v>13016</v>
      </c>
      <c r="E5412" t="s">
        <v>17898</v>
      </c>
      <c r="F5412" t="s">
        <v>22436</v>
      </c>
      <c r="G5412" t="s">
        <v>22444</v>
      </c>
      <c r="H5412" t="s">
        <v>22452</v>
      </c>
      <c r="I5412" t="s">
        <v>3529</v>
      </c>
      <c r="J5412" t="s">
        <v>26132</v>
      </c>
      <c r="K5412" t="s">
        <v>29338</v>
      </c>
      <c r="M5412" t="s">
        <v>30647</v>
      </c>
      <c r="N5412" t="s">
        <v>32524</v>
      </c>
      <c r="O5412" t="s">
        <v>32525</v>
      </c>
      <c r="P5412">
        <v>0</v>
      </c>
      <c r="Q5412">
        <v>0</v>
      </c>
      <c r="R5412" t="s">
        <v>32531</v>
      </c>
      <c r="S5412" t="s">
        <v>32586</v>
      </c>
      <c r="T5412" t="s">
        <v>33491</v>
      </c>
      <c r="U5412" t="s">
        <v>38068</v>
      </c>
      <c r="V5412" t="s">
        <v>43006</v>
      </c>
      <c r="W5412" t="s">
        <v>30647</v>
      </c>
      <c r="X5412" t="s">
        <v>32532</v>
      </c>
    </row>
    <row r="5413" spans="1:24">
      <c r="A5413">
        <f>HYPERLINK("https://www.philgeps.gov.ph/GEPSNONPILOT/Tender/SplashBidNoticeAbstractUI.aspx?menuIndex=3&amp;refID=7039945&amp;Result=3","7039945")</f>
        <v>0</v>
      </c>
      <c r="B5413" t="s">
        <v>1185</v>
      </c>
      <c r="C5413" t="s">
        <v>7858</v>
      </c>
      <c r="D5413" t="s">
        <v>12996</v>
      </c>
      <c r="E5413" t="s">
        <v>17899</v>
      </c>
      <c r="F5413" t="s">
        <v>22436</v>
      </c>
      <c r="G5413" t="s">
        <v>22444</v>
      </c>
      <c r="H5413" t="s">
        <v>22454</v>
      </c>
      <c r="I5413" t="s">
        <v>7738</v>
      </c>
      <c r="J5413" t="s">
        <v>26133</v>
      </c>
      <c r="K5413" t="s">
        <v>29338</v>
      </c>
      <c r="M5413" t="s">
        <v>30832</v>
      </c>
      <c r="N5413" t="s">
        <v>32524</v>
      </c>
      <c r="O5413" t="s">
        <v>32525</v>
      </c>
      <c r="P5413">
        <v>0</v>
      </c>
      <c r="Q5413">
        <v>0</v>
      </c>
      <c r="R5413" t="s">
        <v>32531</v>
      </c>
      <c r="S5413" t="s">
        <v>32586</v>
      </c>
      <c r="T5413" t="s">
        <v>33310</v>
      </c>
      <c r="U5413" t="s">
        <v>38180</v>
      </c>
      <c r="W5413" t="s">
        <v>30832</v>
      </c>
      <c r="X5413" t="s">
        <v>32532</v>
      </c>
    </row>
    <row r="5414" spans="1:24">
      <c r="A5414">
        <f>HYPERLINK("https://www.philgeps.gov.ph/GEPSNONPILOT/Tender/SplashBidNoticeAbstractUI.aspx?menuIndex=3&amp;refID=7039973&amp;Result=3","7039973")</f>
        <v>0</v>
      </c>
      <c r="B5414" t="s">
        <v>1776</v>
      </c>
      <c r="C5414" t="s">
        <v>7859</v>
      </c>
      <c r="D5414" t="s">
        <v>13013</v>
      </c>
      <c r="E5414" t="s">
        <v>17900</v>
      </c>
      <c r="F5414" t="s">
        <v>22436</v>
      </c>
      <c r="G5414" t="s">
        <v>22443</v>
      </c>
      <c r="H5414" t="s">
        <v>22452</v>
      </c>
      <c r="I5414" t="s">
        <v>22469</v>
      </c>
      <c r="J5414" t="s">
        <v>22692</v>
      </c>
      <c r="K5414" t="s">
        <v>29335</v>
      </c>
      <c r="M5414" t="s">
        <v>31484</v>
      </c>
      <c r="N5414" t="s">
        <v>32524</v>
      </c>
      <c r="O5414" t="s">
        <v>32525</v>
      </c>
      <c r="P5414">
        <v>0</v>
      </c>
      <c r="Q5414">
        <v>2</v>
      </c>
      <c r="R5414" t="s">
        <v>32531</v>
      </c>
      <c r="S5414" t="s">
        <v>32586</v>
      </c>
      <c r="T5414" t="s">
        <v>33304</v>
      </c>
      <c r="U5414" t="s">
        <v>38181</v>
      </c>
      <c r="W5414" t="s">
        <v>31484</v>
      </c>
      <c r="X5414" t="s">
        <v>32532</v>
      </c>
    </row>
    <row r="5415" spans="1:24">
      <c r="A5415">
        <f>HYPERLINK("https://www.philgeps.gov.ph/GEPSNONPILOT/Tender/SplashBidNoticeAbstractUI.aspx?menuIndex=3&amp;refID=7039998&amp;Result=3","7039998")</f>
        <v>0</v>
      </c>
      <c r="B5415" t="s">
        <v>1185</v>
      </c>
      <c r="C5415" t="s">
        <v>7860</v>
      </c>
      <c r="D5415" t="s">
        <v>12996</v>
      </c>
      <c r="E5415" t="s">
        <v>17901</v>
      </c>
      <c r="F5415" t="s">
        <v>22436</v>
      </c>
      <c r="G5415" t="s">
        <v>22444</v>
      </c>
      <c r="H5415" t="s">
        <v>22454</v>
      </c>
      <c r="I5415" t="s">
        <v>7738</v>
      </c>
      <c r="J5415" t="s">
        <v>22634</v>
      </c>
      <c r="K5415" t="s">
        <v>29338</v>
      </c>
      <c r="M5415" t="s">
        <v>30832</v>
      </c>
      <c r="N5415" t="s">
        <v>32524</v>
      </c>
      <c r="O5415" t="s">
        <v>32525</v>
      </c>
      <c r="P5415">
        <v>0</v>
      </c>
      <c r="Q5415">
        <v>0</v>
      </c>
      <c r="R5415" t="s">
        <v>32531</v>
      </c>
      <c r="S5415" t="s">
        <v>32586</v>
      </c>
      <c r="T5415" t="s">
        <v>33310</v>
      </c>
      <c r="U5415" t="s">
        <v>38182</v>
      </c>
      <c r="W5415" t="s">
        <v>30832</v>
      </c>
      <c r="X5415" t="s">
        <v>32532</v>
      </c>
    </row>
    <row r="5416" spans="1:24">
      <c r="A5416">
        <f>HYPERLINK("https://www.philgeps.gov.ph/GEPSNONPILOT/Tender/SplashBidNoticeAbstractUI.aspx?menuIndex=3&amp;refID=7040005&amp;Result=3","7040005")</f>
        <v>0</v>
      </c>
      <c r="B5416" t="s">
        <v>140</v>
      </c>
      <c r="C5416" t="s">
        <v>7861</v>
      </c>
      <c r="D5416" t="s">
        <v>12988</v>
      </c>
      <c r="E5416" t="s">
        <v>17902</v>
      </c>
      <c r="F5416" t="s">
        <v>22436</v>
      </c>
      <c r="G5416" t="s">
        <v>22443</v>
      </c>
      <c r="H5416" t="s">
        <v>22452</v>
      </c>
      <c r="I5416" t="s">
        <v>22460</v>
      </c>
      <c r="J5416" t="s">
        <v>26134</v>
      </c>
      <c r="K5416" t="s">
        <v>29338</v>
      </c>
      <c r="M5416" t="s">
        <v>31485</v>
      </c>
      <c r="N5416" t="s">
        <v>32524</v>
      </c>
      <c r="O5416" t="s">
        <v>32525</v>
      </c>
      <c r="P5416">
        <v>0</v>
      </c>
      <c r="Q5416">
        <v>1</v>
      </c>
      <c r="R5416" t="s">
        <v>32531</v>
      </c>
      <c r="S5416" t="s">
        <v>32586</v>
      </c>
      <c r="T5416" t="s">
        <v>33356</v>
      </c>
      <c r="U5416" t="s">
        <v>38183</v>
      </c>
      <c r="W5416" t="s">
        <v>31485</v>
      </c>
      <c r="X5416" t="s">
        <v>32532</v>
      </c>
    </row>
    <row r="5417" spans="1:24">
      <c r="A5417">
        <f>HYPERLINK("https://www.philgeps.gov.ph/GEPSNONPILOT/Tender/SplashBidNoticeAbstractUI.aspx?menuIndex=3&amp;refID=7039944&amp;Result=3","7039944")</f>
        <v>0</v>
      </c>
      <c r="B5417" t="s">
        <v>1616</v>
      </c>
      <c r="C5417" t="s">
        <v>7862</v>
      </c>
      <c r="D5417" t="s">
        <v>12988</v>
      </c>
      <c r="E5417" t="s">
        <v>17903</v>
      </c>
      <c r="F5417" t="s">
        <v>22436</v>
      </c>
      <c r="G5417" t="s">
        <v>22443</v>
      </c>
      <c r="H5417" t="s">
        <v>22452</v>
      </c>
      <c r="I5417" t="s">
        <v>22482</v>
      </c>
      <c r="J5417" t="s">
        <v>26135</v>
      </c>
      <c r="K5417" t="s">
        <v>29336</v>
      </c>
      <c r="M5417" t="s">
        <v>31301</v>
      </c>
      <c r="N5417" t="s">
        <v>32524</v>
      </c>
      <c r="O5417" t="s">
        <v>32525</v>
      </c>
      <c r="P5417">
        <v>0</v>
      </c>
      <c r="Q5417">
        <v>24</v>
      </c>
      <c r="R5417" t="s">
        <v>32531</v>
      </c>
      <c r="S5417" t="s">
        <v>32586</v>
      </c>
      <c r="T5417" t="s">
        <v>33392</v>
      </c>
      <c r="U5417" t="s">
        <v>38184</v>
      </c>
      <c r="W5417" t="s">
        <v>31301</v>
      </c>
      <c r="X5417" t="s">
        <v>32532</v>
      </c>
    </row>
    <row r="5418" spans="1:24">
      <c r="A5418">
        <f>HYPERLINK("https://www.philgeps.gov.ph/GEPSNONPILOT/Tender/SplashBidNoticeAbstractUI.aspx?menuIndex=3&amp;refID=7039997&amp;Result=3","7039997")</f>
        <v>0</v>
      </c>
      <c r="B5418" t="s">
        <v>1777</v>
      </c>
      <c r="C5418" t="s">
        <v>7863</v>
      </c>
      <c r="D5418" t="s">
        <v>13027</v>
      </c>
      <c r="E5418" t="s">
        <v>17904</v>
      </c>
      <c r="F5418" t="s">
        <v>22436</v>
      </c>
      <c r="G5418" t="s">
        <v>22444</v>
      </c>
      <c r="H5418" t="s">
        <v>22454</v>
      </c>
      <c r="I5418" t="s">
        <v>7738</v>
      </c>
      <c r="J5418" t="s">
        <v>24103</v>
      </c>
      <c r="K5418" t="s">
        <v>29408</v>
      </c>
      <c r="M5418" t="s">
        <v>31486</v>
      </c>
      <c r="N5418" t="s">
        <v>32524</v>
      </c>
      <c r="O5418" t="s">
        <v>32525</v>
      </c>
      <c r="P5418">
        <v>0</v>
      </c>
      <c r="Q5418">
        <v>0</v>
      </c>
      <c r="R5418" t="s">
        <v>32531</v>
      </c>
      <c r="S5418" t="s">
        <v>32586</v>
      </c>
      <c r="T5418" t="s">
        <v>33185</v>
      </c>
      <c r="U5418" t="s">
        <v>38185</v>
      </c>
      <c r="V5418" t="s">
        <v>43007</v>
      </c>
      <c r="W5418" t="s">
        <v>31486</v>
      </c>
      <c r="X5418" t="s">
        <v>32532</v>
      </c>
    </row>
    <row r="5419" spans="1:24">
      <c r="A5419">
        <f>HYPERLINK("https://www.philgeps.gov.ph/GEPSNONPILOT/Tender/SplashBidNoticeAbstractUI.aspx?menuIndex=3&amp;refID=7039980&amp;Result=3","7039980")</f>
        <v>0</v>
      </c>
      <c r="B5419" t="s">
        <v>1772</v>
      </c>
      <c r="C5419" t="s">
        <v>7864</v>
      </c>
      <c r="D5419" t="s">
        <v>13007</v>
      </c>
      <c r="E5419" t="s">
        <v>17905</v>
      </c>
      <c r="F5419" t="s">
        <v>22436</v>
      </c>
      <c r="G5419" t="s">
        <v>22446</v>
      </c>
      <c r="H5419" t="s">
        <v>22452</v>
      </c>
      <c r="I5419" t="s">
        <v>22471</v>
      </c>
      <c r="J5419" t="s">
        <v>26136</v>
      </c>
      <c r="K5419" t="s">
        <v>29337</v>
      </c>
      <c r="M5419" t="s">
        <v>31479</v>
      </c>
      <c r="N5419" t="s">
        <v>32524</v>
      </c>
      <c r="O5419" t="s">
        <v>32525</v>
      </c>
      <c r="P5419">
        <v>0</v>
      </c>
      <c r="Q5419">
        <v>12</v>
      </c>
      <c r="R5419" t="s">
        <v>32531</v>
      </c>
      <c r="S5419" t="s">
        <v>32586</v>
      </c>
      <c r="T5419" t="s">
        <v>33229</v>
      </c>
      <c r="U5419" t="s">
        <v>35164</v>
      </c>
      <c r="V5419" t="s">
        <v>43008</v>
      </c>
      <c r="W5419" t="s">
        <v>31479</v>
      </c>
      <c r="X5419" t="s">
        <v>32532</v>
      </c>
    </row>
    <row r="5420" spans="1:24">
      <c r="A5420">
        <f>HYPERLINK("https://www.philgeps.gov.ph/GEPSNONPILOT/Tender/SplashBidNoticeAbstractUI.aspx?menuIndex=3&amp;refID=7039950&amp;Result=3","7039950")</f>
        <v>0</v>
      </c>
      <c r="B5420" t="s">
        <v>1770</v>
      </c>
      <c r="C5420" t="s">
        <v>7865</v>
      </c>
      <c r="D5420" t="s">
        <v>13040</v>
      </c>
      <c r="E5420" t="s">
        <v>17906</v>
      </c>
      <c r="F5420" t="s">
        <v>22436</v>
      </c>
      <c r="G5420" t="s">
        <v>22444</v>
      </c>
      <c r="H5420" t="s">
        <v>22454</v>
      </c>
      <c r="I5420" t="s">
        <v>7738</v>
      </c>
      <c r="J5420" t="s">
        <v>26137</v>
      </c>
      <c r="K5420" t="s">
        <v>29338</v>
      </c>
      <c r="M5420" t="s">
        <v>31477</v>
      </c>
      <c r="N5420" t="s">
        <v>32524</v>
      </c>
      <c r="O5420" t="s">
        <v>32525</v>
      </c>
      <c r="P5420">
        <v>0</v>
      </c>
      <c r="Q5420">
        <v>0</v>
      </c>
      <c r="R5420" t="s">
        <v>32531</v>
      </c>
      <c r="S5420" t="s">
        <v>32586</v>
      </c>
      <c r="T5420" t="s">
        <v>33496</v>
      </c>
      <c r="U5420" t="s">
        <v>38186</v>
      </c>
      <c r="W5420" t="s">
        <v>31477</v>
      </c>
      <c r="X5420" t="s">
        <v>32532</v>
      </c>
    </row>
    <row r="5421" spans="1:24">
      <c r="A5421">
        <f>HYPERLINK("https://www.philgeps.gov.ph/GEPSNONPILOT/Tender/SplashBidNoticeAbstractUI.aspx?menuIndex=3&amp;refID=7040003&amp;Result=3","7040003")</f>
        <v>0</v>
      </c>
      <c r="B5421" t="s">
        <v>950</v>
      </c>
      <c r="C5421" t="s">
        <v>7866</v>
      </c>
      <c r="D5421" t="s">
        <v>13010</v>
      </c>
      <c r="E5421" t="s">
        <v>17907</v>
      </c>
      <c r="F5421" t="s">
        <v>22436</v>
      </c>
      <c r="G5421" t="s">
        <v>22444</v>
      </c>
      <c r="H5421" t="s">
        <v>22452</v>
      </c>
      <c r="I5421" t="s">
        <v>11896</v>
      </c>
      <c r="J5421" t="s">
        <v>26138</v>
      </c>
      <c r="K5421" t="s">
        <v>29338</v>
      </c>
      <c r="M5421" t="s">
        <v>30564</v>
      </c>
      <c r="N5421" t="s">
        <v>32524</v>
      </c>
      <c r="O5421" t="s">
        <v>32525</v>
      </c>
      <c r="P5421">
        <v>0</v>
      </c>
      <c r="Q5421">
        <v>2</v>
      </c>
      <c r="R5421" t="s">
        <v>32531</v>
      </c>
      <c r="S5421" t="s">
        <v>32586</v>
      </c>
      <c r="T5421" t="s">
        <v>33426</v>
      </c>
      <c r="U5421" t="s">
        <v>38187</v>
      </c>
      <c r="W5421" t="s">
        <v>30564</v>
      </c>
      <c r="X5421" t="s">
        <v>32532</v>
      </c>
    </row>
    <row r="5422" spans="1:24">
      <c r="A5422">
        <f>HYPERLINK("https://www.philgeps.gov.ph/GEPSNONPILOT/Tender/SplashBidNoticeAbstractUI.aspx?menuIndex=3&amp;refID=7039964&amp;Result=3","7039964")</f>
        <v>0</v>
      </c>
      <c r="B5422" t="s">
        <v>1778</v>
      </c>
      <c r="C5422" t="s">
        <v>7867</v>
      </c>
      <c r="D5422" t="s">
        <v>13044</v>
      </c>
      <c r="E5422" t="s">
        <v>14018</v>
      </c>
      <c r="F5422" t="s">
        <v>22436</v>
      </c>
      <c r="G5422" t="s">
        <v>22444</v>
      </c>
      <c r="H5422" t="s">
        <v>22452</v>
      </c>
      <c r="I5422" t="s">
        <v>3529</v>
      </c>
      <c r="J5422" t="s">
        <v>26139</v>
      </c>
      <c r="K5422" t="s">
        <v>29424</v>
      </c>
      <c r="M5422" t="s">
        <v>31487</v>
      </c>
      <c r="N5422" t="s">
        <v>32524</v>
      </c>
      <c r="O5422" t="s">
        <v>32525</v>
      </c>
      <c r="P5422">
        <v>0</v>
      </c>
      <c r="Q5422">
        <v>0</v>
      </c>
      <c r="R5422" t="s">
        <v>32531</v>
      </c>
      <c r="S5422" t="s">
        <v>32586</v>
      </c>
      <c r="T5422" t="s">
        <v>33229</v>
      </c>
      <c r="U5422" t="s">
        <v>38188</v>
      </c>
      <c r="V5422" t="s">
        <v>43009</v>
      </c>
      <c r="W5422" t="s">
        <v>31487</v>
      </c>
      <c r="X5422" t="s">
        <v>32532</v>
      </c>
    </row>
    <row r="5423" spans="1:24">
      <c r="A5423">
        <f>HYPERLINK("https://www.philgeps.gov.ph/GEPSNONPILOT/Tender/SplashBidNoticeAbstractUI.aspx?menuIndex=3&amp;refID=7039974&amp;Result=3","7039974")</f>
        <v>0</v>
      </c>
      <c r="B5423" t="s">
        <v>594</v>
      </c>
      <c r="C5423" t="s">
        <v>7868</v>
      </c>
      <c r="D5423" t="s">
        <v>13040</v>
      </c>
      <c r="E5423" t="s">
        <v>17908</v>
      </c>
      <c r="F5423" t="s">
        <v>22436</v>
      </c>
      <c r="G5423" t="s">
        <v>22444</v>
      </c>
      <c r="H5423" t="s">
        <v>22452</v>
      </c>
      <c r="I5423" t="s">
        <v>22461</v>
      </c>
      <c r="J5423" t="s">
        <v>26140</v>
      </c>
      <c r="K5423" t="s">
        <v>29335</v>
      </c>
      <c r="M5423" t="s">
        <v>30184</v>
      </c>
      <c r="N5423" t="s">
        <v>32524</v>
      </c>
      <c r="O5423" t="s">
        <v>32525</v>
      </c>
      <c r="P5423">
        <v>0</v>
      </c>
      <c r="Q5423">
        <v>4</v>
      </c>
      <c r="R5423" t="s">
        <v>32531</v>
      </c>
      <c r="S5423" t="s">
        <v>32586</v>
      </c>
      <c r="T5423" t="s">
        <v>33220</v>
      </c>
      <c r="U5423" t="s">
        <v>38189</v>
      </c>
      <c r="W5423" t="s">
        <v>31493</v>
      </c>
      <c r="X5423" t="s">
        <v>32532</v>
      </c>
    </row>
    <row r="5424" spans="1:24">
      <c r="A5424">
        <f>HYPERLINK("https://www.philgeps.gov.ph/GEPSNONPILOT/Tender/SplashBidNoticeAbstractUI.aspx?menuIndex=3&amp;refID=7039982&amp;Result=3","7039982")</f>
        <v>0</v>
      </c>
      <c r="B5424" t="s">
        <v>1779</v>
      </c>
      <c r="C5424" t="s">
        <v>7869</v>
      </c>
      <c r="D5424" t="s">
        <v>12988</v>
      </c>
      <c r="E5424" t="s">
        <v>17909</v>
      </c>
      <c r="F5424" t="s">
        <v>22436</v>
      </c>
      <c r="G5424" t="s">
        <v>22446</v>
      </c>
      <c r="H5424" t="s">
        <v>22452</v>
      </c>
      <c r="I5424" t="s">
        <v>22483</v>
      </c>
      <c r="J5424" t="s">
        <v>22896</v>
      </c>
      <c r="K5424" t="s">
        <v>29330</v>
      </c>
      <c r="L5424" t="s">
        <v>1779</v>
      </c>
      <c r="M5424" t="s">
        <v>31488</v>
      </c>
      <c r="N5424" t="s">
        <v>32524</v>
      </c>
      <c r="O5424" t="s">
        <v>32525</v>
      </c>
      <c r="Q5424">
        <v>15</v>
      </c>
      <c r="R5424" t="s">
        <v>32531</v>
      </c>
      <c r="S5424" t="s">
        <v>32608</v>
      </c>
      <c r="T5424" t="s">
        <v>33451</v>
      </c>
      <c r="U5424" t="s">
        <v>38190</v>
      </c>
      <c r="W5424" t="s">
        <v>31488</v>
      </c>
      <c r="X5424" t="s">
        <v>32532</v>
      </c>
    </row>
    <row r="5425" spans="1:24">
      <c r="A5425">
        <f>HYPERLINK("https://www.philgeps.gov.ph/GEPSNONPILOT/Tender/SplashBidNoticeAbstractUI.aspx?menuIndex=3&amp;refID=7039978&amp;Result=3","7039978")</f>
        <v>0</v>
      </c>
      <c r="B5425" t="s">
        <v>1113</v>
      </c>
      <c r="C5425" t="s">
        <v>7870</v>
      </c>
      <c r="D5425" t="s">
        <v>13041</v>
      </c>
      <c r="E5425" t="s">
        <v>17910</v>
      </c>
      <c r="F5425" t="s">
        <v>22436</v>
      </c>
      <c r="G5425" t="s">
        <v>22443</v>
      </c>
      <c r="H5425" t="s">
        <v>22454</v>
      </c>
      <c r="I5425" t="s">
        <v>22525</v>
      </c>
      <c r="J5425" t="s">
        <v>26141</v>
      </c>
      <c r="K5425" t="s">
        <v>29335</v>
      </c>
      <c r="M5425" t="s">
        <v>30751</v>
      </c>
      <c r="N5425" t="s">
        <v>32524</v>
      </c>
      <c r="O5425" t="s">
        <v>32525</v>
      </c>
      <c r="P5425">
        <v>0</v>
      </c>
      <c r="Q5425">
        <v>3</v>
      </c>
      <c r="R5425" t="s">
        <v>32531</v>
      </c>
      <c r="S5425" t="s">
        <v>32586</v>
      </c>
      <c r="T5425" t="s">
        <v>33185</v>
      </c>
      <c r="U5425" t="s">
        <v>38191</v>
      </c>
      <c r="W5425" t="s">
        <v>30751</v>
      </c>
      <c r="X5425" t="s">
        <v>32532</v>
      </c>
    </row>
    <row r="5426" spans="1:24">
      <c r="A5426">
        <f>HYPERLINK("https://www.philgeps.gov.ph/GEPSNONPILOT/Tender/SplashBidNoticeAbstractUI.aspx?menuIndex=3&amp;refID=7039986&amp;Result=3","7039986")</f>
        <v>0</v>
      </c>
      <c r="B5426" t="s">
        <v>525</v>
      </c>
      <c r="C5426" t="s">
        <v>7871</v>
      </c>
      <c r="D5426" t="s">
        <v>13038</v>
      </c>
      <c r="E5426" t="s">
        <v>7871</v>
      </c>
      <c r="F5426" t="s">
        <v>22436</v>
      </c>
      <c r="G5426" t="s">
        <v>22444</v>
      </c>
      <c r="H5426" t="s">
        <v>22452</v>
      </c>
      <c r="I5426" t="s">
        <v>3840</v>
      </c>
      <c r="J5426" t="s">
        <v>26142</v>
      </c>
      <c r="K5426" t="s">
        <v>29335</v>
      </c>
      <c r="M5426" t="s">
        <v>30109</v>
      </c>
      <c r="N5426" t="s">
        <v>32524</v>
      </c>
      <c r="O5426" t="s">
        <v>32525</v>
      </c>
      <c r="P5426">
        <v>0</v>
      </c>
      <c r="Q5426">
        <v>0</v>
      </c>
      <c r="R5426" t="s">
        <v>32531</v>
      </c>
      <c r="S5426" t="s">
        <v>32586</v>
      </c>
      <c r="T5426" t="s">
        <v>33252</v>
      </c>
      <c r="U5426" t="s">
        <v>38192</v>
      </c>
      <c r="W5426" t="s">
        <v>30109</v>
      </c>
      <c r="X5426" t="s">
        <v>32532</v>
      </c>
    </row>
    <row r="5427" spans="1:24">
      <c r="A5427">
        <f>HYPERLINK("https://www.philgeps.gov.ph/GEPSNONPILOT/Tender/SplashBidNoticeAbstractUI.aspx?menuIndex=3&amp;refID=7039977&amp;Result=3","7039977")</f>
        <v>0</v>
      </c>
      <c r="B5427" t="s">
        <v>1185</v>
      </c>
      <c r="C5427" t="s">
        <v>7872</v>
      </c>
      <c r="D5427" t="s">
        <v>12996</v>
      </c>
      <c r="E5427" t="s">
        <v>17911</v>
      </c>
      <c r="F5427" t="s">
        <v>22436</v>
      </c>
      <c r="G5427" t="s">
        <v>22444</v>
      </c>
      <c r="H5427" t="s">
        <v>22454</v>
      </c>
      <c r="I5427" t="s">
        <v>7738</v>
      </c>
      <c r="J5427" t="s">
        <v>22779</v>
      </c>
      <c r="K5427" t="s">
        <v>29338</v>
      </c>
      <c r="M5427" t="s">
        <v>30832</v>
      </c>
      <c r="N5427" t="s">
        <v>32524</v>
      </c>
      <c r="O5427" t="s">
        <v>32525</v>
      </c>
      <c r="P5427">
        <v>0</v>
      </c>
      <c r="Q5427">
        <v>1</v>
      </c>
      <c r="R5427" t="s">
        <v>32531</v>
      </c>
      <c r="S5427" t="s">
        <v>32586</v>
      </c>
      <c r="T5427" t="s">
        <v>33310</v>
      </c>
      <c r="U5427" t="s">
        <v>38193</v>
      </c>
      <c r="W5427" t="s">
        <v>30832</v>
      </c>
      <c r="X5427" t="s">
        <v>32532</v>
      </c>
    </row>
    <row r="5428" spans="1:24">
      <c r="A5428">
        <f>HYPERLINK("https://www.philgeps.gov.ph/GEPSNONPILOT/Tender/SplashBidNoticeAbstractUI.aspx?menuIndex=3&amp;refID=7040034&amp;Result=3","7040034")</f>
        <v>0</v>
      </c>
      <c r="B5428" t="s">
        <v>398</v>
      </c>
      <c r="C5428" t="s">
        <v>7873</v>
      </c>
      <c r="D5428" t="s">
        <v>13018</v>
      </c>
      <c r="E5428" t="s">
        <v>17912</v>
      </c>
      <c r="F5428" t="s">
        <v>22436</v>
      </c>
      <c r="G5428" t="s">
        <v>22444</v>
      </c>
      <c r="H5428" t="s">
        <v>22454</v>
      </c>
      <c r="I5428" t="s">
        <v>7738</v>
      </c>
      <c r="J5428" t="s">
        <v>26143</v>
      </c>
      <c r="K5428" t="s">
        <v>29346</v>
      </c>
      <c r="M5428" t="s">
        <v>29977</v>
      </c>
      <c r="N5428" t="s">
        <v>32524</v>
      </c>
      <c r="O5428" t="s">
        <v>32525</v>
      </c>
      <c r="P5428">
        <v>0</v>
      </c>
      <c r="Q5428">
        <v>3</v>
      </c>
      <c r="R5428" t="s">
        <v>32531</v>
      </c>
      <c r="S5428" t="s">
        <v>32586</v>
      </c>
      <c r="T5428" t="s">
        <v>33424</v>
      </c>
      <c r="U5428" t="s">
        <v>38194</v>
      </c>
      <c r="W5428" t="s">
        <v>29977</v>
      </c>
      <c r="X5428" t="s">
        <v>32532</v>
      </c>
    </row>
    <row r="5429" spans="1:24">
      <c r="A5429">
        <f>HYPERLINK("https://www.philgeps.gov.ph/GEPSNONPILOT/Tender/SplashBidNoticeAbstractUI.aspx?menuIndex=3&amp;refID=7040018&amp;Result=3","7040018")</f>
        <v>0</v>
      </c>
      <c r="B5429" t="s">
        <v>1024</v>
      </c>
      <c r="C5429" t="s">
        <v>3148</v>
      </c>
      <c r="D5429" t="s">
        <v>12988</v>
      </c>
      <c r="E5429" t="s">
        <v>17913</v>
      </c>
      <c r="F5429" t="s">
        <v>22436</v>
      </c>
      <c r="G5429" t="s">
        <v>22445</v>
      </c>
      <c r="H5429" t="s">
        <v>22452</v>
      </c>
      <c r="I5429" t="s">
        <v>22460</v>
      </c>
      <c r="J5429" t="s">
        <v>23210</v>
      </c>
      <c r="K5429" t="s">
        <v>29338</v>
      </c>
      <c r="M5429" t="s">
        <v>31269</v>
      </c>
      <c r="N5429" t="s">
        <v>32524</v>
      </c>
      <c r="O5429" t="s">
        <v>32525</v>
      </c>
      <c r="P5429">
        <v>0</v>
      </c>
      <c r="Q5429">
        <v>10</v>
      </c>
      <c r="R5429" t="s">
        <v>32531</v>
      </c>
      <c r="S5429" t="s">
        <v>32586</v>
      </c>
      <c r="T5429" t="s">
        <v>33459</v>
      </c>
      <c r="U5429" t="s">
        <v>38195</v>
      </c>
      <c r="W5429" t="s">
        <v>31269</v>
      </c>
      <c r="X5429" t="s">
        <v>32532</v>
      </c>
    </row>
    <row r="5430" spans="1:24">
      <c r="A5430">
        <f>HYPERLINK("https://www.philgeps.gov.ph/GEPSNONPILOT/Tender/SplashBidNoticeAbstractUI.aspx?menuIndex=3&amp;refID=7039949&amp;Result=3","7039949")</f>
        <v>0</v>
      </c>
      <c r="B5430" t="s">
        <v>1772</v>
      </c>
      <c r="C5430" t="s">
        <v>7874</v>
      </c>
      <c r="D5430" t="s">
        <v>13007</v>
      </c>
      <c r="E5430" t="s">
        <v>17914</v>
      </c>
      <c r="F5430" t="s">
        <v>22436</v>
      </c>
      <c r="G5430" t="s">
        <v>22446</v>
      </c>
      <c r="H5430" t="s">
        <v>22452</v>
      </c>
      <c r="I5430" t="s">
        <v>22471</v>
      </c>
      <c r="J5430" t="s">
        <v>26144</v>
      </c>
      <c r="K5430" t="s">
        <v>29337</v>
      </c>
      <c r="M5430" t="s">
        <v>31479</v>
      </c>
      <c r="N5430" t="s">
        <v>32524</v>
      </c>
      <c r="O5430" t="s">
        <v>32525</v>
      </c>
      <c r="P5430">
        <v>0</v>
      </c>
      <c r="Q5430">
        <v>11</v>
      </c>
      <c r="R5430" t="s">
        <v>32531</v>
      </c>
      <c r="S5430" t="s">
        <v>32586</v>
      </c>
      <c r="T5430" t="s">
        <v>33229</v>
      </c>
      <c r="U5430" t="s">
        <v>38196</v>
      </c>
      <c r="V5430" t="s">
        <v>43008</v>
      </c>
      <c r="W5430" t="s">
        <v>31479</v>
      </c>
      <c r="X5430" t="s">
        <v>32532</v>
      </c>
    </row>
    <row r="5431" spans="1:24">
      <c r="A5431">
        <f>HYPERLINK("https://www.philgeps.gov.ph/GEPSNONPILOT/Tender/SplashBidNoticeAbstractUI.aspx?menuIndex=3&amp;refID=7040032&amp;Result=3","7040032")</f>
        <v>0</v>
      </c>
      <c r="B5431" t="s">
        <v>1780</v>
      </c>
      <c r="C5431" t="s">
        <v>7875</v>
      </c>
      <c r="D5431" t="s">
        <v>13003</v>
      </c>
      <c r="E5431" t="s">
        <v>17915</v>
      </c>
      <c r="F5431" t="s">
        <v>22436</v>
      </c>
      <c r="G5431" t="s">
        <v>22443</v>
      </c>
      <c r="H5431" t="s">
        <v>22452</v>
      </c>
      <c r="I5431" t="s">
        <v>22518</v>
      </c>
      <c r="J5431" t="s">
        <v>26145</v>
      </c>
      <c r="K5431" t="s">
        <v>29336</v>
      </c>
      <c r="L5431" t="s">
        <v>1780</v>
      </c>
      <c r="M5431" t="s">
        <v>31489</v>
      </c>
      <c r="N5431" t="s">
        <v>32524</v>
      </c>
      <c r="O5431" t="s">
        <v>32525</v>
      </c>
      <c r="P5431">
        <v>0</v>
      </c>
      <c r="Q5431">
        <v>4</v>
      </c>
      <c r="R5431" t="s">
        <v>32531</v>
      </c>
      <c r="S5431" t="s">
        <v>32586</v>
      </c>
      <c r="T5431" t="s">
        <v>33437</v>
      </c>
      <c r="U5431" t="s">
        <v>38197</v>
      </c>
      <c r="W5431" t="s">
        <v>31489</v>
      </c>
      <c r="X5431" t="s">
        <v>32532</v>
      </c>
    </row>
    <row r="5432" spans="1:24">
      <c r="A5432">
        <f>HYPERLINK("https://www.philgeps.gov.ph/GEPSNONPILOT/Tender/SplashBidNoticeAbstractUI.aspx?menuIndex=3&amp;refID=7040015&amp;Result=3","7040015")</f>
        <v>0</v>
      </c>
      <c r="B5432" t="s">
        <v>528</v>
      </c>
      <c r="C5432" t="s">
        <v>7876</v>
      </c>
      <c r="E5432" t="s">
        <v>17916</v>
      </c>
      <c r="F5432" t="s">
        <v>22436</v>
      </c>
      <c r="G5432" t="s">
        <v>22443</v>
      </c>
      <c r="H5432" t="s">
        <v>22452</v>
      </c>
      <c r="I5432" t="s">
        <v>22469</v>
      </c>
      <c r="J5432" t="s">
        <v>24020</v>
      </c>
      <c r="K5432" t="s">
        <v>29335</v>
      </c>
      <c r="M5432" t="s">
        <v>30112</v>
      </c>
      <c r="N5432" t="s">
        <v>32524</v>
      </c>
      <c r="O5432" t="s">
        <v>32525</v>
      </c>
      <c r="P5432">
        <v>0</v>
      </c>
      <c r="Q5432">
        <v>5</v>
      </c>
      <c r="R5432" t="s">
        <v>32531</v>
      </c>
      <c r="S5432" t="s">
        <v>32586</v>
      </c>
      <c r="T5432" t="s">
        <v>33292</v>
      </c>
      <c r="U5432" t="s">
        <v>38198</v>
      </c>
      <c r="V5432" t="s">
        <v>43010</v>
      </c>
      <c r="W5432" t="s">
        <v>30975</v>
      </c>
      <c r="X5432" t="s">
        <v>32532</v>
      </c>
    </row>
    <row r="5433" spans="1:24">
      <c r="A5433">
        <f>HYPERLINK("https://www.philgeps.gov.ph/GEPSNONPILOT/Tender/SplashBidNoticeAbstractUI.aspx?menuIndex=3&amp;refID=7040007&amp;Result=3","7040007")</f>
        <v>0</v>
      </c>
      <c r="B5433" t="s">
        <v>1781</v>
      </c>
      <c r="C5433" t="s">
        <v>7877</v>
      </c>
      <c r="D5433" t="s">
        <v>13001</v>
      </c>
      <c r="E5433" t="s">
        <v>17917</v>
      </c>
      <c r="F5433" t="s">
        <v>22436</v>
      </c>
      <c r="G5433" t="s">
        <v>22444</v>
      </c>
      <c r="H5433" t="s">
        <v>22454</v>
      </c>
      <c r="I5433" t="s">
        <v>7738</v>
      </c>
      <c r="J5433" t="s">
        <v>23023</v>
      </c>
      <c r="K5433" t="s">
        <v>29338</v>
      </c>
      <c r="M5433" t="s">
        <v>31490</v>
      </c>
      <c r="N5433" t="s">
        <v>32524</v>
      </c>
      <c r="O5433" t="s">
        <v>32525</v>
      </c>
      <c r="P5433">
        <v>0</v>
      </c>
      <c r="Q5433">
        <v>0</v>
      </c>
      <c r="R5433" t="s">
        <v>32531</v>
      </c>
      <c r="S5433" t="s">
        <v>32586</v>
      </c>
      <c r="T5433" t="s">
        <v>33209</v>
      </c>
      <c r="U5433" t="s">
        <v>38199</v>
      </c>
      <c r="V5433" t="s">
        <v>43011</v>
      </c>
      <c r="W5433" t="s">
        <v>31490</v>
      </c>
      <c r="X5433" t="s">
        <v>32532</v>
      </c>
    </row>
    <row r="5434" spans="1:24">
      <c r="A5434">
        <f>HYPERLINK("https://www.philgeps.gov.ph/GEPSNONPILOT/Tender/SplashBidNoticeAbstractUI.aspx?menuIndex=3&amp;refID=7040028&amp;Result=3","7040028")</f>
        <v>0</v>
      </c>
      <c r="B5434" t="s">
        <v>740</v>
      </c>
      <c r="C5434" t="s">
        <v>7878</v>
      </c>
      <c r="D5434" t="s">
        <v>13002</v>
      </c>
      <c r="E5434" t="s">
        <v>17918</v>
      </c>
      <c r="F5434" t="s">
        <v>22436</v>
      </c>
      <c r="G5434" t="s">
        <v>22444</v>
      </c>
      <c r="H5434" t="s">
        <v>22454</v>
      </c>
      <c r="I5434" t="s">
        <v>7738</v>
      </c>
      <c r="J5434" t="s">
        <v>26146</v>
      </c>
      <c r="K5434" t="s">
        <v>29333</v>
      </c>
      <c r="M5434" t="s">
        <v>30341</v>
      </c>
      <c r="N5434" t="s">
        <v>32524</v>
      </c>
      <c r="O5434" t="s">
        <v>32525</v>
      </c>
      <c r="P5434">
        <v>0</v>
      </c>
      <c r="Q5434">
        <v>0</v>
      </c>
      <c r="R5434" t="s">
        <v>32531</v>
      </c>
      <c r="S5434" t="s">
        <v>32586</v>
      </c>
      <c r="T5434" t="s">
        <v>33242</v>
      </c>
      <c r="U5434" t="s">
        <v>38200</v>
      </c>
      <c r="W5434" t="s">
        <v>30341</v>
      </c>
      <c r="X5434" t="s">
        <v>32532</v>
      </c>
    </row>
    <row r="5435" spans="1:24">
      <c r="A5435">
        <f>HYPERLINK("https://www.philgeps.gov.ph/GEPSNONPILOT/Tender/SplashBidNoticeAbstractUI.aspx?menuIndex=3&amp;refID=7040036&amp;Result=3","7040036")</f>
        <v>0</v>
      </c>
      <c r="B5435" t="s">
        <v>1782</v>
      </c>
      <c r="C5435" t="s">
        <v>7879</v>
      </c>
      <c r="D5435" t="s">
        <v>13011</v>
      </c>
      <c r="E5435" t="s">
        <v>14101</v>
      </c>
      <c r="F5435" t="s">
        <v>22436</v>
      </c>
      <c r="G5435" t="s">
        <v>22443</v>
      </c>
      <c r="H5435" t="s">
        <v>22452</v>
      </c>
      <c r="I5435" t="s">
        <v>22502</v>
      </c>
      <c r="J5435" t="s">
        <v>25800</v>
      </c>
      <c r="K5435" t="s">
        <v>29329</v>
      </c>
      <c r="M5435" t="s">
        <v>31491</v>
      </c>
      <c r="N5435" t="s">
        <v>32524</v>
      </c>
      <c r="O5435" t="s">
        <v>32525</v>
      </c>
      <c r="P5435">
        <v>0</v>
      </c>
      <c r="Q5435">
        <v>8</v>
      </c>
      <c r="R5435" t="s">
        <v>32531</v>
      </c>
      <c r="S5435" t="s">
        <v>32586</v>
      </c>
      <c r="T5435" t="s">
        <v>33211</v>
      </c>
      <c r="U5435" t="s">
        <v>38201</v>
      </c>
      <c r="W5435" t="s">
        <v>31491</v>
      </c>
      <c r="X5435" t="s">
        <v>32532</v>
      </c>
    </row>
    <row r="5436" spans="1:24">
      <c r="A5436">
        <f>HYPERLINK("https://www.philgeps.gov.ph/GEPSNONPILOT/Tender/SplashBidNoticeAbstractUI.aspx?menuIndex=3&amp;refID=7040008&amp;Result=3","7040008")</f>
        <v>0</v>
      </c>
      <c r="B5436" t="s">
        <v>1366</v>
      </c>
      <c r="C5436" t="s">
        <v>7880</v>
      </c>
      <c r="D5436" t="s">
        <v>13039</v>
      </c>
      <c r="E5436" t="s">
        <v>17919</v>
      </c>
      <c r="F5436" t="s">
        <v>22436</v>
      </c>
      <c r="G5436" t="s">
        <v>22444</v>
      </c>
      <c r="H5436" t="s">
        <v>22452</v>
      </c>
      <c r="I5436" t="s">
        <v>22460</v>
      </c>
      <c r="J5436" t="s">
        <v>25575</v>
      </c>
      <c r="K5436" t="s">
        <v>29335</v>
      </c>
      <c r="M5436" t="s">
        <v>31022</v>
      </c>
      <c r="N5436" t="s">
        <v>32524</v>
      </c>
      <c r="O5436" t="s">
        <v>32525</v>
      </c>
      <c r="P5436">
        <v>0</v>
      </c>
      <c r="Q5436">
        <v>0</v>
      </c>
      <c r="R5436" t="s">
        <v>32531</v>
      </c>
      <c r="S5436" t="s">
        <v>32586</v>
      </c>
      <c r="T5436" t="s">
        <v>33417</v>
      </c>
      <c r="U5436" t="s">
        <v>38202</v>
      </c>
      <c r="V5436" t="s">
        <v>43012</v>
      </c>
      <c r="W5436" t="s">
        <v>31022</v>
      </c>
      <c r="X5436" t="s">
        <v>32532</v>
      </c>
    </row>
    <row r="5437" spans="1:24">
      <c r="A5437">
        <f>HYPERLINK("https://www.philgeps.gov.ph/GEPSNONPILOT/Tender/SplashBidNoticeAbstractUI.aspx?menuIndex=3&amp;refID=7040057&amp;Result=3","7040057")</f>
        <v>0</v>
      </c>
      <c r="B5437" t="s">
        <v>1783</v>
      </c>
      <c r="C5437" t="s">
        <v>7881</v>
      </c>
      <c r="D5437" t="s">
        <v>12994</v>
      </c>
      <c r="E5437" t="s">
        <v>17920</v>
      </c>
      <c r="F5437" t="s">
        <v>22436</v>
      </c>
      <c r="G5437" t="s">
        <v>22443</v>
      </c>
      <c r="H5437" t="s">
        <v>22452</v>
      </c>
      <c r="I5437" t="s">
        <v>12358</v>
      </c>
      <c r="J5437" t="s">
        <v>26147</v>
      </c>
      <c r="K5437" t="s">
        <v>29335</v>
      </c>
      <c r="M5437" t="s">
        <v>31492</v>
      </c>
      <c r="N5437" t="s">
        <v>32524</v>
      </c>
      <c r="O5437" t="s">
        <v>32525</v>
      </c>
      <c r="P5437">
        <v>0</v>
      </c>
      <c r="Q5437">
        <v>0</v>
      </c>
      <c r="R5437" t="s">
        <v>32531</v>
      </c>
      <c r="S5437" t="s">
        <v>32586</v>
      </c>
      <c r="T5437" t="s">
        <v>33497</v>
      </c>
      <c r="U5437" t="s">
        <v>38203</v>
      </c>
      <c r="W5437" t="s">
        <v>31492</v>
      </c>
      <c r="X5437" t="s">
        <v>32532</v>
      </c>
    </row>
    <row r="5438" spans="1:24">
      <c r="A5438">
        <f>HYPERLINK("https://www.philgeps.gov.ph/GEPSNONPILOT/Tender/SplashBidNoticeAbstractUI.aspx?menuIndex=3&amp;refID=7040051&amp;Result=3","7040051")</f>
        <v>0</v>
      </c>
      <c r="B5438" t="s">
        <v>950</v>
      </c>
      <c r="C5438" t="s">
        <v>7882</v>
      </c>
      <c r="D5438" t="s">
        <v>13010</v>
      </c>
      <c r="E5438" t="s">
        <v>17921</v>
      </c>
      <c r="F5438" t="s">
        <v>22436</v>
      </c>
      <c r="G5438" t="s">
        <v>22444</v>
      </c>
      <c r="H5438" t="s">
        <v>22452</v>
      </c>
      <c r="I5438" t="s">
        <v>22540</v>
      </c>
      <c r="J5438" t="s">
        <v>22853</v>
      </c>
      <c r="K5438" t="s">
        <v>29338</v>
      </c>
      <c r="M5438" t="s">
        <v>30564</v>
      </c>
      <c r="N5438" t="s">
        <v>32524</v>
      </c>
      <c r="O5438" t="s">
        <v>32525</v>
      </c>
      <c r="P5438">
        <v>0</v>
      </c>
      <c r="Q5438">
        <v>3</v>
      </c>
      <c r="R5438" t="s">
        <v>32531</v>
      </c>
      <c r="S5438" t="s">
        <v>32586</v>
      </c>
      <c r="T5438" t="s">
        <v>33441</v>
      </c>
      <c r="U5438" t="s">
        <v>38204</v>
      </c>
      <c r="W5438" t="s">
        <v>30564</v>
      </c>
      <c r="X5438" t="s">
        <v>32532</v>
      </c>
    </row>
    <row r="5439" spans="1:24">
      <c r="A5439">
        <f>HYPERLINK("https://www.philgeps.gov.ph/GEPSNONPILOT/Tender/SplashBidNoticeAbstractUI.aspx?menuIndex=3&amp;refID=7040013&amp;Result=3","7040013")</f>
        <v>0</v>
      </c>
      <c r="B5439" t="s">
        <v>594</v>
      </c>
      <c r="C5439" t="s">
        <v>7883</v>
      </c>
      <c r="D5439" t="s">
        <v>13040</v>
      </c>
      <c r="E5439" t="s">
        <v>17922</v>
      </c>
      <c r="F5439" t="s">
        <v>22436</v>
      </c>
      <c r="G5439" t="s">
        <v>22444</v>
      </c>
      <c r="H5439" t="s">
        <v>22454</v>
      </c>
      <c r="I5439" t="s">
        <v>7738</v>
      </c>
      <c r="J5439" t="s">
        <v>26148</v>
      </c>
      <c r="K5439" t="s">
        <v>29354</v>
      </c>
      <c r="M5439" t="s">
        <v>31493</v>
      </c>
      <c r="N5439" t="s">
        <v>32524</v>
      </c>
      <c r="O5439" t="s">
        <v>32525</v>
      </c>
      <c r="P5439">
        <v>0</v>
      </c>
      <c r="Q5439">
        <v>0</v>
      </c>
      <c r="R5439" t="s">
        <v>32531</v>
      </c>
      <c r="S5439" t="s">
        <v>32586</v>
      </c>
      <c r="T5439" t="s">
        <v>33167</v>
      </c>
      <c r="U5439" t="s">
        <v>38205</v>
      </c>
      <c r="W5439" t="s">
        <v>31493</v>
      </c>
      <c r="X5439" t="s">
        <v>32532</v>
      </c>
    </row>
    <row r="5440" spans="1:24">
      <c r="A5440">
        <f>HYPERLINK("https://www.philgeps.gov.ph/GEPSNONPILOT/Tender/SplashBidNoticeAbstractUI.aspx?menuIndex=3&amp;refID=7040019&amp;Result=3","7040019")</f>
        <v>0</v>
      </c>
      <c r="B5440" t="s">
        <v>1783</v>
      </c>
      <c r="C5440" t="s">
        <v>7884</v>
      </c>
      <c r="D5440" t="s">
        <v>12994</v>
      </c>
      <c r="E5440" t="s">
        <v>17923</v>
      </c>
      <c r="F5440" t="s">
        <v>22436</v>
      </c>
      <c r="G5440" t="s">
        <v>22443</v>
      </c>
      <c r="H5440" t="s">
        <v>22452</v>
      </c>
      <c r="I5440" t="s">
        <v>5194</v>
      </c>
      <c r="J5440" t="s">
        <v>26149</v>
      </c>
      <c r="K5440" t="s">
        <v>29335</v>
      </c>
      <c r="M5440" t="s">
        <v>31492</v>
      </c>
      <c r="N5440" t="s">
        <v>32524</v>
      </c>
      <c r="O5440" t="s">
        <v>32525</v>
      </c>
      <c r="P5440">
        <v>0</v>
      </c>
      <c r="Q5440">
        <v>5</v>
      </c>
      <c r="R5440" t="s">
        <v>32531</v>
      </c>
      <c r="S5440" t="s">
        <v>32586</v>
      </c>
      <c r="T5440" t="s">
        <v>33178</v>
      </c>
      <c r="U5440" t="s">
        <v>38206</v>
      </c>
      <c r="W5440" t="s">
        <v>31492</v>
      </c>
      <c r="X5440" t="s">
        <v>32532</v>
      </c>
    </row>
    <row r="5441" spans="1:24">
      <c r="A5441">
        <f>HYPERLINK("https://www.philgeps.gov.ph/GEPSNONPILOT/Tender/SplashBidNoticeAbstractUI.aspx?menuIndex=3&amp;refID=7040059&amp;Result=3","7040059")</f>
        <v>0</v>
      </c>
      <c r="B5441" t="s">
        <v>594</v>
      </c>
      <c r="C5441" t="s">
        <v>7885</v>
      </c>
      <c r="D5441" t="s">
        <v>13040</v>
      </c>
      <c r="E5441" t="s">
        <v>17924</v>
      </c>
      <c r="F5441" t="s">
        <v>22436</v>
      </c>
      <c r="G5441" t="s">
        <v>22444</v>
      </c>
      <c r="H5441" t="s">
        <v>22454</v>
      </c>
      <c r="I5441" t="s">
        <v>7738</v>
      </c>
      <c r="J5441" t="s">
        <v>26150</v>
      </c>
      <c r="K5441" t="s">
        <v>29391</v>
      </c>
      <c r="M5441" t="s">
        <v>30184</v>
      </c>
      <c r="N5441" t="s">
        <v>32524</v>
      </c>
      <c r="O5441" t="s">
        <v>32525</v>
      </c>
      <c r="P5441">
        <v>0</v>
      </c>
      <c r="Q5441">
        <v>0</v>
      </c>
      <c r="R5441" t="s">
        <v>32531</v>
      </c>
      <c r="S5441" t="s">
        <v>32586</v>
      </c>
      <c r="T5441" t="s">
        <v>33167</v>
      </c>
      <c r="U5441" t="s">
        <v>38207</v>
      </c>
      <c r="W5441" t="s">
        <v>31493</v>
      </c>
      <c r="X5441" t="s">
        <v>32532</v>
      </c>
    </row>
    <row r="5442" spans="1:24">
      <c r="A5442">
        <f>HYPERLINK("https://www.philgeps.gov.ph/GEPSNONPILOT/Tender/SplashBidNoticeAbstractUI.aspx?menuIndex=3&amp;refID=7040055&amp;Result=3","7040055")</f>
        <v>0</v>
      </c>
      <c r="B5442" t="s">
        <v>1021</v>
      </c>
      <c r="C5442" t="s">
        <v>7886</v>
      </c>
      <c r="D5442" t="s">
        <v>13020</v>
      </c>
      <c r="E5442" t="s">
        <v>17925</v>
      </c>
      <c r="F5442" t="s">
        <v>22436</v>
      </c>
      <c r="G5442" t="s">
        <v>22444</v>
      </c>
      <c r="H5442" t="s">
        <v>22452</v>
      </c>
      <c r="I5442" t="s">
        <v>2981</v>
      </c>
      <c r="J5442" t="s">
        <v>22960</v>
      </c>
      <c r="K5442" t="s">
        <v>29335</v>
      </c>
      <c r="M5442" t="s">
        <v>30649</v>
      </c>
      <c r="N5442" t="s">
        <v>32524</v>
      </c>
      <c r="O5442" t="s">
        <v>32525</v>
      </c>
      <c r="P5442">
        <v>0</v>
      </c>
      <c r="Q5442">
        <v>15</v>
      </c>
      <c r="R5442" t="s">
        <v>32531</v>
      </c>
      <c r="S5442" t="s">
        <v>32586</v>
      </c>
      <c r="T5442" t="s">
        <v>33218</v>
      </c>
      <c r="U5442" t="s">
        <v>38208</v>
      </c>
      <c r="W5442" t="s">
        <v>43703</v>
      </c>
      <c r="X5442" t="s">
        <v>32532</v>
      </c>
    </row>
    <row r="5443" spans="1:24">
      <c r="A5443">
        <f>HYPERLINK("https://www.philgeps.gov.ph/GEPSNONPILOT/Tender/SplashBidNoticeAbstractUI.aspx?menuIndex=3&amp;refID=7040061&amp;Result=3","7040061")</f>
        <v>0</v>
      </c>
      <c r="B5443" t="s">
        <v>631</v>
      </c>
      <c r="C5443" t="s">
        <v>7887</v>
      </c>
      <c r="D5443" t="s">
        <v>13044</v>
      </c>
      <c r="E5443" t="s">
        <v>17926</v>
      </c>
      <c r="F5443" t="s">
        <v>22436</v>
      </c>
      <c r="G5443" t="s">
        <v>22444</v>
      </c>
      <c r="H5443" t="s">
        <v>22452</v>
      </c>
      <c r="I5443" t="s">
        <v>3827</v>
      </c>
      <c r="J5443" t="s">
        <v>24456</v>
      </c>
      <c r="K5443" t="s">
        <v>29338</v>
      </c>
      <c r="M5443" t="s">
        <v>30222</v>
      </c>
      <c r="N5443" t="s">
        <v>32524</v>
      </c>
      <c r="O5443" t="s">
        <v>32525</v>
      </c>
      <c r="P5443">
        <v>0</v>
      </c>
      <c r="Q5443">
        <v>1</v>
      </c>
      <c r="R5443" t="s">
        <v>32531</v>
      </c>
      <c r="S5443" t="s">
        <v>32586</v>
      </c>
      <c r="T5443" t="s">
        <v>33310</v>
      </c>
      <c r="U5443" t="s">
        <v>38209</v>
      </c>
      <c r="W5443" t="s">
        <v>30222</v>
      </c>
      <c r="X5443" t="s">
        <v>32532</v>
      </c>
    </row>
    <row r="5444" spans="1:24">
      <c r="A5444">
        <f>HYPERLINK("https://www.philgeps.gov.ph/GEPSNONPILOT/Tender/SplashBidNoticeAbstractUI.aspx?menuIndex=3&amp;refID=7040046&amp;Result=3","7040046")</f>
        <v>0</v>
      </c>
      <c r="B5444" t="s">
        <v>59</v>
      </c>
      <c r="C5444" t="s">
        <v>7888</v>
      </c>
      <c r="D5444" t="s">
        <v>13004</v>
      </c>
      <c r="E5444" t="s">
        <v>17927</v>
      </c>
      <c r="F5444" t="s">
        <v>22436</v>
      </c>
      <c r="G5444" t="s">
        <v>22443</v>
      </c>
      <c r="H5444" t="s">
        <v>22452</v>
      </c>
      <c r="I5444" t="s">
        <v>12358</v>
      </c>
      <c r="J5444" t="s">
        <v>26151</v>
      </c>
      <c r="K5444" t="s">
        <v>29338</v>
      </c>
      <c r="L5444" t="s">
        <v>59</v>
      </c>
      <c r="M5444" t="s">
        <v>29631</v>
      </c>
      <c r="N5444" t="s">
        <v>32524</v>
      </c>
      <c r="O5444" t="s">
        <v>32525</v>
      </c>
      <c r="P5444">
        <v>0</v>
      </c>
      <c r="Q5444">
        <v>0</v>
      </c>
      <c r="R5444" t="s">
        <v>32531</v>
      </c>
      <c r="S5444" t="s">
        <v>32586</v>
      </c>
      <c r="T5444" t="s">
        <v>33296</v>
      </c>
      <c r="U5444" t="s">
        <v>38210</v>
      </c>
      <c r="W5444" t="s">
        <v>29631</v>
      </c>
      <c r="X5444" t="s">
        <v>32532</v>
      </c>
    </row>
    <row r="5445" spans="1:24">
      <c r="A5445">
        <f>HYPERLINK("https://www.philgeps.gov.ph/GEPSNONPILOT/Tender/SplashBidNoticeAbstractUI.aspx?menuIndex=3&amp;refID=7040045&amp;Result=3","7040045")</f>
        <v>0</v>
      </c>
      <c r="B5445" t="s">
        <v>1784</v>
      </c>
      <c r="C5445" t="s">
        <v>7889</v>
      </c>
      <c r="D5445" t="s">
        <v>12988</v>
      </c>
      <c r="E5445" t="s">
        <v>17928</v>
      </c>
      <c r="F5445" t="s">
        <v>22436</v>
      </c>
      <c r="G5445" t="s">
        <v>22443</v>
      </c>
      <c r="H5445" t="s">
        <v>22452</v>
      </c>
      <c r="I5445" t="s">
        <v>22469</v>
      </c>
      <c r="J5445" t="s">
        <v>23093</v>
      </c>
      <c r="K5445" t="s">
        <v>29353</v>
      </c>
      <c r="M5445" t="s">
        <v>31494</v>
      </c>
      <c r="N5445" t="s">
        <v>32524</v>
      </c>
      <c r="O5445" t="s">
        <v>32525</v>
      </c>
      <c r="P5445">
        <v>0</v>
      </c>
      <c r="Q5445">
        <v>14</v>
      </c>
      <c r="R5445" t="s">
        <v>32531</v>
      </c>
      <c r="S5445" t="s">
        <v>32586</v>
      </c>
      <c r="T5445" t="s">
        <v>33238</v>
      </c>
      <c r="U5445" t="s">
        <v>38211</v>
      </c>
      <c r="W5445" t="s">
        <v>31494</v>
      </c>
      <c r="X5445" t="s">
        <v>32532</v>
      </c>
    </row>
    <row r="5446" spans="1:24">
      <c r="A5446">
        <f>HYPERLINK("https://www.philgeps.gov.ph/GEPSNONPILOT/Tender/SplashBidNoticeAbstractUI.aspx?menuIndex=3&amp;refID=7040048&amp;Result=3","7040048")</f>
        <v>0</v>
      </c>
      <c r="B5446" t="s">
        <v>1785</v>
      </c>
      <c r="C5446" t="s">
        <v>7890</v>
      </c>
      <c r="D5446" t="s">
        <v>13065</v>
      </c>
      <c r="E5446" t="s">
        <v>17929</v>
      </c>
      <c r="F5446" t="s">
        <v>22436</v>
      </c>
      <c r="G5446" t="s">
        <v>22444</v>
      </c>
      <c r="H5446" t="s">
        <v>22454</v>
      </c>
      <c r="I5446" t="s">
        <v>7738</v>
      </c>
      <c r="J5446" t="s">
        <v>22624</v>
      </c>
      <c r="K5446" t="s">
        <v>29413</v>
      </c>
      <c r="M5446" t="s">
        <v>31495</v>
      </c>
      <c r="N5446" t="s">
        <v>32524</v>
      </c>
      <c r="O5446" t="s">
        <v>32525</v>
      </c>
      <c r="P5446">
        <v>0</v>
      </c>
      <c r="Q5446">
        <v>0</v>
      </c>
      <c r="R5446" t="s">
        <v>32531</v>
      </c>
      <c r="S5446" t="s">
        <v>32586</v>
      </c>
      <c r="T5446" t="s">
        <v>33184</v>
      </c>
      <c r="U5446" t="s">
        <v>38212</v>
      </c>
      <c r="W5446" t="s">
        <v>31495</v>
      </c>
      <c r="X5446" t="s">
        <v>32532</v>
      </c>
    </row>
    <row r="5447" spans="1:24">
      <c r="A5447">
        <f>HYPERLINK("https://www.philgeps.gov.ph/GEPSNONPILOT/Tender/SplashBidNoticeAbstractUI.aspx?menuIndex=3&amp;refID=7040053&amp;Result=3","7040053")</f>
        <v>0</v>
      </c>
      <c r="B5447" t="s">
        <v>1708</v>
      </c>
      <c r="C5447" t="s">
        <v>7891</v>
      </c>
      <c r="D5447" t="s">
        <v>12992</v>
      </c>
      <c r="E5447" t="s">
        <v>17930</v>
      </c>
      <c r="F5447" t="s">
        <v>22436</v>
      </c>
      <c r="G5447" t="s">
        <v>22444</v>
      </c>
      <c r="H5447" t="s">
        <v>22454</v>
      </c>
      <c r="I5447" t="s">
        <v>7738</v>
      </c>
      <c r="J5447" t="s">
        <v>22893</v>
      </c>
      <c r="K5447" t="s">
        <v>29338</v>
      </c>
      <c r="M5447" t="s">
        <v>31410</v>
      </c>
      <c r="N5447" t="s">
        <v>32524</v>
      </c>
      <c r="O5447" t="s">
        <v>32525</v>
      </c>
      <c r="P5447">
        <v>0</v>
      </c>
      <c r="Q5447">
        <v>0</v>
      </c>
      <c r="R5447" t="s">
        <v>32531</v>
      </c>
      <c r="S5447" t="s">
        <v>32586</v>
      </c>
      <c r="T5447" t="s">
        <v>33451</v>
      </c>
      <c r="U5447" t="s">
        <v>38213</v>
      </c>
      <c r="V5447" t="s">
        <v>42970</v>
      </c>
      <c r="W5447" t="s">
        <v>31410</v>
      </c>
      <c r="X5447" t="s">
        <v>32532</v>
      </c>
    </row>
    <row r="5448" spans="1:24">
      <c r="A5448">
        <f>HYPERLINK("https://www.philgeps.gov.ph/GEPSNONPILOT/Tender/SplashBidNoticeAbstractUI.aspx?menuIndex=3&amp;refID=7040075&amp;Result=3","7040075")</f>
        <v>0</v>
      </c>
      <c r="B5448" t="s">
        <v>1783</v>
      </c>
      <c r="C5448" t="s">
        <v>7892</v>
      </c>
      <c r="D5448" t="s">
        <v>12994</v>
      </c>
      <c r="E5448" t="s">
        <v>17931</v>
      </c>
      <c r="F5448" t="s">
        <v>22436</v>
      </c>
      <c r="G5448" t="s">
        <v>22443</v>
      </c>
      <c r="H5448" t="s">
        <v>22452</v>
      </c>
      <c r="I5448" t="s">
        <v>3529</v>
      </c>
      <c r="J5448" t="s">
        <v>26152</v>
      </c>
      <c r="K5448" t="s">
        <v>29335</v>
      </c>
      <c r="M5448" t="s">
        <v>31492</v>
      </c>
      <c r="N5448" t="s">
        <v>32524</v>
      </c>
      <c r="O5448" t="s">
        <v>32525</v>
      </c>
      <c r="P5448">
        <v>0</v>
      </c>
      <c r="Q5448">
        <v>0</v>
      </c>
      <c r="R5448" t="s">
        <v>32531</v>
      </c>
      <c r="S5448" t="s">
        <v>32586</v>
      </c>
      <c r="T5448" t="s">
        <v>33167</v>
      </c>
      <c r="U5448" t="s">
        <v>38214</v>
      </c>
      <c r="W5448" t="s">
        <v>31492</v>
      </c>
      <c r="X5448" t="s">
        <v>32532</v>
      </c>
    </row>
    <row r="5449" spans="1:24">
      <c r="A5449">
        <f>HYPERLINK("https://www.philgeps.gov.ph/GEPSNONPILOT/Tender/SplashBidNoticeAbstractUI.aspx?menuIndex=3&amp;refID=7040042&amp;Result=3","7040042")</f>
        <v>0</v>
      </c>
      <c r="B5449" t="s">
        <v>1786</v>
      </c>
      <c r="C5449" t="s">
        <v>7893</v>
      </c>
      <c r="D5449" t="s">
        <v>12991</v>
      </c>
      <c r="E5449" t="s">
        <v>17932</v>
      </c>
      <c r="F5449" t="s">
        <v>22436</v>
      </c>
      <c r="G5449" t="s">
        <v>22444</v>
      </c>
      <c r="H5449" t="s">
        <v>22452</v>
      </c>
      <c r="I5449" t="s">
        <v>3529</v>
      </c>
      <c r="J5449" t="s">
        <v>26153</v>
      </c>
      <c r="K5449" t="s">
        <v>29336</v>
      </c>
      <c r="M5449" t="s">
        <v>31496</v>
      </c>
      <c r="N5449" t="s">
        <v>32524</v>
      </c>
      <c r="O5449" t="s">
        <v>32525</v>
      </c>
      <c r="P5449">
        <v>0</v>
      </c>
      <c r="Q5449">
        <v>0</v>
      </c>
      <c r="R5449" t="s">
        <v>32531</v>
      </c>
      <c r="S5449" t="s">
        <v>32586</v>
      </c>
      <c r="T5449" t="s">
        <v>33471</v>
      </c>
      <c r="U5449" t="s">
        <v>38215</v>
      </c>
      <c r="W5449" t="s">
        <v>31496</v>
      </c>
      <c r="X5449" t="s">
        <v>32532</v>
      </c>
    </row>
    <row r="5450" spans="1:24">
      <c r="A5450">
        <f>HYPERLINK("https://www.philgeps.gov.ph/GEPSNONPILOT/Tender/SplashBidNoticeAbstractUI.aspx?menuIndex=3&amp;refID=7040069&amp;Result=3","7040069")</f>
        <v>0</v>
      </c>
      <c r="B5450" t="s">
        <v>1781</v>
      </c>
      <c r="C5450" t="s">
        <v>7894</v>
      </c>
      <c r="D5450" t="s">
        <v>13001</v>
      </c>
      <c r="E5450" t="s">
        <v>17933</v>
      </c>
      <c r="F5450" t="s">
        <v>22436</v>
      </c>
      <c r="G5450" t="s">
        <v>22444</v>
      </c>
      <c r="H5450" t="s">
        <v>22454</v>
      </c>
      <c r="I5450" t="s">
        <v>7738</v>
      </c>
      <c r="J5450" t="s">
        <v>26154</v>
      </c>
      <c r="K5450" t="s">
        <v>29338</v>
      </c>
      <c r="M5450" t="s">
        <v>31490</v>
      </c>
      <c r="N5450" t="s">
        <v>32524</v>
      </c>
      <c r="O5450" t="s">
        <v>32525</v>
      </c>
      <c r="P5450">
        <v>0</v>
      </c>
      <c r="Q5450">
        <v>0</v>
      </c>
      <c r="R5450" t="s">
        <v>32531</v>
      </c>
      <c r="S5450" t="s">
        <v>32586</v>
      </c>
      <c r="T5450" t="s">
        <v>33209</v>
      </c>
      <c r="U5450" t="s">
        <v>38216</v>
      </c>
      <c r="V5450" t="s">
        <v>42961</v>
      </c>
      <c r="W5450" t="s">
        <v>31490</v>
      </c>
      <c r="X5450" t="s">
        <v>32532</v>
      </c>
    </row>
    <row r="5451" spans="1:24">
      <c r="A5451">
        <f>HYPERLINK("https://www.philgeps.gov.ph/GEPSNONPILOT/Tender/SplashBidNoticeAbstractUI.aspx?menuIndex=3&amp;refID=7040044&amp;Result=3","7040044")</f>
        <v>0</v>
      </c>
      <c r="B5451" t="s">
        <v>594</v>
      </c>
      <c r="C5451" t="s">
        <v>7895</v>
      </c>
      <c r="D5451" t="s">
        <v>13040</v>
      </c>
      <c r="E5451" t="s">
        <v>17922</v>
      </c>
      <c r="F5451" t="s">
        <v>22436</v>
      </c>
      <c r="G5451" t="s">
        <v>22444</v>
      </c>
      <c r="H5451" t="s">
        <v>22454</v>
      </c>
      <c r="I5451" t="s">
        <v>7738</v>
      </c>
      <c r="J5451" t="s">
        <v>26155</v>
      </c>
      <c r="K5451" t="s">
        <v>29466</v>
      </c>
      <c r="M5451" t="s">
        <v>30184</v>
      </c>
      <c r="N5451" t="s">
        <v>32524</v>
      </c>
      <c r="O5451" t="s">
        <v>32525</v>
      </c>
      <c r="P5451">
        <v>0</v>
      </c>
      <c r="Q5451">
        <v>0</v>
      </c>
      <c r="R5451" t="s">
        <v>32531</v>
      </c>
      <c r="S5451" t="s">
        <v>32586</v>
      </c>
      <c r="T5451" t="s">
        <v>33167</v>
      </c>
      <c r="U5451" t="s">
        <v>38217</v>
      </c>
      <c r="W5451" t="s">
        <v>31493</v>
      </c>
      <c r="X5451" t="s">
        <v>32532</v>
      </c>
    </row>
    <row r="5452" spans="1:24">
      <c r="A5452">
        <f>HYPERLINK("https://www.philgeps.gov.ph/GEPSNONPILOT/Tender/SplashBidNoticeAbstractUI.aspx?menuIndex=3&amp;refID=7040062&amp;Result=3","7040062")</f>
        <v>0</v>
      </c>
      <c r="B5452" t="s">
        <v>1787</v>
      </c>
      <c r="C5452" t="s">
        <v>7896</v>
      </c>
      <c r="D5452" t="s">
        <v>13035</v>
      </c>
      <c r="E5452" t="s">
        <v>17934</v>
      </c>
      <c r="F5452" t="s">
        <v>22437</v>
      </c>
      <c r="G5452" t="s">
        <v>22446</v>
      </c>
      <c r="H5452" t="s">
        <v>22452</v>
      </c>
      <c r="I5452" t="s">
        <v>3529</v>
      </c>
      <c r="J5452" t="s">
        <v>26156</v>
      </c>
      <c r="K5452" t="s">
        <v>29341</v>
      </c>
      <c r="M5452" t="s">
        <v>31497</v>
      </c>
      <c r="N5452" t="s">
        <v>32524</v>
      </c>
      <c r="O5452" t="s">
        <v>32525</v>
      </c>
      <c r="P5452">
        <v>0</v>
      </c>
      <c r="Q5452">
        <v>0</v>
      </c>
      <c r="R5452" t="s">
        <v>32531</v>
      </c>
      <c r="S5452" t="s">
        <v>32586</v>
      </c>
      <c r="T5452" t="s">
        <v>33296</v>
      </c>
      <c r="U5452" t="s">
        <v>38218</v>
      </c>
      <c r="W5452" t="s">
        <v>31497</v>
      </c>
      <c r="X5452" t="s">
        <v>32532</v>
      </c>
    </row>
    <row r="5453" spans="1:24">
      <c r="A5453">
        <f>HYPERLINK("https://www.philgeps.gov.ph/GEPSNONPILOT/Tender/SplashBidNoticeAbstractUI.aspx?menuIndex=3&amp;refID=7040074&amp;Result=3","7040074")</f>
        <v>0</v>
      </c>
      <c r="B5453" t="s">
        <v>528</v>
      </c>
      <c r="C5453" t="s">
        <v>7897</v>
      </c>
      <c r="E5453" t="s">
        <v>17935</v>
      </c>
      <c r="F5453" t="s">
        <v>22436</v>
      </c>
      <c r="G5453" t="s">
        <v>22443</v>
      </c>
      <c r="H5453" t="s">
        <v>22452</v>
      </c>
      <c r="I5453" t="s">
        <v>12358</v>
      </c>
      <c r="J5453" t="s">
        <v>22817</v>
      </c>
      <c r="K5453" t="s">
        <v>29330</v>
      </c>
      <c r="M5453" t="s">
        <v>30112</v>
      </c>
      <c r="N5453" t="s">
        <v>32524</v>
      </c>
      <c r="O5453" t="s">
        <v>32525</v>
      </c>
      <c r="P5453">
        <v>0</v>
      </c>
      <c r="Q5453">
        <v>1</v>
      </c>
      <c r="R5453" t="s">
        <v>32531</v>
      </c>
      <c r="S5453" t="s">
        <v>32586</v>
      </c>
      <c r="T5453" t="s">
        <v>33292</v>
      </c>
      <c r="U5453" t="s">
        <v>38219</v>
      </c>
      <c r="V5453" t="s">
        <v>42540</v>
      </c>
      <c r="W5453" t="s">
        <v>30975</v>
      </c>
      <c r="X5453" t="s">
        <v>32532</v>
      </c>
    </row>
    <row r="5454" spans="1:24">
      <c r="A5454">
        <f>HYPERLINK("https://www.philgeps.gov.ph/GEPSNONPILOT/Tender/SplashBidNoticeAbstractUI.aspx?menuIndex=3&amp;refID=7040041&amp;Result=3","7040041")</f>
        <v>0</v>
      </c>
      <c r="B5454" t="s">
        <v>1366</v>
      </c>
      <c r="C5454" t="s">
        <v>7898</v>
      </c>
      <c r="D5454" t="s">
        <v>13039</v>
      </c>
      <c r="E5454" t="s">
        <v>17936</v>
      </c>
      <c r="F5454" t="s">
        <v>22436</v>
      </c>
      <c r="G5454" t="s">
        <v>22444</v>
      </c>
      <c r="H5454" t="s">
        <v>22452</v>
      </c>
      <c r="I5454" t="s">
        <v>22502</v>
      </c>
      <c r="J5454" t="s">
        <v>26157</v>
      </c>
      <c r="K5454" t="s">
        <v>29333</v>
      </c>
      <c r="M5454" t="s">
        <v>31022</v>
      </c>
      <c r="N5454" t="s">
        <v>32524</v>
      </c>
      <c r="O5454" t="s">
        <v>32525</v>
      </c>
      <c r="P5454">
        <v>0</v>
      </c>
      <c r="Q5454">
        <v>12</v>
      </c>
      <c r="R5454" t="s">
        <v>32531</v>
      </c>
      <c r="S5454" t="s">
        <v>32586</v>
      </c>
      <c r="T5454" t="s">
        <v>33490</v>
      </c>
      <c r="U5454" t="s">
        <v>38220</v>
      </c>
      <c r="V5454" t="s">
        <v>43013</v>
      </c>
      <c r="W5454" t="s">
        <v>31022</v>
      </c>
      <c r="X5454" t="s">
        <v>32532</v>
      </c>
    </row>
    <row r="5455" spans="1:24">
      <c r="A5455">
        <f>HYPERLINK("https://www.philgeps.gov.ph/GEPSNONPILOT/Tender/SplashBidNoticeAbstractUI.aspx?menuIndex=3&amp;refID=7040065&amp;Result=3","7040065")</f>
        <v>0</v>
      </c>
      <c r="B5455" t="s">
        <v>1760</v>
      </c>
      <c r="C5455" t="s">
        <v>7899</v>
      </c>
      <c r="E5455" t="s">
        <v>17937</v>
      </c>
      <c r="F5455" t="s">
        <v>22436</v>
      </c>
      <c r="G5455" t="s">
        <v>22444</v>
      </c>
      <c r="H5455" t="s">
        <v>22452</v>
      </c>
      <c r="I5455" t="s">
        <v>3529</v>
      </c>
      <c r="J5455" t="s">
        <v>26158</v>
      </c>
      <c r="K5455" t="s">
        <v>29331</v>
      </c>
      <c r="M5455" t="s">
        <v>31466</v>
      </c>
      <c r="N5455" t="s">
        <v>32524</v>
      </c>
      <c r="O5455" t="s">
        <v>32525</v>
      </c>
      <c r="P5455">
        <v>0</v>
      </c>
      <c r="Q5455">
        <v>1</v>
      </c>
      <c r="R5455" t="s">
        <v>32531</v>
      </c>
      <c r="S5455" t="s">
        <v>32586</v>
      </c>
      <c r="T5455" t="s">
        <v>33218</v>
      </c>
      <c r="U5455" t="s">
        <v>38221</v>
      </c>
      <c r="W5455" t="s">
        <v>31466</v>
      </c>
      <c r="X5455" t="s">
        <v>32532</v>
      </c>
    </row>
    <row r="5456" spans="1:24">
      <c r="A5456">
        <f>HYPERLINK("https://www.philgeps.gov.ph/GEPSNONPILOT/Tender/SplashBidNoticeAbstractUI.aspx?menuIndex=3&amp;refID=7040064&amp;Result=3","7040064")</f>
        <v>0</v>
      </c>
      <c r="B5456" t="s">
        <v>667</v>
      </c>
      <c r="C5456" t="s">
        <v>7900</v>
      </c>
      <c r="D5456" t="s">
        <v>12988</v>
      </c>
      <c r="E5456" t="s">
        <v>17938</v>
      </c>
      <c r="F5456" t="s">
        <v>22436</v>
      </c>
      <c r="G5456" t="s">
        <v>22444</v>
      </c>
      <c r="H5456" t="s">
        <v>22453</v>
      </c>
      <c r="I5456" t="s">
        <v>22469</v>
      </c>
      <c r="J5456" t="s">
        <v>22743</v>
      </c>
      <c r="K5456" t="s">
        <v>29371</v>
      </c>
      <c r="M5456" t="s">
        <v>31498</v>
      </c>
      <c r="N5456" t="s">
        <v>32524</v>
      </c>
      <c r="O5456" t="s">
        <v>32525</v>
      </c>
      <c r="P5456">
        <v>0</v>
      </c>
      <c r="Q5456">
        <v>1</v>
      </c>
      <c r="R5456" t="s">
        <v>32531</v>
      </c>
      <c r="S5456" t="s">
        <v>32586</v>
      </c>
      <c r="T5456" t="s">
        <v>33253</v>
      </c>
      <c r="U5456" t="s">
        <v>38222</v>
      </c>
      <c r="W5456" t="s">
        <v>31498</v>
      </c>
      <c r="X5456" t="s">
        <v>32532</v>
      </c>
    </row>
    <row r="5457" spans="1:24">
      <c r="A5457">
        <f>HYPERLINK("https://www.philgeps.gov.ph/GEPSNONPILOT/Tender/SplashBidNoticeAbstractUI.aspx?menuIndex=3&amp;refID=7040087&amp;Result=3","7040087")</f>
        <v>0</v>
      </c>
      <c r="B5457" t="s">
        <v>1349</v>
      </c>
      <c r="C5457" t="s">
        <v>7901</v>
      </c>
      <c r="D5457" t="s">
        <v>13038</v>
      </c>
      <c r="E5457" t="s">
        <v>17939</v>
      </c>
      <c r="F5457" t="s">
        <v>22436</v>
      </c>
      <c r="G5457" t="s">
        <v>22443</v>
      </c>
      <c r="H5457" t="s">
        <v>22452</v>
      </c>
      <c r="I5457" t="s">
        <v>22488</v>
      </c>
      <c r="J5457" t="s">
        <v>26159</v>
      </c>
      <c r="K5457" t="s">
        <v>29340</v>
      </c>
      <c r="M5457" t="s">
        <v>31004</v>
      </c>
      <c r="N5457" t="s">
        <v>32524</v>
      </c>
      <c r="O5457" t="s">
        <v>32525</v>
      </c>
      <c r="P5457">
        <v>0</v>
      </c>
      <c r="Q5457">
        <v>0</v>
      </c>
      <c r="R5457" t="s">
        <v>32531</v>
      </c>
      <c r="S5457" t="s">
        <v>32586</v>
      </c>
      <c r="T5457" t="s">
        <v>33296</v>
      </c>
      <c r="U5457" t="s">
        <v>38223</v>
      </c>
      <c r="V5457" t="s">
        <v>43014</v>
      </c>
      <c r="W5457" t="s">
        <v>31004</v>
      </c>
      <c r="X5457" t="s">
        <v>32532</v>
      </c>
    </row>
    <row r="5458" spans="1:24">
      <c r="A5458">
        <f>HYPERLINK("https://www.philgeps.gov.ph/GEPSNONPILOT/Tender/SplashBidNoticeAbstractUI.aspx?menuIndex=3&amp;refID=7040071&amp;Result=3","7040071")</f>
        <v>0</v>
      </c>
      <c r="B5458" t="s">
        <v>1558</v>
      </c>
      <c r="C5458" t="s">
        <v>7902</v>
      </c>
      <c r="D5458" t="s">
        <v>13015</v>
      </c>
      <c r="E5458" t="s">
        <v>17940</v>
      </c>
      <c r="F5458" t="s">
        <v>22436</v>
      </c>
      <c r="G5458" t="s">
        <v>22444</v>
      </c>
      <c r="H5458" t="s">
        <v>22452</v>
      </c>
      <c r="I5458" t="s">
        <v>22486</v>
      </c>
      <c r="J5458" t="s">
        <v>26160</v>
      </c>
      <c r="K5458" t="s">
        <v>29392</v>
      </c>
      <c r="M5458" t="s">
        <v>31238</v>
      </c>
      <c r="N5458" t="s">
        <v>32524</v>
      </c>
      <c r="O5458" t="s">
        <v>32525</v>
      </c>
      <c r="P5458">
        <v>0</v>
      </c>
      <c r="Q5458">
        <v>0</v>
      </c>
      <c r="R5458" t="s">
        <v>32531</v>
      </c>
      <c r="S5458" t="s">
        <v>32586</v>
      </c>
      <c r="T5458" t="s">
        <v>33310</v>
      </c>
      <c r="U5458" t="s">
        <v>38224</v>
      </c>
      <c r="W5458" t="s">
        <v>31238</v>
      </c>
      <c r="X5458" t="s">
        <v>32532</v>
      </c>
    </row>
    <row r="5459" spans="1:24">
      <c r="A5459">
        <f>HYPERLINK("https://www.philgeps.gov.ph/GEPSNONPILOT/Tender/SplashBidNoticeAbstractUI.aspx?menuIndex=3&amp;refID=7040088&amp;Result=3","7040088")</f>
        <v>0</v>
      </c>
      <c r="B5459" t="s">
        <v>1572</v>
      </c>
      <c r="C5459" t="s">
        <v>7903</v>
      </c>
      <c r="D5459" t="s">
        <v>12988</v>
      </c>
      <c r="E5459" t="s">
        <v>17941</v>
      </c>
      <c r="F5459" t="s">
        <v>22436</v>
      </c>
      <c r="G5459" t="s">
        <v>22444</v>
      </c>
      <c r="H5459" t="s">
        <v>22452</v>
      </c>
      <c r="I5459" t="s">
        <v>22469</v>
      </c>
      <c r="J5459" t="s">
        <v>26161</v>
      </c>
      <c r="K5459" t="s">
        <v>29329</v>
      </c>
      <c r="M5459" t="s">
        <v>31254</v>
      </c>
      <c r="N5459" t="s">
        <v>32524</v>
      </c>
      <c r="O5459" t="s">
        <v>32525</v>
      </c>
      <c r="P5459">
        <v>0</v>
      </c>
      <c r="Q5459">
        <v>6</v>
      </c>
      <c r="R5459" t="s">
        <v>32531</v>
      </c>
      <c r="S5459" t="s">
        <v>32586</v>
      </c>
      <c r="T5459" t="s">
        <v>33455</v>
      </c>
      <c r="U5459" t="s">
        <v>36615</v>
      </c>
      <c r="W5459" t="s">
        <v>31254</v>
      </c>
      <c r="X5459" t="s">
        <v>32532</v>
      </c>
    </row>
    <row r="5460" spans="1:24">
      <c r="A5460">
        <f>HYPERLINK("https://www.philgeps.gov.ph/GEPSNONPILOT/Tender/SplashBidNoticeAbstractUI.aspx?menuIndex=3&amp;refID=7040112&amp;Result=3","7040112")</f>
        <v>0</v>
      </c>
      <c r="B5460" t="s">
        <v>1728</v>
      </c>
      <c r="C5460" t="s">
        <v>7904</v>
      </c>
      <c r="D5460" t="s">
        <v>12998</v>
      </c>
      <c r="E5460" t="s">
        <v>17942</v>
      </c>
      <c r="F5460" t="s">
        <v>22436</v>
      </c>
      <c r="G5460" t="s">
        <v>22443</v>
      </c>
      <c r="H5460" t="s">
        <v>22452</v>
      </c>
      <c r="I5460" t="s">
        <v>22489</v>
      </c>
      <c r="J5460" t="s">
        <v>26162</v>
      </c>
      <c r="K5460" t="s">
        <v>29353</v>
      </c>
      <c r="M5460" t="s">
        <v>31433</v>
      </c>
      <c r="N5460" t="s">
        <v>32524</v>
      </c>
      <c r="O5460" t="s">
        <v>32525</v>
      </c>
      <c r="P5460">
        <v>0</v>
      </c>
      <c r="Q5460">
        <v>9</v>
      </c>
      <c r="R5460" t="s">
        <v>32531</v>
      </c>
      <c r="S5460" t="s">
        <v>32586</v>
      </c>
      <c r="T5460" t="s">
        <v>33419</v>
      </c>
      <c r="U5460" t="s">
        <v>38225</v>
      </c>
      <c r="W5460" t="s">
        <v>31433</v>
      </c>
      <c r="X5460" t="s">
        <v>32532</v>
      </c>
    </row>
    <row r="5461" spans="1:24">
      <c r="A5461">
        <f>HYPERLINK("https://www.philgeps.gov.ph/GEPSNONPILOT/Tender/SplashBidNoticeAbstractUI.aspx?menuIndex=3&amp;refID=7040123&amp;Result=3","7040123")</f>
        <v>0</v>
      </c>
      <c r="B5461" t="s">
        <v>1760</v>
      </c>
      <c r="C5461" t="s">
        <v>7905</v>
      </c>
      <c r="E5461" t="s">
        <v>17943</v>
      </c>
      <c r="F5461" t="s">
        <v>22436</v>
      </c>
      <c r="G5461" t="s">
        <v>22444</v>
      </c>
      <c r="H5461" t="s">
        <v>22452</v>
      </c>
      <c r="I5461" t="s">
        <v>22460</v>
      </c>
      <c r="J5461" t="s">
        <v>26163</v>
      </c>
      <c r="K5461" t="s">
        <v>29341</v>
      </c>
      <c r="M5461" t="s">
        <v>31466</v>
      </c>
      <c r="N5461" t="s">
        <v>32524</v>
      </c>
      <c r="O5461" t="s">
        <v>32525</v>
      </c>
      <c r="P5461">
        <v>0</v>
      </c>
      <c r="Q5461">
        <v>0</v>
      </c>
      <c r="R5461" t="s">
        <v>32531</v>
      </c>
      <c r="S5461" t="s">
        <v>32586</v>
      </c>
      <c r="T5461" t="s">
        <v>33218</v>
      </c>
      <c r="U5461" t="s">
        <v>38226</v>
      </c>
      <c r="W5461" t="s">
        <v>31466</v>
      </c>
      <c r="X5461" t="s">
        <v>32532</v>
      </c>
    </row>
    <row r="5462" spans="1:24">
      <c r="A5462">
        <f>HYPERLINK("https://www.philgeps.gov.ph/GEPSNONPILOT/Tender/SplashBidNoticeAbstractUI.aspx?menuIndex=3&amp;refID=7040079&amp;Result=3","7040079")</f>
        <v>0</v>
      </c>
      <c r="B5462" t="s">
        <v>1378</v>
      </c>
      <c r="C5462" t="s">
        <v>7906</v>
      </c>
      <c r="D5462" t="s">
        <v>12988</v>
      </c>
      <c r="E5462" t="s">
        <v>17944</v>
      </c>
      <c r="F5462" t="s">
        <v>22436</v>
      </c>
      <c r="G5462" t="s">
        <v>22446</v>
      </c>
      <c r="H5462" t="s">
        <v>22452</v>
      </c>
      <c r="I5462" t="s">
        <v>22573</v>
      </c>
      <c r="J5462" t="s">
        <v>26164</v>
      </c>
      <c r="K5462" t="s">
        <v>29329</v>
      </c>
      <c r="M5462" t="s">
        <v>31034</v>
      </c>
      <c r="N5462" t="s">
        <v>32524</v>
      </c>
      <c r="O5462" t="s">
        <v>32525</v>
      </c>
      <c r="P5462">
        <v>0</v>
      </c>
      <c r="Q5462">
        <v>7</v>
      </c>
      <c r="R5462" t="s">
        <v>32531</v>
      </c>
      <c r="S5462" t="s">
        <v>32586</v>
      </c>
      <c r="T5462" t="s">
        <v>33356</v>
      </c>
      <c r="U5462" t="s">
        <v>38227</v>
      </c>
      <c r="W5462" t="s">
        <v>31034</v>
      </c>
      <c r="X5462" t="s">
        <v>32532</v>
      </c>
    </row>
    <row r="5463" spans="1:24">
      <c r="A5463">
        <f>HYPERLINK("https://www.philgeps.gov.ph/GEPSNONPILOT/Tender/SplashBidNoticeAbstractUI.aspx?menuIndex=3&amp;refID=7040081&amp;Result=3","7040081")</f>
        <v>0</v>
      </c>
      <c r="B5463" t="s">
        <v>59</v>
      </c>
      <c r="C5463" t="s">
        <v>7907</v>
      </c>
      <c r="D5463" t="s">
        <v>13004</v>
      </c>
      <c r="E5463" t="s">
        <v>17945</v>
      </c>
      <c r="F5463" t="s">
        <v>22436</v>
      </c>
      <c r="G5463" t="s">
        <v>22443</v>
      </c>
      <c r="H5463" t="s">
        <v>22452</v>
      </c>
      <c r="I5463" t="s">
        <v>22518</v>
      </c>
      <c r="J5463" t="s">
        <v>26165</v>
      </c>
      <c r="K5463" t="s">
        <v>29338</v>
      </c>
      <c r="L5463" t="s">
        <v>59</v>
      </c>
      <c r="M5463" t="s">
        <v>29631</v>
      </c>
      <c r="N5463" t="s">
        <v>32524</v>
      </c>
      <c r="O5463" t="s">
        <v>32525</v>
      </c>
      <c r="P5463">
        <v>0</v>
      </c>
      <c r="Q5463">
        <v>4</v>
      </c>
      <c r="R5463" t="s">
        <v>32531</v>
      </c>
      <c r="S5463" t="s">
        <v>32586</v>
      </c>
      <c r="T5463" t="s">
        <v>33296</v>
      </c>
      <c r="U5463" t="s">
        <v>38228</v>
      </c>
      <c r="W5463" t="s">
        <v>29631</v>
      </c>
      <c r="X5463" t="s">
        <v>32532</v>
      </c>
    </row>
    <row r="5464" spans="1:24">
      <c r="A5464">
        <f>HYPERLINK("https://www.philgeps.gov.ph/GEPSNONPILOT/Tender/SplashBidNoticeAbstractUI.aspx?menuIndex=3&amp;refID=7040110&amp;Result=3","7040110")</f>
        <v>0</v>
      </c>
      <c r="B5464" t="s">
        <v>515</v>
      </c>
      <c r="C5464" t="s">
        <v>7908</v>
      </c>
      <c r="D5464" t="s">
        <v>13020</v>
      </c>
      <c r="E5464" t="s">
        <v>17558</v>
      </c>
      <c r="F5464" t="s">
        <v>22436</v>
      </c>
      <c r="G5464" t="s">
        <v>22443</v>
      </c>
      <c r="H5464" t="s">
        <v>22455</v>
      </c>
      <c r="I5464" t="s">
        <v>22475</v>
      </c>
      <c r="J5464" t="s">
        <v>23365</v>
      </c>
      <c r="K5464" t="s">
        <v>29357</v>
      </c>
      <c r="M5464" t="s">
        <v>30099</v>
      </c>
      <c r="N5464" t="s">
        <v>32524</v>
      </c>
      <c r="O5464" t="s">
        <v>32525</v>
      </c>
      <c r="P5464">
        <v>0</v>
      </c>
      <c r="Q5464">
        <v>1</v>
      </c>
      <c r="R5464" t="s">
        <v>32531</v>
      </c>
      <c r="S5464" t="s">
        <v>32586</v>
      </c>
      <c r="T5464" t="s">
        <v>33167</v>
      </c>
      <c r="U5464" t="s">
        <v>38229</v>
      </c>
      <c r="V5464" t="s">
        <v>42963</v>
      </c>
      <c r="W5464" t="s">
        <v>30099</v>
      </c>
      <c r="X5464" t="s">
        <v>32532</v>
      </c>
    </row>
    <row r="5465" spans="1:24">
      <c r="A5465">
        <f>HYPERLINK("https://www.philgeps.gov.ph/GEPSNONPILOT/Tender/SplashBidNoticeAbstractUI.aspx?menuIndex=3&amp;refID=7040089&amp;Result=3","7040089")</f>
        <v>0</v>
      </c>
      <c r="B5465" t="s">
        <v>525</v>
      </c>
      <c r="C5465" t="s">
        <v>7909</v>
      </c>
      <c r="D5465" t="s">
        <v>13038</v>
      </c>
      <c r="E5465" t="s">
        <v>7909</v>
      </c>
      <c r="F5465" t="s">
        <v>22436</v>
      </c>
      <c r="G5465" t="s">
        <v>22444</v>
      </c>
      <c r="H5465" t="s">
        <v>22452</v>
      </c>
      <c r="I5465" t="s">
        <v>22483</v>
      </c>
      <c r="J5465" t="s">
        <v>26166</v>
      </c>
      <c r="K5465" t="s">
        <v>29335</v>
      </c>
      <c r="M5465" t="s">
        <v>30109</v>
      </c>
      <c r="N5465" t="s">
        <v>32524</v>
      </c>
      <c r="O5465" t="s">
        <v>32525</v>
      </c>
      <c r="P5465">
        <v>0</v>
      </c>
      <c r="Q5465">
        <v>1</v>
      </c>
      <c r="R5465" t="s">
        <v>32531</v>
      </c>
      <c r="S5465" t="s">
        <v>32586</v>
      </c>
      <c r="T5465" t="s">
        <v>33252</v>
      </c>
      <c r="U5465" t="s">
        <v>38230</v>
      </c>
      <c r="W5465" t="s">
        <v>30109</v>
      </c>
      <c r="X5465" t="s">
        <v>32532</v>
      </c>
    </row>
    <row r="5466" spans="1:24">
      <c r="A5466">
        <f>HYPERLINK("https://www.philgeps.gov.ph/GEPSNONPILOT/Tender/SplashBidNoticeAbstractUI.aspx?menuIndex=3&amp;refID=7040129&amp;Result=3","7040129")</f>
        <v>0</v>
      </c>
      <c r="B5466" t="s">
        <v>398</v>
      </c>
      <c r="C5466" t="s">
        <v>7910</v>
      </c>
      <c r="D5466" t="s">
        <v>13018</v>
      </c>
      <c r="E5466" t="s">
        <v>17946</v>
      </c>
      <c r="F5466" t="s">
        <v>22436</v>
      </c>
      <c r="G5466" t="s">
        <v>22444</v>
      </c>
      <c r="H5466" t="s">
        <v>22454</v>
      </c>
      <c r="I5466" t="s">
        <v>7738</v>
      </c>
      <c r="J5466" t="s">
        <v>26167</v>
      </c>
      <c r="K5466" t="s">
        <v>29346</v>
      </c>
      <c r="M5466" t="s">
        <v>29977</v>
      </c>
      <c r="N5466" t="s">
        <v>32524</v>
      </c>
      <c r="O5466" t="s">
        <v>32525</v>
      </c>
      <c r="P5466">
        <v>0</v>
      </c>
      <c r="Q5466">
        <v>3</v>
      </c>
      <c r="R5466" t="s">
        <v>32531</v>
      </c>
      <c r="S5466" t="s">
        <v>32586</v>
      </c>
      <c r="T5466" t="s">
        <v>33424</v>
      </c>
      <c r="U5466" t="s">
        <v>38231</v>
      </c>
      <c r="W5466" t="s">
        <v>29977</v>
      </c>
      <c r="X5466" t="s">
        <v>32532</v>
      </c>
    </row>
    <row r="5467" spans="1:24">
      <c r="A5467">
        <f>HYPERLINK("https://www.philgeps.gov.ph/GEPSNONPILOT/Tender/SplashBidNoticeAbstractUI.aspx?menuIndex=3&amp;refID=7040125&amp;Result=3","7040125")</f>
        <v>0</v>
      </c>
      <c r="B5467" t="s">
        <v>791</v>
      </c>
      <c r="C5467" t="s">
        <v>7911</v>
      </c>
      <c r="D5467" t="s">
        <v>13022</v>
      </c>
      <c r="E5467" t="s">
        <v>17947</v>
      </c>
      <c r="F5467" t="s">
        <v>22436</v>
      </c>
      <c r="G5467" t="s">
        <v>22444</v>
      </c>
      <c r="H5467" t="s">
        <v>22452</v>
      </c>
      <c r="I5467" t="s">
        <v>12358</v>
      </c>
      <c r="J5467" t="s">
        <v>26168</v>
      </c>
      <c r="K5467" t="s">
        <v>29333</v>
      </c>
      <c r="M5467" t="s">
        <v>30420</v>
      </c>
      <c r="N5467" t="s">
        <v>32524</v>
      </c>
      <c r="O5467" t="s">
        <v>32525</v>
      </c>
      <c r="P5467">
        <v>0</v>
      </c>
      <c r="Q5467">
        <v>1</v>
      </c>
      <c r="R5467" t="s">
        <v>32531</v>
      </c>
      <c r="S5467" t="s">
        <v>32586</v>
      </c>
      <c r="T5467" t="s">
        <v>33498</v>
      </c>
      <c r="U5467" t="s">
        <v>35370</v>
      </c>
      <c r="V5467" t="s">
        <v>42622</v>
      </c>
      <c r="W5467" t="s">
        <v>30420</v>
      </c>
      <c r="X5467" t="s">
        <v>32532</v>
      </c>
    </row>
    <row r="5468" spans="1:24">
      <c r="A5468">
        <f>HYPERLINK("https://www.philgeps.gov.ph/GEPSNONPILOT/Tender/SplashBidNoticeAbstractUI.aspx?menuIndex=3&amp;refID=7040104&amp;Result=3","7040104")</f>
        <v>0</v>
      </c>
      <c r="B5468" t="s">
        <v>1708</v>
      </c>
      <c r="C5468" t="s">
        <v>7912</v>
      </c>
      <c r="D5468" t="s">
        <v>12992</v>
      </c>
      <c r="E5468" t="s">
        <v>17948</v>
      </c>
      <c r="F5468" t="s">
        <v>22436</v>
      </c>
      <c r="G5468" t="s">
        <v>22444</v>
      </c>
      <c r="H5468" t="s">
        <v>22454</v>
      </c>
      <c r="I5468" t="s">
        <v>7738</v>
      </c>
      <c r="J5468" t="s">
        <v>22893</v>
      </c>
      <c r="K5468" t="s">
        <v>29338</v>
      </c>
      <c r="M5468" t="s">
        <v>31410</v>
      </c>
      <c r="N5468" t="s">
        <v>32524</v>
      </c>
      <c r="O5468" t="s">
        <v>32525</v>
      </c>
      <c r="P5468">
        <v>0</v>
      </c>
      <c r="Q5468">
        <v>0</v>
      </c>
      <c r="R5468" t="s">
        <v>32531</v>
      </c>
      <c r="S5468" t="s">
        <v>32586</v>
      </c>
      <c r="T5468" t="s">
        <v>33478</v>
      </c>
      <c r="U5468" t="s">
        <v>38232</v>
      </c>
      <c r="V5468" t="s">
        <v>42970</v>
      </c>
      <c r="W5468" t="s">
        <v>31410</v>
      </c>
      <c r="X5468" t="s">
        <v>32532</v>
      </c>
    </row>
    <row r="5469" spans="1:24">
      <c r="A5469">
        <f>HYPERLINK("https://www.philgeps.gov.ph/GEPSNONPILOT/Tender/SplashBidNoticeAbstractUI.aspx?menuIndex=3&amp;refID=7040094&amp;Result=3","7040094")</f>
        <v>0</v>
      </c>
      <c r="B5469" t="s">
        <v>1788</v>
      </c>
      <c r="C5469" t="s">
        <v>7913</v>
      </c>
      <c r="D5469" t="s">
        <v>13008</v>
      </c>
      <c r="E5469" t="s">
        <v>13318</v>
      </c>
      <c r="F5469" t="s">
        <v>22436</v>
      </c>
      <c r="G5469" t="s">
        <v>22444</v>
      </c>
      <c r="H5469" t="s">
        <v>22452</v>
      </c>
      <c r="I5469" t="s">
        <v>3529</v>
      </c>
      <c r="J5469" t="s">
        <v>26169</v>
      </c>
      <c r="K5469" t="s">
        <v>29331</v>
      </c>
      <c r="M5469" t="s">
        <v>31499</v>
      </c>
      <c r="N5469" t="s">
        <v>32524</v>
      </c>
      <c r="O5469" t="s">
        <v>32525</v>
      </c>
      <c r="P5469">
        <v>0</v>
      </c>
      <c r="Q5469">
        <v>0</v>
      </c>
      <c r="R5469" t="s">
        <v>32531</v>
      </c>
      <c r="S5469" t="s">
        <v>32586</v>
      </c>
      <c r="T5469" t="s">
        <v>33212</v>
      </c>
      <c r="U5469" t="s">
        <v>38233</v>
      </c>
      <c r="W5469" t="s">
        <v>31499</v>
      </c>
      <c r="X5469" t="s">
        <v>32532</v>
      </c>
    </row>
    <row r="5470" spans="1:24">
      <c r="A5470">
        <f>HYPERLINK("https://www.philgeps.gov.ph/GEPSNONPILOT/Tender/SplashBidNoticeAbstractUI.aspx?menuIndex=3&amp;refID=7040100&amp;Result=3","7040100")</f>
        <v>0</v>
      </c>
      <c r="B5470" t="s">
        <v>1760</v>
      </c>
      <c r="C5470" t="s">
        <v>7914</v>
      </c>
      <c r="E5470" t="s">
        <v>7914</v>
      </c>
      <c r="F5470" t="s">
        <v>22436</v>
      </c>
      <c r="G5470" t="s">
        <v>22444</v>
      </c>
      <c r="H5470" t="s">
        <v>22452</v>
      </c>
      <c r="I5470" t="s">
        <v>7738</v>
      </c>
      <c r="J5470" t="s">
        <v>26170</v>
      </c>
      <c r="K5470" t="s">
        <v>29331</v>
      </c>
      <c r="M5470" t="s">
        <v>31466</v>
      </c>
      <c r="N5470" t="s">
        <v>32524</v>
      </c>
      <c r="O5470" t="s">
        <v>32525</v>
      </c>
      <c r="P5470">
        <v>0</v>
      </c>
      <c r="Q5470">
        <v>1</v>
      </c>
      <c r="R5470" t="s">
        <v>32531</v>
      </c>
      <c r="S5470" t="s">
        <v>32586</v>
      </c>
      <c r="T5470" t="s">
        <v>33218</v>
      </c>
      <c r="U5470" t="s">
        <v>38234</v>
      </c>
      <c r="W5470" t="s">
        <v>31466</v>
      </c>
      <c r="X5470" t="s">
        <v>32532</v>
      </c>
    </row>
    <row r="5471" spans="1:24">
      <c r="A5471">
        <f>HYPERLINK("https://www.philgeps.gov.ph/GEPSNONPILOT/Tender/SplashBidNoticeAbstractUI.aspx?menuIndex=3&amp;refID=7040124&amp;Result=3","7040124")</f>
        <v>0</v>
      </c>
      <c r="B5471" t="s">
        <v>1789</v>
      </c>
      <c r="C5471" t="s">
        <v>7181</v>
      </c>
      <c r="D5471" t="s">
        <v>13040</v>
      </c>
      <c r="E5471" t="s">
        <v>13899</v>
      </c>
      <c r="F5471" t="s">
        <v>22436</v>
      </c>
      <c r="G5471" t="s">
        <v>22443</v>
      </c>
      <c r="H5471" t="s">
        <v>22454</v>
      </c>
      <c r="I5471" t="s">
        <v>22496</v>
      </c>
      <c r="J5471" t="s">
        <v>22937</v>
      </c>
      <c r="K5471" t="s">
        <v>29357</v>
      </c>
      <c r="M5471" t="s">
        <v>31500</v>
      </c>
      <c r="N5471" t="s">
        <v>32524</v>
      </c>
      <c r="O5471" t="s">
        <v>32525</v>
      </c>
      <c r="P5471">
        <v>0</v>
      </c>
      <c r="Q5471">
        <v>0</v>
      </c>
      <c r="R5471" t="s">
        <v>32531</v>
      </c>
      <c r="S5471" t="s">
        <v>32586</v>
      </c>
      <c r="T5471" t="s">
        <v>33367</v>
      </c>
      <c r="U5471" t="s">
        <v>38235</v>
      </c>
      <c r="W5471" t="s">
        <v>31500</v>
      </c>
      <c r="X5471" t="s">
        <v>32532</v>
      </c>
    </row>
    <row r="5472" spans="1:24">
      <c r="A5472">
        <f>HYPERLINK("https://www.philgeps.gov.ph/GEPSNONPILOT/Tender/SplashBidNoticeAbstractUI.aspx?menuIndex=3&amp;refID=7040098&amp;Result=3","7040098")</f>
        <v>0</v>
      </c>
      <c r="B5472" t="s">
        <v>1783</v>
      </c>
      <c r="C5472" t="s">
        <v>7915</v>
      </c>
      <c r="D5472" t="s">
        <v>12994</v>
      </c>
      <c r="E5472" t="s">
        <v>17949</v>
      </c>
      <c r="F5472" t="s">
        <v>22436</v>
      </c>
      <c r="G5472" t="s">
        <v>22443</v>
      </c>
      <c r="H5472" t="s">
        <v>22452</v>
      </c>
      <c r="I5472" t="s">
        <v>3529</v>
      </c>
      <c r="J5472" t="s">
        <v>26171</v>
      </c>
      <c r="K5472" t="s">
        <v>29335</v>
      </c>
      <c r="M5472" t="s">
        <v>31492</v>
      </c>
      <c r="N5472" t="s">
        <v>32524</v>
      </c>
      <c r="O5472" t="s">
        <v>32525</v>
      </c>
      <c r="P5472">
        <v>0</v>
      </c>
      <c r="Q5472">
        <v>0</v>
      </c>
      <c r="R5472" t="s">
        <v>32531</v>
      </c>
      <c r="S5472" t="s">
        <v>32586</v>
      </c>
      <c r="T5472" t="s">
        <v>33339</v>
      </c>
      <c r="U5472" t="s">
        <v>38236</v>
      </c>
      <c r="W5472" t="s">
        <v>31492</v>
      </c>
      <c r="X5472" t="s">
        <v>32532</v>
      </c>
    </row>
    <row r="5473" spans="1:24">
      <c r="A5473">
        <f>HYPERLINK("https://www.philgeps.gov.ph/GEPSNONPILOT/Tender/SplashBidNoticeAbstractUI.aspx?menuIndex=3&amp;refID=7040133&amp;Result=3","7040133")</f>
        <v>0</v>
      </c>
      <c r="B5473" t="s">
        <v>998</v>
      </c>
      <c r="C5473" t="s">
        <v>7916</v>
      </c>
      <c r="D5473" t="s">
        <v>13001</v>
      </c>
      <c r="E5473" t="s">
        <v>17950</v>
      </c>
      <c r="F5473" t="s">
        <v>22436</v>
      </c>
      <c r="G5473" t="s">
        <v>22443</v>
      </c>
      <c r="H5473" t="s">
        <v>22452</v>
      </c>
      <c r="I5473" t="s">
        <v>22486</v>
      </c>
      <c r="J5473" t="s">
        <v>22951</v>
      </c>
      <c r="K5473" t="s">
        <v>29335</v>
      </c>
      <c r="M5473" t="s">
        <v>30624</v>
      </c>
      <c r="N5473" t="s">
        <v>32524</v>
      </c>
      <c r="O5473" t="s">
        <v>32525</v>
      </c>
      <c r="P5473">
        <v>0</v>
      </c>
      <c r="Q5473">
        <v>2</v>
      </c>
      <c r="R5473" t="s">
        <v>32531</v>
      </c>
      <c r="S5473" t="s">
        <v>32586</v>
      </c>
      <c r="T5473" t="s">
        <v>33169</v>
      </c>
      <c r="U5473" t="s">
        <v>38237</v>
      </c>
      <c r="V5473" t="s">
        <v>43015</v>
      </c>
      <c r="W5473" t="s">
        <v>30624</v>
      </c>
      <c r="X5473" t="s">
        <v>32532</v>
      </c>
    </row>
    <row r="5474" spans="1:24">
      <c r="A5474">
        <f>HYPERLINK("https://www.philgeps.gov.ph/GEPSNONPILOT/Tender/SplashBidNoticeAbstractUI.aspx?menuIndex=3&amp;refID=7040107&amp;Result=3","7040107")</f>
        <v>0</v>
      </c>
      <c r="B5474" t="s">
        <v>1785</v>
      </c>
      <c r="C5474" t="s">
        <v>7917</v>
      </c>
      <c r="D5474" t="s">
        <v>13065</v>
      </c>
      <c r="E5474" t="s">
        <v>17951</v>
      </c>
      <c r="F5474" t="s">
        <v>22436</v>
      </c>
      <c r="G5474" t="s">
        <v>22444</v>
      </c>
      <c r="H5474" t="s">
        <v>22454</v>
      </c>
      <c r="I5474" t="s">
        <v>7738</v>
      </c>
      <c r="J5474" t="s">
        <v>26172</v>
      </c>
      <c r="K5474" t="s">
        <v>29369</v>
      </c>
      <c r="M5474" t="s">
        <v>31495</v>
      </c>
      <c r="N5474" t="s">
        <v>32524</v>
      </c>
      <c r="O5474" t="s">
        <v>32525</v>
      </c>
      <c r="P5474">
        <v>0</v>
      </c>
      <c r="Q5474">
        <v>0</v>
      </c>
      <c r="R5474" t="s">
        <v>32531</v>
      </c>
      <c r="S5474" t="s">
        <v>32586</v>
      </c>
      <c r="T5474" t="s">
        <v>33184</v>
      </c>
      <c r="U5474" t="s">
        <v>38238</v>
      </c>
      <c r="W5474" t="s">
        <v>31495</v>
      </c>
      <c r="X5474" t="s">
        <v>32532</v>
      </c>
    </row>
    <row r="5475" spans="1:24">
      <c r="A5475">
        <f>HYPERLINK("https://www.philgeps.gov.ph/GEPSNONPILOT/Tender/SplashBidNoticeAbstractUI.aspx?menuIndex=3&amp;refID=7040095&amp;Result=3","7040095")</f>
        <v>0</v>
      </c>
      <c r="B5475" t="s">
        <v>1366</v>
      </c>
      <c r="C5475" t="s">
        <v>7918</v>
      </c>
      <c r="D5475" t="s">
        <v>13039</v>
      </c>
      <c r="E5475" t="s">
        <v>17952</v>
      </c>
      <c r="F5475" t="s">
        <v>22436</v>
      </c>
      <c r="G5475" t="s">
        <v>22444</v>
      </c>
      <c r="H5475" t="s">
        <v>22452</v>
      </c>
      <c r="I5475" t="s">
        <v>22478</v>
      </c>
      <c r="J5475" t="s">
        <v>25668</v>
      </c>
      <c r="K5475" t="s">
        <v>29335</v>
      </c>
      <c r="M5475" t="s">
        <v>31022</v>
      </c>
      <c r="N5475" t="s">
        <v>32524</v>
      </c>
      <c r="O5475" t="s">
        <v>32525</v>
      </c>
      <c r="P5475">
        <v>0</v>
      </c>
      <c r="Q5475">
        <v>4</v>
      </c>
      <c r="R5475" t="s">
        <v>32531</v>
      </c>
      <c r="S5475" t="s">
        <v>32586</v>
      </c>
      <c r="T5475" t="s">
        <v>33499</v>
      </c>
      <c r="U5475" t="s">
        <v>38239</v>
      </c>
      <c r="V5475" t="s">
        <v>43016</v>
      </c>
      <c r="W5475" t="s">
        <v>31022</v>
      </c>
      <c r="X5475" t="s">
        <v>32532</v>
      </c>
    </row>
    <row r="5476" spans="1:24">
      <c r="A5476">
        <f>HYPERLINK("https://www.philgeps.gov.ph/GEPSNONPILOT/Tender/SplashBidNoticeAbstractUI.aspx?menuIndex=3&amp;refID=7040128&amp;Result=3","7040128")</f>
        <v>0</v>
      </c>
      <c r="B5476" t="s">
        <v>1790</v>
      </c>
      <c r="C5476" t="s">
        <v>7919</v>
      </c>
      <c r="D5476" t="s">
        <v>13009</v>
      </c>
      <c r="E5476" t="s">
        <v>17953</v>
      </c>
      <c r="F5476" t="s">
        <v>22436</v>
      </c>
      <c r="G5476" t="s">
        <v>22443</v>
      </c>
      <c r="H5476" t="s">
        <v>22452</v>
      </c>
      <c r="I5476" t="s">
        <v>2981</v>
      </c>
      <c r="J5476" t="s">
        <v>26173</v>
      </c>
      <c r="K5476" t="s">
        <v>29331</v>
      </c>
      <c r="M5476" t="s">
        <v>31501</v>
      </c>
      <c r="N5476" t="s">
        <v>32524</v>
      </c>
      <c r="O5476" t="s">
        <v>32525</v>
      </c>
      <c r="P5476">
        <v>0</v>
      </c>
      <c r="Q5476">
        <v>0</v>
      </c>
      <c r="R5476" t="s">
        <v>32531</v>
      </c>
      <c r="S5476" t="s">
        <v>32586</v>
      </c>
      <c r="T5476" t="s">
        <v>33229</v>
      </c>
      <c r="U5476" t="s">
        <v>38240</v>
      </c>
      <c r="W5476" t="s">
        <v>31501</v>
      </c>
      <c r="X5476" t="s">
        <v>32532</v>
      </c>
    </row>
    <row r="5477" spans="1:24">
      <c r="A5477">
        <f>HYPERLINK("https://www.philgeps.gov.ph/GEPSNONPILOT/Tender/SplashBidNoticeAbstractUI.aspx?menuIndex=3&amp;refID=7040134&amp;Result=3","7040134")</f>
        <v>0</v>
      </c>
      <c r="B5477" t="s">
        <v>1785</v>
      </c>
      <c r="C5477" t="s">
        <v>7920</v>
      </c>
      <c r="D5477" t="s">
        <v>13065</v>
      </c>
      <c r="E5477" t="s">
        <v>17954</v>
      </c>
      <c r="F5477" t="s">
        <v>22436</v>
      </c>
      <c r="G5477" t="s">
        <v>22444</v>
      </c>
      <c r="H5477" t="s">
        <v>22454</v>
      </c>
      <c r="I5477" t="s">
        <v>7738</v>
      </c>
      <c r="J5477" t="s">
        <v>22936</v>
      </c>
      <c r="K5477" t="s">
        <v>29423</v>
      </c>
      <c r="M5477" t="s">
        <v>31495</v>
      </c>
      <c r="N5477" t="s">
        <v>32524</v>
      </c>
      <c r="O5477" t="s">
        <v>32525</v>
      </c>
      <c r="P5477">
        <v>0</v>
      </c>
      <c r="Q5477">
        <v>0</v>
      </c>
      <c r="R5477" t="s">
        <v>32531</v>
      </c>
      <c r="S5477" t="s">
        <v>32586</v>
      </c>
      <c r="T5477" t="s">
        <v>33184</v>
      </c>
      <c r="U5477" t="s">
        <v>38241</v>
      </c>
      <c r="W5477" t="s">
        <v>31495</v>
      </c>
      <c r="X5477" t="s">
        <v>32532</v>
      </c>
    </row>
    <row r="5478" spans="1:24">
      <c r="A5478">
        <f>HYPERLINK("https://www.philgeps.gov.ph/GEPSNONPILOT/Tender/SplashBidNoticeAbstractUI.aspx?menuIndex=3&amp;refID=7040145&amp;Result=3","7040145")</f>
        <v>0</v>
      </c>
      <c r="B5478" t="s">
        <v>660</v>
      </c>
      <c r="C5478" t="s">
        <v>7921</v>
      </c>
      <c r="D5478" t="s">
        <v>13013</v>
      </c>
      <c r="E5478" t="s">
        <v>17955</v>
      </c>
      <c r="F5478" t="s">
        <v>22436</v>
      </c>
      <c r="G5478" t="s">
        <v>22444</v>
      </c>
      <c r="H5478" t="s">
        <v>22454</v>
      </c>
      <c r="I5478" t="s">
        <v>7738</v>
      </c>
      <c r="J5478" t="s">
        <v>24103</v>
      </c>
      <c r="K5478" t="s">
        <v>29334</v>
      </c>
      <c r="M5478" t="s">
        <v>30252</v>
      </c>
      <c r="N5478" t="s">
        <v>32524</v>
      </c>
      <c r="O5478" t="s">
        <v>32525</v>
      </c>
      <c r="P5478">
        <v>0</v>
      </c>
      <c r="Q5478">
        <v>0</v>
      </c>
      <c r="R5478" t="s">
        <v>32531</v>
      </c>
      <c r="S5478" t="s">
        <v>32586</v>
      </c>
      <c r="T5478" t="s">
        <v>33249</v>
      </c>
      <c r="U5478" t="s">
        <v>38142</v>
      </c>
      <c r="W5478" t="s">
        <v>30252</v>
      </c>
      <c r="X5478" t="s">
        <v>32532</v>
      </c>
    </row>
    <row r="5479" spans="1:24">
      <c r="A5479">
        <f>HYPERLINK("https://www.philgeps.gov.ph/GEPSNONPILOT/Tender/SplashBidNoticeAbstractUI.aspx?menuIndex=3&amp;refID=7040141&amp;Result=3","7040141")</f>
        <v>0</v>
      </c>
      <c r="B5479" t="s">
        <v>1783</v>
      </c>
      <c r="C5479" t="s">
        <v>7922</v>
      </c>
      <c r="D5479" t="s">
        <v>12994</v>
      </c>
      <c r="E5479" t="s">
        <v>17956</v>
      </c>
      <c r="F5479" t="s">
        <v>22436</v>
      </c>
      <c r="G5479" t="s">
        <v>22443</v>
      </c>
      <c r="H5479" t="s">
        <v>22452</v>
      </c>
      <c r="I5479" t="s">
        <v>22545</v>
      </c>
      <c r="J5479" t="s">
        <v>26174</v>
      </c>
      <c r="K5479" t="s">
        <v>29335</v>
      </c>
      <c r="M5479" t="s">
        <v>31492</v>
      </c>
      <c r="N5479" t="s">
        <v>32524</v>
      </c>
      <c r="O5479" t="s">
        <v>32525</v>
      </c>
      <c r="P5479">
        <v>0</v>
      </c>
      <c r="Q5479">
        <v>1</v>
      </c>
      <c r="R5479" t="s">
        <v>32531</v>
      </c>
      <c r="S5479" t="s">
        <v>32586</v>
      </c>
      <c r="T5479" t="s">
        <v>33161</v>
      </c>
      <c r="U5479" t="s">
        <v>38242</v>
      </c>
      <c r="W5479" t="s">
        <v>31492</v>
      </c>
      <c r="X5479" t="s">
        <v>32532</v>
      </c>
    </row>
    <row r="5480" spans="1:24">
      <c r="A5480">
        <f>HYPERLINK("https://www.philgeps.gov.ph/GEPSNONPILOT/Tender/SplashBidNoticeAbstractUI.aspx?menuIndex=3&amp;refID=7040165&amp;Result=3","7040165")</f>
        <v>0</v>
      </c>
      <c r="B5480" t="s">
        <v>1708</v>
      </c>
      <c r="C5480" t="s">
        <v>7923</v>
      </c>
      <c r="D5480" t="s">
        <v>12992</v>
      </c>
      <c r="E5480" t="s">
        <v>17957</v>
      </c>
      <c r="F5480" t="s">
        <v>22436</v>
      </c>
      <c r="G5480" t="s">
        <v>22444</v>
      </c>
      <c r="H5480" t="s">
        <v>22454</v>
      </c>
      <c r="I5480" t="s">
        <v>7738</v>
      </c>
      <c r="J5480" t="s">
        <v>22788</v>
      </c>
      <c r="K5480" t="s">
        <v>29338</v>
      </c>
      <c r="M5480" t="s">
        <v>31410</v>
      </c>
      <c r="N5480" t="s">
        <v>32524</v>
      </c>
      <c r="O5480" t="s">
        <v>32525</v>
      </c>
      <c r="P5480">
        <v>0</v>
      </c>
      <c r="Q5480">
        <v>0</v>
      </c>
      <c r="R5480" t="s">
        <v>32531</v>
      </c>
      <c r="S5480" t="s">
        <v>32586</v>
      </c>
      <c r="T5480" t="s">
        <v>33351</v>
      </c>
      <c r="U5480" t="s">
        <v>38243</v>
      </c>
      <c r="V5480" t="s">
        <v>42970</v>
      </c>
      <c r="W5480" t="s">
        <v>31410</v>
      </c>
      <c r="X5480" t="s">
        <v>32532</v>
      </c>
    </row>
    <row r="5481" spans="1:24">
      <c r="A5481">
        <f>HYPERLINK("https://www.philgeps.gov.ph/GEPSNONPILOT/Tender/SplashBidNoticeAbstractUI.aspx?menuIndex=3&amp;refID=7040122&amp;Result=3","7040122")</f>
        <v>0</v>
      </c>
      <c r="B5481" t="s">
        <v>525</v>
      </c>
      <c r="C5481" t="s">
        <v>7924</v>
      </c>
      <c r="D5481" t="s">
        <v>13038</v>
      </c>
      <c r="E5481" t="s">
        <v>7924</v>
      </c>
      <c r="F5481" t="s">
        <v>22436</v>
      </c>
      <c r="G5481" t="s">
        <v>22444</v>
      </c>
      <c r="H5481" t="s">
        <v>22452</v>
      </c>
      <c r="I5481" t="s">
        <v>22465</v>
      </c>
      <c r="J5481" t="s">
        <v>26175</v>
      </c>
      <c r="K5481" t="s">
        <v>29335</v>
      </c>
      <c r="M5481" t="s">
        <v>30109</v>
      </c>
      <c r="N5481" t="s">
        <v>32524</v>
      </c>
      <c r="O5481" t="s">
        <v>32525</v>
      </c>
      <c r="P5481">
        <v>0</v>
      </c>
      <c r="Q5481">
        <v>0</v>
      </c>
      <c r="R5481" t="s">
        <v>32531</v>
      </c>
      <c r="S5481" t="s">
        <v>32586</v>
      </c>
      <c r="T5481" t="s">
        <v>33252</v>
      </c>
      <c r="U5481" t="s">
        <v>38244</v>
      </c>
      <c r="W5481" t="s">
        <v>30109</v>
      </c>
      <c r="X5481" t="s">
        <v>32532</v>
      </c>
    </row>
    <row r="5482" spans="1:24">
      <c r="A5482">
        <f>HYPERLINK("https://www.philgeps.gov.ph/GEPSNONPILOT/Tender/SplashBidNoticeAbstractUI.aspx?menuIndex=3&amp;refID=7040137&amp;Result=3","7040137")</f>
        <v>0</v>
      </c>
      <c r="B5482" t="s">
        <v>1366</v>
      </c>
      <c r="C5482" t="s">
        <v>7925</v>
      </c>
      <c r="D5482" t="s">
        <v>13039</v>
      </c>
      <c r="E5482" t="s">
        <v>17958</v>
      </c>
      <c r="F5482" t="s">
        <v>22436</v>
      </c>
      <c r="G5482" t="s">
        <v>22444</v>
      </c>
      <c r="H5482" t="s">
        <v>22452</v>
      </c>
      <c r="I5482" t="s">
        <v>22502</v>
      </c>
      <c r="J5482" t="s">
        <v>26176</v>
      </c>
      <c r="K5482" t="s">
        <v>29333</v>
      </c>
      <c r="M5482" t="s">
        <v>31022</v>
      </c>
      <c r="N5482" t="s">
        <v>32524</v>
      </c>
      <c r="O5482" t="s">
        <v>32525</v>
      </c>
      <c r="P5482">
        <v>0</v>
      </c>
      <c r="Q5482">
        <v>5</v>
      </c>
      <c r="R5482" t="s">
        <v>32531</v>
      </c>
      <c r="S5482" t="s">
        <v>32586</v>
      </c>
      <c r="T5482" t="s">
        <v>33495</v>
      </c>
      <c r="U5482" t="s">
        <v>38245</v>
      </c>
      <c r="V5482" t="s">
        <v>43017</v>
      </c>
      <c r="W5482" t="s">
        <v>31022</v>
      </c>
      <c r="X5482" t="s">
        <v>32532</v>
      </c>
    </row>
    <row r="5483" spans="1:24">
      <c r="A5483">
        <f>HYPERLINK("https://www.philgeps.gov.ph/GEPSNONPILOT/Tender/SplashBidNoticeAbstractUI.aspx?menuIndex=3&amp;refID=7040113&amp;Result=3","7040113")</f>
        <v>0</v>
      </c>
      <c r="B5483" t="s">
        <v>229</v>
      </c>
      <c r="C5483" t="s">
        <v>7926</v>
      </c>
      <c r="D5483" t="s">
        <v>13007</v>
      </c>
      <c r="E5483" t="s">
        <v>17959</v>
      </c>
      <c r="F5483" t="s">
        <v>22436</v>
      </c>
      <c r="G5483" t="s">
        <v>22444</v>
      </c>
      <c r="H5483" t="s">
        <v>22454</v>
      </c>
      <c r="I5483" t="s">
        <v>3529</v>
      </c>
      <c r="J5483" t="s">
        <v>22669</v>
      </c>
      <c r="K5483" t="s">
        <v>29338</v>
      </c>
      <c r="M5483" t="s">
        <v>29802</v>
      </c>
      <c r="N5483" t="s">
        <v>32524</v>
      </c>
      <c r="O5483" t="s">
        <v>32525</v>
      </c>
      <c r="P5483">
        <v>0</v>
      </c>
      <c r="Q5483">
        <v>0</v>
      </c>
      <c r="R5483" t="s">
        <v>32531</v>
      </c>
      <c r="S5483" t="s">
        <v>32586</v>
      </c>
      <c r="T5483" t="s">
        <v>33249</v>
      </c>
      <c r="U5483" t="s">
        <v>38246</v>
      </c>
      <c r="W5483" t="s">
        <v>29802</v>
      </c>
      <c r="X5483" t="s">
        <v>32532</v>
      </c>
    </row>
    <row r="5484" spans="1:24">
      <c r="A5484">
        <f>HYPERLINK("https://www.philgeps.gov.ph/GEPSNONPILOT/Tender/SplashBidNoticeAbstractUI.aspx?menuIndex=3&amp;refID=7040174&amp;Result=3","7040174")</f>
        <v>0</v>
      </c>
      <c r="B5484" t="s">
        <v>505</v>
      </c>
      <c r="C5484" t="s">
        <v>7927</v>
      </c>
      <c r="D5484" t="s">
        <v>13031</v>
      </c>
      <c r="E5484" t="s">
        <v>17960</v>
      </c>
      <c r="F5484" t="s">
        <v>22436</v>
      </c>
      <c r="G5484" t="s">
        <v>22446</v>
      </c>
      <c r="H5484" t="s">
        <v>22452</v>
      </c>
      <c r="I5484" t="s">
        <v>12358</v>
      </c>
      <c r="J5484" t="s">
        <v>22856</v>
      </c>
      <c r="K5484" t="s">
        <v>29338</v>
      </c>
      <c r="M5484" t="s">
        <v>30089</v>
      </c>
      <c r="N5484" t="s">
        <v>32524</v>
      </c>
      <c r="O5484" t="s">
        <v>32525</v>
      </c>
      <c r="P5484">
        <v>0</v>
      </c>
      <c r="Q5484">
        <v>0</v>
      </c>
      <c r="R5484" t="s">
        <v>32531</v>
      </c>
      <c r="S5484" t="s">
        <v>32586</v>
      </c>
      <c r="T5484" t="s">
        <v>33327</v>
      </c>
      <c r="U5484" t="s">
        <v>38247</v>
      </c>
      <c r="W5484" t="s">
        <v>30089</v>
      </c>
      <c r="X5484" t="s">
        <v>32532</v>
      </c>
    </row>
    <row r="5485" spans="1:24">
      <c r="A5485">
        <f>HYPERLINK("https://www.philgeps.gov.ph/GEPSNONPILOT/Tender/SplashBidNoticeAbstractUI.aspx?menuIndex=3&amp;refID=7040159&amp;Result=3","7040159")</f>
        <v>0</v>
      </c>
      <c r="B5485" t="s">
        <v>1760</v>
      </c>
      <c r="C5485" t="s">
        <v>7928</v>
      </c>
      <c r="E5485" t="s">
        <v>17961</v>
      </c>
      <c r="F5485" t="s">
        <v>22436</v>
      </c>
      <c r="G5485" t="s">
        <v>22444</v>
      </c>
      <c r="H5485" t="s">
        <v>22452</v>
      </c>
      <c r="I5485" t="s">
        <v>7738</v>
      </c>
      <c r="J5485" t="s">
        <v>22634</v>
      </c>
      <c r="K5485" t="s">
        <v>29396</v>
      </c>
      <c r="M5485" t="s">
        <v>31466</v>
      </c>
      <c r="N5485" t="s">
        <v>32524</v>
      </c>
      <c r="O5485" t="s">
        <v>32525</v>
      </c>
      <c r="P5485">
        <v>0</v>
      </c>
      <c r="Q5485">
        <v>1</v>
      </c>
      <c r="R5485" t="s">
        <v>32531</v>
      </c>
      <c r="S5485" t="s">
        <v>32586</v>
      </c>
      <c r="T5485" t="s">
        <v>33218</v>
      </c>
      <c r="U5485" t="s">
        <v>38248</v>
      </c>
      <c r="W5485" t="s">
        <v>31466</v>
      </c>
      <c r="X5485" t="s">
        <v>32532</v>
      </c>
    </row>
    <row r="5486" spans="1:24">
      <c r="A5486">
        <f>HYPERLINK("https://www.philgeps.gov.ph/GEPSNONPILOT/Tender/SplashBidNoticeAbstractUI.aspx?menuIndex=3&amp;refID=7040160&amp;Result=3","7040160")</f>
        <v>0</v>
      </c>
      <c r="B5486" t="s">
        <v>338</v>
      </c>
      <c r="C5486" t="s">
        <v>7929</v>
      </c>
      <c r="D5486" t="s">
        <v>13043</v>
      </c>
      <c r="E5486" t="s">
        <v>17962</v>
      </c>
      <c r="F5486" t="s">
        <v>22436</v>
      </c>
      <c r="G5486" t="s">
        <v>22443</v>
      </c>
      <c r="H5486" t="s">
        <v>22452</v>
      </c>
      <c r="I5486" t="s">
        <v>5194</v>
      </c>
      <c r="J5486" t="s">
        <v>22692</v>
      </c>
      <c r="K5486" t="s">
        <v>29338</v>
      </c>
      <c r="M5486" t="s">
        <v>29914</v>
      </c>
      <c r="N5486" t="s">
        <v>32524</v>
      </c>
      <c r="O5486" t="s">
        <v>32525</v>
      </c>
      <c r="P5486">
        <v>0</v>
      </c>
      <c r="Q5486">
        <v>3</v>
      </c>
      <c r="R5486" t="s">
        <v>32531</v>
      </c>
      <c r="S5486" t="s">
        <v>32586</v>
      </c>
      <c r="T5486" t="s">
        <v>33238</v>
      </c>
      <c r="U5486" t="s">
        <v>38249</v>
      </c>
      <c r="W5486" t="s">
        <v>29914</v>
      </c>
      <c r="X5486" t="s">
        <v>32532</v>
      </c>
    </row>
    <row r="5487" spans="1:24">
      <c r="A5487">
        <f>HYPERLINK("https://www.philgeps.gov.ph/GEPSNONPILOT/Tender/SplashBidNoticeAbstractUI.aspx?menuIndex=3&amp;refID=7040171&amp;Result=3","7040171")</f>
        <v>0</v>
      </c>
      <c r="B5487" t="s">
        <v>528</v>
      </c>
      <c r="C5487" t="s">
        <v>7930</v>
      </c>
      <c r="E5487" t="s">
        <v>17963</v>
      </c>
      <c r="F5487" t="s">
        <v>22436</v>
      </c>
      <c r="G5487" t="s">
        <v>22443</v>
      </c>
      <c r="H5487" t="s">
        <v>22452</v>
      </c>
      <c r="I5487" t="s">
        <v>3529</v>
      </c>
      <c r="J5487" t="s">
        <v>23378</v>
      </c>
      <c r="K5487" t="s">
        <v>29335</v>
      </c>
      <c r="M5487" t="s">
        <v>30112</v>
      </c>
      <c r="N5487" t="s">
        <v>32524</v>
      </c>
      <c r="O5487" t="s">
        <v>32525</v>
      </c>
      <c r="P5487">
        <v>0</v>
      </c>
      <c r="Q5487">
        <v>2</v>
      </c>
      <c r="R5487" t="s">
        <v>32531</v>
      </c>
      <c r="S5487" t="s">
        <v>32586</v>
      </c>
      <c r="T5487" t="s">
        <v>33292</v>
      </c>
      <c r="U5487" t="s">
        <v>38250</v>
      </c>
      <c r="V5487" t="s">
        <v>42540</v>
      </c>
      <c r="W5487" t="s">
        <v>30975</v>
      </c>
      <c r="X5487" t="s">
        <v>32532</v>
      </c>
    </row>
    <row r="5488" spans="1:24">
      <c r="A5488">
        <f>HYPERLINK("https://www.philgeps.gov.ph/GEPSNONPILOT/Tender/SplashBidNoticeAbstractUI.aspx?menuIndex=3&amp;refID=7040168&amp;Result=3","7040168")</f>
        <v>0</v>
      </c>
      <c r="B5488" t="s">
        <v>665</v>
      </c>
      <c r="C5488" t="s">
        <v>7931</v>
      </c>
      <c r="D5488" t="s">
        <v>13038</v>
      </c>
      <c r="E5488" t="s">
        <v>17964</v>
      </c>
      <c r="F5488" t="s">
        <v>22436</v>
      </c>
      <c r="G5488" t="s">
        <v>22443</v>
      </c>
      <c r="H5488" t="s">
        <v>22452</v>
      </c>
      <c r="I5488" t="s">
        <v>22469</v>
      </c>
      <c r="J5488" t="s">
        <v>23066</v>
      </c>
      <c r="K5488" t="s">
        <v>29337</v>
      </c>
      <c r="M5488" t="s">
        <v>30257</v>
      </c>
      <c r="N5488" t="s">
        <v>32524</v>
      </c>
      <c r="O5488" t="s">
        <v>32525</v>
      </c>
      <c r="P5488">
        <v>0</v>
      </c>
      <c r="Q5488">
        <v>2</v>
      </c>
      <c r="R5488" t="s">
        <v>32531</v>
      </c>
      <c r="S5488" t="s">
        <v>32586</v>
      </c>
      <c r="T5488" t="s">
        <v>33220</v>
      </c>
      <c r="U5488" t="s">
        <v>38251</v>
      </c>
      <c r="W5488" t="s">
        <v>30257</v>
      </c>
      <c r="X5488" t="s">
        <v>32532</v>
      </c>
    </row>
    <row r="5489" spans="1:24">
      <c r="A5489">
        <f>HYPERLINK("https://www.philgeps.gov.ph/GEPSNONPILOT/Tender/SplashBidNoticeAbstractUI.aspx?menuIndex=3&amp;refID=7040169&amp;Result=3","7040169")</f>
        <v>0</v>
      </c>
      <c r="B5489" t="s">
        <v>1785</v>
      </c>
      <c r="C5489" t="s">
        <v>7932</v>
      </c>
      <c r="D5489" t="s">
        <v>13065</v>
      </c>
      <c r="E5489" t="s">
        <v>17965</v>
      </c>
      <c r="F5489" t="s">
        <v>22436</v>
      </c>
      <c r="G5489" t="s">
        <v>22444</v>
      </c>
      <c r="H5489" t="s">
        <v>22454</v>
      </c>
      <c r="I5489" t="s">
        <v>7738</v>
      </c>
      <c r="J5489" t="s">
        <v>23205</v>
      </c>
      <c r="K5489" t="s">
        <v>29474</v>
      </c>
      <c r="M5489" t="s">
        <v>31495</v>
      </c>
      <c r="N5489" t="s">
        <v>32524</v>
      </c>
      <c r="O5489" t="s">
        <v>32525</v>
      </c>
      <c r="P5489">
        <v>0</v>
      </c>
      <c r="Q5489">
        <v>0</v>
      </c>
      <c r="R5489" t="s">
        <v>32531</v>
      </c>
      <c r="S5489" t="s">
        <v>32586</v>
      </c>
      <c r="T5489" t="s">
        <v>33184</v>
      </c>
      <c r="U5489" t="s">
        <v>38252</v>
      </c>
      <c r="W5489" t="s">
        <v>31495</v>
      </c>
      <c r="X5489" t="s">
        <v>32532</v>
      </c>
    </row>
    <row r="5490" spans="1:24">
      <c r="A5490">
        <f>HYPERLINK("https://www.philgeps.gov.ph/GEPSNONPILOT/Tender/SplashBidNoticeAbstractUI.aspx?menuIndex=3&amp;refID=7040151&amp;Result=3","7040151")</f>
        <v>0</v>
      </c>
      <c r="B5490" t="s">
        <v>997</v>
      </c>
      <c r="C5490" t="s">
        <v>7933</v>
      </c>
      <c r="D5490" t="s">
        <v>13025</v>
      </c>
      <c r="E5490" t="s">
        <v>17966</v>
      </c>
      <c r="F5490" t="s">
        <v>22436</v>
      </c>
      <c r="G5490" t="s">
        <v>22444</v>
      </c>
      <c r="H5490" t="s">
        <v>22452</v>
      </c>
      <c r="I5490" t="s">
        <v>3529</v>
      </c>
      <c r="J5490" t="s">
        <v>26177</v>
      </c>
      <c r="K5490" t="s">
        <v>29335</v>
      </c>
      <c r="M5490" t="s">
        <v>30623</v>
      </c>
      <c r="N5490" t="s">
        <v>32524</v>
      </c>
      <c r="O5490" t="s">
        <v>32525</v>
      </c>
      <c r="P5490">
        <v>0</v>
      </c>
      <c r="Q5490">
        <v>0</v>
      </c>
      <c r="R5490" t="s">
        <v>32531</v>
      </c>
      <c r="S5490" t="s">
        <v>32586</v>
      </c>
      <c r="T5490" t="s">
        <v>33234</v>
      </c>
      <c r="U5490" t="s">
        <v>38253</v>
      </c>
      <c r="W5490" t="s">
        <v>30623</v>
      </c>
      <c r="X5490" t="s">
        <v>32532</v>
      </c>
    </row>
    <row r="5491" spans="1:24">
      <c r="A5491">
        <f>HYPERLINK("https://www.philgeps.gov.ph/GEPSNONPILOT/Tender/SplashBidNoticeAbstractUI.aspx?menuIndex=3&amp;refID=7040148&amp;Result=3","7040148")</f>
        <v>0</v>
      </c>
      <c r="B5491" t="s">
        <v>669</v>
      </c>
      <c r="C5491" t="s">
        <v>7934</v>
      </c>
      <c r="D5491" t="s">
        <v>12988</v>
      </c>
      <c r="E5491" t="s">
        <v>17967</v>
      </c>
      <c r="F5491" t="s">
        <v>22436</v>
      </c>
      <c r="G5491" t="s">
        <v>22444</v>
      </c>
      <c r="H5491" t="s">
        <v>22452</v>
      </c>
      <c r="I5491" t="s">
        <v>22547</v>
      </c>
      <c r="J5491" t="s">
        <v>26178</v>
      </c>
      <c r="K5491" t="s">
        <v>29333</v>
      </c>
      <c r="M5491" t="s">
        <v>31213</v>
      </c>
      <c r="N5491" t="s">
        <v>32524</v>
      </c>
      <c r="O5491" t="s">
        <v>32525</v>
      </c>
      <c r="P5491">
        <v>0</v>
      </c>
      <c r="Q5491">
        <v>4</v>
      </c>
      <c r="R5491" t="s">
        <v>32531</v>
      </c>
      <c r="S5491" t="s">
        <v>32586</v>
      </c>
      <c r="T5491" t="s">
        <v>33212</v>
      </c>
      <c r="U5491" t="s">
        <v>38254</v>
      </c>
      <c r="W5491" t="s">
        <v>31213</v>
      </c>
      <c r="X5491" t="s">
        <v>32532</v>
      </c>
    </row>
    <row r="5492" spans="1:24">
      <c r="A5492">
        <f>HYPERLINK("https://www.philgeps.gov.ph/GEPSNONPILOT/Tender/SplashBidNoticeAbstractUI.aspx?menuIndex=3&amp;refID=7040157&amp;Result=3","7040157")</f>
        <v>0</v>
      </c>
      <c r="B5492" t="s">
        <v>1791</v>
      </c>
      <c r="C5492" t="s">
        <v>7935</v>
      </c>
      <c r="D5492" t="s">
        <v>13065</v>
      </c>
      <c r="E5492" t="s">
        <v>17968</v>
      </c>
      <c r="F5492" t="s">
        <v>22436</v>
      </c>
      <c r="G5492" t="s">
        <v>22444</v>
      </c>
      <c r="H5492" t="s">
        <v>22454</v>
      </c>
      <c r="I5492" t="s">
        <v>7738</v>
      </c>
      <c r="J5492" t="s">
        <v>26179</v>
      </c>
      <c r="K5492" t="s">
        <v>29365</v>
      </c>
      <c r="M5492" t="s">
        <v>31502</v>
      </c>
      <c r="N5492" t="s">
        <v>32524</v>
      </c>
      <c r="O5492" t="s">
        <v>32525</v>
      </c>
      <c r="P5492">
        <v>0</v>
      </c>
      <c r="Q5492">
        <v>0</v>
      </c>
      <c r="R5492" t="s">
        <v>32531</v>
      </c>
      <c r="S5492" t="s">
        <v>32586</v>
      </c>
      <c r="T5492" t="s">
        <v>33234</v>
      </c>
      <c r="U5492" t="s">
        <v>38255</v>
      </c>
      <c r="V5492" t="s">
        <v>43018</v>
      </c>
      <c r="W5492" t="s">
        <v>31502</v>
      </c>
      <c r="X5492" t="s">
        <v>32532</v>
      </c>
    </row>
    <row r="5493" spans="1:24">
      <c r="A5493">
        <f>HYPERLINK("https://www.philgeps.gov.ph/GEPSNONPILOT/Tender/SplashBidNoticeAbstractUI.aspx?menuIndex=3&amp;refID=7040149&amp;Result=3","7040149")</f>
        <v>0</v>
      </c>
      <c r="B5493" t="s">
        <v>1792</v>
      </c>
      <c r="C5493" t="s">
        <v>7936</v>
      </c>
      <c r="D5493" t="s">
        <v>13024</v>
      </c>
      <c r="E5493" t="s">
        <v>17969</v>
      </c>
      <c r="F5493" t="s">
        <v>22436</v>
      </c>
      <c r="G5493" t="s">
        <v>22443</v>
      </c>
      <c r="H5493" t="s">
        <v>22452</v>
      </c>
      <c r="I5493" t="s">
        <v>22493</v>
      </c>
      <c r="J5493" t="s">
        <v>22605</v>
      </c>
      <c r="K5493" t="s">
        <v>29336</v>
      </c>
      <c r="M5493" t="s">
        <v>31503</v>
      </c>
      <c r="N5493" t="s">
        <v>32524</v>
      </c>
      <c r="O5493" t="s">
        <v>32525</v>
      </c>
      <c r="P5493">
        <v>0</v>
      </c>
      <c r="Q5493">
        <v>0</v>
      </c>
      <c r="R5493" t="s">
        <v>32531</v>
      </c>
      <c r="S5493" t="s">
        <v>32586</v>
      </c>
      <c r="T5493" t="s">
        <v>33351</v>
      </c>
      <c r="U5493" t="s">
        <v>38256</v>
      </c>
      <c r="V5493" t="s">
        <v>43019</v>
      </c>
      <c r="W5493" t="s">
        <v>31503</v>
      </c>
      <c r="X5493" t="s">
        <v>32532</v>
      </c>
    </row>
    <row r="5494" spans="1:24">
      <c r="A5494">
        <f>HYPERLINK("https://www.philgeps.gov.ph/GEPSNONPILOT/Tender/SplashBidNoticeAbstractUI.aspx?menuIndex=3&amp;refID=7040155&amp;Result=3","7040155")</f>
        <v>0</v>
      </c>
      <c r="B5494" t="s">
        <v>1793</v>
      </c>
      <c r="C5494" t="s">
        <v>7937</v>
      </c>
      <c r="D5494" t="s">
        <v>13012</v>
      </c>
      <c r="E5494" t="s">
        <v>17970</v>
      </c>
      <c r="F5494" t="s">
        <v>22437</v>
      </c>
      <c r="G5494" t="s">
        <v>22443</v>
      </c>
      <c r="H5494" t="s">
        <v>22452</v>
      </c>
      <c r="I5494" t="s">
        <v>22574</v>
      </c>
      <c r="J5494" t="s">
        <v>24923</v>
      </c>
      <c r="K5494" t="s">
        <v>29336</v>
      </c>
      <c r="M5494" t="s">
        <v>31504</v>
      </c>
      <c r="N5494" t="s">
        <v>32524</v>
      </c>
      <c r="O5494" t="s">
        <v>32525</v>
      </c>
      <c r="P5494">
        <v>0</v>
      </c>
      <c r="Q5494">
        <v>0</v>
      </c>
      <c r="R5494" t="s">
        <v>32531</v>
      </c>
      <c r="S5494" t="s">
        <v>32586</v>
      </c>
      <c r="T5494" t="s">
        <v>33196</v>
      </c>
      <c r="U5494" t="s">
        <v>38257</v>
      </c>
      <c r="V5494" t="s">
        <v>43020</v>
      </c>
      <c r="W5494" t="s">
        <v>31504</v>
      </c>
      <c r="X5494" t="s">
        <v>32532</v>
      </c>
    </row>
    <row r="5495" spans="1:24">
      <c r="A5495">
        <f>HYPERLINK("https://www.philgeps.gov.ph/GEPSNONPILOT/Tender/SplashBidNoticeAbstractUI.aspx?menuIndex=3&amp;refID=7040183&amp;Result=3","7040183")</f>
        <v>0</v>
      </c>
      <c r="B5495" t="s">
        <v>328</v>
      </c>
      <c r="C5495" t="s">
        <v>7938</v>
      </c>
      <c r="D5495" t="s">
        <v>13022</v>
      </c>
      <c r="E5495" t="s">
        <v>17971</v>
      </c>
      <c r="F5495" t="s">
        <v>22436</v>
      </c>
      <c r="G5495" t="s">
        <v>22444</v>
      </c>
      <c r="H5495" t="s">
        <v>22452</v>
      </c>
      <c r="I5495" t="s">
        <v>22465</v>
      </c>
      <c r="J5495" t="s">
        <v>26180</v>
      </c>
      <c r="K5495" t="s">
        <v>29335</v>
      </c>
      <c r="M5495" t="s">
        <v>31311</v>
      </c>
      <c r="N5495" t="s">
        <v>32524</v>
      </c>
      <c r="O5495" t="s">
        <v>32525</v>
      </c>
      <c r="P5495">
        <v>0</v>
      </c>
      <c r="Q5495">
        <v>0</v>
      </c>
      <c r="R5495" t="s">
        <v>32531</v>
      </c>
      <c r="S5495" t="s">
        <v>32586</v>
      </c>
      <c r="T5495" t="s">
        <v>33310</v>
      </c>
      <c r="U5495" t="s">
        <v>38258</v>
      </c>
      <c r="W5495" t="s">
        <v>31311</v>
      </c>
      <c r="X5495" t="s">
        <v>32532</v>
      </c>
    </row>
    <row r="5496" spans="1:24">
      <c r="A5496">
        <f>HYPERLINK("https://www.philgeps.gov.ph/GEPSNONPILOT/Tender/SplashBidNoticeAbstractUI.aspx?menuIndex=3&amp;refID=7040147&amp;Result=3","7040147")</f>
        <v>0</v>
      </c>
      <c r="B5496" t="s">
        <v>59</v>
      </c>
      <c r="C5496" t="s">
        <v>7939</v>
      </c>
      <c r="D5496" t="s">
        <v>13004</v>
      </c>
      <c r="E5496" t="s">
        <v>17972</v>
      </c>
      <c r="F5496" t="s">
        <v>22436</v>
      </c>
      <c r="G5496" t="s">
        <v>22443</v>
      </c>
      <c r="H5496" t="s">
        <v>22452</v>
      </c>
      <c r="I5496" t="s">
        <v>2962</v>
      </c>
      <c r="J5496" t="s">
        <v>22650</v>
      </c>
      <c r="K5496" t="s">
        <v>29338</v>
      </c>
      <c r="L5496" t="s">
        <v>59</v>
      </c>
      <c r="M5496" t="s">
        <v>29631</v>
      </c>
      <c r="N5496" t="s">
        <v>32524</v>
      </c>
      <c r="O5496" t="s">
        <v>32525</v>
      </c>
      <c r="P5496">
        <v>0</v>
      </c>
      <c r="Q5496">
        <v>0</v>
      </c>
      <c r="R5496" t="s">
        <v>32531</v>
      </c>
      <c r="S5496" t="s">
        <v>32586</v>
      </c>
      <c r="T5496" t="s">
        <v>33296</v>
      </c>
      <c r="U5496" t="s">
        <v>38259</v>
      </c>
      <c r="W5496" t="s">
        <v>29631</v>
      </c>
      <c r="X5496" t="s">
        <v>32532</v>
      </c>
    </row>
    <row r="5497" spans="1:24">
      <c r="A5497">
        <f>HYPERLINK("https://www.philgeps.gov.ph/GEPSNONPILOT/Tender/SplashBidNoticeAbstractUI.aspx?menuIndex=3&amp;refID=7040152&amp;Result=3","7040152")</f>
        <v>0</v>
      </c>
      <c r="B5497" t="s">
        <v>323</v>
      </c>
      <c r="C5497" t="s">
        <v>7940</v>
      </c>
      <c r="D5497" t="s">
        <v>13013</v>
      </c>
      <c r="E5497" t="s">
        <v>17973</v>
      </c>
      <c r="F5497" t="s">
        <v>22436</v>
      </c>
      <c r="G5497" t="s">
        <v>22444</v>
      </c>
      <c r="H5497" t="s">
        <v>22454</v>
      </c>
      <c r="I5497" t="s">
        <v>22526</v>
      </c>
      <c r="J5497" t="s">
        <v>22640</v>
      </c>
      <c r="K5497" t="s">
        <v>29337</v>
      </c>
      <c r="M5497" t="s">
        <v>29899</v>
      </c>
      <c r="N5497" t="s">
        <v>32524</v>
      </c>
      <c r="O5497" t="s">
        <v>32525</v>
      </c>
      <c r="P5497">
        <v>0</v>
      </c>
      <c r="Q5497">
        <v>0</v>
      </c>
      <c r="R5497" t="s">
        <v>32531</v>
      </c>
      <c r="S5497" t="s">
        <v>32586</v>
      </c>
      <c r="T5497" t="s">
        <v>33197</v>
      </c>
      <c r="U5497" t="s">
        <v>38260</v>
      </c>
      <c r="W5497" t="s">
        <v>29899</v>
      </c>
      <c r="X5497" t="s">
        <v>32532</v>
      </c>
    </row>
    <row r="5498" spans="1:24">
      <c r="A5498">
        <f>HYPERLINK("https://www.philgeps.gov.ph/GEPSNONPILOT/Tender/SplashBidNoticeAbstractUI.aspx?menuIndex=3&amp;refID=7040189&amp;Result=3","7040189")</f>
        <v>0</v>
      </c>
      <c r="B5498" t="s">
        <v>1794</v>
      </c>
      <c r="C5498" t="s">
        <v>7941</v>
      </c>
      <c r="D5498" t="s">
        <v>13069</v>
      </c>
      <c r="E5498" t="s">
        <v>17974</v>
      </c>
      <c r="F5498" t="s">
        <v>22436</v>
      </c>
      <c r="G5498" t="s">
        <v>22444</v>
      </c>
      <c r="H5498" t="s">
        <v>22452</v>
      </c>
      <c r="I5498" t="s">
        <v>12358</v>
      </c>
      <c r="J5498" t="s">
        <v>26181</v>
      </c>
      <c r="K5498" t="s">
        <v>29335</v>
      </c>
      <c r="M5498" t="s">
        <v>31505</v>
      </c>
      <c r="N5498" t="s">
        <v>32524</v>
      </c>
      <c r="O5498" t="s">
        <v>32525</v>
      </c>
      <c r="P5498">
        <v>0</v>
      </c>
      <c r="Q5498">
        <v>0</v>
      </c>
      <c r="R5498" t="s">
        <v>32531</v>
      </c>
      <c r="S5498" t="s">
        <v>32586</v>
      </c>
      <c r="T5498" t="s">
        <v>33310</v>
      </c>
      <c r="U5498" t="s">
        <v>38261</v>
      </c>
      <c r="V5498" t="s">
        <v>43021</v>
      </c>
      <c r="W5498" t="s">
        <v>31505</v>
      </c>
      <c r="X5498" t="s">
        <v>32532</v>
      </c>
    </row>
    <row r="5499" spans="1:24">
      <c r="A5499">
        <f>HYPERLINK("https://www.philgeps.gov.ph/GEPSNONPILOT/Tender/SplashBidNoticeAbstractUI.aspx?menuIndex=3&amp;refID=7040215&amp;Result=3","7040215")</f>
        <v>0</v>
      </c>
      <c r="B5499" t="s">
        <v>1708</v>
      </c>
      <c r="C5499" t="s">
        <v>7942</v>
      </c>
      <c r="D5499" t="s">
        <v>12992</v>
      </c>
      <c r="E5499" t="s">
        <v>17975</v>
      </c>
      <c r="F5499" t="s">
        <v>22436</v>
      </c>
      <c r="G5499" t="s">
        <v>22444</v>
      </c>
      <c r="H5499" t="s">
        <v>22454</v>
      </c>
      <c r="I5499" t="s">
        <v>7738</v>
      </c>
      <c r="J5499" t="s">
        <v>23066</v>
      </c>
      <c r="K5499" t="s">
        <v>29338</v>
      </c>
      <c r="M5499" t="s">
        <v>31410</v>
      </c>
      <c r="N5499" t="s">
        <v>32524</v>
      </c>
      <c r="O5499" t="s">
        <v>32525</v>
      </c>
      <c r="P5499">
        <v>0</v>
      </c>
      <c r="Q5499">
        <v>0</v>
      </c>
      <c r="R5499" t="s">
        <v>32531</v>
      </c>
      <c r="S5499" t="s">
        <v>32586</v>
      </c>
      <c r="T5499" t="s">
        <v>33338</v>
      </c>
      <c r="U5499" t="s">
        <v>38262</v>
      </c>
      <c r="V5499" t="s">
        <v>42970</v>
      </c>
      <c r="W5499" t="s">
        <v>31410</v>
      </c>
      <c r="X5499" t="s">
        <v>32532</v>
      </c>
    </row>
    <row r="5500" spans="1:24">
      <c r="A5500">
        <f>HYPERLINK("https://www.philgeps.gov.ph/GEPSNONPILOT/Tender/SplashBidNoticeAbstractUI.aspx?menuIndex=3&amp;refID=7040167&amp;Result=3","7040167")</f>
        <v>0</v>
      </c>
      <c r="B5500" t="s">
        <v>525</v>
      </c>
      <c r="C5500" t="s">
        <v>7943</v>
      </c>
      <c r="D5500" t="s">
        <v>13038</v>
      </c>
      <c r="E5500" t="s">
        <v>7943</v>
      </c>
      <c r="F5500" t="s">
        <v>22436</v>
      </c>
      <c r="G5500" t="s">
        <v>22444</v>
      </c>
      <c r="H5500" t="s">
        <v>22452</v>
      </c>
      <c r="I5500" t="s">
        <v>22477</v>
      </c>
      <c r="J5500" t="s">
        <v>26182</v>
      </c>
      <c r="K5500" t="s">
        <v>29335</v>
      </c>
      <c r="M5500" t="s">
        <v>30109</v>
      </c>
      <c r="N5500" t="s">
        <v>32524</v>
      </c>
      <c r="O5500" t="s">
        <v>32525</v>
      </c>
      <c r="P5500">
        <v>0</v>
      </c>
      <c r="Q5500">
        <v>0</v>
      </c>
      <c r="R5500" t="s">
        <v>32531</v>
      </c>
      <c r="S5500" t="s">
        <v>32586</v>
      </c>
      <c r="T5500" t="s">
        <v>33252</v>
      </c>
      <c r="U5500" t="s">
        <v>38263</v>
      </c>
      <c r="W5500" t="s">
        <v>30109</v>
      </c>
      <c r="X5500" t="s">
        <v>32532</v>
      </c>
    </row>
    <row r="5501" spans="1:24">
      <c r="A5501">
        <f>HYPERLINK("https://www.philgeps.gov.ph/GEPSNONPILOT/Tender/SplashBidNoticeAbstractUI.aspx?menuIndex=3&amp;refID=7040188&amp;Result=3","7040188")</f>
        <v>0</v>
      </c>
      <c r="B5501" t="s">
        <v>1270</v>
      </c>
      <c r="C5501" t="s">
        <v>7944</v>
      </c>
      <c r="D5501" t="s">
        <v>13035</v>
      </c>
      <c r="E5501" t="s">
        <v>17976</v>
      </c>
      <c r="F5501" t="s">
        <v>22436</v>
      </c>
      <c r="G5501" t="s">
        <v>22444</v>
      </c>
      <c r="H5501" t="s">
        <v>22452</v>
      </c>
      <c r="I5501" t="s">
        <v>22558</v>
      </c>
      <c r="J5501" t="s">
        <v>26183</v>
      </c>
      <c r="K5501" t="s">
        <v>29331</v>
      </c>
      <c r="M5501" t="s">
        <v>30923</v>
      </c>
      <c r="N5501" t="s">
        <v>32524</v>
      </c>
      <c r="O5501" t="s">
        <v>32525</v>
      </c>
      <c r="P5501">
        <v>0</v>
      </c>
      <c r="Q5501">
        <v>0</v>
      </c>
      <c r="R5501" t="s">
        <v>32531</v>
      </c>
      <c r="S5501" t="s">
        <v>32586</v>
      </c>
      <c r="T5501" t="s">
        <v>33293</v>
      </c>
      <c r="U5501" t="s">
        <v>38264</v>
      </c>
      <c r="W5501" t="s">
        <v>30923</v>
      </c>
      <c r="X5501" t="s">
        <v>32532</v>
      </c>
    </row>
    <row r="5502" spans="1:24">
      <c r="A5502">
        <f>HYPERLINK("https://www.philgeps.gov.ph/GEPSNONPILOT/Tender/SplashBidNoticeAbstractUI.aspx?menuIndex=3&amp;refID=7040211&amp;Result=3","7040211")</f>
        <v>0</v>
      </c>
      <c r="B5502" t="s">
        <v>1795</v>
      </c>
      <c r="C5502" t="s">
        <v>7945</v>
      </c>
      <c r="D5502" t="s">
        <v>13057</v>
      </c>
      <c r="E5502" t="s">
        <v>17977</v>
      </c>
      <c r="F5502" t="s">
        <v>22436</v>
      </c>
      <c r="G5502" t="s">
        <v>22444</v>
      </c>
      <c r="H5502" t="s">
        <v>22454</v>
      </c>
      <c r="I5502" t="s">
        <v>7738</v>
      </c>
      <c r="J5502" t="s">
        <v>26184</v>
      </c>
      <c r="K5502" t="s">
        <v>29475</v>
      </c>
      <c r="L5502" t="s">
        <v>1795</v>
      </c>
      <c r="M5502" t="s">
        <v>31506</v>
      </c>
      <c r="N5502" t="s">
        <v>32524</v>
      </c>
      <c r="O5502" t="s">
        <v>32525</v>
      </c>
      <c r="P5502">
        <v>0</v>
      </c>
      <c r="Q5502">
        <v>0</v>
      </c>
      <c r="R5502" t="s">
        <v>32531</v>
      </c>
      <c r="S5502" t="s">
        <v>32586</v>
      </c>
      <c r="T5502" t="s">
        <v>33242</v>
      </c>
      <c r="U5502" t="s">
        <v>38265</v>
      </c>
      <c r="W5502" t="s">
        <v>31506</v>
      </c>
      <c r="X5502" t="s">
        <v>32532</v>
      </c>
    </row>
    <row r="5503" spans="1:24">
      <c r="A5503">
        <f>HYPERLINK("https://www.philgeps.gov.ph/GEPSNONPILOT/Tender/SplashBidNoticeAbstractUI.aspx?menuIndex=3&amp;refID=7040217&amp;Result=3","7040217")</f>
        <v>0</v>
      </c>
      <c r="B5503" t="s">
        <v>1572</v>
      </c>
      <c r="C5503" t="s">
        <v>7946</v>
      </c>
      <c r="D5503" t="s">
        <v>12988</v>
      </c>
      <c r="E5503" t="s">
        <v>17978</v>
      </c>
      <c r="F5503" t="s">
        <v>22436</v>
      </c>
      <c r="G5503" t="s">
        <v>22444</v>
      </c>
      <c r="H5503" t="s">
        <v>22452</v>
      </c>
      <c r="I5503" t="s">
        <v>22469</v>
      </c>
      <c r="J5503" t="s">
        <v>26185</v>
      </c>
      <c r="K5503" t="s">
        <v>29329</v>
      </c>
      <c r="M5503" t="s">
        <v>31254</v>
      </c>
      <c r="N5503" t="s">
        <v>32524</v>
      </c>
      <c r="O5503" t="s">
        <v>32525</v>
      </c>
      <c r="P5503">
        <v>0</v>
      </c>
      <c r="Q5503">
        <v>6</v>
      </c>
      <c r="R5503" t="s">
        <v>32531</v>
      </c>
      <c r="S5503" t="s">
        <v>32586</v>
      </c>
      <c r="T5503" t="s">
        <v>33455</v>
      </c>
      <c r="U5503" t="s">
        <v>36615</v>
      </c>
      <c r="W5503" t="s">
        <v>31254</v>
      </c>
      <c r="X5503" t="s">
        <v>32532</v>
      </c>
    </row>
    <row r="5504" spans="1:24">
      <c r="A5504">
        <f>HYPERLINK("https://www.philgeps.gov.ph/GEPSNONPILOT/Tender/SplashBidNoticeAbstractUI.aspx?menuIndex=3&amp;refID=7040193&amp;Result=3","7040193")</f>
        <v>0</v>
      </c>
      <c r="B5504" t="s">
        <v>525</v>
      </c>
      <c r="C5504" t="s">
        <v>7947</v>
      </c>
      <c r="D5504" t="s">
        <v>13038</v>
      </c>
      <c r="E5504" t="s">
        <v>17979</v>
      </c>
      <c r="F5504" t="s">
        <v>22436</v>
      </c>
      <c r="G5504" t="s">
        <v>22444</v>
      </c>
      <c r="H5504" t="s">
        <v>22452</v>
      </c>
      <c r="I5504" t="s">
        <v>22469</v>
      </c>
      <c r="J5504" t="s">
        <v>26186</v>
      </c>
      <c r="K5504" t="s">
        <v>29335</v>
      </c>
      <c r="M5504" t="s">
        <v>30109</v>
      </c>
      <c r="N5504" t="s">
        <v>32524</v>
      </c>
      <c r="O5504" t="s">
        <v>32525</v>
      </c>
      <c r="P5504">
        <v>0</v>
      </c>
      <c r="Q5504">
        <v>1</v>
      </c>
      <c r="R5504" t="s">
        <v>32531</v>
      </c>
      <c r="S5504" t="s">
        <v>32586</v>
      </c>
      <c r="T5504" t="s">
        <v>33252</v>
      </c>
      <c r="U5504" t="s">
        <v>38266</v>
      </c>
      <c r="W5504" t="s">
        <v>30109</v>
      </c>
      <c r="X5504" t="s">
        <v>32532</v>
      </c>
    </row>
    <row r="5505" spans="1:24">
      <c r="A5505">
        <f>HYPERLINK("https://www.philgeps.gov.ph/GEPSNONPILOT/Tender/SplashBidNoticeAbstractUI.aspx?menuIndex=3&amp;refID=7040209&amp;Result=3","7040209")</f>
        <v>0</v>
      </c>
      <c r="B5505" t="s">
        <v>660</v>
      </c>
      <c r="C5505" t="s">
        <v>7948</v>
      </c>
      <c r="D5505" t="s">
        <v>13013</v>
      </c>
      <c r="E5505" t="s">
        <v>17980</v>
      </c>
      <c r="F5505" t="s">
        <v>22436</v>
      </c>
      <c r="G5505" t="s">
        <v>22444</v>
      </c>
      <c r="H5505" t="s">
        <v>22454</v>
      </c>
      <c r="I5505" t="s">
        <v>7738</v>
      </c>
      <c r="J5505" t="s">
        <v>26187</v>
      </c>
      <c r="K5505" t="s">
        <v>29334</v>
      </c>
      <c r="M5505" t="s">
        <v>30252</v>
      </c>
      <c r="N5505" t="s">
        <v>32524</v>
      </c>
      <c r="O5505" t="s">
        <v>32525</v>
      </c>
      <c r="P5505">
        <v>0</v>
      </c>
      <c r="Q5505">
        <v>1</v>
      </c>
      <c r="R5505" t="s">
        <v>32531</v>
      </c>
      <c r="S5505" t="s">
        <v>32586</v>
      </c>
      <c r="T5505" t="s">
        <v>33249</v>
      </c>
      <c r="U5505" t="s">
        <v>38142</v>
      </c>
      <c r="W5505" t="s">
        <v>30252</v>
      </c>
      <c r="X5505" t="s">
        <v>32532</v>
      </c>
    </row>
    <row r="5506" spans="1:24">
      <c r="A5506">
        <f>HYPERLINK("https://www.philgeps.gov.ph/GEPSNONPILOT/Tender/SplashBidNoticeAbstractUI.aspx?menuIndex=3&amp;refID=7040213&amp;Result=3","7040213")</f>
        <v>0</v>
      </c>
      <c r="B5506" t="s">
        <v>1796</v>
      </c>
      <c r="C5506" t="s">
        <v>7949</v>
      </c>
      <c r="D5506" t="s">
        <v>12997</v>
      </c>
      <c r="E5506" t="s">
        <v>17981</v>
      </c>
      <c r="F5506" t="s">
        <v>22436</v>
      </c>
      <c r="G5506" t="s">
        <v>22444</v>
      </c>
      <c r="H5506" t="s">
        <v>22452</v>
      </c>
      <c r="I5506" t="s">
        <v>22474</v>
      </c>
      <c r="J5506" t="s">
        <v>22614</v>
      </c>
      <c r="K5506" t="s">
        <v>29331</v>
      </c>
      <c r="M5506" t="s">
        <v>31507</v>
      </c>
      <c r="N5506" t="s">
        <v>32524</v>
      </c>
      <c r="O5506" t="s">
        <v>32525</v>
      </c>
      <c r="P5506">
        <v>0</v>
      </c>
      <c r="Q5506">
        <v>3</v>
      </c>
      <c r="R5506" t="s">
        <v>32531</v>
      </c>
      <c r="S5506" t="s">
        <v>32586</v>
      </c>
      <c r="T5506" t="s">
        <v>33167</v>
      </c>
      <c r="U5506" t="s">
        <v>38267</v>
      </c>
      <c r="W5506" t="s">
        <v>31507</v>
      </c>
      <c r="X5506" t="s">
        <v>32532</v>
      </c>
    </row>
    <row r="5507" spans="1:24">
      <c r="A5507">
        <f>HYPERLINK("https://www.philgeps.gov.ph/GEPSNONPILOT/Tender/SplashBidNoticeAbstractUI.aspx?menuIndex=3&amp;refID=7040202&amp;Result=3","7040202")</f>
        <v>0</v>
      </c>
      <c r="B5507" t="s">
        <v>1797</v>
      </c>
      <c r="C5507" t="s">
        <v>7950</v>
      </c>
      <c r="E5507" t="s">
        <v>16213</v>
      </c>
      <c r="F5507" t="s">
        <v>22436</v>
      </c>
      <c r="G5507" t="s">
        <v>22443</v>
      </c>
      <c r="H5507" t="s">
        <v>22452</v>
      </c>
      <c r="I5507" t="s">
        <v>3827</v>
      </c>
      <c r="J5507" t="s">
        <v>22657</v>
      </c>
      <c r="K5507" t="s">
        <v>29338</v>
      </c>
      <c r="M5507" t="s">
        <v>31508</v>
      </c>
      <c r="N5507" t="s">
        <v>32524</v>
      </c>
      <c r="O5507" t="s">
        <v>32525</v>
      </c>
      <c r="P5507">
        <v>0</v>
      </c>
      <c r="Q5507">
        <v>4</v>
      </c>
      <c r="R5507" t="s">
        <v>32531</v>
      </c>
      <c r="S5507" t="s">
        <v>32586</v>
      </c>
      <c r="T5507" t="s">
        <v>33304</v>
      </c>
      <c r="U5507" t="s">
        <v>38268</v>
      </c>
      <c r="W5507" t="s">
        <v>31508</v>
      </c>
      <c r="X5507" t="s">
        <v>32532</v>
      </c>
    </row>
    <row r="5508" spans="1:24">
      <c r="A5508">
        <f>HYPERLINK("https://www.philgeps.gov.ph/GEPSNONPILOT/Tender/SplashBidNoticeAbstractUI.aspx?menuIndex=3&amp;refID=7040187&amp;Result=3","7040187")</f>
        <v>0</v>
      </c>
      <c r="B5508" t="s">
        <v>1350</v>
      </c>
      <c r="C5508" t="s">
        <v>7951</v>
      </c>
      <c r="D5508" t="s">
        <v>13013</v>
      </c>
      <c r="E5508" t="s">
        <v>17982</v>
      </c>
      <c r="F5508" t="s">
        <v>22436</v>
      </c>
      <c r="G5508" t="s">
        <v>22446</v>
      </c>
      <c r="H5508" t="s">
        <v>22452</v>
      </c>
      <c r="I5508" t="s">
        <v>3529</v>
      </c>
      <c r="J5508" t="s">
        <v>23439</v>
      </c>
      <c r="K5508" t="s">
        <v>29337</v>
      </c>
      <c r="M5508" t="s">
        <v>31006</v>
      </c>
      <c r="N5508" t="s">
        <v>32524</v>
      </c>
      <c r="O5508" t="s">
        <v>32525</v>
      </c>
      <c r="P5508">
        <v>0</v>
      </c>
      <c r="Q5508">
        <v>1</v>
      </c>
      <c r="R5508" t="s">
        <v>32531</v>
      </c>
      <c r="S5508" t="s">
        <v>32586</v>
      </c>
      <c r="T5508" t="s">
        <v>33197</v>
      </c>
      <c r="U5508" t="s">
        <v>36981</v>
      </c>
      <c r="W5508" t="s">
        <v>31006</v>
      </c>
      <c r="X5508" t="s">
        <v>32532</v>
      </c>
    </row>
    <row r="5509" spans="1:24">
      <c r="A5509">
        <f>HYPERLINK("https://www.philgeps.gov.ph/GEPSNONPILOT/Tender/SplashBidNoticeAbstractUI.aspx?menuIndex=3&amp;refID=7040206&amp;Result=3","7040206")</f>
        <v>0</v>
      </c>
      <c r="B5509" t="s">
        <v>462</v>
      </c>
      <c r="C5509" t="s">
        <v>7952</v>
      </c>
      <c r="D5509" t="s">
        <v>12988</v>
      </c>
      <c r="E5509" t="s">
        <v>17983</v>
      </c>
      <c r="F5509" t="s">
        <v>22436</v>
      </c>
      <c r="G5509" t="s">
        <v>22445</v>
      </c>
      <c r="H5509" t="s">
        <v>22452</v>
      </c>
      <c r="I5509" t="s">
        <v>22460</v>
      </c>
      <c r="J5509" t="s">
        <v>22695</v>
      </c>
      <c r="K5509" t="s">
        <v>29336</v>
      </c>
      <c r="M5509" t="s">
        <v>30044</v>
      </c>
      <c r="N5509" t="s">
        <v>32524</v>
      </c>
      <c r="O5509" t="s">
        <v>32525</v>
      </c>
      <c r="P5509">
        <v>0</v>
      </c>
      <c r="Q5509">
        <v>5</v>
      </c>
      <c r="R5509" t="s">
        <v>32531</v>
      </c>
      <c r="S5509" t="s">
        <v>32586</v>
      </c>
      <c r="T5509" t="s">
        <v>33323</v>
      </c>
      <c r="U5509" t="s">
        <v>38269</v>
      </c>
      <c r="W5509" t="s">
        <v>43683</v>
      </c>
      <c r="X5509" t="s">
        <v>32532</v>
      </c>
    </row>
    <row r="5510" spans="1:24">
      <c r="A5510">
        <f>HYPERLINK("https://www.philgeps.gov.ph/GEPSNONPILOT/Tender/SplashBidNoticeAbstractUI.aspx?menuIndex=3&amp;refID=7040196&amp;Result=3","7040196")</f>
        <v>0</v>
      </c>
      <c r="B5510" t="s">
        <v>1798</v>
      </c>
      <c r="C5510" t="s">
        <v>7953</v>
      </c>
      <c r="D5510" t="s">
        <v>13018</v>
      </c>
      <c r="E5510" t="s">
        <v>17984</v>
      </c>
      <c r="F5510" t="s">
        <v>22436</v>
      </c>
      <c r="G5510" t="s">
        <v>22443</v>
      </c>
      <c r="H5510" t="s">
        <v>22452</v>
      </c>
      <c r="I5510" t="s">
        <v>22558</v>
      </c>
      <c r="J5510" t="s">
        <v>23598</v>
      </c>
      <c r="K5510" t="s">
        <v>29336</v>
      </c>
      <c r="M5510" t="s">
        <v>31509</v>
      </c>
      <c r="N5510" t="s">
        <v>32524</v>
      </c>
      <c r="O5510" t="s">
        <v>32525</v>
      </c>
      <c r="P5510">
        <v>0</v>
      </c>
      <c r="Q5510">
        <v>0</v>
      </c>
      <c r="R5510" t="s">
        <v>32531</v>
      </c>
      <c r="S5510" t="s">
        <v>32586</v>
      </c>
      <c r="T5510" t="s">
        <v>33371</v>
      </c>
      <c r="U5510" t="s">
        <v>38270</v>
      </c>
      <c r="W5510" t="s">
        <v>31509</v>
      </c>
      <c r="X5510" t="s">
        <v>32532</v>
      </c>
    </row>
    <row r="5511" spans="1:24">
      <c r="A5511">
        <f>HYPERLINK("https://www.philgeps.gov.ph/GEPSNONPILOT/Tender/SplashBidNoticeAbstractUI.aspx?menuIndex=3&amp;refID=7040199&amp;Result=3","7040199")</f>
        <v>0</v>
      </c>
      <c r="B5511" t="s">
        <v>1760</v>
      </c>
      <c r="C5511" t="s">
        <v>7954</v>
      </c>
      <c r="E5511" t="s">
        <v>17985</v>
      </c>
      <c r="F5511" t="s">
        <v>22436</v>
      </c>
      <c r="G5511" t="s">
        <v>22444</v>
      </c>
      <c r="H5511" t="s">
        <v>22452</v>
      </c>
      <c r="I5511" t="s">
        <v>7738</v>
      </c>
      <c r="J5511" t="s">
        <v>22634</v>
      </c>
      <c r="K5511" t="s">
        <v>29396</v>
      </c>
      <c r="M5511" t="s">
        <v>31466</v>
      </c>
      <c r="N5511" t="s">
        <v>32524</v>
      </c>
      <c r="O5511" t="s">
        <v>32525</v>
      </c>
      <c r="P5511">
        <v>0</v>
      </c>
      <c r="Q5511">
        <v>2</v>
      </c>
      <c r="R5511" t="s">
        <v>32531</v>
      </c>
      <c r="S5511" t="s">
        <v>32586</v>
      </c>
      <c r="T5511" t="s">
        <v>33218</v>
      </c>
      <c r="U5511" t="s">
        <v>38271</v>
      </c>
      <c r="W5511" t="s">
        <v>31466</v>
      </c>
      <c r="X5511" t="s">
        <v>32532</v>
      </c>
    </row>
    <row r="5512" spans="1:24">
      <c r="A5512">
        <f>HYPERLINK("https://www.philgeps.gov.ph/GEPSNONPILOT/Tender/SplashBidNoticeAbstractUI.aspx?menuIndex=3&amp;refID=7040208&amp;Result=3","7040208")</f>
        <v>0</v>
      </c>
      <c r="B5512" t="s">
        <v>1485</v>
      </c>
      <c r="C5512" t="s">
        <v>7955</v>
      </c>
      <c r="D5512" t="s">
        <v>13031</v>
      </c>
      <c r="E5512" t="s">
        <v>17986</v>
      </c>
      <c r="F5512" t="s">
        <v>22436</v>
      </c>
      <c r="G5512" t="s">
        <v>22444</v>
      </c>
      <c r="H5512" t="s">
        <v>22452</v>
      </c>
      <c r="I5512" t="s">
        <v>22565</v>
      </c>
      <c r="J5512" t="s">
        <v>26188</v>
      </c>
      <c r="K5512" t="s">
        <v>29371</v>
      </c>
      <c r="M5512" t="s">
        <v>31158</v>
      </c>
      <c r="N5512" t="s">
        <v>32524</v>
      </c>
      <c r="O5512" t="s">
        <v>32525</v>
      </c>
      <c r="P5512">
        <v>0</v>
      </c>
      <c r="Q5512">
        <v>1</v>
      </c>
      <c r="R5512" t="s">
        <v>32531</v>
      </c>
      <c r="S5512" t="s">
        <v>32586</v>
      </c>
      <c r="T5512" t="s">
        <v>33209</v>
      </c>
      <c r="U5512" t="s">
        <v>38272</v>
      </c>
      <c r="V5512" t="s">
        <v>42884</v>
      </c>
      <c r="W5512" t="s">
        <v>31158</v>
      </c>
      <c r="X5512" t="s">
        <v>32532</v>
      </c>
    </row>
    <row r="5513" spans="1:24">
      <c r="A5513">
        <f>HYPERLINK("https://www.philgeps.gov.ph/GEPSNONPILOT/Tender/SplashBidNoticeAbstractUI.aspx?menuIndex=3&amp;refID=7040197&amp;Result=3","7040197")</f>
        <v>0</v>
      </c>
      <c r="B5513" t="s">
        <v>1799</v>
      </c>
      <c r="C5513" t="s">
        <v>7956</v>
      </c>
      <c r="E5513" t="s">
        <v>13182</v>
      </c>
      <c r="F5513" t="s">
        <v>22441</v>
      </c>
      <c r="G5513" t="s">
        <v>22443</v>
      </c>
      <c r="H5513" t="s">
        <v>22452</v>
      </c>
      <c r="I5513" t="s">
        <v>22460</v>
      </c>
      <c r="J5513" t="s">
        <v>26189</v>
      </c>
      <c r="K5513" t="s">
        <v>29356</v>
      </c>
      <c r="M5513" t="s">
        <v>31510</v>
      </c>
      <c r="N5513" t="s">
        <v>32524</v>
      </c>
      <c r="O5513" t="s">
        <v>32525</v>
      </c>
      <c r="P5513">
        <v>0</v>
      </c>
      <c r="Q5513">
        <v>1</v>
      </c>
      <c r="R5513" t="s">
        <v>32531</v>
      </c>
      <c r="S5513" t="s">
        <v>32586</v>
      </c>
      <c r="T5513" t="s">
        <v>33500</v>
      </c>
      <c r="U5513" t="s">
        <v>38273</v>
      </c>
      <c r="W5513" t="s">
        <v>31510</v>
      </c>
      <c r="X5513" t="s">
        <v>32532</v>
      </c>
    </row>
    <row r="5514" spans="1:24">
      <c r="A5514">
        <f>HYPERLINK("https://www.philgeps.gov.ph/GEPSNONPILOT/Tender/SplashBidNoticeAbstractUI.aspx?menuIndex=3&amp;refID=7040220&amp;Result=3","7040220")</f>
        <v>0</v>
      </c>
      <c r="B5514" t="s">
        <v>1350</v>
      </c>
      <c r="C5514" t="s">
        <v>7341</v>
      </c>
      <c r="D5514" t="s">
        <v>13013</v>
      </c>
      <c r="E5514" t="s">
        <v>17987</v>
      </c>
      <c r="F5514" t="s">
        <v>22436</v>
      </c>
      <c r="G5514" t="s">
        <v>22446</v>
      </c>
      <c r="H5514" t="s">
        <v>22452</v>
      </c>
      <c r="I5514" t="s">
        <v>3529</v>
      </c>
      <c r="J5514" t="s">
        <v>26190</v>
      </c>
      <c r="K5514" t="s">
        <v>29337</v>
      </c>
      <c r="M5514" t="s">
        <v>31006</v>
      </c>
      <c r="N5514" t="s">
        <v>32524</v>
      </c>
      <c r="O5514" t="s">
        <v>32525</v>
      </c>
      <c r="P5514">
        <v>0</v>
      </c>
      <c r="Q5514">
        <v>0</v>
      </c>
      <c r="R5514" t="s">
        <v>32531</v>
      </c>
      <c r="S5514" t="s">
        <v>32586</v>
      </c>
      <c r="T5514" t="s">
        <v>33197</v>
      </c>
      <c r="U5514" t="s">
        <v>36981</v>
      </c>
      <c r="W5514" t="s">
        <v>31006</v>
      </c>
      <c r="X5514" t="s">
        <v>32532</v>
      </c>
    </row>
    <row r="5515" spans="1:24">
      <c r="A5515">
        <f>HYPERLINK("https://www.philgeps.gov.ph/GEPSNONPILOT/Tender/SplashBidNoticeAbstractUI.aspx?menuIndex=3&amp;refID=7040221&amp;Result=3","7040221")</f>
        <v>0</v>
      </c>
      <c r="B5515" t="s">
        <v>323</v>
      </c>
      <c r="C5515" t="s">
        <v>7957</v>
      </c>
      <c r="D5515" t="s">
        <v>13013</v>
      </c>
      <c r="E5515" t="s">
        <v>17988</v>
      </c>
      <c r="F5515" t="s">
        <v>22436</v>
      </c>
      <c r="G5515" t="s">
        <v>22444</v>
      </c>
      <c r="H5515" t="s">
        <v>22454</v>
      </c>
      <c r="I5515" t="s">
        <v>6387</v>
      </c>
      <c r="J5515" t="s">
        <v>26191</v>
      </c>
      <c r="K5515" t="s">
        <v>29329</v>
      </c>
      <c r="M5515" t="s">
        <v>29899</v>
      </c>
      <c r="N5515" t="s">
        <v>32524</v>
      </c>
      <c r="O5515" t="s">
        <v>32525</v>
      </c>
      <c r="P5515">
        <v>0</v>
      </c>
      <c r="Q5515">
        <v>2</v>
      </c>
      <c r="R5515" t="s">
        <v>32531</v>
      </c>
      <c r="S5515" t="s">
        <v>32586</v>
      </c>
      <c r="T5515" t="s">
        <v>33197</v>
      </c>
      <c r="U5515" t="s">
        <v>38274</v>
      </c>
      <c r="W5515" t="s">
        <v>29899</v>
      </c>
      <c r="X5515" t="s">
        <v>32532</v>
      </c>
    </row>
    <row r="5516" spans="1:24">
      <c r="A5516">
        <f>HYPERLINK("https://www.philgeps.gov.ph/GEPSNONPILOT/Tender/SplashBidNoticeAbstractUI.aspx?menuIndex=3&amp;refID=7040223&amp;Result=3","7040223")</f>
        <v>0</v>
      </c>
      <c r="B5516" t="s">
        <v>1800</v>
      </c>
      <c r="C5516" t="s">
        <v>7958</v>
      </c>
      <c r="D5516" t="s">
        <v>12996</v>
      </c>
      <c r="E5516" t="s">
        <v>17989</v>
      </c>
      <c r="F5516" t="s">
        <v>22436</v>
      </c>
      <c r="G5516" t="s">
        <v>22443</v>
      </c>
      <c r="H5516" t="s">
        <v>22453</v>
      </c>
      <c r="I5516" t="s">
        <v>22459</v>
      </c>
      <c r="J5516" t="s">
        <v>22875</v>
      </c>
      <c r="K5516" t="s">
        <v>29340</v>
      </c>
      <c r="M5516" t="s">
        <v>31511</v>
      </c>
      <c r="N5516" t="s">
        <v>32524</v>
      </c>
      <c r="O5516" t="s">
        <v>32525</v>
      </c>
      <c r="P5516">
        <v>0</v>
      </c>
      <c r="Q5516">
        <v>0</v>
      </c>
      <c r="R5516" t="s">
        <v>32531</v>
      </c>
      <c r="S5516" t="s">
        <v>32586</v>
      </c>
      <c r="T5516" t="s">
        <v>33296</v>
      </c>
      <c r="U5516" t="s">
        <v>38275</v>
      </c>
      <c r="W5516" t="s">
        <v>31511</v>
      </c>
      <c r="X5516" t="s">
        <v>32532</v>
      </c>
    </row>
    <row r="5517" spans="1:24">
      <c r="A5517">
        <f>HYPERLINK("https://www.philgeps.gov.ph/GEPSNONPILOT/Tender/SplashBidNoticeAbstractUI.aspx?menuIndex=3&amp;refID=7040194&amp;Result=3","7040194")</f>
        <v>0</v>
      </c>
      <c r="B5517" t="s">
        <v>1448</v>
      </c>
      <c r="C5517" t="s">
        <v>7959</v>
      </c>
      <c r="D5517" t="s">
        <v>12988</v>
      </c>
      <c r="E5517" t="s">
        <v>17990</v>
      </c>
      <c r="F5517" t="s">
        <v>22436</v>
      </c>
      <c r="G5517" t="s">
        <v>22444</v>
      </c>
      <c r="H5517" t="s">
        <v>22454</v>
      </c>
      <c r="I5517" t="s">
        <v>7738</v>
      </c>
      <c r="J5517" t="s">
        <v>26192</v>
      </c>
      <c r="K5517" t="s">
        <v>29345</v>
      </c>
      <c r="M5517" t="s">
        <v>31512</v>
      </c>
      <c r="N5517" t="s">
        <v>32524</v>
      </c>
      <c r="O5517" t="s">
        <v>32525</v>
      </c>
      <c r="P5517">
        <v>0</v>
      </c>
      <c r="Q5517">
        <v>3</v>
      </c>
      <c r="R5517" t="s">
        <v>32531</v>
      </c>
      <c r="S5517" t="s">
        <v>32586</v>
      </c>
      <c r="T5517" t="s">
        <v>33335</v>
      </c>
      <c r="U5517" t="s">
        <v>38276</v>
      </c>
      <c r="V5517" t="s">
        <v>43022</v>
      </c>
      <c r="W5517" t="s">
        <v>31512</v>
      </c>
      <c r="X5517" t="s">
        <v>32532</v>
      </c>
    </row>
    <row r="5518" spans="1:24">
      <c r="A5518">
        <f>HYPERLINK("https://www.philgeps.gov.ph/GEPSNONPILOT/Tender/SplashBidNoticeAbstractUI.aspx?menuIndex=3&amp;refID=7040226&amp;Result=3","7040226")</f>
        <v>0</v>
      </c>
      <c r="B5518" t="s">
        <v>80</v>
      </c>
      <c r="C5518" t="s">
        <v>7960</v>
      </c>
      <c r="D5518" t="s">
        <v>13007</v>
      </c>
      <c r="E5518" t="s">
        <v>17991</v>
      </c>
      <c r="F5518" t="s">
        <v>22436</v>
      </c>
      <c r="G5518" t="s">
        <v>22446</v>
      </c>
      <c r="H5518" t="s">
        <v>22452</v>
      </c>
      <c r="I5518" t="s">
        <v>3529</v>
      </c>
      <c r="J5518" t="s">
        <v>26193</v>
      </c>
      <c r="K5518" t="s">
        <v>29341</v>
      </c>
      <c r="M5518" t="s">
        <v>29652</v>
      </c>
      <c r="N5518" t="s">
        <v>32524</v>
      </c>
      <c r="O5518" t="s">
        <v>32525</v>
      </c>
      <c r="P5518">
        <v>0</v>
      </c>
      <c r="Q5518">
        <v>0</v>
      </c>
      <c r="R5518" t="s">
        <v>32531</v>
      </c>
      <c r="S5518" t="s">
        <v>32586</v>
      </c>
      <c r="T5518" t="s">
        <v>33209</v>
      </c>
      <c r="U5518" t="s">
        <v>38277</v>
      </c>
      <c r="W5518" t="s">
        <v>29652</v>
      </c>
      <c r="X5518" t="s">
        <v>32532</v>
      </c>
    </row>
    <row r="5519" spans="1:24">
      <c r="A5519">
        <f>HYPERLINK("https://www.philgeps.gov.ph/GEPSNONPILOT/Tender/SplashBidNoticeAbstractUI.aspx?menuIndex=3&amp;refID=7040247&amp;Result=3","7040247")</f>
        <v>0</v>
      </c>
      <c r="B5519" t="s">
        <v>199</v>
      </c>
      <c r="C5519" t="s">
        <v>3700</v>
      </c>
      <c r="D5519" t="s">
        <v>13009</v>
      </c>
      <c r="E5519" t="s">
        <v>17992</v>
      </c>
      <c r="F5519" t="s">
        <v>22436</v>
      </c>
      <c r="G5519" t="s">
        <v>22443</v>
      </c>
      <c r="H5519" t="s">
        <v>22452</v>
      </c>
      <c r="I5519" t="s">
        <v>6421</v>
      </c>
      <c r="J5519" t="s">
        <v>26194</v>
      </c>
      <c r="K5519" t="s">
        <v>29338</v>
      </c>
      <c r="M5519" t="s">
        <v>30051</v>
      </c>
      <c r="N5519" t="s">
        <v>32524</v>
      </c>
      <c r="O5519" t="s">
        <v>32525</v>
      </c>
      <c r="P5519">
        <v>0</v>
      </c>
      <c r="Q5519">
        <v>3</v>
      </c>
      <c r="R5519" t="s">
        <v>32531</v>
      </c>
      <c r="S5519" t="s">
        <v>32586</v>
      </c>
      <c r="T5519" t="s">
        <v>33371</v>
      </c>
      <c r="U5519" t="s">
        <v>34563</v>
      </c>
      <c r="W5519" t="s">
        <v>30051</v>
      </c>
      <c r="X5519" t="s">
        <v>32532</v>
      </c>
    </row>
    <row r="5520" spans="1:24">
      <c r="A5520">
        <f>HYPERLINK("https://www.philgeps.gov.ph/GEPSNONPILOT/Tender/SplashBidNoticeAbstractUI.aspx?menuIndex=3&amp;refID=7040246&amp;Result=3","7040246")</f>
        <v>0</v>
      </c>
      <c r="B5520" t="s">
        <v>1118</v>
      </c>
      <c r="C5520" t="s">
        <v>7961</v>
      </c>
      <c r="D5520" t="s">
        <v>13024</v>
      </c>
      <c r="E5520" t="s">
        <v>17993</v>
      </c>
      <c r="F5520" t="s">
        <v>22436</v>
      </c>
      <c r="G5520" t="s">
        <v>22444</v>
      </c>
      <c r="H5520" t="s">
        <v>22452</v>
      </c>
      <c r="I5520" t="s">
        <v>22469</v>
      </c>
      <c r="J5520" t="s">
        <v>26195</v>
      </c>
      <c r="K5520" t="s">
        <v>29333</v>
      </c>
      <c r="M5520" t="s">
        <v>31513</v>
      </c>
      <c r="N5520" t="s">
        <v>32524</v>
      </c>
      <c r="O5520" t="s">
        <v>32525</v>
      </c>
      <c r="P5520">
        <v>0</v>
      </c>
      <c r="Q5520">
        <v>7</v>
      </c>
      <c r="R5520" t="s">
        <v>32531</v>
      </c>
      <c r="S5520" t="s">
        <v>32586</v>
      </c>
      <c r="T5520" t="s">
        <v>33340</v>
      </c>
      <c r="U5520" t="s">
        <v>38278</v>
      </c>
      <c r="W5520" t="s">
        <v>31513</v>
      </c>
      <c r="X5520" t="s">
        <v>32532</v>
      </c>
    </row>
    <row r="5521" spans="1:24">
      <c r="A5521">
        <f>HYPERLINK("https://www.philgeps.gov.ph/GEPSNONPILOT/Tender/SplashBidNoticeAbstractUI.aspx?menuIndex=3&amp;refID=7040233&amp;Result=3","7040233")</f>
        <v>0</v>
      </c>
      <c r="B5521" t="s">
        <v>1801</v>
      </c>
      <c r="C5521" t="s">
        <v>7962</v>
      </c>
      <c r="D5521" t="s">
        <v>13007</v>
      </c>
      <c r="E5521" t="s">
        <v>17994</v>
      </c>
      <c r="F5521" t="s">
        <v>22436</v>
      </c>
      <c r="G5521" t="s">
        <v>22446</v>
      </c>
      <c r="H5521" t="s">
        <v>22452</v>
      </c>
      <c r="I5521" t="s">
        <v>22463</v>
      </c>
      <c r="J5521" t="s">
        <v>26196</v>
      </c>
      <c r="K5521" t="s">
        <v>29335</v>
      </c>
      <c r="M5521" t="s">
        <v>31514</v>
      </c>
      <c r="N5521" t="s">
        <v>32524</v>
      </c>
      <c r="O5521" t="s">
        <v>32525</v>
      </c>
      <c r="P5521">
        <v>0</v>
      </c>
      <c r="Q5521">
        <v>1</v>
      </c>
      <c r="R5521" t="s">
        <v>32531</v>
      </c>
      <c r="S5521" t="s">
        <v>32586</v>
      </c>
      <c r="T5521" t="s">
        <v>33238</v>
      </c>
      <c r="U5521" t="s">
        <v>38279</v>
      </c>
      <c r="W5521" t="s">
        <v>31514</v>
      </c>
      <c r="X5521" t="s">
        <v>32532</v>
      </c>
    </row>
    <row r="5522" spans="1:24">
      <c r="A5522">
        <f>HYPERLINK("https://www.philgeps.gov.ph/GEPSNONPILOT/Tender/SplashBidNoticeAbstractUI.aspx?menuIndex=3&amp;refID=7040232&amp;Result=3","7040232")</f>
        <v>0</v>
      </c>
      <c r="B5522" t="s">
        <v>1802</v>
      </c>
      <c r="C5522" t="s">
        <v>7963</v>
      </c>
      <c r="D5522" t="s">
        <v>12999</v>
      </c>
      <c r="E5522" t="s">
        <v>17995</v>
      </c>
      <c r="F5522" t="s">
        <v>22437</v>
      </c>
      <c r="G5522" t="s">
        <v>22443</v>
      </c>
      <c r="H5522" t="s">
        <v>22452</v>
      </c>
      <c r="I5522" t="s">
        <v>3529</v>
      </c>
      <c r="J5522" t="s">
        <v>26197</v>
      </c>
      <c r="K5522" t="s">
        <v>29357</v>
      </c>
      <c r="M5522" t="s">
        <v>31515</v>
      </c>
      <c r="N5522" t="s">
        <v>32524</v>
      </c>
      <c r="O5522" t="s">
        <v>32525</v>
      </c>
      <c r="P5522">
        <v>0</v>
      </c>
      <c r="Q5522">
        <v>0</v>
      </c>
      <c r="R5522" t="s">
        <v>32531</v>
      </c>
      <c r="S5522" t="s">
        <v>32586</v>
      </c>
      <c r="T5522" t="s">
        <v>33185</v>
      </c>
      <c r="U5522" t="s">
        <v>38280</v>
      </c>
      <c r="W5522" t="s">
        <v>31515</v>
      </c>
      <c r="X5522" t="s">
        <v>32532</v>
      </c>
    </row>
    <row r="5523" spans="1:24">
      <c r="A5523">
        <f>HYPERLINK("https://www.philgeps.gov.ph/GEPSNONPILOT/Tender/SplashBidNoticeAbstractUI.aspx?menuIndex=3&amp;refID=7040230&amp;Result=3","7040230")</f>
        <v>0</v>
      </c>
      <c r="B5523" t="s">
        <v>1798</v>
      </c>
      <c r="C5523" t="s">
        <v>7964</v>
      </c>
      <c r="D5523" t="s">
        <v>13018</v>
      </c>
      <c r="E5523" t="s">
        <v>17996</v>
      </c>
      <c r="F5523" t="s">
        <v>22436</v>
      </c>
      <c r="G5523" t="s">
        <v>22443</v>
      </c>
      <c r="H5523" t="s">
        <v>22452</v>
      </c>
      <c r="I5523" t="s">
        <v>3027</v>
      </c>
      <c r="J5523" t="s">
        <v>26198</v>
      </c>
      <c r="K5523" t="s">
        <v>29336</v>
      </c>
      <c r="M5523" t="s">
        <v>31509</v>
      </c>
      <c r="N5523" t="s">
        <v>32524</v>
      </c>
      <c r="O5523" t="s">
        <v>32525</v>
      </c>
      <c r="P5523">
        <v>0</v>
      </c>
      <c r="Q5523">
        <v>1</v>
      </c>
      <c r="R5523" t="s">
        <v>32531</v>
      </c>
      <c r="S5523" t="s">
        <v>32586</v>
      </c>
      <c r="T5523" t="s">
        <v>33501</v>
      </c>
      <c r="U5523" t="s">
        <v>38281</v>
      </c>
      <c r="W5523" t="s">
        <v>31509</v>
      </c>
      <c r="X5523" t="s">
        <v>32532</v>
      </c>
    </row>
    <row r="5524" spans="1:24">
      <c r="A5524">
        <f>HYPERLINK("https://www.philgeps.gov.ph/GEPSNONPILOT/Tender/SplashBidNoticeAbstractUI.aspx?menuIndex=3&amp;refID=7040234&amp;Result=3","7040234")</f>
        <v>0</v>
      </c>
      <c r="B5524" t="s">
        <v>1448</v>
      </c>
      <c r="C5524" t="s">
        <v>7965</v>
      </c>
      <c r="D5524" t="s">
        <v>12988</v>
      </c>
      <c r="E5524" t="s">
        <v>17997</v>
      </c>
      <c r="F5524" t="s">
        <v>22436</v>
      </c>
      <c r="G5524" t="s">
        <v>22444</v>
      </c>
      <c r="H5524" t="s">
        <v>22454</v>
      </c>
      <c r="I5524" t="s">
        <v>7738</v>
      </c>
      <c r="J5524" t="s">
        <v>26199</v>
      </c>
      <c r="K5524" t="s">
        <v>29476</v>
      </c>
      <c r="M5524" t="s">
        <v>31512</v>
      </c>
      <c r="N5524" t="s">
        <v>32524</v>
      </c>
      <c r="O5524" t="s">
        <v>32525</v>
      </c>
      <c r="P5524">
        <v>0</v>
      </c>
      <c r="Q5524">
        <v>7</v>
      </c>
      <c r="R5524" t="s">
        <v>32531</v>
      </c>
      <c r="S5524" t="s">
        <v>32586</v>
      </c>
      <c r="T5524" t="s">
        <v>33335</v>
      </c>
      <c r="U5524" t="s">
        <v>38282</v>
      </c>
      <c r="V5524" t="s">
        <v>43022</v>
      </c>
      <c r="W5524" t="s">
        <v>31512</v>
      </c>
      <c r="X5524" t="s">
        <v>32532</v>
      </c>
    </row>
    <row r="5525" spans="1:24">
      <c r="A5525">
        <f>HYPERLINK("https://www.philgeps.gov.ph/GEPSNONPILOT/Tender/SplashBidNoticeAbstractUI.aspx?menuIndex=3&amp;refID=7040229&amp;Result=3","7040229")</f>
        <v>0</v>
      </c>
      <c r="B5525" t="s">
        <v>1803</v>
      </c>
      <c r="C5525" t="s">
        <v>7966</v>
      </c>
      <c r="D5525" t="s">
        <v>13029</v>
      </c>
      <c r="E5525" t="s">
        <v>17998</v>
      </c>
      <c r="F5525" t="s">
        <v>22436</v>
      </c>
      <c r="G5525" t="s">
        <v>22444</v>
      </c>
      <c r="H5525" t="s">
        <v>22452</v>
      </c>
      <c r="I5525" t="s">
        <v>3529</v>
      </c>
      <c r="J5525" t="s">
        <v>26200</v>
      </c>
      <c r="K5525" t="s">
        <v>29338</v>
      </c>
      <c r="M5525" t="s">
        <v>31516</v>
      </c>
      <c r="N5525" t="s">
        <v>32524</v>
      </c>
      <c r="O5525" t="s">
        <v>32525</v>
      </c>
      <c r="Q5525">
        <v>1</v>
      </c>
      <c r="R5525" t="s">
        <v>32531</v>
      </c>
      <c r="S5525" t="s">
        <v>32609</v>
      </c>
      <c r="T5525" t="s">
        <v>33212</v>
      </c>
      <c r="U5525" t="s">
        <v>38283</v>
      </c>
      <c r="W5525" t="s">
        <v>31516</v>
      </c>
      <c r="X5525" t="s">
        <v>32532</v>
      </c>
    </row>
    <row r="5526" spans="1:24">
      <c r="A5526">
        <f>HYPERLINK("https://www.philgeps.gov.ph/GEPSNONPILOT/Tender/SplashBidNoticeAbstractUI.aspx?menuIndex=3&amp;refID=7040244&amp;Result=3","7040244")</f>
        <v>0</v>
      </c>
      <c r="B5526" t="s">
        <v>1791</v>
      </c>
      <c r="C5526" t="s">
        <v>7967</v>
      </c>
      <c r="D5526" t="s">
        <v>13065</v>
      </c>
      <c r="E5526" t="s">
        <v>17999</v>
      </c>
      <c r="F5526" t="s">
        <v>22436</v>
      </c>
      <c r="G5526" t="s">
        <v>22444</v>
      </c>
      <c r="H5526" t="s">
        <v>22454</v>
      </c>
      <c r="I5526" t="s">
        <v>7738</v>
      </c>
      <c r="J5526" t="s">
        <v>26201</v>
      </c>
      <c r="K5526" t="s">
        <v>29477</v>
      </c>
      <c r="M5526" t="s">
        <v>31502</v>
      </c>
      <c r="N5526" t="s">
        <v>32524</v>
      </c>
      <c r="O5526" t="s">
        <v>32525</v>
      </c>
      <c r="P5526">
        <v>0</v>
      </c>
      <c r="Q5526">
        <v>0</v>
      </c>
      <c r="R5526" t="s">
        <v>32531</v>
      </c>
      <c r="S5526" t="s">
        <v>32586</v>
      </c>
      <c r="T5526" t="s">
        <v>33234</v>
      </c>
      <c r="U5526" t="s">
        <v>38284</v>
      </c>
      <c r="V5526" t="s">
        <v>43023</v>
      </c>
      <c r="W5526" t="s">
        <v>31502</v>
      </c>
      <c r="X5526" t="s">
        <v>32532</v>
      </c>
    </row>
    <row r="5527" spans="1:24">
      <c r="A5527">
        <f>HYPERLINK("https://www.philgeps.gov.ph/GEPSNONPILOT/Tender/SplashBidNoticeAbstractUI.aspx?menuIndex=3&amp;refID=7040228&amp;Result=3","7040228")</f>
        <v>0</v>
      </c>
      <c r="B5527" t="s">
        <v>1804</v>
      </c>
      <c r="C5527" t="s">
        <v>7968</v>
      </c>
      <c r="D5527" t="s">
        <v>13064</v>
      </c>
      <c r="E5527" t="s">
        <v>18000</v>
      </c>
      <c r="F5527" t="s">
        <v>22436</v>
      </c>
      <c r="G5527" t="s">
        <v>22445</v>
      </c>
      <c r="H5527" t="s">
        <v>22452</v>
      </c>
      <c r="I5527" t="s">
        <v>22471</v>
      </c>
      <c r="J5527" t="s">
        <v>26202</v>
      </c>
      <c r="K5527" t="s">
        <v>29335</v>
      </c>
      <c r="M5527" t="s">
        <v>31517</v>
      </c>
      <c r="N5527" t="s">
        <v>32524</v>
      </c>
      <c r="O5527" t="s">
        <v>32525</v>
      </c>
      <c r="P5527">
        <v>0</v>
      </c>
      <c r="Q5527">
        <v>5</v>
      </c>
      <c r="R5527" t="s">
        <v>32531</v>
      </c>
      <c r="S5527" t="s">
        <v>32586</v>
      </c>
      <c r="T5527" t="s">
        <v>33310</v>
      </c>
      <c r="U5527" t="s">
        <v>38285</v>
      </c>
      <c r="W5527" t="s">
        <v>31517</v>
      </c>
      <c r="X5527" t="s">
        <v>32532</v>
      </c>
    </row>
    <row r="5528" spans="1:24">
      <c r="A5528">
        <f>HYPERLINK("https://www.philgeps.gov.ph/GEPSNONPILOT/Tender/SplashBidNoticeAbstractUI.aspx?menuIndex=3&amp;refID=7040245&amp;Result=3","7040245")</f>
        <v>0</v>
      </c>
      <c r="B5528" t="s">
        <v>1760</v>
      </c>
      <c r="C5528" t="s">
        <v>7969</v>
      </c>
      <c r="E5528" t="s">
        <v>18001</v>
      </c>
      <c r="F5528" t="s">
        <v>22436</v>
      </c>
      <c r="G5528" t="s">
        <v>22444</v>
      </c>
      <c r="H5528" t="s">
        <v>22452</v>
      </c>
      <c r="I5528" t="s">
        <v>7738</v>
      </c>
      <c r="J5528" t="s">
        <v>22634</v>
      </c>
      <c r="K5528" t="s">
        <v>29396</v>
      </c>
      <c r="M5528" t="s">
        <v>31466</v>
      </c>
      <c r="N5528" t="s">
        <v>32524</v>
      </c>
      <c r="O5528" t="s">
        <v>32525</v>
      </c>
      <c r="P5528">
        <v>0</v>
      </c>
      <c r="Q5528">
        <v>1</v>
      </c>
      <c r="R5528" t="s">
        <v>32531</v>
      </c>
      <c r="S5528" t="s">
        <v>32586</v>
      </c>
      <c r="T5528" t="s">
        <v>33218</v>
      </c>
      <c r="U5528" t="s">
        <v>38286</v>
      </c>
      <c r="W5528" t="s">
        <v>31466</v>
      </c>
      <c r="X5528" t="s">
        <v>32532</v>
      </c>
    </row>
    <row r="5529" spans="1:24">
      <c r="A5529">
        <f>HYPERLINK("https://www.philgeps.gov.ph/GEPSNONPILOT/Tender/SplashBidNoticeAbstractUI.aspx?menuIndex=3&amp;refID=7040263&amp;Result=3","7040263")</f>
        <v>0</v>
      </c>
      <c r="B5529" t="s">
        <v>323</v>
      </c>
      <c r="C5529" t="s">
        <v>7970</v>
      </c>
      <c r="D5529" t="s">
        <v>13013</v>
      </c>
      <c r="E5529" t="s">
        <v>13739</v>
      </c>
      <c r="F5529" t="s">
        <v>22436</v>
      </c>
      <c r="G5529" t="s">
        <v>22447</v>
      </c>
      <c r="H5529" t="s">
        <v>22452</v>
      </c>
      <c r="I5529" t="s">
        <v>22456</v>
      </c>
      <c r="J5529" t="s">
        <v>22605</v>
      </c>
      <c r="K5529" t="s">
        <v>29341</v>
      </c>
      <c r="M5529" t="s">
        <v>29899</v>
      </c>
      <c r="N5529" t="s">
        <v>32524</v>
      </c>
      <c r="O5529" t="s">
        <v>32525</v>
      </c>
      <c r="P5529">
        <v>0</v>
      </c>
      <c r="Q5529">
        <v>2</v>
      </c>
      <c r="R5529" t="s">
        <v>32531</v>
      </c>
      <c r="S5529" t="s">
        <v>32586</v>
      </c>
      <c r="T5529" t="s">
        <v>33197</v>
      </c>
      <c r="U5529" t="s">
        <v>38287</v>
      </c>
      <c r="W5529" t="s">
        <v>29899</v>
      </c>
      <c r="X5529" t="s">
        <v>32532</v>
      </c>
    </row>
    <row r="5530" spans="1:24">
      <c r="A5530">
        <f>HYPERLINK("https://www.philgeps.gov.ph/GEPSNONPILOT/Tender/SplashBidNoticeAbstractUI.aspx?menuIndex=3&amp;refID=7040262&amp;Result=3","7040262")</f>
        <v>0</v>
      </c>
      <c r="B5530" t="s">
        <v>227</v>
      </c>
      <c r="C5530" t="s">
        <v>7971</v>
      </c>
      <c r="E5530" t="s">
        <v>18002</v>
      </c>
      <c r="F5530" t="s">
        <v>22436</v>
      </c>
      <c r="G5530" t="s">
        <v>22444</v>
      </c>
      <c r="H5530" t="s">
        <v>22452</v>
      </c>
      <c r="I5530" t="s">
        <v>22487</v>
      </c>
      <c r="J5530" t="s">
        <v>26203</v>
      </c>
      <c r="K5530" t="s">
        <v>29335</v>
      </c>
      <c r="M5530" t="s">
        <v>31411</v>
      </c>
      <c r="N5530" t="s">
        <v>32524</v>
      </c>
      <c r="O5530" t="s">
        <v>32525</v>
      </c>
      <c r="P5530">
        <v>0</v>
      </c>
      <c r="Q5530">
        <v>8</v>
      </c>
      <c r="R5530" t="s">
        <v>32531</v>
      </c>
      <c r="S5530" t="s">
        <v>32586</v>
      </c>
      <c r="T5530" t="s">
        <v>33422</v>
      </c>
      <c r="U5530" t="s">
        <v>38288</v>
      </c>
      <c r="W5530" t="s">
        <v>31411</v>
      </c>
      <c r="X5530" t="s">
        <v>32532</v>
      </c>
    </row>
    <row r="5531" spans="1:24">
      <c r="A5531">
        <f>HYPERLINK("https://www.philgeps.gov.ph/GEPSNONPILOT/Tender/SplashBidNoticeAbstractUI.aspx?menuIndex=3&amp;refID=7040255&amp;Result=3","7040255")</f>
        <v>0</v>
      </c>
      <c r="B5531" t="s">
        <v>250</v>
      </c>
      <c r="C5531" t="s">
        <v>5985</v>
      </c>
      <c r="D5531" t="s">
        <v>13037</v>
      </c>
      <c r="E5531" t="s">
        <v>18003</v>
      </c>
      <c r="F5531" t="s">
        <v>22436</v>
      </c>
      <c r="G5531" t="s">
        <v>22446</v>
      </c>
      <c r="H5531" t="s">
        <v>22452</v>
      </c>
      <c r="I5531" t="s">
        <v>2981</v>
      </c>
      <c r="J5531" t="s">
        <v>22788</v>
      </c>
      <c r="K5531" t="s">
        <v>29337</v>
      </c>
      <c r="M5531" t="s">
        <v>31307</v>
      </c>
      <c r="N5531" t="s">
        <v>32524</v>
      </c>
      <c r="O5531" t="s">
        <v>32525</v>
      </c>
      <c r="P5531">
        <v>0</v>
      </c>
      <c r="Q5531">
        <v>2</v>
      </c>
      <c r="R5531" t="s">
        <v>32531</v>
      </c>
      <c r="S5531" t="s">
        <v>32586</v>
      </c>
      <c r="T5531" t="s">
        <v>33185</v>
      </c>
      <c r="U5531" t="s">
        <v>38289</v>
      </c>
      <c r="W5531" t="s">
        <v>31307</v>
      </c>
      <c r="X5531" t="s">
        <v>32532</v>
      </c>
    </row>
    <row r="5532" spans="1:24">
      <c r="A5532">
        <f>HYPERLINK("https://www.philgeps.gov.ph/GEPSNONPILOT/Tender/SplashBidNoticeAbstractUI.aspx?menuIndex=3&amp;refID=7040235&amp;Result=3","7040235")</f>
        <v>0</v>
      </c>
      <c r="B5532" t="s">
        <v>528</v>
      </c>
      <c r="C5532" t="s">
        <v>7972</v>
      </c>
      <c r="E5532" t="s">
        <v>18004</v>
      </c>
      <c r="F5532" t="s">
        <v>22436</v>
      </c>
      <c r="G5532" t="s">
        <v>22443</v>
      </c>
      <c r="H5532" t="s">
        <v>22452</v>
      </c>
      <c r="I5532" t="s">
        <v>22504</v>
      </c>
      <c r="J5532" t="s">
        <v>22605</v>
      </c>
      <c r="K5532" t="s">
        <v>29335</v>
      </c>
      <c r="M5532" t="s">
        <v>30112</v>
      </c>
      <c r="N5532" t="s">
        <v>32524</v>
      </c>
      <c r="O5532" t="s">
        <v>32525</v>
      </c>
      <c r="P5532">
        <v>0</v>
      </c>
      <c r="Q5532">
        <v>6</v>
      </c>
      <c r="R5532" t="s">
        <v>32531</v>
      </c>
      <c r="S5532" t="s">
        <v>32586</v>
      </c>
      <c r="T5532" t="s">
        <v>33292</v>
      </c>
      <c r="U5532" t="s">
        <v>38290</v>
      </c>
      <c r="V5532" t="s">
        <v>42540</v>
      </c>
      <c r="W5532" t="s">
        <v>30975</v>
      </c>
      <c r="X5532" t="s">
        <v>32532</v>
      </c>
    </row>
    <row r="5533" spans="1:24">
      <c r="A5533">
        <f>HYPERLINK("https://www.philgeps.gov.ph/GEPSNONPILOT/Tender/SplashBidNoticeAbstractUI.aspx?menuIndex=3&amp;refID=7040253&amp;Result=3","7040253")</f>
        <v>0</v>
      </c>
      <c r="B5533" t="s">
        <v>1785</v>
      </c>
      <c r="C5533" t="s">
        <v>7973</v>
      </c>
      <c r="D5533" t="s">
        <v>13065</v>
      </c>
      <c r="E5533" t="s">
        <v>18005</v>
      </c>
      <c r="F5533" t="s">
        <v>22436</v>
      </c>
      <c r="G5533" t="s">
        <v>22444</v>
      </c>
      <c r="H5533" t="s">
        <v>22452</v>
      </c>
      <c r="I5533" t="s">
        <v>22460</v>
      </c>
      <c r="J5533" t="s">
        <v>26204</v>
      </c>
      <c r="K5533" t="s">
        <v>29338</v>
      </c>
      <c r="M5533" t="s">
        <v>31495</v>
      </c>
      <c r="N5533" t="s">
        <v>32524</v>
      </c>
      <c r="O5533" t="s">
        <v>32525</v>
      </c>
      <c r="P5533">
        <v>0</v>
      </c>
      <c r="Q5533">
        <v>0</v>
      </c>
      <c r="R5533" t="s">
        <v>32531</v>
      </c>
      <c r="S5533" t="s">
        <v>32586</v>
      </c>
      <c r="T5533" t="s">
        <v>33184</v>
      </c>
      <c r="U5533" t="s">
        <v>38291</v>
      </c>
      <c r="W5533" t="s">
        <v>31495</v>
      </c>
      <c r="X5533" t="s">
        <v>32532</v>
      </c>
    </row>
    <row r="5534" spans="1:24">
      <c r="A5534">
        <f>HYPERLINK("https://www.philgeps.gov.ph/GEPSNONPILOT/Tender/SplashBidNoticeAbstractUI.aspx?menuIndex=3&amp;refID=7040256&amp;Result=3","7040256")</f>
        <v>0</v>
      </c>
      <c r="B5534" t="s">
        <v>1805</v>
      </c>
      <c r="C5534" t="s">
        <v>7974</v>
      </c>
      <c r="D5534" t="s">
        <v>13069</v>
      </c>
      <c r="E5534" t="s">
        <v>18006</v>
      </c>
      <c r="F5534" t="s">
        <v>22436</v>
      </c>
      <c r="G5534" t="s">
        <v>22444</v>
      </c>
      <c r="H5534" t="s">
        <v>22452</v>
      </c>
      <c r="I5534" t="s">
        <v>3529</v>
      </c>
      <c r="J5534" t="s">
        <v>26205</v>
      </c>
      <c r="K5534" t="s">
        <v>29331</v>
      </c>
      <c r="M5534" t="s">
        <v>31518</v>
      </c>
      <c r="N5534" t="s">
        <v>32524</v>
      </c>
      <c r="O5534" t="s">
        <v>32525</v>
      </c>
      <c r="P5534">
        <v>0</v>
      </c>
      <c r="Q5534">
        <v>2</v>
      </c>
      <c r="R5534" t="s">
        <v>32531</v>
      </c>
      <c r="S5534" t="s">
        <v>32586</v>
      </c>
      <c r="T5534" t="s">
        <v>33177</v>
      </c>
      <c r="U5534" t="s">
        <v>38292</v>
      </c>
      <c r="W5534" t="s">
        <v>31518</v>
      </c>
      <c r="X5534" t="s">
        <v>32532</v>
      </c>
    </row>
    <row r="5535" spans="1:24">
      <c r="A5535">
        <f>HYPERLINK("https://www.philgeps.gov.ph/GEPSNONPILOT/Tender/SplashBidNoticeAbstractUI.aspx?menuIndex=3&amp;refID=7040236&amp;Result=3","7040236")</f>
        <v>0</v>
      </c>
      <c r="B5535" t="s">
        <v>398</v>
      </c>
      <c r="C5535" t="s">
        <v>7975</v>
      </c>
      <c r="D5535" t="s">
        <v>13018</v>
      </c>
      <c r="E5535" t="s">
        <v>18007</v>
      </c>
      <c r="F5535" t="s">
        <v>22436</v>
      </c>
      <c r="G5535" t="s">
        <v>22444</v>
      </c>
      <c r="H5535" t="s">
        <v>22454</v>
      </c>
      <c r="I5535" t="s">
        <v>7738</v>
      </c>
      <c r="J5535" t="s">
        <v>26206</v>
      </c>
      <c r="K5535" t="s">
        <v>29346</v>
      </c>
      <c r="M5535" t="s">
        <v>29977</v>
      </c>
      <c r="N5535" t="s">
        <v>32524</v>
      </c>
      <c r="O5535" t="s">
        <v>32525</v>
      </c>
      <c r="P5535">
        <v>0</v>
      </c>
      <c r="Q5535">
        <v>4</v>
      </c>
      <c r="R5535" t="s">
        <v>32531</v>
      </c>
      <c r="S5535" t="s">
        <v>32586</v>
      </c>
      <c r="T5535" t="s">
        <v>33424</v>
      </c>
      <c r="U5535" t="s">
        <v>38293</v>
      </c>
      <c r="W5535" t="s">
        <v>29977</v>
      </c>
      <c r="X5535" t="s">
        <v>32532</v>
      </c>
    </row>
    <row r="5536" spans="1:24">
      <c r="A5536">
        <f>HYPERLINK("https://www.philgeps.gov.ph/GEPSNONPILOT/Tender/SplashBidNoticeAbstractUI.aspx?menuIndex=3&amp;refID=7040249&amp;Result=3","7040249")</f>
        <v>0</v>
      </c>
      <c r="B5536" t="s">
        <v>304</v>
      </c>
      <c r="C5536" t="s">
        <v>7976</v>
      </c>
      <c r="D5536" t="s">
        <v>13000</v>
      </c>
      <c r="E5536" t="s">
        <v>18008</v>
      </c>
      <c r="F5536" t="s">
        <v>22436</v>
      </c>
      <c r="G5536" t="s">
        <v>22444</v>
      </c>
      <c r="H5536" t="s">
        <v>22454</v>
      </c>
      <c r="I5536" t="s">
        <v>7738</v>
      </c>
      <c r="J5536" t="s">
        <v>22979</v>
      </c>
      <c r="K5536" t="s">
        <v>29335</v>
      </c>
      <c r="M5536" t="s">
        <v>29878</v>
      </c>
      <c r="N5536" t="s">
        <v>32524</v>
      </c>
      <c r="O5536" t="s">
        <v>32525</v>
      </c>
      <c r="P5536">
        <v>0</v>
      </c>
      <c r="Q5536">
        <v>0</v>
      </c>
      <c r="R5536" t="s">
        <v>32531</v>
      </c>
      <c r="S5536" t="s">
        <v>32586</v>
      </c>
      <c r="T5536" t="s">
        <v>33311</v>
      </c>
      <c r="U5536" t="s">
        <v>38294</v>
      </c>
      <c r="V5536" t="s">
        <v>42522</v>
      </c>
      <c r="W5536" t="s">
        <v>29878</v>
      </c>
      <c r="X5536" t="s">
        <v>32532</v>
      </c>
    </row>
    <row r="5537" spans="1:24">
      <c r="A5537">
        <f>HYPERLINK("https://www.philgeps.gov.ph/GEPSNONPILOT/Tender/SplashBidNoticeAbstractUI.aspx?menuIndex=3&amp;refID=7040266&amp;Result=3","7040266")</f>
        <v>0</v>
      </c>
      <c r="B5537" t="s">
        <v>525</v>
      </c>
      <c r="C5537" t="s">
        <v>7977</v>
      </c>
      <c r="D5537" t="s">
        <v>13038</v>
      </c>
      <c r="E5537" t="s">
        <v>7977</v>
      </c>
      <c r="F5537" t="s">
        <v>22436</v>
      </c>
      <c r="G5537" t="s">
        <v>22444</v>
      </c>
      <c r="H5537" t="s">
        <v>22452</v>
      </c>
      <c r="I5537" t="s">
        <v>3827</v>
      </c>
      <c r="J5537" t="s">
        <v>26207</v>
      </c>
      <c r="K5537" t="s">
        <v>29335</v>
      </c>
      <c r="M5537" t="s">
        <v>30109</v>
      </c>
      <c r="N5537" t="s">
        <v>32524</v>
      </c>
      <c r="O5537" t="s">
        <v>32525</v>
      </c>
      <c r="P5537">
        <v>0</v>
      </c>
      <c r="Q5537">
        <v>1</v>
      </c>
      <c r="R5537" t="s">
        <v>32531</v>
      </c>
      <c r="S5537" t="s">
        <v>32586</v>
      </c>
      <c r="T5537" t="s">
        <v>33252</v>
      </c>
      <c r="U5537" t="s">
        <v>38295</v>
      </c>
      <c r="W5537" t="s">
        <v>30109</v>
      </c>
      <c r="X5537" t="s">
        <v>32532</v>
      </c>
    </row>
    <row r="5538" spans="1:24">
      <c r="A5538">
        <f>HYPERLINK("https://www.philgeps.gov.ph/GEPSNONPILOT/Tender/SplashBidNoticeAbstractUI.aspx?menuIndex=3&amp;refID=7040261&amp;Result=3","7040261")</f>
        <v>0</v>
      </c>
      <c r="B5538" t="s">
        <v>1263</v>
      </c>
      <c r="C5538" t="s">
        <v>7978</v>
      </c>
      <c r="D5538" t="s">
        <v>13057</v>
      </c>
      <c r="E5538" t="s">
        <v>18009</v>
      </c>
      <c r="F5538" t="s">
        <v>22436</v>
      </c>
      <c r="G5538" t="s">
        <v>22446</v>
      </c>
      <c r="H5538" t="s">
        <v>22452</v>
      </c>
      <c r="I5538" t="s">
        <v>3827</v>
      </c>
      <c r="J5538" t="s">
        <v>22588</v>
      </c>
      <c r="K5538" t="s">
        <v>29336</v>
      </c>
      <c r="M5538" t="s">
        <v>30916</v>
      </c>
      <c r="N5538" t="s">
        <v>32524</v>
      </c>
      <c r="O5538" t="s">
        <v>32525</v>
      </c>
      <c r="P5538">
        <v>0</v>
      </c>
      <c r="Q5538">
        <v>2</v>
      </c>
      <c r="R5538" t="s">
        <v>32531</v>
      </c>
      <c r="S5538" t="s">
        <v>32586</v>
      </c>
      <c r="T5538" t="s">
        <v>33220</v>
      </c>
      <c r="U5538" t="s">
        <v>37608</v>
      </c>
      <c r="W5538" t="s">
        <v>30916</v>
      </c>
      <c r="X5538" t="s">
        <v>32532</v>
      </c>
    </row>
    <row r="5539" spans="1:24">
      <c r="A5539">
        <f>HYPERLINK("https://www.philgeps.gov.ph/GEPSNONPILOT/Tender/SplashBidNoticeAbstractUI.aspx?menuIndex=3&amp;refID=7040267&amp;Result=3","7040267")</f>
        <v>0</v>
      </c>
      <c r="B5539" t="s">
        <v>1800</v>
      </c>
      <c r="C5539" t="s">
        <v>7979</v>
      </c>
      <c r="D5539" t="s">
        <v>12996</v>
      </c>
      <c r="E5539" t="s">
        <v>18010</v>
      </c>
      <c r="F5539" t="s">
        <v>22436</v>
      </c>
      <c r="G5539" t="s">
        <v>22443</v>
      </c>
      <c r="H5539" t="s">
        <v>22453</v>
      </c>
      <c r="I5539" t="s">
        <v>22459</v>
      </c>
      <c r="J5539" t="s">
        <v>22607</v>
      </c>
      <c r="K5539" t="s">
        <v>29340</v>
      </c>
      <c r="M5539" t="s">
        <v>31511</v>
      </c>
      <c r="N5539" t="s">
        <v>32524</v>
      </c>
      <c r="O5539" t="s">
        <v>32525</v>
      </c>
      <c r="Q5539">
        <v>1</v>
      </c>
      <c r="R5539" t="s">
        <v>32531</v>
      </c>
      <c r="S5539" t="s">
        <v>32610</v>
      </c>
      <c r="T5539" t="s">
        <v>33296</v>
      </c>
      <c r="U5539" t="s">
        <v>38296</v>
      </c>
      <c r="W5539" t="s">
        <v>31511</v>
      </c>
      <c r="X5539" t="s">
        <v>32532</v>
      </c>
    </row>
    <row r="5540" spans="1:24">
      <c r="A5540">
        <f>HYPERLINK("https://www.philgeps.gov.ph/GEPSNONPILOT/Tender/SplashBidNoticeAbstractUI.aspx?menuIndex=3&amp;refID=7040274&amp;Result=3","7040274")</f>
        <v>0</v>
      </c>
      <c r="B5540" t="s">
        <v>790</v>
      </c>
      <c r="C5540" t="s">
        <v>7980</v>
      </c>
      <c r="D5540" t="s">
        <v>13018</v>
      </c>
      <c r="E5540" t="s">
        <v>18011</v>
      </c>
      <c r="F5540" t="s">
        <v>22436</v>
      </c>
      <c r="G5540" t="s">
        <v>22446</v>
      </c>
      <c r="H5540" t="s">
        <v>22452</v>
      </c>
      <c r="I5540" t="s">
        <v>6421</v>
      </c>
      <c r="J5540" t="s">
        <v>26208</v>
      </c>
      <c r="K5540" t="s">
        <v>29338</v>
      </c>
      <c r="M5540" t="s">
        <v>30391</v>
      </c>
      <c r="N5540" t="s">
        <v>32524</v>
      </c>
      <c r="O5540" t="s">
        <v>32525</v>
      </c>
      <c r="P5540">
        <v>0</v>
      </c>
      <c r="Q5540">
        <v>2</v>
      </c>
      <c r="R5540" t="s">
        <v>32531</v>
      </c>
      <c r="S5540" t="s">
        <v>32586</v>
      </c>
      <c r="T5540" t="s">
        <v>33296</v>
      </c>
      <c r="U5540" t="s">
        <v>35314</v>
      </c>
      <c r="W5540" t="s">
        <v>30391</v>
      </c>
      <c r="X5540" t="s">
        <v>32532</v>
      </c>
    </row>
    <row r="5541" spans="1:24">
      <c r="A5541">
        <f>HYPERLINK("https://www.philgeps.gov.ph/GEPSNONPILOT/Tender/SplashBidNoticeAbstractUI.aspx?menuIndex=3&amp;refID=7040268&amp;Result=3","7040268")</f>
        <v>0</v>
      </c>
      <c r="B5541" t="s">
        <v>1798</v>
      </c>
      <c r="C5541" t="s">
        <v>7964</v>
      </c>
      <c r="D5541" t="s">
        <v>13018</v>
      </c>
      <c r="E5541" t="s">
        <v>18012</v>
      </c>
      <c r="F5541" t="s">
        <v>22436</v>
      </c>
      <c r="G5541" t="s">
        <v>22443</v>
      </c>
      <c r="H5541" t="s">
        <v>22452</v>
      </c>
      <c r="I5541" t="s">
        <v>3027</v>
      </c>
      <c r="J5541" t="s">
        <v>26209</v>
      </c>
      <c r="K5541" t="s">
        <v>29336</v>
      </c>
      <c r="M5541" t="s">
        <v>31509</v>
      </c>
      <c r="N5541" t="s">
        <v>32524</v>
      </c>
      <c r="O5541" t="s">
        <v>32525</v>
      </c>
      <c r="P5541">
        <v>0</v>
      </c>
      <c r="Q5541">
        <v>0</v>
      </c>
      <c r="R5541" t="s">
        <v>32531</v>
      </c>
      <c r="S5541" t="s">
        <v>32586</v>
      </c>
      <c r="T5541" t="s">
        <v>33406</v>
      </c>
      <c r="U5541" t="s">
        <v>38281</v>
      </c>
      <c r="W5541" t="s">
        <v>31509</v>
      </c>
      <c r="X5541" t="s">
        <v>32532</v>
      </c>
    </row>
    <row r="5542" spans="1:24">
      <c r="A5542">
        <f>HYPERLINK("https://www.philgeps.gov.ph/GEPSNONPILOT/Tender/SplashBidNoticeAbstractUI.aspx?menuIndex=3&amp;refID=7040291&amp;Result=3","7040291")</f>
        <v>0</v>
      </c>
      <c r="B5542" t="s">
        <v>1699</v>
      </c>
      <c r="C5542" t="s">
        <v>7981</v>
      </c>
      <c r="D5542" t="s">
        <v>13016</v>
      </c>
      <c r="E5542" t="s">
        <v>18013</v>
      </c>
      <c r="F5542" t="s">
        <v>22436</v>
      </c>
      <c r="G5542" t="s">
        <v>22444</v>
      </c>
      <c r="H5542" t="s">
        <v>22454</v>
      </c>
      <c r="I5542" t="s">
        <v>7738</v>
      </c>
      <c r="J5542" t="s">
        <v>26210</v>
      </c>
      <c r="K5542" t="s">
        <v>29419</v>
      </c>
      <c r="M5542" t="s">
        <v>31401</v>
      </c>
      <c r="N5542" t="s">
        <v>32524</v>
      </c>
      <c r="O5542" t="s">
        <v>32525</v>
      </c>
      <c r="P5542">
        <v>0</v>
      </c>
      <c r="Q5542">
        <v>1</v>
      </c>
      <c r="R5542" t="s">
        <v>32531</v>
      </c>
      <c r="S5542" t="s">
        <v>32586</v>
      </c>
      <c r="T5542" t="s">
        <v>33385</v>
      </c>
      <c r="U5542" t="s">
        <v>38297</v>
      </c>
      <c r="W5542" t="s">
        <v>31401</v>
      </c>
      <c r="X5542" t="s">
        <v>32532</v>
      </c>
    </row>
    <row r="5543" spans="1:24">
      <c r="A5543">
        <f>HYPERLINK("https://www.philgeps.gov.ph/GEPSNONPILOT/Tender/SplashBidNoticeAbstractUI.aspx?menuIndex=3&amp;refID=7040269&amp;Result=3","7040269")</f>
        <v>0</v>
      </c>
      <c r="B5543" t="s">
        <v>1806</v>
      </c>
      <c r="C5543" t="s">
        <v>7982</v>
      </c>
      <c r="D5543" t="s">
        <v>13007</v>
      </c>
      <c r="E5543" t="s">
        <v>18014</v>
      </c>
      <c r="F5543" t="s">
        <v>22436</v>
      </c>
      <c r="G5543" t="s">
        <v>22444</v>
      </c>
      <c r="H5543" t="s">
        <v>22452</v>
      </c>
      <c r="I5543" t="s">
        <v>22482</v>
      </c>
      <c r="J5543" t="s">
        <v>26211</v>
      </c>
      <c r="K5543" t="s">
        <v>29335</v>
      </c>
      <c r="M5543" t="s">
        <v>31519</v>
      </c>
      <c r="N5543" t="s">
        <v>32524</v>
      </c>
      <c r="O5543" t="s">
        <v>32525</v>
      </c>
      <c r="P5543">
        <v>0</v>
      </c>
      <c r="Q5543">
        <v>3</v>
      </c>
      <c r="R5543" t="s">
        <v>32531</v>
      </c>
      <c r="S5543" t="s">
        <v>32586</v>
      </c>
      <c r="T5543" t="s">
        <v>33220</v>
      </c>
      <c r="U5543" t="s">
        <v>38298</v>
      </c>
      <c r="W5543" t="s">
        <v>31519</v>
      </c>
      <c r="X5543" t="s">
        <v>32532</v>
      </c>
    </row>
    <row r="5544" spans="1:24">
      <c r="A5544">
        <f>HYPERLINK("https://www.philgeps.gov.ph/GEPSNONPILOT/Tender/SplashBidNoticeAbstractUI.aspx?menuIndex=3&amp;refID=7040288&amp;Result=3","7040288")</f>
        <v>0</v>
      </c>
      <c r="B5544" t="s">
        <v>323</v>
      </c>
      <c r="C5544" t="s">
        <v>7983</v>
      </c>
      <c r="D5544" t="s">
        <v>13013</v>
      </c>
      <c r="E5544" t="s">
        <v>14028</v>
      </c>
      <c r="F5544" t="s">
        <v>22436</v>
      </c>
      <c r="G5544" t="s">
        <v>22447</v>
      </c>
      <c r="H5544" t="s">
        <v>22452</v>
      </c>
      <c r="I5544" t="s">
        <v>22467</v>
      </c>
      <c r="J5544" t="s">
        <v>26212</v>
      </c>
      <c r="K5544" t="s">
        <v>29341</v>
      </c>
      <c r="M5544" t="s">
        <v>29899</v>
      </c>
      <c r="N5544" t="s">
        <v>32524</v>
      </c>
      <c r="O5544" t="s">
        <v>32525</v>
      </c>
      <c r="P5544">
        <v>0</v>
      </c>
      <c r="Q5544">
        <v>1</v>
      </c>
      <c r="R5544" t="s">
        <v>32531</v>
      </c>
      <c r="S5544" t="s">
        <v>32586</v>
      </c>
      <c r="T5544" t="s">
        <v>33197</v>
      </c>
      <c r="U5544" t="s">
        <v>38287</v>
      </c>
      <c r="W5544" t="s">
        <v>29899</v>
      </c>
      <c r="X5544" t="s">
        <v>32532</v>
      </c>
    </row>
    <row r="5545" spans="1:24">
      <c r="A5545">
        <f>HYPERLINK("https://www.philgeps.gov.ph/GEPSNONPILOT/Tender/SplashBidNoticeAbstractUI.aspx?menuIndex=3&amp;refID=7040285&amp;Result=3","7040285")</f>
        <v>0</v>
      </c>
      <c r="B5545" t="s">
        <v>1807</v>
      </c>
      <c r="C5545" t="s">
        <v>7984</v>
      </c>
      <c r="D5545" t="s">
        <v>13018</v>
      </c>
      <c r="E5545" t="s">
        <v>18015</v>
      </c>
      <c r="F5545" t="s">
        <v>22436</v>
      </c>
      <c r="G5545" t="s">
        <v>22444</v>
      </c>
      <c r="H5545" t="s">
        <v>22452</v>
      </c>
      <c r="I5545" t="s">
        <v>6421</v>
      </c>
      <c r="J5545" t="s">
        <v>26213</v>
      </c>
      <c r="K5545" t="s">
        <v>29335</v>
      </c>
      <c r="M5545" t="s">
        <v>31520</v>
      </c>
      <c r="N5545" t="s">
        <v>32524</v>
      </c>
      <c r="O5545" t="s">
        <v>32525</v>
      </c>
      <c r="P5545">
        <v>0</v>
      </c>
      <c r="Q5545">
        <v>2</v>
      </c>
      <c r="R5545" t="s">
        <v>32531</v>
      </c>
      <c r="S5545" t="s">
        <v>32586</v>
      </c>
      <c r="T5545" t="s">
        <v>33309</v>
      </c>
      <c r="U5545" t="s">
        <v>38299</v>
      </c>
      <c r="W5545" t="s">
        <v>31520</v>
      </c>
      <c r="X5545" t="s">
        <v>32532</v>
      </c>
    </row>
    <row r="5546" spans="1:24">
      <c r="A5546">
        <f>HYPERLINK("https://www.philgeps.gov.ph/GEPSNONPILOT/Tender/SplashBidNoticeAbstractUI.aspx?menuIndex=3&amp;refID=7040293&amp;Result=3","7040293")</f>
        <v>0</v>
      </c>
      <c r="B5546" t="s">
        <v>665</v>
      </c>
      <c r="C5546" t="s">
        <v>7985</v>
      </c>
      <c r="D5546" t="s">
        <v>13038</v>
      </c>
      <c r="E5546" t="s">
        <v>18016</v>
      </c>
      <c r="F5546" t="s">
        <v>22436</v>
      </c>
      <c r="G5546" t="s">
        <v>22448</v>
      </c>
      <c r="H5546" t="s">
        <v>22452</v>
      </c>
      <c r="I5546" t="s">
        <v>22469</v>
      </c>
      <c r="J5546" t="s">
        <v>25685</v>
      </c>
      <c r="K5546" t="s">
        <v>29337</v>
      </c>
      <c r="M5546" t="s">
        <v>30257</v>
      </c>
      <c r="N5546" t="s">
        <v>32524</v>
      </c>
      <c r="O5546" t="s">
        <v>32525</v>
      </c>
      <c r="P5546">
        <v>0</v>
      </c>
      <c r="Q5546">
        <v>1</v>
      </c>
      <c r="R5546" t="s">
        <v>32531</v>
      </c>
      <c r="S5546" t="s">
        <v>32586</v>
      </c>
      <c r="T5546" t="s">
        <v>33220</v>
      </c>
      <c r="U5546" t="s">
        <v>38300</v>
      </c>
      <c r="W5546" t="s">
        <v>30257</v>
      </c>
      <c r="X5546" t="s">
        <v>32532</v>
      </c>
    </row>
    <row r="5547" spans="1:24">
      <c r="A5547">
        <f>HYPERLINK("https://www.philgeps.gov.ph/GEPSNONPILOT/Tender/SplashBidNoticeAbstractUI.aspx?menuIndex=3&amp;refID=7040279&amp;Result=3","7040279")</f>
        <v>0</v>
      </c>
      <c r="B5547" t="s">
        <v>1808</v>
      </c>
      <c r="C5547" t="s">
        <v>7738</v>
      </c>
      <c r="E5547" t="s">
        <v>18017</v>
      </c>
      <c r="F5547" t="s">
        <v>22436</v>
      </c>
      <c r="G5547" t="s">
        <v>22451</v>
      </c>
      <c r="H5547" t="s">
        <v>22454</v>
      </c>
      <c r="I5547" t="s">
        <v>7738</v>
      </c>
      <c r="J5547" t="s">
        <v>22936</v>
      </c>
      <c r="K5547" t="s">
        <v>29336</v>
      </c>
      <c r="M5547" t="s">
        <v>31521</v>
      </c>
      <c r="N5547" t="s">
        <v>32524</v>
      </c>
      <c r="O5547" t="s">
        <v>32525</v>
      </c>
      <c r="P5547">
        <v>0</v>
      </c>
      <c r="Q5547">
        <v>0</v>
      </c>
      <c r="R5547" t="s">
        <v>32531</v>
      </c>
      <c r="S5547" t="s">
        <v>32586</v>
      </c>
      <c r="T5547" t="s">
        <v>33172</v>
      </c>
      <c r="U5547" t="s">
        <v>38301</v>
      </c>
      <c r="W5547" t="s">
        <v>31521</v>
      </c>
      <c r="X5547" t="s">
        <v>32532</v>
      </c>
    </row>
    <row r="5548" spans="1:24">
      <c r="A5548">
        <f>HYPERLINK("https://www.philgeps.gov.ph/GEPSNONPILOT/Tender/SplashBidNoticeAbstractUI.aspx?menuIndex=3&amp;refID=7040271&amp;Result=3","7040271")</f>
        <v>0</v>
      </c>
      <c r="B5548" t="s">
        <v>1070</v>
      </c>
      <c r="C5548" t="s">
        <v>7986</v>
      </c>
      <c r="E5548" t="s">
        <v>18018</v>
      </c>
      <c r="F5548" t="s">
        <v>22436</v>
      </c>
      <c r="G5548" t="s">
        <v>22443</v>
      </c>
      <c r="H5548" t="s">
        <v>22452</v>
      </c>
      <c r="I5548" t="s">
        <v>22493</v>
      </c>
      <c r="J5548" t="s">
        <v>24624</v>
      </c>
      <c r="K5548" t="s">
        <v>29338</v>
      </c>
      <c r="M5548" t="s">
        <v>31329</v>
      </c>
      <c r="N5548" t="s">
        <v>32524</v>
      </c>
      <c r="O5548" t="s">
        <v>32525</v>
      </c>
      <c r="P5548">
        <v>0</v>
      </c>
      <c r="Q5548">
        <v>2</v>
      </c>
      <c r="R5548" t="s">
        <v>32531</v>
      </c>
      <c r="S5548" t="s">
        <v>32586</v>
      </c>
      <c r="T5548" t="s">
        <v>33372</v>
      </c>
      <c r="U5548" t="s">
        <v>38302</v>
      </c>
      <c r="V5548" t="s">
        <v>42948</v>
      </c>
      <c r="W5548" t="s">
        <v>31329</v>
      </c>
      <c r="X5548" t="s">
        <v>32532</v>
      </c>
    </row>
    <row r="5549" spans="1:24">
      <c r="A5549">
        <f>HYPERLINK("https://www.philgeps.gov.ph/GEPSNONPILOT/Tender/SplashBidNoticeAbstractUI.aspx?menuIndex=3&amp;refID=7040296&amp;Result=3","7040296")</f>
        <v>0</v>
      </c>
      <c r="B5549" t="s">
        <v>1809</v>
      </c>
      <c r="C5549" t="s">
        <v>7987</v>
      </c>
      <c r="D5549" t="s">
        <v>13010</v>
      </c>
      <c r="E5549" t="s">
        <v>13320</v>
      </c>
      <c r="F5549" t="s">
        <v>22437</v>
      </c>
      <c r="G5549" t="s">
        <v>22444</v>
      </c>
      <c r="H5549" t="s">
        <v>22452</v>
      </c>
      <c r="I5549" t="s">
        <v>3529</v>
      </c>
      <c r="J5549" t="s">
        <v>26214</v>
      </c>
      <c r="K5549" t="s">
        <v>29341</v>
      </c>
      <c r="M5549" t="s">
        <v>31522</v>
      </c>
      <c r="N5549" t="s">
        <v>32524</v>
      </c>
      <c r="O5549" t="s">
        <v>32525</v>
      </c>
      <c r="P5549">
        <v>0</v>
      </c>
      <c r="Q5549">
        <v>0</v>
      </c>
      <c r="R5549" t="s">
        <v>32531</v>
      </c>
      <c r="S5549" t="s">
        <v>32586</v>
      </c>
      <c r="T5549" t="s">
        <v>33236</v>
      </c>
      <c r="U5549" t="s">
        <v>38303</v>
      </c>
      <c r="W5549" t="s">
        <v>31522</v>
      </c>
      <c r="X5549" t="s">
        <v>32532</v>
      </c>
    </row>
    <row r="5550" spans="1:24">
      <c r="A5550">
        <f>HYPERLINK("https://www.philgeps.gov.ph/GEPSNONPILOT/Tender/SplashBidNoticeAbstractUI.aspx?menuIndex=3&amp;refID=7040322&amp;Result=3","7040322")</f>
        <v>0</v>
      </c>
      <c r="B5550" t="s">
        <v>820</v>
      </c>
      <c r="C5550" t="s">
        <v>7988</v>
      </c>
      <c r="D5550" t="s">
        <v>13004</v>
      </c>
      <c r="E5550" t="s">
        <v>18019</v>
      </c>
      <c r="F5550" t="s">
        <v>22436</v>
      </c>
      <c r="G5550" t="s">
        <v>22444</v>
      </c>
      <c r="H5550" t="s">
        <v>22452</v>
      </c>
      <c r="I5550" t="s">
        <v>22474</v>
      </c>
      <c r="J5550" t="s">
        <v>22960</v>
      </c>
      <c r="K5550" t="s">
        <v>29352</v>
      </c>
      <c r="M5550" t="s">
        <v>30426</v>
      </c>
      <c r="N5550" t="s">
        <v>32524</v>
      </c>
      <c r="O5550" t="s">
        <v>32525</v>
      </c>
      <c r="P5550">
        <v>0</v>
      </c>
      <c r="Q5550">
        <v>5</v>
      </c>
      <c r="R5550" t="s">
        <v>32531</v>
      </c>
      <c r="S5550" t="s">
        <v>32586</v>
      </c>
      <c r="T5550" t="s">
        <v>33423</v>
      </c>
      <c r="U5550" t="s">
        <v>38304</v>
      </c>
      <c r="W5550" t="s">
        <v>30426</v>
      </c>
      <c r="X5550" t="s">
        <v>32532</v>
      </c>
    </row>
    <row r="5551" spans="1:24">
      <c r="A5551">
        <f>HYPERLINK("https://www.philgeps.gov.ph/GEPSNONPILOT/Tender/SplashBidNoticeAbstractUI.aspx?menuIndex=3&amp;refID=7040297&amp;Result=3","7040297")</f>
        <v>0</v>
      </c>
      <c r="B5551" t="s">
        <v>525</v>
      </c>
      <c r="C5551" t="s">
        <v>7989</v>
      </c>
      <c r="D5551" t="s">
        <v>13038</v>
      </c>
      <c r="E5551" t="s">
        <v>18020</v>
      </c>
      <c r="F5551" t="s">
        <v>22436</v>
      </c>
      <c r="G5551" t="s">
        <v>22444</v>
      </c>
      <c r="H5551" t="s">
        <v>22452</v>
      </c>
      <c r="I5551" t="s">
        <v>12358</v>
      </c>
      <c r="J5551" t="s">
        <v>26215</v>
      </c>
      <c r="K5551" t="s">
        <v>29335</v>
      </c>
      <c r="M5551" t="s">
        <v>30109</v>
      </c>
      <c r="N5551" t="s">
        <v>32524</v>
      </c>
      <c r="O5551" t="s">
        <v>32525</v>
      </c>
      <c r="P5551">
        <v>0</v>
      </c>
      <c r="Q5551">
        <v>0</v>
      </c>
      <c r="R5551" t="s">
        <v>32531</v>
      </c>
      <c r="S5551" t="s">
        <v>32586</v>
      </c>
      <c r="T5551" t="s">
        <v>33252</v>
      </c>
      <c r="U5551" t="s">
        <v>38305</v>
      </c>
      <c r="W5551" t="s">
        <v>30109</v>
      </c>
      <c r="X5551" t="s">
        <v>32532</v>
      </c>
    </row>
    <row r="5552" spans="1:24">
      <c r="A5552">
        <f>HYPERLINK("https://www.philgeps.gov.ph/GEPSNONPILOT/Tender/SplashBidNoticeAbstractUI.aspx?menuIndex=3&amp;refID=7040277&amp;Result=3","7040277")</f>
        <v>0</v>
      </c>
      <c r="B5552" t="s">
        <v>505</v>
      </c>
      <c r="C5552" t="s">
        <v>7990</v>
      </c>
      <c r="D5552" t="s">
        <v>13031</v>
      </c>
      <c r="E5552" t="s">
        <v>18021</v>
      </c>
      <c r="F5552" t="s">
        <v>22436</v>
      </c>
      <c r="G5552" t="s">
        <v>22446</v>
      </c>
      <c r="H5552" t="s">
        <v>22452</v>
      </c>
      <c r="I5552" t="s">
        <v>2962</v>
      </c>
      <c r="J5552" t="s">
        <v>26216</v>
      </c>
      <c r="K5552" t="s">
        <v>29338</v>
      </c>
      <c r="M5552" t="s">
        <v>30089</v>
      </c>
      <c r="N5552" t="s">
        <v>32524</v>
      </c>
      <c r="O5552" t="s">
        <v>32525</v>
      </c>
      <c r="P5552">
        <v>0</v>
      </c>
      <c r="Q5552">
        <v>0</v>
      </c>
      <c r="R5552" t="s">
        <v>32531</v>
      </c>
      <c r="S5552" t="s">
        <v>32586</v>
      </c>
      <c r="T5552" t="s">
        <v>33327</v>
      </c>
      <c r="U5552" t="s">
        <v>38306</v>
      </c>
      <c r="W5552" t="s">
        <v>30089</v>
      </c>
      <c r="X5552" t="s">
        <v>32532</v>
      </c>
    </row>
    <row r="5553" spans="1:24">
      <c r="A5553">
        <f>HYPERLINK("https://www.philgeps.gov.ph/GEPSNONPILOT/Tender/SplashBidNoticeAbstractUI.aspx?menuIndex=3&amp;refID=7040306&amp;Result=3","7040306")</f>
        <v>0</v>
      </c>
      <c r="B5553" t="s">
        <v>738</v>
      </c>
      <c r="C5553" t="s">
        <v>7991</v>
      </c>
      <c r="D5553" t="s">
        <v>13046</v>
      </c>
      <c r="E5553" t="s">
        <v>18022</v>
      </c>
      <c r="F5553" t="s">
        <v>22436</v>
      </c>
      <c r="G5553" t="s">
        <v>22444</v>
      </c>
      <c r="H5553" t="s">
        <v>22452</v>
      </c>
      <c r="I5553" t="s">
        <v>22467</v>
      </c>
      <c r="J5553" t="s">
        <v>26217</v>
      </c>
      <c r="K5553" t="s">
        <v>29338</v>
      </c>
      <c r="L5553" t="s">
        <v>738</v>
      </c>
      <c r="M5553" t="s">
        <v>30338</v>
      </c>
      <c r="N5553" t="s">
        <v>32524</v>
      </c>
      <c r="O5553" t="s">
        <v>32525</v>
      </c>
      <c r="P5553">
        <v>0</v>
      </c>
      <c r="Q5553">
        <v>0</v>
      </c>
      <c r="R5553" t="s">
        <v>32531</v>
      </c>
      <c r="S5553" t="s">
        <v>32586</v>
      </c>
      <c r="T5553" t="s">
        <v>33209</v>
      </c>
      <c r="U5553" t="s">
        <v>38307</v>
      </c>
      <c r="W5553" t="s">
        <v>30338</v>
      </c>
      <c r="X5553" t="s">
        <v>32532</v>
      </c>
    </row>
    <row r="5554" spans="1:24">
      <c r="A5554">
        <f>HYPERLINK("https://www.philgeps.gov.ph/GEPSNONPILOT/Tender/SplashBidNoticeAbstractUI.aspx?menuIndex=3&amp;refID=7040295&amp;Result=3","7040295")</f>
        <v>0</v>
      </c>
      <c r="B5554" t="s">
        <v>1777</v>
      </c>
      <c r="C5554" t="s">
        <v>7992</v>
      </c>
      <c r="D5554" t="s">
        <v>13027</v>
      </c>
      <c r="E5554" t="s">
        <v>18023</v>
      </c>
      <c r="F5554" t="s">
        <v>22436</v>
      </c>
      <c r="G5554" t="s">
        <v>22444</v>
      </c>
      <c r="H5554" t="s">
        <v>22454</v>
      </c>
      <c r="I5554" t="s">
        <v>7738</v>
      </c>
      <c r="J5554" t="s">
        <v>26218</v>
      </c>
      <c r="K5554" t="s">
        <v>29478</v>
      </c>
      <c r="M5554" t="s">
        <v>31486</v>
      </c>
      <c r="N5554" t="s">
        <v>32524</v>
      </c>
      <c r="O5554" t="s">
        <v>32525</v>
      </c>
      <c r="P5554">
        <v>0</v>
      </c>
      <c r="Q5554">
        <v>0</v>
      </c>
      <c r="R5554" t="s">
        <v>32531</v>
      </c>
      <c r="S5554" t="s">
        <v>32586</v>
      </c>
      <c r="T5554" t="s">
        <v>33185</v>
      </c>
      <c r="U5554" t="s">
        <v>38308</v>
      </c>
      <c r="V5554" t="s">
        <v>43024</v>
      </c>
      <c r="W5554" t="s">
        <v>31486</v>
      </c>
      <c r="X5554" t="s">
        <v>32532</v>
      </c>
    </row>
    <row r="5555" spans="1:24">
      <c r="A5555">
        <f>HYPERLINK("https://www.philgeps.gov.ph/GEPSNONPILOT/Tender/SplashBidNoticeAbstractUI.aspx?menuIndex=3&amp;refID=7040305&amp;Result=3","7040305")</f>
        <v>0</v>
      </c>
      <c r="B5555" t="s">
        <v>1752</v>
      </c>
      <c r="C5555" t="s">
        <v>7993</v>
      </c>
      <c r="D5555" t="s">
        <v>13022</v>
      </c>
      <c r="E5555" t="s">
        <v>18024</v>
      </c>
      <c r="F5555" t="s">
        <v>22436</v>
      </c>
      <c r="G5555" t="s">
        <v>22443</v>
      </c>
      <c r="H5555" t="s">
        <v>22452</v>
      </c>
      <c r="I5555" t="s">
        <v>22476</v>
      </c>
      <c r="J5555" t="s">
        <v>26219</v>
      </c>
      <c r="K5555" t="s">
        <v>29341</v>
      </c>
      <c r="M5555" t="s">
        <v>31457</v>
      </c>
      <c r="N5555" t="s">
        <v>32524</v>
      </c>
      <c r="O5555" t="s">
        <v>32525</v>
      </c>
      <c r="P5555">
        <v>0</v>
      </c>
      <c r="Q5555">
        <v>1</v>
      </c>
      <c r="R5555" t="s">
        <v>32531</v>
      </c>
      <c r="S5555" t="s">
        <v>32586</v>
      </c>
      <c r="T5555" t="s">
        <v>33372</v>
      </c>
      <c r="U5555" t="s">
        <v>38309</v>
      </c>
      <c r="W5555" t="s">
        <v>31457</v>
      </c>
      <c r="X5555" t="s">
        <v>32532</v>
      </c>
    </row>
    <row r="5556" spans="1:24">
      <c r="A5556">
        <f>HYPERLINK("https://www.philgeps.gov.ph/GEPSNONPILOT/Tender/SplashBidNoticeAbstractUI.aspx?menuIndex=3&amp;refID=7040329&amp;Result=3","7040329")</f>
        <v>0</v>
      </c>
      <c r="B5556" t="s">
        <v>1760</v>
      </c>
      <c r="C5556" t="s">
        <v>7994</v>
      </c>
      <c r="E5556" t="s">
        <v>18025</v>
      </c>
      <c r="F5556" t="s">
        <v>22436</v>
      </c>
      <c r="G5556" t="s">
        <v>22444</v>
      </c>
      <c r="H5556" t="s">
        <v>22452</v>
      </c>
      <c r="I5556" t="s">
        <v>7738</v>
      </c>
      <c r="J5556" t="s">
        <v>24103</v>
      </c>
      <c r="K5556" t="s">
        <v>29388</v>
      </c>
      <c r="M5556" t="s">
        <v>31466</v>
      </c>
      <c r="N5556" t="s">
        <v>32524</v>
      </c>
      <c r="O5556" t="s">
        <v>32525</v>
      </c>
      <c r="P5556">
        <v>0</v>
      </c>
      <c r="Q5556">
        <v>0</v>
      </c>
      <c r="R5556" t="s">
        <v>32531</v>
      </c>
      <c r="S5556" t="s">
        <v>32586</v>
      </c>
      <c r="T5556" t="s">
        <v>33218</v>
      </c>
      <c r="U5556" t="s">
        <v>38310</v>
      </c>
      <c r="W5556" t="s">
        <v>31466</v>
      </c>
      <c r="X5556" t="s">
        <v>32532</v>
      </c>
    </row>
    <row r="5557" spans="1:24">
      <c r="A5557">
        <f>HYPERLINK("https://www.philgeps.gov.ph/GEPSNONPILOT/Tender/SplashBidNoticeAbstractUI.aspx?menuIndex=3&amp;refID=7040309&amp;Result=3","7040309")</f>
        <v>0</v>
      </c>
      <c r="B5557" t="s">
        <v>1807</v>
      </c>
      <c r="C5557" t="s">
        <v>7995</v>
      </c>
      <c r="D5557" t="s">
        <v>13018</v>
      </c>
      <c r="E5557" t="s">
        <v>18026</v>
      </c>
      <c r="F5557" t="s">
        <v>22436</v>
      </c>
      <c r="G5557" t="s">
        <v>22444</v>
      </c>
      <c r="H5557" t="s">
        <v>22452</v>
      </c>
      <c r="I5557" t="s">
        <v>22463</v>
      </c>
      <c r="J5557" t="s">
        <v>26220</v>
      </c>
      <c r="K5557" t="s">
        <v>29335</v>
      </c>
      <c r="M5557" t="s">
        <v>31520</v>
      </c>
      <c r="N5557" t="s">
        <v>32524</v>
      </c>
      <c r="O5557" t="s">
        <v>32525</v>
      </c>
      <c r="P5557">
        <v>0</v>
      </c>
      <c r="Q5557">
        <v>4</v>
      </c>
      <c r="R5557" t="s">
        <v>32531</v>
      </c>
      <c r="S5557" t="s">
        <v>32586</v>
      </c>
      <c r="T5557" t="s">
        <v>33309</v>
      </c>
      <c r="U5557" t="s">
        <v>38299</v>
      </c>
      <c r="W5557" t="s">
        <v>31520</v>
      </c>
      <c r="X5557" t="s">
        <v>32532</v>
      </c>
    </row>
    <row r="5558" spans="1:24">
      <c r="A5558">
        <f>HYPERLINK("https://www.philgeps.gov.ph/GEPSNONPILOT/Tender/SplashBidNoticeAbstractUI.aspx?menuIndex=3&amp;refID=7040352&amp;Result=3","7040352")</f>
        <v>0</v>
      </c>
      <c r="B5558" t="s">
        <v>1807</v>
      </c>
      <c r="C5558" t="s">
        <v>7996</v>
      </c>
      <c r="D5558" t="s">
        <v>13018</v>
      </c>
      <c r="E5558" t="s">
        <v>18027</v>
      </c>
      <c r="F5558" t="s">
        <v>22436</v>
      </c>
      <c r="G5558" t="s">
        <v>22444</v>
      </c>
      <c r="H5558" t="s">
        <v>22452</v>
      </c>
      <c r="I5558" t="s">
        <v>2962</v>
      </c>
      <c r="J5558" t="s">
        <v>26221</v>
      </c>
      <c r="K5558" t="s">
        <v>29335</v>
      </c>
      <c r="M5558" t="s">
        <v>31520</v>
      </c>
      <c r="N5558" t="s">
        <v>32524</v>
      </c>
      <c r="O5558" t="s">
        <v>32525</v>
      </c>
      <c r="P5558">
        <v>0</v>
      </c>
      <c r="Q5558">
        <v>0</v>
      </c>
      <c r="R5558" t="s">
        <v>32531</v>
      </c>
      <c r="S5558" t="s">
        <v>32586</v>
      </c>
      <c r="T5558" t="s">
        <v>33309</v>
      </c>
      <c r="U5558" t="s">
        <v>38299</v>
      </c>
      <c r="W5558" t="s">
        <v>31520</v>
      </c>
      <c r="X5558" t="s">
        <v>32532</v>
      </c>
    </row>
    <row r="5559" spans="1:24">
      <c r="A5559">
        <f>HYPERLINK("https://www.philgeps.gov.ph/GEPSNONPILOT/Tender/SplashBidNoticeAbstractUI.aspx?menuIndex=3&amp;refID=7040349&amp;Result=3","7040349")</f>
        <v>0</v>
      </c>
      <c r="B5559" t="s">
        <v>1810</v>
      </c>
      <c r="C5559" t="s">
        <v>7997</v>
      </c>
      <c r="D5559" t="s">
        <v>13067</v>
      </c>
      <c r="E5559" t="s">
        <v>18028</v>
      </c>
      <c r="F5559" t="s">
        <v>22436</v>
      </c>
      <c r="G5559" t="s">
        <v>22444</v>
      </c>
      <c r="H5559" t="s">
        <v>22452</v>
      </c>
      <c r="I5559" t="s">
        <v>2962</v>
      </c>
      <c r="J5559" t="s">
        <v>26222</v>
      </c>
      <c r="K5559" t="s">
        <v>29341</v>
      </c>
      <c r="M5559" t="s">
        <v>31523</v>
      </c>
      <c r="N5559" t="s">
        <v>32524</v>
      </c>
      <c r="O5559" t="s">
        <v>32525</v>
      </c>
      <c r="P5559">
        <v>0</v>
      </c>
      <c r="Q5559">
        <v>0</v>
      </c>
      <c r="R5559" t="s">
        <v>32531</v>
      </c>
      <c r="S5559" t="s">
        <v>32586</v>
      </c>
      <c r="T5559" t="s">
        <v>33213</v>
      </c>
      <c r="U5559" t="s">
        <v>38311</v>
      </c>
      <c r="W5559" t="s">
        <v>31523</v>
      </c>
      <c r="X5559" t="s">
        <v>32532</v>
      </c>
    </row>
    <row r="5560" spans="1:24">
      <c r="A5560">
        <f>HYPERLINK("https://www.philgeps.gov.ph/GEPSNONPILOT/Tender/SplashBidNoticeAbstractUI.aspx?menuIndex=3&amp;refID=7040307&amp;Result=3","7040307")</f>
        <v>0</v>
      </c>
      <c r="B5560" t="s">
        <v>1795</v>
      </c>
      <c r="C5560" t="s">
        <v>7998</v>
      </c>
      <c r="D5560" t="s">
        <v>13057</v>
      </c>
      <c r="E5560" t="s">
        <v>18029</v>
      </c>
      <c r="F5560" t="s">
        <v>22436</v>
      </c>
      <c r="G5560" t="s">
        <v>22444</v>
      </c>
      <c r="H5560" t="s">
        <v>22454</v>
      </c>
      <c r="I5560" t="s">
        <v>7738</v>
      </c>
      <c r="J5560" t="s">
        <v>26223</v>
      </c>
      <c r="K5560" t="s">
        <v>29479</v>
      </c>
      <c r="L5560" t="s">
        <v>1795</v>
      </c>
      <c r="M5560" t="s">
        <v>31506</v>
      </c>
      <c r="N5560" t="s">
        <v>32524</v>
      </c>
      <c r="O5560" t="s">
        <v>32525</v>
      </c>
      <c r="P5560">
        <v>0</v>
      </c>
      <c r="Q5560">
        <v>0</v>
      </c>
      <c r="R5560" t="s">
        <v>32531</v>
      </c>
      <c r="S5560" t="s">
        <v>32586</v>
      </c>
      <c r="T5560" t="s">
        <v>33242</v>
      </c>
      <c r="U5560" t="s">
        <v>38312</v>
      </c>
      <c r="W5560" t="s">
        <v>31506</v>
      </c>
      <c r="X5560" t="s">
        <v>32532</v>
      </c>
    </row>
    <row r="5561" spans="1:24">
      <c r="A5561">
        <f>HYPERLINK("https://www.philgeps.gov.ph/GEPSNONPILOT/Tender/SplashBidNoticeAbstractUI.aspx?menuIndex=3&amp;refID=7040347&amp;Result=3","7040347")</f>
        <v>0</v>
      </c>
      <c r="B5561" t="s">
        <v>831</v>
      </c>
      <c r="C5561" t="s">
        <v>7999</v>
      </c>
      <c r="D5561" t="s">
        <v>13025</v>
      </c>
      <c r="E5561" t="s">
        <v>18030</v>
      </c>
      <c r="F5561" t="s">
        <v>22436</v>
      </c>
      <c r="G5561" t="s">
        <v>22444</v>
      </c>
      <c r="H5561" t="s">
        <v>22454</v>
      </c>
      <c r="I5561" t="s">
        <v>7738</v>
      </c>
      <c r="J5561" t="s">
        <v>22587</v>
      </c>
      <c r="K5561" t="s">
        <v>29334</v>
      </c>
      <c r="M5561" t="s">
        <v>30437</v>
      </c>
      <c r="N5561" t="s">
        <v>32524</v>
      </c>
      <c r="O5561" t="s">
        <v>32525</v>
      </c>
      <c r="P5561">
        <v>0</v>
      </c>
      <c r="Q5561">
        <v>1</v>
      </c>
      <c r="R5561" t="s">
        <v>32531</v>
      </c>
      <c r="S5561" t="s">
        <v>32586</v>
      </c>
      <c r="T5561" t="s">
        <v>33253</v>
      </c>
      <c r="U5561" t="s">
        <v>38313</v>
      </c>
      <c r="W5561" t="s">
        <v>30437</v>
      </c>
      <c r="X5561" t="s">
        <v>32532</v>
      </c>
    </row>
    <row r="5562" spans="1:24">
      <c r="A5562">
        <f>HYPERLINK("https://www.philgeps.gov.ph/GEPSNONPILOT/Tender/SplashBidNoticeAbstractUI.aspx?menuIndex=3&amp;refID=7040353&amp;Result=3","7040353")</f>
        <v>0</v>
      </c>
      <c r="B5562" t="s">
        <v>1811</v>
      </c>
      <c r="C5562" t="s">
        <v>8000</v>
      </c>
      <c r="D5562" t="s">
        <v>13020</v>
      </c>
      <c r="E5562" t="s">
        <v>18031</v>
      </c>
      <c r="F5562" t="s">
        <v>22436</v>
      </c>
      <c r="G5562" t="s">
        <v>22446</v>
      </c>
      <c r="H5562" t="s">
        <v>22452</v>
      </c>
      <c r="I5562" t="s">
        <v>22474</v>
      </c>
      <c r="J5562" t="s">
        <v>22809</v>
      </c>
      <c r="K5562" t="s">
        <v>29341</v>
      </c>
      <c r="M5562" t="s">
        <v>31524</v>
      </c>
      <c r="N5562" t="s">
        <v>32524</v>
      </c>
      <c r="O5562" t="s">
        <v>32525</v>
      </c>
      <c r="P5562">
        <v>0</v>
      </c>
      <c r="Q5562">
        <v>1</v>
      </c>
      <c r="R5562" t="s">
        <v>32531</v>
      </c>
      <c r="S5562" t="s">
        <v>32586</v>
      </c>
      <c r="T5562" t="s">
        <v>33502</v>
      </c>
      <c r="U5562" t="s">
        <v>38314</v>
      </c>
      <c r="V5562" t="s">
        <v>43025</v>
      </c>
      <c r="W5562" t="s">
        <v>31524</v>
      </c>
      <c r="X5562" t="s">
        <v>32532</v>
      </c>
    </row>
    <row r="5563" spans="1:24">
      <c r="A5563">
        <f>HYPERLINK("https://www.philgeps.gov.ph/GEPSNONPILOT/Tender/SplashBidNoticeAbstractUI.aspx?menuIndex=3&amp;refID=7040344&amp;Result=3","7040344")</f>
        <v>0</v>
      </c>
      <c r="B5563" t="s">
        <v>1812</v>
      </c>
      <c r="C5563" t="s">
        <v>8001</v>
      </c>
      <c r="D5563" t="s">
        <v>12998</v>
      </c>
      <c r="E5563" t="s">
        <v>18032</v>
      </c>
      <c r="F5563" t="s">
        <v>22436</v>
      </c>
      <c r="G5563" t="s">
        <v>22444</v>
      </c>
      <c r="H5563" t="s">
        <v>22452</v>
      </c>
      <c r="I5563" t="s">
        <v>2981</v>
      </c>
      <c r="J5563" t="s">
        <v>26224</v>
      </c>
      <c r="K5563" t="s">
        <v>29336</v>
      </c>
      <c r="M5563" t="s">
        <v>31525</v>
      </c>
      <c r="N5563" t="s">
        <v>32524</v>
      </c>
      <c r="O5563" t="s">
        <v>32525</v>
      </c>
      <c r="P5563">
        <v>0</v>
      </c>
      <c r="Q5563">
        <v>1</v>
      </c>
      <c r="R5563" t="s">
        <v>32531</v>
      </c>
      <c r="S5563" t="s">
        <v>32586</v>
      </c>
      <c r="T5563" t="s">
        <v>33213</v>
      </c>
      <c r="U5563" t="s">
        <v>38315</v>
      </c>
      <c r="W5563" t="s">
        <v>31525</v>
      </c>
      <c r="X5563" t="s">
        <v>32532</v>
      </c>
    </row>
    <row r="5564" spans="1:24">
      <c r="A5564">
        <f>HYPERLINK("https://www.philgeps.gov.ph/GEPSNONPILOT/Tender/SplashBidNoticeAbstractUI.aspx?menuIndex=3&amp;refID=7040337&amp;Result=3","7040337")</f>
        <v>0</v>
      </c>
      <c r="B5564" t="s">
        <v>1813</v>
      </c>
      <c r="C5564" t="s">
        <v>8002</v>
      </c>
      <c r="D5564" t="s">
        <v>12993</v>
      </c>
      <c r="E5564" t="s">
        <v>18033</v>
      </c>
      <c r="F5564" t="s">
        <v>22436</v>
      </c>
      <c r="G5564" t="s">
        <v>22443</v>
      </c>
      <c r="H5564" t="s">
        <v>22452</v>
      </c>
      <c r="I5564" t="s">
        <v>3381</v>
      </c>
      <c r="J5564" t="s">
        <v>23424</v>
      </c>
      <c r="K5564" t="s">
        <v>29335</v>
      </c>
      <c r="M5564" t="s">
        <v>31526</v>
      </c>
      <c r="N5564" t="s">
        <v>32524</v>
      </c>
      <c r="O5564" t="s">
        <v>32525</v>
      </c>
      <c r="P5564">
        <v>0</v>
      </c>
      <c r="Q5564">
        <v>1</v>
      </c>
      <c r="R5564" t="s">
        <v>32531</v>
      </c>
      <c r="S5564" t="s">
        <v>32586</v>
      </c>
      <c r="T5564" t="s">
        <v>33502</v>
      </c>
      <c r="U5564" t="s">
        <v>38316</v>
      </c>
      <c r="W5564" t="s">
        <v>31526</v>
      </c>
      <c r="X5564" t="s">
        <v>32532</v>
      </c>
    </row>
    <row r="5565" spans="1:24">
      <c r="A5565">
        <f>HYPERLINK("https://www.philgeps.gov.ph/GEPSNONPILOT/Tender/SplashBidNoticeAbstractUI.aspx?menuIndex=3&amp;refID=7040348&amp;Result=3","7040348")</f>
        <v>0</v>
      </c>
      <c r="B5565" t="s">
        <v>1757</v>
      </c>
      <c r="C5565" t="s">
        <v>8003</v>
      </c>
      <c r="D5565" t="s">
        <v>12988</v>
      </c>
      <c r="E5565" t="s">
        <v>18034</v>
      </c>
      <c r="F5565" t="s">
        <v>22436</v>
      </c>
      <c r="G5565" t="s">
        <v>22444</v>
      </c>
      <c r="H5565" t="s">
        <v>22454</v>
      </c>
      <c r="I5565" t="s">
        <v>7738</v>
      </c>
      <c r="J5565" t="s">
        <v>26225</v>
      </c>
      <c r="K5565" t="s">
        <v>29338</v>
      </c>
      <c r="M5565" t="s">
        <v>31527</v>
      </c>
      <c r="N5565" t="s">
        <v>32524</v>
      </c>
      <c r="O5565" t="s">
        <v>32525</v>
      </c>
      <c r="P5565">
        <v>0</v>
      </c>
      <c r="Q5565">
        <v>9</v>
      </c>
      <c r="R5565" t="s">
        <v>32531</v>
      </c>
      <c r="S5565" t="s">
        <v>32586</v>
      </c>
      <c r="T5565" t="s">
        <v>33345</v>
      </c>
      <c r="U5565" t="s">
        <v>38317</v>
      </c>
      <c r="V5565" t="s">
        <v>43026</v>
      </c>
      <c r="W5565" t="s">
        <v>31527</v>
      </c>
      <c r="X5565" t="s">
        <v>32532</v>
      </c>
    </row>
    <row r="5566" spans="1:24">
      <c r="A5566">
        <f>HYPERLINK("https://www.philgeps.gov.ph/GEPSNONPILOT/Tender/SplashBidNoticeAbstractUI.aspx?menuIndex=3&amp;refID=7040346&amp;Result=3","7040346")</f>
        <v>0</v>
      </c>
      <c r="B5566" t="s">
        <v>1267</v>
      </c>
      <c r="C5566" t="s">
        <v>8004</v>
      </c>
      <c r="D5566" t="s">
        <v>13031</v>
      </c>
      <c r="E5566" t="s">
        <v>18035</v>
      </c>
      <c r="F5566" t="s">
        <v>22438</v>
      </c>
      <c r="G5566" t="s">
        <v>22446</v>
      </c>
      <c r="H5566" t="s">
        <v>22452</v>
      </c>
      <c r="I5566" t="s">
        <v>5194</v>
      </c>
      <c r="J5566" t="s">
        <v>26226</v>
      </c>
      <c r="K5566" t="s">
        <v>29335</v>
      </c>
      <c r="M5566" t="s">
        <v>30920</v>
      </c>
      <c r="N5566" t="s">
        <v>32524</v>
      </c>
      <c r="O5566" t="s">
        <v>32525</v>
      </c>
      <c r="Q5566">
        <v>13</v>
      </c>
      <c r="R5566" t="s">
        <v>32531</v>
      </c>
      <c r="S5566" t="s">
        <v>32611</v>
      </c>
      <c r="T5566" t="s">
        <v>33213</v>
      </c>
      <c r="U5566" t="s">
        <v>38318</v>
      </c>
      <c r="W5566" t="s">
        <v>30920</v>
      </c>
      <c r="X5566" t="s">
        <v>32532</v>
      </c>
    </row>
    <row r="5567" spans="1:24">
      <c r="A5567">
        <f>HYPERLINK("https://www.philgeps.gov.ph/GEPSNONPILOT/Tender/SplashBidNoticeAbstractUI.aspx?menuIndex=3&amp;refID=7040372&amp;Result=3","7040372")</f>
        <v>0</v>
      </c>
      <c r="B5567" t="s">
        <v>1814</v>
      </c>
      <c r="C5567" t="s">
        <v>8005</v>
      </c>
      <c r="D5567" t="s">
        <v>12999</v>
      </c>
      <c r="E5567" t="s">
        <v>18036</v>
      </c>
      <c r="F5567" t="s">
        <v>22436</v>
      </c>
      <c r="G5567" t="s">
        <v>22444</v>
      </c>
      <c r="H5567" t="s">
        <v>22452</v>
      </c>
      <c r="I5567" t="s">
        <v>3529</v>
      </c>
      <c r="J5567" t="s">
        <v>26227</v>
      </c>
      <c r="K5567" t="s">
        <v>29341</v>
      </c>
      <c r="M5567" t="s">
        <v>31528</v>
      </c>
      <c r="N5567" t="s">
        <v>32524</v>
      </c>
      <c r="O5567" t="s">
        <v>32525</v>
      </c>
      <c r="P5567">
        <v>0</v>
      </c>
      <c r="Q5567">
        <v>0</v>
      </c>
      <c r="R5567" t="s">
        <v>32531</v>
      </c>
      <c r="S5567" t="s">
        <v>32586</v>
      </c>
      <c r="T5567" t="s">
        <v>33213</v>
      </c>
      <c r="U5567" t="s">
        <v>38319</v>
      </c>
      <c r="W5567" t="s">
        <v>31528</v>
      </c>
      <c r="X5567" t="s">
        <v>32532</v>
      </c>
    </row>
    <row r="5568" spans="1:24">
      <c r="A5568">
        <f>HYPERLINK("https://www.philgeps.gov.ph/GEPSNONPILOT/Tender/SplashBidNoticeAbstractUI.aspx?menuIndex=3&amp;refID=7040383&amp;Result=3","7040383")</f>
        <v>0</v>
      </c>
      <c r="B5568" t="s">
        <v>1815</v>
      </c>
      <c r="C5568" t="s">
        <v>8006</v>
      </c>
      <c r="E5568" t="s">
        <v>18037</v>
      </c>
      <c r="F5568" t="s">
        <v>22436</v>
      </c>
      <c r="G5568" t="s">
        <v>22444</v>
      </c>
      <c r="H5568" t="s">
        <v>22454</v>
      </c>
      <c r="I5568" t="s">
        <v>7738</v>
      </c>
      <c r="J5568" t="s">
        <v>22893</v>
      </c>
      <c r="K5568" t="s">
        <v>29338</v>
      </c>
      <c r="M5568" t="s">
        <v>31529</v>
      </c>
      <c r="N5568" t="s">
        <v>32524</v>
      </c>
      <c r="O5568" t="s">
        <v>32525</v>
      </c>
      <c r="P5568">
        <v>0</v>
      </c>
      <c r="Q5568">
        <v>0</v>
      </c>
      <c r="R5568" t="s">
        <v>32531</v>
      </c>
      <c r="S5568" t="s">
        <v>32586</v>
      </c>
      <c r="T5568" t="s">
        <v>33416</v>
      </c>
      <c r="U5568" t="s">
        <v>38320</v>
      </c>
      <c r="W5568" t="s">
        <v>31529</v>
      </c>
      <c r="X5568" t="s">
        <v>32532</v>
      </c>
    </row>
    <row r="5569" spans="1:24">
      <c r="A5569">
        <f>HYPERLINK("https://www.philgeps.gov.ph/GEPSNONPILOT/Tender/SplashBidNoticeAbstractUI.aspx?menuIndex=3&amp;refID=7040368&amp;Result=3","7040368")</f>
        <v>0</v>
      </c>
      <c r="B5569" t="s">
        <v>1816</v>
      </c>
      <c r="C5569" t="s">
        <v>8007</v>
      </c>
      <c r="D5569" t="s">
        <v>12993</v>
      </c>
      <c r="E5569" t="s">
        <v>18038</v>
      </c>
      <c r="F5569" t="s">
        <v>22436</v>
      </c>
      <c r="G5569" t="s">
        <v>22444</v>
      </c>
      <c r="H5569" t="s">
        <v>22453</v>
      </c>
      <c r="I5569" t="s">
        <v>22529</v>
      </c>
      <c r="J5569" t="s">
        <v>26228</v>
      </c>
      <c r="K5569" t="s">
        <v>29335</v>
      </c>
      <c r="M5569" t="s">
        <v>31530</v>
      </c>
      <c r="N5569" t="s">
        <v>32524</v>
      </c>
      <c r="O5569" t="s">
        <v>32525</v>
      </c>
      <c r="P5569">
        <v>0</v>
      </c>
      <c r="Q5569">
        <v>3</v>
      </c>
      <c r="R5569" t="s">
        <v>32531</v>
      </c>
      <c r="S5569" t="s">
        <v>32586</v>
      </c>
      <c r="T5569" t="s">
        <v>33253</v>
      </c>
      <c r="U5569" t="s">
        <v>38321</v>
      </c>
      <c r="W5569" t="s">
        <v>31530</v>
      </c>
      <c r="X5569" t="s">
        <v>32532</v>
      </c>
    </row>
    <row r="5570" spans="1:24">
      <c r="A5570">
        <f>HYPERLINK("https://www.philgeps.gov.ph/GEPSNONPILOT/Tender/SplashBidNoticeAbstractUI.aspx?menuIndex=3&amp;refID=7040379&amp;Result=3","7040379")</f>
        <v>0</v>
      </c>
      <c r="B5570" t="s">
        <v>755</v>
      </c>
      <c r="C5570" t="s">
        <v>8008</v>
      </c>
      <c r="D5570" t="s">
        <v>13061</v>
      </c>
      <c r="E5570" t="s">
        <v>18039</v>
      </c>
      <c r="F5570" t="s">
        <v>22436</v>
      </c>
      <c r="G5570" t="s">
        <v>22443</v>
      </c>
      <c r="H5570" t="s">
        <v>22453</v>
      </c>
      <c r="I5570" t="s">
        <v>3529</v>
      </c>
      <c r="J5570" t="s">
        <v>26229</v>
      </c>
      <c r="K5570" t="s">
        <v>29336</v>
      </c>
      <c r="M5570" t="s">
        <v>30356</v>
      </c>
      <c r="N5570" t="s">
        <v>32524</v>
      </c>
      <c r="O5570" t="s">
        <v>32525</v>
      </c>
      <c r="P5570">
        <v>0</v>
      </c>
      <c r="Q5570">
        <v>0</v>
      </c>
      <c r="R5570" t="s">
        <v>32531</v>
      </c>
      <c r="S5570" t="s">
        <v>32586</v>
      </c>
      <c r="T5570" t="s">
        <v>33296</v>
      </c>
      <c r="U5570" t="s">
        <v>35238</v>
      </c>
      <c r="W5570" t="s">
        <v>30356</v>
      </c>
      <c r="X5570" t="s">
        <v>32532</v>
      </c>
    </row>
    <row r="5571" spans="1:24">
      <c r="A5571">
        <f>HYPERLINK("https://www.philgeps.gov.ph/GEPSNONPILOT/Tender/SplashBidNoticeAbstractUI.aspx?menuIndex=3&amp;refID=7040382&amp;Result=3","7040382")</f>
        <v>0</v>
      </c>
      <c r="B5571" t="s">
        <v>1757</v>
      </c>
      <c r="C5571" t="s">
        <v>8009</v>
      </c>
      <c r="D5571" t="s">
        <v>12988</v>
      </c>
      <c r="E5571" t="s">
        <v>18040</v>
      </c>
      <c r="F5571" t="s">
        <v>22436</v>
      </c>
      <c r="G5571" t="s">
        <v>22444</v>
      </c>
      <c r="H5571" t="s">
        <v>22452</v>
      </c>
      <c r="I5571" t="s">
        <v>3827</v>
      </c>
      <c r="J5571" t="s">
        <v>26230</v>
      </c>
      <c r="K5571" t="s">
        <v>29338</v>
      </c>
      <c r="M5571" t="s">
        <v>31527</v>
      </c>
      <c r="N5571" t="s">
        <v>32524</v>
      </c>
      <c r="O5571" t="s">
        <v>32525</v>
      </c>
      <c r="P5571">
        <v>0</v>
      </c>
      <c r="Q5571">
        <v>18</v>
      </c>
      <c r="R5571" t="s">
        <v>32531</v>
      </c>
      <c r="S5571" t="s">
        <v>32586</v>
      </c>
      <c r="T5571" t="s">
        <v>33345</v>
      </c>
      <c r="U5571" t="s">
        <v>38322</v>
      </c>
      <c r="V5571" t="s">
        <v>43026</v>
      </c>
      <c r="W5571" t="s">
        <v>31527</v>
      </c>
      <c r="X5571" t="s">
        <v>32532</v>
      </c>
    </row>
    <row r="5572" spans="1:24">
      <c r="A5572">
        <f>HYPERLINK("https://www.philgeps.gov.ph/GEPSNONPILOT/Tender/SplashBidNoticeAbstractUI.aspx?menuIndex=3&amp;refID=7040374&amp;Result=3","7040374")</f>
        <v>0</v>
      </c>
      <c r="B5572" t="s">
        <v>1817</v>
      </c>
      <c r="C5572" t="s">
        <v>8010</v>
      </c>
      <c r="D5572" t="s">
        <v>13001</v>
      </c>
      <c r="E5572" t="s">
        <v>18041</v>
      </c>
      <c r="F5572" t="s">
        <v>22436</v>
      </c>
      <c r="G5572" t="s">
        <v>22445</v>
      </c>
      <c r="H5572" t="s">
        <v>22452</v>
      </c>
      <c r="I5572" t="s">
        <v>22460</v>
      </c>
      <c r="J5572" t="s">
        <v>26231</v>
      </c>
      <c r="K5572" t="s">
        <v>29336</v>
      </c>
      <c r="M5572" t="s">
        <v>31531</v>
      </c>
      <c r="N5572" t="s">
        <v>32524</v>
      </c>
      <c r="O5572" t="s">
        <v>32525</v>
      </c>
      <c r="P5572">
        <v>0</v>
      </c>
      <c r="Q5572">
        <v>3</v>
      </c>
      <c r="R5572" t="s">
        <v>32531</v>
      </c>
      <c r="S5572" t="s">
        <v>32586</v>
      </c>
      <c r="T5572" t="s">
        <v>33351</v>
      </c>
      <c r="U5572" t="s">
        <v>38323</v>
      </c>
      <c r="W5572" t="s">
        <v>31531</v>
      </c>
      <c r="X5572" t="s">
        <v>32532</v>
      </c>
    </row>
    <row r="5573" spans="1:24">
      <c r="A5573">
        <f>HYPERLINK("https://www.philgeps.gov.ph/GEPSNONPILOT/Tender/SplashBidNoticeAbstractUI.aspx?menuIndex=3&amp;refID=7040359&amp;Result=3","7040359")</f>
        <v>0</v>
      </c>
      <c r="B5573" t="s">
        <v>1818</v>
      </c>
      <c r="C5573" t="s">
        <v>8011</v>
      </c>
      <c r="D5573" t="s">
        <v>13046</v>
      </c>
      <c r="E5573" t="s">
        <v>15332</v>
      </c>
      <c r="F5573" t="s">
        <v>22436</v>
      </c>
      <c r="G5573" t="s">
        <v>22444</v>
      </c>
      <c r="H5573" t="s">
        <v>22452</v>
      </c>
      <c r="I5573" t="s">
        <v>22499</v>
      </c>
      <c r="J5573" t="s">
        <v>22616</v>
      </c>
      <c r="K5573" t="s">
        <v>29341</v>
      </c>
      <c r="M5573" t="s">
        <v>31532</v>
      </c>
      <c r="N5573" t="s">
        <v>32524</v>
      </c>
      <c r="O5573" t="s">
        <v>32525</v>
      </c>
      <c r="P5573">
        <v>0</v>
      </c>
      <c r="Q5573">
        <v>2</v>
      </c>
      <c r="R5573" t="s">
        <v>32531</v>
      </c>
      <c r="S5573" t="s">
        <v>32586</v>
      </c>
      <c r="T5573" t="s">
        <v>33310</v>
      </c>
      <c r="U5573" t="s">
        <v>38324</v>
      </c>
      <c r="W5573" t="s">
        <v>31532</v>
      </c>
      <c r="X5573" t="s">
        <v>32532</v>
      </c>
    </row>
    <row r="5574" spans="1:24">
      <c r="A5574">
        <f>HYPERLINK("https://www.philgeps.gov.ph/GEPSNONPILOT/Tender/SplashBidNoticeAbstractUI.aspx?menuIndex=3&amp;refID=7040385&amp;Result=3","7040385")</f>
        <v>0</v>
      </c>
      <c r="B5574" t="s">
        <v>1795</v>
      </c>
      <c r="C5574" t="s">
        <v>8012</v>
      </c>
      <c r="D5574" t="s">
        <v>13057</v>
      </c>
      <c r="E5574" t="s">
        <v>18042</v>
      </c>
      <c r="F5574" t="s">
        <v>22436</v>
      </c>
      <c r="G5574" t="s">
        <v>22444</v>
      </c>
      <c r="H5574" t="s">
        <v>22454</v>
      </c>
      <c r="I5574" t="s">
        <v>7738</v>
      </c>
      <c r="J5574" t="s">
        <v>26232</v>
      </c>
      <c r="K5574" t="s">
        <v>29384</v>
      </c>
      <c r="L5574" t="s">
        <v>1795</v>
      </c>
      <c r="M5574" t="s">
        <v>31506</v>
      </c>
      <c r="N5574" t="s">
        <v>32524</v>
      </c>
      <c r="O5574" t="s">
        <v>32525</v>
      </c>
      <c r="P5574">
        <v>0</v>
      </c>
      <c r="Q5574">
        <v>0</v>
      </c>
      <c r="R5574" t="s">
        <v>32531</v>
      </c>
      <c r="S5574" t="s">
        <v>32586</v>
      </c>
      <c r="T5574" t="s">
        <v>33242</v>
      </c>
      <c r="U5574" t="s">
        <v>38325</v>
      </c>
      <c r="W5574" t="s">
        <v>31506</v>
      </c>
      <c r="X5574" t="s">
        <v>32532</v>
      </c>
    </row>
    <row r="5575" spans="1:24">
      <c r="A5575">
        <f>HYPERLINK("https://www.philgeps.gov.ph/GEPSNONPILOT/Tender/SplashBidNoticeAbstractUI.aspx?menuIndex=3&amp;refID=7040364&amp;Result=3","7040364")</f>
        <v>0</v>
      </c>
      <c r="B5575" t="s">
        <v>1815</v>
      </c>
      <c r="C5575" t="s">
        <v>8013</v>
      </c>
      <c r="E5575" t="s">
        <v>18043</v>
      </c>
      <c r="F5575" t="s">
        <v>22436</v>
      </c>
      <c r="G5575" t="s">
        <v>22444</v>
      </c>
      <c r="H5575" t="s">
        <v>22452</v>
      </c>
      <c r="I5575" t="s">
        <v>22479</v>
      </c>
      <c r="J5575" t="s">
        <v>22634</v>
      </c>
      <c r="K5575" t="s">
        <v>29338</v>
      </c>
      <c r="M5575" t="s">
        <v>31529</v>
      </c>
      <c r="N5575" t="s">
        <v>32524</v>
      </c>
      <c r="O5575" t="s">
        <v>32525</v>
      </c>
      <c r="P5575">
        <v>0</v>
      </c>
      <c r="Q5575">
        <v>2</v>
      </c>
      <c r="R5575" t="s">
        <v>32531</v>
      </c>
      <c r="S5575" t="s">
        <v>32586</v>
      </c>
      <c r="T5575" t="s">
        <v>33405</v>
      </c>
      <c r="U5575" t="s">
        <v>38326</v>
      </c>
      <c r="W5575" t="s">
        <v>31529</v>
      </c>
      <c r="X5575" t="s">
        <v>32532</v>
      </c>
    </row>
    <row r="5576" spans="1:24">
      <c r="A5576">
        <f>HYPERLINK("https://www.philgeps.gov.ph/GEPSNONPILOT/Tender/SplashBidNoticeAbstractUI.aspx?menuIndex=3&amp;refID=7040391&amp;Result=3","7040391")</f>
        <v>0</v>
      </c>
      <c r="B5576" t="s">
        <v>820</v>
      </c>
      <c r="C5576" t="s">
        <v>8014</v>
      </c>
      <c r="D5576" t="s">
        <v>13004</v>
      </c>
      <c r="E5576" t="s">
        <v>18044</v>
      </c>
      <c r="F5576" t="s">
        <v>22436</v>
      </c>
      <c r="G5576" t="s">
        <v>22444</v>
      </c>
      <c r="H5576" t="s">
        <v>22452</v>
      </c>
      <c r="I5576" t="s">
        <v>22509</v>
      </c>
      <c r="J5576" t="s">
        <v>26233</v>
      </c>
      <c r="K5576" t="s">
        <v>29352</v>
      </c>
      <c r="M5576" t="s">
        <v>30426</v>
      </c>
      <c r="N5576" t="s">
        <v>32524</v>
      </c>
      <c r="O5576" t="s">
        <v>32525</v>
      </c>
      <c r="P5576">
        <v>0</v>
      </c>
      <c r="Q5576">
        <v>6</v>
      </c>
      <c r="R5576" t="s">
        <v>32531</v>
      </c>
      <c r="S5576" t="s">
        <v>32586</v>
      </c>
      <c r="T5576" t="s">
        <v>33423</v>
      </c>
      <c r="U5576" t="s">
        <v>38327</v>
      </c>
      <c r="W5576" t="s">
        <v>30426</v>
      </c>
      <c r="X5576" t="s">
        <v>32532</v>
      </c>
    </row>
    <row r="5577" spans="1:24">
      <c r="A5577">
        <f>HYPERLINK("https://www.philgeps.gov.ph/GEPSNONPILOT/Tender/SplashBidNoticeAbstractUI.aspx?menuIndex=3&amp;refID=7040336&amp;Result=3","7040336")</f>
        <v>0</v>
      </c>
      <c r="B5577" t="s">
        <v>665</v>
      </c>
      <c r="C5577" t="s">
        <v>8015</v>
      </c>
      <c r="D5577" t="s">
        <v>13038</v>
      </c>
      <c r="E5577" t="s">
        <v>18045</v>
      </c>
      <c r="F5577" t="s">
        <v>22436</v>
      </c>
      <c r="G5577" t="s">
        <v>22443</v>
      </c>
      <c r="H5577" t="s">
        <v>22452</v>
      </c>
      <c r="I5577" t="s">
        <v>22469</v>
      </c>
      <c r="J5577" t="s">
        <v>26234</v>
      </c>
      <c r="K5577" t="s">
        <v>29337</v>
      </c>
      <c r="M5577" t="s">
        <v>30257</v>
      </c>
      <c r="N5577" t="s">
        <v>32524</v>
      </c>
      <c r="O5577" t="s">
        <v>32525</v>
      </c>
      <c r="P5577">
        <v>0</v>
      </c>
      <c r="Q5577">
        <v>4</v>
      </c>
      <c r="R5577" t="s">
        <v>32531</v>
      </c>
      <c r="S5577" t="s">
        <v>32586</v>
      </c>
      <c r="T5577" t="s">
        <v>33220</v>
      </c>
      <c r="U5577" t="s">
        <v>38328</v>
      </c>
      <c r="W5577" t="s">
        <v>30257</v>
      </c>
      <c r="X5577" t="s">
        <v>32532</v>
      </c>
    </row>
    <row r="5578" spans="1:24">
      <c r="A5578">
        <f>HYPERLINK("https://www.philgeps.gov.ph/GEPSNONPILOT/Tender/SplashBidNoticeAbstractUI.aspx?menuIndex=3&amp;refID=7040423&amp;Result=3","7040423")</f>
        <v>0</v>
      </c>
      <c r="B5578" t="s">
        <v>1809</v>
      </c>
      <c r="C5578" t="s">
        <v>8016</v>
      </c>
      <c r="D5578" t="s">
        <v>13010</v>
      </c>
      <c r="E5578" t="s">
        <v>14329</v>
      </c>
      <c r="F5578" t="s">
        <v>22436</v>
      </c>
      <c r="G5578" t="s">
        <v>22444</v>
      </c>
      <c r="H5578" t="s">
        <v>22452</v>
      </c>
      <c r="I5578" t="s">
        <v>3529</v>
      </c>
      <c r="J5578" t="s">
        <v>26235</v>
      </c>
      <c r="K5578" t="s">
        <v>29341</v>
      </c>
      <c r="M5578" t="s">
        <v>31522</v>
      </c>
      <c r="N5578" t="s">
        <v>32524</v>
      </c>
      <c r="O5578" t="s">
        <v>32525</v>
      </c>
      <c r="P5578">
        <v>0</v>
      </c>
      <c r="Q5578">
        <v>0</v>
      </c>
      <c r="R5578" t="s">
        <v>32531</v>
      </c>
      <c r="S5578" t="s">
        <v>32586</v>
      </c>
      <c r="T5578" t="s">
        <v>33236</v>
      </c>
      <c r="U5578" t="s">
        <v>38329</v>
      </c>
      <c r="W5578" t="s">
        <v>31522</v>
      </c>
      <c r="X5578" t="s">
        <v>32532</v>
      </c>
    </row>
    <row r="5579" spans="1:24">
      <c r="A5579">
        <f>HYPERLINK("https://www.philgeps.gov.ph/GEPSNONPILOT/Tender/SplashBidNoticeAbstractUI.aspx?menuIndex=3&amp;refID=7040395&amp;Result=3","7040395")</f>
        <v>0</v>
      </c>
      <c r="B5579" t="s">
        <v>1760</v>
      </c>
      <c r="C5579" t="s">
        <v>8017</v>
      </c>
      <c r="E5579" t="s">
        <v>18046</v>
      </c>
      <c r="F5579" t="s">
        <v>22436</v>
      </c>
      <c r="G5579" t="s">
        <v>22444</v>
      </c>
      <c r="H5579" t="s">
        <v>22452</v>
      </c>
      <c r="I5579" t="s">
        <v>3529</v>
      </c>
      <c r="J5579" t="s">
        <v>26236</v>
      </c>
      <c r="K5579" t="s">
        <v>29331</v>
      </c>
      <c r="M5579" t="s">
        <v>31466</v>
      </c>
      <c r="N5579" t="s">
        <v>32524</v>
      </c>
      <c r="O5579" t="s">
        <v>32525</v>
      </c>
      <c r="P5579">
        <v>0</v>
      </c>
      <c r="Q5579">
        <v>1</v>
      </c>
      <c r="R5579" t="s">
        <v>32531</v>
      </c>
      <c r="S5579" t="s">
        <v>32586</v>
      </c>
      <c r="T5579" t="s">
        <v>33218</v>
      </c>
      <c r="U5579" t="s">
        <v>38330</v>
      </c>
      <c r="W5579" t="s">
        <v>31466</v>
      </c>
      <c r="X5579" t="s">
        <v>32532</v>
      </c>
    </row>
    <row r="5580" spans="1:24">
      <c r="A5580">
        <f>HYPERLINK("https://www.philgeps.gov.ph/GEPSNONPILOT/Tender/SplashBidNoticeAbstractUI.aspx?menuIndex=3&amp;refID=7040413&amp;Result=3","7040413")</f>
        <v>0</v>
      </c>
      <c r="B5580" t="s">
        <v>1819</v>
      </c>
      <c r="C5580" t="s">
        <v>8018</v>
      </c>
      <c r="D5580" t="s">
        <v>13006</v>
      </c>
      <c r="E5580" t="s">
        <v>18047</v>
      </c>
      <c r="F5580" t="s">
        <v>22436</v>
      </c>
      <c r="G5580" t="s">
        <v>22444</v>
      </c>
      <c r="H5580" t="s">
        <v>22454</v>
      </c>
      <c r="I5580" t="s">
        <v>22501</v>
      </c>
      <c r="J5580" t="s">
        <v>26237</v>
      </c>
      <c r="K5580" t="s">
        <v>29344</v>
      </c>
      <c r="M5580" t="s">
        <v>31533</v>
      </c>
      <c r="N5580" t="s">
        <v>32524</v>
      </c>
      <c r="O5580" t="s">
        <v>32525</v>
      </c>
      <c r="P5580">
        <v>0</v>
      </c>
      <c r="Q5580">
        <v>9</v>
      </c>
      <c r="R5580" t="s">
        <v>32531</v>
      </c>
      <c r="S5580" t="s">
        <v>32586</v>
      </c>
      <c r="T5580" t="s">
        <v>33253</v>
      </c>
      <c r="U5580" t="s">
        <v>38331</v>
      </c>
      <c r="V5580" t="s">
        <v>43027</v>
      </c>
      <c r="W5580" t="s">
        <v>31533</v>
      </c>
      <c r="X5580" t="s">
        <v>32532</v>
      </c>
    </row>
    <row r="5581" spans="1:24">
      <c r="A5581">
        <f>HYPERLINK("https://www.philgeps.gov.ph/GEPSNONPILOT/Tender/SplashBidNoticeAbstractUI.aspx?menuIndex=3&amp;refID=7040411&amp;Result=3","7040411")</f>
        <v>0</v>
      </c>
      <c r="B5581" t="s">
        <v>831</v>
      </c>
      <c r="C5581" t="s">
        <v>8019</v>
      </c>
      <c r="D5581" t="s">
        <v>13025</v>
      </c>
      <c r="E5581" t="s">
        <v>18048</v>
      </c>
      <c r="F5581" t="s">
        <v>22436</v>
      </c>
      <c r="G5581" t="s">
        <v>22444</v>
      </c>
      <c r="H5581" t="s">
        <v>22454</v>
      </c>
      <c r="I5581" t="s">
        <v>7738</v>
      </c>
      <c r="J5581" t="s">
        <v>22587</v>
      </c>
      <c r="K5581" t="s">
        <v>29334</v>
      </c>
      <c r="M5581" t="s">
        <v>30437</v>
      </c>
      <c r="N5581" t="s">
        <v>32524</v>
      </c>
      <c r="O5581" t="s">
        <v>32525</v>
      </c>
      <c r="P5581">
        <v>0</v>
      </c>
      <c r="Q5581">
        <v>0</v>
      </c>
      <c r="R5581" t="s">
        <v>32531</v>
      </c>
      <c r="S5581" t="s">
        <v>32586</v>
      </c>
      <c r="T5581" t="s">
        <v>33253</v>
      </c>
      <c r="U5581" t="s">
        <v>38332</v>
      </c>
      <c r="W5581" t="s">
        <v>30437</v>
      </c>
      <c r="X5581" t="s">
        <v>32532</v>
      </c>
    </row>
    <row r="5582" spans="1:24">
      <c r="A5582">
        <f>HYPERLINK("https://www.philgeps.gov.ph/GEPSNONPILOT/Tender/SplashBidNoticeAbstractUI.aspx?menuIndex=3&amp;refID=7040416&amp;Result=3","7040416")</f>
        <v>0</v>
      </c>
      <c r="B5582" t="s">
        <v>1820</v>
      </c>
      <c r="C5582" t="s">
        <v>8020</v>
      </c>
      <c r="D5582" t="s">
        <v>12988</v>
      </c>
      <c r="E5582" t="s">
        <v>15273</v>
      </c>
      <c r="F5582" t="s">
        <v>22436</v>
      </c>
      <c r="G5582" t="s">
        <v>22443</v>
      </c>
      <c r="H5582" t="s">
        <v>22452</v>
      </c>
      <c r="I5582" t="s">
        <v>22531</v>
      </c>
      <c r="J5582" t="s">
        <v>22588</v>
      </c>
      <c r="K5582" t="s">
        <v>29336</v>
      </c>
      <c r="M5582" t="s">
        <v>31534</v>
      </c>
      <c r="N5582" t="s">
        <v>32524</v>
      </c>
      <c r="O5582" t="s">
        <v>32525</v>
      </c>
      <c r="P5582">
        <v>0</v>
      </c>
      <c r="Q5582">
        <v>2</v>
      </c>
      <c r="R5582" t="s">
        <v>32531</v>
      </c>
      <c r="S5582" t="s">
        <v>32586</v>
      </c>
      <c r="T5582" t="s">
        <v>33328</v>
      </c>
      <c r="U5582" t="s">
        <v>38333</v>
      </c>
      <c r="W5582" t="s">
        <v>31534</v>
      </c>
      <c r="X5582" t="s">
        <v>32532</v>
      </c>
    </row>
    <row r="5583" spans="1:24">
      <c r="A5583">
        <f>HYPERLINK("https://www.philgeps.gov.ph/GEPSNONPILOT/Tender/SplashBidNoticeAbstractUI.aspx?menuIndex=3&amp;refID=7040402&amp;Result=3","7040402")</f>
        <v>0</v>
      </c>
      <c r="B5583" t="s">
        <v>603</v>
      </c>
      <c r="C5583" t="s">
        <v>8021</v>
      </c>
      <c r="D5583" t="s">
        <v>13033</v>
      </c>
      <c r="E5583" t="s">
        <v>18049</v>
      </c>
      <c r="F5583" t="s">
        <v>22436</v>
      </c>
      <c r="G5583" t="s">
        <v>22444</v>
      </c>
      <c r="H5583" t="s">
        <v>22454</v>
      </c>
      <c r="I5583" t="s">
        <v>7738</v>
      </c>
      <c r="J5583" t="s">
        <v>22779</v>
      </c>
      <c r="K5583" t="s">
        <v>29334</v>
      </c>
      <c r="M5583" t="s">
        <v>30193</v>
      </c>
      <c r="N5583" t="s">
        <v>32524</v>
      </c>
      <c r="O5583" t="s">
        <v>32525</v>
      </c>
      <c r="P5583">
        <v>0</v>
      </c>
      <c r="Q5583">
        <v>2</v>
      </c>
      <c r="R5583" t="s">
        <v>32531</v>
      </c>
      <c r="S5583" t="s">
        <v>32586</v>
      </c>
      <c r="T5583" t="s">
        <v>33423</v>
      </c>
      <c r="U5583" t="s">
        <v>38334</v>
      </c>
      <c r="W5583" t="s">
        <v>30193</v>
      </c>
      <c r="X5583" t="s">
        <v>32532</v>
      </c>
    </row>
    <row r="5584" spans="1:24">
      <c r="A5584">
        <f>HYPERLINK("https://www.philgeps.gov.ph/GEPSNONPILOT/Tender/SplashBidNoticeAbstractUI.aspx?menuIndex=3&amp;refID=7040412&amp;Result=3","7040412")</f>
        <v>0</v>
      </c>
      <c r="B5584" t="s">
        <v>1818</v>
      </c>
      <c r="C5584" t="s">
        <v>8022</v>
      </c>
      <c r="D5584" t="s">
        <v>13046</v>
      </c>
      <c r="E5584" t="s">
        <v>18050</v>
      </c>
      <c r="F5584" t="s">
        <v>22436</v>
      </c>
      <c r="G5584" t="s">
        <v>22443</v>
      </c>
      <c r="H5584" t="s">
        <v>22452</v>
      </c>
      <c r="I5584" t="s">
        <v>22471</v>
      </c>
      <c r="J5584" t="s">
        <v>22657</v>
      </c>
      <c r="K5584" t="s">
        <v>29341</v>
      </c>
      <c r="M5584" t="s">
        <v>31532</v>
      </c>
      <c r="N5584" t="s">
        <v>32524</v>
      </c>
      <c r="O5584" t="s">
        <v>32525</v>
      </c>
      <c r="P5584">
        <v>0</v>
      </c>
      <c r="Q5584">
        <v>3</v>
      </c>
      <c r="R5584" t="s">
        <v>32531</v>
      </c>
      <c r="S5584" t="s">
        <v>32586</v>
      </c>
      <c r="T5584" t="s">
        <v>33310</v>
      </c>
      <c r="U5584" t="s">
        <v>38335</v>
      </c>
      <c r="W5584" t="s">
        <v>31532</v>
      </c>
      <c r="X5584" t="s">
        <v>32532</v>
      </c>
    </row>
    <row r="5585" spans="1:24">
      <c r="A5585">
        <f>HYPERLINK("https://www.philgeps.gov.ph/GEPSNONPILOT/Tender/SplashBidNoticeAbstractUI.aspx?menuIndex=3&amp;refID=7040419&amp;Result=3","7040419")</f>
        <v>0</v>
      </c>
      <c r="B5585" t="s">
        <v>1821</v>
      </c>
      <c r="C5585" t="s">
        <v>8023</v>
      </c>
      <c r="D5585" t="s">
        <v>12999</v>
      </c>
      <c r="E5585" t="s">
        <v>18051</v>
      </c>
      <c r="F5585" t="s">
        <v>22436</v>
      </c>
      <c r="G5585" t="s">
        <v>22443</v>
      </c>
      <c r="H5585" t="s">
        <v>22452</v>
      </c>
      <c r="I5585" t="s">
        <v>7738</v>
      </c>
      <c r="J5585" t="s">
        <v>26238</v>
      </c>
      <c r="K5585" t="s">
        <v>29341</v>
      </c>
      <c r="M5585" t="s">
        <v>31535</v>
      </c>
      <c r="N5585" t="s">
        <v>32524</v>
      </c>
      <c r="O5585" t="s">
        <v>32525</v>
      </c>
      <c r="P5585">
        <v>0</v>
      </c>
      <c r="Q5585">
        <v>1</v>
      </c>
      <c r="R5585" t="s">
        <v>32531</v>
      </c>
      <c r="S5585" t="s">
        <v>32586</v>
      </c>
      <c r="T5585" t="s">
        <v>33167</v>
      </c>
      <c r="U5585" t="s">
        <v>38336</v>
      </c>
      <c r="W5585" t="s">
        <v>43735</v>
      </c>
      <c r="X5585" t="s">
        <v>32532</v>
      </c>
    </row>
    <row r="5586" spans="1:24">
      <c r="A5586">
        <f>HYPERLINK("https://www.philgeps.gov.ph/GEPSNONPILOT/Tender/SplashBidNoticeAbstractUI.aspx?menuIndex=3&amp;refID=7040399&amp;Result=3","7040399")</f>
        <v>0</v>
      </c>
      <c r="B5586" t="s">
        <v>809</v>
      </c>
      <c r="C5586" t="s">
        <v>8024</v>
      </c>
      <c r="D5586" t="s">
        <v>13045</v>
      </c>
      <c r="E5586" t="s">
        <v>18052</v>
      </c>
      <c r="F5586" t="s">
        <v>22436</v>
      </c>
      <c r="G5586" t="s">
        <v>22447</v>
      </c>
      <c r="H5586" t="s">
        <v>22452</v>
      </c>
      <c r="I5586" t="s">
        <v>22463</v>
      </c>
      <c r="J5586" t="s">
        <v>26239</v>
      </c>
      <c r="K5586" t="s">
        <v>29341</v>
      </c>
      <c r="M5586" t="s">
        <v>31536</v>
      </c>
      <c r="N5586" t="s">
        <v>32524</v>
      </c>
      <c r="O5586" t="s">
        <v>32525</v>
      </c>
      <c r="P5586">
        <v>0</v>
      </c>
      <c r="Q5586">
        <v>5</v>
      </c>
      <c r="R5586" t="s">
        <v>32531</v>
      </c>
      <c r="S5586" t="s">
        <v>32586</v>
      </c>
      <c r="T5586" t="s">
        <v>33209</v>
      </c>
      <c r="U5586" t="s">
        <v>38337</v>
      </c>
      <c r="V5586" t="s">
        <v>43028</v>
      </c>
      <c r="W5586" t="s">
        <v>31536</v>
      </c>
      <c r="X5586" t="s">
        <v>32532</v>
      </c>
    </row>
    <row r="5587" spans="1:24">
      <c r="A5587">
        <f>HYPERLINK("https://www.philgeps.gov.ph/GEPSNONPILOT/Tender/SplashBidNoticeAbstractUI.aspx?menuIndex=3&amp;refID=7040425&amp;Result=3","7040425")</f>
        <v>0</v>
      </c>
      <c r="B5587" t="s">
        <v>1822</v>
      </c>
      <c r="C5587" t="s">
        <v>8025</v>
      </c>
      <c r="D5587" t="s">
        <v>13004</v>
      </c>
      <c r="E5587" t="s">
        <v>18053</v>
      </c>
      <c r="F5587" t="s">
        <v>22437</v>
      </c>
      <c r="G5587" t="s">
        <v>22443</v>
      </c>
      <c r="H5587" t="s">
        <v>22452</v>
      </c>
      <c r="I5587" t="s">
        <v>22554</v>
      </c>
      <c r="J5587" t="s">
        <v>23079</v>
      </c>
      <c r="K5587" t="s">
        <v>29335</v>
      </c>
      <c r="M5587" t="s">
        <v>31537</v>
      </c>
      <c r="N5587" t="s">
        <v>32524</v>
      </c>
      <c r="O5587" t="s">
        <v>32525</v>
      </c>
      <c r="P5587">
        <v>0</v>
      </c>
      <c r="Q5587">
        <v>3</v>
      </c>
      <c r="R5587" t="s">
        <v>32531</v>
      </c>
      <c r="S5587" t="s">
        <v>32586</v>
      </c>
      <c r="T5587" t="s">
        <v>33215</v>
      </c>
      <c r="U5587" t="s">
        <v>38338</v>
      </c>
      <c r="W5587" t="s">
        <v>31537</v>
      </c>
      <c r="X5587" t="s">
        <v>32532</v>
      </c>
    </row>
    <row r="5588" spans="1:24">
      <c r="A5588">
        <f>HYPERLINK("https://www.philgeps.gov.ph/GEPSNONPILOT/Tender/SplashBidNoticeAbstractUI.aspx?menuIndex=3&amp;refID=7040421&amp;Result=3","7040421")</f>
        <v>0</v>
      </c>
      <c r="B5588" t="s">
        <v>809</v>
      </c>
      <c r="C5588" t="s">
        <v>8026</v>
      </c>
      <c r="D5588" t="s">
        <v>13045</v>
      </c>
      <c r="E5588" t="s">
        <v>18054</v>
      </c>
      <c r="F5588" t="s">
        <v>22436</v>
      </c>
      <c r="G5588" t="s">
        <v>22447</v>
      </c>
      <c r="H5588" t="s">
        <v>22452</v>
      </c>
      <c r="I5588" t="s">
        <v>6421</v>
      </c>
      <c r="J5588" t="s">
        <v>26240</v>
      </c>
      <c r="K5588" t="s">
        <v>29341</v>
      </c>
      <c r="M5588" t="s">
        <v>31536</v>
      </c>
      <c r="N5588" t="s">
        <v>32524</v>
      </c>
      <c r="O5588" t="s">
        <v>32525</v>
      </c>
      <c r="P5588">
        <v>0</v>
      </c>
      <c r="Q5588">
        <v>4</v>
      </c>
      <c r="R5588" t="s">
        <v>32531</v>
      </c>
      <c r="S5588" t="s">
        <v>32586</v>
      </c>
      <c r="T5588" t="s">
        <v>33209</v>
      </c>
      <c r="U5588" t="s">
        <v>38339</v>
      </c>
      <c r="V5588" t="s">
        <v>43029</v>
      </c>
      <c r="W5588" t="s">
        <v>31536</v>
      </c>
      <c r="X5588" t="s">
        <v>32532</v>
      </c>
    </row>
    <row r="5589" spans="1:24">
      <c r="A5589">
        <f>HYPERLINK("https://www.philgeps.gov.ph/GEPSNONPILOT/Tender/SplashBidNoticeAbstractUI.aspx?menuIndex=3&amp;refID=7040436&amp;Result=3","7040436")</f>
        <v>0</v>
      </c>
      <c r="B5589" t="s">
        <v>998</v>
      </c>
      <c r="C5589" t="s">
        <v>8027</v>
      </c>
      <c r="D5589" t="s">
        <v>13001</v>
      </c>
      <c r="E5589" t="s">
        <v>18055</v>
      </c>
      <c r="F5589" t="s">
        <v>22436</v>
      </c>
      <c r="G5589" t="s">
        <v>22445</v>
      </c>
      <c r="H5589" t="s">
        <v>22452</v>
      </c>
      <c r="I5589" t="s">
        <v>3827</v>
      </c>
      <c r="J5589" t="s">
        <v>26241</v>
      </c>
      <c r="K5589" t="s">
        <v>29335</v>
      </c>
      <c r="M5589" t="s">
        <v>30624</v>
      </c>
      <c r="N5589" t="s">
        <v>32524</v>
      </c>
      <c r="O5589" t="s">
        <v>32525</v>
      </c>
      <c r="P5589">
        <v>0</v>
      </c>
      <c r="Q5589">
        <v>3</v>
      </c>
      <c r="R5589" t="s">
        <v>32531</v>
      </c>
      <c r="S5589" t="s">
        <v>32586</v>
      </c>
      <c r="T5589" t="s">
        <v>33169</v>
      </c>
      <c r="U5589" t="s">
        <v>38340</v>
      </c>
      <c r="V5589" t="s">
        <v>43030</v>
      </c>
      <c r="W5589" t="s">
        <v>30624</v>
      </c>
      <c r="X5589" t="s">
        <v>32532</v>
      </c>
    </row>
    <row r="5590" spans="1:24">
      <c r="A5590">
        <f>HYPERLINK("https://www.philgeps.gov.ph/GEPSNONPILOT/Tender/SplashBidNoticeAbstractUI.aspx?menuIndex=3&amp;refID=7040439&amp;Result=3","7040439")</f>
        <v>0</v>
      </c>
      <c r="B5590" t="s">
        <v>809</v>
      </c>
      <c r="C5590" t="s">
        <v>8028</v>
      </c>
      <c r="D5590" t="s">
        <v>13045</v>
      </c>
      <c r="E5590" t="s">
        <v>18056</v>
      </c>
      <c r="F5590" t="s">
        <v>22436</v>
      </c>
      <c r="G5590" t="s">
        <v>22447</v>
      </c>
      <c r="H5590" t="s">
        <v>22452</v>
      </c>
      <c r="I5590" t="s">
        <v>6421</v>
      </c>
      <c r="J5590" t="s">
        <v>26242</v>
      </c>
      <c r="K5590" t="s">
        <v>29341</v>
      </c>
      <c r="M5590" t="s">
        <v>31536</v>
      </c>
      <c r="N5590" t="s">
        <v>32524</v>
      </c>
      <c r="O5590" t="s">
        <v>32525</v>
      </c>
      <c r="P5590">
        <v>0</v>
      </c>
      <c r="Q5590">
        <v>4</v>
      </c>
      <c r="R5590" t="s">
        <v>32531</v>
      </c>
      <c r="S5590" t="s">
        <v>32586</v>
      </c>
      <c r="T5590" t="s">
        <v>33209</v>
      </c>
      <c r="U5590" t="s">
        <v>38341</v>
      </c>
      <c r="V5590" t="s">
        <v>43029</v>
      </c>
      <c r="W5590" t="s">
        <v>31536</v>
      </c>
      <c r="X5590" t="s">
        <v>32532</v>
      </c>
    </row>
    <row r="5591" spans="1:24">
      <c r="A5591">
        <f>HYPERLINK("https://www.philgeps.gov.ph/GEPSNONPILOT/Tender/SplashBidNoticeAbstractUI.aspx?menuIndex=3&amp;refID=7040432&amp;Result=3","7040432")</f>
        <v>0</v>
      </c>
      <c r="B5591" t="s">
        <v>1816</v>
      </c>
      <c r="C5591" t="s">
        <v>8029</v>
      </c>
      <c r="D5591" t="s">
        <v>12993</v>
      </c>
      <c r="E5591" t="s">
        <v>18057</v>
      </c>
      <c r="F5591" t="s">
        <v>22436</v>
      </c>
      <c r="G5591" t="s">
        <v>22444</v>
      </c>
      <c r="H5591" t="s">
        <v>22452</v>
      </c>
      <c r="I5591" t="s">
        <v>22469</v>
      </c>
      <c r="J5591" t="s">
        <v>24714</v>
      </c>
      <c r="K5591" t="s">
        <v>29335</v>
      </c>
      <c r="M5591" t="s">
        <v>31530</v>
      </c>
      <c r="N5591" t="s">
        <v>32524</v>
      </c>
      <c r="O5591" t="s">
        <v>32525</v>
      </c>
      <c r="P5591">
        <v>0</v>
      </c>
      <c r="Q5591">
        <v>1</v>
      </c>
      <c r="R5591" t="s">
        <v>32531</v>
      </c>
      <c r="S5591" t="s">
        <v>32586</v>
      </c>
      <c r="T5591" t="s">
        <v>33253</v>
      </c>
      <c r="U5591" t="s">
        <v>38342</v>
      </c>
      <c r="W5591" t="s">
        <v>31530</v>
      </c>
      <c r="X5591" t="s">
        <v>32532</v>
      </c>
    </row>
    <row r="5592" spans="1:24">
      <c r="A5592">
        <f>HYPERLINK("https://www.philgeps.gov.ph/GEPSNONPILOT/Tender/SplashBidNoticeAbstractUI.aspx?menuIndex=3&amp;refID=7040448&amp;Result=3","7040448")</f>
        <v>0</v>
      </c>
      <c r="B5592" t="s">
        <v>720</v>
      </c>
      <c r="C5592" t="s">
        <v>8030</v>
      </c>
      <c r="D5592" t="s">
        <v>13058</v>
      </c>
      <c r="E5592" t="s">
        <v>18058</v>
      </c>
      <c r="F5592" t="s">
        <v>22436</v>
      </c>
      <c r="G5592" t="s">
        <v>22444</v>
      </c>
      <c r="H5592" t="s">
        <v>22452</v>
      </c>
      <c r="I5592" t="s">
        <v>22476</v>
      </c>
      <c r="J5592" t="s">
        <v>23654</v>
      </c>
      <c r="K5592" t="s">
        <v>29336</v>
      </c>
      <c r="M5592" t="s">
        <v>30317</v>
      </c>
      <c r="N5592" t="s">
        <v>32524</v>
      </c>
      <c r="O5592" t="s">
        <v>32525</v>
      </c>
      <c r="P5592">
        <v>0</v>
      </c>
      <c r="Q5592">
        <v>0</v>
      </c>
      <c r="R5592" t="s">
        <v>32531</v>
      </c>
      <c r="S5592" t="s">
        <v>32586</v>
      </c>
      <c r="T5592" t="s">
        <v>33180</v>
      </c>
      <c r="U5592" t="s">
        <v>38343</v>
      </c>
      <c r="V5592" t="s">
        <v>43031</v>
      </c>
      <c r="W5592" t="s">
        <v>30317</v>
      </c>
      <c r="X5592" t="s">
        <v>32532</v>
      </c>
    </row>
    <row r="5593" spans="1:24">
      <c r="A5593">
        <f>HYPERLINK("https://www.philgeps.gov.ph/GEPSNONPILOT/Tender/SplashBidNoticeAbstractUI.aspx?menuIndex=3&amp;refID=7040441&amp;Result=3","7040441")</f>
        <v>0</v>
      </c>
      <c r="B5593" t="s">
        <v>1823</v>
      </c>
      <c r="C5593" t="s">
        <v>8031</v>
      </c>
      <c r="D5593" t="s">
        <v>12998</v>
      </c>
      <c r="E5593" t="s">
        <v>18059</v>
      </c>
      <c r="F5593" t="s">
        <v>22437</v>
      </c>
      <c r="G5593" t="s">
        <v>22446</v>
      </c>
      <c r="H5593" t="s">
        <v>22452</v>
      </c>
      <c r="I5593" t="s">
        <v>22456</v>
      </c>
      <c r="J5593" t="s">
        <v>26243</v>
      </c>
      <c r="K5593" t="s">
        <v>29341</v>
      </c>
      <c r="M5593" t="s">
        <v>31538</v>
      </c>
      <c r="N5593" t="s">
        <v>32524</v>
      </c>
      <c r="O5593" t="s">
        <v>32525</v>
      </c>
      <c r="P5593">
        <v>0</v>
      </c>
      <c r="Q5593">
        <v>4</v>
      </c>
      <c r="R5593" t="s">
        <v>32531</v>
      </c>
      <c r="S5593" t="s">
        <v>32586</v>
      </c>
      <c r="T5593" t="s">
        <v>33185</v>
      </c>
      <c r="U5593" t="s">
        <v>38344</v>
      </c>
      <c r="W5593" t="s">
        <v>31538</v>
      </c>
      <c r="X5593" t="s">
        <v>32532</v>
      </c>
    </row>
    <row r="5594" spans="1:24">
      <c r="A5594">
        <f>HYPERLINK("https://www.philgeps.gov.ph/GEPSNONPILOT/Tender/SplashBidNoticeAbstractUI.aspx?menuIndex=3&amp;refID=7040430&amp;Result=3","7040430")</f>
        <v>0</v>
      </c>
      <c r="B5594" t="s">
        <v>1812</v>
      </c>
      <c r="C5594" t="s">
        <v>8032</v>
      </c>
      <c r="D5594" t="s">
        <v>12998</v>
      </c>
      <c r="E5594" t="s">
        <v>18060</v>
      </c>
      <c r="F5594" t="s">
        <v>22436</v>
      </c>
      <c r="G5594" t="s">
        <v>22444</v>
      </c>
      <c r="H5594" t="s">
        <v>22452</v>
      </c>
      <c r="I5594" t="s">
        <v>22474</v>
      </c>
      <c r="J5594" t="s">
        <v>22788</v>
      </c>
      <c r="K5594" t="s">
        <v>29336</v>
      </c>
      <c r="M5594" t="s">
        <v>31525</v>
      </c>
      <c r="N5594" t="s">
        <v>32524</v>
      </c>
      <c r="O5594" t="s">
        <v>32525</v>
      </c>
      <c r="P5594">
        <v>0</v>
      </c>
      <c r="Q5594">
        <v>2</v>
      </c>
      <c r="R5594" t="s">
        <v>32531</v>
      </c>
      <c r="S5594" t="s">
        <v>32586</v>
      </c>
      <c r="T5594" t="s">
        <v>33351</v>
      </c>
      <c r="U5594" t="s">
        <v>38345</v>
      </c>
      <c r="W5594" t="s">
        <v>31525</v>
      </c>
      <c r="X5594" t="s">
        <v>32532</v>
      </c>
    </row>
    <row r="5595" spans="1:24">
      <c r="A5595">
        <f>HYPERLINK("https://www.philgeps.gov.ph/GEPSNONPILOT/Tender/SplashBidNoticeAbstractUI.aspx?menuIndex=3&amp;refID=7040447&amp;Result=3","7040447")</f>
        <v>0</v>
      </c>
      <c r="B5595" t="s">
        <v>1824</v>
      </c>
      <c r="C5595" t="s">
        <v>8033</v>
      </c>
      <c r="D5595" t="s">
        <v>13024</v>
      </c>
      <c r="E5595" t="s">
        <v>18061</v>
      </c>
      <c r="F5595" t="s">
        <v>22436</v>
      </c>
      <c r="G5595" t="s">
        <v>22444</v>
      </c>
      <c r="H5595" t="s">
        <v>22454</v>
      </c>
      <c r="I5595" t="s">
        <v>6387</v>
      </c>
      <c r="J5595" t="s">
        <v>26244</v>
      </c>
      <c r="K5595" t="s">
        <v>29344</v>
      </c>
      <c r="M5595" t="s">
        <v>31539</v>
      </c>
      <c r="N5595" t="s">
        <v>32524</v>
      </c>
      <c r="O5595" t="s">
        <v>32525</v>
      </c>
      <c r="P5595">
        <v>0</v>
      </c>
      <c r="Q5595">
        <v>1</v>
      </c>
      <c r="R5595" t="s">
        <v>32531</v>
      </c>
      <c r="S5595" t="s">
        <v>32586</v>
      </c>
      <c r="T5595" t="s">
        <v>33484</v>
      </c>
      <c r="U5595" t="s">
        <v>38346</v>
      </c>
      <c r="W5595" t="s">
        <v>31539</v>
      </c>
      <c r="X5595" t="s">
        <v>32532</v>
      </c>
    </row>
    <row r="5596" spans="1:24">
      <c r="A5596">
        <f>HYPERLINK("https://www.philgeps.gov.ph/GEPSNONPILOT/Tender/SplashBidNoticeAbstractUI.aspx?menuIndex=3&amp;refID=7040405&amp;Result=3","7040405")</f>
        <v>0</v>
      </c>
      <c r="B5596" t="s">
        <v>1825</v>
      </c>
      <c r="C5596" t="s">
        <v>6946</v>
      </c>
      <c r="D5596" t="s">
        <v>13068</v>
      </c>
      <c r="E5596" t="s">
        <v>17049</v>
      </c>
      <c r="F5596" t="s">
        <v>22436</v>
      </c>
      <c r="G5596" t="s">
        <v>22444</v>
      </c>
      <c r="H5596" t="s">
        <v>22452</v>
      </c>
      <c r="I5596" t="s">
        <v>22504</v>
      </c>
      <c r="J5596" t="s">
        <v>22654</v>
      </c>
      <c r="K5596" t="s">
        <v>29335</v>
      </c>
      <c r="M5596" t="s">
        <v>31540</v>
      </c>
      <c r="N5596" t="s">
        <v>32524</v>
      </c>
      <c r="O5596" t="s">
        <v>32525</v>
      </c>
      <c r="P5596">
        <v>0</v>
      </c>
      <c r="Q5596">
        <v>0</v>
      </c>
      <c r="R5596" t="s">
        <v>32531</v>
      </c>
      <c r="S5596" t="s">
        <v>32586</v>
      </c>
      <c r="T5596" t="s">
        <v>33451</v>
      </c>
      <c r="U5596" t="s">
        <v>38347</v>
      </c>
      <c r="W5596" t="s">
        <v>31540</v>
      </c>
      <c r="X5596" t="s">
        <v>32532</v>
      </c>
    </row>
    <row r="5597" spans="1:24">
      <c r="A5597">
        <f>HYPERLINK("https://www.philgeps.gov.ph/GEPSNONPILOT/Tender/SplashBidNoticeAbstractUI.aspx?menuIndex=3&amp;refID=7040442&amp;Result=3","7040442")</f>
        <v>0</v>
      </c>
      <c r="B5597" t="s">
        <v>1826</v>
      </c>
      <c r="C5597" t="s">
        <v>8034</v>
      </c>
      <c r="D5597" t="s">
        <v>13046</v>
      </c>
      <c r="E5597" t="s">
        <v>18062</v>
      </c>
      <c r="F5597" t="s">
        <v>22437</v>
      </c>
      <c r="G5597" t="s">
        <v>22444</v>
      </c>
      <c r="H5597" t="s">
        <v>22452</v>
      </c>
      <c r="I5597" t="s">
        <v>3529</v>
      </c>
      <c r="J5597" t="s">
        <v>26245</v>
      </c>
      <c r="K5597" t="s">
        <v>29341</v>
      </c>
      <c r="M5597" t="s">
        <v>31541</v>
      </c>
      <c r="N5597" t="s">
        <v>32524</v>
      </c>
      <c r="O5597" t="s">
        <v>32525</v>
      </c>
      <c r="P5597">
        <v>0</v>
      </c>
      <c r="Q5597">
        <v>0</v>
      </c>
      <c r="R5597" t="s">
        <v>32531</v>
      </c>
      <c r="S5597" t="s">
        <v>32586</v>
      </c>
      <c r="T5597" t="s">
        <v>33241</v>
      </c>
      <c r="U5597" t="s">
        <v>38348</v>
      </c>
      <c r="W5597" t="s">
        <v>31541</v>
      </c>
      <c r="X5597" t="s">
        <v>32532</v>
      </c>
    </row>
    <row r="5598" spans="1:24">
      <c r="A5598">
        <f>HYPERLINK("https://www.philgeps.gov.ph/GEPSNONPILOT/Tender/SplashBidNoticeAbstractUI.aspx?menuIndex=3&amp;refID=7040451&amp;Result=3","7040451")</f>
        <v>0</v>
      </c>
      <c r="B5598" t="s">
        <v>1827</v>
      </c>
      <c r="C5598" t="s">
        <v>8035</v>
      </c>
      <c r="D5598" t="s">
        <v>13038</v>
      </c>
      <c r="E5598" t="s">
        <v>18063</v>
      </c>
      <c r="F5598" t="s">
        <v>22436</v>
      </c>
      <c r="G5598" t="s">
        <v>22444</v>
      </c>
      <c r="H5598" t="s">
        <v>22452</v>
      </c>
      <c r="I5598" t="s">
        <v>2993</v>
      </c>
      <c r="J5598" t="s">
        <v>26246</v>
      </c>
      <c r="K5598" t="s">
        <v>29330</v>
      </c>
      <c r="M5598" t="s">
        <v>31542</v>
      </c>
      <c r="N5598" t="s">
        <v>32524</v>
      </c>
      <c r="O5598" t="s">
        <v>32525</v>
      </c>
      <c r="P5598">
        <v>0</v>
      </c>
      <c r="Q5598">
        <v>3</v>
      </c>
      <c r="R5598" t="s">
        <v>32531</v>
      </c>
      <c r="S5598" t="s">
        <v>32586</v>
      </c>
      <c r="T5598" t="s">
        <v>33270</v>
      </c>
      <c r="U5598" t="s">
        <v>38349</v>
      </c>
      <c r="V5598" t="s">
        <v>43032</v>
      </c>
      <c r="W5598" t="s">
        <v>31542</v>
      </c>
      <c r="X5598" t="s">
        <v>32532</v>
      </c>
    </row>
    <row r="5599" spans="1:24">
      <c r="A5599">
        <f>HYPERLINK("https://www.philgeps.gov.ph/GEPSNONPILOT/Tender/SplashBidNoticeAbstractUI.aspx?menuIndex=3&amp;refID=7040482&amp;Result=3","7040482")</f>
        <v>0</v>
      </c>
      <c r="B5599" t="s">
        <v>1828</v>
      </c>
      <c r="C5599" t="s">
        <v>8036</v>
      </c>
      <c r="D5599" t="s">
        <v>13026</v>
      </c>
      <c r="E5599" t="s">
        <v>18064</v>
      </c>
      <c r="F5599" t="s">
        <v>22436</v>
      </c>
      <c r="G5599" t="s">
        <v>22444</v>
      </c>
      <c r="H5599" t="s">
        <v>22454</v>
      </c>
      <c r="I5599" t="s">
        <v>7738</v>
      </c>
      <c r="J5599" t="s">
        <v>23694</v>
      </c>
      <c r="K5599" t="s">
        <v>29335</v>
      </c>
      <c r="M5599" t="s">
        <v>31543</v>
      </c>
      <c r="N5599" t="s">
        <v>32524</v>
      </c>
      <c r="O5599" t="s">
        <v>32525</v>
      </c>
      <c r="P5599">
        <v>0</v>
      </c>
      <c r="Q5599">
        <v>1</v>
      </c>
      <c r="R5599" t="s">
        <v>32531</v>
      </c>
      <c r="S5599" t="s">
        <v>32586</v>
      </c>
      <c r="T5599" t="s">
        <v>33310</v>
      </c>
      <c r="U5599" t="s">
        <v>38350</v>
      </c>
      <c r="W5599" t="s">
        <v>31543</v>
      </c>
      <c r="X5599" t="s">
        <v>32532</v>
      </c>
    </row>
    <row r="5600" spans="1:24">
      <c r="A5600">
        <f>HYPERLINK("https://www.philgeps.gov.ph/GEPSNONPILOT/Tender/SplashBidNoticeAbstractUI.aspx?menuIndex=3&amp;refID=7040450&amp;Result=3","7040450")</f>
        <v>0</v>
      </c>
      <c r="B5600" t="s">
        <v>1829</v>
      </c>
      <c r="C5600" t="s">
        <v>8037</v>
      </c>
      <c r="D5600" t="s">
        <v>13001</v>
      </c>
      <c r="E5600" t="s">
        <v>18065</v>
      </c>
      <c r="F5600" t="s">
        <v>22436</v>
      </c>
      <c r="G5600" t="s">
        <v>22444</v>
      </c>
      <c r="H5600" t="s">
        <v>22454</v>
      </c>
      <c r="I5600" t="s">
        <v>7738</v>
      </c>
      <c r="J5600" t="s">
        <v>26247</v>
      </c>
      <c r="K5600" t="s">
        <v>29338</v>
      </c>
      <c r="M5600" t="s">
        <v>31544</v>
      </c>
      <c r="N5600" t="s">
        <v>32524</v>
      </c>
      <c r="O5600" t="s">
        <v>32525</v>
      </c>
      <c r="P5600">
        <v>0</v>
      </c>
      <c r="Q5600">
        <v>7</v>
      </c>
      <c r="R5600" t="s">
        <v>32531</v>
      </c>
      <c r="S5600" t="s">
        <v>32586</v>
      </c>
      <c r="T5600" t="s">
        <v>33209</v>
      </c>
      <c r="U5600" t="s">
        <v>38351</v>
      </c>
      <c r="V5600" t="s">
        <v>43033</v>
      </c>
      <c r="W5600" t="s">
        <v>31544</v>
      </c>
      <c r="X5600" t="s">
        <v>32532</v>
      </c>
    </row>
    <row r="5601" spans="1:24">
      <c r="A5601">
        <f>HYPERLINK("https://www.philgeps.gov.ph/GEPSNONPILOT/Tender/SplashBidNoticeAbstractUI.aspx?menuIndex=3&amp;refID=7040466&amp;Result=3","7040466")</f>
        <v>0</v>
      </c>
      <c r="B5601" t="s">
        <v>1830</v>
      </c>
      <c r="C5601" t="s">
        <v>8038</v>
      </c>
      <c r="D5601" t="s">
        <v>12990</v>
      </c>
      <c r="E5601" t="s">
        <v>18066</v>
      </c>
      <c r="F5601" t="s">
        <v>22436</v>
      </c>
      <c r="G5601" t="s">
        <v>22444</v>
      </c>
      <c r="H5601" t="s">
        <v>22452</v>
      </c>
      <c r="I5601" t="s">
        <v>22461</v>
      </c>
      <c r="J5601" t="s">
        <v>26248</v>
      </c>
      <c r="K5601" t="s">
        <v>29330</v>
      </c>
      <c r="M5601" t="s">
        <v>31545</v>
      </c>
      <c r="N5601" t="s">
        <v>32524</v>
      </c>
      <c r="O5601" t="s">
        <v>32525</v>
      </c>
      <c r="P5601">
        <v>0</v>
      </c>
      <c r="Q5601">
        <v>4</v>
      </c>
      <c r="R5601" t="s">
        <v>32531</v>
      </c>
      <c r="S5601" t="s">
        <v>32586</v>
      </c>
      <c r="T5601" t="s">
        <v>33345</v>
      </c>
      <c r="U5601" t="s">
        <v>38352</v>
      </c>
      <c r="W5601" t="s">
        <v>31545</v>
      </c>
      <c r="X5601" t="s">
        <v>32532</v>
      </c>
    </row>
    <row r="5602" spans="1:24">
      <c r="A5602">
        <f>HYPERLINK("https://www.philgeps.gov.ph/GEPSNONPILOT/Tender/SplashBidNoticeAbstractUI.aspx?menuIndex=3&amp;refID=7040474&amp;Result=3","7040474")</f>
        <v>0</v>
      </c>
      <c r="B5602" t="s">
        <v>1804</v>
      </c>
      <c r="C5602" t="s">
        <v>8039</v>
      </c>
      <c r="D5602" t="s">
        <v>13064</v>
      </c>
      <c r="E5602" t="s">
        <v>18067</v>
      </c>
      <c r="F5602" t="s">
        <v>22436</v>
      </c>
      <c r="G5602" t="s">
        <v>22443</v>
      </c>
      <c r="H5602" t="s">
        <v>22452</v>
      </c>
      <c r="I5602" t="s">
        <v>22524</v>
      </c>
      <c r="J5602" t="s">
        <v>26249</v>
      </c>
      <c r="K5602" t="s">
        <v>29335</v>
      </c>
      <c r="M5602" t="s">
        <v>31517</v>
      </c>
      <c r="N5602" t="s">
        <v>32524</v>
      </c>
      <c r="O5602" t="s">
        <v>32525</v>
      </c>
      <c r="P5602">
        <v>0</v>
      </c>
      <c r="Q5602">
        <v>3</v>
      </c>
      <c r="R5602" t="s">
        <v>32531</v>
      </c>
      <c r="S5602" t="s">
        <v>32586</v>
      </c>
      <c r="T5602" t="s">
        <v>33310</v>
      </c>
      <c r="U5602" t="s">
        <v>38353</v>
      </c>
      <c r="W5602" t="s">
        <v>31517</v>
      </c>
      <c r="X5602" t="s">
        <v>32532</v>
      </c>
    </row>
    <row r="5603" spans="1:24">
      <c r="A5603">
        <f>HYPERLINK("https://www.philgeps.gov.ph/GEPSNONPILOT/Tender/SplashBidNoticeAbstractUI.aspx?menuIndex=3&amp;refID=7040460&amp;Result=3","7040460")</f>
        <v>0</v>
      </c>
      <c r="B5603" t="s">
        <v>1831</v>
      </c>
      <c r="C5603" t="s">
        <v>8040</v>
      </c>
      <c r="D5603" t="s">
        <v>13037</v>
      </c>
      <c r="E5603" t="s">
        <v>18068</v>
      </c>
      <c r="F5603" t="s">
        <v>22436</v>
      </c>
      <c r="G5603" t="s">
        <v>22446</v>
      </c>
      <c r="H5603" t="s">
        <v>22452</v>
      </c>
      <c r="I5603" t="s">
        <v>22471</v>
      </c>
      <c r="J5603" t="s">
        <v>26250</v>
      </c>
      <c r="K5603" t="s">
        <v>29336</v>
      </c>
      <c r="M5603" t="s">
        <v>31546</v>
      </c>
      <c r="N5603" t="s">
        <v>32524</v>
      </c>
      <c r="O5603" t="s">
        <v>32525</v>
      </c>
      <c r="P5603">
        <v>0</v>
      </c>
      <c r="Q5603">
        <v>6</v>
      </c>
      <c r="R5603" t="s">
        <v>32531</v>
      </c>
      <c r="S5603" t="s">
        <v>32586</v>
      </c>
      <c r="T5603" t="s">
        <v>33323</v>
      </c>
      <c r="U5603" t="s">
        <v>38354</v>
      </c>
      <c r="W5603" t="s">
        <v>31546</v>
      </c>
      <c r="X5603" t="s">
        <v>32532</v>
      </c>
    </row>
    <row r="5604" spans="1:24">
      <c r="A5604">
        <f>HYPERLINK("https://www.philgeps.gov.ph/GEPSNONPILOT/Tender/SplashBidNoticeAbstractUI.aspx?menuIndex=3&amp;refID=7040458&amp;Result=3","7040458")</f>
        <v>0</v>
      </c>
      <c r="B5604" t="s">
        <v>1819</v>
      </c>
      <c r="C5604" t="s">
        <v>8041</v>
      </c>
      <c r="D5604" t="s">
        <v>13006</v>
      </c>
      <c r="E5604" t="s">
        <v>18069</v>
      </c>
      <c r="F5604" t="s">
        <v>22436</v>
      </c>
      <c r="G5604" t="s">
        <v>22444</v>
      </c>
      <c r="H5604" t="s">
        <v>22454</v>
      </c>
      <c r="I5604" t="s">
        <v>22501</v>
      </c>
      <c r="J5604" t="s">
        <v>26251</v>
      </c>
      <c r="K5604" t="s">
        <v>29344</v>
      </c>
      <c r="M5604" t="s">
        <v>31533</v>
      </c>
      <c r="N5604" t="s">
        <v>32524</v>
      </c>
      <c r="O5604" t="s">
        <v>32525</v>
      </c>
      <c r="P5604">
        <v>0</v>
      </c>
      <c r="Q5604">
        <v>7</v>
      </c>
      <c r="R5604" t="s">
        <v>32531</v>
      </c>
      <c r="S5604" t="s">
        <v>32586</v>
      </c>
      <c r="T5604" t="s">
        <v>33253</v>
      </c>
      <c r="U5604" t="s">
        <v>38355</v>
      </c>
      <c r="V5604" t="s">
        <v>43027</v>
      </c>
      <c r="W5604" t="s">
        <v>31533</v>
      </c>
      <c r="X5604" t="s">
        <v>32532</v>
      </c>
    </row>
    <row r="5605" spans="1:24">
      <c r="A5605">
        <f>HYPERLINK("https://www.philgeps.gov.ph/GEPSNONPILOT/Tender/SplashBidNoticeAbstractUI.aspx?menuIndex=3&amp;refID=7040464&amp;Result=3","7040464")</f>
        <v>0</v>
      </c>
      <c r="B5605" t="s">
        <v>1832</v>
      </c>
      <c r="C5605" t="s">
        <v>8042</v>
      </c>
      <c r="D5605" t="s">
        <v>13027</v>
      </c>
      <c r="E5605" t="s">
        <v>18070</v>
      </c>
      <c r="F5605" t="s">
        <v>22436</v>
      </c>
      <c r="G5605" t="s">
        <v>22444</v>
      </c>
      <c r="H5605" t="s">
        <v>22452</v>
      </c>
      <c r="I5605" t="s">
        <v>6421</v>
      </c>
      <c r="J5605" t="s">
        <v>26252</v>
      </c>
      <c r="K5605" t="s">
        <v>29334</v>
      </c>
      <c r="M5605" t="s">
        <v>31547</v>
      </c>
      <c r="N5605" t="s">
        <v>32524</v>
      </c>
      <c r="O5605" t="s">
        <v>32525</v>
      </c>
      <c r="P5605">
        <v>0</v>
      </c>
      <c r="Q5605">
        <v>4</v>
      </c>
      <c r="R5605" t="s">
        <v>32531</v>
      </c>
      <c r="S5605" t="s">
        <v>32586</v>
      </c>
      <c r="T5605" t="s">
        <v>33405</v>
      </c>
      <c r="U5605" t="s">
        <v>38356</v>
      </c>
      <c r="W5605" t="s">
        <v>31547</v>
      </c>
      <c r="X5605" t="s">
        <v>32532</v>
      </c>
    </row>
    <row r="5606" spans="1:24">
      <c r="A5606">
        <f>HYPERLINK("https://www.philgeps.gov.ph/GEPSNONPILOT/Tender/SplashBidNoticeAbstractUI.aspx?menuIndex=3&amp;refID=7040455&amp;Result=3","7040455")</f>
        <v>0</v>
      </c>
      <c r="B5606" t="s">
        <v>1446</v>
      </c>
      <c r="C5606" t="s">
        <v>8043</v>
      </c>
      <c r="D5606" t="s">
        <v>13049</v>
      </c>
      <c r="E5606" t="s">
        <v>18071</v>
      </c>
      <c r="F5606" t="s">
        <v>22436</v>
      </c>
      <c r="G5606" t="s">
        <v>22444</v>
      </c>
      <c r="H5606" t="s">
        <v>22454</v>
      </c>
      <c r="I5606" t="s">
        <v>7738</v>
      </c>
      <c r="J5606" t="s">
        <v>26253</v>
      </c>
      <c r="K5606" t="s">
        <v>29480</v>
      </c>
      <c r="M5606" t="s">
        <v>31110</v>
      </c>
      <c r="N5606" t="s">
        <v>32524</v>
      </c>
      <c r="O5606" t="s">
        <v>32525</v>
      </c>
      <c r="P5606">
        <v>0</v>
      </c>
      <c r="Q5606">
        <v>0</v>
      </c>
      <c r="R5606" t="s">
        <v>32531</v>
      </c>
      <c r="S5606" t="s">
        <v>32586</v>
      </c>
      <c r="T5606" t="s">
        <v>33234</v>
      </c>
      <c r="U5606" t="s">
        <v>38357</v>
      </c>
      <c r="V5606" t="s">
        <v>43034</v>
      </c>
      <c r="W5606" t="s">
        <v>31110</v>
      </c>
      <c r="X5606" t="s">
        <v>32532</v>
      </c>
    </row>
    <row r="5607" spans="1:24">
      <c r="A5607">
        <f>HYPERLINK("https://www.philgeps.gov.ph/GEPSNONPILOT/Tender/SplashBidNoticeAbstractUI.aspx?menuIndex=3&amp;refID=7040479&amp;Result=3","7040479")</f>
        <v>0</v>
      </c>
      <c r="B5607" t="s">
        <v>1024</v>
      </c>
      <c r="C5607" t="s">
        <v>8044</v>
      </c>
      <c r="E5607" t="s">
        <v>18072</v>
      </c>
      <c r="F5607" t="s">
        <v>22436</v>
      </c>
      <c r="G5607" t="s">
        <v>22444</v>
      </c>
      <c r="H5607" t="s">
        <v>22452</v>
      </c>
      <c r="I5607" t="s">
        <v>22502</v>
      </c>
      <c r="J5607" t="s">
        <v>23789</v>
      </c>
      <c r="K5607" t="s">
        <v>29333</v>
      </c>
      <c r="M5607" t="s">
        <v>30653</v>
      </c>
      <c r="N5607" t="s">
        <v>32524</v>
      </c>
      <c r="O5607" t="s">
        <v>32525</v>
      </c>
      <c r="P5607">
        <v>0</v>
      </c>
      <c r="Q5607">
        <v>40</v>
      </c>
      <c r="R5607" t="s">
        <v>32531</v>
      </c>
      <c r="S5607" t="s">
        <v>32586</v>
      </c>
      <c r="T5607" t="s">
        <v>33503</v>
      </c>
      <c r="U5607" t="s">
        <v>35953</v>
      </c>
      <c r="W5607" t="s">
        <v>30653</v>
      </c>
      <c r="X5607" t="s">
        <v>32532</v>
      </c>
    </row>
    <row r="5608" spans="1:24">
      <c r="A5608">
        <f>HYPERLINK("https://www.philgeps.gov.ph/GEPSNONPILOT/Tender/SplashBidNoticeAbstractUI.aspx?menuIndex=3&amp;refID=7040457&amp;Result=3","7040457")</f>
        <v>0</v>
      </c>
      <c r="B5608" t="s">
        <v>1833</v>
      </c>
      <c r="C5608" t="s">
        <v>8045</v>
      </c>
      <c r="D5608" t="s">
        <v>13007</v>
      </c>
      <c r="E5608" t="s">
        <v>18073</v>
      </c>
      <c r="F5608" t="s">
        <v>22436</v>
      </c>
      <c r="G5608" t="s">
        <v>22443</v>
      </c>
      <c r="H5608" t="s">
        <v>22452</v>
      </c>
      <c r="I5608" t="s">
        <v>22482</v>
      </c>
      <c r="J5608" t="s">
        <v>22800</v>
      </c>
      <c r="K5608" t="s">
        <v>29336</v>
      </c>
      <c r="M5608" t="s">
        <v>31548</v>
      </c>
      <c r="N5608" t="s">
        <v>32524</v>
      </c>
      <c r="O5608" t="s">
        <v>32525</v>
      </c>
      <c r="P5608">
        <v>0</v>
      </c>
      <c r="Q5608">
        <v>2</v>
      </c>
      <c r="R5608" t="s">
        <v>32531</v>
      </c>
      <c r="S5608" t="s">
        <v>32586</v>
      </c>
      <c r="T5608" t="s">
        <v>33209</v>
      </c>
      <c r="U5608" t="s">
        <v>38358</v>
      </c>
      <c r="V5608" t="s">
        <v>43035</v>
      </c>
      <c r="W5608" t="s">
        <v>31548</v>
      </c>
      <c r="X5608" t="s">
        <v>32532</v>
      </c>
    </row>
    <row r="5609" spans="1:24">
      <c r="A5609">
        <f>HYPERLINK("https://www.philgeps.gov.ph/GEPSNONPILOT/Tender/SplashBidNoticeAbstractUI.aspx?menuIndex=3&amp;refID=7040486&amp;Result=3","7040486")</f>
        <v>0</v>
      </c>
      <c r="B5609" t="s">
        <v>1816</v>
      </c>
      <c r="C5609" t="s">
        <v>8046</v>
      </c>
      <c r="D5609" t="s">
        <v>12993</v>
      </c>
      <c r="E5609" t="s">
        <v>18074</v>
      </c>
      <c r="F5609" t="s">
        <v>22436</v>
      </c>
      <c r="G5609" t="s">
        <v>22443</v>
      </c>
      <c r="H5609" t="s">
        <v>22452</v>
      </c>
      <c r="I5609" t="s">
        <v>3027</v>
      </c>
      <c r="J5609" t="s">
        <v>22654</v>
      </c>
      <c r="K5609" t="s">
        <v>29338</v>
      </c>
      <c r="M5609" t="s">
        <v>31530</v>
      </c>
      <c r="N5609" t="s">
        <v>32524</v>
      </c>
      <c r="O5609" t="s">
        <v>32525</v>
      </c>
      <c r="P5609">
        <v>0</v>
      </c>
      <c r="Q5609">
        <v>0</v>
      </c>
      <c r="R5609" t="s">
        <v>32531</v>
      </c>
      <c r="S5609" t="s">
        <v>32586</v>
      </c>
      <c r="T5609" t="s">
        <v>33238</v>
      </c>
      <c r="U5609" t="s">
        <v>38359</v>
      </c>
      <c r="W5609" t="s">
        <v>31530</v>
      </c>
      <c r="X5609" t="s">
        <v>32532</v>
      </c>
    </row>
    <row r="5610" spans="1:24">
      <c r="A5610">
        <f>HYPERLINK("https://www.philgeps.gov.ph/GEPSNONPILOT/Tender/SplashBidNoticeAbstractUI.aspx?menuIndex=3&amp;refID=7040492&amp;Result=3","7040492")</f>
        <v>0</v>
      </c>
      <c r="B5610" t="s">
        <v>1827</v>
      </c>
      <c r="C5610" t="s">
        <v>8047</v>
      </c>
      <c r="D5610" t="s">
        <v>13038</v>
      </c>
      <c r="E5610" t="s">
        <v>18075</v>
      </c>
      <c r="F5610" t="s">
        <v>22436</v>
      </c>
      <c r="G5610" t="s">
        <v>22444</v>
      </c>
      <c r="H5610" t="s">
        <v>22452</v>
      </c>
      <c r="I5610" t="s">
        <v>2993</v>
      </c>
      <c r="J5610" t="s">
        <v>26254</v>
      </c>
      <c r="K5610" t="s">
        <v>29330</v>
      </c>
      <c r="M5610" t="s">
        <v>31542</v>
      </c>
      <c r="N5610" t="s">
        <v>32524</v>
      </c>
      <c r="O5610" t="s">
        <v>32525</v>
      </c>
      <c r="P5610">
        <v>0</v>
      </c>
      <c r="Q5610">
        <v>5</v>
      </c>
      <c r="R5610" t="s">
        <v>32531</v>
      </c>
      <c r="S5610" t="s">
        <v>32586</v>
      </c>
      <c r="T5610" t="s">
        <v>33270</v>
      </c>
      <c r="U5610" t="s">
        <v>38360</v>
      </c>
      <c r="V5610" t="s">
        <v>43032</v>
      </c>
      <c r="W5610" t="s">
        <v>31542</v>
      </c>
      <c r="X5610" t="s">
        <v>32532</v>
      </c>
    </row>
    <row r="5611" spans="1:24">
      <c r="A5611">
        <f>HYPERLINK("https://www.philgeps.gov.ph/GEPSNONPILOT/Tender/SplashBidNoticeAbstractUI.aspx?menuIndex=3&amp;refID=7040488&amp;Result=3","7040488")</f>
        <v>0</v>
      </c>
      <c r="B5611" t="s">
        <v>720</v>
      </c>
      <c r="C5611" t="s">
        <v>8048</v>
      </c>
      <c r="D5611" t="s">
        <v>13058</v>
      </c>
      <c r="E5611" t="s">
        <v>18076</v>
      </c>
      <c r="F5611" t="s">
        <v>22436</v>
      </c>
      <c r="G5611" t="s">
        <v>22444</v>
      </c>
      <c r="H5611" t="s">
        <v>22452</v>
      </c>
      <c r="I5611" t="s">
        <v>22465</v>
      </c>
      <c r="J5611" t="s">
        <v>26255</v>
      </c>
      <c r="K5611" t="s">
        <v>29336</v>
      </c>
      <c r="M5611" t="s">
        <v>30317</v>
      </c>
      <c r="N5611" t="s">
        <v>32524</v>
      </c>
      <c r="O5611" t="s">
        <v>32525</v>
      </c>
      <c r="P5611">
        <v>0</v>
      </c>
      <c r="Q5611">
        <v>0</v>
      </c>
      <c r="R5611" t="s">
        <v>32531</v>
      </c>
      <c r="S5611" t="s">
        <v>32586</v>
      </c>
      <c r="T5611" t="s">
        <v>33180</v>
      </c>
      <c r="U5611" t="s">
        <v>38361</v>
      </c>
      <c r="V5611" t="s">
        <v>43036</v>
      </c>
      <c r="W5611" t="s">
        <v>30317</v>
      </c>
      <c r="X5611" t="s">
        <v>32532</v>
      </c>
    </row>
    <row r="5612" spans="1:24">
      <c r="A5612">
        <f>HYPERLINK("https://www.philgeps.gov.ph/GEPSNONPILOT/Tender/SplashBidNoticeAbstractUI.aspx?menuIndex=3&amp;refID=7040498&amp;Result=3","7040498")</f>
        <v>0</v>
      </c>
      <c r="B5612" t="s">
        <v>1446</v>
      </c>
      <c r="C5612" t="s">
        <v>8049</v>
      </c>
      <c r="D5612" t="s">
        <v>13049</v>
      </c>
      <c r="E5612" t="s">
        <v>18077</v>
      </c>
      <c r="F5612" t="s">
        <v>22436</v>
      </c>
      <c r="G5612" t="s">
        <v>22444</v>
      </c>
      <c r="H5612" t="s">
        <v>22454</v>
      </c>
      <c r="I5612" t="s">
        <v>7738</v>
      </c>
      <c r="J5612" t="s">
        <v>26256</v>
      </c>
      <c r="K5612" t="s">
        <v>29413</v>
      </c>
      <c r="M5612" t="s">
        <v>31110</v>
      </c>
      <c r="N5612" t="s">
        <v>32524</v>
      </c>
      <c r="O5612" t="s">
        <v>32525</v>
      </c>
      <c r="P5612">
        <v>0</v>
      </c>
      <c r="Q5612">
        <v>0</v>
      </c>
      <c r="R5612" t="s">
        <v>32531</v>
      </c>
      <c r="S5612" t="s">
        <v>32586</v>
      </c>
      <c r="T5612" t="s">
        <v>33234</v>
      </c>
      <c r="U5612" t="s">
        <v>38362</v>
      </c>
      <c r="V5612" t="s">
        <v>43037</v>
      </c>
      <c r="W5612" t="s">
        <v>31110</v>
      </c>
      <c r="X5612" t="s">
        <v>32532</v>
      </c>
    </row>
    <row r="5613" spans="1:24">
      <c r="A5613">
        <f>HYPERLINK("https://www.philgeps.gov.ph/GEPSNONPILOT/Tender/SplashBidNoticeAbstractUI.aspx?menuIndex=3&amp;refID=7040495&amp;Result=3","7040495")</f>
        <v>0</v>
      </c>
      <c r="B5613" t="s">
        <v>1809</v>
      </c>
      <c r="C5613" t="s">
        <v>8050</v>
      </c>
      <c r="D5613" t="s">
        <v>13010</v>
      </c>
      <c r="E5613" t="s">
        <v>13092</v>
      </c>
      <c r="F5613" t="s">
        <v>22436</v>
      </c>
      <c r="G5613" t="s">
        <v>22444</v>
      </c>
      <c r="H5613" t="s">
        <v>22452</v>
      </c>
      <c r="I5613" t="s">
        <v>3529</v>
      </c>
      <c r="J5613" t="s">
        <v>26257</v>
      </c>
      <c r="K5613" t="s">
        <v>29341</v>
      </c>
      <c r="M5613" t="s">
        <v>31522</v>
      </c>
      <c r="N5613" t="s">
        <v>32524</v>
      </c>
      <c r="O5613" t="s">
        <v>32525</v>
      </c>
      <c r="P5613">
        <v>0</v>
      </c>
      <c r="Q5613">
        <v>0</v>
      </c>
      <c r="R5613" t="s">
        <v>32531</v>
      </c>
      <c r="S5613" t="s">
        <v>32586</v>
      </c>
      <c r="T5613" t="s">
        <v>33236</v>
      </c>
      <c r="U5613" t="s">
        <v>38363</v>
      </c>
      <c r="W5613" t="s">
        <v>31522</v>
      </c>
      <c r="X5613" t="s">
        <v>32532</v>
      </c>
    </row>
    <row r="5614" spans="1:24">
      <c r="A5614">
        <f>HYPERLINK("https://www.philgeps.gov.ph/GEPSNONPILOT/Tender/SplashBidNoticeAbstractUI.aspx?menuIndex=3&amp;refID=7040491&amp;Result=3","7040491")</f>
        <v>0</v>
      </c>
      <c r="B5614" t="s">
        <v>1828</v>
      </c>
      <c r="C5614" t="s">
        <v>8051</v>
      </c>
      <c r="D5614" t="s">
        <v>13026</v>
      </c>
      <c r="E5614" t="s">
        <v>18078</v>
      </c>
      <c r="F5614" t="s">
        <v>22436</v>
      </c>
      <c r="G5614" t="s">
        <v>22444</v>
      </c>
      <c r="H5614" t="s">
        <v>22454</v>
      </c>
      <c r="I5614" t="s">
        <v>7738</v>
      </c>
      <c r="J5614" t="s">
        <v>25151</v>
      </c>
      <c r="K5614" t="s">
        <v>29335</v>
      </c>
      <c r="M5614" t="s">
        <v>31543</v>
      </c>
      <c r="N5614" t="s">
        <v>32524</v>
      </c>
      <c r="O5614" t="s">
        <v>32525</v>
      </c>
      <c r="P5614">
        <v>0</v>
      </c>
      <c r="Q5614">
        <v>0</v>
      </c>
      <c r="R5614" t="s">
        <v>32531</v>
      </c>
      <c r="S5614" t="s">
        <v>32586</v>
      </c>
      <c r="T5614" t="s">
        <v>33310</v>
      </c>
      <c r="U5614" t="s">
        <v>38364</v>
      </c>
      <c r="W5614" t="s">
        <v>31543</v>
      </c>
      <c r="X5614" t="s">
        <v>32532</v>
      </c>
    </row>
    <row r="5615" spans="1:24">
      <c r="A5615">
        <f>HYPERLINK("https://www.philgeps.gov.ph/GEPSNONPILOT/Tender/SplashBidNoticeAbstractUI.aspx?menuIndex=3&amp;refID=7040494&amp;Result=3","7040494")</f>
        <v>0</v>
      </c>
      <c r="B5615" t="s">
        <v>685</v>
      </c>
      <c r="C5615" t="s">
        <v>8052</v>
      </c>
      <c r="D5615" t="s">
        <v>13045</v>
      </c>
      <c r="E5615" t="s">
        <v>18079</v>
      </c>
      <c r="F5615" t="s">
        <v>22436</v>
      </c>
      <c r="G5615" t="s">
        <v>22444</v>
      </c>
      <c r="H5615" t="s">
        <v>22452</v>
      </c>
      <c r="I5615" t="s">
        <v>22469</v>
      </c>
      <c r="J5615" t="s">
        <v>24951</v>
      </c>
      <c r="K5615" t="s">
        <v>29335</v>
      </c>
      <c r="M5615" t="s">
        <v>30279</v>
      </c>
      <c r="N5615" t="s">
        <v>32524</v>
      </c>
      <c r="O5615" t="s">
        <v>32525</v>
      </c>
      <c r="P5615">
        <v>0</v>
      </c>
      <c r="Q5615">
        <v>5</v>
      </c>
      <c r="R5615" t="s">
        <v>32531</v>
      </c>
      <c r="S5615" t="s">
        <v>32586</v>
      </c>
      <c r="T5615" t="s">
        <v>33237</v>
      </c>
      <c r="U5615" t="s">
        <v>38365</v>
      </c>
      <c r="V5615" t="s">
        <v>42581</v>
      </c>
      <c r="W5615" t="s">
        <v>30279</v>
      </c>
      <c r="X5615" t="s">
        <v>32532</v>
      </c>
    </row>
    <row r="5616" spans="1:24">
      <c r="A5616">
        <f>HYPERLINK("https://www.philgeps.gov.ph/GEPSNONPILOT/Tender/SplashBidNoticeAbstractUI.aspx?menuIndex=3&amp;refID=7040525&amp;Result=3","7040525")</f>
        <v>0</v>
      </c>
      <c r="B5616" t="s">
        <v>685</v>
      </c>
      <c r="C5616" t="s">
        <v>8053</v>
      </c>
      <c r="D5616" t="s">
        <v>13045</v>
      </c>
      <c r="E5616" t="s">
        <v>18080</v>
      </c>
      <c r="F5616" t="s">
        <v>22436</v>
      </c>
      <c r="G5616" t="s">
        <v>22444</v>
      </c>
      <c r="H5616" t="s">
        <v>22452</v>
      </c>
      <c r="I5616" t="s">
        <v>22484</v>
      </c>
      <c r="J5616" t="s">
        <v>26258</v>
      </c>
      <c r="K5616" t="s">
        <v>29335</v>
      </c>
      <c r="M5616" t="s">
        <v>30279</v>
      </c>
      <c r="N5616" t="s">
        <v>32524</v>
      </c>
      <c r="O5616" t="s">
        <v>32525</v>
      </c>
      <c r="P5616">
        <v>0</v>
      </c>
      <c r="Q5616">
        <v>4</v>
      </c>
      <c r="R5616" t="s">
        <v>32531</v>
      </c>
      <c r="S5616" t="s">
        <v>32586</v>
      </c>
      <c r="T5616" t="s">
        <v>33237</v>
      </c>
      <c r="U5616" t="s">
        <v>38366</v>
      </c>
      <c r="V5616" t="s">
        <v>42581</v>
      </c>
      <c r="W5616" t="s">
        <v>30279</v>
      </c>
      <c r="X5616" t="s">
        <v>32532</v>
      </c>
    </row>
    <row r="5617" spans="1:24">
      <c r="A5617">
        <f>HYPERLINK("https://www.philgeps.gov.ph/GEPSNONPILOT/Tender/SplashBidNoticeAbstractUI.aspx?menuIndex=3&amp;refID=7040518&amp;Result=3","7040518")</f>
        <v>0</v>
      </c>
      <c r="B5617" t="s">
        <v>1819</v>
      </c>
      <c r="C5617" t="s">
        <v>8054</v>
      </c>
      <c r="D5617" t="s">
        <v>13006</v>
      </c>
      <c r="E5617" t="s">
        <v>18081</v>
      </c>
      <c r="F5617" t="s">
        <v>22436</v>
      </c>
      <c r="G5617" t="s">
        <v>22444</v>
      </c>
      <c r="H5617" t="s">
        <v>22454</v>
      </c>
      <c r="I5617" t="s">
        <v>22501</v>
      </c>
      <c r="J5617" t="s">
        <v>26259</v>
      </c>
      <c r="K5617" t="s">
        <v>29344</v>
      </c>
      <c r="M5617" t="s">
        <v>31533</v>
      </c>
      <c r="N5617" t="s">
        <v>32524</v>
      </c>
      <c r="O5617" t="s">
        <v>32525</v>
      </c>
      <c r="P5617">
        <v>0</v>
      </c>
      <c r="Q5617">
        <v>6</v>
      </c>
      <c r="R5617" t="s">
        <v>32531</v>
      </c>
      <c r="S5617" t="s">
        <v>32586</v>
      </c>
      <c r="T5617" t="s">
        <v>33253</v>
      </c>
      <c r="U5617" t="s">
        <v>38367</v>
      </c>
      <c r="V5617" t="s">
        <v>43027</v>
      </c>
      <c r="W5617" t="s">
        <v>31533</v>
      </c>
      <c r="X5617" t="s">
        <v>32532</v>
      </c>
    </row>
    <row r="5618" spans="1:24">
      <c r="A5618">
        <f>HYPERLINK("https://www.philgeps.gov.ph/GEPSNONPILOT/Tender/SplashBidNoticeAbstractUI.aspx?menuIndex=3&amp;refID=7040517&amp;Result=3","7040517")</f>
        <v>0</v>
      </c>
      <c r="B5618" t="s">
        <v>720</v>
      </c>
      <c r="C5618" t="s">
        <v>8055</v>
      </c>
      <c r="D5618" t="s">
        <v>13058</v>
      </c>
      <c r="E5618" t="s">
        <v>18082</v>
      </c>
      <c r="F5618" t="s">
        <v>22436</v>
      </c>
      <c r="G5618" t="s">
        <v>22444</v>
      </c>
      <c r="H5618" t="s">
        <v>22452</v>
      </c>
      <c r="I5618" t="s">
        <v>22465</v>
      </c>
      <c r="J5618" t="s">
        <v>26260</v>
      </c>
      <c r="K5618" t="s">
        <v>29336</v>
      </c>
      <c r="M5618" t="s">
        <v>30317</v>
      </c>
      <c r="N5618" t="s">
        <v>32524</v>
      </c>
      <c r="O5618" t="s">
        <v>32525</v>
      </c>
      <c r="P5618">
        <v>0</v>
      </c>
      <c r="Q5618">
        <v>0</v>
      </c>
      <c r="R5618" t="s">
        <v>32531</v>
      </c>
      <c r="S5618" t="s">
        <v>32586</v>
      </c>
      <c r="T5618" t="s">
        <v>33180</v>
      </c>
      <c r="U5618" t="s">
        <v>38368</v>
      </c>
      <c r="V5618" t="s">
        <v>43038</v>
      </c>
      <c r="W5618" t="s">
        <v>30317</v>
      </c>
      <c r="X5618" t="s">
        <v>32532</v>
      </c>
    </row>
    <row r="5619" spans="1:24">
      <c r="A5619">
        <f>HYPERLINK("https://www.philgeps.gov.ph/GEPSNONPILOT/Tender/SplashBidNoticeAbstractUI.aspx?menuIndex=3&amp;refID=7040476&amp;Result=3","7040476")</f>
        <v>0</v>
      </c>
      <c r="B5619" t="s">
        <v>1834</v>
      </c>
      <c r="C5619" t="s">
        <v>8056</v>
      </c>
      <c r="D5619" t="s">
        <v>13031</v>
      </c>
      <c r="E5619" t="s">
        <v>18083</v>
      </c>
      <c r="F5619" t="s">
        <v>22436</v>
      </c>
      <c r="G5619" t="s">
        <v>22444</v>
      </c>
      <c r="H5619" t="s">
        <v>22454</v>
      </c>
      <c r="I5619" t="s">
        <v>7738</v>
      </c>
      <c r="J5619" t="s">
        <v>22779</v>
      </c>
      <c r="K5619" t="s">
        <v>29333</v>
      </c>
      <c r="M5619" t="s">
        <v>31549</v>
      </c>
      <c r="N5619" t="s">
        <v>32524</v>
      </c>
      <c r="O5619" t="s">
        <v>32525</v>
      </c>
      <c r="P5619">
        <v>0</v>
      </c>
      <c r="Q5619">
        <v>0</v>
      </c>
      <c r="R5619" t="s">
        <v>32531</v>
      </c>
      <c r="S5619" t="s">
        <v>32586</v>
      </c>
      <c r="T5619" t="s">
        <v>33187</v>
      </c>
      <c r="U5619" t="s">
        <v>38369</v>
      </c>
      <c r="W5619" t="s">
        <v>31549</v>
      </c>
      <c r="X5619" t="s">
        <v>32532</v>
      </c>
    </row>
    <row r="5620" spans="1:24">
      <c r="A5620">
        <f>HYPERLINK("https://www.philgeps.gov.ph/GEPSNONPILOT/Tender/SplashBidNoticeAbstractUI.aspx?menuIndex=3&amp;refID=7040514&amp;Result=3","7040514")</f>
        <v>0</v>
      </c>
      <c r="B5620" t="s">
        <v>986</v>
      </c>
      <c r="C5620" t="s">
        <v>8057</v>
      </c>
      <c r="D5620" t="s">
        <v>13016</v>
      </c>
      <c r="E5620" t="s">
        <v>16940</v>
      </c>
      <c r="F5620" t="s">
        <v>22436</v>
      </c>
      <c r="G5620" t="s">
        <v>22443</v>
      </c>
      <c r="H5620" t="s">
        <v>22452</v>
      </c>
      <c r="I5620" t="s">
        <v>22463</v>
      </c>
      <c r="J5620" t="s">
        <v>22892</v>
      </c>
      <c r="K5620" t="s">
        <v>29336</v>
      </c>
      <c r="L5620" t="s">
        <v>986</v>
      </c>
      <c r="M5620" t="s">
        <v>30608</v>
      </c>
      <c r="N5620" t="s">
        <v>32524</v>
      </c>
      <c r="O5620" t="s">
        <v>32525</v>
      </c>
      <c r="P5620">
        <v>0</v>
      </c>
      <c r="Q5620">
        <v>0</v>
      </c>
      <c r="R5620" t="s">
        <v>32531</v>
      </c>
      <c r="S5620" t="s">
        <v>32586</v>
      </c>
      <c r="T5620" t="s">
        <v>33180</v>
      </c>
      <c r="U5620" t="s">
        <v>38370</v>
      </c>
      <c r="V5620" t="s">
        <v>42676</v>
      </c>
      <c r="W5620" t="s">
        <v>30608</v>
      </c>
      <c r="X5620" t="s">
        <v>32532</v>
      </c>
    </row>
    <row r="5621" spans="1:24">
      <c r="A5621">
        <f>HYPERLINK("https://www.philgeps.gov.ph/GEPSNONPILOT/Tender/SplashBidNoticeAbstractUI.aspx?menuIndex=3&amp;refID=7040521&amp;Result=3","7040521")</f>
        <v>0</v>
      </c>
      <c r="B5621" t="s">
        <v>603</v>
      </c>
      <c r="C5621" t="s">
        <v>8058</v>
      </c>
      <c r="D5621" t="s">
        <v>13033</v>
      </c>
      <c r="E5621" t="s">
        <v>18084</v>
      </c>
      <c r="F5621" t="s">
        <v>22436</v>
      </c>
      <c r="G5621" t="s">
        <v>22444</v>
      </c>
      <c r="H5621" t="s">
        <v>22454</v>
      </c>
      <c r="I5621" t="s">
        <v>3529</v>
      </c>
      <c r="J5621" t="s">
        <v>22616</v>
      </c>
      <c r="K5621" t="s">
        <v>29334</v>
      </c>
      <c r="M5621" t="s">
        <v>30193</v>
      </c>
      <c r="N5621" t="s">
        <v>32524</v>
      </c>
      <c r="O5621" t="s">
        <v>32525</v>
      </c>
      <c r="P5621">
        <v>0</v>
      </c>
      <c r="Q5621">
        <v>0</v>
      </c>
      <c r="R5621" t="s">
        <v>32531</v>
      </c>
      <c r="S5621" t="s">
        <v>32586</v>
      </c>
      <c r="T5621" t="s">
        <v>33423</v>
      </c>
      <c r="U5621" t="s">
        <v>38371</v>
      </c>
      <c r="W5621" t="s">
        <v>30193</v>
      </c>
      <c r="X5621" t="s">
        <v>32532</v>
      </c>
    </row>
    <row r="5622" spans="1:24">
      <c r="A5622">
        <f>HYPERLINK("https://www.philgeps.gov.ph/GEPSNONPILOT/Tender/SplashBidNoticeAbstractUI.aspx?menuIndex=3&amp;refID=7040470&amp;Result=3","7040470")</f>
        <v>0</v>
      </c>
      <c r="B5622" t="s">
        <v>720</v>
      </c>
      <c r="C5622" t="s">
        <v>8059</v>
      </c>
      <c r="D5622" t="s">
        <v>13058</v>
      </c>
      <c r="E5622" t="s">
        <v>18085</v>
      </c>
      <c r="F5622" t="s">
        <v>22436</v>
      </c>
      <c r="G5622" t="s">
        <v>22444</v>
      </c>
      <c r="H5622" t="s">
        <v>22452</v>
      </c>
      <c r="I5622" t="s">
        <v>22465</v>
      </c>
      <c r="J5622" t="s">
        <v>26261</v>
      </c>
      <c r="K5622" t="s">
        <v>29336</v>
      </c>
      <c r="M5622" t="s">
        <v>30317</v>
      </c>
      <c r="N5622" t="s">
        <v>32524</v>
      </c>
      <c r="O5622" t="s">
        <v>32525</v>
      </c>
      <c r="P5622">
        <v>0</v>
      </c>
      <c r="Q5622">
        <v>0</v>
      </c>
      <c r="R5622" t="s">
        <v>32531</v>
      </c>
      <c r="S5622" t="s">
        <v>32586</v>
      </c>
      <c r="T5622" t="s">
        <v>33180</v>
      </c>
      <c r="U5622" t="s">
        <v>38372</v>
      </c>
      <c r="V5622" t="s">
        <v>43039</v>
      </c>
      <c r="W5622" t="s">
        <v>30317</v>
      </c>
      <c r="X5622" t="s">
        <v>32532</v>
      </c>
    </row>
    <row r="5623" spans="1:24">
      <c r="A5623">
        <f>HYPERLINK("https://www.philgeps.gov.ph/GEPSNONPILOT/Tender/SplashBidNoticeAbstractUI.aspx?menuIndex=3&amp;refID=7040524&amp;Result=3","7040524")</f>
        <v>0</v>
      </c>
      <c r="B5623" t="s">
        <v>1835</v>
      </c>
      <c r="C5623" t="s">
        <v>8060</v>
      </c>
      <c r="D5623" t="s">
        <v>13016</v>
      </c>
      <c r="E5623" t="s">
        <v>18086</v>
      </c>
      <c r="F5623" t="s">
        <v>22436</v>
      </c>
      <c r="G5623" t="s">
        <v>22444</v>
      </c>
      <c r="H5623" t="s">
        <v>22454</v>
      </c>
      <c r="I5623" t="s">
        <v>7738</v>
      </c>
      <c r="J5623" t="s">
        <v>26262</v>
      </c>
      <c r="K5623" t="s">
        <v>29344</v>
      </c>
      <c r="M5623" t="s">
        <v>31550</v>
      </c>
      <c r="N5623" t="s">
        <v>32524</v>
      </c>
      <c r="O5623" t="s">
        <v>32525</v>
      </c>
      <c r="P5623">
        <v>0</v>
      </c>
      <c r="Q5623">
        <v>1</v>
      </c>
      <c r="R5623" t="s">
        <v>32531</v>
      </c>
      <c r="S5623" t="s">
        <v>32586</v>
      </c>
      <c r="T5623" t="s">
        <v>33407</v>
      </c>
      <c r="U5623" t="s">
        <v>38373</v>
      </c>
      <c r="W5623" t="s">
        <v>31550</v>
      </c>
      <c r="X5623" t="s">
        <v>32532</v>
      </c>
    </row>
    <row r="5624" spans="1:24">
      <c r="A5624">
        <f>HYPERLINK("https://www.philgeps.gov.ph/GEPSNONPILOT/Tender/SplashBidNoticeAbstractUI.aspx?menuIndex=3&amp;refID=7040513&amp;Result=3","7040513")</f>
        <v>0</v>
      </c>
      <c r="B5624" t="s">
        <v>1836</v>
      </c>
      <c r="C5624" t="s">
        <v>8061</v>
      </c>
      <c r="D5624" t="s">
        <v>13023</v>
      </c>
      <c r="E5624" t="s">
        <v>18087</v>
      </c>
      <c r="F5624" t="s">
        <v>22436</v>
      </c>
      <c r="G5624" t="s">
        <v>22444</v>
      </c>
      <c r="H5624" t="s">
        <v>22452</v>
      </c>
      <c r="I5624" t="s">
        <v>22467</v>
      </c>
      <c r="J5624" t="s">
        <v>26263</v>
      </c>
      <c r="K5624" t="s">
        <v>29361</v>
      </c>
      <c r="M5624" t="s">
        <v>31551</v>
      </c>
      <c r="N5624" t="s">
        <v>32524</v>
      </c>
      <c r="O5624" t="s">
        <v>32525</v>
      </c>
      <c r="P5624">
        <v>0</v>
      </c>
      <c r="Q5624">
        <v>0</v>
      </c>
      <c r="R5624" t="s">
        <v>32531</v>
      </c>
      <c r="S5624" t="s">
        <v>32586</v>
      </c>
      <c r="T5624" t="s">
        <v>33209</v>
      </c>
      <c r="U5624" t="s">
        <v>38374</v>
      </c>
      <c r="W5624" t="s">
        <v>31551</v>
      </c>
      <c r="X5624" t="s">
        <v>32532</v>
      </c>
    </row>
    <row r="5625" spans="1:24">
      <c r="A5625">
        <f>HYPERLINK("https://www.philgeps.gov.ph/GEPSNONPILOT/Tender/SplashBidNoticeAbstractUI.aspx?menuIndex=3&amp;refID=7040526&amp;Result=3","7040526")</f>
        <v>0</v>
      </c>
      <c r="B5625" t="s">
        <v>1349</v>
      </c>
      <c r="C5625" t="s">
        <v>8062</v>
      </c>
      <c r="D5625" t="s">
        <v>13038</v>
      </c>
      <c r="E5625" t="s">
        <v>18088</v>
      </c>
      <c r="F5625" t="s">
        <v>22436</v>
      </c>
      <c r="G5625" t="s">
        <v>22443</v>
      </c>
      <c r="H5625" t="s">
        <v>22452</v>
      </c>
      <c r="I5625" t="s">
        <v>3358</v>
      </c>
      <c r="J5625" t="s">
        <v>26264</v>
      </c>
      <c r="K5625" t="s">
        <v>29340</v>
      </c>
      <c r="M5625" t="s">
        <v>31004</v>
      </c>
      <c r="N5625" t="s">
        <v>32524</v>
      </c>
      <c r="O5625" t="s">
        <v>32525</v>
      </c>
      <c r="P5625">
        <v>0</v>
      </c>
      <c r="Q5625">
        <v>1</v>
      </c>
      <c r="R5625" t="s">
        <v>32531</v>
      </c>
      <c r="S5625" t="s">
        <v>32586</v>
      </c>
      <c r="T5625" t="s">
        <v>33296</v>
      </c>
      <c r="U5625" t="s">
        <v>38375</v>
      </c>
      <c r="V5625" t="s">
        <v>43040</v>
      </c>
      <c r="W5625" t="s">
        <v>31004</v>
      </c>
      <c r="X5625" t="s">
        <v>32532</v>
      </c>
    </row>
    <row r="5626" spans="1:24">
      <c r="A5626">
        <f>HYPERLINK("https://www.philgeps.gov.ph/GEPSNONPILOT/Tender/SplashBidNoticeAbstractUI.aspx?menuIndex=3&amp;refID=7040478&amp;Result=3","7040478")</f>
        <v>0</v>
      </c>
      <c r="B5626" t="s">
        <v>1819</v>
      </c>
      <c r="C5626" t="s">
        <v>8063</v>
      </c>
      <c r="D5626" t="s">
        <v>13006</v>
      </c>
      <c r="E5626" t="s">
        <v>18089</v>
      </c>
      <c r="F5626" t="s">
        <v>22436</v>
      </c>
      <c r="G5626" t="s">
        <v>22444</v>
      </c>
      <c r="H5626" t="s">
        <v>22454</v>
      </c>
      <c r="I5626" t="s">
        <v>22501</v>
      </c>
      <c r="J5626" t="s">
        <v>26265</v>
      </c>
      <c r="K5626" t="s">
        <v>29344</v>
      </c>
      <c r="M5626" t="s">
        <v>31533</v>
      </c>
      <c r="N5626" t="s">
        <v>32524</v>
      </c>
      <c r="O5626" t="s">
        <v>32525</v>
      </c>
      <c r="P5626">
        <v>0</v>
      </c>
      <c r="Q5626">
        <v>8</v>
      </c>
      <c r="R5626" t="s">
        <v>32531</v>
      </c>
      <c r="S5626" t="s">
        <v>32586</v>
      </c>
      <c r="T5626" t="s">
        <v>33253</v>
      </c>
      <c r="U5626" t="s">
        <v>38376</v>
      </c>
      <c r="V5626" t="s">
        <v>43027</v>
      </c>
      <c r="W5626" t="s">
        <v>31533</v>
      </c>
      <c r="X5626" t="s">
        <v>32532</v>
      </c>
    </row>
    <row r="5627" spans="1:24">
      <c r="A5627">
        <f>HYPERLINK("https://www.philgeps.gov.ph/GEPSNONPILOT/Tender/SplashBidNoticeAbstractUI.aspx?menuIndex=3&amp;refID=7040511&amp;Result=3","7040511")</f>
        <v>0</v>
      </c>
      <c r="B5627" t="s">
        <v>1837</v>
      </c>
      <c r="C5627" t="s">
        <v>8064</v>
      </c>
      <c r="D5627" t="s">
        <v>13022</v>
      </c>
      <c r="E5627" t="s">
        <v>18090</v>
      </c>
      <c r="F5627" t="s">
        <v>22436</v>
      </c>
      <c r="G5627" t="s">
        <v>22444</v>
      </c>
      <c r="H5627" t="s">
        <v>22454</v>
      </c>
      <c r="I5627" t="s">
        <v>7738</v>
      </c>
      <c r="J5627" t="s">
        <v>26266</v>
      </c>
      <c r="K5627" t="s">
        <v>29334</v>
      </c>
      <c r="M5627" t="s">
        <v>31552</v>
      </c>
      <c r="N5627" t="s">
        <v>32524</v>
      </c>
      <c r="O5627" t="s">
        <v>32525</v>
      </c>
      <c r="P5627">
        <v>0</v>
      </c>
      <c r="Q5627">
        <v>1</v>
      </c>
      <c r="R5627" t="s">
        <v>32531</v>
      </c>
      <c r="S5627" t="s">
        <v>32586</v>
      </c>
      <c r="T5627" t="s">
        <v>33385</v>
      </c>
      <c r="U5627" t="s">
        <v>38377</v>
      </c>
      <c r="W5627" t="s">
        <v>31552</v>
      </c>
      <c r="X5627" t="s">
        <v>32532</v>
      </c>
    </row>
    <row r="5628" spans="1:24">
      <c r="A5628">
        <f>HYPERLINK("https://www.philgeps.gov.ph/GEPSNONPILOT/Tender/SplashBidNoticeAbstractUI.aspx?menuIndex=3&amp;refID=7040528&amp;Result=3","7040528")</f>
        <v>0</v>
      </c>
      <c r="B5628" t="s">
        <v>1831</v>
      </c>
      <c r="C5628" t="s">
        <v>8065</v>
      </c>
      <c r="D5628" t="s">
        <v>13037</v>
      </c>
      <c r="E5628" t="s">
        <v>18091</v>
      </c>
      <c r="F5628" t="s">
        <v>22436</v>
      </c>
      <c r="G5628" t="s">
        <v>22446</v>
      </c>
      <c r="H5628" t="s">
        <v>22452</v>
      </c>
      <c r="I5628" t="s">
        <v>22471</v>
      </c>
      <c r="J5628" t="s">
        <v>26267</v>
      </c>
      <c r="K5628" t="s">
        <v>29336</v>
      </c>
      <c r="M5628" t="s">
        <v>31546</v>
      </c>
      <c r="N5628" t="s">
        <v>32524</v>
      </c>
      <c r="O5628" t="s">
        <v>32525</v>
      </c>
      <c r="P5628">
        <v>0</v>
      </c>
      <c r="Q5628">
        <v>5</v>
      </c>
      <c r="R5628" t="s">
        <v>32531</v>
      </c>
      <c r="S5628" t="s">
        <v>32586</v>
      </c>
      <c r="T5628" t="s">
        <v>33323</v>
      </c>
      <c r="U5628" t="s">
        <v>38378</v>
      </c>
      <c r="W5628" t="s">
        <v>31546</v>
      </c>
      <c r="X5628" t="s">
        <v>32532</v>
      </c>
    </row>
    <row r="5629" spans="1:24">
      <c r="A5629">
        <f>HYPERLINK("https://www.philgeps.gov.ph/GEPSNONPILOT/Tender/SplashBidNoticeAbstractUI.aspx?menuIndex=3&amp;refID=7040530&amp;Result=3","7040530")</f>
        <v>0</v>
      </c>
      <c r="B5629" t="s">
        <v>483</v>
      </c>
      <c r="C5629" t="s">
        <v>8066</v>
      </c>
      <c r="D5629" t="s">
        <v>13065</v>
      </c>
      <c r="E5629" t="s">
        <v>18092</v>
      </c>
      <c r="F5629" t="s">
        <v>22436</v>
      </c>
      <c r="G5629" t="s">
        <v>22444</v>
      </c>
      <c r="H5629" t="s">
        <v>22452</v>
      </c>
      <c r="I5629" t="s">
        <v>3827</v>
      </c>
      <c r="J5629" t="s">
        <v>26268</v>
      </c>
      <c r="K5629" t="s">
        <v>29331</v>
      </c>
      <c r="M5629" t="s">
        <v>30067</v>
      </c>
      <c r="N5629" t="s">
        <v>32524</v>
      </c>
      <c r="O5629" t="s">
        <v>32525</v>
      </c>
      <c r="P5629">
        <v>0</v>
      </c>
      <c r="Q5629">
        <v>1</v>
      </c>
      <c r="R5629" t="s">
        <v>32531</v>
      </c>
      <c r="S5629" t="s">
        <v>32586</v>
      </c>
      <c r="T5629" t="s">
        <v>33495</v>
      </c>
      <c r="U5629" t="s">
        <v>38379</v>
      </c>
      <c r="W5629" t="s">
        <v>30067</v>
      </c>
      <c r="X5629" t="s">
        <v>32532</v>
      </c>
    </row>
    <row r="5630" spans="1:24">
      <c r="A5630">
        <f>HYPERLINK("https://www.philgeps.gov.ph/GEPSNONPILOT/Tender/SplashBidNoticeAbstractUI.aspx?menuIndex=3&amp;refID=7040540&amp;Result=3","7040540")</f>
        <v>0</v>
      </c>
      <c r="B5630" t="s">
        <v>720</v>
      </c>
      <c r="C5630" t="s">
        <v>8067</v>
      </c>
      <c r="D5630" t="s">
        <v>13058</v>
      </c>
      <c r="E5630" t="s">
        <v>18093</v>
      </c>
      <c r="F5630" t="s">
        <v>22436</v>
      </c>
      <c r="G5630" t="s">
        <v>22444</v>
      </c>
      <c r="H5630" t="s">
        <v>22452</v>
      </c>
      <c r="I5630" t="s">
        <v>22465</v>
      </c>
      <c r="J5630" t="s">
        <v>26269</v>
      </c>
      <c r="K5630" t="s">
        <v>29336</v>
      </c>
      <c r="M5630" t="s">
        <v>30317</v>
      </c>
      <c r="N5630" t="s">
        <v>32524</v>
      </c>
      <c r="O5630" t="s">
        <v>32525</v>
      </c>
      <c r="P5630">
        <v>0</v>
      </c>
      <c r="Q5630">
        <v>0</v>
      </c>
      <c r="R5630" t="s">
        <v>32531</v>
      </c>
      <c r="S5630" t="s">
        <v>32586</v>
      </c>
      <c r="T5630" t="s">
        <v>33180</v>
      </c>
      <c r="U5630" t="s">
        <v>38380</v>
      </c>
      <c r="V5630" t="s">
        <v>43041</v>
      </c>
      <c r="W5630" t="s">
        <v>30317</v>
      </c>
      <c r="X5630" t="s">
        <v>32532</v>
      </c>
    </row>
    <row r="5631" spans="1:24">
      <c r="A5631">
        <f>HYPERLINK("https://www.philgeps.gov.ph/GEPSNONPILOT/Tender/SplashBidNoticeAbstractUI.aspx?menuIndex=3&amp;refID=7040510&amp;Result=3","7040510")</f>
        <v>0</v>
      </c>
      <c r="B5631" t="s">
        <v>1024</v>
      </c>
      <c r="C5631" t="s">
        <v>8044</v>
      </c>
      <c r="E5631" t="s">
        <v>18094</v>
      </c>
      <c r="F5631" t="s">
        <v>22436</v>
      </c>
      <c r="G5631" t="s">
        <v>22444</v>
      </c>
      <c r="H5631" t="s">
        <v>22452</v>
      </c>
      <c r="I5631" t="s">
        <v>22502</v>
      </c>
      <c r="J5631" t="s">
        <v>26270</v>
      </c>
      <c r="K5631" t="s">
        <v>29333</v>
      </c>
      <c r="M5631" t="s">
        <v>30653</v>
      </c>
      <c r="N5631" t="s">
        <v>32524</v>
      </c>
      <c r="O5631" t="s">
        <v>32525</v>
      </c>
      <c r="P5631">
        <v>0</v>
      </c>
      <c r="Q5631">
        <v>37</v>
      </c>
      <c r="R5631" t="s">
        <v>32531</v>
      </c>
      <c r="S5631" t="s">
        <v>32586</v>
      </c>
      <c r="T5631" t="s">
        <v>33504</v>
      </c>
      <c r="U5631" t="s">
        <v>35953</v>
      </c>
      <c r="W5631" t="s">
        <v>30653</v>
      </c>
      <c r="X5631" t="s">
        <v>32532</v>
      </c>
    </row>
    <row r="5632" spans="1:24">
      <c r="A5632">
        <f>HYPERLINK("https://www.philgeps.gov.ph/GEPSNONPILOT/Tender/SplashBidNoticeAbstractUI.aspx?menuIndex=3&amp;refID=7040512&amp;Result=3","7040512")</f>
        <v>0</v>
      </c>
      <c r="B5632" t="s">
        <v>1838</v>
      </c>
      <c r="C5632" t="s">
        <v>8068</v>
      </c>
      <c r="D5632" t="s">
        <v>13006</v>
      </c>
      <c r="E5632" t="s">
        <v>18095</v>
      </c>
      <c r="F5632" t="s">
        <v>22436</v>
      </c>
      <c r="G5632" t="s">
        <v>22443</v>
      </c>
      <c r="H5632" t="s">
        <v>22452</v>
      </c>
      <c r="I5632" t="s">
        <v>22460</v>
      </c>
      <c r="J5632" t="s">
        <v>22692</v>
      </c>
      <c r="K5632" t="s">
        <v>29341</v>
      </c>
      <c r="M5632" t="s">
        <v>31553</v>
      </c>
      <c r="N5632" t="s">
        <v>32524</v>
      </c>
      <c r="O5632" t="s">
        <v>32525</v>
      </c>
      <c r="P5632">
        <v>0</v>
      </c>
      <c r="Q5632">
        <v>1</v>
      </c>
      <c r="R5632" t="s">
        <v>32531</v>
      </c>
      <c r="S5632" t="s">
        <v>32586</v>
      </c>
      <c r="T5632" t="s">
        <v>33310</v>
      </c>
      <c r="U5632" t="s">
        <v>38381</v>
      </c>
      <c r="W5632" t="s">
        <v>31553</v>
      </c>
      <c r="X5632" t="s">
        <v>32532</v>
      </c>
    </row>
    <row r="5633" spans="1:24">
      <c r="A5633">
        <f>HYPERLINK("https://www.philgeps.gov.ph/GEPSNONPILOT/Tender/SplashBidNoticeAbstractUI.aspx?menuIndex=3&amp;refID=7040532&amp;Result=3","7040532")</f>
        <v>0</v>
      </c>
      <c r="B5633" t="s">
        <v>1827</v>
      </c>
      <c r="C5633" t="s">
        <v>8069</v>
      </c>
      <c r="D5633" t="s">
        <v>13038</v>
      </c>
      <c r="E5633" t="s">
        <v>18096</v>
      </c>
      <c r="F5633" t="s">
        <v>22436</v>
      </c>
      <c r="G5633" t="s">
        <v>22444</v>
      </c>
      <c r="H5633" t="s">
        <v>22452</v>
      </c>
      <c r="I5633" t="s">
        <v>2993</v>
      </c>
      <c r="J5633" t="s">
        <v>23758</v>
      </c>
      <c r="K5633" t="s">
        <v>29330</v>
      </c>
      <c r="M5633" t="s">
        <v>31542</v>
      </c>
      <c r="N5633" t="s">
        <v>32524</v>
      </c>
      <c r="O5633" t="s">
        <v>32525</v>
      </c>
      <c r="P5633">
        <v>0</v>
      </c>
      <c r="Q5633">
        <v>2</v>
      </c>
      <c r="R5633" t="s">
        <v>32531</v>
      </c>
      <c r="S5633" t="s">
        <v>32586</v>
      </c>
      <c r="T5633" t="s">
        <v>33484</v>
      </c>
      <c r="U5633" t="s">
        <v>38382</v>
      </c>
      <c r="V5633" t="s">
        <v>43032</v>
      </c>
      <c r="W5633" t="s">
        <v>31542</v>
      </c>
      <c r="X5633" t="s">
        <v>32532</v>
      </c>
    </row>
    <row r="5634" spans="1:24">
      <c r="A5634">
        <f>HYPERLINK("https://www.philgeps.gov.ph/GEPSNONPILOT/Tender/SplashBidNoticeAbstractUI.aspx?menuIndex=3&amp;refID=7040543&amp;Result=3","7040543")</f>
        <v>0</v>
      </c>
      <c r="B5634" t="s">
        <v>290</v>
      </c>
      <c r="C5634" t="s">
        <v>8070</v>
      </c>
      <c r="D5634" t="s">
        <v>13011</v>
      </c>
      <c r="E5634" t="s">
        <v>18097</v>
      </c>
      <c r="F5634" t="s">
        <v>22436</v>
      </c>
      <c r="G5634" t="s">
        <v>22444</v>
      </c>
      <c r="H5634" t="s">
        <v>22453</v>
      </c>
      <c r="I5634" t="s">
        <v>22457</v>
      </c>
      <c r="J5634" t="s">
        <v>26271</v>
      </c>
      <c r="K5634" t="s">
        <v>29481</v>
      </c>
      <c r="M5634" t="s">
        <v>29864</v>
      </c>
      <c r="N5634" t="s">
        <v>32524</v>
      </c>
      <c r="O5634" t="s">
        <v>32525</v>
      </c>
      <c r="P5634">
        <v>0</v>
      </c>
      <c r="Q5634">
        <v>1</v>
      </c>
      <c r="R5634" t="s">
        <v>32531</v>
      </c>
      <c r="S5634" t="s">
        <v>32586</v>
      </c>
      <c r="T5634" t="s">
        <v>33212</v>
      </c>
      <c r="U5634" t="s">
        <v>38383</v>
      </c>
      <c r="W5634" t="s">
        <v>43676</v>
      </c>
      <c r="X5634" t="s">
        <v>32532</v>
      </c>
    </row>
    <row r="5635" spans="1:24">
      <c r="A5635">
        <f>HYPERLINK("https://www.philgeps.gov.ph/GEPSNONPILOT/Tender/SplashBidNoticeAbstractUI.aspx?menuIndex=3&amp;refID=7040509&amp;Result=3","7040509")</f>
        <v>0</v>
      </c>
      <c r="B5635" t="s">
        <v>506</v>
      </c>
      <c r="C5635" t="s">
        <v>8071</v>
      </c>
      <c r="D5635" t="s">
        <v>13010</v>
      </c>
      <c r="E5635" t="s">
        <v>18098</v>
      </c>
      <c r="F5635" t="s">
        <v>22436</v>
      </c>
      <c r="G5635" t="s">
        <v>22443</v>
      </c>
      <c r="H5635" t="s">
        <v>22452</v>
      </c>
      <c r="I5635" t="s">
        <v>22489</v>
      </c>
      <c r="J5635" t="s">
        <v>23243</v>
      </c>
      <c r="K5635" t="s">
        <v>29336</v>
      </c>
      <c r="M5635" t="s">
        <v>30090</v>
      </c>
      <c r="N5635" t="s">
        <v>32524</v>
      </c>
      <c r="O5635" t="s">
        <v>32525</v>
      </c>
      <c r="P5635">
        <v>0</v>
      </c>
      <c r="Q5635">
        <v>4</v>
      </c>
      <c r="R5635" t="s">
        <v>32531</v>
      </c>
      <c r="S5635" t="s">
        <v>32586</v>
      </c>
      <c r="T5635" t="s">
        <v>33209</v>
      </c>
      <c r="U5635" t="s">
        <v>34746</v>
      </c>
      <c r="V5635" t="s">
        <v>42533</v>
      </c>
      <c r="W5635" t="s">
        <v>30090</v>
      </c>
      <c r="X5635" t="s">
        <v>32532</v>
      </c>
    </row>
    <row r="5636" spans="1:24">
      <c r="A5636">
        <f>HYPERLINK("https://www.philgeps.gov.ph/GEPSNONPILOT/Tender/SplashBidNoticeAbstractUI.aspx?menuIndex=3&amp;refID=7040529&amp;Result=3","7040529")</f>
        <v>0</v>
      </c>
      <c r="B5636" t="s">
        <v>1024</v>
      </c>
      <c r="C5636" t="s">
        <v>8044</v>
      </c>
      <c r="E5636" t="s">
        <v>18099</v>
      </c>
      <c r="F5636" t="s">
        <v>22436</v>
      </c>
      <c r="G5636" t="s">
        <v>22444</v>
      </c>
      <c r="H5636" t="s">
        <v>22452</v>
      </c>
      <c r="I5636" t="s">
        <v>22502</v>
      </c>
      <c r="J5636" t="s">
        <v>23268</v>
      </c>
      <c r="K5636" t="s">
        <v>29333</v>
      </c>
      <c r="M5636" t="s">
        <v>30653</v>
      </c>
      <c r="N5636" t="s">
        <v>32524</v>
      </c>
      <c r="O5636" t="s">
        <v>32525</v>
      </c>
      <c r="P5636">
        <v>0</v>
      </c>
      <c r="Q5636">
        <v>38</v>
      </c>
      <c r="R5636" t="s">
        <v>32531</v>
      </c>
      <c r="S5636" t="s">
        <v>32586</v>
      </c>
      <c r="T5636" t="s">
        <v>33505</v>
      </c>
      <c r="U5636" t="s">
        <v>35953</v>
      </c>
      <c r="W5636" t="s">
        <v>30653</v>
      </c>
      <c r="X5636" t="s">
        <v>32532</v>
      </c>
    </row>
    <row r="5637" spans="1:24">
      <c r="A5637">
        <f>HYPERLINK("https://www.philgeps.gov.ph/GEPSNONPILOT/Tender/SplashBidNoticeAbstractUI.aspx?menuIndex=3&amp;refID=7040563&amp;Result=3","7040563")</f>
        <v>0</v>
      </c>
      <c r="B5637" t="s">
        <v>720</v>
      </c>
      <c r="C5637" t="s">
        <v>8072</v>
      </c>
      <c r="D5637" t="s">
        <v>13058</v>
      </c>
      <c r="E5637" t="s">
        <v>18100</v>
      </c>
      <c r="F5637" t="s">
        <v>22436</v>
      </c>
      <c r="G5637" t="s">
        <v>22444</v>
      </c>
      <c r="H5637" t="s">
        <v>22452</v>
      </c>
      <c r="I5637" t="s">
        <v>22461</v>
      </c>
      <c r="J5637" t="s">
        <v>22893</v>
      </c>
      <c r="K5637" t="s">
        <v>29336</v>
      </c>
      <c r="M5637" t="s">
        <v>30317</v>
      </c>
      <c r="N5637" t="s">
        <v>32524</v>
      </c>
      <c r="O5637" t="s">
        <v>32525</v>
      </c>
      <c r="P5637">
        <v>0</v>
      </c>
      <c r="Q5637">
        <v>0</v>
      </c>
      <c r="R5637" t="s">
        <v>32531</v>
      </c>
      <c r="S5637" t="s">
        <v>32586</v>
      </c>
      <c r="T5637" t="s">
        <v>33180</v>
      </c>
      <c r="U5637" t="s">
        <v>38384</v>
      </c>
      <c r="V5637" t="s">
        <v>43042</v>
      </c>
      <c r="W5637" t="s">
        <v>30317</v>
      </c>
      <c r="X5637" t="s">
        <v>32532</v>
      </c>
    </row>
    <row r="5638" spans="1:24">
      <c r="A5638">
        <f>HYPERLINK("https://www.philgeps.gov.ph/GEPSNONPILOT/Tender/SplashBidNoticeAbstractUI.aspx?menuIndex=3&amp;refID=7040562&amp;Result=3","7040562")</f>
        <v>0</v>
      </c>
      <c r="B5638" t="s">
        <v>483</v>
      </c>
      <c r="C5638" t="s">
        <v>8073</v>
      </c>
      <c r="D5638" t="s">
        <v>13065</v>
      </c>
      <c r="E5638" t="s">
        <v>18101</v>
      </c>
      <c r="F5638" t="s">
        <v>22436</v>
      </c>
      <c r="G5638" t="s">
        <v>22444</v>
      </c>
      <c r="H5638" t="s">
        <v>22452</v>
      </c>
      <c r="I5638" t="s">
        <v>22464</v>
      </c>
      <c r="J5638" t="s">
        <v>26272</v>
      </c>
      <c r="K5638" t="s">
        <v>29335</v>
      </c>
      <c r="M5638" t="s">
        <v>30067</v>
      </c>
      <c r="N5638" t="s">
        <v>32524</v>
      </c>
      <c r="O5638" t="s">
        <v>32525</v>
      </c>
      <c r="P5638">
        <v>0</v>
      </c>
      <c r="Q5638">
        <v>5</v>
      </c>
      <c r="R5638" t="s">
        <v>32531</v>
      </c>
      <c r="S5638" t="s">
        <v>32586</v>
      </c>
      <c r="T5638" t="s">
        <v>33495</v>
      </c>
      <c r="U5638" t="s">
        <v>38385</v>
      </c>
      <c r="W5638" t="s">
        <v>30067</v>
      </c>
      <c r="X5638" t="s">
        <v>32532</v>
      </c>
    </row>
    <row r="5639" spans="1:24">
      <c r="A5639">
        <f>HYPERLINK("https://www.philgeps.gov.ph/GEPSNONPILOT/Tender/SplashBidNoticeAbstractUI.aspx?menuIndex=3&amp;refID=7040502&amp;Result=3","7040502")</f>
        <v>0</v>
      </c>
      <c r="B5639" t="s">
        <v>1819</v>
      </c>
      <c r="C5639" t="s">
        <v>8074</v>
      </c>
      <c r="D5639" t="s">
        <v>13006</v>
      </c>
      <c r="E5639" t="s">
        <v>18102</v>
      </c>
      <c r="F5639" t="s">
        <v>22436</v>
      </c>
      <c r="G5639" t="s">
        <v>22444</v>
      </c>
      <c r="H5639" t="s">
        <v>22454</v>
      </c>
      <c r="I5639" t="s">
        <v>22501</v>
      </c>
      <c r="J5639" t="s">
        <v>26273</v>
      </c>
      <c r="K5639" t="s">
        <v>29344</v>
      </c>
      <c r="M5639" t="s">
        <v>31533</v>
      </c>
      <c r="N5639" t="s">
        <v>32524</v>
      </c>
      <c r="O5639" t="s">
        <v>32525</v>
      </c>
      <c r="P5639">
        <v>0</v>
      </c>
      <c r="Q5639">
        <v>8</v>
      </c>
      <c r="R5639" t="s">
        <v>32531</v>
      </c>
      <c r="S5639" t="s">
        <v>32586</v>
      </c>
      <c r="T5639" t="s">
        <v>33253</v>
      </c>
      <c r="U5639" t="s">
        <v>38386</v>
      </c>
      <c r="V5639" t="s">
        <v>43027</v>
      </c>
      <c r="W5639" t="s">
        <v>31533</v>
      </c>
      <c r="X5639" t="s">
        <v>32532</v>
      </c>
    </row>
    <row r="5640" spans="1:24">
      <c r="A5640">
        <f>HYPERLINK("https://www.philgeps.gov.ph/GEPSNONPILOT/Tender/SplashBidNoticeAbstractUI.aspx?menuIndex=3&amp;refID=7040558&amp;Result=3","7040558")</f>
        <v>0</v>
      </c>
      <c r="B5640" t="s">
        <v>1830</v>
      </c>
      <c r="C5640" t="s">
        <v>8075</v>
      </c>
      <c r="D5640" t="s">
        <v>12990</v>
      </c>
      <c r="E5640" t="s">
        <v>18103</v>
      </c>
      <c r="F5640" t="s">
        <v>22436</v>
      </c>
      <c r="G5640" t="s">
        <v>22444</v>
      </c>
      <c r="H5640" t="s">
        <v>22452</v>
      </c>
      <c r="I5640" t="s">
        <v>2993</v>
      </c>
      <c r="J5640" t="s">
        <v>26274</v>
      </c>
      <c r="K5640" t="s">
        <v>29334</v>
      </c>
      <c r="M5640" t="s">
        <v>31545</v>
      </c>
      <c r="N5640" t="s">
        <v>32524</v>
      </c>
      <c r="O5640" t="s">
        <v>32525</v>
      </c>
      <c r="P5640">
        <v>0</v>
      </c>
      <c r="Q5640">
        <v>2</v>
      </c>
      <c r="R5640" t="s">
        <v>32531</v>
      </c>
      <c r="S5640" t="s">
        <v>32586</v>
      </c>
      <c r="T5640" t="s">
        <v>33345</v>
      </c>
      <c r="U5640" t="s">
        <v>38387</v>
      </c>
      <c r="W5640" t="s">
        <v>31545</v>
      </c>
      <c r="X5640" t="s">
        <v>32532</v>
      </c>
    </row>
    <row r="5641" spans="1:24">
      <c r="A5641">
        <f>HYPERLINK("https://www.philgeps.gov.ph/GEPSNONPILOT/Tender/SplashBidNoticeAbstractUI.aspx?menuIndex=3&amp;refID=7040561&amp;Result=3","7040561")</f>
        <v>0</v>
      </c>
      <c r="B5641" t="s">
        <v>1819</v>
      </c>
      <c r="C5641" t="s">
        <v>8076</v>
      </c>
      <c r="D5641" t="s">
        <v>13006</v>
      </c>
      <c r="E5641" t="s">
        <v>18104</v>
      </c>
      <c r="F5641" t="s">
        <v>22436</v>
      </c>
      <c r="G5641" t="s">
        <v>22444</v>
      </c>
      <c r="H5641" t="s">
        <v>22454</v>
      </c>
      <c r="I5641" t="s">
        <v>22501</v>
      </c>
      <c r="J5641" t="s">
        <v>26275</v>
      </c>
      <c r="K5641" t="s">
        <v>29344</v>
      </c>
      <c r="M5641" t="s">
        <v>31533</v>
      </c>
      <c r="N5641" t="s">
        <v>32524</v>
      </c>
      <c r="O5641" t="s">
        <v>32525</v>
      </c>
      <c r="P5641">
        <v>0</v>
      </c>
      <c r="Q5641">
        <v>7</v>
      </c>
      <c r="R5641" t="s">
        <v>32531</v>
      </c>
      <c r="S5641" t="s">
        <v>32586</v>
      </c>
      <c r="T5641" t="s">
        <v>33253</v>
      </c>
      <c r="U5641" t="s">
        <v>38388</v>
      </c>
      <c r="V5641" t="s">
        <v>43027</v>
      </c>
      <c r="W5641" t="s">
        <v>31533</v>
      </c>
      <c r="X5641" t="s">
        <v>32532</v>
      </c>
    </row>
    <row r="5642" spans="1:24">
      <c r="A5642">
        <f>HYPERLINK("https://www.philgeps.gov.ph/GEPSNONPILOT/Tender/SplashBidNoticeAbstractUI.aspx?menuIndex=3&amp;refID=7040551&amp;Result=3","7040551")</f>
        <v>0</v>
      </c>
      <c r="B5642" t="s">
        <v>1839</v>
      </c>
      <c r="C5642" t="s">
        <v>8077</v>
      </c>
      <c r="D5642" t="s">
        <v>13027</v>
      </c>
      <c r="E5642" t="s">
        <v>18105</v>
      </c>
      <c r="F5642" t="s">
        <v>22436</v>
      </c>
      <c r="G5642" t="s">
        <v>22449</v>
      </c>
      <c r="H5642" t="s">
        <v>22455</v>
      </c>
      <c r="I5642" t="s">
        <v>22486</v>
      </c>
      <c r="J5642" t="s">
        <v>22893</v>
      </c>
      <c r="K5642" t="s">
        <v>29375</v>
      </c>
      <c r="M5642" t="s">
        <v>31554</v>
      </c>
      <c r="N5642" t="s">
        <v>32524</v>
      </c>
      <c r="O5642" t="s">
        <v>32525</v>
      </c>
      <c r="P5642">
        <v>0</v>
      </c>
      <c r="Q5642">
        <v>1</v>
      </c>
      <c r="R5642" t="s">
        <v>32531</v>
      </c>
      <c r="S5642" t="s">
        <v>32586</v>
      </c>
      <c r="T5642" t="s">
        <v>33220</v>
      </c>
      <c r="U5642" t="s">
        <v>38389</v>
      </c>
      <c r="W5642" t="s">
        <v>31554</v>
      </c>
      <c r="X5642" t="s">
        <v>32532</v>
      </c>
    </row>
    <row r="5643" spans="1:24">
      <c r="A5643">
        <f>HYPERLINK("https://www.philgeps.gov.ph/GEPSNONPILOT/Tender/SplashBidNoticeAbstractUI.aspx?menuIndex=3&amp;refID=7040515&amp;Result=3","7040515")</f>
        <v>0</v>
      </c>
      <c r="B5643" t="s">
        <v>1830</v>
      </c>
      <c r="C5643" t="s">
        <v>8078</v>
      </c>
      <c r="D5643" t="s">
        <v>12990</v>
      </c>
      <c r="E5643" t="s">
        <v>18106</v>
      </c>
      <c r="F5643" t="s">
        <v>22436</v>
      </c>
      <c r="G5643" t="s">
        <v>22444</v>
      </c>
      <c r="H5643" t="s">
        <v>22452</v>
      </c>
      <c r="I5643" t="s">
        <v>2993</v>
      </c>
      <c r="J5643" t="s">
        <v>26276</v>
      </c>
      <c r="K5643" t="s">
        <v>29334</v>
      </c>
      <c r="M5643" t="s">
        <v>31545</v>
      </c>
      <c r="N5643" t="s">
        <v>32524</v>
      </c>
      <c r="O5643" t="s">
        <v>32525</v>
      </c>
      <c r="P5643">
        <v>0</v>
      </c>
      <c r="Q5643">
        <v>3</v>
      </c>
      <c r="R5643" t="s">
        <v>32531</v>
      </c>
      <c r="S5643" t="s">
        <v>32586</v>
      </c>
      <c r="T5643" t="s">
        <v>33345</v>
      </c>
      <c r="U5643" t="s">
        <v>38390</v>
      </c>
      <c r="W5643" t="s">
        <v>31545</v>
      </c>
      <c r="X5643" t="s">
        <v>32532</v>
      </c>
    </row>
    <row r="5644" spans="1:24">
      <c r="A5644">
        <f>HYPERLINK("https://www.philgeps.gov.ph/GEPSNONPILOT/Tender/SplashBidNoticeAbstractUI.aspx?menuIndex=3&amp;refID=7040557&amp;Result=3","7040557")</f>
        <v>0</v>
      </c>
      <c r="B5644" t="s">
        <v>1840</v>
      </c>
      <c r="C5644" t="s">
        <v>8079</v>
      </c>
      <c r="D5644" t="s">
        <v>13045</v>
      </c>
      <c r="E5644" t="s">
        <v>18107</v>
      </c>
      <c r="F5644" t="s">
        <v>22436</v>
      </c>
      <c r="G5644" t="s">
        <v>22444</v>
      </c>
      <c r="H5644" t="s">
        <v>22452</v>
      </c>
      <c r="I5644" t="s">
        <v>3529</v>
      </c>
      <c r="J5644" t="s">
        <v>26277</v>
      </c>
      <c r="K5644" t="s">
        <v>29335</v>
      </c>
      <c r="M5644" t="s">
        <v>31555</v>
      </c>
      <c r="N5644" t="s">
        <v>32524</v>
      </c>
      <c r="O5644" t="s">
        <v>32525</v>
      </c>
      <c r="P5644">
        <v>0</v>
      </c>
      <c r="Q5644">
        <v>3</v>
      </c>
      <c r="R5644" t="s">
        <v>32531</v>
      </c>
      <c r="S5644" t="s">
        <v>32586</v>
      </c>
      <c r="T5644" t="s">
        <v>33234</v>
      </c>
      <c r="U5644" t="s">
        <v>38391</v>
      </c>
      <c r="W5644" t="s">
        <v>31555</v>
      </c>
      <c r="X5644" t="s">
        <v>32532</v>
      </c>
    </row>
    <row r="5645" spans="1:24">
      <c r="A5645">
        <f>HYPERLINK("https://www.philgeps.gov.ph/GEPSNONPILOT/Tender/SplashBidNoticeAbstractUI.aspx?menuIndex=3&amp;refID=7040572&amp;Result=3","7040572")</f>
        <v>0</v>
      </c>
      <c r="B5645" t="s">
        <v>483</v>
      </c>
      <c r="C5645" t="s">
        <v>8080</v>
      </c>
      <c r="D5645" t="s">
        <v>13065</v>
      </c>
      <c r="E5645" t="s">
        <v>18108</v>
      </c>
      <c r="F5645" t="s">
        <v>22436</v>
      </c>
      <c r="G5645" t="s">
        <v>22444</v>
      </c>
      <c r="H5645" t="s">
        <v>22452</v>
      </c>
      <c r="I5645" t="s">
        <v>22474</v>
      </c>
      <c r="J5645" t="s">
        <v>26278</v>
      </c>
      <c r="K5645" t="s">
        <v>29335</v>
      </c>
      <c r="M5645" t="s">
        <v>30067</v>
      </c>
      <c r="N5645" t="s">
        <v>32524</v>
      </c>
      <c r="O5645" t="s">
        <v>32525</v>
      </c>
      <c r="P5645">
        <v>0</v>
      </c>
      <c r="Q5645">
        <v>10</v>
      </c>
      <c r="R5645" t="s">
        <v>32531</v>
      </c>
      <c r="S5645" t="s">
        <v>32586</v>
      </c>
      <c r="T5645" t="s">
        <v>33495</v>
      </c>
      <c r="U5645" t="s">
        <v>38392</v>
      </c>
      <c r="W5645" t="s">
        <v>30067</v>
      </c>
      <c r="X5645" t="s">
        <v>32532</v>
      </c>
    </row>
    <row r="5646" spans="1:24">
      <c r="A5646">
        <f>HYPERLINK("https://www.philgeps.gov.ph/GEPSNONPILOT/Tender/SplashBidNoticeAbstractUI.aspx?menuIndex=3&amp;refID=7040564&amp;Result=3","7040564")</f>
        <v>0</v>
      </c>
      <c r="B5646" t="s">
        <v>264</v>
      </c>
      <c r="C5646" t="s">
        <v>8081</v>
      </c>
      <c r="D5646" t="s">
        <v>13018</v>
      </c>
      <c r="E5646" t="s">
        <v>18109</v>
      </c>
      <c r="F5646" t="s">
        <v>22436</v>
      </c>
      <c r="G5646" t="s">
        <v>22446</v>
      </c>
      <c r="H5646" t="s">
        <v>22452</v>
      </c>
      <c r="I5646" t="s">
        <v>2981</v>
      </c>
      <c r="J5646" t="s">
        <v>26279</v>
      </c>
      <c r="K5646" t="s">
        <v>29338</v>
      </c>
      <c r="M5646" t="s">
        <v>31556</v>
      </c>
      <c r="N5646" t="s">
        <v>32524</v>
      </c>
      <c r="O5646" t="s">
        <v>32525</v>
      </c>
      <c r="P5646">
        <v>0</v>
      </c>
      <c r="Q5646">
        <v>3</v>
      </c>
      <c r="R5646" t="s">
        <v>32531</v>
      </c>
      <c r="S5646" t="s">
        <v>32586</v>
      </c>
      <c r="T5646" t="s">
        <v>33351</v>
      </c>
      <c r="U5646" t="s">
        <v>38393</v>
      </c>
      <c r="W5646" t="s">
        <v>31556</v>
      </c>
      <c r="X5646" t="s">
        <v>32532</v>
      </c>
    </row>
    <row r="5647" spans="1:24">
      <c r="A5647">
        <f>HYPERLINK("https://www.philgeps.gov.ph/GEPSNONPILOT/Tender/SplashBidNoticeAbstractUI.aspx?menuIndex=3&amp;refID=7040570&amp;Result=3","7040570")</f>
        <v>0</v>
      </c>
      <c r="B5647" t="s">
        <v>374</v>
      </c>
      <c r="C5647" t="s">
        <v>8082</v>
      </c>
      <c r="E5647" t="s">
        <v>18110</v>
      </c>
      <c r="F5647" t="s">
        <v>22436</v>
      </c>
      <c r="G5647" t="s">
        <v>22444</v>
      </c>
      <c r="H5647" t="s">
        <v>22452</v>
      </c>
      <c r="I5647" t="s">
        <v>22506</v>
      </c>
      <c r="J5647" t="s">
        <v>26280</v>
      </c>
      <c r="K5647" t="s">
        <v>29338</v>
      </c>
      <c r="M5647" t="s">
        <v>29952</v>
      </c>
      <c r="N5647" t="s">
        <v>32524</v>
      </c>
      <c r="O5647" t="s">
        <v>32525</v>
      </c>
      <c r="P5647">
        <v>0</v>
      </c>
      <c r="Q5647">
        <v>3</v>
      </c>
      <c r="R5647" t="s">
        <v>32531</v>
      </c>
      <c r="S5647" t="s">
        <v>32586</v>
      </c>
      <c r="T5647" t="s">
        <v>33188</v>
      </c>
      <c r="U5647" t="s">
        <v>38394</v>
      </c>
      <c r="V5647" t="s">
        <v>43043</v>
      </c>
      <c r="W5647" t="s">
        <v>29952</v>
      </c>
      <c r="X5647" t="s">
        <v>32532</v>
      </c>
    </row>
    <row r="5648" spans="1:24">
      <c r="A5648">
        <f>HYPERLINK("https://www.philgeps.gov.ph/GEPSNONPILOT/Tender/SplashBidNoticeAbstractUI.aspx?menuIndex=3&amp;refID=7040556&amp;Result=3","7040556")</f>
        <v>0</v>
      </c>
      <c r="B5648" t="s">
        <v>1827</v>
      </c>
      <c r="C5648" t="s">
        <v>8083</v>
      </c>
      <c r="D5648" t="s">
        <v>13038</v>
      </c>
      <c r="E5648" t="s">
        <v>18111</v>
      </c>
      <c r="F5648" t="s">
        <v>22436</v>
      </c>
      <c r="G5648" t="s">
        <v>22444</v>
      </c>
      <c r="H5648" t="s">
        <v>22452</v>
      </c>
      <c r="I5648" t="s">
        <v>22474</v>
      </c>
      <c r="J5648" t="s">
        <v>22970</v>
      </c>
      <c r="K5648" t="s">
        <v>29329</v>
      </c>
      <c r="M5648" t="s">
        <v>31542</v>
      </c>
      <c r="N5648" t="s">
        <v>32524</v>
      </c>
      <c r="O5648" t="s">
        <v>32525</v>
      </c>
      <c r="P5648">
        <v>0</v>
      </c>
      <c r="Q5648">
        <v>3</v>
      </c>
      <c r="R5648" t="s">
        <v>32531</v>
      </c>
      <c r="S5648" t="s">
        <v>32586</v>
      </c>
      <c r="T5648" t="s">
        <v>33484</v>
      </c>
      <c r="U5648" t="s">
        <v>38395</v>
      </c>
      <c r="V5648" t="s">
        <v>43032</v>
      </c>
      <c r="W5648" t="s">
        <v>31542</v>
      </c>
      <c r="X5648" t="s">
        <v>32532</v>
      </c>
    </row>
    <row r="5649" spans="1:24">
      <c r="A5649">
        <f>HYPERLINK("https://www.philgeps.gov.ph/GEPSNONPILOT/Tender/SplashBidNoticeAbstractUI.aspx?menuIndex=3&amp;refID=7040566&amp;Result=3","7040566")</f>
        <v>0</v>
      </c>
      <c r="B5649" t="s">
        <v>1024</v>
      </c>
      <c r="C5649" t="s">
        <v>8044</v>
      </c>
      <c r="E5649" t="s">
        <v>18112</v>
      </c>
      <c r="F5649" t="s">
        <v>22436</v>
      </c>
      <c r="G5649" t="s">
        <v>22444</v>
      </c>
      <c r="H5649" t="s">
        <v>22452</v>
      </c>
      <c r="I5649" t="s">
        <v>22502</v>
      </c>
      <c r="J5649" t="s">
        <v>26281</v>
      </c>
      <c r="K5649" t="s">
        <v>29333</v>
      </c>
      <c r="M5649" t="s">
        <v>30653</v>
      </c>
      <c r="N5649" t="s">
        <v>32524</v>
      </c>
      <c r="O5649" t="s">
        <v>32525</v>
      </c>
      <c r="P5649">
        <v>0</v>
      </c>
      <c r="Q5649">
        <v>44</v>
      </c>
      <c r="R5649" t="s">
        <v>32531</v>
      </c>
      <c r="S5649" t="s">
        <v>32586</v>
      </c>
      <c r="T5649" t="s">
        <v>33506</v>
      </c>
      <c r="U5649" t="s">
        <v>35953</v>
      </c>
      <c r="W5649" t="s">
        <v>30653</v>
      </c>
      <c r="X5649" t="s">
        <v>32532</v>
      </c>
    </row>
    <row r="5650" spans="1:24">
      <c r="A5650">
        <f>HYPERLINK("https://www.philgeps.gov.ph/GEPSNONPILOT/Tender/SplashBidNoticeAbstractUI.aspx?menuIndex=3&amp;refID=7040569&amp;Result=3","7040569")</f>
        <v>0</v>
      </c>
      <c r="B5650" t="s">
        <v>1841</v>
      </c>
      <c r="C5650" t="s">
        <v>8084</v>
      </c>
      <c r="D5650" t="s">
        <v>13010</v>
      </c>
      <c r="E5650" t="s">
        <v>15052</v>
      </c>
      <c r="F5650" t="s">
        <v>22436</v>
      </c>
      <c r="G5650" t="s">
        <v>22443</v>
      </c>
      <c r="H5650" t="s">
        <v>22453</v>
      </c>
      <c r="I5650" t="s">
        <v>5194</v>
      </c>
      <c r="J5650" t="s">
        <v>22704</v>
      </c>
      <c r="K5650" t="s">
        <v>29336</v>
      </c>
      <c r="M5650" t="s">
        <v>31557</v>
      </c>
      <c r="N5650" t="s">
        <v>32524</v>
      </c>
      <c r="O5650" t="s">
        <v>32525</v>
      </c>
      <c r="P5650">
        <v>0</v>
      </c>
      <c r="Q5650">
        <v>4</v>
      </c>
      <c r="R5650" t="s">
        <v>32531</v>
      </c>
      <c r="S5650" t="s">
        <v>32586</v>
      </c>
      <c r="T5650" t="s">
        <v>33507</v>
      </c>
      <c r="U5650" t="s">
        <v>38396</v>
      </c>
      <c r="W5650" t="s">
        <v>31557</v>
      </c>
      <c r="X5650" t="s">
        <v>32532</v>
      </c>
    </row>
    <row r="5651" spans="1:24">
      <c r="A5651">
        <f>HYPERLINK("https://www.philgeps.gov.ph/GEPSNONPILOT/Tender/SplashBidNoticeAbstractUI.aspx?menuIndex=3&amp;refID=7040544&amp;Result=3","7040544")</f>
        <v>0</v>
      </c>
      <c r="B5651" t="s">
        <v>1024</v>
      </c>
      <c r="C5651" t="s">
        <v>8044</v>
      </c>
      <c r="E5651" t="s">
        <v>18113</v>
      </c>
      <c r="F5651" t="s">
        <v>22436</v>
      </c>
      <c r="G5651" t="s">
        <v>22444</v>
      </c>
      <c r="H5651" t="s">
        <v>22452</v>
      </c>
      <c r="I5651" t="s">
        <v>22502</v>
      </c>
      <c r="J5651" t="s">
        <v>26282</v>
      </c>
      <c r="K5651" t="s">
        <v>29333</v>
      </c>
      <c r="M5651" t="s">
        <v>30653</v>
      </c>
      <c r="N5651" t="s">
        <v>32524</v>
      </c>
      <c r="O5651" t="s">
        <v>32525</v>
      </c>
      <c r="P5651">
        <v>0</v>
      </c>
      <c r="Q5651">
        <v>39</v>
      </c>
      <c r="R5651" t="s">
        <v>32531</v>
      </c>
      <c r="S5651" t="s">
        <v>32586</v>
      </c>
      <c r="T5651" t="s">
        <v>33508</v>
      </c>
      <c r="U5651" t="s">
        <v>35953</v>
      </c>
      <c r="W5651" t="s">
        <v>30653</v>
      </c>
      <c r="X5651" t="s">
        <v>32532</v>
      </c>
    </row>
    <row r="5652" spans="1:24">
      <c r="A5652">
        <f>HYPERLINK("https://www.philgeps.gov.ph/GEPSNONPILOT/Tender/SplashBidNoticeAbstractUI.aspx?menuIndex=3&amp;refID=7040547&amp;Result=3","7040547")</f>
        <v>0</v>
      </c>
      <c r="B5652" t="s">
        <v>483</v>
      </c>
      <c r="C5652" t="s">
        <v>8085</v>
      </c>
      <c r="D5652" t="s">
        <v>13065</v>
      </c>
      <c r="E5652" t="s">
        <v>18114</v>
      </c>
      <c r="F5652" t="s">
        <v>22436</v>
      </c>
      <c r="G5652" t="s">
        <v>22444</v>
      </c>
      <c r="H5652" t="s">
        <v>22452</v>
      </c>
      <c r="I5652" t="s">
        <v>22469</v>
      </c>
      <c r="J5652" t="s">
        <v>26283</v>
      </c>
      <c r="K5652" t="s">
        <v>29331</v>
      </c>
      <c r="M5652" t="s">
        <v>30067</v>
      </c>
      <c r="N5652" t="s">
        <v>32524</v>
      </c>
      <c r="O5652" t="s">
        <v>32525</v>
      </c>
      <c r="P5652">
        <v>0</v>
      </c>
      <c r="Q5652">
        <v>2</v>
      </c>
      <c r="R5652" t="s">
        <v>32531</v>
      </c>
      <c r="S5652" t="s">
        <v>32586</v>
      </c>
      <c r="T5652" t="s">
        <v>33495</v>
      </c>
      <c r="U5652" t="s">
        <v>38397</v>
      </c>
      <c r="W5652" t="s">
        <v>30067</v>
      </c>
      <c r="X5652" t="s">
        <v>32532</v>
      </c>
    </row>
    <row r="5653" spans="1:24">
      <c r="A5653">
        <f>HYPERLINK("https://www.philgeps.gov.ph/GEPSNONPILOT/Tender/SplashBidNoticeAbstractUI.aspx?menuIndex=3&amp;refID=7040550&amp;Result=3","7040550")</f>
        <v>0</v>
      </c>
      <c r="B5653" t="s">
        <v>374</v>
      </c>
      <c r="C5653" t="s">
        <v>4223</v>
      </c>
      <c r="E5653" t="s">
        <v>18115</v>
      </c>
      <c r="F5653" t="s">
        <v>22436</v>
      </c>
      <c r="G5653" t="s">
        <v>22444</v>
      </c>
      <c r="H5653" t="s">
        <v>22452</v>
      </c>
      <c r="I5653" t="s">
        <v>22461</v>
      </c>
      <c r="J5653" t="s">
        <v>26284</v>
      </c>
      <c r="K5653" t="s">
        <v>29338</v>
      </c>
      <c r="M5653" t="s">
        <v>29952</v>
      </c>
      <c r="N5653" t="s">
        <v>32524</v>
      </c>
      <c r="O5653" t="s">
        <v>32525</v>
      </c>
      <c r="P5653">
        <v>0</v>
      </c>
      <c r="Q5653">
        <v>4</v>
      </c>
      <c r="R5653" t="s">
        <v>32531</v>
      </c>
      <c r="S5653" t="s">
        <v>32586</v>
      </c>
      <c r="T5653" t="s">
        <v>33188</v>
      </c>
      <c r="U5653" t="s">
        <v>38398</v>
      </c>
      <c r="V5653" t="s">
        <v>43043</v>
      </c>
      <c r="W5653" t="s">
        <v>29952</v>
      </c>
      <c r="X5653" t="s">
        <v>32532</v>
      </c>
    </row>
    <row r="5654" spans="1:24">
      <c r="A5654">
        <f>HYPERLINK("https://www.philgeps.gov.ph/GEPSNONPILOT/Tender/SplashBidNoticeAbstractUI.aspx?menuIndex=3&amp;refID=7040559&amp;Result=3","7040559")</f>
        <v>0</v>
      </c>
      <c r="B5654" t="s">
        <v>374</v>
      </c>
      <c r="C5654" t="s">
        <v>8086</v>
      </c>
      <c r="E5654" t="s">
        <v>18116</v>
      </c>
      <c r="F5654" t="s">
        <v>22436</v>
      </c>
      <c r="G5654" t="s">
        <v>22444</v>
      </c>
      <c r="H5654" t="s">
        <v>22452</v>
      </c>
      <c r="I5654" t="s">
        <v>22492</v>
      </c>
      <c r="J5654" t="s">
        <v>26285</v>
      </c>
      <c r="K5654" t="s">
        <v>29338</v>
      </c>
      <c r="M5654" t="s">
        <v>29952</v>
      </c>
      <c r="N5654" t="s">
        <v>32524</v>
      </c>
      <c r="O5654" t="s">
        <v>32525</v>
      </c>
      <c r="P5654">
        <v>0</v>
      </c>
      <c r="Q5654">
        <v>3</v>
      </c>
      <c r="R5654" t="s">
        <v>32531</v>
      </c>
      <c r="S5654" t="s">
        <v>32586</v>
      </c>
      <c r="T5654" t="s">
        <v>33188</v>
      </c>
      <c r="U5654" t="s">
        <v>38399</v>
      </c>
      <c r="V5654" t="s">
        <v>43043</v>
      </c>
      <c r="W5654" t="s">
        <v>29952</v>
      </c>
      <c r="X5654" t="s">
        <v>32532</v>
      </c>
    </row>
    <row r="5655" spans="1:24">
      <c r="A5655">
        <f>HYPERLINK("https://www.philgeps.gov.ph/GEPSNONPILOT/Tender/SplashBidNoticeAbstractUI.aspx?menuIndex=3&amp;refID=7040545&amp;Result=3","7040545")</f>
        <v>0</v>
      </c>
      <c r="B5655" t="s">
        <v>59</v>
      </c>
      <c r="C5655" t="s">
        <v>8087</v>
      </c>
      <c r="D5655" t="s">
        <v>13004</v>
      </c>
      <c r="E5655" t="s">
        <v>18117</v>
      </c>
      <c r="F5655" t="s">
        <v>22436</v>
      </c>
      <c r="G5655" t="s">
        <v>22443</v>
      </c>
      <c r="H5655" t="s">
        <v>22452</v>
      </c>
      <c r="I5655" t="s">
        <v>3827</v>
      </c>
      <c r="J5655" t="s">
        <v>23093</v>
      </c>
      <c r="K5655" t="s">
        <v>29338</v>
      </c>
      <c r="L5655" t="s">
        <v>59</v>
      </c>
      <c r="M5655" t="s">
        <v>29631</v>
      </c>
      <c r="N5655" t="s">
        <v>32524</v>
      </c>
      <c r="O5655" t="s">
        <v>32525</v>
      </c>
      <c r="P5655">
        <v>0</v>
      </c>
      <c r="Q5655">
        <v>3</v>
      </c>
      <c r="R5655" t="s">
        <v>32531</v>
      </c>
      <c r="S5655" t="s">
        <v>32586</v>
      </c>
      <c r="T5655" t="s">
        <v>33296</v>
      </c>
      <c r="U5655" t="s">
        <v>38400</v>
      </c>
      <c r="W5655" t="s">
        <v>29631</v>
      </c>
      <c r="X5655" t="s">
        <v>32532</v>
      </c>
    </row>
    <row r="5656" spans="1:24">
      <c r="A5656">
        <f>HYPERLINK("https://www.philgeps.gov.ph/GEPSNONPILOT/Tender/SplashBidNoticeAbstractUI.aspx?menuIndex=3&amp;refID=7040548&amp;Result=3","7040548")</f>
        <v>0</v>
      </c>
      <c r="B5656" t="s">
        <v>1819</v>
      </c>
      <c r="C5656" t="s">
        <v>8088</v>
      </c>
      <c r="D5656" t="s">
        <v>13006</v>
      </c>
      <c r="E5656" t="s">
        <v>18118</v>
      </c>
      <c r="F5656" t="s">
        <v>22436</v>
      </c>
      <c r="G5656" t="s">
        <v>22444</v>
      </c>
      <c r="H5656" t="s">
        <v>22454</v>
      </c>
      <c r="I5656" t="s">
        <v>22501</v>
      </c>
      <c r="J5656" t="s">
        <v>26286</v>
      </c>
      <c r="K5656" t="s">
        <v>29344</v>
      </c>
      <c r="M5656" t="s">
        <v>31533</v>
      </c>
      <c r="N5656" t="s">
        <v>32524</v>
      </c>
      <c r="O5656" t="s">
        <v>32525</v>
      </c>
      <c r="P5656">
        <v>0</v>
      </c>
      <c r="Q5656">
        <v>6</v>
      </c>
      <c r="R5656" t="s">
        <v>32531</v>
      </c>
      <c r="S5656" t="s">
        <v>32586</v>
      </c>
      <c r="T5656" t="s">
        <v>33253</v>
      </c>
      <c r="U5656" t="s">
        <v>38401</v>
      </c>
      <c r="V5656" t="s">
        <v>43027</v>
      </c>
      <c r="W5656" t="s">
        <v>31533</v>
      </c>
      <c r="X5656" t="s">
        <v>32532</v>
      </c>
    </row>
    <row r="5657" spans="1:24">
      <c r="A5657">
        <f>HYPERLINK("https://www.philgeps.gov.ph/GEPSNONPILOT/Tender/SplashBidNoticeAbstractUI.aspx?menuIndex=3&amp;refID=7040578&amp;Result=3","7040578")</f>
        <v>0</v>
      </c>
      <c r="B5657" t="s">
        <v>827</v>
      </c>
      <c r="C5657" t="s">
        <v>8089</v>
      </c>
      <c r="D5657" t="s">
        <v>12988</v>
      </c>
      <c r="E5657" t="s">
        <v>18119</v>
      </c>
      <c r="F5657" t="s">
        <v>22436</v>
      </c>
      <c r="G5657" t="s">
        <v>22444</v>
      </c>
      <c r="H5657" t="s">
        <v>22452</v>
      </c>
      <c r="I5657" t="s">
        <v>22484</v>
      </c>
      <c r="J5657" t="s">
        <v>26287</v>
      </c>
      <c r="K5657" t="s">
        <v>29334</v>
      </c>
      <c r="M5657" t="s">
        <v>30433</v>
      </c>
      <c r="N5657" t="s">
        <v>32524</v>
      </c>
      <c r="O5657" t="s">
        <v>32525</v>
      </c>
      <c r="Q5657">
        <v>57</v>
      </c>
      <c r="R5657" t="s">
        <v>32531</v>
      </c>
      <c r="S5657" t="s">
        <v>32611</v>
      </c>
      <c r="T5657" t="s">
        <v>33212</v>
      </c>
      <c r="U5657" t="s">
        <v>38402</v>
      </c>
      <c r="W5657" t="s">
        <v>30433</v>
      </c>
      <c r="X5657" t="s">
        <v>32532</v>
      </c>
    </row>
    <row r="5658" spans="1:24">
      <c r="A5658">
        <f>HYPERLINK("https://www.philgeps.gov.ph/GEPSNONPILOT/Tender/SplashBidNoticeAbstractUI.aspx?menuIndex=3&amp;refID=7040576&amp;Result=3","7040576")</f>
        <v>0</v>
      </c>
      <c r="B5658" t="s">
        <v>1827</v>
      </c>
      <c r="C5658" t="s">
        <v>8090</v>
      </c>
      <c r="D5658" t="s">
        <v>13038</v>
      </c>
      <c r="E5658" t="s">
        <v>18120</v>
      </c>
      <c r="F5658" t="s">
        <v>22436</v>
      </c>
      <c r="G5658" t="s">
        <v>22444</v>
      </c>
      <c r="H5658" t="s">
        <v>22452</v>
      </c>
      <c r="I5658" t="s">
        <v>22474</v>
      </c>
      <c r="J5658" t="s">
        <v>22779</v>
      </c>
      <c r="K5658" t="s">
        <v>29329</v>
      </c>
      <c r="M5658" t="s">
        <v>31542</v>
      </c>
      <c r="N5658" t="s">
        <v>32524</v>
      </c>
      <c r="O5658" t="s">
        <v>32525</v>
      </c>
      <c r="P5658">
        <v>0</v>
      </c>
      <c r="Q5658">
        <v>2</v>
      </c>
      <c r="R5658" t="s">
        <v>32531</v>
      </c>
      <c r="S5658" t="s">
        <v>32586</v>
      </c>
      <c r="T5658" t="s">
        <v>33484</v>
      </c>
      <c r="U5658" t="s">
        <v>38403</v>
      </c>
      <c r="V5658" t="s">
        <v>43032</v>
      </c>
      <c r="W5658" t="s">
        <v>31542</v>
      </c>
      <c r="X5658" t="s">
        <v>32532</v>
      </c>
    </row>
    <row r="5659" spans="1:24">
      <c r="A5659">
        <f>HYPERLINK("https://www.philgeps.gov.ph/GEPSNONPILOT/Tender/SplashBidNoticeAbstractUI.aspx?menuIndex=3&amp;refID=7040571&amp;Result=3","7040571")</f>
        <v>0</v>
      </c>
      <c r="B5659" t="s">
        <v>1310</v>
      </c>
      <c r="C5659" t="s">
        <v>8091</v>
      </c>
      <c r="D5659" t="s">
        <v>12998</v>
      </c>
      <c r="E5659" t="s">
        <v>18121</v>
      </c>
      <c r="F5659" t="s">
        <v>22436</v>
      </c>
      <c r="G5659" t="s">
        <v>22444</v>
      </c>
      <c r="H5659" t="s">
        <v>22452</v>
      </c>
      <c r="I5659" t="s">
        <v>22474</v>
      </c>
      <c r="J5659" t="s">
        <v>23350</v>
      </c>
      <c r="K5659" t="s">
        <v>29338</v>
      </c>
      <c r="M5659" t="s">
        <v>30964</v>
      </c>
      <c r="N5659" t="s">
        <v>32524</v>
      </c>
      <c r="O5659" t="s">
        <v>32525</v>
      </c>
      <c r="P5659">
        <v>0</v>
      </c>
      <c r="Q5659">
        <v>3</v>
      </c>
      <c r="R5659" t="s">
        <v>32531</v>
      </c>
      <c r="S5659" t="s">
        <v>32586</v>
      </c>
      <c r="T5659" t="s">
        <v>33229</v>
      </c>
      <c r="U5659" t="s">
        <v>38404</v>
      </c>
      <c r="W5659" t="s">
        <v>30964</v>
      </c>
      <c r="X5659" t="s">
        <v>32532</v>
      </c>
    </row>
    <row r="5660" spans="1:24">
      <c r="A5660">
        <f>HYPERLINK("https://www.philgeps.gov.ph/GEPSNONPILOT/Tender/SplashBidNoticeAbstractUI.aspx?menuIndex=3&amp;refID=7040573&amp;Result=3","7040573")</f>
        <v>0</v>
      </c>
      <c r="B5660" t="s">
        <v>720</v>
      </c>
      <c r="C5660" t="s">
        <v>8092</v>
      </c>
      <c r="D5660" t="s">
        <v>13058</v>
      </c>
      <c r="E5660" t="s">
        <v>18122</v>
      </c>
      <c r="F5660" t="s">
        <v>22436</v>
      </c>
      <c r="G5660" t="s">
        <v>22444</v>
      </c>
      <c r="H5660" t="s">
        <v>22452</v>
      </c>
      <c r="I5660" t="s">
        <v>22495</v>
      </c>
      <c r="J5660" t="s">
        <v>22785</v>
      </c>
      <c r="K5660" t="s">
        <v>29336</v>
      </c>
      <c r="M5660" t="s">
        <v>30317</v>
      </c>
      <c r="N5660" t="s">
        <v>32524</v>
      </c>
      <c r="O5660" t="s">
        <v>32525</v>
      </c>
      <c r="P5660">
        <v>0</v>
      </c>
      <c r="Q5660">
        <v>0</v>
      </c>
      <c r="R5660" t="s">
        <v>32531</v>
      </c>
      <c r="S5660" t="s">
        <v>32586</v>
      </c>
      <c r="T5660" t="s">
        <v>33180</v>
      </c>
      <c r="U5660" t="s">
        <v>38405</v>
      </c>
      <c r="V5660" t="s">
        <v>43044</v>
      </c>
      <c r="W5660" t="s">
        <v>30317</v>
      </c>
      <c r="X5660" t="s">
        <v>32532</v>
      </c>
    </row>
    <row r="5661" spans="1:24">
      <c r="A5661">
        <f>HYPERLINK("https://www.philgeps.gov.ph/GEPSNONPILOT/Tender/SplashBidNoticeAbstractUI.aspx?menuIndex=3&amp;refID=7040597&amp;Result=3","7040597")</f>
        <v>0</v>
      </c>
      <c r="B5661" t="s">
        <v>1842</v>
      </c>
      <c r="C5661" t="s">
        <v>8093</v>
      </c>
      <c r="D5661" t="s">
        <v>13011</v>
      </c>
      <c r="E5661" t="s">
        <v>18123</v>
      </c>
      <c r="F5661" t="s">
        <v>22436</v>
      </c>
      <c r="G5661" t="s">
        <v>22444</v>
      </c>
      <c r="H5661" t="s">
        <v>22454</v>
      </c>
      <c r="I5661" t="s">
        <v>7738</v>
      </c>
      <c r="J5661" t="s">
        <v>26288</v>
      </c>
      <c r="K5661" t="s">
        <v>29354</v>
      </c>
      <c r="M5661" t="s">
        <v>31558</v>
      </c>
      <c r="N5661" t="s">
        <v>32524</v>
      </c>
      <c r="O5661" t="s">
        <v>32525</v>
      </c>
      <c r="P5661">
        <v>0</v>
      </c>
      <c r="Q5661">
        <v>5</v>
      </c>
      <c r="R5661" t="s">
        <v>32531</v>
      </c>
      <c r="S5661" t="s">
        <v>32586</v>
      </c>
      <c r="T5661" t="s">
        <v>33234</v>
      </c>
      <c r="U5661" t="s">
        <v>38406</v>
      </c>
      <c r="V5661" t="s">
        <v>43045</v>
      </c>
      <c r="W5661" t="s">
        <v>31558</v>
      </c>
      <c r="X5661" t="s">
        <v>32532</v>
      </c>
    </row>
    <row r="5662" spans="1:24">
      <c r="A5662">
        <f>HYPERLINK("https://www.philgeps.gov.ph/GEPSNONPILOT/Tender/SplashBidNoticeAbstractUI.aspx?menuIndex=3&amp;refID=7040601&amp;Result=3","7040601")</f>
        <v>0</v>
      </c>
      <c r="B5662" t="s">
        <v>1510</v>
      </c>
      <c r="C5662" t="s">
        <v>8094</v>
      </c>
      <c r="D5662" t="s">
        <v>12988</v>
      </c>
      <c r="E5662" t="s">
        <v>18124</v>
      </c>
      <c r="F5662" t="s">
        <v>22436</v>
      </c>
      <c r="G5662" t="s">
        <v>22443</v>
      </c>
      <c r="H5662" t="s">
        <v>22455</v>
      </c>
      <c r="I5662" t="s">
        <v>22455</v>
      </c>
      <c r="J5662" t="s">
        <v>26289</v>
      </c>
      <c r="K5662" t="s">
        <v>29329</v>
      </c>
      <c r="M5662" t="s">
        <v>31185</v>
      </c>
      <c r="N5662" t="s">
        <v>32524</v>
      </c>
      <c r="O5662" t="s">
        <v>32525</v>
      </c>
      <c r="P5662">
        <v>0</v>
      </c>
      <c r="Q5662">
        <v>4</v>
      </c>
      <c r="R5662" t="s">
        <v>32531</v>
      </c>
      <c r="S5662" t="s">
        <v>32586</v>
      </c>
      <c r="T5662" t="s">
        <v>33185</v>
      </c>
      <c r="U5662" t="s">
        <v>38407</v>
      </c>
      <c r="V5662" t="s">
        <v>43046</v>
      </c>
      <c r="W5662" t="s">
        <v>31185</v>
      </c>
      <c r="X5662" t="s">
        <v>32532</v>
      </c>
    </row>
    <row r="5663" spans="1:24">
      <c r="A5663">
        <f>HYPERLINK("https://www.philgeps.gov.ph/GEPSNONPILOT/Tender/SplashBidNoticeAbstractUI.aspx?menuIndex=3&amp;refID=7040606&amp;Result=3","7040606")</f>
        <v>0</v>
      </c>
      <c r="B5663" t="s">
        <v>1842</v>
      </c>
      <c r="C5663" t="s">
        <v>8095</v>
      </c>
      <c r="D5663" t="s">
        <v>13011</v>
      </c>
      <c r="E5663" t="s">
        <v>18125</v>
      </c>
      <c r="F5663" t="s">
        <v>22436</v>
      </c>
      <c r="G5663" t="s">
        <v>22444</v>
      </c>
      <c r="H5663" t="s">
        <v>22454</v>
      </c>
      <c r="I5663" t="s">
        <v>7738</v>
      </c>
      <c r="J5663" t="s">
        <v>26290</v>
      </c>
      <c r="K5663" t="s">
        <v>29344</v>
      </c>
      <c r="M5663" t="s">
        <v>31558</v>
      </c>
      <c r="N5663" t="s">
        <v>32524</v>
      </c>
      <c r="O5663" t="s">
        <v>32525</v>
      </c>
      <c r="P5663">
        <v>0</v>
      </c>
      <c r="Q5663">
        <v>5</v>
      </c>
      <c r="R5663" t="s">
        <v>32531</v>
      </c>
      <c r="S5663" t="s">
        <v>32586</v>
      </c>
      <c r="T5663" t="s">
        <v>33234</v>
      </c>
      <c r="U5663" t="s">
        <v>38406</v>
      </c>
      <c r="V5663" t="s">
        <v>43047</v>
      </c>
      <c r="W5663" t="s">
        <v>31558</v>
      </c>
      <c r="X5663" t="s">
        <v>32532</v>
      </c>
    </row>
    <row r="5664" spans="1:24">
      <c r="A5664">
        <f>HYPERLINK("https://www.philgeps.gov.ph/GEPSNONPILOT/Tender/SplashBidNoticeAbstractUI.aspx?menuIndex=3&amp;refID=7040592&amp;Result=3","7040592")</f>
        <v>0</v>
      </c>
      <c r="B5664" t="s">
        <v>1310</v>
      </c>
      <c r="C5664" t="s">
        <v>8096</v>
      </c>
      <c r="D5664" t="s">
        <v>12998</v>
      </c>
      <c r="E5664" t="s">
        <v>18126</v>
      </c>
      <c r="F5664" t="s">
        <v>22436</v>
      </c>
      <c r="G5664" t="s">
        <v>22444</v>
      </c>
      <c r="H5664" t="s">
        <v>22452</v>
      </c>
      <c r="I5664" t="s">
        <v>22469</v>
      </c>
      <c r="J5664" t="s">
        <v>26291</v>
      </c>
      <c r="K5664" t="s">
        <v>29338</v>
      </c>
      <c r="M5664" t="s">
        <v>30964</v>
      </c>
      <c r="N5664" t="s">
        <v>32524</v>
      </c>
      <c r="O5664" t="s">
        <v>32525</v>
      </c>
      <c r="P5664">
        <v>0</v>
      </c>
      <c r="Q5664">
        <v>1</v>
      </c>
      <c r="R5664" t="s">
        <v>32531</v>
      </c>
      <c r="S5664" t="s">
        <v>32586</v>
      </c>
      <c r="T5664" t="s">
        <v>33229</v>
      </c>
      <c r="U5664" t="s">
        <v>38404</v>
      </c>
      <c r="W5664" t="s">
        <v>30964</v>
      </c>
      <c r="X5664" t="s">
        <v>32532</v>
      </c>
    </row>
    <row r="5665" spans="1:24">
      <c r="A5665">
        <f>HYPERLINK("https://www.philgeps.gov.ph/GEPSNONPILOT/Tender/SplashBidNoticeAbstractUI.aspx?menuIndex=3&amp;refID=7040603&amp;Result=3","7040603")</f>
        <v>0</v>
      </c>
      <c r="B5665" t="s">
        <v>1819</v>
      </c>
      <c r="C5665" t="s">
        <v>8097</v>
      </c>
      <c r="D5665" t="s">
        <v>13006</v>
      </c>
      <c r="E5665" t="s">
        <v>18127</v>
      </c>
      <c r="F5665" t="s">
        <v>22436</v>
      </c>
      <c r="G5665" t="s">
        <v>22444</v>
      </c>
      <c r="H5665" t="s">
        <v>22454</v>
      </c>
      <c r="I5665" t="s">
        <v>22501</v>
      </c>
      <c r="J5665" t="s">
        <v>26292</v>
      </c>
      <c r="K5665" t="s">
        <v>29344</v>
      </c>
      <c r="M5665" t="s">
        <v>31533</v>
      </c>
      <c r="N5665" t="s">
        <v>32524</v>
      </c>
      <c r="O5665" t="s">
        <v>32525</v>
      </c>
      <c r="P5665">
        <v>0</v>
      </c>
      <c r="Q5665">
        <v>6</v>
      </c>
      <c r="R5665" t="s">
        <v>32531</v>
      </c>
      <c r="S5665" t="s">
        <v>32586</v>
      </c>
      <c r="T5665" t="s">
        <v>33253</v>
      </c>
      <c r="U5665" t="s">
        <v>38408</v>
      </c>
      <c r="V5665" t="s">
        <v>43027</v>
      </c>
      <c r="W5665" t="s">
        <v>31533</v>
      </c>
      <c r="X5665" t="s">
        <v>32532</v>
      </c>
    </row>
    <row r="5666" spans="1:24">
      <c r="A5666">
        <f>HYPERLINK("https://www.philgeps.gov.ph/GEPSNONPILOT/Tender/SplashBidNoticeAbstractUI.aspx?menuIndex=3&amp;refID=7040586&amp;Result=3","7040586")</f>
        <v>0</v>
      </c>
      <c r="B5666" t="s">
        <v>1827</v>
      </c>
      <c r="C5666" t="s">
        <v>8098</v>
      </c>
      <c r="D5666" t="s">
        <v>13038</v>
      </c>
      <c r="E5666" t="s">
        <v>18128</v>
      </c>
      <c r="F5666" t="s">
        <v>22436</v>
      </c>
      <c r="G5666" t="s">
        <v>22444</v>
      </c>
      <c r="H5666" t="s">
        <v>22452</v>
      </c>
      <c r="I5666" t="s">
        <v>22474</v>
      </c>
      <c r="J5666" t="s">
        <v>22779</v>
      </c>
      <c r="K5666" t="s">
        <v>29329</v>
      </c>
      <c r="M5666" t="s">
        <v>31542</v>
      </c>
      <c r="N5666" t="s">
        <v>32524</v>
      </c>
      <c r="O5666" t="s">
        <v>32525</v>
      </c>
      <c r="P5666">
        <v>0</v>
      </c>
      <c r="Q5666">
        <v>1</v>
      </c>
      <c r="R5666" t="s">
        <v>32531</v>
      </c>
      <c r="S5666" t="s">
        <v>32586</v>
      </c>
      <c r="T5666" t="s">
        <v>33484</v>
      </c>
      <c r="U5666" t="s">
        <v>38409</v>
      </c>
      <c r="V5666" t="s">
        <v>43032</v>
      </c>
      <c r="W5666" t="s">
        <v>31542</v>
      </c>
      <c r="X5666" t="s">
        <v>32532</v>
      </c>
    </row>
    <row r="5667" spans="1:24">
      <c r="A5667">
        <f>HYPERLINK("https://www.philgeps.gov.ph/GEPSNONPILOT/Tender/SplashBidNoticeAbstractUI.aspx?menuIndex=3&amp;refID=7040585&amp;Result=3","7040585")</f>
        <v>0</v>
      </c>
      <c r="B5667" t="s">
        <v>1843</v>
      </c>
      <c r="C5667" t="s">
        <v>8099</v>
      </c>
      <c r="E5667" t="s">
        <v>13182</v>
      </c>
      <c r="F5667" t="s">
        <v>22436</v>
      </c>
      <c r="G5667" t="s">
        <v>22445</v>
      </c>
      <c r="H5667" t="s">
        <v>22452</v>
      </c>
      <c r="I5667" t="s">
        <v>5194</v>
      </c>
      <c r="J5667" t="s">
        <v>22616</v>
      </c>
      <c r="K5667" t="s">
        <v>29338</v>
      </c>
      <c r="M5667" t="s">
        <v>31559</v>
      </c>
      <c r="N5667" t="s">
        <v>32524</v>
      </c>
      <c r="O5667" t="s">
        <v>32525</v>
      </c>
      <c r="P5667">
        <v>0</v>
      </c>
      <c r="Q5667">
        <v>16</v>
      </c>
      <c r="R5667" t="s">
        <v>32531</v>
      </c>
      <c r="S5667" t="s">
        <v>32586</v>
      </c>
      <c r="T5667" t="s">
        <v>33185</v>
      </c>
      <c r="U5667" t="s">
        <v>38410</v>
      </c>
      <c r="W5667" t="s">
        <v>31559</v>
      </c>
      <c r="X5667" t="s">
        <v>32532</v>
      </c>
    </row>
    <row r="5668" spans="1:24">
      <c r="A5668">
        <f>HYPERLINK("https://www.philgeps.gov.ph/GEPSNONPILOT/Tender/SplashBidNoticeAbstractUI.aspx?menuIndex=3&amp;refID=7040584&amp;Result=3","7040584")</f>
        <v>0</v>
      </c>
      <c r="B5668" t="s">
        <v>374</v>
      </c>
      <c r="C5668" t="s">
        <v>8100</v>
      </c>
      <c r="E5668" t="s">
        <v>14631</v>
      </c>
      <c r="F5668" t="s">
        <v>22436</v>
      </c>
      <c r="G5668" t="s">
        <v>22444</v>
      </c>
      <c r="H5668" t="s">
        <v>22452</v>
      </c>
      <c r="I5668" t="s">
        <v>22461</v>
      </c>
      <c r="J5668" t="s">
        <v>26293</v>
      </c>
      <c r="K5668" t="s">
        <v>29338</v>
      </c>
      <c r="M5668" t="s">
        <v>29952</v>
      </c>
      <c r="N5668" t="s">
        <v>32524</v>
      </c>
      <c r="O5668" t="s">
        <v>32525</v>
      </c>
      <c r="P5668">
        <v>0</v>
      </c>
      <c r="Q5668">
        <v>2</v>
      </c>
      <c r="R5668" t="s">
        <v>32531</v>
      </c>
      <c r="S5668" t="s">
        <v>32586</v>
      </c>
      <c r="T5668" t="s">
        <v>33188</v>
      </c>
      <c r="U5668" t="s">
        <v>38411</v>
      </c>
      <c r="V5668" t="s">
        <v>43043</v>
      </c>
      <c r="W5668" t="s">
        <v>29952</v>
      </c>
      <c r="X5668" t="s">
        <v>32532</v>
      </c>
    </row>
    <row r="5669" spans="1:24">
      <c r="A5669">
        <f>HYPERLINK("https://www.philgeps.gov.ph/GEPSNONPILOT/Tender/SplashBidNoticeAbstractUI.aspx?menuIndex=3&amp;refID=7040581&amp;Result=3","7040581")</f>
        <v>0</v>
      </c>
      <c r="B5669" t="s">
        <v>483</v>
      </c>
      <c r="C5669" t="s">
        <v>8101</v>
      </c>
      <c r="D5669" t="s">
        <v>13065</v>
      </c>
      <c r="E5669" t="s">
        <v>18129</v>
      </c>
      <c r="F5669" t="s">
        <v>22436</v>
      </c>
      <c r="G5669" t="s">
        <v>22444</v>
      </c>
      <c r="H5669" t="s">
        <v>22452</v>
      </c>
      <c r="I5669" t="s">
        <v>22469</v>
      </c>
      <c r="J5669" t="s">
        <v>26294</v>
      </c>
      <c r="K5669" t="s">
        <v>29331</v>
      </c>
      <c r="M5669" t="s">
        <v>30067</v>
      </c>
      <c r="N5669" t="s">
        <v>32524</v>
      </c>
      <c r="O5669" t="s">
        <v>32525</v>
      </c>
      <c r="P5669">
        <v>0</v>
      </c>
      <c r="Q5669">
        <v>1</v>
      </c>
      <c r="R5669" t="s">
        <v>32531</v>
      </c>
      <c r="S5669" t="s">
        <v>32586</v>
      </c>
      <c r="T5669" t="s">
        <v>33495</v>
      </c>
      <c r="U5669" t="s">
        <v>38412</v>
      </c>
      <c r="W5669" t="s">
        <v>30067</v>
      </c>
      <c r="X5669" t="s">
        <v>32532</v>
      </c>
    </row>
    <row r="5670" spans="1:24">
      <c r="A5670">
        <f>HYPERLINK("https://www.philgeps.gov.ph/GEPSNONPILOT/Tender/SplashBidNoticeAbstractUI.aspx?menuIndex=3&amp;refID=7040588&amp;Result=3","7040588")</f>
        <v>0</v>
      </c>
      <c r="B5670" t="s">
        <v>827</v>
      </c>
      <c r="C5670" t="s">
        <v>8102</v>
      </c>
      <c r="D5670" t="s">
        <v>12988</v>
      </c>
      <c r="E5670" t="s">
        <v>18130</v>
      </c>
      <c r="F5670" t="s">
        <v>22436</v>
      </c>
      <c r="G5670" t="s">
        <v>22444</v>
      </c>
      <c r="H5670" t="s">
        <v>22452</v>
      </c>
      <c r="I5670" t="s">
        <v>22484</v>
      </c>
      <c r="J5670" t="s">
        <v>26295</v>
      </c>
      <c r="K5670" t="s">
        <v>29334</v>
      </c>
      <c r="M5670" t="s">
        <v>30433</v>
      </c>
      <c r="N5670" t="s">
        <v>32524</v>
      </c>
      <c r="O5670" t="s">
        <v>32525</v>
      </c>
      <c r="P5670">
        <v>0</v>
      </c>
      <c r="Q5670">
        <v>19</v>
      </c>
      <c r="R5670" t="s">
        <v>32531</v>
      </c>
      <c r="S5670" t="s">
        <v>32586</v>
      </c>
      <c r="T5670" t="s">
        <v>33434</v>
      </c>
      <c r="U5670" t="s">
        <v>38413</v>
      </c>
      <c r="W5670" t="s">
        <v>30433</v>
      </c>
      <c r="X5670" t="s">
        <v>32532</v>
      </c>
    </row>
    <row r="5671" spans="1:24">
      <c r="A5671">
        <f>HYPERLINK("https://www.philgeps.gov.ph/GEPSNONPILOT/Tender/SplashBidNoticeAbstractUI.aspx?menuIndex=3&amp;refID=7040582&amp;Result=3","7040582")</f>
        <v>0</v>
      </c>
      <c r="B5671" t="s">
        <v>1819</v>
      </c>
      <c r="C5671" t="s">
        <v>8103</v>
      </c>
      <c r="D5671" t="s">
        <v>13006</v>
      </c>
      <c r="E5671" t="s">
        <v>18131</v>
      </c>
      <c r="F5671" t="s">
        <v>22436</v>
      </c>
      <c r="G5671" t="s">
        <v>22444</v>
      </c>
      <c r="H5671" t="s">
        <v>22454</v>
      </c>
      <c r="I5671" t="s">
        <v>22501</v>
      </c>
      <c r="J5671" t="s">
        <v>26296</v>
      </c>
      <c r="K5671" t="s">
        <v>29344</v>
      </c>
      <c r="M5671" t="s">
        <v>31533</v>
      </c>
      <c r="N5671" t="s">
        <v>32524</v>
      </c>
      <c r="O5671" t="s">
        <v>32525</v>
      </c>
      <c r="P5671">
        <v>0</v>
      </c>
      <c r="Q5671">
        <v>6</v>
      </c>
      <c r="R5671" t="s">
        <v>32531</v>
      </c>
      <c r="S5671" t="s">
        <v>32586</v>
      </c>
      <c r="T5671" t="s">
        <v>33253</v>
      </c>
      <c r="U5671" t="s">
        <v>38414</v>
      </c>
      <c r="V5671" t="s">
        <v>43027</v>
      </c>
      <c r="W5671" t="s">
        <v>31533</v>
      </c>
      <c r="X5671" t="s">
        <v>32532</v>
      </c>
    </row>
    <row r="5672" spans="1:24">
      <c r="A5672">
        <f>HYPERLINK("https://www.philgeps.gov.ph/GEPSNONPILOT/Tender/SplashBidNoticeAbstractUI.aspx?menuIndex=3&amp;refID=7040590&amp;Result=3","7040590")</f>
        <v>0</v>
      </c>
      <c r="B5672" t="s">
        <v>1819</v>
      </c>
      <c r="C5672" t="s">
        <v>8104</v>
      </c>
      <c r="D5672" t="s">
        <v>13006</v>
      </c>
      <c r="E5672" t="s">
        <v>18132</v>
      </c>
      <c r="F5672" t="s">
        <v>22436</v>
      </c>
      <c r="G5672" t="s">
        <v>22444</v>
      </c>
      <c r="H5672" t="s">
        <v>22454</v>
      </c>
      <c r="I5672" t="s">
        <v>22501</v>
      </c>
      <c r="J5672" t="s">
        <v>26297</v>
      </c>
      <c r="K5672" t="s">
        <v>29344</v>
      </c>
      <c r="M5672" t="s">
        <v>31533</v>
      </c>
      <c r="N5672" t="s">
        <v>32524</v>
      </c>
      <c r="O5672" t="s">
        <v>32525</v>
      </c>
      <c r="P5672">
        <v>0</v>
      </c>
      <c r="Q5672">
        <v>6</v>
      </c>
      <c r="R5672" t="s">
        <v>32531</v>
      </c>
      <c r="S5672" t="s">
        <v>32586</v>
      </c>
      <c r="T5672" t="s">
        <v>33253</v>
      </c>
      <c r="U5672" t="s">
        <v>38415</v>
      </c>
      <c r="V5672" t="s">
        <v>43027</v>
      </c>
      <c r="W5672" t="s">
        <v>31533</v>
      </c>
      <c r="X5672" t="s">
        <v>32532</v>
      </c>
    </row>
    <row r="5673" spans="1:24">
      <c r="A5673">
        <f>HYPERLINK("https://www.philgeps.gov.ph/GEPSNONPILOT/Tender/SplashBidNoticeAbstractUI.aspx?menuIndex=3&amp;refID=7040591&amp;Result=3","7040591")</f>
        <v>0</v>
      </c>
      <c r="B5673" t="s">
        <v>374</v>
      </c>
      <c r="C5673" t="s">
        <v>8105</v>
      </c>
      <c r="E5673" t="s">
        <v>14656</v>
      </c>
      <c r="F5673" t="s">
        <v>22436</v>
      </c>
      <c r="G5673" t="s">
        <v>22444</v>
      </c>
      <c r="H5673" t="s">
        <v>22452</v>
      </c>
      <c r="I5673" t="s">
        <v>22479</v>
      </c>
      <c r="J5673" t="s">
        <v>26298</v>
      </c>
      <c r="K5673" t="s">
        <v>29338</v>
      </c>
      <c r="M5673" t="s">
        <v>29952</v>
      </c>
      <c r="N5673" t="s">
        <v>32524</v>
      </c>
      <c r="O5673" t="s">
        <v>32525</v>
      </c>
      <c r="P5673">
        <v>0</v>
      </c>
      <c r="Q5673">
        <v>5</v>
      </c>
      <c r="R5673" t="s">
        <v>32531</v>
      </c>
      <c r="S5673" t="s">
        <v>32586</v>
      </c>
      <c r="T5673" t="s">
        <v>33188</v>
      </c>
      <c r="U5673" t="s">
        <v>38416</v>
      </c>
      <c r="V5673" t="s">
        <v>43048</v>
      </c>
      <c r="W5673" t="s">
        <v>29952</v>
      </c>
      <c r="X5673" t="s">
        <v>32532</v>
      </c>
    </row>
    <row r="5674" spans="1:24">
      <c r="A5674">
        <f>HYPERLINK("https://www.philgeps.gov.ph/GEPSNONPILOT/Tender/SplashBidNoticeAbstractUI.aspx?menuIndex=3&amp;refID=7040580&amp;Result=3","7040580")</f>
        <v>0</v>
      </c>
      <c r="B5674" t="s">
        <v>1830</v>
      </c>
      <c r="C5674" t="s">
        <v>8106</v>
      </c>
      <c r="D5674" t="s">
        <v>12990</v>
      </c>
      <c r="E5674" t="s">
        <v>18133</v>
      </c>
      <c r="F5674" t="s">
        <v>22436</v>
      </c>
      <c r="G5674" t="s">
        <v>22444</v>
      </c>
      <c r="H5674" t="s">
        <v>22452</v>
      </c>
      <c r="I5674" t="s">
        <v>2993</v>
      </c>
      <c r="J5674" t="s">
        <v>26299</v>
      </c>
      <c r="K5674" t="s">
        <v>29334</v>
      </c>
      <c r="M5674" t="s">
        <v>31545</v>
      </c>
      <c r="N5674" t="s">
        <v>32524</v>
      </c>
      <c r="O5674" t="s">
        <v>32525</v>
      </c>
      <c r="P5674">
        <v>0</v>
      </c>
      <c r="Q5674">
        <v>3</v>
      </c>
      <c r="R5674" t="s">
        <v>32531</v>
      </c>
      <c r="S5674" t="s">
        <v>32586</v>
      </c>
      <c r="T5674" t="s">
        <v>33345</v>
      </c>
      <c r="U5674" t="s">
        <v>38417</v>
      </c>
      <c r="W5674" t="s">
        <v>31545</v>
      </c>
      <c r="X5674" t="s">
        <v>32532</v>
      </c>
    </row>
    <row r="5675" spans="1:24">
      <c r="A5675">
        <f>HYPERLINK("https://www.philgeps.gov.ph/GEPSNONPILOT/Tender/SplashBidNoticeAbstractUI.aspx?menuIndex=3&amp;refID=7040595&amp;Result=3","7040595")</f>
        <v>0</v>
      </c>
      <c r="B5675" t="s">
        <v>1819</v>
      </c>
      <c r="C5675" t="s">
        <v>8107</v>
      </c>
      <c r="D5675" t="s">
        <v>13006</v>
      </c>
      <c r="E5675" t="s">
        <v>18134</v>
      </c>
      <c r="F5675" t="s">
        <v>22436</v>
      </c>
      <c r="G5675" t="s">
        <v>22444</v>
      </c>
      <c r="H5675" t="s">
        <v>22454</v>
      </c>
      <c r="I5675" t="s">
        <v>22501</v>
      </c>
      <c r="J5675" t="s">
        <v>26300</v>
      </c>
      <c r="K5675" t="s">
        <v>29344</v>
      </c>
      <c r="M5675" t="s">
        <v>31533</v>
      </c>
      <c r="N5675" t="s">
        <v>32524</v>
      </c>
      <c r="O5675" t="s">
        <v>32525</v>
      </c>
      <c r="P5675">
        <v>0</v>
      </c>
      <c r="Q5675">
        <v>6</v>
      </c>
      <c r="R5675" t="s">
        <v>32531</v>
      </c>
      <c r="S5675" t="s">
        <v>32586</v>
      </c>
      <c r="T5675" t="s">
        <v>33253</v>
      </c>
      <c r="U5675" t="s">
        <v>38418</v>
      </c>
      <c r="V5675" t="s">
        <v>43027</v>
      </c>
      <c r="W5675" t="s">
        <v>31533</v>
      </c>
      <c r="X5675" t="s">
        <v>32532</v>
      </c>
    </row>
    <row r="5676" spans="1:24">
      <c r="A5676">
        <f>HYPERLINK("https://www.philgeps.gov.ph/GEPSNONPILOT/Tender/SplashBidNoticeAbstractUI.aspx?menuIndex=3&amp;refID=7040600&amp;Result=3","7040600")</f>
        <v>0</v>
      </c>
      <c r="B5676" t="s">
        <v>1844</v>
      </c>
      <c r="C5676" t="s">
        <v>8108</v>
      </c>
      <c r="D5676" t="s">
        <v>13015</v>
      </c>
      <c r="E5676" t="s">
        <v>18135</v>
      </c>
      <c r="F5676" t="s">
        <v>22436</v>
      </c>
      <c r="G5676" t="s">
        <v>22443</v>
      </c>
      <c r="H5676" t="s">
        <v>22452</v>
      </c>
      <c r="I5676" t="s">
        <v>22468</v>
      </c>
      <c r="J5676" t="s">
        <v>26301</v>
      </c>
      <c r="K5676" t="s">
        <v>29335</v>
      </c>
      <c r="M5676" t="s">
        <v>31560</v>
      </c>
      <c r="N5676" t="s">
        <v>32524</v>
      </c>
      <c r="O5676" t="s">
        <v>32525</v>
      </c>
      <c r="P5676">
        <v>0</v>
      </c>
      <c r="Q5676">
        <v>6</v>
      </c>
      <c r="R5676" t="s">
        <v>32531</v>
      </c>
      <c r="S5676" t="s">
        <v>32586</v>
      </c>
      <c r="T5676" t="s">
        <v>33310</v>
      </c>
      <c r="U5676" t="s">
        <v>38419</v>
      </c>
      <c r="V5676" t="s">
        <v>43049</v>
      </c>
      <c r="W5676" t="s">
        <v>31560</v>
      </c>
      <c r="X5676" t="s">
        <v>32532</v>
      </c>
    </row>
    <row r="5677" spans="1:24">
      <c r="A5677">
        <f>HYPERLINK("https://www.philgeps.gov.ph/GEPSNONPILOT/Tender/SplashBidNoticeAbstractUI.aspx?menuIndex=3&amp;refID=7040608&amp;Result=3","7040608")</f>
        <v>0</v>
      </c>
      <c r="B5677" t="s">
        <v>1819</v>
      </c>
      <c r="C5677" t="s">
        <v>8109</v>
      </c>
      <c r="D5677" t="s">
        <v>13006</v>
      </c>
      <c r="E5677" t="s">
        <v>18136</v>
      </c>
      <c r="F5677" t="s">
        <v>22436</v>
      </c>
      <c r="G5677" t="s">
        <v>22444</v>
      </c>
      <c r="H5677" t="s">
        <v>22454</v>
      </c>
      <c r="I5677" t="s">
        <v>22501</v>
      </c>
      <c r="J5677" t="s">
        <v>26302</v>
      </c>
      <c r="K5677" t="s">
        <v>29344</v>
      </c>
      <c r="M5677" t="s">
        <v>31533</v>
      </c>
      <c r="N5677" t="s">
        <v>32524</v>
      </c>
      <c r="O5677" t="s">
        <v>32525</v>
      </c>
      <c r="P5677">
        <v>0</v>
      </c>
      <c r="Q5677">
        <v>6</v>
      </c>
      <c r="R5677" t="s">
        <v>32531</v>
      </c>
      <c r="S5677" t="s">
        <v>32586</v>
      </c>
      <c r="T5677" t="s">
        <v>33253</v>
      </c>
      <c r="U5677" t="s">
        <v>38420</v>
      </c>
      <c r="V5677" t="s">
        <v>43027</v>
      </c>
      <c r="W5677" t="s">
        <v>31533</v>
      </c>
      <c r="X5677" t="s">
        <v>32532</v>
      </c>
    </row>
    <row r="5678" spans="1:24">
      <c r="A5678">
        <f>HYPERLINK("https://www.philgeps.gov.ph/GEPSNONPILOT/Tender/SplashBidNoticeAbstractUI.aspx?menuIndex=3&amp;refID=7040622&amp;Result=3","7040622")</f>
        <v>0</v>
      </c>
      <c r="B5678" t="s">
        <v>1819</v>
      </c>
      <c r="C5678" t="s">
        <v>8110</v>
      </c>
      <c r="D5678" t="s">
        <v>13006</v>
      </c>
      <c r="E5678" t="s">
        <v>18137</v>
      </c>
      <c r="F5678" t="s">
        <v>22436</v>
      </c>
      <c r="G5678" t="s">
        <v>22444</v>
      </c>
      <c r="H5678" t="s">
        <v>22454</v>
      </c>
      <c r="I5678" t="s">
        <v>22501</v>
      </c>
      <c r="J5678" t="s">
        <v>26303</v>
      </c>
      <c r="K5678" t="s">
        <v>29344</v>
      </c>
      <c r="M5678" t="s">
        <v>31533</v>
      </c>
      <c r="N5678" t="s">
        <v>32524</v>
      </c>
      <c r="O5678" t="s">
        <v>32525</v>
      </c>
      <c r="P5678">
        <v>0</v>
      </c>
      <c r="Q5678">
        <v>5</v>
      </c>
      <c r="R5678" t="s">
        <v>32531</v>
      </c>
      <c r="S5678" t="s">
        <v>32586</v>
      </c>
      <c r="T5678" t="s">
        <v>33253</v>
      </c>
      <c r="U5678" t="s">
        <v>38421</v>
      </c>
      <c r="V5678" t="s">
        <v>43027</v>
      </c>
      <c r="W5678" t="s">
        <v>31533</v>
      </c>
      <c r="X5678" t="s">
        <v>32532</v>
      </c>
    </row>
    <row r="5679" spans="1:24">
      <c r="A5679">
        <f>HYPERLINK("https://www.philgeps.gov.ph/GEPSNONPILOT/Tender/SplashBidNoticeAbstractUI.aspx?menuIndex=3&amp;refID=7040607&amp;Result=3","7040607")</f>
        <v>0</v>
      </c>
      <c r="B5679" t="s">
        <v>1310</v>
      </c>
      <c r="C5679" t="s">
        <v>8111</v>
      </c>
      <c r="D5679" t="s">
        <v>12998</v>
      </c>
      <c r="E5679" t="s">
        <v>18138</v>
      </c>
      <c r="F5679" t="s">
        <v>22436</v>
      </c>
      <c r="G5679" t="s">
        <v>22444</v>
      </c>
      <c r="H5679" t="s">
        <v>22452</v>
      </c>
      <c r="I5679" t="s">
        <v>22505</v>
      </c>
      <c r="J5679" t="s">
        <v>26304</v>
      </c>
      <c r="K5679" t="s">
        <v>29338</v>
      </c>
      <c r="M5679" t="s">
        <v>30964</v>
      </c>
      <c r="N5679" t="s">
        <v>32524</v>
      </c>
      <c r="O5679" t="s">
        <v>32525</v>
      </c>
      <c r="P5679">
        <v>0</v>
      </c>
      <c r="Q5679">
        <v>5</v>
      </c>
      <c r="R5679" t="s">
        <v>32531</v>
      </c>
      <c r="S5679" t="s">
        <v>32586</v>
      </c>
      <c r="T5679" t="s">
        <v>33229</v>
      </c>
      <c r="U5679" t="s">
        <v>38404</v>
      </c>
      <c r="W5679" t="s">
        <v>30964</v>
      </c>
      <c r="X5679" t="s">
        <v>32532</v>
      </c>
    </row>
    <row r="5680" spans="1:24">
      <c r="A5680">
        <f>HYPERLINK("https://www.philgeps.gov.ph/GEPSNONPILOT/Tender/SplashBidNoticeAbstractUI.aspx?menuIndex=3&amp;refID=7040618&amp;Result=3","7040618")</f>
        <v>0</v>
      </c>
      <c r="B5680" t="s">
        <v>1842</v>
      </c>
      <c r="C5680" t="s">
        <v>8112</v>
      </c>
      <c r="D5680" t="s">
        <v>13011</v>
      </c>
      <c r="E5680" t="s">
        <v>18139</v>
      </c>
      <c r="F5680" t="s">
        <v>22436</v>
      </c>
      <c r="G5680" t="s">
        <v>22444</v>
      </c>
      <c r="H5680" t="s">
        <v>22452</v>
      </c>
      <c r="I5680" t="s">
        <v>22469</v>
      </c>
      <c r="J5680" t="s">
        <v>26305</v>
      </c>
      <c r="K5680" t="s">
        <v>29334</v>
      </c>
      <c r="M5680" t="s">
        <v>31558</v>
      </c>
      <c r="N5680" t="s">
        <v>32524</v>
      </c>
      <c r="O5680" t="s">
        <v>32525</v>
      </c>
      <c r="P5680">
        <v>0</v>
      </c>
      <c r="Q5680">
        <v>12</v>
      </c>
      <c r="R5680" t="s">
        <v>32531</v>
      </c>
      <c r="S5680" t="s">
        <v>32586</v>
      </c>
      <c r="T5680" t="s">
        <v>33234</v>
      </c>
      <c r="U5680" t="s">
        <v>38406</v>
      </c>
      <c r="V5680" t="s">
        <v>43050</v>
      </c>
      <c r="W5680" t="s">
        <v>31558</v>
      </c>
      <c r="X5680" t="s">
        <v>32532</v>
      </c>
    </row>
    <row r="5681" spans="1:24">
      <c r="A5681">
        <f>HYPERLINK("https://www.philgeps.gov.ph/GEPSNONPILOT/Tender/SplashBidNoticeAbstractUI.aspx?menuIndex=3&amp;refID=7040598&amp;Result=3","7040598")</f>
        <v>0</v>
      </c>
      <c r="B5681" t="s">
        <v>1819</v>
      </c>
      <c r="C5681" t="s">
        <v>8113</v>
      </c>
      <c r="D5681" t="s">
        <v>13006</v>
      </c>
      <c r="E5681" t="s">
        <v>18140</v>
      </c>
      <c r="F5681" t="s">
        <v>22436</v>
      </c>
      <c r="G5681" t="s">
        <v>22444</v>
      </c>
      <c r="H5681" t="s">
        <v>22454</v>
      </c>
      <c r="I5681" t="s">
        <v>22501</v>
      </c>
      <c r="J5681" t="s">
        <v>26306</v>
      </c>
      <c r="K5681" t="s">
        <v>29344</v>
      </c>
      <c r="M5681" t="s">
        <v>31533</v>
      </c>
      <c r="N5681" t="s">
        <v>32524</v>
      </c>
      <c r="O5681" t="s">
        <v>32525</v>
      </c>
      <c r="P5681">
        <v>0</v>
      </c>
      <c r="Q5681">
        <v>5</v>
      </c>
      <c r="R5681" t="s">
        <v>32531</v>
      </c>
      <c r="S5681" t="s">
        <v>32586</v>
      </c>
      <c r="T5681" t="s">
        <v>33253</v>
      </c>
      <c r="U5681" t="s">
        <v>38422</v>
      </c>
      <c r="V5681" t="s">
        <v>43027</v>
      </c>
      <c r="W5681" t="s">
        <v>31533</v>
      </c>
      <c r="X5681" t="s">
        <v>32532</v>
      </c>
    </row>
    <row r="5682" spans="1:24">
      <c r="A5682">
        <f>HYPERLINK("https://www.philgeps.gov.ph/GEPSNONPILOT/Tender/SplashBidNoticeAbstractUI.aspx?menuIndex=3&amp;refID=7040613&amp;Result=3","7040613")</f>
        <v>0</v>
      </c>
      <c r="B5682" t="s">
        <v>1842</v>
      </c>
      <c r="C5682" t="s">
        <v>8114</v>
      </c>
      <c r="D5682" t="s">
        <v>13011</v>
      </c>
      <c r="E5682" t="s">
        <v>18141</v>
      </c>
      <c r="F5682" t="s">
        <v>22436</v>
      </c>
      <c r="G5682" t="s">
        <v>22444</v>
      </c>
      <c r="H5682" t="s">
        <v>22454</v>
      </c>
      <c r="I5682" t="s">
        <v>7738</v>
      </c>
      <c r="J5682" t="s">
        <v>26307</v>
      </c>
      <c r="K5682" t="s">
        <v>29403</v>
      </c>
      <c r="M5682" t="s">
        <v>31558</v>
      </c>
      <c r="N5682" t="s">
        <v>32524</v>
      </c>
      <c r="O5682" t="s">
        <v>32525</v>
      </c>
      <c r="P5682">
        <v>0</v>
      </c>
      <c r="Q5682">
        <v>6</v>
      </c>
      <c r="R5682" t="s">
        <v>32531</v>
      </c>
      <c r="S5682" t="s">
        <v>32586</v>
      </c>
      <c r="T5682" t="s">
        <v>33234</v>
      </c>
      <c r="U5682" t="s">
        <v>38406</v>
      </c>
      <c r="V5682" t="s">
        <v>43051</v>
      </c>
      <c r="W5682" t="s">
        <v>31558</v>
      </c>
      <c r="X5682" t="s">
        <v>32532</v>
      </c>
    </row>
    <row r="5683" spans="1:24">
      <c r="A5683">
        <f>HYPERLINK("https://www.philgeps.gov.ph/GEPSNONPILOT/Tender/SplashBidNoticeAbstractUI.aspx?menuIndex=3&amp;refID=7040615&amp;Result=3","7040615")</f>
        <v>0</v>
      </c>
      <c r="B5683" t="s">
        <v>1819</v>
      </c>
      <c r="C5683" t="s">
        <v>8115</v>
      </c>
      <c r="D5683" t="s">
        <v>13006</v>
      </c>
      <c r="E5683" t="s">
        <v>18142</v>
      </c>
      <c r="F5683" t="s">
        <v>22436</v>
      </c>
      <c r="G5683" t="s">
        <v>22444</v>
      </c>
      <c r="H5683" t="s">
        <v>22454</v>
      </c>
      <c r="I5683" t="s">
        <v>22501</v>
      </c>
      <c r="J5683" t="s">
        <v>26308</v>
      </c>
      <c r="K5683" t="s">
        <v>29344</v>
      </c>
      <c r="M5683" t="s">
        <v>31533</v>
      </c>
      <c r="N5683" t="s">
        <v>32524</v>
      </c>
      <c r="O5683" t="s">
        <v>32525</v>
      </c>
      <c r="P5683">
        <v>0</v>
      </c>
      <c r="Q5683">
        <v>6</v>
      </c>
      <c r="R5683" t="s">
        <v>32531</v>
      </c>
      <c r="S5683" t="s">
        <v>32586</v>
      </c>
      <c r="T5683" t="s">
        <v>33253</v>
      </c>
      <c r="U5683" t="s">
        <v>38423</v>
      </c>
      <c r="V5683" t="s">
        <v>43027</v>
      </c>
      <c r="W5683" t="s">
        <v>31533</v>
      </c>
      <c r="X5683" t="s">
        <v>32532</v>
      </c>
    </row>
    <row r="5684" spans="1:24">
      <c r="A5684">
        <f>HYPERLINK("https://www.philgeps.gov.ph/GEPSNONPILOT/Tender/SplashBidNoticeAbstractUI.aspx?menuIndex=3&amp;refID=7040617&amp;Result=3","7040617")</f>
        <v>0</v>
      </c>
      <c r="B5684" t="s">
        <v>1845</v>
      </c>
      <c r="C5684" t="s">
        <v>8116</v>
      </c>
      <c r="D5684" t="s">
        <v>13009</v>
      </c>
      <c r="E5684" t="s">
        <v>18143</v>
      </c>
      <c r="F5684" t="s">
        <v>22436</v>
      </c>
      <c r="G5684" t="s">
        <v>22443</v>
      </c>
      <c r="H5684" t="s">
        <v>22452</v>
      </c>
      <c r="I5684" t="s">
        <v>22512</v>
      </c>
      <c r="J5684" t="s">
        <v>22589</v>
      </c>
      <c r="K5684" t="s">
        <v>29336</v>
      </c>
      <c r="M5684" t="s">
        <v>31561</v>
      </c>
      <c r="N5684" t="s">
        <v>32524</v>
      </c>
      <c r="O5684" t="s">
        <v>32525</v>
      </c>
      <c r="P5684">
        <v>0</v>
      </c>
      <c r="Q5684">
        <v>0</v>
      </c>
      <c r="R5684" t="s">
        <v>32531</v>
      </c>
      <c r="S5684" t="s">
        <v>32586</v>
      </c>
      <c r="T5684" t="s">
        <v>33371</v>
      </c>
      <c r="U5684" t="s">
        <v>38424</v>
      </c>
      <c r="W5684" t="s">
        <v>31561</v>
      </c>
      <c r="X5684" t="s">
        <v>32532</v>
      </c>
    </row>
    <row r="5685" spans="1:24">
      <c r="A5685">
        <f>HYPERLINK("https://www.philgeps.gov.ph/GEPSNONPILOT/Tender/SplashBidNoticeAbstractUI.aspx?menuIndex=3&amp;refID=7040610&amp;Result=3","7040610")</f>
        <v>0</v>
      </c>
      <c r="B5685" t="s">
        <v>374</v>
      </c>
      <c r="C5685" t="s">
        <v>8117</v>
      </c>
      <c r="E5685" t="s">
        <v>18144</v>
      </c>
      <c r="F5685" t="s">
        <v>22436</v>
      </c>
      <c r="G5685" t="s">
        <v>22444</v>
      </c>
      <c r="H5685" t="s">
        <v>22452</v>
      </c>
      <c r="I5685" t="s">
        <v>3358</v>
      </c>
      <c r="J5685" t="s">
        <v>26309</v>
      </c>
      <c r="K5685" t="s">
        <v>29338</v>
      </c>
      <c r="M5685" t="s">
        <v>29952</v>
      </c>
      <c r="N5685" t="s">
        <v>32524</v>
      </c>
      <c r="O5685" t="s">
        <v>32525</v>
      </c>
      <c r="P5685">
        <v>0</v>
      </c>
      <c r="Q5685">
        <v>0</v>
      </c>
      <c r="R5685" t="s">
        <v>32531</v>
      </c>
      <c r="S5685" t="s">
        <v>32586</v>
      </c>
      <c r="T5685" t="s">
        <v>33188</v>
      </c>
      <c r="U5685" t="s">
        <v>38425</v>
      </c>
      <c r="V5685" t="s">
        <v>43043</v>
      </c>
      <c r="W5685" t="s">
        <v>29952</v>
      </c>
      <c r="X5685" t="s">
        <v>32532</v>
      </c>
    </row>
    <row r="5686" spans="1:24">
      <c r="A5686">
        <f>HYPERLINK("https://www.philgeps.gov.ph/GEPSNONPILOT/Tender/SplashBidNoticeAbstractUI.aspx?menuIndex=3&amp;refID=7040625&amp;Result=3","7040625")</f>
        <v>0</v>
      </c>
      <c r="B5686" t="s">
        <v>1510</v>
      </c>
      <c r="C5686" t="s">
        <v>8118</v>
      </c>
      <c r="D5686" t="s">
        <v>12988</v>
      </c>
      <c r="E5686" t="s">
        <v>18145</v>
      </c>
      <c r="F5686" t="s">
        <v>22436</v>
      </c>
      <c r="G5686" t="s">
        <v>22443</v>
      </c>
      <c r="H5686" t="s">
        <v>22455</v>
      </c>
      <c r="I5686" t="s">
        <v>22455</v>
      </c>
      <c r="J5686" t="s">
        <v>26310</v>
      </c>
      <c r="K5686" t="s">
        <v>29329</v>
      </c>
      <c r="M5686" t="s">
        <v>31185</v>
      </c>
      <c r="N5686" t="s">
        <v>32524</v>
      </c>
      <c r="O5686" t="s">
        <v>32525</v>
      </c>
      <c r="P5686">
        <v>0</v>
      </c>
      <c r="Q5686">
        <v>4</v>
      </c>
      <c r="R5686" t="s">
        <v>32531</v>
      </c>
      <c r="S5686" t="s">
        <v>32586</v>
      </c>
      <c r="T5686" t="s">
        <v>33185</v>
      </c>
      <c r="U5686" t="s">
        <v>38426</v>
      </c>
      <c r="V5686" t="s">
        <v>43052</v>
      </c>
      <c r="W5686" t="s">
        <v>31185</v>
      </c>
      <c r="X5686" t="s">
        <v>32532</v>
      </c>
    </row>
    <row r="5687" spans="1:24">
      <c r="A5687">
        <f>HYPERLINK("https://www.philgeps.gov.ph/GEPSNONPILOT/Tender/SplashBidNoticeAbstractUI.aspx?menuIndex=3&amp;refID=7040636&amp;Result=3","7040636")</f>
        <v>0</v>
      </c>
      <c r="B5687" t="s">
        <v>1510</v>
      </c>
      <c r="C5687" t="s">
        <v>8119</v>
      </c>
      <c r="D5687" t="s">
        <v>12988</v>
      </c>
      <c r="E5687" t="s">
        <v>18146</v>
      </c>
      <c r="F5687" t="s">
        <v>22436</v>
      </c>
      <c r="G5687" t="s">
        <v>22443</v>
      </c>
      <c r="H5687" t="s">
        <v>22455</v>
      </c>
      <c r="I5687" t="s">
        <v>22455</v>
      </c>
      <c r="J5687" t="s">
        <v>26311</v>
      </c>
      <c r="K5687" t="s">
        <v>29329</v>
      </c>
      <c r="M5687" t="s">
        <v>31185</v>
      </c>
      <c r="N5687" t="s">
        <v>32524</v>
      </c>
      <c r="O5687" t="s">
        <v>32525</v>
      </c>
      <c r="P5687">
        <v>0</v>
      </c>
      <c r="Q5687">
        <v>4</v>
      </c>
      <c r="R5687" t="s">
        <v>32531</v>
      </c>
      <c r="S5687" t="s">
        <v>32586</v>
      </c>
      <c r="T5687" t="s">
        <v>33185</v>
      </c>
      <c r="U5687" t="s">
        <v>38427</v>
      </c>
      <c r="V5687" t="s">
        <v>43053</v>
      </c>
      <c r="W5687" t="s">
        <v>31185</v>
      </c>
      <c r="X5687" t="s">
        <v>32532</v>
      </c>
    </row>
    <row r="5688" spans="1:24">
      <c r="A5688">
        <f>HYPERLINK("https://www.philgeps.gov.ph/GEPSNONPILOT/Tender/SplashBidNoticeAbstractUI.aspx?menuIndex=3&amp;refID=7040616&amp;Result=3","7040616")</f>
        <v>0</v>
      </c>
      <c r="B5688" t="s">
        <v>374</v>
      </c>
      <c r="C5688" t="s">
        <v>8120</v>
      </c>
      <c r="E5688" t="s">
        <v>18147</v>
      </c>
      <c r="F5688" t="s">
        <v>22436</v>
      </c>
      <c r="G5688" t="s">
        <v>22444</v>
      </c>
      <c r="H5688" t="s">
        <v>22452</v>
      </c>
      <c r="I5688" t="s">
        <v>22488</v>
      </c>
      <c r="J5688" t="s">
        <v>26312</v>
      </c>
      <c r="K5688" t="s">
        <v>29338</v>
      </c>
      <c r="M5688" t="s">
        <v>29952</v>
      </c>
      <c r="N5688" t="s">
        <v>32524</v>
      </c>
      <c r="O5688" t="s">
        <v>32525</v>
      </c>
      <c r="P5688">
        <v>0</v>
      </c>
      <c r="Q5688">
        <v>3</v>
      </c>
      <c r="R5688" t="s">
        <v>32531</v>
      </c>
      <c r="S5688" t="s">
        <v>32586</v>
      </c>
      <c r="T5688" t="s">
        <v>33188</v>
      </c>
      <c r="U5688" t="s">
        <v>38428</v>
      </c>
      <c r="V5688" t="s">
        <v>43043</v>
      </c>
      <c r="W5688" t="s">
        <v>29952</v>
      </c>
      <c r="X5688" t="s">
        <v>32532</v>
      </c>
    </row>
    <row r="5689" spans="1:24">
      <c r="A5689">
        <f>HYPERLINK("https://www.philgeps.gov.ph/GEPSNONPILOT/Tender/SplashBidNoticeAbstractUI.aspx?menuIndex=3&amp;refID=7040637&amp;Result=3","7040637")</f>
        <v>0</v>
      </c>
      <c r="B5689" t="s">
        <v>1846</v>
      </c>
      <c r="C5689" t="s">
        <v>8121</v>
      </c>
      <c r="D5689" t="s">
        <v>13011</v>
      </c>
      <c r="E5689" t="s">
        <v>18148</v>
      </c>
      <c r="F5689" t="s">
        <v>22436</v>
      </c>
      <c r="G5689" t="s">
        <v>22444</v>
      </c>
      <c r="H5689" t="s">
        <v>22454</v>
      </c>
      <c r="I5689" t="s">
        <v>7738</v>
      </c>
      <c r="J5689" t="s">
        <v>22893</v>
      </c>
      <c r="K5689" t="s">
        <v>29337</v>
      </c>
      <c r="M5689" t="s">
        <v>31562</v>
      </c>
      <c r="N5689" t="s">
        <v>32524</v>
      </c>
      <c r="O5689" t="s">
        <v>32525</v>
      </c>
      <c r="P5689">
        <v>0</v>
      </c>
      <c r="Q5689">
        <v>0</v>
      </c>
      <c r="R5689" t="s">
        <v>32531</v>
      </c>
      <c r="S5689" t="s">
        <v>32586</v>
      </c>
      <c r="T5689" t="s">
        <v>33203</v>
      </c>
      <c r="U5689" t="s">
        <v>38429</v>
      </c>
      <c r="W5689" t="s">
        <v>31562</v>
      </c>
      <c r="X5689" t="s">
        <v>32532</v>
      </c>
    </row>
    <row r="5690" spans="1:24">
      <c r="A5690">
        <f>HYPERLINK("https://www.philgeps.gov.ph/GEPSNONPILOT/Tender/SplashBidNoticeAbstractUI.aspx?menuIndex=3&amp;refID=7040633&amp;Result=3","7040633")</f>
        <v>0</v>
      </c>
      <c r="B5690" t="s">
        <v>1819</v>
      </c>
      <c r="C5690" t="s">
        <v>8122</v>
      </c>
      <c r="D5690" t="s">
        <v>13006</v>
      </c>
      <c r="E5690" t="s">
        <v>18149</v>
      </c>
      <c r="F5690" t="s">
        <v>22436</v>
      </c>
      <c r="G5690" t="s">
        <v>22444</v>
      </c>
      <c r="H5690" t="s">
        <v>22454</v>
      </c>
      <c r="I5690" t="s">
        <v>22501</v>
      </c>
      <c r="J5690" t="s">
        <v>26313</v>
      </c>
      <c r="K5690" t="s">
        <v>29344</v>
      </c>
      <c r="M5690" t="s">
        <v>31533</v>
      </c>
      <c r="N5690" t="s">
        <v>32524</v>
      </c>
      <c r="O5690" t="s">
        <v>32525</v>
      </c>
      <c r="P5690">
        <v>0</v>
      </c>
      <c r="Q5690">
        <v>6</v>
      </c>
      <c r="R5690" t="s">
        <v>32531</v>
      </c>
      <c r="S5690" t="s">
        <v>32586</v>
      </c>
      <c r="T5690" t="s">
        <v>33253</v>
      </c>
      <c r="U5690" t="s">
        <v>38430</v>
      </c>
      <c r="V5690" t="s">
        <v>43027</v>
      </c>
      <c r="W5690" t="s">
        <v>31533</v>
      </c>
      <c r="X5690" t="s">
        <v>32532</v>
      </c>
    </row>
    <row r="5691" spans="1:24">
      <c r="A5691">
        <f>HYPERLINK("https://www.philgeps.gov.ph/GEPSNONPILOT/Tender/SplashBidNoticeAbstractUI.aspx?menuIndex=3&amp;refID=7040619&amp;Result=3","7040619")</f>
        <v>0</v>
      </c>
      <c r="B5691" t="s">
        <v>1819</v>
      </c>
      <c r="C5691" t="s">
        <v>8123</v>
      </c>
      <c r="D5691" t="s">
        <v>13006</v>
      </c>
      <c r="E5691" t="s">
        <v>18150</v>
      </c>
      <c r="F5691" t="s">
        <v>22436</v>
      </c>
      <c r="G5691" t="s">
        <v>22444</v>
      </c>
      <c r="H5691" t="s">
        <v>22454</v>
      </c>
      <c r="I5691" t="s">
        <v>22501</v>
      </c>
      <c r="J5691" t="s">
        <v>26314</v>
      </c>
      <c r="K5691" t="s">
        <v>29344</v>
      </c>
      <c r="M5691" t="s">
        <v>31533</v>
      </c>
      <c r="N5691" t="s">
        <v>32524</v>
      </c>
      <c r="O5691" t="s">
        <v>32525</v>
      </c>
      <c r="P5691">
        <v>0</v>
      </c>
      <c r="Q5691">
        <v>6</v>
      </c>
      <c r="R5691" t="s">
        <v>32531</v>
      </c>
      <c r="S5691" t="s">
        <v>32586</v>
      </c>
      <c r="T5691" t="s">
        <v>33253</v>
      </c>
      <c r="U5691" t="s">
        <v>38431</v>
      </c>
      <c r="V5691" t="s">
        <v>43027</v>
      </c>
      <c r="W5691" t="s">
        <v>31533</v>
      </c>
      <c r="X5691" t="s">
        <v>32532</v>
      </c>
    </row>
    <row r="5692" spans="1:24">
      <c r="A5692">
        <f>HYPERLINK("https://www.philgeps.gov.ph/GEPSNONPILOT/Tender/SplashBidNoticeAbstractUI.aspx?menuIndex=3&amp;refID=7040621&amp;Result=3","7040621")</f>
        <v>0</v>
      </c>
      <c r="B5692" t="s">
        <v>374</v>
      </c>
      <c r="C5692" t="s">
        <v>8124</v>
      </c>
      <c r="E5692" t="s">
        <v>18151</v>
      </c>
      <c r="F5692" t="s">
        <v>22436</v>
      </c>
      <c r="G5692" t="s">
        <v>22444</v>
      </c>
      <c r="H5692" t="s">
        <v>22452</v>
      </c>
      <c r="I5692" t="s">
        <v>22461</v>
      </c>
      <c r="J5692" t="s">
        <v>26315</v>
      </c>
      <c r="K5692" t="s">
        <v>29338</v>
      </c>
      <c r="M5692" t="s">
        <v>29952</v>
      </c>
      <c r="N5692" t="s">
        <v>32524</v>
      </c>
      <c r="O5692" t="s">
        <v>32525</v>
      </c>
      <c r="P5692">
        <v>0</v>
      </c>
      <c r="Q5692">
        <v>2</v>
      </c>
      <c r="R5692" t="s">
        <v>32531</v>
      </c>
      <c r="S5692" t="s">
        <v>32586</v>
      </c>
      <c r="T5692" t="s">
        <v>33188</v>
      </c>
      <c r="U5692" t="s">
        <v>38432</v>
      </c>
      <c r="V5692" t="s">
        <v>43043</v>
      </c>
      <c r="W5692" t="s">
        <v>29952</v>
      </c>
      <c r="X5692" t="s">
        <v>32532</v>
      </c>
    </row>
    <row r="5693" spans="1:24">
      <c r="A5693">
        <f>HYPERLINK("https://www.philgeps.gov.ph/GEPSNONPILOT/Tender/SplashBidNoticeAbstractUI.aspx?menuIndex=3&amp;refID=7040612&amp;Result=3","7040612")</f>
        <v>0</v>
      </c>
      <c r="B5693" t="s">
        <v>1830</v>
      </c>
      <c r="C5693" t="s">
        <v>8125</v>
      </c>
      <c r="D5693" t="s">
        <v>12990</v>
      </c>
      <c r="E5693" t="s">
        <v>18152</v>
      </c>
      <c r="F5693" t="s">
        <v>22436</v>
      </c>
      <c r="G5693" t="s">
        <v>22444</v>
      </c>
      <c r="H5693" t="s">
        <v>22452</v>
      </c>
      <c r="I5693" t="s">
        <v>2993</v>
      </c>
      <c r="J5693" t="s">
        <v>26316</v>
      </c>
      <c r="K5693" t="s">
        <v>29334</v>
      </c>
      <c r="M5693" t="s">
        <v>31545</v>
      </c>
      <c r="N5693" t="s">
        <v>32524</v>
      </c>
      <c r="O5693" t="s">
        <v>32525</v>
      </c>
      <c r="Q5693">
        <v>4</v>
      </c>
      <c r="R5693" t="s">
        <v>32531</v>
      </c>
      <c r="S5693" t="s">
        <v>32612</v>
      </c>
      <c r="T5693" t="s">
        <v>33345</v>
      </c>
      <c r="U5693" t="s">
        <v>38433</v>
      </c>
      <c r="W5693" t="s">
        <v>31545</v>
      </c>
      <c r="X5693" t="s">
        <v>32532</v>
      </c>
    </row>
    <row r="5694" spans="1:24">
      <c r="A5694">
        <f>HYPERLINK("https://www.philgeps.gov.ph/GEPSNONPILOT/Tender/SplashBidNoticeAbstractUI.aspx?menuIndex=3&amp;refID=7040628&amp;Result=3","7040628")</f>
        <v>0</v>
      </c>
      <c r="B5694" t="s">
        <v>1819</v>
      </c>
      <c r="C5694" t="s">
        <v>8126</v>
      </c>
      <c r="D5694" t="s">
        <v>13006</v>
      </c>
      <c r="E5694" t="s">
        <v>18153</v>
      </c>
      <c r="F5694" t="s">
        <v>22436</v>
      </c>
      <c r="G5694" t="s">
        <v>22444</v>
      </c>
      <c r="H5694" t="s">
        <v>22454</v>
      </c>
      <c r="I5694" t="s">
        <v>22501</v>
      </c>
      <c r="J5694" t="s">
        <v>26317</v>
      </c>
      <c r="K5694" t="s">
        <v>29344</v>
      </c>
      <c r="M5694" t="s">
        <v>31533</v>
      </c>
      <c r="N5694" t="s">
        <v>32524</v>
      </c>
      <c r="O5694" t="s">
        <v>32525</v>
      </c>
      <c r="P5694">
        <v>0</v>
      </c>
      <c r="Q5694">
        <v>6</v>
      </c>
      <c r="R5694" t="s">
        <v>32531</v>
      </c>
      <c r="S5694" t="s">
        <v>32586</v>
      </c>
      <c r="T5694" t="s">
        <v>33253</v>
      </c>
      <c r="U5694" t="s">
        <v>38434</v>
      </c>
      <c r="V5694" t="s">
        <v>43027</v>
      </c>
      <c r="W5694" t="s">
        <v>31533</v>
      </c>
      <c r="X5694" t="s">
        <v>32532</v>
      </c>
    </row>
    <row r="5695" spans="1:24">
      <c r="A5695">
        <f>HYPERLINK("https://www.philgeps.gov.ph/GEPSNONPILOT/Tender/SplashBidNoticeAbstractUI.aspx?menuIndex=3&amp;refID=7040638&amp;Result=3","7040638")</f>
        <v>0</v>
      </c>
      <c r="B5695" t="s">
        <v>1847</v>
      </c>
      <c r="C5695" t="s">
        <v>4759</v>
      </c>
      <c r="D5695" t="s">
        <v>12988</v>
      </c>
      <c r="E5695" t="s">
        <v>18154</v>
      </c>
      <c r="F5695" t="s">
        <v>22436</v>
      </c>
      <c r="G5695" t="s">
        <v>22444</v>
      </c>
      <c r="H5695" t="s">
        <v>22452</v>
      </c>
      <c r="I5695" t="s">
        <v>3840</v>
      </c>
      <c r="J5695" t="s">
        <v>26318</v>
      </c>
      <c r="K5695" t="s">
        <v>29341</v>
      </c>
      <c r="M5695" t="s">
        <v>31563</v>
      </c>
      <c r="N5695" t="s">
        <v>32524</v>
      </c>
      <c r="O5695" t="s">
        <v>32525</v>
      </c>
      <c r="P5695">
        <v>0</v>
      </c>
      <c r="Q5695">
        <v>3</v>
      </c>
      <c r="R5695" t="s">
        <v>32531</v>
      </c>
      <c r="S5695" t="s">
        <v>32586</v>
      </c>
      <c r="T5695" t="s">
        <v>33423</v>
      </c>
      <c r="U5695" t="s">
        <v>38435</v>
      </c>
      <c r="W5695" t="s">
        <v>31563</v>
      </c>
      <c r="X5695" t="s">
        <v>32532</v>
      </c>
    </row>
    <row r="5696" spans="1:24">
      <c r="A5696">
        <f>HYPERLINK("https://www.philgeps.gov.ph/GEPSNONPILOT/Tender/SplashBidNoticeAbstractUI.aspx?menuIndex=3&amp;refID=7040635&amp;Result=3","7040635")</f>
        <v>0</v>
      </c>
      <c r="B5696" t="s">
        <v>1819</v>
      </c>
      <c r="C5696" t="s">
        <v>8127</v>
      </c>
      <c r="D5696" t="s">
        <v>13006</v>
      </c>
      <c r="E5696" t="s">
        <v>18155</v>
      </c>
      <c r="F5696" t="s">
        <v>22436</v>
      </c>
      <c r="G5696" t="s">
        <v>22444</v>
      </c>
      <c r="H5696" t="s">
        <v>22454</v>
      </c>
      <c r="I5696" t="s">
        <v>22501</v>
      </c>
      <c r="J5696" t="s">
        <v>26319</v>
      </c>
      <c r="K5696" t="s">
        <v>29344</v>
      </c>
      <c r="M5696" t="s">
        <v>31533</v>
      </c>
      <c r="N5696" t="s">
        <v>32524</v>
      </c>
      <c r="O5696" t="s">
        <v>32525</v>
      </c>
      <c r="P5696">
        <v>0</v>
      </c>
      <c r="Q5696">
        <v>5</v>
      </c>
      <c r="R5696" t="s">
        <v>32531</v>
      </c>
      <c r="S5696" t="s">
        <v>32586</v>
      </c>
      <c r="T5696" t="s">
        <v>33253</v>
      </c>
      <c r="U5696" t="s">
        <v>38436</v>
      </c>
      <c r="V5696" t="s">
        <v>43027</v>
      </c>
      <c r="W5696" t="s">
        <v>31533</v>
      </c>
      <c r="X5696" t="s">
        <v>32532</v>
      </c>
    </row>
    <row r="5697" spans="1:24">
      <c r="A5697">
        <f>HYPERLINK("https://www.philgeps.gov.ph/GEPSNONPILOT/Tender/SplashBidNoticeAbstractUI.aspx?menuIndex=3&amp;refID=7040654&amp;Result=3","7040654")</f>
        <v>0</v>
      </c>
      <c r="B5697" t="s">
        <v>1847</v>
      </c>
      <c r="C5697" t="s">
        <v>8128</v>
      </c>
      <c r="D5697" t="s">
        <v>12988</v>
      </c>
      <c r="E5697" t="s">
        <v>18156</v>
      </c>
      <c r="F5697" t="s">
        <v>22436</v>
      </c>
      <c r="G5697" t="s">
        <v>22444</v>
      </c>
      <c r="H5697" t="s">
        <v>22453</v>
      </c>
      <c r="I5697" t="s">
        <v>22539</v>
      </c>
      <c r="J5697" t="s">
        <v>26320</v>
      </c>
      <c r="K5697" t="s">
        <v>29335</v>
      </c>
      <c r="M5697" t="s">
        <v>31563</v>
      </c>
      <c r="N5697" t="s">
        <v>32524</v>
      </c>
      <c r="O5697" t="s">
        <v>32525</v>
      </c>
      <c r="P5697">
        <v>0</v>
      </c>
      <c r="Q5697">
        <v>1</v>
      </c>
      <c r="R5697" t="s">
        <v>32531</v>
      </c>
      <c r="S5697" t="s">
        <v>32586</v>
      </c>
      <c r="T5697" t="s">
        <v>33423</v>
      </c>
      <c r="U5697" t="s">
        <v>38437</v>
      </c>
      <c r="W5697" t="s">
        <v>31563</v>
      </c>
      <c r="X5697" t="s">
        <v>32532</v>
      </c>
    </row>
    <row r="5698" spans="1:24">
      <c r="A5698">
        <f>HYPERLINK("https://www.philgeps.gov.ph/GEPSNONPILOT/Tender/SplashBidNoticeAbstractUI.aspx?menuIndex=3&amp;refID=7040630&amp;Result=3","7040630")</f>
        <v>0</v>
      </c>
      <c r="B5698" t="s">
        <v>1848</v>
      </c>
      <c r="C5698" t="s">
        <v>8129</v>
      </c>
      <c r="D5698" t="s">
        <v>13001</v>
      </c>
      <c r="E5698" t="s">
        <v>13701</v>
      </c>
      <c r="F5698" t="s">
        <v>22436</v>
      </c>
      <c r="G5698" t="s">
        <v>22446</v>
      </c>
      <c r="H5698" t="s">
        <v>22452</v>
      </c>
      <c r="I5698" t="s">
        <v>22469</v>
      </c>
      <c r="J5698" t="s">
        <v>23613</v>
      </c>
      <c r="K5698" t="s">
        <v>29336</v>
      </c>
      <c r="M5698" t="s">
        <v>31564</v>
      </c>
      <c r="N5698" t="s">
        <v>32524</v>
      </c>
      <c r="O5698" t="s">
        <v>32525</v>
      </c>
      <c r="P5698">
        <v>0</v>
      </c>
      <c r="Q5698">
        <v>1</v>
      </c>
      <c r="R5698" t="s">
        <v>32531</v>
      </c>
      <c r="S5698" t="s">
        <v>32586</v>
      </c>
      <c r="T5698" t="s">
        <v>33328</v>
      </c>
      <c r="U5698" t="s">
        <v>38438</v>
      </c>
      <c r="W5698" t="s">
        <v>31564</v>
      </c>
      <c r="X5698" t="s">
        <v>32532</v>
      </c>
    </row>
    <row r="5699" spans="1:24">
      <c r="A5699">
        <f>HYPERLINK("https://www.philgeps.gov.ph/GEPSNONPILOT/Tender/SplashBidNoticeAbstractUI.aspx?menuIndex=3&amp;refID=7040649&amp;Result=3","7040649")</f>
        <v>0</v>
      </c>
      <c r="B5699" t="s">
        <v>667</v>
      </c>
      <c r="C5699" t="s">
        <v>8130</v>
      </c>
      <c r="E5699" t="s">
        <v>18157</v>
      </c>
      <c r="F5699" t="s">
        <v>22436</v>
      </c>
      <c r="G5699" t="s">
        <v>22444</v>
      </c>
      <c r="H5699" t="s">
        <v>22452</v>
      </c>
      <c r="I5699" t="s">
        <v>22456</v>
      </c>
      <c r="J5699" t="s">
        <v>26321</v>
      </c>
      <c r="K5699" t="s">
        <v>29338</v>
      </c>
      <c r="M5699" t="s">
        <v>31565</v>
      </c>
      <c r="N5699" t="s">
        <v>32524</v>
      </c>
      <c r="O5699" t="s">
        <v>32525</v>
      </c>
      <c r="P5699">
        <v>0</v>
      </c>
      <c r="Q5699">
        <v>11</v>
      </c>
      <c r="R5699" t="s">
        <v>32531</v>
      </c>
      <c r="S5699" t="s">
        <v>32586</v>
      </c>
      <c r="T5699" t="s">
        <v>33253</v>
      </c>
      <c r="U5699" t="s">
        <v>38439</v>
      </c>
      <c r="W5699" t="s">
        <v>31565</v>
      </c>
      <c r="X5699" t="s">
        <v>32532</v>
      </c>
    </row>
    <row r="5700" spans="1:24">
      <c r="A5700">
        <f>HYPERLINK("https://www.philgeps.gov.ph/GEPSNONPILOT/Tender/SplashBidNoticeAbstractUI.aspx?menuIndex=3&amp;refID=7040626&amp;Result=3","7040626")</f>
        <v>0</v>
      </c>
      <c r="B5700" t="s">
        <v>374</v>
      </c>
      <c r="C5700" t="s">
        <v>4652</v>
      </c>
      <c r="E5700" t="s">
        <v>18158</v>
      </c>
      <c r="F5700" t="s">
        <v>22436</v>
      </c>
      <c r="G5700" t="s">
        <v>22444</v>
      </c>
      <c r="H5700" t="s">
        <v>22452</v>
      </c>
      <c r="I5700" t="s">
        <v>3529</v>
      </c>
      <c r="J5700" t="s">
        <v>26322</v>
      </c>
      <c r="K5700" t="s">
        <v>29338</v>
      </c>
      <c r="M5700" t="s">
        <v>29952</v>
      </c>
      <c r="N5700" t="s">
        <v>32524</v>
      </c>
      <c r="O5700" t="s">
        <v>32525</v>
      </c>
      <c r="P5700">
        <v>0</v>
      </c>
      <c r="Q5700">
        <v>3</v>
      </c>
      <c r="R5700" t="s">
        <v>32531</v>
      </c>
      <c r="S5700" t="s">
        <v>32586</v>
      </c>
      <c r="T5700" t="s">
        <v>33188</v>
      </c>
      <c r="U5700" t="s">
        <v>38440</v>
      </c>
      <c r="V5700" t="s">
        <v>43043</v>
      </c>
      <c r="W5700" t="s">
        <v>29952</v>
      </c>
      <c r="X5700" t="s">
        <v>32532</v>
      </c>
    </row>
    <row r="5701" spans="1:24">
      <c r="A5701">
        <f>HYPERLINK("https://www.philgeps.gov.ph/GEPSNONPILOT/Tender/SplashBidNoticeAbstractUI.aspx?menuIndex=3&amp;refID=7040655&amp;Result=3","7040655")</f>
        <v>0</v>
      </c>
      <c r="B5701" t="s">
        <v>1849</v>
      </c>
      <c r="C5701" t="s">
        <v>8131</v>
      </c>
      <c r="D5701" t="s">
        <v>13041</v>
      </c>
      <c r="E5701" t="s">
        <v>18159</v>
      </c>
      <c r="F5701" t="s">
        <v>22436</v>
      </c>
      <c r="G5701" t="s">
        <v>22443</v>
      </c>
      <c r="H5701" t="s">
        <v>22452</v>
      </c>
      <c r="I5701" t="s">
        <v>7738</v>
      </c>
      <c r="J5701" t="s">
        <v>23467</v>
      </c>
      <c r="K5701" t="s">
        <v>29340</v>
      </c>
      <c r="M5701" t="s">
        <v>31566</v>
      </c>
      <c r="N5701" t="s">
        <v>32524</v>
      </c>
      <c r="O5701" t="s">
        <v>32525</v>
      </c>
      <c r="P5701">
        <v>0</v>
      </c>
      <c r="Q5701">
        <v>0</v>
      </c>
      <c r="R5701" t="s">
        <v>32531</v>
      </c>
      <c r="S5701" t="s">
        <v>32586</v>
      </c>
      <c r="T5701" t="s">
        <v>33167</v>
      </c>
      <c r="U5701" t="s">
        <v>38441</v>
      </c>
      <c r="W5701" t="s">
        <v>31566</v>
      </c>
      <c r="X5701" t="s">
        <v>32532</v>
      </c>
    </row>
    <row r="5702" spans="1:24">
      <c r="A5702">
        <f>HYPERLINK("https://www.philgeps.gov.ph/GEPSNONPILOT/Tender/SplashBidNoticeAbstractUI.aspx?menuIndex=3&amp;refID=7040645&amp;Result=3","7040645")</f>
        <v>0</v>
      </c>
      <c r="B5702" t="s">
        <v>1847</v>
      </c>
      <c r="C5702" t="s">
        <v>8132</v>
      </c>
      <c r="D5702" t="s">
        <v>12988</v>
      </c>
      <c r="E5702" t="s">
        <v>18160</v>
      </c>
      <c r="F5702" t="s">
        <v>22436</v>
      </c>
      <c r="G5702" t="s">
        <v>22444</v>
      </c>
      <c r="H5702" t="s">
        <v>22452</v>
      </c>
      <c r="I5702" t="s">
        <v>22463</v>
      </c>
      <c r="J5702" t="s">
        <v>26323</v>
      </c>
      <c r="K5702" t="s">
        <v>29341</v>
      </c>
      <c r="M5702" t="s">
        <v>31563</v>
      </c>
      <c r="N5702" t="s">
        <v>32524</v>
      </c>
      <c r="O5702" t="s">
        <v>32525</v>
      </c>
      <c r="P5702">
        <v>0</v>
      </c>
      <c r="Q5702">
        <v>11</v>
      </c>
      <c r="R5702" t="s">
        <v>32531</v>
      </c>
      <c r="S5702" t="s">
        <v>32586</v>
      </c>
      <c r="T5702" t="s">
        <v>33423</v>
      </c>
      <c r="U5702" t="s">
        <v>38442</v>
      </c>
      <c r="W5702" t="s">
        <v>31563</v>
      </c>
      <c r="X5702" t="s">
        <v>32532</v>
      </c>
    </row>
    <row r="5703" spans="1:24">
      <c r="A5703">
        <f>HYPERLINK("https://www.philgeps.gov.ph/GEPSNONPILOT/Tender/SplashBidNoticeAbstractUI.aspx?menuIndex=3&amp;refID=7040650&amp;Result=3","7040650")</f>
        <v>0</v>
      </c>
      <c r="B5703" t="s">
        <v>1819</v>
      </c>
      <c r="C5703" t="s">
        <v>8133</v>
      </c>
      <c r="D5703" t="s">
        <v>13006</v>
      </c>
      <c r="E5703" t="s">
        <v>18161</v>
      </c>
      <c r="F5703" t="s">
        <v>22436</v>
      </c>
      <c r="G5703" t="s">
        <v>22444</v>
      </c>
      <c r="H5703" t="s">
        <v>22454</v>
      </c>
      <c r="I5703" t="s">
        <v>22501</v>
      </c>
      <c r="J5703" t="s">
        <v>26324</v>
      </c>
      <c r="K5703" t="s">
        <v>29344</v>
      </c>
      <c r="M5703" t="s">
        <v>31533</v>
      </c>
      <c r="N5703" t="s">
        <v>32524</v>
      </c>
      <c r="O5703" t="s">
        <v>32525</v>
      </c>
      <c r="P5703">
        <v>0</v>
      </c>
      <c r="Q5703">
        <v>7</v>
      </c>
      <c r="R5703" t="s">
        <v>32531</v>
      </c>
      <c r="S5703" t="s">
        <v>32586</v>
      </c>
      <c r="T5703" t="s">
        <v>33253</v>
      </c>
      <c r="U5703" t="s">
        <v>38443</v>
      </c>
      <c r="V5703" t="s">
        <v>43027</v>
      </c>
      <c r="W5703" t="s">
        <v>31533</v>
      </c>
      <c r="X5703" t="s">
        <v>32532</v>
      </c>
    </row>
    <row r="5704" spans="1:24">
      <c r="A5704">
        <f>HYPERLINK("https://www.philgeps.gov.ph/GEPSNONPILOT/Tender/SplashBidNoticeAbstractUI.aspx?menuIndex=3&amp;refID=7040651&amp;Result=3","7040651")</f>
        <v>0</v>
      </c>
      <c r="B5704" t="s">
        <v>1510</v>
      </c>
      <c r="C5704" t="s">
        <v>8134</v>
      </c>
      <c r="D5704" t="s">
        <v>12988</v>
      </c>
      <c r="E5704" t="s">
        <v>18162</v>
      </c>
      <c r="F5704" t="s">
        <v>22436</v>
      </c>
      <c r="G5704" t="s">
        <v>22443</v>
      </c>
      <c r="H5704" t="s">
        <v>22455</v>
      </c>
      <c r="I5704" t="s">
        <v>22455</v>
      </c>
      <c r="J5704" t="s">
        <v>26325</v>
      </c>
      <c r="K5704" t="s">
        <v>29329</v>
      </c>
      <c r="M5704" t="s">
        <v>31185</v>
      </c>
      <c r="N5704" t="s">
        <v>32524</v>
      </c>
      <c r="O5704" t="s">
        <v>32525</v>
      </c>
      <c r="P5704">
        <v>0</v>
      </c>
      <c r="Q5704">
        <v>4</v>
      </c>
      <c r="R5704" t="s">
        <v>32531</v>
      </c>
      <c r="S5704" t="s">
        <v>32586</v>
      </c>
      <c r="T5704" t="s">
        <v>33185</v>
      </c>
      <c r="U5704" t="s">
        <v>38444</v>
      </c>
      <c r="V5704" t="s">
        <v>43054</v>
      </c>
      <c r="W5704" t="s">
        <v>31185</v>
      </c>
      <c r="X5704" t="s">
        <v>32532</v>
      </c>
    </row>
    <row r="5705" spans="1:24">
      <c r="A5705">
        <f>HYPERLINK("https://www.philgeps.gov.ph/GEPSNONPILOT/Tender/SplashBidNoticeAbstractUI.aspx?menuIndex=3&amp;refID=7040642&amp;Result=3","7040642")</f>
        <v>0</v>
      </c>
      <c r="B5705" t="s">
        <v>1848</v>
      </c>
      <c r="C5705" t="s">
        <v>8135</v>
      </c>
      <c r="D5705" t="s">
        <v>13001</v>
      </c>
      <c r="E5705" t="s">
        <v>18163</v>
      </c>
      <c r="F5705" t="s">
        <v>22436</v>
      </c>
      <c r="G5705" t="s">
        <v>22446</v>
      </c>
      <c r="H5705" t="s">
        <v>22452</v>
      </c>
      <c r="I5705" t="s">
        <v>22469</v>
      </c>
      <c r="J5705" t="s">
        <v>23120</v>
      </c>
      <c r="K5705" t="s">
        <v>29336</v>
      </c>
      <c r="M5705" t="s">
        <v>31564</v>
      </c>
      <c r="N5705" t="s">
        <v>32524</v>
      </c>
      <c r="O5705" t="s">
        <v>32525</v>
      </c>
      <c r="P5705">
        <v>0</v>
      </c>
      <c r="Q5705">
        <v>4</v>
      </c>
      <c r="R5705" t="s">
        <v>32531</v>
      </c>
      <c r="S5705" t="s">
        <v>32586</v>
      </c>
      <c r="T5705" t="s">
        <v>33328</v>
      </c>
      <c r="U5705" t="s">
        <v>38445</v>
      </c>
      <c r="W5705" t="s">
        <v>31564</v>
      </c>
      <c r="X5705" t="s">
        <v>32532</v>
      </c>
    </row>
    <row r="5706" spans="1:24">
      <c r="A5706">
        <f>HYPERLINK("https://www.philgeps.gov.ph/GEPSNONPILOT/Tender/SplashBidNoticeAbstractUI.aspx?menuIndex=3&amp;refID=7040646&amp;Result=3","7040646")</f>
        <v>0</v>
      </c>
      <c r="B5706" t="s">
        <v>1819</v>
      </c>
      <c r="C5706" t="s">
        <v>8136</v>
      </c>
      <c r="D5706" t="s">
        <v>13006</v>
      </c>
      <c r="E5706" t="s">
        <v>18164</v>
      </c>
      <c r="F5706" t="s">
        <v>22436</v>
      </c>
      <c r="G5706" t="s">
        <v>22444</v>
      </c>
      <c r="H5706" t="s">
        <v>22454</v>
      </c>
      <c r="I5706" t="s">
        <v>22501</v>
      </c>
      <c r="J5706" t="s">
        <v>26326</v>
      </c>
      <c r="K5706" t="s">
        <v>29344</v>
      </c>
      <c r="M5706" t="s">
        <v>31533</v>
      </c>
      <c r="N5706" t="s">
        <v>32524</v>
      </c>
      <c r="O5706" t="s">
        <v>32525</v>
      </c>
      <c r="P5706">
        <v>0</v>
      </c>
      <c r="Q5706">
        <v>7</v>
      </c>
      <c r="R5706" t="s">
        <v>32531</v>
      </c>
      <c r="S5706" t="s">
        <v>32586</v>
      </c>
      <c r="T5706" t="s">
        <v>33253</v>
      </c>
      <c r="U5706" t="s">
        <v>38446</v>
      </c>
      <c r="V5706" t="s">
        <v>43027</v>
      </c>
      <c r="W5706" t="s">
        <v>31533</v>
      </c>
      <c r="X5706" t="s">
        <v>32532</v>
      </c>
    </row>
    <row r="5707" spans="1:24">
      <c r="A5707">
        <f>HYPERLINK("https://www.philgeps.gov.ph/GEPSNONPILOT/Tender/SplashBidNoticeAbstractUI.aspx?menuIndex=3&amp;refID=7040653&amp;Result=3","7040653")</f>
        <v>0</v>
      </c>
      <c r="B5707" t="s">
        <v>1848</v>
      </c>
      <c r="C5707" t="s">
        <v>8137</v>
      </c>
      <c r="D5707" t="s">
        <v>13001</v>
      </c>
      <c r="E5707" t="s">
        <v>18165</v>
      </c>
      <c r="F5707" t="s">
        <v>22436</v>
      </c>
      <c r="G5707" t="s">
        <v>22446</v>
      </c>
      <c r="H5707" t="s">
        <v>22452</v>
      </c>
      <c r="I5707" t="s">
        <v>22469</v>
      </c>
      <c r="J5707" t="s">
        <v>24003</v>
      </c>
      <c r="K5707" t="s">
        <v>29336</v>
      </c>
      <c r="M5707" t="s">
        <v>31564</v>
      </c>
      <c r="N5707" t="s">
        <v>32524</v>
      </c>
      <c r="O5707" t="s">
        <v>32525</v>
      </c>
      <c r="P5707">
        <v>0</v>
      </c>
      <c r="Q5707">
        <v>3</v>
      </c>
      <c r="R5707" t="s">
        <v>32531</v>
      </c>
      <c r="S5707" t="s">
        <v>32586</v>
      </c>
      <c r="T5707" t="s">
        <v>33328</v>
      </c>
      <c r="U5707" t="s">
        <v>38447</v>
      </c>
      <c r="W5707" t="s">
        <v>31564</v>
      </c>
      <c r="X5707" t="s">
        <v>32532</v>
      </c>
    </row>
    <row r="5708" spans="1:24">
      <c r="A5708">
        <f>HYPERLINK("https://www.philgeps.gov.ph/GEPSNONPILOT/Tender/SplashBidNoticeAbstractUI.aspx?menuIndex=3&amp;refID=7040660&amp;Result=3","7040660")</f>
        <v>0</v>
      </c>
      <c r="B5708" t="s">
        <v>1847</v>
      </c>
      <c r="C5708" t="s">
        <v>8128</v>
      </c>
      <c r="D5708" t="s">
        <v>12988</v>
      </c>
      <c r="E5708" t="s">
        <v>18166</v>
      </c>
      <c r="F5708" t="s">
        <v>22436</v>
      </c>
      <c r="G5708" t="s">
        <v>22444</v>
      </c>
      <c r="H5708" t="s">
        <v>22453</v>
      </c>
      <c r="I5708" t="s">
        <v>22539</v>
      </c>
      <c r="J5708" t="s">
        <v>26327</v>
      </c>
      <c r="K5708" t="s">
        <v>29335</v>
      </c>
      <c r="M5708" t="s">
        <v>31563</v>
      </c>
      <c r="N5708" t="s">
        <v>32524</v>
      </c>
      <c r="O5708" t="s">
        <v>32525</v>
      </c>
      <c r="P5708">
        <v>0</v>
      </c>
      <c r="Q5708">
        <v>1</v>
      </c>
      <c r="R5708" t="s">
        <v>32531</v>
      </c>
      <c r="S5708" t="s">
        <v>32586</v>
      </c>
      <c r="T5708" t="s">
        <v>33423</v>
      </c>
      <c r="U5708" t="s">
        <v>38448</v>
      </c>
      <c r="W5708" t="s">
        <v>31563</v>
      </c>
      <c r="X5708" t="s">
        <v>32532</v>
      </c>
    </row>
    <row r="5709" spans="1:24">
      <c r="A5709">
        <f>HYPERLINK("https://www.philgeps.gov.ph/GEPSNONPILOT/Tender/SplashBidNoticeAbstractUI.aspx?menuIndex=3&amp;refID=7040664&amp;Result=3","7040664")</f>
        <v>0</v>
      </c>
      <c r="B5709" t="s">
        <v>1510</v>
      </c>
      <c r="C5709" t="s">
        <v>8138</v>
      </c>
      <c r="D5709" t="s">
        <v>12988</v>
      </c>
      <c r="E5709" t="s">
        <v>18167</v>
      </c>
      <c r="F5709" t="s">
        <v>22436</v>
      </c>
      <c r="G5709" t="s">
        <v>22443</v>
      </c>
      <c r="H5709" t="s">
        <v>22455</v>
      </c>
      <c r="I5709" t="s">
        <v>22455</v>
      </c>
      <c r="J5709" t="s">
        <v>26328</v>
      </c>
      <c r="K5709" t="s">
        <v>29329</v>
      </c>
      <c r="M5709" t="s">
        <v>31185</v>
      </c>
      <c r="N5709" t="s">
        <v>32524</v>
      </c>
      <c r="O5709" t="s">
        <v>32525</v>
      </c>
      <c r="P5709">
        <v>0</v>
      </c>
      <c r="Q5709">
        <v>4</v>
      </c>
      <c r="R5709" t="s">
        <v>32531</v>
      </c>
      <c r="S5709" t="s">
        <v>32586</v>
      </c>
      <c r="T5709" t="s">
        <v>33185</v>
      </c>
      <c r="U5709" t="s">
        <v>38449</v>
      </c>
      <c r="V5709" t="s">
        <v>43055</v>
      </c>
      <c r="W5709" t="s">
        <v>31185</v>
      </c>
      <c r="X5709" t="s">
        <v>32532</v>
      </c>
    </row>
    <row r="5710" spans="1:24">
      <c r="A5710">
        <f>HYPERLINK("https://www.philgeps.gov.ph/GEPSNONPILOT/Tender/SplashBidNoticeAbstractUI.aspx?menuIndex=3&amp;refID=7040644&amp;Result=3","7040644")</f>
        <v>0</v>
      </c>
      <c r="B5710" t="s">
        <v>1510</v>
      </c>
      <c r="C5710" t="s">
        <v>8139</v>
      </c>
      <c r="D5710" t="s">
        <v>12988</v>
      </c>
      <c r="E5710" t="s">
        <v>18168</v>
      </c>
      <c r="F5710" t="s">
        <v>22436</v>
      </c>
      <c r="G5710" t="s">
        <v>22443</v>
      </c>
      <c r="H5710" t="s">
        <v>22455</v>
      </c>
      <c r="I5710" t="s">
        <v>22455</v>
      </c>
      <c r="J5710" t="s">
        <v>26329</v>
      </c>
      <c r="K5710" t="s">
        <v>29329</v>
      </c>
      <c r="M5710" t="s">
        <v>31185</v>
      </c>
      <c r="N5710" t="s">
        <v>32524</v>
      </c>
      <c r="O5710" t="s">
        <v>32525</v>
      </c>
      <c r="P5710">
        <v>0</v>
      </c>
      <c r="Q5710">
        <v>4</v>
      </c>
      <c r="R5710" t="s">
        <v>32531</v>
      </c>
      <c r="S5710" t="s">
        <v>32586</v>
      </c>
      <c r="T5710" t="s">
        <v>33185</v>
      </c>
      <c r="U5710" t="s">
        <v>38450</v>
      </c>
      <c r="V5710" t="s">
        <v>43056</v>
      </c>
      <c r="W5710" t="s">
        <v>31185</v>
      </c>
      <c r="X5710" t="s">
        <v>32532</v>
      </c>
    </row>
    <row r="5711" spans="1:24">
      <c r="A5711">
        <f>HYPERLINK("https://www.philgeps.gov.ph/GEPSNONPILOT/Tender/SplashBidNoticeAbstractUI.aspx?menuIndex=3&amp;refID=7040643&amp;Result=3","7040643")</f>
        <v>0</v>
      </c>
      <c r="B5711" t="s">
        <v>1819</v>
      </c>
      <c r="C5711" t="s">
        <v>8140</v>
      </c>
      <c r="D5711" t="s">
        <v>13006</v>
      </c>
      <c r="E5711" t="s">
        <v>18169</v>
      </c>
      <c r="F5711" t="s">
        <v>22436</v>
      </c>
      <c r="G5711" t="s">
        <v>22444</v>
      </c>
      <c r="H5711" t="s">
        <v>22454</v>
      </c>
      <c r="I5711" t="s">
        <v>22501</v>
      </c>
      <c r="J5711" t="s">
        <v>26330</v>
      </c>
      <c r="K5711" t="s">
        <v>29344</v>
      </c>
      <c r="M5711" t="s">
        <v>31533</v>
      </c>
      <c r="N5711" t="s">
        <v>32524</v>
      </c>
      <c r="O5711" t="s">
        <v>32525</v>
      </c>
      <c r="P5711">
        <v>0</v>
      </c>
      <c r="Q5711">
        <v>6</v>
      </c>
      <c r="R5711" t="s">
        <v>32531</v>
      </c>
      <c r="S5711" t="s">
        <v>32586</v>
      </c>
      <c r="T5711" t="s">
        <v>33253</v>
      </c>
      <c r="U5711" t="s">
        <v>38451</v>
      </c>
      <c r="V5711" t="s">
        <v>43027</v>
      </c>
      <c r="W5711" t="s">
        <v>31533</v>
      </c>
      <c r="X5711" t="s">
        <v>32532</v>
      </c>
    </row>
    <row r="5712" spans="1:24">
      <c r="A5712">
        <f>HYPERLINK("https://www.philgeps.gov.ph/GEPSNONPILOT/Tender/SplashBidNoticeAbstractUI.aspx?menuIndex=3&amp;refID=7040662&amp;Result=3","7040662")</f>
        <v>0</v>
      </c>
      <c r="B5712" t="s">
        <v>1847</v>
      </c>
      <c r="C5712" t="s">
        <v>8128</v>
      </c>
      <c r="D5712" t="s">
        <v>12988</v>
      </c>
      <c r="E5712" t="s">
        <v>18170</v>
      </c>
      <c r="F5712" t="s">
        <v>22436</v>
      </c>
      <c r="G5712" t="s">
        <v>22444</v>
      </c>
      <c r="H5712" t="s">
        <v>22453</v>
      </c>
      <c r="I5712" t="s">
        <v>22539</v>
      </c>
      <c r="J5712" t="s">
        <v>26331</v>
      </c>
      <c r="K5712" t="s">
        <v>29335</v>
      </c>
      <c r="M5712" t="s">
        <v>31563</v>
      </c>
      <c r="N5712" t="s">
        <v>32524</v>
      </c>
      <c r="O5712" t="s">
        <v>32525</v>
      </c>
      <c r="P5712">
        <v>0</v>
      </c>
      <c r="Q5712">
        <v>0</v>
      </c>
      <c r="R5712" t="s">
        <v>32531</v>
      </c>
      <c r="S5712" t="s">
        <v>32586</v>
      </c>
      <c r="T5712" t="s">
        <v>33423</v>
      </c>
      <c r="U5712" t="s">
        <v>38452</v>
      </c>
      <c r="W5712" t="s">
        <v>31563</v>
      </c>
      <c r="X5712" t="s">
        <v>32532</v>
      </c>
    </row>
    <row r="5713" spans="1:24">
      <c r="A5713">
        <f>HYPERLINK("https://www.philgeps.gov.ph/GEPSNONPILOT/Tender/SplashBidNoticeAbstractUI.aspx?menuIndex=3&amp;refID=7040640&amp;Result=3","7040640")</f>
        <v>0</v>
      </c>
      <c r="B5713" t="s">
        <v>1819</v>
      </c>
      <c r="C5713" t="s">
        <v>8141</v>
      </c>
      <c r="D5713" t="s">
        <v>13006</v>
      </c>
      <c r="E5713" t="s">
        <v>18171</v>
      </c>
      <c r="F5713" t="s">
        <v>22436</v>
      </c>
      <c r="G5713" t="s">
        <v>22444</v>
      </c>
      <c r="H5713" t="s">
        <v>22454</v>
      </c>
      <c r="I5713" t="s">
        <v>22501</v>
      </c>
      <c r="J5713" t="s">
        <v>26332</v>
      </c>
      <c r="K5713" t="s">
        <v>29344</v>
      </c>
      <c r="M5713" t="s">
        <v>31533</v>
      </c>
      <c r="N5713" t="s">
        <v>32524</v>
      </c>
      <c r="O5713" t="s">
        <v>32525</v>
      </c>
      <c r="P5713">
        <v>0</v>
      </c>
      <c r="Q5713">
        <v>6</v>
      </c>
      <c r="R5713" t="s">
        <v>32531</v>
      </c>
      <c r="S5713" t="s">
        <v>32586</v>
      </c>
      <c r="T5713" t="s">
        <v>33253</v>
      </c>
      <c r="U5713" t="s">
        <v>38453</v>
      </c>
      <c r="V5713" t="s">
        <v>43027</v>
      </c>
      <c r="W5713" t="s">
        <v>31533</v>
      </c>
      <c r="X5713" t="s">
        <v>32532</v>
      </c>
    </row>
    <row r="5714" spans="1:24">
      <c r="A5714">
        <f>HYPERLINK("https://www.philgeps.gov.ph/GEPSNONPILOT/Tender/SplashBidNoticeAbstractUI.aspx?menuIndex=3&amp;refID=7040658&amp;Result=3","7040658")</f>
        <v>0</v>
      </c>
      <c r="B5714" t="s">
        <v>1850</v>
      </c>
      <c r="C5714" t="s">
        <v>8142</v>
      </c>
      <c r="D5714" t="s">
        <v>12999</v>
      </c>
      <c r="E5714" t="s">
        <v>18172</v>
      </c>
      <c r="F5714" t="s">
        <v>22436</v>
      </c>
      <c r="G5714" t="s">
        <v>22444</v>
      </c>
      <c r="H5714" t="s">
        <v>22454</v>
      </c>
      <c r="I5714" t="s">
        <v>7738</v>
      </c>
      <c r="J5714" t="s">
        <v>23124</v>
      </c>
      <c r="K5714" t="s">
        <v>29335</v>
      </c>
      <c r="M5714" t="s">
        <v>31567</v>
      </c>
      <c r="N5714" t="s">
        <v>32524</v>
      </c>
      <c r="O5714" t="s">
        <v>32525</v>
      </c>
      <c r="P5714">
        <v>0</v>
      </c>
      <c r="Q5714">
        <v>0</v>
      </c>
      <c r="R5714" t="s">
        <v>32531</v>
      </c>
      <c r="S5714" t="s">
        <v>32586</v>
      </c>
      <c r="T5714" t="s">
        <v>33185</v>
      </c>
      <c r="U5714" t="s">
        <v>38454</v>
      </c>
      <c r="W5714" t="s">
        <v>31567</v>
      </c>
      <c r="X5714" t="s">
        <v>32532</v>
      </c>
    </row>
    <row r="5715" spans="1:24">
      <c r="A5715">
        <f>HYPERLINK("https://www.philgeps.gov.ph/GEPSNONPILOT/Tender/SplashBidNoticeAbstractUI.aspx?menuIndex=3&amp;refID=7040666&amp;Result=3","7040666")</f>
        <v>0</v>
      </c>
      <c r="B5715" t="s">
        <v>889</v>
      </c>
      <c r="C5715" t="s">
        <v>4839</v>
      </c>
      <c r="D5715" t="s">
        <v>13042</v>
      </c>
      <c r="E5715" t="s">
        <v>18173</v>
      </c>
      <c r="F5715" t="s">
        <v>22436</v>
      </c>
      <c r="G5715" t="s">
        <v>22443</v>
      </c>
      <c r="H5715" t="s">
        <v>22452</v>
      </c>
      <c r="I5715" t="s">
        <v>22494</v>
      </c>
      <c r="J5715" t="s">
        <v>26333</v>
      </c>
      <c r="K5715" t="s">
        <v>29356</v>
      </c>
      <c r="M5715" t="s">
        <v>30500</v>
      </c>
      <c r="N5715" t="s">
        <v>32524</v>
      </c>
      <c r="O5715" t="s">
        <v>32525</v>
      </c>
      <c r="P5715">
        <v>0</v>
      </c>
      <c r="Q5715">
        <v>1</v>
      </c>
      <c r="R5715" t="s">
        <v>32531</v>
      </c>
      <c r="S5715" t="s">
        <v>32586</v>
      </c>
      <c r="T5715" t="s">
        <v>33310</v>
      </c>
      <c r="U5715" t="s">
        <v>38455</v>
      </c>
      <c r="W5715" t="s">
        <v>30500</v>
      </c>
      <c r="X5715" t="s">
        <v>32532</v>
      </c>
    </row>
    <row r="5716" spans="1:24">
      <c r="A5716">
        <f>HYPERLINK("https://www.philgeps.gov.ph/GEPSNONPILOT/Tender/SplashBidNoticeAbstractUI.aspx?menuIndex=3&amp;refID=7040656&amp;Result=3","7040656")</f>
        <v>0</v>
      </c>
      <c r="B5716" t="s">
        <v>1510</v>
      </c>
      <c r="C5716" t="s">
        <v>8143</v>
      </c>
      <c r="D5716" t="s">
        <v>12988</v>
      </c>
      <c r="E5716" t="s">
        <v>18174</v>
      </c>
      <c r="F5716" t="s">
        <v>22436</v>
      </c>
      <c r="G5716" t="s">
        <v>22443</v>
      </c>
      <c r="H5716" t="s">
        <v>22455</v>
      </c>
      <c r="I5716" t="s">
        <v>22455</v>
      </c>
      <c r="J5716" t="s">
        <v>26310</v>
      </c>
      <c r="K5716" t="s">
        <v>29329</v>
      </c>
      <c r="M5716" t="s">
        <v>31185</v>
      </c>
      <c r="N5716" t="s">
        <v>32524</v>
      </c>
      <c r="O5716" t="s">
        <v>32525</v>
      </c>
      <c r="P5716">
        <v>0</v>
      </c>
      <c r="Q5716">
        <v>4</v>
      </c>
      <c r="R5716" t="s">
        <v>32531</v>
      </c>
      <c r="S5716" t="s">
        <v>32586</v>
      </c>
      <c r="T5716" t="s">
        <v>33185</v>
      </c>
      <c r="U5716" t="s">
        <v>38456</v>
      </c>
      <c r="V5716" t="s">
        <v>43057</v>
      </c>
      <c r="W5716" t="s">
        <v>31185</v>
      </c>
      <c r="X5716" t="s">
        <v>32532</v>
      </c>
    </row>
    <row r="5717" spans="1:24">
      <c r="A5717">
        <f>HYPERLINK("https://www.philgeps.gov.ph/GEPSNONPILOT/Tender/SplashBidNoticeAbstractUI.aspx?menuIndex=3&amp;refID=7040665&amp;Result=3","7040665")</f>
        <v>0</v>
      </c>
      <c r="B5717" t="s">
        <v>1848</v>
      </c>
      <c r="C5717" t="s">
        <v>8144</v>
      </c>
      <c r="D5717" t="s">
        <v>13001</v>
      </c>
      <c r="E5717" t="s">
        <v>18175</v>
      </c>
      <c r="F5717" t="s">
        <v>22436</v>
      </c>
      <c r="G5717" t="s">
        <v>22446</v>
      </c>
      <c r="H5717" t="s">
        <v>22452</v>
      </c>
      <c r="I5717" t="s">
        <v>22469</v>
      </c>
      <c r="J5717" t="s">
        <v>23226</v>
      </c>
      <c r="K5717" t="s">
        <v>29336</v>
      </c>
      <c r="M5717" t="s">
        <v>31564</v>
      </c>
      <c r="N5717" t="s">
        <v>32524</v>
      </c>
      <c r="O5717" t="s">
        <v>32525</v>
      </c>
      <c r="P5717">
        <v>0</v>
      </c>
      <c r="Q5717">
        <v>4</v>
      </c>
      <c r="R5717" t="s">
        <v>32531</v>
      </c>
      <c r="S5717" t="s">
        <v>32586</v>
      </c>
      <c r="T5717" t="s">
        <v>33328</v>
      </c>
      <c r="U5717" t="s">
        <v>38457</v>
      </c>
      <c r="W5717" t="s">
        <v>31564</v>
      </c>
      <c r="X5717" t="s">
        <v>32532</v>
      </c>
    </row>
    <row r="5718" spans="1:24">
      <c r="A5718">
        <f>HYPERLINK("https://www.philgeps.gov.ph/GEPSNONPILOT/Tender/SplashBidNoticeAbstractUI.aspx?menuIndex=3&amp;refID=7040687&amp;Result=3","7040687")</f>
        <v>0</v>
      </c>
      <c r="B5718" t="s">
        <v>1333</v>
      </c>
      <c r="C5718" t="s">
        <v>8145</v>
      </c>
      <c r="D5718" t="s">
        <v>13009</v>
      </c>
      <c r="E5718" t="s">
        <v>18176</v>
      </c>
      <c r="F5718" t="s">
        <v>22436</v>
      </c>
      <c r="G5718" t="s">
        <v>22444</v>
      </c>
      <c r="H5718" t="s">
        <v>22452</v>
      </c>
      <c r="I5718" t="s">
        <v>3381</v>
      </c>
      <c r="J5718" t="s">
        <v>26334</v>
      </c>
      <c r="K5718" t="s">
        <v>29341</v>
      </c>
      <c r="M5718" t="s">
        <v>30988</v>
      </c>
      <c r="N5718" t="s">
        <v>32524</v>
      </c>
      <c r="O5718" t="s">
        <v>32525</v>
      </c>
      <c r="P5718">
        <v>0</v>
      </c>
      <c r="Q5718">
        <v>1</v>
      </c>
      <c r="R5718" t="s">
        <v>32531</v>
      </c>
      <c r="S5718" t="s">
        <v>32586</v>
      </c>
      <c r="T5718" t="s">
        <v>33434</v>
      </c>
      <c r="U5718" t="s">
        <v>38458</v>
      </c>
      <c r="W5718" t="s">
        <v>30988</v>
      </c>
      <c r="X5718" t="s">
        <v>32532</v>
      </c>
    </row>
    <row r="5719" spans="1:24">
      <c r="A5719">
        <f>HYPERLINK("https://www.philgeps.gov.ph/GEPSNONPILOT/Tender/SplashBidNoticeAbstractUI.aspx?menuIndex=3&amp;refID=7040663&amp;Result=3","7040663")</f>
        <v>0</v>
      </c>
      <c r="B5719" t="s">
        <v>1851</v>
      </c>
      <c r="C5719" t="s">
        <v>8146</v>
      </c>
      <c r="D5719" t="s">
        <v>13006</v>
      </c>
      <c r="E5719" t="s">
        <v>18177</v>
      </c>
      <c r="F5719" t="s">
        <v>22436</v>
      </c>
      <c r="G5719" t="s">
        <v>22444</v>
      </c>
      <c r="H5719" t="s">
        <v>22452</v>
      </c>
      <c r="I5719" t="s">
        <v>11896</v>
      </c>
      <c r="J5719" t="s">
        <v>26335</v>
      </c>
      <c r="K5719" t="s">
        <v>29338</v>
      </c>
      <c r="M5719" t="s">
        <v>31568</v>
      </c>
      <c r="N5719" t="s">
        <v>32524</v>
      </c>
      <c r="O5719" t="s">
        <v>32525</v>
      </c>
      <c r="P5719">
        <v>0</v>
      </c>
      <c r="Q5719">
        <v>0</v>
      </c>
      <c r="R5719" t="s">
        <v>32531</v>
      </c>
      <c r="S5719" t="s">
        <v>32586</v>
      </c>
      <c r="T5719" t="s">
        <v>33220</v>
      </c>
      <c r="U5719" t="s">
        <v>38459</v>
      </c>
      <c r="W5719" t="s">
        <v>31568</v>
      </c>
      <c r="X5719" t="s">
        <v>32532</v>
      </c>
    </row>
    <row r="5720" spans="1:24">
      <c r="A5720">
        <f>HYPERLINK("https://www.philgeps.gov.ph/GEPSNONPILOT/Tender/SplashBidNoticeAbstractUI.aspx?menuIndex=3&amp;refID=7040681&amp;Result=3","7040681")</f>
        <v>0</v>
      </c>
      <c r="B5720" t="s">
        <v>826</v>
      </c>
      <c r="C5720" t="s">
        <v>8147</v>
      </c>
      <c r="D5720" t="s">
        <v>12998</v>
      </c>
      <c r="E5720" t="s">
        <v>18178</v>
      </c>
      <c r="F5720" t="s">
        <v>22437</v>
      </c>
      <c r="G5720" t="s">
        <v>22443</v>
      </c>
      <c r="H5720" t="s">
        <v>22452</v>
      </c>
      <c r="I5720" t="s">
        <v>3529</v>
      </c>
      <c r="J5720" t="s">
        <v>26336</v>
      </c>
      <c r="K5720" t="s">
        <v>29340</v>
      </c>
      <c r="M5720" t="s">
        <v>31569</v>
      </c>
      <c r="N5720" t="s">
        <v>32524</v>
      </c>
      <c r="O5720" t="s">
        <v>32525</v>
      </c>
      <c r="P5720">
        <v>0</v>
      </c>
      <c r="Q5720">
        <v>3</v>
      </c>
      <c r="R5720" t="s">
        <v>32531</v>
      </c>
      <c r="S5720" t="s">
        <v>32586</v>
      </c>
      <c r="T5720" t="s">
        <v>33310</v>
      </c>
      <c r="U5720" t="s">
        <v>38460</v>
      </c>
      <c r="V5720" t="s">
        <v>34315</v>
      </c>
      <c r="W5720" t="s">
        <v>31569</v>
      </c>
      <c r="X5720" t="s">
        <v>32532</v>
      </c>
    </row>
    <row r="5721" spans="1:24">
      <c r="A5721">
        <f>HYPERLINK("https://www.philgeps.gov.ph/GEPSNONPILOT/Tender/SplashBidNoticeAbstractUI.aspx?menuIndex=3&amp;refID=7040683&amp;Result=3","7040683")</f>
        <v>0</v>
      </c>
      <c r="B5721" t="s">
        <v>1852</v>
      </c>
      <c r="C5721" t="s">
        <v>8148</v>
      </c>
      <c r="D5721" t="s">
        <v>13006</v>
      </c>
      <c r="E5721" t="s">
        <v>18179</v>
      </c>
      <c r="F5721" t="s">
        <v>22436</v>
      </c>
      <c r="G5721" t="s">
        <v>22444</v>
      </c>
      <c r="H5721" t="s">
        <v>22452</v>
      </c>
      <c r="I5721" t="s">
        <v>2981</v>
      </c>
      <c r="J5721" t="s">
        <v>26337</v>
      </c>
      <c r="K5721" t="s">
        <v>29338</v>
      </c>
      <c r="M5721" t="s">
        <v>31570</v>
      </c>
      <c r="N5721" t="s">
        <v>32524</v>
      </c>
      <c r="O5721" t="s">
        <v>32525</v>
      </c>
      <c r="P5721">
        <v>0</v>
      </c>
      <c r="Q5721">
        <v>0</v>
      </c>
      <c r="R5721" t="s">
        <v>32531</v>
      </c>
      <c r="S5721" t="s">
        <v>32586</v>
      </c>
      <c r="T5721" t="s">
        <v>33167</v>
      </c>
      <c r="U5721" t="s">
        <v>38461</v>
      </c>
      <c r="W5721" t="s">
        <v>31570</v>
      </c>
      <c r="X5721" t="s">
        <v>32532</v>
      </c>
    </row>
    <row r="5722" spans="1:24">
      <c r="A5722">
        <f>HYPERLINK("https://www.philgeps.gov.ph/GEPSNONPILOT/Tender/SplashBidNoticeAbstractUI.aspx?menuIndex=3&amp;refID=7040685&amp;Result=3","7040685")</f>
        <v>0</v>
      </c>
      <c r="B5722" t="s">
        <v>826</v>
      </c>
      <c r="C5722" t="s">
        <v>8149</v>
      </c>
      <c r="D5722" t="s">
        <v>12998</v>
      </c>
      <c r="E5722" t="s">
        <v>18180</v>
      </c>
      <c r="F5722" t="s">
        <v>22437</v>
      </c>
      <c r="G5722" t="s">
        <v>22443</v>
      </c>
      <c r="H5722" t="s">
        <v>22452</v>
      </c>
      <c r="I5722" t="s">
        <v>22456</v>
      </c>
      <c r="J5722" t="s">
        <v>26338</v>
      </c>
      <c r="K5722" t="s">
        <v>29340</v>
      </c>
      <c r="M5722" t="s">
        <v>31569</v>
      </c>
      <c r="N5722" t="s">
        <v>32524</v>
      </c>
      <c r="O5722" t="s">
        <v>32525</v>
      </c>
      <c r="P5722">
        <v>0</v>
      </c>
      <c r="Q5722">
        <v>3</v>
      </c>
      <c r="R5722" t="s">
        <v>32531</v>
      </c>
      <c r="S5722" t="s">
        <v>32586</v>
      </c>
      <c r="T5722" t="s">
        <v>33327</v>
      </c>
      <c r="U5722" t="s">
        <v>38462</v>
      </c>
      <c r="V5722" t="s">
        <v>34315</v>
      </c>
      <c r="W5722" t="s">
        <v>31569</v>
      </c>
      <c r="X5722" t="s">
        <v>32532</v>
      </c>
    </row>
    <row r="5723" spans="1:24">
      <c r="A5723">
        <f>HYPERLINK("https://www.philgeps.gov.ph/GEPSNONPILOT/Tender/SplashBidNoticeAbstractUI.aspx?menuIndex=3&amp;refID=7040671&amp;Result=3","7040671")</f>
        <v>0</v>
      </c>
      <c r="B5723" t="s">
        <v>1848</v>
      </c>
      <c r="C5723" t="s">
        <v>8150</v>
      </c>
      <c r="D5723" t="s">
        <v>13001</v>
      </c>
      <c r="E5723" t="s">
        <v>18181</v>
      </c>
      <c r="F5723" t="s">
        <v>22436</v>
      </c>
      <c r="G5723" t="s">
        <v>22446</v>
      </c>
      <c r="H5723" t="s">
        <v>22452</v>
      </c>
      <c r="I5723" t="s">
        <v>22469</v>
      </c>
      <c r="J5723" t="s">
        <v>23377</v>
      </c>
      <c r="K5723" t="s">
        <v>29336</v>
      </c>
      <c r="M5723" t="s">
        <v>31564</v>
      </c>
      <c r="N5723" t="s">
        <v>32524</v>
      </c>
      <c r="O5723" t="s">
        <v>32525</v>
      </c>
      <c r="P5723">
        <v>0</v>
      </c>
      <c r="Q5723">
        <v>3</v>
      </c>
      <c r="R5723" t="s">
        <v>32531</v>
      </c>
      <c r="S5723" t="s">
        <v>32586</v>
      </c>
      <c r="T5723" t="s">
        <v>33328</v>
      </c>
      <c r="U5723" t="s">
        <v>38463</v>
      </c>
      <c r="W5723" t="s">
        <v>31564</v>
      </c>
      <c r="X5723" t="s">
        <v>32532</v>
      </c>
    </row>
    <row r="5724" spans="1:24">
      <c r="A5724">
        <f>HYPERLINK("https://www.philgeps.gov.ph/GEPSNONPILOT/Tender/SplashBidNoticeAbstractUI.aspx?menuIndex=3&amp;refID=7040670&amp;Result=3","7040670")</f>
        <v>0</v>
      </c>
      <c r="B5724" t="s">
        <v>1510</v>
      </c>
      <c r="C5724" t="s">
        <v>8151</v>
      </c>
      <c r="D5724" t="s">
        <v>12988</v>
      </c>
      <c r="E5724" t="s">
        <v>18182</v>
      </c>
      <c r="F5724" t="s">
        <v>22436</v>
      </c>
      <c r="G5724" t="s">
        <v>22443</v>
      </c>
      <c r="H5724" t="s">
        <v>22455</v>
      </c>
      <c r="I5724" t="s">
        <v>22455</v>
      </c>
      <c r="J5724" t="s">
        <v>26339</v>
      </c>
      <c r="K5724" t="s">
        <v>29329</v>
      </c>
      <c r="M5724" t="s">
        <v>31185</v>
      </c>
      <c r="N5724" t="s">
        <v>32524</v>
      </c>
      <c r="O5724" t="s">
        <v>32525</v>
      </c>
      <c r="P5724">
        <v>0</v>
      </c>
      <c r="Q5724">
        <v>4</v>
      </c>
      <c r="R5724" t="s">
        <v>32531</v>
      </c>
      <c r="S5724" t="s">
        <v>32586</v>
      </c>
      <c r="T5724" t="s">
        <v>33185</v>
      </c>
      <c r="U5724" t="s">
        <v>38464</v>
      </c>
      <c r="V5724" t="s">
        <v>43058</v>
      </c>
      <c r="W5724" t="s">
        <v>31185</v>
      </c>
      <c r="X5724" t="s">
        <v>32532</v>
      </c>
    </row>
    <row r="5725" spans="1:24">
      <c r="A5725">
        <f>HYPERLINK("https://www.philgeps.gov.ph/GEPSNONPILOT/Tender/SplashBidNoticeAbstractUI.aspx?menuIndex=3&amp;refID=7040673&amp;Result=3","7040673")</f>
        <v>0</v>
      </c>
      <c r="B5725" t="s">
        <v>1851</v>
      </c>
      <c r="C5725" t="s">
        <v>8152</v>
      </c>
      <c r="D5725" t="s">
        <v>13006</v>
      </c>
      <c r="E5725" t="s">
        <v>18183</v>
      </c>
      <c r="F5725" t="s">
        <v>22436</v>
      </c>
      <c r="G5725" t="s">
        <v>22444</v>
      </c>
      <c r="H5725" t="s">
        <v>22452</v>
      </c>
      <c r="I5725" t="s">
        <v>2981</v>
      </c>
      <c r="J5725" t="s">
        <v>22704</v>
      </c>
      <c r="K5725" t="s">
        <v>29338</v>
      </c>
      <c r="M5725" t="s">
        <v>31568</v>
      </c>
      <c r="N5725" t="s">
        <v>32524</v>
      </c>
      <c r="O5725" t="s">
        <v>32525</v>
      </c>
      <c r="P5725">
        <v>0</v>
      </c>
      <c r="Q5725">
        <v>0</v>
      </c>
      <c r="R5725" t="s">
        <v>32531</v>
      </c>
      <c r="S5725" t="s">
        <v>32586</v>
      </c>
      <c r="T5725" t="s">
        <v>33310</v>
      </c>
      <c r="U5725" t="s">
        <v>38465</v>
      </c>
      <c r="W5725" t="s">
        <v>31568</v>
      </c>
      <c r="X5725" t="s">
        <v>32532</v>
      </c>
    </row>
    <row r="5726" spans="1:24">
      <c r="A5726">
        <f>HYPERLINK("https://www.philgeps.gov.ph/GEPSNONPILOT/Tender/SplashBidNoticeAbstractUI.aspx?menuIndex=3&amp;refID=7040686&amp;Result=3","7040686")</f>
        <v>0</v>
      </c>
      <c r="B5726" t="s">
        <v>1052</v>
      </c>
      <c r="C5726" t="s">
        <v>8153</v>
      </c>
      <c r="D5726" t="s">
        <v>13059</v>
      </c>
      <c r="E5726" t="s">
        <v>18184</v>
      </c>
      <c r="F5726" t="s">
        <v>22436</v>
      </c>
      <c r="G5726" t="s">
        <v>22444</v>
      </c>
      <c r="H5726" t="s">
        <v>22452</v>
      </c>
      <c r="I5726" t="s">
        <v>3827</v>
      </c>
      <c r="J5726" t="s">
        <v>26340</v>
      </c>
      <c r="K5726" t="s">
        <v>29336</v>
      </c>
      <c r="M5726" t="s">
        <v>30684</v>
      </c>
      <c r="N5726" t="s">
        <v>32524</v>
      </c>
      <c r="O5726" t="s">
        <v>32525</v>
      </c>
      <c r="P5726">
        <v>0</v>
      </c>
      <c r="Q5726">
        <v>9</v>
      </c>
      <c r="R5726" t="s">
        <v>32531</v>
      </c>
      <c r="S5726" t="s">
        <v>32586</v>
      </c>
      <c r="T5726" t="s">
        <v>33228</v>
      </c>
      <c r="U5726" t="s">
        <v>38466</v>
      </c>
      <c r="W5726" t="s">
        <v>30684</v>
      </c>
      <c r="X5726" t="s">
        <v>32532</v>
      </c>
    </row>
    <row r="5727" spans="1:24">
      <c r="A5727">
        <f>HYPERLINK("https://www.philgeps.gov.ph/GEPSNONPILOT/Tender/SplashBidNoticeAbstractUI.aspx?menuIndex=3&amp;refID=7040700&amp;Result=3","7040700")</f>
        <v>0</v>
      </c>
      <c r="B5727" t="s">
        <v>1853</v>
      </c>
      <c r="C5727" t="s">
        <v>8154</v>
      </c>
      <c r="D5727" t="s">
        <v>13022</v>
      </c>
      <c r="E5727" t="s">
        <v>18185</v>
      </c>
      <c r="F5727" t="s">
        <v>22436</v>
      </c>
      <c r="G5727" t="s">
        <v>22444</v>
      </c>
      <c r="H5727" t="s">
        <v>22454</v>
      </c>
      <c r="I5727" t="s">
        <v>3529</v>
      </c>
      <c r="J5727" t="s">
        <v>26341</v>
      </c>
      <c r="K5727" t="s">
        <v>29482</v>
      </c>
      <c r="M5727" t="s">
        <v>31571</v>
      </c>
      <c r="N5727" t="s">
        <v>32524</v>
      </c>
      <c r="O5727" t="s">
        <v>32525</v>
      </c>
      <c r="P5727">
        <v>0</v>
      </c>
      <c r="Q5727">
        <v>4</v>
      </c>
      <c r="R5727" t="s">
        <v>32531</v>
      </c>
      <c r="S5727" t="s">
        <v>32586</v>
      </c>
      <c r="T5727" t="s">
        <v>33261</v>
      </c>
      <c r="U5727" t="s">
        <v>38467</v>
      </c>
      <c r="V5727" t="s">
        <v>43059</v>
      </c>
      <c r="W5727" t="s">
        <v>31571</v>
      </c>
      <c r="X5727" t="s">
        <v>32532</v>
      </c>
    </row>
    <row r="5728" spans="1:24">
      <c r="A5728">
        <f>HYPERLINK("https://www.philgeps.gov.ph/GEPSNONPILOT/Tender/SplashBidNoticeAbstractUI.aspx?menuIndex=3&amp;refID=7040699&amp;Result=3","7040699")</f>
        <v>0</v>
      </c>
      <c r="B5728" t="s">
        <v>826</v>
      </c>
      <c r="C5728" t="s">
        <v>8155</v>
      </c>
      <c r="D5728" t="s">
        <v>12998</v>
      </c>
      <c r="E5728" t="s">
        <v>18186</v>
      </c>
      <c r="F5728" t="s">
        <v>22437</v>
      </c>
      <c r="G5728" t="s">
        <v>22443</v>
      </c>
      <c r="H5728" t="s">
        <v>22452</v>
      </c>
      <c r="I5728" t="s">
        <v>3529</v>
      </c>
      <c r="J5728" t="s">
        <v>26342</v>
      </c>
      <c r="K5728" t="s">
        <v>29340</v>
      </c>
      <c r="M5728" t="s">
        <v>31569</v>
      </c>
      <c r="N5728" t="s">
        <v>32524</v>
      </c>
      <c r="O5728" t="s">
        <v>32525</v>
      </c>
      <c r="P5728">
        <v>0</v>
      </c>
      <c r="Q5728">
        <v>2</v>
      </c>
      <c r="R5728" t="s">
        <v>32531</v>
      </c>
      <c r="S5728" t="s">
        <v>32586</v>
      </c>
      <c r="T5728" t="s">
        <v>33381</v>
      </c>
      <c r="U5728" t="s">
        <v>38460</v>
      </c>
      <c r="V5728" t="s">
        <v>34315</v>
      </c>
      <c r="W5728" t="s">
        <v>31569</v>
      </c>
      <c r="X5728" t="s">
        <v>32532</v>
      </c>
    </row>
    <row r="5729" spans="1:24">
      <c r="A5729">
        <f>HYPERLINK("https://www.philgeps.gov.ph/GEPSNONPILOT/Tender/SplashBidNoticeAbstractUI.aspx?menuIndex=3&amp;refID=7040688&amp;Result=3","7040688")</f>
        <v>0</v>
      </c>
      <c r="B5729" t="s">
        <v>826</v>
      </c>
      <c r="C5729" t="s">
        <v>8156</v>
      </c>
      <c r="D5729" t="s">
        <v>12998</v>
      </c>
      <c r="E5729" t="s">
        <v>18186</v>
      </c>
      <c r="F5729" t="s">
        <v>22437</v>
      </c>
      <c r="G5729" t="s">
        <v>22443</v>
      </c>
      <c r="H5729" t="s">
        <v>22452</v>
      </c>
      <c r="I5729" t="s">
        <v>3529</v>
      </c>
      <c r="J5729" t="s">
        <v>26343</v>
      </c>
      <c r="K5729" t="s">
        <v>29340</v>
      </c>
      <c r="M5729" t="s">
        <v>31569</v>
      </c>
      <c r="N5729" t="s">
        <v>32524</v>
      </c>
      <c r="O5729" t="s">
        <v>32525</v>
      </c>
      <c r="P5729">
        <v>0</v>
      </c>
      <c r="Q5729">
        <v>2</v>
      </c>
      <c r="R5729" t="s">
        <v>32531</v>
      </c>
      <c r="S5729" t="s">
        <v>32586</v>
      </c>
      <c r="T5729" t="s">
        <v>33351</v>
      </c>
      <c r="U5729" t="s">
        <v>38468</v>
      </c>
      <c r="V5729" t="s">
        <v>34315</v>
      </c>
      <c r="W5729" t="s">
        <v>31569</v>
      </c>
      <c r="X5729" t="s">
        <v>32532</v>
      </c>
    </row>
    <row r="5730" spans="1:24">
      <c r="A5730">
        <f>HYPERLINK("https://www.philgeps.gov.ph/GEPSNONPILOT/Tender/SplashBidNoticeAbstractUI.aspx?menuIndex=3&amp;refID=7040693&amp;Result=3","7040693")</f>
        <v>0</v>
      </c>
      <c r="B5730" t="s">
        <v>1853</v>
      </c>
      <c r="C5730" t="s">
        <v>8157</v>
      </c>
      <c r="D5730" t="s">
        <v>13022</v>
      </c>
      <c r="E5730" t="s">
        <v>18187</v>
      </c>
      <c r="F5730" t="s">
        <v>22436</v>
      </c>
      <c r="G5730" t="s">
        <v>22444</v>
      </c>
      <c r="H5730" t="s">
        <v>22452</v>
      </c>
      <c r="I5730" t="s">
        <v>22474</v>
      </c>
      <c r="J5730" t="s">
        <v>22806</v>
      </c>
      <c r="K5730" t="s">
        <v>29335</v>
      </c>
      <c r="M5730" t="s">
        <v>31571</v>
      </c>
      <c r="N5730" t="s">
        <v>32524</v>
      </c>
      <c r="O5730" t="s">
        <v>32525</v>
      </c>
      <c r="P5730">
        <v>0</v>
      </c>
      <c r="Q5730">
        <v>1</v>
      </c>
      <c r="R5730" t="s">
        <v>32531</v>
      </c>
      <c r="S5730" t="s">
        <v>32586</v>
      </c>
      <c r="T5730" t="s">
        <v>33261</v>
      </c>
      <c r="U5730" t="s">
        <v>38469</v>
      </c>
      <c r="V5730" t="s">
        <v>43059</v>
      </c>
      <c r="W5730" t="s">
        <v>31571</v>
      </c>
      <c r="X5730" t="s">
        <v>32532</v>
      </c>
    </row>
    <row r="5731" spans="1:24">
      <c r="A5731">
        <f>HYPERLINK("https://www.philgeps.gov.ph/GEPSNONPILOT/Tender/SplashBidNoticeAbstractUI.aspx?menuIndex=3&amp;refID=7040695&amp;Result=3","7040695")</f>
        <v>0</v>
      </c>
      <c r="B5731" t="s">
        <v>117</v>
      </c>
      <c r="C5731" t="s">
        <v>8158</v>
      </c>
      <c r="D5731" t="s">
        <v>12988</v>
      </c>
      <c r="E5731" t="s">
        <v>18188</v>
      </c>
      <c r="F5731" t="s">
        <v>22436</v>
      </c>
      <c r="G5731" t="s">
        <v>22444</v>
      </c>
      <c r="H5731" t="s">
        <v>22455</v>
      </c>
      <c r="I5731" t="s">
        <v>22455</v>
      </c>
      <c r="J5731" t="s">
        <v>22669</v>
      </c>
      <c r="K5731" t="s">
        <v>29425</v>
      </c>
      <c r="M5731" t="s">
        <v>29689</v>
      </c>
      <c r="N5731" t="s">
        <v>32524</v>
      </c>
      <c r="O5731" t="s">
        <v>32525</v>
      </c>
      <c r="P5731">
        <v>0</v>
      </c>
      <c r="Q5731">
        <v>2</v>
      </c>
      <c r="R5731" t="s">
        <v>32531</v>
      </c>
      <c r="S5731" t="s">
        <v>32586</v>
      </c>
      <c r="T5731" t="s">
        <v>33509</v>
      </c>
      <c r="U5731" t="s">
        <v>38470</v>
      </c>
      <c r="W5731" t="s">
        <v>29689</v>
      </c>
      <c r="X5731" t="s">
        <v>32532</v>
      </c>
    </row>
    <row r="5732" spans="1:24">
      <c r="A5732">
        <f>HYPERLINK("https://www.philgeps.gov.ph/GEPSNONPILOT/Tender/SplashBidNoticeAbstractUI.aspx?menuIndex=3&amp;refID=7040705&amp;Result=3","7040705")</f>
        <v>0</v>
      </c>
      <c r="B5732" t="s">
        <v>1854</v>
      </c>
      <c r="C5732" t="s">
        <v>8159</v>
      </c>
      <c r="D5732" t="s">
        <v>12988</v>
      </c>
      <c r="E5732" t="s">
        <v>18189</v>
      </c>
      <c r="F5732" t="s">
        <v>22436</v>
      </c>
      <c r="G5732" t="s">
        <v>22444</v>
      </c>
      <c r="H5732" t="s">
        <v>22452</v>
      </c>
      <c r="I5732" t="s">
        <v>22472</v>
      </c>
      <c r="J5732" t="s">
        <v>22654</v>
      </c>
      <c r="K5732" t="s">
        <v>29336</v>
      </c>
      <c r="M5732" t="s">
        <v>31572</v>
      </c>
      <c r="N5732" t="s">
        <v>32524</v>
      </c>
      <c r="O5732" t="s">
        <v>32525</v>
      </c>
      <c r="P5732">
        <v>0</v>
      </c>
      <c r="Q5732">
        <v>0</v>
      </c>
      <c r="R5732" t="s">
        <v>32531</v>
      </c>
      <c r="S5732" t="s">
        <v>32586</v>
      </c>
      <c r="T5732" t="s">
        <v>33351</v>
      </c>
      <c r="U5732" t="s">
        <v>38471</v>
      </c>
      <c r="W5732" t="s">
        <v>31572</v>
      </c>
      <c r="X5732" t="s">
        <v>32532</v>
      </c>
    </row>
    <row r="5733" spans="1:24">
      <c r="A5733">
        <f>HYPERLINK("https://www.philgeps.gov.ph/GEPSNONPILOT/Tender/SplashBidNoticeAbstractUI.aspx?menuIndex=3&amp;refID=7040689&amp;Result=3","7040689")</f>
        <v>0</v>
      </c>
      <c r="B5733" t="s">
        <v>1853</v>
      </c>
      <c r="C5733" t="s">
        <v>8160</v>
      </c>
      <c r="D5733" t="s">
        <v>13022</v>
      </c>
      <c r="E5733" t="s">
        <v>18190</v>
      </c>
      <c r="F5733" t="s">
        <v>22436</v>
      </c>
      <c r="G5733" t="s">
        <v>22444</v>
      </c>
      <c r="H5733" t="s">
        <v>22452</v>
      </c>
      <c r="I5733" t="s">
        <v>22463</v>
      </c>
      <c r="J5733" t="s">
        <v>26344</v>
      </c>
      <c r="K5733" t="s">
        <v>29337</v>
      </c>
      <c r="M5733" t="s">
        <v>31571</v>
      </c>
      <c r="N5733" t="s">
        <v>32524</v>
      </c>
      <c r="O5733" t="s">
        <v>32525</v>
      </c>
      <c r="P5733">
        <v>0</v>
      </c>
      <c r="Q5733">
        <v>2</v>
      </c>
      <c r="R5733" t="s">
        <v>32531</v>
      </c>
      <c r="S5733" t="s">
        <v>32586</v>
      </c>
      <c r="T5733" t="s">
        <v>33261</v>
      </c>
      <c r="U5733" t="s">
        <v>38472</v>
      </c>
      <c r="V5733" t="s">
        <v>43059</v>
      </c>
      <c r="W5733" t="s">
        <v>31571</v>
      </c>
      <c r="X5733" t="s">
        <v>32532</v>
      </c>
    </row>
    <row r="5734" spans="1:24">
      <c r="A5734">
        <f>HYPERLINK("https://www.philgeps.gov.ph/GEPSNONPILOT/Tender/SplashBidNoticeAbstractUI.aspx?menuIndex=3&amp;refID=7040708&amp;Result=3","7040708")</f>
        <v>0</v>
      </c>
      <c r="B5734" t="s">
        <v>1551</v>
      </c>
      <c r="C5734" t="s">
        <v>8161</v>
      </c>
      <c r="D5734" t="s">
        <v>12994</v>
      </c>
      <c r="E5734" t="s">
        <v>18191</v>
      </c>
      <c r="F5734" t="s">
        <v>22436</v>
      </c>
      <c r="G5734" t="s">
        <v>22446</v>
      </c>
      <c r="H5734" t="s">
        <v>22452</v>
      </c>
      <c r="I5734" t="s">
        <v>22520</v>
      </c>
      <c r="J5734" t="s">
        <v>22955</v>
      </c>
      <c r="K5734" t="s">
        <v>29357</v>
      </c>
      <c r="M5734" t="s">
        <v>31231</v>
      </c>
      <c r="N5734" t="s">
        <v>32524</v>
      </c>
      <c r="O5734" t="s">
        <v>32525</v>
      </c>
      <c r="P5734">
        <v>0</v>
      </c>
      <c r="Q5734">
        <v>1</v>
      </c>
      <c r="R5734" t="s">
        <v>32531</v>
      </c>
      <c r="S5734" t="s">
        <v>32586</v>
      </c>
      <c r="T5734" t="s">
        <v>33372</v>
      </c>
      <c r="U5734" t="s">
        <v>38473</v>
      </c>
      <c r="W5734" t="s">
        <v>31231</v>
      </c>
      <c r="X5734" t="s">
        <v>32532</v>
      </c>
    </row>
    <row r="5735" spans="1:24">
      <c r="A5735">
        <f>HYPERLINK("https://www.philgeps.gov.ph/GEPSNONPILOT/Tender/SplashBidNoticeAbstractUI.aspx?menuIndex=3&amp;refID=7040694&amp;Result=3","7040694")</f>
        <v>0</v>
      </c>
      <c r="B5735" t="s">
        <v>1855</v>
      </c>
      <c r="C5735" t="s">
        <v>8162</v>
      </c>
      <c r="D5735" t="s">
        <v>13028</v>
      </c>
      <c r="E5735" t="s">
        <v>18192</v>
      </c>
      <c r="F5735" t="s">
        <v>22436</v>
      </c>
      <c r="G5735" t="s">
        <v>22443</v>
      </c>
      <c r="H5735" t="s">
        <v>22452</v>
      </c>
      <c r="I5735" t="s">
        <v>5194</v>
      </c>
      <c r="J5735" t="s">
        <v>26345</v>
      </c>
      <c r="K5735" t="s">
        <v>29341</v>
      </c>
      <c r="M5735" t="s">
        <v>31573</v>
      </c>
      <c r="N5735" t="s">
        <v>32524</v>
      </c>
      <c r="O5735" t="s">
        <v>32525</v>
      </c>
      <c r="P5735">
        <v>0</v>
      </c>
      <c r="Q5735">
        <v>2</v>
      </c>
      <c r="R5735" t="s">
        <v>32531</v>
      </c>
      <c r="S5735" t="s">
        <v>32586</v>
      </c>
      <c r="T5735" t="s">
        <v>33167</v>
      </c>
      <c r="U5735" t="s">
        <v>38474</v>
      </c>
      <c r="V5735" t="s">
        <v>43060</v>
      </c>
      <c r="W5735" t="s">
        <v>31573</v>
      </c>
      <c r="X5735" t="s">
        <v>32532</v>
      </c>
    </row>
    <row r="5736" spans="1:24">
      <c r="A5736">
        <f>HYPERLINK("https://www.philgeps.gov.ph/GEPSNONPILOT/Tender/SplashBidNoticeAbstractUI.aspx?menuIndex=3&amp;refID=7040712&amp;Result=3","7040712")</f>
        <v>0</v>
      </c>
      <c r="B5736" t="s">
        <v>1856</v>
      </c>
      <c r="C5736" t="s">
        <v>8163</v>
      </c>
      <c r="D5736" t="s">
        <v>13032</v>
      </c>
      <c r="E5736" t="s">
        <v>18193</v>
      </c>
      <c r="F5736" t="s">
        <v>22436</v>
      </c>
      <c r="G5736" t="s">
        <v>22444</v>
      </c>
      <c r="H5736" t="s">
        <v>22454</v>
      </c>
      <c r="I5736" t="s">
        <v>7738</v>
      </c>
      <c r="J5736" t="s">
        <v>26346</v>
      </c>
      <c r="K5736" t="s">
        <v>29338</v>
      </c>
      <c r="M5736" t="s">
        <v>31574</v>
      </c>
      <c r="N5736" t="s">
        <v>32524</v>
      </c>
      <c r="O5736" t="s">
        <v>32525</v>
      </c>
      <c r="P5736">
        <v>0</v>
      </c>
      <c r="Q5736">
        <v>1</v>
      </c>
      <c r="R5736" t="s">
        <v>32531</v>
      </c>
      <c r="S5736" t="s">
        <v>32586</v>
      </c>
      <c r="T5736" t="s">
        <v>33185</v>
      </c>
      <c r="U5736" t="s">
        <v>38475</v>
      </c>
      <c r="W5736" t="s">
        <v>31574</v>
      </c>
      <c r="X5736" t="s">
        <v>32532</v>
      </c>
    </row>
    <row r="5737" spans="1:24">
      <c r="A5737">
        <f>HYPERLINK("https://www.philgeps.gov.ph/GEPSNONPILOT/Tender/SplashBidNoticeAbstractUI.aspx?menuIndex=3&amp;refID=7040710&amp;Result=3","7040710")</f>
        <v>0</v>
      </c>
      <c r="B5737" t="s">
        <v>826</v>
      </c>
      <c r="C5737" t="s">
        <v>8164</v>
      </c>
      <c r="D5737" t="s">
        <v>12998</v>
      </c>
      <c r="E5737" t="s">
        <v>18194</v>
      </c>
      <c r="F5737" t="s">
        <v>22437</v>
      </c>
      <c r="G5737" t="s">
        <v>22443</v>
      </c>
      <c r="H5737" t="s">
        <v>22452</v>
      </c>
      <c r="I5737" t="s">
        <v>5194</v>
      </c>
      <c r="J5737" t="s">
        <v>26347</v>
      </c>
      <c r="K5737" t="s">
        <v>29340</v>
      </c>
      <c r="M5737" t="s">
        <v>31569</v>
      </c>
      <c r="N5737" t="s">
        <v>32524</v>
      </c>
      <c r="O5737" t="s">
        <v>32525</v>
      </c>
      <c r="P5737">
        <v>0</v>
      </c>
      <c r="Q5737">
        <v>4</v>
      </c>
      <c r="R5737" t="s">
        <v>32531</v>
      </c>
      <c r="S5737" t="s">
        <v>32586</v>
      </c>
      <c r="T5737" t="s">
        <v>33381</v>
      </c>
      <c r="U5737" t="s">
        <v>38460</v>
      </c>
      <c r="V5737" t="s">
        <v>34315</v>
      </c>
      <c r="W5737" t="s">
        <v>31569</v>
      </c>
      <c r="X5737" t="s">
        <v>32532</v>
      </c>
    </row>
    <row r="5738" spans="1:24">
      <c r="A5738">
        <f>HYPERLINK("https://www.philgeps.gov.ph/GEPSNONPILOT/Tender/SplashBidNoticeAbstractUI.aspx?menuIndex=3&amp;refID=7040711&amp;Result=3","7040711")</f>
        <v>0</v>
      </c>
      <c r="B5738" t="s">
        <v>799</v>
      </c>
      <c r="C5738" t="s">
        <v>8165</v>
      </c>
      <c r="D5738" t="s">
        <v>13072</v>
      </c>
      <c r="E5738" t="s">
        <v>18195</v>
      </c>
      <c r="F5738" t="s">
        <v>22436</v>
      </c>
      <c r="G5738" t="s">
        <v>22444</v>
      </c>
      <c r="H5738" t="s">
        <v>22452</v>
      </c>
      <c r="I5738" t="s">
        <v>22549</v>
      </c>
      <c r="J5738" t="s">
        <v>26348</v>
      </c>
      <c r="K5738" t="s">
        <v>29333</v>
      </c>
      <c r="M5738" t="s">
        <v>30401</v>
      </c>
      <c r="N5738" t="s">
        <v>32524</v>
      </c>
      <c r="O5738" t="s">
        <v>32525</v>
      </c>
      <c r="P5738">
        <v>0</v>
      </c>
      <c r="Q5738">
        <v>4</v>
      </c>
      <c r="R5738" t="s">
        <v>32531</v>
      </c>
      <c r="S5738" t="s">
        <v>32586</v>
      </c>
      <c r="T5738" t="s">
        <v>33457</v>
      </c>
      <c r="U5738" t="s">
        <v>38476</v>
      </c>
      <c r="V5738" t="s">
        <v>43061</v>
      </c>
      <c r="W5738" t="s">
        <v>30401</v>
      </c>
      <c r="X5738" t="s">
        <v>32532</v>
      </c>
    </row>
    <row r="5739" spans="1:24">
      <c r="A5739">
        <f>HYPERLINK("https://www.philgeps.gov.ph/GEPSNONPILOT/Tender/SplashBidNoticeAbstractUI.aspx?menuIndex=3&amp;refID=7040745&amp;Result=3","7040745")</f>
        <v>0</v>
      </c>
      <c r="B5739" t="s">
        <v>64</v>
      </c>
      <c r="C5739" t="s">
        <v>8166</v>
      </c>
      <c r="D5739" t="s">
        <v>13016</v>
      </c>
      <c r="E5739" t="s">
        <v>18196</v>
      </c>
      <c r="F5739" t="s">
        <v>22436</v>
      </c>
      <c r="G5739" t="s">
        <v>22446</v>
      </c>
      <c r="H5739" t="s">
        <v>22452</v>
      </c>
      <c r="I5739" t="s">
        <v>3529</v>
      </c>
      <c r="J5739" t="s">
        <v>23467</v>
      </c>
      <c r="K5739" t="s">
        <v>29329</v>
      </c>
      <c r="M5739" t="s">
        <v>29636</v>
      </c>
      <c r="N5739" t="s">
        <v>32524</v>
      </c>
      <c r="O5739" t="s">
        <v>32525</v>
      </c>
      <c r="P5739">
        <v>0</v>
      </c>
      <c r="Q5739">
        <v>0</v>
      </c>
      <c r="R5739" t="s">
        <v>32531</v>
      </c>
      <c r="S5739" t="s">
        <v>32586</v>
      </c>
      <c r="T5739" t="s">
        <v>33220</v>
      </c>
      <c r="U5739" t="s">
        <v>38477</v>
      </c>
      <c r="V5739" t="s">
        <v>42432</v>
      </c>
      <c r="W5739" t="s">
        <v>29636</v>
      </c>
      <c r="X5739" t="s">
        <v>32532</v>
      </c>
    </row>
    <row r="5740" spans="1:24">
      <c r="A5740">
        <f>HYPERLINK("https://www.philgeps.gov.ph/GEPSNONPILOT/Tender/SplashBidNoticeAbstractUI.aspx?menuIndex=3&amp;refID=7040720&amp;Result=3","7040720")</f>
        <v>0</v>
      </c>
      <c r="B5740" t="s">
        <v>1856</v>
      </c>
      <c r="C5740" t="s">
        <v>8167</v>
      </c>
      <c r="D5740" t="s">
        <v>13032</v>
      </c>
      <c r="E5740" t="s">
        <v>18197</v>
      </c>
      <c r="F5740" t="s">
        <v>22436</v>
      </c>
      <c r="G5740" t="s">
        <v>22444</v>
      </c>
      <c r="H5740" t="s">
        <v>22454</v>
      </c>
      <c r="I5740" t="s">
        <v>7738</v>
      </c>
      <c r="J5740" t="s">
        <v>26349</v>
      </c>
      <c r="K5740" t="s">
        <v>29338</v>
      </c>
      <c r="M5740" t="s">
        <v>31574</v>
      </c>
      <c r="N5740" t="s">
        <v>32524</v>
      </c>
      <c r="O5740" t="s">
        <v>32525</v>
      </c>
      <c r="P5740">
        <v>0</v>
      </c>
      <c r="Q5740">
        <v>1</v>
      </c>
      <c r="R5740" t="s">
        <v>32531</v>
      </c>
      <c r="S5740" t="s">
        <v>32586</v>
      </c>
      <c r="T5740" t="s">
        <v>33154</v>
      </c>
      <c r="U5740" t="s">
        <v>38478</v>
      </c>
      <c r="W5740" t="s">
        <v>31574</v>
      </c>
      <c r="X5740" t="s">
        <v>32532</v>
      </c>
    </row>
    <row r="5741" spans="1:24">
      <c r="A5741">
        <f>HYPERLINK("https://www.philgeps.gov.ph/GEPSNONPILOT/Tender/SplashBidNoticeAbstractUI.aspx?menuIndex=3&amp;refID=7040737&amp;Result=3","7040737")</f>
        <v>0</v>
      </c>
      <c r="B5741" t="s">
        <v>1854</v>
      </c>
      <c r="C5741" t="s">
        <v>8168</v>
      </c>
      <c r="D5741" t="s">
        <v>12988</v>
      </c>
      <c r="E5741" t="s">
        <v>18198</v>
      </c>
      <c r="F5741" t="s">
        <v>22436</v>
      </c>
      <c r="G5741" t="s">
        <v>22444</v>
      </c>
      <c r="H5741" t="s">
        <v>22452</v>
      </c>
      <c r="I5741" t="s">
        <v>2981</v>
      </c>
      <c r="J5741" t="s">
        <v>22640</v>
      </c>
      <c r="K5741" t="s">
        <v>29336</v>
      </c>
      <c r="M5741" t="s">
        <v>31572</v>
      </c>
      <c r="N5741" t="s">
        <v>32524</v>
      </c>
      <c r="O5741" t="s">
        <v>32525</v>
      </c>
      <c r="P5741">
        <v>0</v>
      </c>
      <c r="Q5741">
        <v>0</v>
      </c>
      <c r="R5741" t="s">
        <v>32531</v>
      </c>
      <c r="S5741" t="s">
        <v>32586</v>
      </c>
      <c r="T5741" t="s">
        <v>33351</v>
      </c>
      <c r="U5741" t="s">
        <v>38479</v>
      </c>
      <c r="W5741" t="s">
        <v>31572</v>
      </c>
      <c r="X5741" t="s">
        <v>32532</v>
      </c>
    </row>
    <row r="5742" spans="1:24">
      <c r="A5742">
        <f>HYPERLINK("https://www.philgeps.gov.ph/GEPSNONPILOT/Tender/SplashBidNoticeAbstractUI.aspx?menuIndex=3&amp;refID=7040735&amp;Result=3","7040735")</f>
        <v>0</v>
      </c>
      <c r="B5742" t="s">
        <v>799</v>
      </c>
      <c r="C5742" t="s">
        <v>8169</v>
      </c>
      <c r="D5742" t="s">
        <v>13072</v>
      </c>
      <c r="E5742" t="s">
        <v>18199</v>
      </c>
      <c r="F5742" t="s">
        <v>22436</v>
      </c>
      <c r="G5742" t="s">
        <v>22444</v>
      </c>
      <c r="H5742" t="s">
        <v>22452</v>
      </c>
      <c r="I5742" t="s">
        <v>22567</v>
      </c>
      <c r="J5742" t="s">
        <v>26350</v>
      </c>
      <c r="K5742" t="s">
        <v>29329</v>
      </c>
      <c r="M5742" t="s">
        <v>30401</v>
      </c>
      <c r="N5742" t="s">
        <v>32524</v>
      </c>
      <c r="O5742" t="s">
        <v>32525</v>
      </c>
      <c r="Q5742">
        <v>3</v>
      </c>
      <c r="R5742" t="s">
        <v>32531</v>
      </c>
      <c r="S5742" t="s">
        <v>32613</v>
      </c>
      <c r="T5742" t="s">
        <v>33457</v>
      </c>
      <c r="U5742" t="s">
        <v>38476</v>
      </c>
      <c r="V5742" t="s">
        <v>43062</v>
      </c>
      <c r="W5742" t="s">
        <v>30401</v>
      </c>
      <c r="X5742" t="s">
        <v>32532</v>
      </c>
    </row>
    <row r="5743" spans="1:24">
      <c r="A5743">
        <f>HYPERLINK("https://www.philgeps.gov.ph/GEPSNONPILOT/Tender/SplashBidNoticeAbstractUI.aspx?menuIndex=3&amp;refID=7040719&amp;Result=3","7040719")</f>
        <v>0</v>
      </c>
      <c r="B5743" t="s">
        <v>1857</v>
      </c>
      <c r="C5743" t="s">
        <v>8170</v>
      </c>
      <c r="D5743" t="s">
        <v>13041</v>
      </c>
      <c r="E5743" t="s">
        <v>18200</v>
      </c>
      <c r="F5743" t="s">
        <v>22436</v>
      </c>
      <c r="G5743" t="s">
        <v>22444</v>
      </c>
      <c r="H5743" t="s">
        <v>22454</v>
      </c>
      <c r="I5743" t="s">
        <v>7738</v>
      </c>
      <c r="J5743" t="s">
        <v>26351</v>
      </c>
      <c r="K5743" t="s">
        <v>29363</v>
      </c>
      <c r="M5743" t="s">
        <v>31575</v>
      </c>
      <c r="N5743" t="s">
        <v>32524</v>
      </c>
      <c r="O5743" t="s">
        <v>32525</v>
      </c>
      <c r="P5743">
        <v>0</v>
      </c>
      <c r="Q5743">
        <v>1</v>
      </c>
      <c r="R5743" t="s">
        <v>32531</v>
      </c>
      <c r="S5743" t="s">
        <v>32586</v>
      </c>
      <c r="T5743" t="s">
        <v>33416</v>
      </c>
      <c r="U5743" t="s">
        <v>38480</v>
      </c>
      <c r="W5743" t="s">
        <v>31575</v>
      </c>
      <c r="X5743" t="s">
        <v>32532</v>
      </c>
    </row>
    <row r="5744" spans="1:24">
      <c r="A5744">
        <f>HYPERLINK("https://www.philgeps.gov.ph/GEPSNONPILOT/Tender/SplashBidNoticeAbstractUI.aspx?menuIndex=3&amp;refID=7040726&amp;Result=3","7040726")</f>
        <v>0</v>
      </c>
      <c r="B5744" t="s">
        <v>1858</v>
      </c>
      <c r="C5744" t="s">
        <v>8171</v>
      </c>
      <c r="D5744" t="s">
        <v>13007</v>
      </c>
      <c r="E5744" t="s">
        <v>18201</v>
      </c>
      <c r="F5744" t="s">
        <v>22441</v>
      </c>
      <c r="G5744" t="s">
        <v>22443</v>
      </c>
      <c r="H5744" t="s">
        <v>22452</v>
      </c>
      <c r="I5744" t="s">
        <v>2981</v>
      </c>
      <c r="J5744" t="s">
        <v>22986</v>
      </c>
      <c r="K5744" t="s">
        <v>29356</v>
      </c>
      <c r="M5744" t="s">
        <v>31576</v>
      </c>
      <c r="N5744" t="s">
        <v>32524</v>
      </c>
      <c r="O5744" t="s">
        <v>32525</v>
      </c>
      <c r="P5744">
        <v>0</v>
      </c>
      <c r="Q5744">
        <v>0</v>
      </c>
      <c r="R5744" t="s">
        <v>32531</v>
      </c>
      <c r="S5744" t="s">
        <v>32586</v>
      </c>
      <c r="T5744" t="s">
        <v>33185</v>
      </c>
      <c r="U5744" t="s">
        <v>38481</v>
      </c>
      <c r="W5744" t="s">
        <v>31576</v>
      </c>
      <c r="X5744" t="s">
        <v>32532</v>
      </c>
    </row>
    <row r="5745" spans="1:24">
      <c r="A5745">
        <f>HYPERLINK("https://www.philgeps.gov.ph/GEPSNONPILOT/Tender/SplashBidNoticeAbstractUI.aspx?menuIndex=3&amp;refID=7040723&amp;Result=3","7040723")</f>
        <v>0</v>
      </c>
      <c r="B5745" t="s">
        <v>1854</v>
      </c>
      <c r="C5745" t="s">
        <v>8172</v>
      </c>
      <c r="D5745" t="s">
        <v>12988</v>
      </c>
      <c r="E5745" t="s">
        <v>18202</v>
      </c>
      <c r="F5745" t="s">
        <v>22436</v>
      </c>
      <c r="G5745" t="s">
        <v>22444</v>
      </c>
      <c r="H5745" t="s">
        <v>22452</v>
      </c>
      <c r="I5745" t="s">
        <v>12358</v>
      </c>
      <c r="J5745" t="s">
        <v>22788</v>
      </c>
      <c r="K5745" t="s">
        <v>29336</v>
      </c>
      <c r="M5745" t="s">
        <v>31572</v>
      </c>
      <c r="N5745" t="s">
        <v>32524</v>
      </c>
      <c r="O5745" t="s">
        <v>32525</v>
      </c>
      <c r="P5745">
        <v>0</v>
      </c>
      <c r="Q5745">
        <v>0</v>
      </c>
      <c r="R5745" t="s">
        <v>32531</v>
      </c>
      <c r="S5745" t="s">
        <v>32586</v>
      </c>
      <c r="T5745" t="s">
        <v>33351</v>
      </c>
      <c r="U5745" t="s">
        <v>38482</v>
      </c>
      <c r="W5745" t="s">
        <v>31572</v>
      </c>
      <c r="X5745" t="s">
        <v>32532</v>
      </c>
    </row>
    <row r="5746" spans="1:24">
      <c r="A5746">
        <f>HYPERLINK("https://www.philgeps.gov.ph/GEPSNONPILOT/Tender/SplashBidNoticeAbstractUI.aspx?menuIndex=3&amp;refID=7040716&amp;Result=3","7040716")</f>
        <v>0</v>
      </c>
      <c r="B5746" t="s">
        <v>1859</v>
      </c>
      <c r="C5746" t="s">
        <v>8173</v>
      </c>
      <c r="D5746" t="s">
        <v>12994</v>
      </c>
      <c r="E5746" t="s">
        <v>18203</v>
      </c>
      <c r="F5746" t="s">
        <v>22436</v>
      </c>
      <c r="G5746" t="s">
        <v>22450</v>
      </c>
      <c r="H5746" t="s">
        <v>22452</v>
      </c>
      <c r="I5746" t="s">
        <v>3529</v>
      </c>
      <c r="J5746" t="s">
        <v>26352</v>
      </c>
      <c r="K5746" t="s">
        <v>29341</v>
      </c>
      <c r="M5746" t="s">
        <v>31577</v>
      </c>
      <c r="N5746" t="s">
        <v>32524</v>
      </c>
      <c r="O5746" t="s">
        <v>32525</v>
      </c>
      <c r="P5746">
        <v>0</v>
      </c>
      <c r="Q5746">
        <v>3</v>
      </c>
      <c r="R5746" t="s">
        <v>32531</v>
      </c>
      <c r="S5746" t="s">
        <v>32586</v>
      </c>
      <c r="T5746" t="s">
        <v>33510</v>
      </c>
      <c r="U5746" t="s">
        <v>38483</v>
      </c>
      <c r="V5746" t="s">
        <v>43063</v>
      </c>
      <c r="W5746" t="s">
        <v>31577</v>
      </c>
      <c r="X5746" t="s">
        <v>32532</v>
      </c>
    </row>
    <row r="5747" spans="1:24">
      <c r="A5747">
        <f>HYPERLINK("https://www.philgeps.gov.ph/GEPSNONPILOT/Tender/SplashBidNoticeAbstractUI.aspx?menuIndex=3&amp;refID=7040731&amp;Result=3","7040731")</f>
        <v>0</v>
      </c>
      <c r="B5747" t="s">
        <v>1860</v>
      </c>
      <c r="C5747" t="s">
        <v>8174</v>
      </c>
      <c r="D5747" t="s">
        <v>12988</v>
      </c>
      <c r="E5747" t="s">
        <v>13927</v>
      </c>
      <c r="F5747" t="s">
        <v>22436</v>
      </c>
      <c r="G5747" t="s">
        <v>22443</v>
      </c>
      <c r="H5747" t="s">
        <v>22454</v>
      </c>
      <c r="I5747" t="s">
        <v>3529</v>
      </c>
      <c r="J5747" t="s">
        <v>26353</v>
      </c>
      <c r="K5747" t="s">
        <v>29335</v>
      </c>
      <c r="M5747" t="s">
        <v>31578</v>
      </c>
      <c r="N5747" t="s">
        <v>32524</v>
      </c>
      <c r="O5747" t="s">
        <v>32525</v>
      </c>
      <c r="P5747">
        <v>0</v>
      </c>
      <c r="Q5747">
        <v>0</v>
      </c>
      <c r="R5747" t="s">
        <v>32531</v>
      </c>
      <c r="S5747" t="s">
        <v>32586</v>
      </c>
      <c r="T5747" t="s">
        <v>33304</v>
      </c>
      <c r="U5747" t="s">
        <v>38484</v>
      </c>
      <c r="V5747" t="s">
        <v>43064</v>
      </c>
      <c r="W5747" t="s">
        <v>31578</v>
      </c>
      <c r="X5747" t="s">
        <v>32532</v>
      </c>
    </row>
    <row r="5748" spans="1:24">
      <c r="A5748">
        <f>HYPERLINK("https://www.philgeps.gov.ph/GEPSNONPILOT/Tender/SplashBidNoticeAbstractUI.aspx?menuIndex=3&amp;refID=7040725&amp;Result=3","7040725")</f>
        <v>0</v>
      </c>
      <c r="B5748" t="s">
        <v>1861</v>
      </c>
      <c r="C5748" t="s">
        <v>8175</v>
      </c>
      <c r="D5748" t="s">
        <v>13046</v>
      </c>
      <c r="E5748" t="s">
        <v>18204</v>
      </c>
      <c r="F5748" t="s">
        <v>22436</v>
      </c>
      <c r="G5748" t="s">
        <v>22444</v>
      </c>
      <c r="H5748" t="s">
        <v>22452</v>
      </c>
      <c r="I5748" t="s">
        <v>6387</v>
      </c>
      <c r="J5748" t="s">
        <v>22779</v>
      </c>
      <c r="K5748" t="s">
        <v>29390</v>
      </c>
      <c r="M5748" t="s">
        <v>31579</v>
      </c>
      <c r="N5748" t="s">
        <v>32524</v>
      </c>
      <c r="O5748" t="s">
        <v>32525</v>
      </c>
      <c r="P5748">
        <v>0</v>
      </c>
      <c r="Q5748">
        <v>2</v>
      </c>
      <c r="R5748" t="s">
        <v>32531</v>
      </c>
      <c r="S5748" t="s">
        <v>32586</v>
      </c>
      <c r="T5748" t="s">
        <v>33167</v>
      </c>
      <c r="U5748" t="s">
        <v>38485</v>
      </c>
      <c r="W5748" t="s">
        <v>31579</v>
      </c>
      <c r="X5748" t="s">
        <v>32532</v>
      </c>
    </row>
    <row r="5749" spans="1:24">
      <c r="A5749">
        <f>HYPERLINK("https://www.philgeps.gov.ph/GEPSNONPILOT/Tender/SplashBidNoticeAbstractUI.aspx?menuIndex=3&amp;refID=7040744&amp;Result=3","7040744")</f>
        <v>0</v>
      </c>
      <c r="B5749" t="s">
        <v>1854</v>
      </c>
      <c r="C5749" t="s">
        <v>8176</v>
      </c>
      <c r="D5749" t="s">
        <v>12988</v>
      </c>
      <c r="E5749" t="s">
        <v>18205</v>
      </c>
      <c r="F5749" t="s">
        <v>22436</v>
      </c>
      <c r="G5749" t="s">
        <v>22444</v>
      </c>
      <c r="H5749" t="s">
        <v>22452</v>
      </c>
      <c r="I5749" t="s">
        <v>22468</v>
      </c>
      <c r="J5749" t="s">
        <v>23093</v>
      </c>
      <c r="K5749" t="s">
        <v>29336</v>
      </c>
      <c r="M5749" t="s">
        <v>31572</v>
      </c>
      <c r="N5749" t="s">
        <v>32524</v>
      </c>
      <c r="O5749" t="s">
        <v>32525</v>
      </c>
      <c r="P5749">
        <v>0</v>
      </c>
      <c r="Q5749">
        <v>1</v>
      </c>
      <c r="R5749" t="s">
        <v>32531</v>
      </c>
      <c r="S5749" t="s">
        <v>32586</v>
      </c>
      <c r="T5749" t="s">
        <v>33351</v>
      </c>
      <c r="U5749" t="s">
        <v>38486</v>
      </c>
      <c r="W5749" t="s">
        <v>31572</v>
      </c>
      <c r="X5749" t="s">
        <v>32532</v>
      </c>
    </row>
    <row r="5750" spans="1:24">
      <c r="A5750">
        <f>HYPERLINK("https://www.philgeps.gov.ph/GEPSNONPILOT/Tender/SplashBidNoticeAbstractUI.aspx?menuIndex=3&amp;refID=7040727&amp;Result=3","7040727")</f>
        <v>0</v>
      </c>
      <c r="B5750" t="s">
        <v>374</v>
      </c>
      <c r="C5750" t="s">
        <v>3161</v>
      </c>
      <c r="E5750" t="s">
        <v>18206</v>
      </c>
      <c r="F5750" t="s">
        <v>22436</v>
      </c>
      <c r="G5750" t="s">
        <v>22444</v>
      </c>
      <c r="H5750" t="s">
        <v>22452</v>
      </c>
      <c r="I5750" t="s">
        <v>22502</v>
      </c>
      <c r="J5750" t="s">
        <v>26354</v>
      </c>
      <c r="K5750" t="s">
        <v>29338</v>
      </c>
      <c r="M5750" t="s">
        <v>29952</v>
      </c>
      <c r="N5750" t="s">
        <v>32524</v>
      </c>
      <c r="O5750" t="s">
        <v>32525</v>
      </c>
      <c r="P5750">
        <v>0</v>
      </c>
      <c r="Q5750">
        <v>9</v>
      </c>
      <c r="R5750" t="s">
        <v>32531</v>
      </c>
      <c r="S5750" t="s">
        <v>32586</v>
      </c>
      <c r="T5750" t="s">
        <v>33188</v>
      </c>
      <c r="U5750" t="s">
        <v>38487</v>
      </c>
      <c r="V5750" t="s">
        <v>43043</v>
      </c>
      <c r="W5750" t="s">
        <v>29952</v>
      </c>
      <c r="X5750" t="s">
        <v>32532</v>
      </c>
    </row>
    <row r="5751" spans="1:24">
      <c r="A5751">
        <f>HYPERLINK("https://www.philgeps.gov.ph/GEPSNONPILOT/Tender/SplashBidNoticeAbstractUI.aspx?menuIndex=3&amp;refID=7040752&amp;Result=3","7040752")</f>
        <v>0</v>
      </c>
      <c r="B5751" t="s">
        <v>1854</v>
      </c>
      <c r="C5751" t="s">
        <v>8177</v>
      </c>
      <c r="D5751" t="s">
        <v>12988</v>
      </c>
      <c r="E5751" t="s">
        <v>18207</v>
      </c>
      <c r="F5751" t="s">
        <v>22436</v>
      </c>
      <c r="G5751" t="s">
        <v>22444</v>
      </c>
      <c r="H5751" t="s">
        <v>22452</v>
      </c>
      <c r="I5751" t="s">
        <v>3529</v>
      </c>
      <c r="J5751" t="s">
        <v>22893</v>
      </c>
      <c r="K5751" t="s">
        <v>29336</v>
      </c>
      <c r="M5751" t="s">
        <v>31572</v>
      </c>
      <c r="N5751" t="s">
        <v>32524</v>
      </c>
      <c r="O5751" t="s">
        <v>32525</v>
      </c>
      <c r="P5751">
        <v>0</v>
      </c>
      <c r="Q5751">
        <v>0</v>
      </c>
      <c r="R5751" t="s">
        <v>32531</v>
      </c>
      <c r="S5751" t="s">
        <v>32586</v>
      </c>
      <c r="T5751" t="s">
        <v>33351</v>
      </c>
      <c r="U5751" t="s">
        <v>38488</v>
      </c>
      <c r="W5751" t="s">
        <v>31572</v>
      </c>
      <c r="X5751" t="s">
        <v>32532</v>
      </c>
    </row>
    <row r="5752" spans="1:24">
      <c r="A5752">
        <f>HYPERLINK("https://www.philgeps.gov.ph/GEPSNONPILOT/Tender/SplashBidNoticeAbstractUI.aspx?menuIndex=3&amp;refID=7040743&amp;Result=3","7040743")</f>
        <v>0</v>
      </c>
      <c r="B5752" t="s">
        <v>1862</v>
      </c>
      <c r="C5752" t="s">
        <v>8178</v>
      </c>
      <c r="D5752" t="s">
        <v>13024</v>
      </c>
      <c r="E5752" t="s">
        <v>18208</v>
      </c>
      <c r="F5752" t="s">
        <v>22436</v>
      </c>
      <c r="G5752" t="s">
        <v>22443</v>
      </c>
      <c r="H5752" t="s">
        <v>22452</v>
      </c>
      <c r="I5752" t="s">
        <v>22472</v>
      </c>
      <c r="J5752" t="s">
        <v>26355</v>
      </c>
      <c r="K5752" t="s">
        <v>29335</v>
      </c>
      <c r="M5752" t="s">
        <v>31580</v>
      </c>
      <c r="N5752" t="s">
        <v>32524</v>
      </c>
      <c r="O5752" t="s">
        <v>32525</v>
      </c>
      <c r="P5752">
        <v>0</v>
      </c>
      <c r="Q5752">
        <v>3</v>
      </c>
      <c r="R5752" t="s">
        <v>32531</v>
      </c>
      <c r="S5752" t="s">
        <v>32586</v>
      </c>
      <c r="T5752" t="s">
        <v>33296</v>
      </c>
      <c r="U5752" t="s">
        <v>38489</v>
      </c>
      <c r="V5752" t="s">
        <v>42461</v>
      </c>
      <c r="W5752" t="s">
        <v>31580</v>
      </c>
      <c r="X5752" t="s">
        <v>32532</v>
      </c>
    </row>
    <row r="5753" spans="1:24">
      <c r="A5753">
        <f>HYPERLINK("https://www.philgeps.gov.ph/GEPSNONPILOT/Tender/SplashBidNoticeAbstractUI.aspx?menuIndex=3&amp;refID=7040747&amp;Result=3","7040747")</f>
        <v>0</v>
      </c>
      <c r="B5753" t="s">
        <v>1863</v>
      </c>
      <c r="C5753" t="s">
        <v>8179</v>
      </c>
      <c r="D5753" t="s">
        <v>13032</v>
      </c>
      <c r="E5753" t="s">
        <v>17277</v>
      </c>
      <c r="F5753" t="s">
        <v>22436</v>
      </c>
      <c r="G5753" t="s">
        <v>22444</v>
      </c>
      <c r="H5753" t="s">
        <v>22454</v>
      </c>
      <c r="I5753" t="s">
        <v>7738</v>
      </c>
      <c r="J5753" t="s">
        <v>26356</v>
      </c>
      <c r="K5753" t="s">
        <v>29344</v>
      </c>
      <c r="M5753" t="s">
        <v>31581</v>
      </c>
      <c r="N5753" t="s">
        <v>32524</v>
      </c>
      <c r="O5753" t="s">
        <v>32525</v>
      </c>
      <c r="P5753">
        <v>0</v>
      </c>
      <c r="Q5753">
        <v>4</v>
      </c>
      <c r="R5753" t="s">
        <v>32531</v>
      </c>
      <c r="S5753" t="s">
        <v>32586</v>
      </c>
      <c r="T5753" t="s">
        <v>33393</v>
      </c>
      <c r="U5753" t="s">
        <v>38490</v>
      </c>
      <c r="W5753" t="s">
        <v>31581</v>
      </c>
      <c r="X5753" t="s">
        <v>32532</v>
      </c>
    </row>
    <row r="5754" spans="1:24">
      <c r="A5754">
        <f>HYPERLINK("https://www.philgeps.gov.ph/GEPSNONPILOT/Tender/SplashBidNoticeAbstractUI.aspx?menuIndex=3&amp;refID=7040753&amp;Result=3","7040753")</f>
        <v>0</v>
      </c>
      <c r="B5754" t="s">
        <v>1857</v>
      </c>
      <c r="C5754" t="s">
        <v>8180</v>
      </c>
      <c r="D5754" t="s">
        <v>13041</v>
      </c>
      <c r="E5754" t="s">
        <v>18209</v>
      </c>
      <c r="F5754" t="s">
        <v>22436</v>
      </c>
      <c r="G5754" t="s">
        <v>22444</v>
      </c>
      <c r="H5754" t="s">
        <v>22454</v>
      </c>
      <c r="I5754" t="s">
        <v>7738</v>
      </c>
      <c r="J5754" t="s">
        <v>26357</v>
      </c>
      <c r="K5754" t="s">
        <v>29455</v>
      </c>
      <c r="M5754" t="s">
        <v>31575</v>
      </c>
      <c r="N5754" t="s">
        <v>32524</v>
      </c>
      <c r="O5754" t="s">
        <v>32525</v>
      </c>
      <c r="P5754">
        <v>0</v>
      </c>
      <c r="Q5754">
        <v>1</v>
      </c>
      <c r="R5754" t="s">
        <v>32531</v>
      </c>
      <c r="S5754" t="s">
        <v>32586</v>
      </c>
      <c r="T5754" t="s">
        <v>33416</v>
      </c>
      <c r="U5754" t="s">
        <v>38480</v>
      </c>
      <c r="W5754" t="s">
        <v>31575</v>
      </c>
      <c r="X5754" t="s">
        <v>32532</v>
      </c>
    </row>
    <row r="5755" spans="1:24">
      <c r="A5755">
        <f>HYPERLINK("https://www.philgeps.gov.ph/GEPSNONPILOT/Tender/SplashBidNoticeAbstractUI.aspx?menuIndex=3&amp;refID=7040760&amp;Result=3","7040760")</f>
        <v>0</v>
      </c>
      <c r="B5755" t="s">
        <v>64</v>
      </c>
      <c r="C5755" t="s">
        <v>8181</v>
      </c>
      <c r="D5755" t="s">
        <v>13016</v>
      </c>
      <c r="E5755" t="s">
        <v>18210</v>
      </c>
      <c r="F5755" t="s">
        <v>22436</v>
      </c>
      <c r="G5755" t="s">
        <v>22446</v>
      </c>
      <c r="H5755" t="s">
        <v>22452</v>
      </c>
      <c r="I5755" t="s">
        <v>5194</v>
      </c>
      <c r="J5755" t="s">
        <v>24063</v>
      </c>
      <c r="K5755" t="s">
        <v>29333</v>
      </c>
      <c r="M5755" t="s">
        <v>29636</v>
      </c>
      <c r="N5755" t="s">
        <v>32524</v>
      </c>
      <c r="O5755" t="s">
        <v>32525</v>
      </c>
      <c r="P5755">
        <v>0</v>
      </c>
      <c r="Q5755">
        <v>5</v>
      </c>
      <c r="R5755" t="s">
        <v>32531</v>
      </c>
      <c r="S5755" t="s">
        <v>32586</v>
      </c>
      <c r="T5755" t="s">
        <v>33220</v>
      </c>
      <c r="U5755" t="s">
        <v>38491</v>
      </c>
      <c r="V5755" t="s">
        <v>42432</v>
      </c>
      <c r="W5755" t="s">
        <v>29636</v>
      </c>
      <c r="X5755" t="s">
        <v>32532</v>
      </c>
    </row>
    <row r="5756" spans="1:24">
      <c r="A5756">
        <f>HYPERLINK("https://www.philgeps.gov.ph/GEPSNONPILOT/Tender/SplashBidNoticeAbstractUI.aspx?menuIndex=3&amp;refID=7040756&amp;Result=3","7040756")</f>
        <v>0</v>
      </c>
      <c r="B5756" t="s">
        <v>1857</v>
      </c>
      <c r="C5756" t="s">
        <v>8182</v>
      </c>
      <c r="D5756" t="s">
        <v>13041</v>
      </c>
      <c r="E5756" t="s">
        <v>18211</v>
      </c>
      <c r="F5756" t="s">
        <v>22436</v>
      </c>
      <c r="G5756" t="s">
        <v>22444</v>
      </c>
      <c r="H5756" t="s">
        <v>22454</v>
      </c>
      <c r="I5756" t="s">
        <v>7738</v>
      </c>
      <c r="J5756" t="s">
        <v>26358</v>
      </c>
      <c r="K5756" t="s">
        <v>29347</v>
      </c>
      <c r="M5756" t="s">
        <v>31575</v>
      </c>
      <c r="N5756" t="s">
        <v>32524</v>
      </c>
      <c r="O5756" t="s">
        <v>32525</v>
      </c>
      <c r="P5756">
        <v>0</v>
      </c>
      <c r="Q5756">
        <v>1</v>
      </c>
      <c r="R5756" t="s">
        <v>32531</v>
      </c>
      <c r="S5756" t="s">
        <v>32586</v>
      </c>
      <c r="T5756" t="s">
        <v>33416</v>
      </c>
      <c r="U5756" t="s">
        <v>38480</v>
      </c>
      <c r="W5756" t="s">
        <v>31575</v>
      </c>
      <c r="X5756" t="s">
        <v>32532</v>
      </c>
    </row>
    <row r="5757" spans="1:24">
      <c r="A5757">
        <f>HYPERLINK("https://www.philgeps.gov.ph/GEPSNONPILOT/Tender/SplashBidNoticeAbstractUI.aspx?menuIndex=3&amp;refID=7040761&amp;Result=3","7040761")</f>
        <v>0</v>
      </c>
      <c r="B5757" t="s">
        <v>1854</v>
      </c>
      <c r="C5757" t="s">
        <v>8183</v>
      </c>
      <c r="D5757" t="s">
        <v>12988</v>
      </c>
      <c r="E5757" t="s">
        <v>18212</v>
      </c>
      <c r="F5757" t="s">
        <v>22436</v>
      </c>
      <c r="G5757" t="s">
        <v>22444</v>
      </c>
      <c r="H5757" t="s">
        <v>22452</v>
      </c>
      <c r="I5757" t="s">
        <v>2981</v>
      </c>
      <c r="J5757" t="s">
        <v>23093</v>
      </c>
      <c r="K5757" t="s">
        <v>29336</v>
      </c>
      <c r="M5757" t="s">
        <v>31572</v>
      </c>
      <c r="N5757" t="s">
        <v>32524</v>
      </c>
      <c r="O5757" t="s">
        <v>32525</v>
      </c>
      <c r="P5757">
        <v>0</v>
      </c>
      <c r="Q5757">
        <v>0</v>
      </c>
      <c r="R5757" t="s">
        <v>32531</v>
      </c>
      <c r="S5757" t="s">
        <v>32586</v>
      </c>
      <c r="T5757" t="s">
        <v>33351</v>
      </c>
      <c r="U5757" t="s">
        <v>38492</v>
      </c>
      <c r="W5757" t="s">
        <v>31572</v>
      </c>
      <c r="X5757" t="s">
        <v>32532</v>
      </c>
    </row>
    <row r="5758" spans="1:24">
      <c r="A5758">
        <f>HYPERLINK("https://www.philgeps.gov.ph/GEPSNONPILOT/Tender/SplashBidNoticeAbstractUI.aspx?menuIndex=3&amp;refID=7040781&amp;Result=3","7040781")</f>
        <v>0</v>
      </c>
      <c r="B5758" t="s">
        <v>1853</v>
      </c>
      <c r="C5758" t="s">
        <v>8184</v>
      </c>
      <c r="D5758" t="s">
        <v>13022</v>
      </c>
      <c r="E5758" t="s">
        <v>18213</v>
      </c>
      <c r="F5758" t="s">
        <v>22436</v>
      </c>
      <c r="G5758" t="s">
        <v>22447</v>
      </c>
      <c r="H5758" t="s">
        <v>22452</v>
      </c>
      <c r="I5758" t="s">
        <v>22492</v>
      </c>
      <c r="J5758" t="s">
        <v>26359</v>
      </c>
      <c r="K5758" t="s">
        <v>29341</v>
      </c>
      <c r="M5758" t="s">
        <v>31571</v>
      </c>
      <c r="N5758" t="s">
        <v>32524</v>
      </c>
      <c r="O5758" t="s">
        <v>32525</v>
      </c>
      <c r="P5758">
        <v>0</v>
      </c>
      <c r="Q5758">
        <v>1</v>
      </c>
      <c r="R5758" t="s">
        <v>32531</v>
      </c>
      <c r="S5758" t="s">
        <v>32586</v>
      </c>
      <c r="T5758" t="s">
        <v>33261</v>
      </c>
      <c r="U5758" t="s">
        <v>38493</v>
      </c>
      <c r="V5758" t="s">
        <v>43059</v>
      </c>
      <c r="W5758" t="s">
        <v>31571</v>
      </c>
      <c r="X5758" t="s">
        <v>32532</v>
      </c>
    </row>
    <row r="5759" spans="1:24">
      <c r="A5759">
        <f>HYPERLINK("https://www.philgeps.gov.ph/GEPSNONPILOT/Tender/SplashBidNoticeAbstractUI.aspx?menuIndex=3&amp;refID=7040784&amp;Result=3","7040784")</f>
        <v>0</v>
      </c>
      <c r="B5759" t="s">
        <v>114</v>
      </c>
      <c r="C5759" t="s">
        <v>8185</v>
      </c>
      <c r="D5759" t="s">
        <v>12999</v>
      </c>
      <c r="E5759" t="s">
        <v>18214</v>
      </c>
      <c r="F5759" t="s">
        <v>22436</v>
      </c>
      <c r="G5759" t="s">
        <v>22447</v>
      </c>
      <c r="H5759" t="s">
        <v>22452</v>
      </c>
      <c r="I5759" t="s">
        <v>22560</v>
      </c>
      <c r="J5759" t="s">
        <v>23387</v>
      </c>
      <c r="K5759" t="s">
        <v>29335</v>
      </c>
      <c r="M5759" t="s">
        <v>29686</v>
      </c>
      <c r="N5759" t="s">
        <v>32524</v>
      </c>
      <c r="O5759" t="s">
        <v>32525</v>
      </c>
      <c r="P5759">
        <v>0</v>
      </c>
      <c r="Q5759">
        <v>5</v>
      </c>
      <c r="R5759" t="s">
        <v>32531</v>
      </c>
      <c r="S5759" t="s">
        <v>32586</v>
      </c>
      <c r="T5759" t="s">
        <v>33168</v>
      </c>
      <c r="U5759" t="s">
        <v>38494</v>
      </c>
      <c r="W5759" t="s">
        <v>29686</v>
      </c>
      <c r="X5759" t="s">
        <v>32532</v>
      </c>
    </row>
    <row r="5760" spans="1:24">
      <c r="A5760">
        <f>HYPERLINK("https://www.philgeps.gov.ph/GEPSNONPILOT/Tender/SplashBidNoticeAbstractUI.aspx?menuIndex=3&amp;refID=7040754&amp;Result=3","7040754")</f>
        <v>0</v>
      </c>
      <c r="B5760" t="s">
        <v>64</v>
      </c>
      <c r="C5760" t="s">
        <v>8186</v>
      </c>
      <c r="D5760" t="s">
        <v>13016</v>
      </c>
      <c r="E5760" t="s">
        <v>18215</v>
      </c>
      <c r="F5760" t="s">
        <v>22436</v>
      </c>
      <c r="G5760" t="s">
        <v>22446</v>
      </c>
      <c r="H5760" t="s">
        <v>22452</v>
      </c>
      <c r="I5760" t="s">
        <v>22467</v>
      </c>
      <c r="J5760" t="s">
        <v>22585</v>
      </c>
      <c r="K5760" t="s">
        <v>29335</v>
      </c>
      <c r="M5760" t="s">
        <v>29636</v>
      </c>
      <c r="N5760" t="s">
        <v>32524</v>
      </c>
      <c r="O5760" t="s">
        <v>32525</v>
      </c>
      <c r="P5760">
        <v>0</v>
      </c>
      <c r="Q5760">
        <v>0</v>
      </c>
      <c r="R5760" t="s">
        <v>32531</v>
      </c>
      <c r="S5760" t="s">
        <v>32586</v>
      </c>
      <c r="T5760" t="s">
        <v>33220</v>
      </c>
      <c r="U5760" t="s">
        <v>38495</v>
      </c>
      <c r="V5760" t="s">
        <v>42432</v>
      </c>
      <c r="W5760" t="s">
        <v>29636</v>
      </c>
      <c r="X5760" t="s">
        <v>32532</v>
      </c>
    </row>
    <row r="5761" spans="1:24">
      <c r="A5761">
        <f>HYPERLINK("https://www.philgeps.gov.ph/GEPSNONPILOT/Tender/SplashBidNoticeAbstractUI.aspx?menuIndex=3&amp;refID=7040779&amp;Result=3","7040779")</f>
        <v>0</v>
      </c>
      <c r="B5761" t="s">
        <v>1864</v>
      </c>
      <c r="C5761" t="s">
        <v>8187</v>
      </c>
      <c r="D5761" t="s">
        <v>13002</v>
      </c>
      <c r="E5761" t="s">
        <v>18216</v>
      </c>
      <c r="F5761" t="s">
        <v>22436</v>
      </c>
      <c r="G5761" t="s">
        <v>22444</v>
      </c>
      <c r="H5761" t="s">
        <v>22454</v>
      </c>
      <c r="I5761" t="s">
        <v>7738</v>
      </c>
      <c r="J5761" t="s">
        <v>26360</v>
      </c>
      <c r="K5761" t="s">
        <v>29333</v>
      </c>
      <c r="M5761" t="s">
        <v>31582</v>
      </c>
      <c r="N5761" t="s">
        <v>32524</v>
      </c>
      <c r="O5761" t="s">
        <v>32525</v>
      </c>
      <c r="P5761">
        <v>0</v>
      </c>
      <c r="Q5761">
        <v>0</v>
      </c>
      <c r="R5761" t="s">
        <v>32531</v>
      </c>
      <c r="S5761" t="s">
        <v>32586</v>
      </c>
      <c r="T5761" t="s">
        <v>33511</v>
      </c>
      <c r="U5761" t="s">
        <v>38496</v>
      </c>
      <c r="V5761" t="s">
        <v>43065</v>
      </c>
      <c r="W5761" t="s">
        <v>31582</v>
      </c>
      <c r="X5761" t="s">
        <v>32532</v>
      </c>
    </row>
    <row r="5762" spans="1:24">
      <c r="A5762">
        <f>HYPERLINK("https://www.philgeps.gov.ph/GEPSNONPILOT/Tender/SplashBidNoticeAbstractUI.aspx?menuIndex=3&amp;refID=7040783&amp;Result=3","7040783")</f>
        <v>0</v>
      </c>
      <c r="B5762" t="s">
        <v>1865</v>
      </c>
      <c r="C5762" t="s">
        <v>8188</v>
      </c>
      <c r="D5762" t="s">
        <v>13060</v>
      </c>
      <c r="E5762" t="s">
        <v>18217</v>
      </c>
      <c r="F5762" t="s">
        <v>22436</v>
      </c>
      <c r="G5762" t="s">
        <v>22444</v>
      </c>
      <c r="H5762" t="s">
        <v>22454</v>
      </c>
      <c r="I5762" t="s">
        <v>7738</v>
      </c>
      <c r="J5762" t="s">
        <v>23349</v>
      </c>
      <c r="K5762" t="s">
        <v>29435</v>
      </c>
      <c r="M5762" t="s">
        <v>31583</v>
      </c>
      <c r="N5762" t="s">
        <v>32524</v>
      </c>
      <c r="O5762" t="s">
        <v>32525</v>
      </c>
      <c r="P5762">
        <v>0</v>
      </c>
      <c r="Q5762">
        <v>1</v>
      </c>
      <c r="R5762" t="s">
        <v>32531</v>
      </c>
      <c r="S5762" t="s">
        <v>32586</v>
      </c>
      <c r="T5762" t="s">
        <v>33220</v>
      </c>
      <c r="U5762" t="s">
        <v>38497</v>
      </c>
      <c r="V5762" t="s">
        <v>43066</v>
      </c>
      <c r="W5762" t="s">
        <v>31583</v>
      </c>
      <c r="X5762" t="s">
        <v>32532</v>
      </c>
    </row>
    <row r="5763" spans="1:24">
      <c r="A5763">
        <f>HYPERLINK("https://www.philgeps.gov.ph/GEPSNONPILOT/Tender/SplashBidNoticeAbstractUI.aspx?menuIndex=3&amp;refID=7040759&amp;Result=3","7040759")</f>
        <v>0</v>
      </c>
      <c r="B5763" t="s">
        <v>1857</v>
      </c>
      <c r="C5763" t="s">
        <v>8189</v>
      </c>
      <c r="D5763" t="s">
        <v>13041</v>
      </c>
      <c r="E5763" t="s">
        <v>18218</v>
      </c>
      <c r="F5763" t="s">
        <v>22436</v>
      </c>
      <c r="G5763" t="s">
        <v>22444</v>
      </c>
      <c r="H5763" t="s">
        <v>22454</v>
      </c>
      <c r="I5763" t="s">
        <v>7738</v>
      </c>
      <c r="J5763" t="s">
        <v>26361</v>
      </c>
      <c r="K5763" t="s">
        <v>29435</v>
      </c>
      <c r="M5763" t="s">
        <v>31575</v>
      </c>
      <c r="N5763" t="s">
        <v>32524</v>
      </c>
      <c r="O5763" t="s">
        <v>32525</v>
      </c>
      <c r="P5763">
        <v>0</v>
      </c>
      <c r="Q5763">
        <v>2</v>
      </c>
      <c r="R5763" t="s">
        <v>32531</v>
      </c>
      <c r="S5763" t="s">
        <v>32586</v>
      </c>
      <c r="T5763" t="s">
        <v>33416</v>
      </c>
      <c r="U5763" t="s">
        <v>38480</v>
      </c>
      <c r="W5763" t="s">
        <v>31575</v>
      </c>
      <c r="X5763" t="s">
        <v>32532</v>
      </c>
    </row>
    <row r="5764" spans="1:24">
      <c r="A5764">
        <f>HYPERLINK("https://www.philgeps.gov.ph/GEPSNONPILOT/Tender/SplashBidNoticeAbstractUI.aspx?menuIndex=3&amp;refID=7040739&amp;Result=3","7040739")</f>
        <v>0</v>
      </c>
      <c r="B5764" t="s">
        <v>1512</v>
      </c>
      <c r="C5764" t="s">
        <v>8190</v>
      </c>
      <c r="D5764" t="s">
        <v>13002</v>
      </c>
      <c r="E5764" t="s">
        <v>18219</v>
      </c>
      <c r="F5764" t="s">
        <v>22436</v>
      </c>
      <c r="G5764" t="s">
        <v>22444</v>
      </c>
      <c r="H5764" t="s">
        <v>22454</v>
      </c>
      <c r="I5764" t="s">
        <v>7738</v>
      </c>
      <c r="J5764" t="s">
        <v>22587</v>
      </c>
      <c r="K5764" t="s">
        <v>29396</v>
      </c>
      <c r="L5764" t="s">
        <v>1512</v>
      </c>
      <c r="M5764" t="s">
        <v>31187</v>
      </c>
      <c r="N5764" t="s">
        <v>32524</v>
      </c>
      <c r="O5764" t="s">
        <v>32525</v>
      </c>
      <c r="P5764">
        <v>0</v>
      </c>
      <c r="Q5764">
        <v>1</v>
      </c>
      <c r="R5764" t="s">
        <v>32531</v>
      </c>
      <c r="S5764" t="s">
        <v>32586</v>
      </c>
      <c r="T5764" t="s">
        <v>33212</v>
      </c>
      <c r="U5764" t="s">
        <v>38498</v>
      </c>
      <c r="W5764" t="s">
        <v>31187</v>
      </c>
      <c r="X5764" t="s">
        <v>32532</v>
      </c>
    </row>
    <row r="5765" spans="1:24">
      <c r="A5765">
        <f>HYPERLINK("https://www.philgeps.gov.ph/GEPSNONPILOT/Tender/SplashBidNoticeAbstractUI.aspx?menuIndex=3&amp;refID=7040774&amp;Result=3","7040774")</f>
        <v>0</v>
      </c>
      <c r="B5765" t="s">
        <v>140</v>
      </c>
      <c r="C5765" t="s">
        <v>8191</v>
      </c>
      <c r="D5765" t="s">
        <v>12988</v>
      </c>
      <c r="E5765" t="s">
        <v>15063</v>
      </c>
      <c r="F5765" t="s">
        <v>22436</v>
      </c>
      <c r="G5765" t="s">
        <v>22444</v>
      </c>
      <c r="H5765" t="s">
        <v>22454</v>
      </c>
      <c r="I5765" t="s">
        <v>7738</v>
      </c>
      <c r="J5765" t="s">
        <v>26362</v>
      </c>
      <c r="K5765" t="s">
        <v>29345</v>
      </c>
      <c r="M5765" t="s">
        <v>30335</v>
      </c>
      <c r="N5765" t="s">
        <v>32524</v>
      </c>
      <c r="O5765" t="s">
        <v>32525</v>
      </c>
      <c r="P5765">
        <v>0</v>
      </c>
      <c r="Q5765">
        <v>5</v>
      </c>
      <c r="R5765" t="s">
        <v>32531</v>
      </c>
      <c r="S5765" t="s">
        <v>32586</v>
      </c>
      <c r="T5765" t="s">
        <v>33242</v>
      </c>
      <c r="U5765" t="s">
        <v>38499</v>
      </c>
      <c r="W5765" t="s">
        <v>30335</v>
      </c>
      <c r="X5765" t="s">
        <v>32532</v>
      </c>
    </row>
    <row r="5766" spans="1:24">
      <c r="A5766">
        <f>HYPERLINK("https://www.philgeps.gov.ph/GEPSNONPILOT/Tender/SplashBidNoticeAbstractUI.aspx?menuIndex=3&amp;refID=7040776&amp;Result=3","7040776")</f>
        <v>0</v>
      </c>
      <c r="B5766" t="s">
        <v>1858</v>
      </c>
      <c r="C5766" t="s">
        <v>8192</v>
      </c>
      <c r="D5766" t="s">
        <v>13007</v>
      </c>
      <c r="E5766" t="s">
        <v>18201</v>
      </c>
      <c r="F5766" t="s">
        <v>22441</v>
      </c>
      <c r="G5766" t="s">
        <v>22443</v>
      </c>
      <c r="H5766" t="s">
        <v>22453</v>
      </c>
      <c r="I5766" t="s">
        <v>2981</v>
      </c>
      <c r="J5766" t="s">
        <v>26363</v>
      </c>
      <c r="K5766" t="s">
        <v>29356</v>
      </c>
      <c r="M5766" t="s">
        <v>31576</v>
      </c>
      <c r="N5766" t="s">
        <v>32524</v>
      </c>
      <c r="O5766" t="s">
        <v>32525</v>
      </c>
      <c r="P5766">
        <v>0</v>
      </c>
      <c r="Q5766">
        <v>0</v>
      </c>
      <c r="R5766" t="s">
        <v>32531</v>
      </c>
      <c r="S5766" t="s">
        <v>32586</v>
      </c>
      <c r="T5766" t="s">
        <v>33185</v>
      </c>
      <c r="U5766" t="s">
        <v>38500</v>
      </c>
      <c r="W5766" t="s">
        <v>31576</v>
      </c>
      <c r="X5766" t="s">
        <v>32532</v>
      </c>
    </row>
    <row r="5767" spans="1:24">
      <c r="A5767">
        <f>HYPERLINK("https://www.philgeps.gov.ph/GEPSNONPILOT/Tender/SplashBidNoticeAbstractUI.aspx?menuIndex=3&amp;refID=7040778&amp;Result=3","7040778")</f>
        <v>0</v>
      </c>
      <c r="B5767" t="s">
        <v>1866</v>
      </c>
      <c r="C5767" t="s">
        <v>8193</v>
      </c>
      <c r="D5767" t="s">
        <v>12988</v>
      </c>
      <c r="E5767" t="s">
        <v>18220</v>
      </c>
      <c r="F5767" t="s">
        <v>22436</v>
      </c>
      <c r="G5767" t="s">
        <v>22444</v>
      </c>
      <c r="H5767" t="s">
        <v>22452</v>
      </c>
      <c r="I5767" t="s">
        <v>22482</v>
      </c>
      <c r="J5767" t="s">
        <v>26364</v>
      </c>
      <c r="K5767" t="s">
        <v>29335</v>
      </c>
      <c r="M5767" t="s">
        <v>31584</v>
      </c>
      <c r="N5767" t="s">
        <v>32524</v>
      </c>
      <c r="O5767" t="s">
        <v>32525</v>
      </c>
      <c r="P5767">
        <v>0</v>
      </c>
      <c r="Q5767">
        <v>11</v>
      </c>
      <c r="R5767" t="s">
        <v>32531</v>
      </c>
      <c r="S5767" t="s">
        <v>32586</v>
      </c>
      <c r="T5767" t="s">
        <v>33168</v>
      </c>
      <c r="U5767" t="s">
        <v>38501</v>
      </c>
      <c r="W5767" t="s">
        <v>31584</v>
      </c>
      <c r="X5767" t="s">
        <v>32532</v>
      </c>
    </row>
    <row r="5768" spans="1:24">
      <c r="A5768">
        <f>HYPERLINK("https://www.philgeps.gov.ph/GEPSNONPILOT/Tender/SplashBidNoticeAbstractUI.aspx?menuIndex=3&amp;refID=7040771&amp;Result=3","7040771")</f>
        <v>0</v>
      </c>
      <c r="B5768" t="s">
        <v>1333</v>
      </c>
      <c r="C5768" t="s">
        <v>8194</v>
      </c>
      <c r="D5768" t="s">
        <v>13009</v>
      </c>
      <c r="E5768" t="s">
        <v>18221</v>
      </c>
      <c r="F5768" t="s">
        <v>22436</v>
      </c>
      <c r="G5768" t="s">
        <v>22444</v>
      </c>
      <c r="H5768" t="s">
        <v>22454</v>
      </c>
      <c r="I5768" t="s">
        <v>7738</v>
      </c>
      <c r="J5768" t="s">
        <v>22779</v>
      </c>
      <c r="K5768" t="s">
        <v>29329</v>
      </c>
      <c r="M5768" t="s">
        <v>30988</v>
      </c>
      <c r="N5768" t="s">
        <v>32524</v>
      </c>
      <c r="O5768" t="s">
        <v>32525</v>
      </c>
      <c r="P5768">
        <v>0</v>
      </c>
      <c r="Q5768">
        <v>0</v>
      </c>
      <c r="R5768" t="s">
        <v>32531</v>
      </c>
      <c r="S5768" t="s">
        <v>32586</v>
      </c>
      <c r="T5768" t="s">
        <v>33397</v>
      </c>
      <c r="U5768" t="s">
        <v>38502</v>
      </c>
      <c r="W5768" t="s">
        <v>30988</v>
      </c>
      <c r="X5768" t="s">
        <v>32532</v>
      </c>
    </row>
    <row r="5769" spans="1:24">
      <c r="A5769">
        <f>HYPERLINK("https://www.philgeps.gov.ph/GEPSNONPILOT/Tender/SplashBidNoticeAbstractUI.aspx?menuIndex=3&amp;refID=7040804&amp;Result=3","7040804")</f>
        <v>0</v>
      </c>
      <c r="B5769" t="s">
        <v>1858</v>
      </c>
      <c r="C5769" t="s">
        <v>8195</v>
      </c>
      <c r="D5769" t="s">
        <v>13007</v>
      </c>
      <c r="E5769" t="s">
        <v>18201</v>
      </c>
      <c r="F5769" t="s">
        <v>22441</v>
      </c>
      <c r="G5769" t="s">
        <v>22443</v>
      </c>
      <c r="H5769" t="s">
        <v>22452</v>
      </c>
      <c r="I5769" t="s">
        <v>5194</v>
      </c>
      <c r="J5769" t="s">
        <v>22856</v>
      </c>
      <c r="K5769" t="s">
        <v>29356</v>
      </c>
      <c r="M5769" t="s">
        <v>31576</v>
      </c>
      <c r="N5769" t="s">
        <v>32524</v>
      </c>
      <c r="O5769" t="s">
        <v>32525</v>
      </c>
      <c r="P5769">
        <v>0</v>
      </c>
      <c r="Q5769">
        <v>0</v>
      </c>
      <c r="R5769" t="s">
        <v>32531</v>
      </c>
      <c r="S5769" t="s">
        <v>32586</v>
      </c>
      <c r="T5769" t="s">
        <v>33185</v>
      </c>
      <c r="U5769" t="s">
        <v>38503</v>
      </c>
      <c r="W5769" t="s">
        <v>31576</v>
      </c>
      <c r="X5769" t="s">
        <v>32532</v>
      </c>
    </row>
    <row r="5770" spans="1:24">
      <c r="A5770">
        <f>HYPERLINK("https://www.philgeps.gov.ph/GEPSNONPILOT/Tender/SplashBidNoticeAbstractUI.aspx?menuIndex=3&amp;refID=7040788&amp;Result=3","7040788")</f>
        <v>0</v>
      </c>
      <c r="B5770" t="s">
        <v>1858</v>
      </c>
      <c r="C5770" t="s">
        <v>8196</v>
      </c>
      <c r="D5770" t="s">
        <v>13007</v>
      </c>
      <c r="E5770" t="s">
        <v>18201</v>
      </c>
      <c r="F5770" t="s">
        <v>22441</v>
      </c>
      <c r="G5770" t="s">
        <v>22443</v>
      </c>
      <c r="H5770" t="s">
        <v>22452</v>
      </c>
      <c r="I5770" t="s">
        <v>3529</v>
      </c>
      <c r="J5770" t="s">
        <v>23235</v>
      </c>
      <c r="K5770" t="s">
        <v>29356</v>
      </c>
      <c r="M5770" t="s">
        <v>31576</v>
      </c>
      <c r="N5770" t="s">
        <v>32524</v>
      </c>
      <c r="O5770" t="s">
        <v>32525</v>
      </c>
      <c r="P5770">
        <v>0</v>
      </c>
      <c r="Q5770">
        <v>0</v>
      </c>
      <c r="R5770" t="s">
        <v>32531</v>
      </c>
      <c r="S5770" t="s">
        <v>32586</v>
      </c>
      <c r="T5770" t="s">
        <v>33185</v>
      </c>
      <c r="U5770" t="s">
        <v>38504</v>
      </c>
      <c r="V5770" t="s">
        <v>43067</v>
      </c>
      <c r="W5770" t="s">
        <v>31576</v>
      </c>
      <c r="X5770" t="s">
        <v>32532</v>
      </c>
    </row>
    <row r="5771" spans="1:24">
      <c r="A5771">
        <f>HYPERLINK("https://www.philgeps.gov.ph/GEPSNONPILOT/Tender/SplashBidNoticeAbstractUI.aspx?menuIndex=3&amp;refID=7040768&amp;Result=3","7040768")</f>
        <v>0</v>
      </c>
      <c r="B5771" t="s">
        <v>806</v>
      </c>
      <c r="C5771" t="s">
        <v>8197</v>
      </c>
      <c r="D5771" t="s">
        <v>13002</v>
      </c>
      <c r="E5771" t="s">
        <v>18222</v>
      </c>
      <c r="F5771" t="s">
        <v>22436</v>
      </c>
      <c r="G5771" t="s">
        <v>22444</v>
      </c>
      <c r="H5771" t="s">
        <v>22452</v>
      </c>
      <c r="I5771" t="s">
        <v>6421</v>
      </c>
      <c r="J5771" t="s">
        <v>26365</v>
      </c>
      <c r="K5771" t="s">
        <v>29341</v>
      </c>
      <c r="M5771" t="s">
        <v>30408</v>
      </c>
      <c r="N5771" t="s">
        <v>32524</v>
      </c>
      <c r="O5771" t="s">
        <v>32525</v>
      </c>
      <c r="P5771">
        <v>0</v>
      </c>
      <c r="Q5771">
        <v>4</v>
      </c>
      <c r="R5771" t="s">
        <v>32531</v>
      </c>
      <c r="S5771" t="s">
        <v>32586</v>
      </c>
      <c r="T5771" t="s">
        <v>33191</v>
      </c>
      <c r="U5771" t="s">
        <v>38505</v>
      </c>
      <c r="W5771" t="s">
        <v>30408</v>
      </c>
      <c r="X5771" t="s">
        <v>32532</v>
      </c>
    </row>
    <row r="5772" spans="1:24">
      <c r="A5772">
        <f>HYPERLINK("https://www.philgeps.gov.ph/GEPSNONPILOT/Tender/SplashBidNoticeAbstractUI.aspx?menuIndex=3&amp;refID=7040807&amp;Result=3","7040807")</f>
        <v>0</v>
      </c>
      <c r="B5772" t="s">
        <v>1864</v>
      </c>
      <c r="C5772" t="s">
        <v>8198</v>
      </c>
      <c r="D5772" t="s">
        <v>13002</v>
      </c>
      <c r="E5772" t="s">
        <v>18223</v>
      </c>
      <c r="F5772" t="s">
        <v>22436</v>
      </c>
      <c r="G5772" t="s">
        <v>22444</v>
      </c>
      <c r="H5772" t="s">
        <v>22454</v>
      </c>
      <c r="I5772" t="s">
        <v>7738</v>
      </c>
      <c r="J5772" t="s">
        <v>26366</v>
      </c>
      <c r="K5772" t="s">
        <v>29333</v>
      </c>
      <c r="M5772" t="s">
        <v>31582</v>
      </c>
      <c r="N5772" t="s">
        <v>32524</v>
      </c>
      <c r="O5772" t="s">
        <v>32525</v>
      </c>
      <c r="P5772">
        <v>0</v>
      </c>
      <c r="Q5772">
        <v>0</v>
      </c>
      <c r="R5772" t="s">
        <v>32531</v>
      </c>
      <c r="S5772" t="s">
        <v>32586</v>
      </c>
      <c r="T5772" t="s">
        <v>33512</v>
      </c>
      <c r="U5772" t="s">
        <v>38496</v>
      </c>
      <c r="V5772" t="s">
        <v>43065</v>
      </c>
      <c r="W5772" t="s">
        <v>31582</v>
      </c>
      <c r="X5772" t="s">
        <v>32532</v>
      </c>
    </row>
    <row r="5773" spans="1:24">
      <c r="A5773">
        <f>HYPERLINK("https://www.philgeps.gov.ph/GEPSNONPILOT/Tender/SplashBidNoticeAbstractUI.aspx?menuIndex=3&amp;refID=7040800&amp;Result=3","7040800")</f>
        <v>0</v>
      </c>
      <c r="B5773" t="s">
        <v>1112</v>
      </c>
      <c r="C5773" t="s">
        <v>8199</v>
      </c>
      <c r="E5773" t="s">
        <v>18224</v>
      </c>
      <c r="F5773" t="s">
        <v>22436</v>
      </c>
      <c r="G5773" t="s">
        <v>22444</v>
      </c>
      <c r="H5773" t="s">
        <v>22452</v>
      </c>
      <c r="I5773" t="s">
        <v>22486</v>
      </c>
      <c r="J5773" t="s">
        <v>23350</v>
      </c>
      <c r="K5773" t="s">
        <v>29338</v>
      </c>
      <c r="M5773" t="s">
        <v>30750</v>
      </c>
      <c r="N5773" t="s">
        <v>32524</v>
      </c>
      <c r="O5773" t="s">
        <v>32525</v>
      </c>
      <c r="P5773">
        <v>0</v>
      </c>
      <c r="Q5773">
        <v>0</v>
      </c>
      <c r="R5773" t="s">
        <v>32531</v>
      </c>
      <c r="S5773" t="s">
        <v>32586</v>
      </c>
      <c r="T5773" t="s">
        <v>33452</v>
      </c>
      <c r="U5773" t="s">
        <v>36242</v>
      </c>
      <c r="W5773" t="s">
        <v>30750</v>
      </c>
      <c r="X5773" t="s">
        <v>32532</v>
      </c>
    </row>
    <row r="5774" spans="1:24">
      <c r="A5774">
        <f>HYPERLINK("https://www.philgeps.gov.ph/GEPSNONPILOT/Tender/SplashBidNoticeAbstractUI.aspx?menuIndex=3&amp;refID=7040818&amp;Result=3","7040818")</f>
        <v>0</v>
      </c>
      <c r="B5774" t="s">
        <v>1858</v>
      </c>
      <c r="C5774" t="s">
        <v>8200</v>
      </c>
      <c r="D5774" t="s">
        <v>13007</v>
      </c>
      <c r="E5774" t="s">
        <v>18201</v>
      </c>
      <c r="F5774" t="s">
        <v>22441</v>
      </c>
      <c r="G5774" t="s">
        <v>22443</v>
      </c>
      <c r="H5774" t="s">
        <v>22452</v>
      </c>
      <c r="I5774" t="s">
        <v>2981</v>
      </c>
      <c r="J5774" t="s">
        <v>22865</v>
      </c>
      <c r="K5774" t="s">
        <v>29356</v>
      </c>
      <c r="M5774" t="s">
        <v>31576</v>
      </c>
      <c r="N5774" t="s">
        <v>32524</v>
      </c>
      <c r="O5774" t="s">
        <v>32525</v>
      </c>
      <c r="P5774">
        <v>0</v>
      </c>
      <c r="Q5774">
        <v>0</v>
      </c>
      <c r="R5774" t="s">
        <v>32531</v>
      </c>
      <c r="S5774" t="s">
        <v>32586</v>
      </c>
      <c r="T5774" t="s">
        <v>33185</v>
      </c>
      <c r="U5774" t="s">
        <v>38506</v>
      </c>
      <c r="W5774" t="s">
        <v>31576</v>
      </c>
      <c r="X5774" t="s">
        <v>32532</v>
      </c>
    </row>
    <row r="5775" spans="1:24">
      <c r="A5775">
        <f>HYPERLINK("https://www.philgeps.gov.ph/GEPSNONPILOT/Tender/SplashBidNoticeAbstractUI.aspx?menuIndex=3&amp;refID=7040770&amp;Result=3","7040770")</f>
        <v>0</v>
      </c>
      <c r="B5775" t="s">
        <v>1853</v>
      </c>
      <c r="C5775" t="s">
        <v>8201</v>
      </c>
      <c r="D5775" t="s">
        <v>13022</v>
      </c>
      <c r="E5775" t="s">
        <v>18225</v>
      </c>
      <c r="F5775" t="s">
        <v>22436</v>
      </c>
      <c r="G5775" t="s">
        <v>22444</v>
      </c>
      <c r="H5775" t="s">
        <v>22452</v>
      </c>
      <c r="I5775" t="s">
        <v>22456</v>
      </c>
      <c r="J5775" t="s">
        <v>26367</v>
      </c>
      <c r="K5775" t="s">
        <v>29337</v>
      </c>
      <c r="M5775" t="s">
        <v>31571</v>
      </c>
      <c r="N5775" t="s">
        <v>32524</v>
      </c>
      <c r="O5775" t="s">
        <v>32525</v>
      </c>
      <c r="P5775">
        <v>0</v>
      </c>
      <c r="Q5775">
        <v>4</v>
      </c>
      <c r="R5775" t="s">
        <v>32531</v>
      </c>
      <c r="S5775" t="s">
        <v>32586</v>
      </c>
      <c r="T5775" t="s">
        <v>33261</v>
      </c>
      <c r="U5775" t="s">
        <v>38507</v>
      </c>
      <c r="V5775" t="s">
        <v>43059</v>
      </c>
      <c r="W5775" t="s">
        <v>31571</v>
      </c>
      <c r="X5775" t="s">
        <v>32532</v>
      </c>
    </row>
    <row r="5776" spans="1:24">
      <c r="A5776">
        <f>HYPERLINK("https://www.philgeps.gov.ph/GEPSNONPILOT/Tender/SplashBidNoticeAbstractUI.aspx?menuIndex=3&amp;refID=7040764&amp;Result=3","7040764")</f>
        <v>0</v>
      </c>
      <c r="B5776" t="s">
        <v>1333</v>
      </c>
      <c r="C5776" t="s">
        <v>8202</v>
      </c>
      <c r="D5776" t="s">
        <v>13009</v>
      </c>
      <c r="E5776" t="s">
        <v>18226</v>
      </c>
      <c r="F5776" t="s">
        <v>22436</v>
      </c>
      <c r="G5776" t="s">
        <v>22444</v>
      </c>
      <c r="H5776" t="s">
        <v>22454</v>
      </c>
      <c r="I5776" t="s">
        <v>7738</v>
      </c>
      <c r="J5776" t="s">
        <v>22634</v>
      </c>
      <c r="K5776" t="s">
        <v>29344</v>
      </c>
      <c r="M5776" t="s">
        <v>30988</v>
      </c>
      <c r="N5776" t="s">
        <v>32524</v>
      </c>
      <c r="O5776" t="s">
        <v>32525</v>
      </c>
      <c r="P5776">
        <v>0</v>
      </c>
      <c r="Q5776">
        <v>0</v>
      </c>
      <c r="R5776" t="s">
        <v>32531</v>
      </c>
      <c r="S5776" t="s">
        <v>32586</v>
      </c>
      <c r="T5776" t="s">
        <v>33423</v>
      </c>
      <c r="U5776" t="s">
        <v>38508</v>
      </c>
      <c r="W5776" t="s">
        <v>30988</v>
      </c>
      <c r="X5776" t="s">
        <v>32532</v>
      </c>
    </row>
    <row r="5777" spans="1:24">
      <c r="A5777">
        <f>HYPERLINK("https://www.philgeps.gov.ph/GEPSNONPILOT/Tender/SplashBidNoticeAbstractUI.aspx?menuIndex=3&amp;refID=7040763&amp;Result=3","7040763")</f>
        <v>0</v>
      </c>
      <c r="B5777" t="s">
        <v>1862</v>
      </c>
      <c r="C5777" t="s">
        <v>8203</v>
      </c>
      <c r="D5777" t="s">
        <v>13024</v>
      </c>
      <c r="E5777" t="s">
        <v>18227</v>
      </c>
      <c r="F5777" t="s">
        <v>22436</v>
      </c>
      <c r="G5777" t="s">
        <v>22443</v>
      </c>
      <c r="H5777" t="s">
        <v>22452</v>
      </c>
      <c r="I5777" t="s">
        <v>22460</v>
      </c>
      <c r="J5777" t="s">
        <v>26368</v>
      </c>
      <c r="K5777" t="s">
        <v>29335</v>
      </c>
      <c r="M5777" t="s">
        <v>31580</v>
      </c>
      <c r="N5777" t="s">
        <v>32524</v>
      </c>
      <c r="O5777" t="s">
        <v>32525</v>
      </c>
      <c r="P5777">
        <v>0</v>
      </c>
      <c r="Q5777">
        <v>2</v>
      </c>
      <c r="R5777" t="s">
        <v>32531</v>
      </c>
      <c r="S5777" t="s">
        <v>32586</v>
      </c>
      <c r="T5777" t="s">
        <v>33296</v>
      </c>
      <c r="U5777" t="s">
        <v>38509</v>
      </c>
      <c r="V5777" t="s">
        <v>42461</v>
      </c>
      <c r="W5777" t="s">
        <v>31580</v>
      </c>
      <c r="X5777" t="s">
        <v>32532</v>
      </c>
    </row>
    <row r="5778" spans="1:24">
      <c r="A5778">
        <f>HYPERLINK("https://www.philgeps.gov.ph/GEPSNONPILOT/Tender/SplashBidNoticeAbstractUI.aspx?menuIndex=3&amp;refID=7040820&amp;Result=3","7040820")</f>
        <v>0</v>
      </c>
      <c r="B5778" t="s">
        <v>1867</v>
      </c>
      <c r="C5778" t="s">
        <v>8204</v>
      </c>
      <c r="E5778" t="s">
        <v>13148</v>
      </c>
      <c r="F5778" t="s">
        <v>22437</v>
      </c>
      <c r="G5778" t="s">
        <v>22444</v>
      </c>
      <c r="H5778" t="s">
        <v>22452</v>
      </c>
      <c r="I5778" t="s">
        <v>22467</v>
      </c>
      <c r="J5778" t="s">
        <v>22788</v>
      </c>
      <c r="K5778" t="s">
        <v>29338</v>
      </c>
      <c r="M5778" t="s">
        <v>31585</v>
      </c>
      <c r="N5778" t="s">
        <v>32524</v>
      </c>
      <c r="O5778" t="s">
        <v>32525</v>
      </c>
      <c r="P5778">
        <v>0</v>
      </c>
      <c r="Q5778">
        <v>0</v>
      </c>
      <c r="R5778" t="s">
        <v>32531</v>
      </c>
      <c r="S5778" t="s">
        <v>32586</v>
      </c>
      <c r="T5778" t="s">
        <v>33211</v>
      </c>
      <c r="U5778" t="s">
        <v>38510</v>
      </c>
      <c r="W5778" t="s">
        <v>31585</v>
      </c>
      <c r="X5778" t="s">
        <v>32532</v>
      </c>
    </row>
    <row r="5779" spans="1:24">
      <c r="A5779">
        <f>HYPERLINK("https://www.philgeps.gov.ph/GEPSNONPILOT/Tender/SplashBidNoticeAbstractUI.aspx?menuIndex=3&amp;refID=7040840&amp;Result=3","7040840")</f>
        <v>0</v>
      </c>
      <c r="B5779" t="s">
        <v>826</v>
      </c>
      <c r="C5779" t="s">
        <v>8205</v>
      </c>
      <c r="D5779" t="s">
        <v>12998</v>
      </c>
      <c r="E5779" t="s">
        <v>18180</v>
      </c>
      <c r="F5779" t="s">
        <v>22437</v>
      </c>
      <c r="G5779" t="s">
        <v>22443</v>
      </c>
      <c r="H5779" t="s">
        <v>22452</v>
      </c>
      <c r="I5779" t="s">
        <v>22499</v>
      </c>
      <c r="J5779" t="s">
        <v>22865</v>
      </c>
      <c r="K5779" t="s">
        <v>29340</v>
      </c>
      <c r="M5779" t="s">
        <v>31569</v>
      </c>
      <c r="N5779" t="s">
        <v>32524</v>
      </c>
      <c r="O5779" t="s">
        <v>32525</v>
      </c>
      <c r="P5779">
        <v>0</v>
      </c>
      <c r="Q5779">
        <v>3</v>
      </c>
      <c r="R5779" t="s">
        <v>32531</v>
      </c>
      <c r="S5779" t="s">
        <v>32586</v>
      </c>
      <c r="T5779" t="s">
        <v>33327</v>
      </c>
      <c r="U5779" t="s">
        <v>38511</v>
      </c>
      <c r="V5779" t="s">
        <v>34315</v>
      </c>
      <c r="W5779" t="s">
        <v>31569</v>
      </c>
      <c r="X5779" t="s">
        <v>32532</v>
      </c>
    </row>
    <row r="5780" spans="1:24">
      <c r="A5780">
        <f>HYPERLINK("https://www.philgeps.gov.ph/GEPSNONPILOT/Tender/SplashBidNoticeAbstractUI.aspx?menuIndex=3&amp;refID=7040838&amp;Result=3","7040838")</f>
        <v>0</v>
      </c>
      <c r="B5780" t="s">
        <v>1858</v>
      </c>
      <c r="C5780" t="s">
        <v>8206</v>
      </c>
      <c r="D5780" t="s">
        <v>13007</v>
      </c>
      <c r="E5780" t="s">
        <v>18201</v>
      </c>
      <c r="F5780" t="s">
        <v>22441</v>
      </c>
      <c r="G5780" t="s">
        <v>22443</v>
      </c>
      <c r="H5780" t="s">
        <v>22452</v>
      </c>
      <c r="I5780" t="s">
        <v>2981</v>
      </c>
      <c r="J5780" t="s">
        <v>22695</v>
      </c>
      <c r="K5780" t="s">
        <v>29356</v>
      </c>
      <c r="M5780" t="s">
        <v>31576</v>
      </c>
      <c r="N5780" t="s">
        <v>32524</v>
      </c>
      <c r="O5780" t="s">
        <v>32525</v>
      </c>
      <c r="P5780">
        <v>0</v>
      </c>
      <c r="Q5780">
        <v>0</v>
      </c>
      <c r="R5780" t="s">
        <v>32531</v>
      </c>
      <c r="S5780" t="s">
        <v>32586</v>
      </c>
      <c r="T5780" t="s">
        <v>33185</v>
      </c>
      <c r="U5780" t="s">
        <v>38512</v>
      </c>
      <c r="W5780" t="s">
        <v>31576</v>
      </c>
      <c r="X5780" t="s">
        <v>32532</v>
      </c>
    </row>
    <row r="5781" spans="1:24">
      <c r="A5781">
        <f>HYPERLINK("https://www.philgeps.gov.ph/GEPSNONPILOT/Tender/SplashBidNoticeAbstractUI.aspx?menuIndex=3&amp;refID=7040813&amp;Result=3","7040813")</f>
        <v>0</v>
      </c>
      <c r="B5781" t="s">
        <v>1868</v>
      </c>
      <c r="C5781" t="s">
        <v>8207</v>
      </c>
      <c r="E5781" t="s">
        <v>18228</v>
      </c>
      <c r="F5781" t="s">
        <v>22436</v>
      </c>
      <c r="G5781" t="s">
        <v>22444</v>
      </c>
      <c r="H5781" t="s">
        <v>22452</v>
      </c>
      <c r="I5781" t="s">
        <v>22461</v>
      </c>
      <c r="J5781" t="s">
        <v>26369</v>
      </c>
      <c r="K5781" t="s">
        <v>29338</v>
      </c>
      <c r="M5781" t="s">
        <v>31586</v>
      </c>
      <c r="N5781" t="s">
        <v>32524</v>
      </c>
      <c r="O5781" t="s">
        <v>32525</v>
      </c>
      <c r="P5781">
        <v>0</v>
      </c>
      <c r="Q5781">
        <v>1</v>
      </c>
      <c r="R5781" t="s">
        <v>32531</v>
      </c>
      <c r="S5781" t="s">
        <v>32586</v>
      </c>
      <c r="T5781" t="s">
        <v>33242</v>
      </c>
      <c r="U5781" t="s">
        <v>38513</v>
      </c>
      <c r="W5781" t="s">
        <v>31586</v>
      </c>
      <c r="X5781" t="s">
        <v>32532</v>
      </c>
    </row>
    <row r="5782" spans="1:24">
      <c r="A5782">
        <f>HYPERLINK("https://www.philgeps.gov.ph/GEPSNONPILOT/Tender/SplashBidNoticeAbstractUI.aspx?menuIndex=3&amp;refID=7040762&amp;Result=3","7040762")</f>
        <v>0</v>
      </c>
      <c r="B5782" t="s">
        <v>1869</v>
      </c>
      <c r="C5782" t="s">
        <v>8208</v>
      </c>
      <c r="D5782" t="s">
        <v>13028</v>
      </c>
      <c r="E5782" t="s">
        <v>18229</v>
      </c>
      <c r="F5782" t="s">
        <v>22436</v>
      </c>
      <c r="G5782" t="s">
        <v>22443</v>
      </c>
      <c r="H5782" t="s">
        <v>22452</v>
      </c>
      <c r="I5782" t="s">
        <v>22471</v>
      </c>
      <c r="J5782" t="s">
        <v>23482</v>
      </c>
      <c r="K5782" t="s">
        <v>29335</v>
      </c>
      <c r="M5782" t="s">
        <v>31587</v>
      </c>
      <c r="N5782" t="s">
        <v>32524</v>
      </c>
      <c r="O5782" t="s">
        <v>32525</v>
      </c>
      <c r="P5782">
        <v>0</v>
      </c>
      <c r="Q5782">
        <v>6</v>
      </c>
      <c r="R5782" t="s">
        <v>32531</v>
      </c>
      <c r="S5782" t="s">
        <v>32586</v>
      </c>
      <c r="T5782" t="s">
        <v>33218</v>
      </c>
      <c r="U5782" t="s">
        <v>38514</v>
      </c>
      <c r="W5782" t="s">
        <v>31587</v>
      </c>
      <c r="X5782" t="s">
        <v>32532</v>
      </c>
    </row>
    <row r="5783" spans="1:24">
      <c r="A5783">
        <f>HYPERLINK("https://www.philgeps.gov.ph/GEPSNONPILOT/Tender/SplashBidNoticeAbstractUI.aspx?menuIndex=3&amp;refID=7040837&amp;Result=3","7040837")</f>
        <v>0</v>
      </c>
      <c r="B5783" t="s">
        <v>1870</v>
      </c>
      <c r="C5783" t="s">
        <v>8209</v>
      </c>
      <c r="D5783" t="s">
        <v>13045</v>
      </c>
      <c r="E5783" t="s">
        <v>18230</v>
      </c>
      <c r="F5783" t="s">
        <v>22436</v>
      </c>
      <c r="G5783" t="s">
        <v>22444</v>
      </c>
      <c r="H5783" t="s">
        <v>22454</v>
      </c>
      <c r="I5783" t="s">
        <v>7738</v>
      </c>
      <c r="J5783" t="s">
        <v>25346</v>
      </c>
      <c r="K5783" t="s">
        <v>29345</v>
      </c>
      <c r="M5783" t="s">
        <v>31588</v>
      </c>
      <c r="N5783" t="s">
        <v>32524</v>
      </c>
      <c r="O5783" t="s">
        <v>32525</v>
      </c>
      <c r="P5783">
        <v>0</v>
      </c>
      <c r="Q5783">
        <v>1</v>
      </c>
      <c r="R5783" t="s">
        <v>32531</v>
      </c>
      <c r="S5783" t="s">
        <v>32586</v>
      </c>
      <c r="T5783" t="s">
        <v>33234</v>
      </c>
      <c r="U5783" t="s">
        <v>38515</v>
      </c>
      <c r="V5783" t="s">
        <v>43068</v>
      </c>
      <c r="W5783" t="s">
        <v>31588</v>
      </c>
      <c r="X5783" t="s">
        <v>32532</v>
      </c>
    </row>
    <row r="5784" spans="1:24">
      <c r="A5784">
        <f>HYPERLINK("https://www.philgeps.gov.ph/GEPSNONPILOT/Tender/SplashBidNoticeAbstractUI.aspx?menuIndex=3&amp;refID=7040842&amp;Result=3","7040842")</f>
        <v>0</v>
      </c>
      <c r="B5784" t="s">
        <v>1870</v>
      </c>
      <c r="C5784" t="s">
        <v>8210</v>
      </c>
      <c r="D5784" t="s">
        <v>13045</v>
      </c>
      <c r="E5784" t="s">
        <v>18231</v>
      </c>
      <c r="F5784" t="s">
        <v>22436</v>
      </c>
      <c r="G5784" t="s">
        <v>22444</v>
      </c>
      <c r="H5784" t="s">
        <v>22454</v>
      </c>
      <c r="I5784" t="s">
        <v>7738</v>
      </c>
      <c r="J5784" t="s">
        <v>25909</v>
      </c>
      <c r="K5784" t="s">
        <v>29344</v>
      </c>
      <c r="M5784" t="s">
        <v>31588</v>
      </c>
      <c r="N5784" t="s">
        <v>32524</v>
      </c>
      <c r="O5784" t="s">
        <v>32525</v>
      </c>
      <c r="P5784">
        <v>0</v>
      </c>
      <c r="Q5784">
        <v>1</v>
      </c>
      <c r="R5784" t="s">
        <v>32531</v>
      </c>
      <c r="S5784" t="s">
        <v>32586</v>
      </c>
      <c r="T5784" t="s">
        <v>33234</v>
      </c>
      <c r="U5784" t="s">
        <v>38516</v>
      </c>
      <c r="V5784" t="s">
        <v>43068</v>
      </c>
      <c r="W5784" t="s">
        <v>31588</v>
      </c>
      <c r="X5784" t="s">
        <v>32532</v>
      </c>
    </row>
    <row r="5785" spans="1:24">
      <c r="A5785">
        <f>HYPERLINK("https://www.philgeps.gov.ph/GEPSNONPILOT/Tender/SplashBidNoticeAbstractUI.aspx?menuIndex=3&amp;refID=7040829&amp;Result=3","7040829")</f>
        <v>0</v>
      </c>
      <c r="B5785" t="s">
        <v>1871</v>
      </c>
      <c r="C5785" t="s">
        <v>8211</v>
      </c>
      <c r="D5785" t="s">
        <v>12990</v>
      </c>
      <c r="E5785" t="s">
        <v>13137</v>
      </c>
      <c r="F5785" t="s">
        <v>22436</v>
      </c>
      <c r="G5785" t="s">
        <v>22444</v>
      </c>
      <c r="H5785" t="s">
        <v>22454</v>
      </c>
      <c r="I5785" t="s">
        <v>7738</v>
      </c>
      <c r="J5785" t="s">
        <v>23093</v>
      </c>
      <c r="K5785" t="s">
        <v>29352</v>
      </c>
      <c r="M5785" t="s">
        <v>31589</v>
      </c>
      <c r="N5785" t="s">
        <v>32524</v>
      </c>
      <c r="O5785" t="s">
        <v>32525</v>
      </c>
      <c r="P5785">
        <v>0</v>
      </c>
      <c r="Q5785">
        <v>0</v>
      </c>
      <c r="R5785" t="s">
        <v>32531</v>
      </c>
      <c r="S5785" t="s">
        <v>32586</v>
      </c>
      <c r="T5785" t="s">
        <v>33215</v>
      </c>
      <c r="U5785" t="s">
        <v>38517</v>
      </c>
      <c r="W5785" t="s">
        <v>31589</v>
      </c>
      <c r="X5785" t="s">
        <v>32532</v>
      </c>
    </row>
    <row r="5786" spans="1:24">
      <c r="A5786">
        <f>HYPERLINK("https://www.philgeps.gov.ph/GEPSNONPILOT/Tender/SplashBidNoticeAbstractUI.aspx?menuIndex=3&amp;refID=7040851&amp;Result=3","7040851")</f>
        <v>0</v>
      </c>
      <c r="B5786" t="s">
        <v>1868</v>
      </c>
      <c r="C5786" t="s">
        <v>8212</v>
      </c>
      <c r="E5786" t="s">
        <v>18232</v>
      </c>
      <c r="F5786" t="s">
        <v>22436</v>
      </c>
      <c r="G5786" t="s">
        <v>22444</v>
      </c>
      <c r="H5786" t="s">
        <v>22452</v>
      </c>
      <c r="I5786" t="s">
        <v>22461</v>
      </c>
      <c r="J5786" t="s">
        <v>26370</v>
      </c>
      <c r="K5786" t="s">
        <v>29338</v>
      </c>
      <c r="M5786" t="s">
        <v>31586</v>
      </c>
      <c r="N5786" t="s">
        <v>32524</v>
      </c>
      <c r="O5786" t="s">
        <v>32525</v>
      </c>
      <c r="P5786">
        <v>0</v>
      </c>
      <c r="Q5786">
        <v>1</v>
      </c>
      <c r="R5786" t="s">
        <v>32531</v>
      </c>
      <c r="S5786" t="s">
        <v>32586</v>
      </c>
      <c r="T5786" t="s">
        <v>33242</v>
      </c>
      <c r="U5786" t="s">
        <v>38518</v>
      </c>
      <c r="W5786" t="s">
        <v>31586</v>
      </c>
      <c r="X5786" t="s">
        <v>32532</v>
      </c>
    </row>
    <row r="5787" spans="1:24">
      <c r="A5787">
        <f>HYPERLINK("https://www.philgeps.gov.ph/GEPSNONPILOT/Tender/SplashBidNoticeAbstractUI.aspx?menuIndex=3&amp;refID=7040843&amp;Result=3","7040843")</f>
        <v>0</v>
      </c>
      <c r="B5787" t="s">
        <v>1872</v>
      </c>
      <c r="C5787" t="s">
        <v>8213</v>
      </c>
      <c r="D5787" t="s">
        <v>13010</v>
      </c>
      <c r="E5787" t="s">
        <v>13137</v>
      </c>
      <c r="F5787" t="s">
        <v>22436</v>
      </c>
      <c r="G5787" t="s">
        <v>22446</v>
      </c>
      <c r="H5787" t="s">
        <v>22452</v>
      </c>
      <c r="I5787" t="s">
        <v>2993</v>
      </c>
      <c r="J5787" t="s">
        <v>26371</v>
      </c>
      <c r="K5787" t="s">
        <v>29338</v>
      </c>
      <c r="M5787" t="s">
        <v>31590</v>
      </c>
      <c r="N5787" t="s">
        <v>32524</v>
      </c>
      <c r="O5787" t="s">
        <v>32525</v>
      </c>
      <c r="P5787">
        <v>0</v>
      </c>
      <c r="Q5787">
        <v>0</v>
      </c>
      <c r="R5787" t="s">
        <v>32531</v>
      </c>
      <c r="S5787" t="s">
        <v>32586</v>
      </c>
      <c r="T5787" t="s">
        <v>33185</v>
      </c>
      <c r="U5787" t="s">
        <v>38519</v>
      </c>
      <c r="W5787" t="s">
        <v>31590</v>
      </c>
      <c r="X5787" t="s">
        <v>32532</v>
      </c>
    </row>
    <row r="5788" spans="1:24">
      <c r="A5788">
        <f>HYPERLINK("https://www.philgeps.gov.ph/GEPSNONPILOT/Tender/SplashBidNoticeAbstractUI.aspx?menuIndex=3&amp;refID=7040830&amp;Result=3","7040830")</f>
        <v>0</v>
      </c>
      <c r="B5788" t="s">
        <v>1858</v>
      </c>
      <c r="C5788" t="s">
        <v>8214</v>
      </c>
      <c r="D5788" t="s">
        <v>13007</v>
      </c>
      <c r="E5788" t="s">
        <v>18201</v>
      </c>
      <c r="F5788" t="s">
        <v>22441</v>
      </c>
      <c r="G5788" t="s">
        <v>22443</v>
      </c>
      <c r="H5788" t="s">
        <v>22452</v>
      </c>
      <c r="I5788" t="s">
        <v>22460</v>
      </c>
      <c r="J5788" t="s">
        <v>22721</v>
      </c>
      <c r="K5788" t="s">
        <v>29356</v>
      </c>
      <c r="M5788" t="s">
        <v>31576</v>
      </c>
      <c r="N5788" t="s">
        <v>32524</v>
      </c>
      <c r="O5788" t="s">
        <v>32525</v>
      </c>
      <c r="P5788">
        <v>0</v>
      </c>
      <c r="Q5788">
        <v>1</v>
      </c>
      <c r="R5788" t="s">
        <v>32531</v>
      </c>
      <c r="S5788" t="s">
        <v>32586</v>
      </c>
      <c r="T5788" t="s">
        <v>33185</v>
      </c>
      <c r="U5788" t="s">
        <v>38520</v>
      </c>
      <c r="W5788" t="s">
        <v>31576</v>
      </c>
      <c r="X5788" t="s">
        <v>32532</v>
      </c>
    </row>
    <row r="5789" spans="1:24">
      <c r="A5789">
        <f>HYPERLINK("https://www.philgeps.gov.ph/GEPSNONPILOT/Tender/SplashBidNoticeAbstractUI.aspx?menuIndex=3&amp;refID=7040828&amp;Result=3","7040828")</f>
        <v>0</v>
      </c>
      <c r="B5789" t="s">
        <v>1864</v>
      </c>
      <c r="C5789" t="s">
        <v>8215</v>
      </c>
      <c r="D5789" t="s">
        <v>13002</v>
      </c>
      <c r="E5789" t="s">
        <v>18233</v>
      </c>
      <c r="F5789" t="s">
        <v>22436</v>
      </c>
      <c r="G5789" t="s">
        <v>22444</v>
      </c>
      <c r="H5789" t="s">
        <v>22454</v>
      </c>
      <c r="I5789" t="s">
        <v>7738</v>
      </c>
      <c r="J5789" t="s">
        <v>26372</v>
      </c>
      <c r="K5789" t="s">
        <v>29333</v>
      </c>
      <c r="M5789" t="s">
        <v>31582</v>
      </c>
      <c r="N5789" t="s">
        <v>32524</v>
      </c>
      <c r="O5789" t="s">
        <v>32525</v>
      </c>
      <c r="P5789">
        <v>0</v>
      </c>
      <c r="Q5789">
        <v>0</v>
      </c>
      <c r="R5789" t="s">
        <v>32531</v>
      </c>
      <c r="S5789" t="s">
        <v>32586</v>
      </c>
      <c r="T5789" t="s">
        <v>33513</v>
      </c>
      <c r="U5789" t="s">
        <v>38496</v>
      </c>
      <c r="V5789" t="s">
        <v>43065</v>
      </c>
      <c r="W5789" t="s">
        <v>31582</v>
      </c>
      <c r="X5789" t="s">
        <v>32532</v>
      </c>
    </row>
    <row r="5790" spans="1:24">
      <c r="A5790">
        <f>HYPERLINK("https://www.philgeps.gov.ph/GEPSNONPILOT/Tender/SplashBidNoticeAbstractUI.aspx?menuIndex=3&amp;refID=7040850&amp;Result=3","7040850")</f>
        <v>0</v>
      </c>
      <c r="B5790" t="s">
        <v>1804</v>
      </c>
      <c r="C5790" t="s">
        <v>8216</v>
      </c>
      <c r="D5790" t="s">
        <v>13064</v>
      </c>
      <c r="E5790" t="s">
        <v>18234</v>
      </c>
      <c r="F5790" t="s">
        <v>22436</v>
      </c>
      <c r="G5790" t="s">
        <v>22445</v>
      </c>
      <c r="H5790" t="s">
        <v>22452</v>
      </c>
      <c r="I5790" t="s">
        <v>22471</v>
      </c>
      <c r="J5790" t="s">
        <v>26373</v>
      </c>
      <c r="K5790" t="s">
        <v>29335</v>
      </c>
      <c r="M5790" t="s">
        <v>31517</v>
      </c>
      <c r="N5790" t="s">
        <v>32524</v>
      </c>
      <c r="O5790" t="s">
        <v>32525</v>
      </c>
      <c r="P5790">
        <v>0</v>
      </c>
      <c r="Q5790">
        <v>6</v>
      </c>
      <c r="R5790" t="s">
        <v>32531</v>
      </c>
      <c r="S5790" t="s">
        <v>32586</v>
      </c>
      <c r="T5790" t="s">
        <v>33310</v>
      </c>
      <c r="U5790" t="s">
        <v>38521</v>
      </c>
      <c r="W5790" t="s">
        <v>31517</v>
      </c>
      <c r="X5790" t="s">
        <v>32532</v>
      </c>
    </row>
    <row r="5791" spans="1:24">
      <c r="A5791">
        <f>HYPERLINK("https://www.philgeps.gov.ph/GEPSNONPILOT/Tender/SplashBidNoticeAbstractUI.aspx?menuIndex=3&amp;refID=7040841&amp;Result=3","7040841")</f>
        <v>0</v>
      </c>
      <c r="B5791" t="s">
        <v>1804</v>
      </c>
      <c r="C5791" t="s">
        <v>8217</v>
      </c>
      <c r="D5791" t="s">
        <v>13064</v>
      </c>
      <c r="E5791" t="s">
        <v>18235</v>
      </c>
      <c r="F5791" t="s">
        <v>22436</v>
      </c>
      <c r="G5791" t="s">
        <v>22443</v>
      </c>
      <c r="H5791" t="s">
        <v>22452</v>
      </c>
      <c r="I5791" t="s">
        <v>22524</v>
      </c>
      <c r="J5791" t="s">
        <v>22798</v>
      </c>
      <c r="K5791" t="s">
        <v>29335</v>
      </c>
      <c r="M5791" t="s">
        <v>31517</v>
      </c>
      <c r="N5791" t="s">
        <v>32524</v>
      </c>
      <c r="O5791" t="s">
        <v>32525</v>
      </c>
      <c r="P5791">
        <v>0</v>
      </c>
      <c r="Q5791">
        <v>0</v>
      </c>
      <c r="R5791" t="s">
        <v>32531</v>
      </c>
      <c r="S5791" t="s">
        <v>32586</v>
      </c>
      <c r="T5791" t="s">
        <v>33310</v>
      </c>
      <c r="U5791" t="s">
        <v>38522</v>
      </c>
      <c r="W5791" t="s">
        <v>31517</v>
      </c>
      <c r="X5791" t="s">
        <v>32532</v>
      </c>
    </row>
    <row r="5792" spans="1:24">
      <c r="A5792">
        <f>HYPERLINK("https://www.philgeps.gov.ph/GEPSNONPILOT/Tender/SplashBidNoticeAbstractUI.aspx?menuIndex=3&amp;refID=7040849&amp;Result=3","7040849")</f>
        <v>0</v>
      </c>
      <c r="B5792" t="s">
        <v>1873</v>
      </c>
      <c r="C5792" t="s">
        <v>8218</v>
      </c>
      <c r="D5792" t="s">
        <v>12988</v>
      </c>
      <c r="E5792" t="s">
        <v>18236</v>
      </c>
      <c r="F5792" t="s">
        <v>22436</v>
      </c>
      <c r="G5792" t="s">
        <v>22444</v>
      </c>
      <c r="H5792" t="s">
        <v>22454</v>
      </c>
      <c r="I5792" t="s">
        <v>7738</v>
      </c>
      <c r="J5792" t="s">
        <v>26374</v>
      </c>
      <c r="K5792" t="s">
        <v>29345</v>
      </c>
      <c r="M5792" t="s">
        <v>31591</v>
      </c>
      <c r="N5792" t="s">
        <v>32524</v>
      </c>
      <c r="O5792" t="s">
        <v>32525</v>
      </c>
      <c r="P5792">
        <v>0</v>
      </c>
      <c r="Q5792">
        <v>31</v>
      </c>
      <c r="R5792" t="s">
        <v>32531</v>
      </c>
      <c r="S5792" t="s">
        <v>32586</v>
      </c>
      <c r="T5792" t="s">
        <v>33234</v>
      </c>
      <c r="U5792" t="s">
        <v>38523</v>
      </c>
      <c r="W5792" t="s">
        <v>31591</v>
      </c>
      <c r="X5792" t="s">
        <v>32532</v>
      </c>
    </row>
    <row r="5793" spans="1:24">
      <c r="A5793">
        <f>HYPERLINK("https://www.philgeps.gov.ph/GEPSNONPILOT/Tender/SplashBidNoticeAbstractUI.aspx?menuIndex=3&amp;refID=7040810&amp;Result=3","7040810")</f>
        <v>0</v>
      </c>
      <c r="B5793" t="s">
        <v>1874</v>
      </c>
      <c r="C5793" t="s">
        <v>8219</v>
      </c>
      <c r="D5793" t="s">
        <v>12988</v>
      </c>
      <c r="E5793" t="s">
        <v>15039</v>
      </c>
      <c r="F5793" t="s">
        <v>22436</v>
      </c>
      <c r="G5793" t="s">
        <v>22444</v>
      </c>
      <c r="H5793" t="s">
        <v>22452</v>
      </c>
      <c r="I5793" t="s">
        <v>22548</v>
      </c>
      <c r="J5793" t="s">
        <v>22634</v>
      </c>
      <c r="K5793" t="s">
        <v>29331</v>
      </c>
      <c r="M5793" t="s">
        <v>31592</v>
      </c>
      <c r="N5793" t="s">
        <v>32524</v>
      </c>
      <c r="O5793" t="s">
        <v>32525</v>
      </c>
      <c r="P5793">
        <v>0</v>
      </c>
      <c r="Q5793">
        <v>1</v>
      </c>
      <c r="R5793" t="s">
        <v>32531</v>
      </c>
      <c r="S5793" t="s">
        <v>32586</v>
      </c>
      <c r="T5793" t="s">
        <v>33283</v>
      </c>
      <c r="U5793" t="s">
        <v>38524</v>
      </c>
      <c r="W5793" t="s">
        <v>31592</v>
      </c>
      <c r="X5793" t="s">
        <v>32532</v>
      </c>
    </row>
    <row r="5794" spans="1:24">
      <c r="A5794">
        <f>HYPERLINK("https://www.philgeps.gov.ph/GEPSNONPILOT/Tender/SplashBidNoticeAbstractUI.aspx?menuIndex=3&amp;refID=7040844&amp;Result=3","7040844")</f>
        <v>0</v>
      </c>
      <c r="B5794" t="s">
        <v>1870</v>
      </c>
      <c r="C5794" t="s">
        <v>8220</v>
      </c>
      <c r="D5794" t="s">
        <v>13045</v>
      </c>
      <c r="E5794" t="s">
        <v>18237</v>
      </c>
      <c r="F5794" t="s">
        <v>22436</v>
      </c>
      <c r="G5794" t="s">
        <v>22444</v>
      </c>
      <c r="H5794" t="s">
        <v>22454</v>
      </c>
      <c r="I5794" t="s">
        <v>7738</v>
      </c>
      <c r="J5794" t="s">
        <v>25346</v>
      </c>
      <c r="K5794" t="s">
        <v>29345</v>
      </c>
      <c r="M5794" t="s">
        <v>31588</v>
      </c>
      <c r="N5794" t="s">
        <v>32524</v>
      </c>
      <c r="O5794" t="s">
        <v>32525</v>
      </c>
      <c r="P5794">
        <v>0</v>
      </c>
      <c r="Q5794">
        <v>0</v>
      </c>
      <c r="R5794" t="s">
        <v>32531</v>
      </c>
      <c r="S5794" t="s">
        <v>32586</v>
      </c>
      <c r="T5794" t="s">
        <v>33234</v>
      </c>
      <c r="U5794" t="s">
        <v>38525</v>
      </c>
      <c r="V5794" t="s">
        <v>43068</v>
      </c>
      <c r="W5794" t="s">
        <v>31588</v>
      </c>
      <c r="X5794" t="s">
        <v>32532</v>
      </c>
    </row>
    <row r="5795" spans="1:24">
      <c r="A5795">
        <f>HYPERLINK("https://www.philgeps.gov.ph/GEPSNONPILOT/Tender/SplashBidNoticeAbstractUI.aspx?menuIndex=3&amp;refID=7040845&amp;Result=3","7040845")</f>
        <v>0</v>
      </c>
      <c r="B5795" t="s">
        <v>704</v>
      </c>
      <c r="C5795" t="s">
        <v>8221</v>
      </c>
      <c r="D5795" t="s">
        <v>12992</v>
      </c>
      <c r="E5795" t="s">
        <v>18238</v>
      </c>
      <c r="F5795" t="s">
        <v>22436</v>
      </c>
      <c r="G5795" t="s">
        <v>22444</v>
      </c>
      <c r="H5795" t="s">
        <v>22452</v>
      </c>
      <c r="I5795" t="s">
        <v>22479</v>
      </c>
      <c r="J5795" t="s">
        <v>24391</v>
      </c>
      <c r="K5795" t="s">
        <v>29331</v>
      </c>
      <c r="M5795" t="s">
        <v>30301</v>
      </c>
      <c r="N5795" t="s">
        <v>32524</v>
      </c>
      <c r="O5795" t="s">
        <v>32525</v>
      </c>
      <c r="P5795">
        <v>0</v>
      </c>
      <c r="Q5795">
        <v>0</v>
      </c>
      <c r="R5795" t="s">
        <v>32531</v>
      </c>
      <c r="S5795" t="s">
        <v>32586</v>
      </c>
      <c r="T5795" t="s">
        <v>33167</v>
      </c>
      <c r="U5795" t="s">
        <v>38526</v>
      </c>
      <c r="V5795" t="s">
        <v>42538</v>
      </c>
      <c r="W5795" t="s">
        <v>30301</v>
      </c>
      <c r="X5795" t="s">
        <v>32532</v>
      </c>
    </row>
    <row r="5796" spans="1:24">
      <c r="A5796">
        <f>HYPERLINK("https://www.philgeps.gov.ph/GEPSNONPILOT/Tender/SplashBidNoticeAbstractUI.aspx?menuIndex=3&amp;refID=7040853&amp;Result=3","7040853")</f>
        <v>0</v>
      </c>
      <c r="B5796" t="s">
        <v>1875</v>
      </c>
      <c r="C5796" t="s">
        <v>8222</v>
      </c>
      <c r="D5796" t="s">
        <v>13022</v>
      </c>
      <c r="E5796" t="s">
        <v>18239</v>
      </c>
      <c r="F5796" t="s">
        <v>22436</v>
      </c>
      <c r="G5796" t="s">
        <v>22447</v>
      </c>
      <c r="H5796" t="s">
        <v>22452</v>
      </c>
      <c r="I5796" t="s">
        <v>22471</v>
      </c>
      <c r="J5796" t="s">
        <v>26375</v>
      </c>
      <c r="K5796" t="s">
        <v>29341</v>
      </c>
      <c r="M5796" t="s">
        <v>31593</v>
      </c>
      <c r="N5796" t="s">
        <v>32524</v>
      </c>
      <c r="O5796" t="s">
        <v>32525</v>
      </c>
      <c r="P5796">
        <v>0</v>
      </c>
      <c r="Q5796">
        <v>2</v>
      </c>
      <c r="R5796" t="s">
        <v>32531</v>
      </c>
      <c r="S5796" t="s">
        <v>32586</v>
      </c>
      <c r="T5796" t="s">
        <v>33167</v>
      </c>
      <c r="U5796" t="s">
        <v>38527</v>
      </c>
      <c r="W5796" t="s">
        <v>31593</v>
      </c>
      <c r="X5796" t="s">
        <v>32532</v>
      </c>
    </row>
    <row r="5797" spans="1:24">
      <c r="A5797">
        <f>HYPERLINK("https://www.philgeps.gov.ph/GEPSNONPILOT/Tender/SplashBidNoticeAbstractUI.aspx?menuIndex=3&amp;refID=7040846&amp;Result=3","7040846")</f>
        <v>0</v>
      </c>
      <c r="B5797" t="s">
        <v>1876</v>
      </c>
      <c r="C5797" t="s">
        <v>8223</v>
      </c>
      <c r="D5797" t="s">
        <v>13061</v>
      </c>
      <c r="E5797" t="s">
        <v>18240</v>
      </c>
      <c r="F5797" t="s">
        <v>22436</v>
      </c>
      <c r="G5797" t="s">
        <v>22444</v>
      </c>
      <c r="H5797" t="s">
        <v>22454</v>
      </c>
      <c r="I5797" t="s">
        <v>7738</v>
      </c>
      <c r="J5797" t="s">
        <v>23978</v>
      </c>
      <c r="K5797" t="s">
        <v>29413</v>
      </c>
      <c r="M5797" t="s">
        <v>31594</v>
      </c>
      <c r="N5797" t="s">
        <v>32524</v>
      </c>
      <c r="O5797" t="s">
        <v>32525</v>
      </c>
      <c r="P5797">
        <v>0</v>
      </c>
      <c r="Q5797">
        <v>3</v>
      </c>
      <c r="R5797" t="s">
        <v>32531</v>
      </c>
      <c r="S5797" t="s">
        <v>32586</v>
      </c>
      <c r="T5797" t="s">
        <v>33242</v>
      </c>
      <c r="U5797" t="s">
        <v>38528</v>
      </c>
      <c r="V5797" t="s">
        <v>43069</v>
      </c>
      <c r="W5797" t="s">
        <v>31594</v>
      </c>
      <c r="X5797" t="s">
        <v>32532</v>
      </c>
    </row>
    <row r="5798" spans="1:24">
      <c r="A5798">
        <f>HYPERLINK("https://www.philgeps.gov.ph/GEPSNONPILOT/Tender/SplashBidNoticeAbstractUI.aspx?menuIndex=3&amp;refID=7040866&amp;Result=3","7040866")</f>
        <v>0</v>
      </c>
      <c r="B5798" t="s">
        <v>1875</v>
      </c>
      <c r="C5798" t="s">
        <v>8224</v>
      </c>
      <c r="D5798" t="s">
        <v>13022</v>
      </c>
      <c r="E5798" t="s">
        <v>18241</v>
      </c>
      <c r="F5798" t="s">
        <v>22436</v>
      </c>
      <c r="G5798" t="s">
        <v>22447</v>
      </c>
      <c r="H5798" t="s">
        <v>22452</v>
      </c>
      <c r="I5798" t="s">
        <v>22471</v>
      </c>
      <c r="J5798" t="s">
        <v>26376</v>
      </c>
      <c r="K5798" t="s">
        <v>29341</v>
      </c>
      <c r="M5798" t="s">
        <v>31593</v>
      </c>
      <c r="N5798" t="s">
        <v>32524</v>
      </c>
      <c r="O5798" t="s">
        <v>32525</v>
      </c>
      <c r="P5798">
        <v>0</v>
      </c>
      <c r="Q5798">
        <v>2</v>
      </c>
      <c r="R5798" t="s">
        <v>32531</v>
      </c>
      <c r="S5798" t="s">
        <v>32586</v>
      </c>
      <c r="T5798" t="s">
        <v>33167</v>
      </c>
      <c r="U5798" t="s">
        <v>38529</v>
      </c>
      <c r="W5798" t="s">
        <v>31593</v>
      </c>
      <c r="X5798" t="s">
        <v>32532</v>
      </c>
    </row>
    <row r="5799" spans="1:24">
      <c r="A5799">
        <f>HYPERLINK("https://www.philgeps.gov.ph/GEPSNONPILOT/Tender/SplashBidNoticeAbstractUI.aspx?menuIndex=3&amp;refID=7040847&amp;Result=3","7040847")</f>
        <v>0</v>
      </c>
      <c r="B5799" t="s">
        <v>1870</v>
      </c>
      <c r="C5799" t="s">
        <v>8225</v>
      </c>
      <c r="D5799" t="s">
        <v>13045</v>
      </c>
      <c r="E5799" t="s">
        <v>18242</v>
      </c>
      <c r="F5799" t="s">
        <v>22436</v>
      </c>
      <c r="G5799" t="s">
        <v>22444</v>
      </c>
      <c r="H5799" t="s">
        <v>22454</v>
      </c>
      <c r="I5799" t="s">
        <v>7738</v>
      </c>
      <c r="J5799" t="s">
        <v>25909</v>
      </c>
      <c r="K5799" t="s">
        <v>29344</v>
      </c>
      <c r="M5799" t="s">
        <v>31588</v>
      </c>
      <c r="N5799" t="s">
        <v>32524</v>
      </c>
      <c r="O5799" t="s">
        <v>32525</v>
      </c>
      <c r="P5799">
        <v>0</v>
      </c>
      <c r="Q5799">
        <v>0</v>
      </c>
      <c r="R5799" t="s">
        <v>32531</v>
      </c>
      <c r="S5799" t="s">
        <v>32586</v>
      </c>
      <c r="T5799" t="s">
        <v>33234</v>
      </c>
      <c r="U5799" t="s">
        <v>38516</v>
      </c>
      <c r="V5799" t="s">
        <v>43068</v>
      </c>
      <c r="W5799" t="s">
        <v>31588</v>
      </c>
      <c r="X5799" t="s">
        <v>32532</v>
      </c>
    </row>
    <row r="5800" spans="1:24">
      <c r="A5800">
        <f>HYPERLINK("https://www.philgeps.gov.ph/GEPSNONPILOT/Tender/SplashBidNoticeAbstractUI.aspx?menuIndex=3&amp;refID=7040875&amp;Result=3","7040875")</f>
        <v>0</v>
      </c>
      <c r="B5800" t="s">
        <v>1873</v>
      </c>
      <c r="C5800" t="s">
        <v>8226</v>
      </c>
      <c r="D5800" t="s">
        <v>12988</v>
      </c>
      <c r="E5800" t="s">
        <v>18243</v>
      </c>
      <c r="F5800" t="s">
        <v>22436</v>
      </c>
      <c r="G5800" t="s">
        <v>22444</v>
      </c>
      <c r="H5800" t="s">
        <v>22454</v>
      </c>
      <c r="I5800" t="s">
        <v>7738</v>
      </c>
      <c r="J5800" t="s">
        <v>26377</v>
      </c>
      <c r="K5800" t="s">
        <v>29388</v>
      </c>
      <c r="M5800" t="s">
        <v>31591</v>
      </c>
      <c r="N5800" t="s">
        <v>32524</v>
      </c>
      <c r="O5800" t="s">
        <v>32525</v>
      </c>
      <c r="P5800">
        <v>0</v>
      </c>
      <c r="Q5800">
        <v>22</v>
      </c>
      <c r="R5800" t="s">
        <v>32531</v>
      </c>
      <c r="S5800" t="s">
        <v>32586</v>
      </c>
      <c r="T5800" t="s">
        <v>33234</v>
      </c>
      <c r="U5800" t="s">
        <v>38523</v>
      </c>
      <c r="W5800" t="s">
        <v>31591</v>
      </c>
      <c r="X5800" t="s">
        <v>32532</v>
      </c>
    </row>
    <row r="5801" spans="1:24">
      <c r="A5801">
        <f>HYPERLINK("https://www.philgeps.gov.ph/GEPSNONPILOT/Tender/SplashBidNoticeAbstractUI.aspx?menuIndex=3&amp;refID=7040874&amp;Result=3","7040874")</f>
        <v>0</v>
      </c>
      <c r="B5801" t="s">
        <v>1877</v>
      </c>
      <c r="C5801" t="s">
        <v>8227</v>
      </c>
      <c r="D5801" t="s">
        <v>13018</v>
      </c>
      <c r="E5801" t="s">
        <v>13477</v>
      </c>
      <c r="F5801" t="s">
        <v>22436</v>
      </c>
      <c r="G5801" t="s">
        <v>22444</v>
      </c>
      <c r="H5801" t="s">
        <v>22452</v>
      </c>
      <c r="I5801" t="s">
        <v>22465</v>
      </c>
      <c r="J5801" t="s">
        <v>26378</v>
      </c>
      <c r="K5801" t="s">
        <v>29336</v>
      </c>
      <c r="M5801" t="s">
        <v>31595</v>
      </c>
      <c r="N5801" t="s">
        <v>32524</v>
      </c>
      <c r="O5801" t="s">
        <v>32525</v>
      </c>
      <c r="P5801">
        <v>0</v>
      </c>
      <c r="Q5801">
        <v>0</v>
      </c>
      <c r="R5801" t="s">
        <v>32531</v>
      </c>
      <c r="S5801" t="s">
        <v>32586</v>
      </c>
      <c r="T5801" t="s">
        <v>33351</v>
      </c>
      <c r="U5801" t="s">
        <v>38530</v>
      </c>
      <c r="V5801" t="s">
        <v>43070</v>
      </c>
      <c r="W5801" t="s">
        <v>31595</v>
      </c>
      <c r="X5801" t="s">
        <v>32532</v>
      </c>
    </row>
    <row r="5802" spans="1:24">
      <c r="A5802">
        <f>HYPERLINK("https://www.philgeps.gov.ph/GEPSNONPILOT/Tender/SplashBidNoticeAbstractUI.aspx?menuIndex=3&amp;refID=7040870&amp;Result=3","7040870")</f>
        <v>0</v>
      </c>
      <c r="B5802" t="s">
        <v>1864</v>
      </c>
      <c r="C5802" t="s">
        <v>8228</v>
      </c>
      <c r="D5802" t="s">
        <v>13079</v>
      </c>
      <c r="E5802" t="s">
        <v>18244</v>
      </c>
      <c r="F5802" t="s">
        <v>22436</v>
      </c>
      <c r="G5802" t="s">
        <v>22444</v>
      </c>
      <c r="H5802" t="s">
        <v>22452</v>
      </c>
      <c r="I5802" t="s">
        <v>3529</v>
      </c>
      <c r="J5802" t="s">
        <v>23327</v>
      </c>
      <c r="K5802" t="s">
        <v>29335</v>
      </c>
      <c r="M5802" t="s">
        <v>31582</v>
      </c>
      <c r="N5802" t="s">
        <v>32524</v>
      </c>
      <c r="O5802" t="s">
        <v>32525</v>
      </c>
      <c r="P5802">
        <v>0</v>
      </c>
      <c r="Q5802">
        <v>0</v>
      </c>
      <c r="R5802" t="s">
        <v>32531</v>
      </c>
      <c r="S5802" t="s">
        <v>32586</v>
      </c>
      <c r="T5802" t="s">
        <v>33514</v>
      </c>
      <c r="U5802" t="s">
        <v>38496</v>
      </c>
      <c r="V5802" t="s">
        <v>43065</v>
      </c>
      <c r="W5802" t="s">
        <v>31582</v>
      </c>
      <c r="X5802" t="s">
        <v>32532</v>
      </c>
    </row>
    <row r="5803" spans="1:24">
      <c r="A5803">
        <f>HYPERLINK("https://www.philgeps.gov.ph/GEPSNONPILOT/Tender/SplashBidNoticeAbstractUI.aspx?menuIndex=3&amp;refID=7040862&amp;Result=3","7040862")</f>
        <v>0</v>
      </c>
      <c r="B5803" t="s">
        <v>1878</v>
      </c>
      <c r="C5803" t="s">
        <v>8229</v>
      </c>
      <c r="D5803" t="s">
        <v>12988</v>
      </c>
      <c r="E5803" t="s">
        <v>18245</v>
      </c>
      <c r="F5803" t="s">
        <v>22436</v>
      </c>
      <c r="G5803" t="s">
        <v>22444</v>
      </c>
      <c r="H5803" t="s">
        <v>22455</v>
      </c>
      <c r="I5803" t="s">
        <v>22455</v>
      </c>
      <c r="J5803" t="s">
        <v>23835</v>
      </c>
      <c r="K5803" t="s">
        <v>29344</v>
      </c>
      <c r="M5803" t="s">
        <v>31596</v>
      </c>
      <c r="N5803" t="s">
        <v>32524</v>
      </c>
      <c r="O5803" t="s">
        <v>32525</v>
      </c>
      <c r="P5803">
        <v>0</v>
      </c>
      <c r="Q5803">
        <v>7</v>
      </c>
      <c r="R5803" t="s">
        <v>32531</v>
      </c>
      <c r="S5803" t="s">
        <v>32586</v>
      </c>
      <c r="T5803" t="s">
        <v>33515</v>
      </c>
      <c r="U5803" t="s">
        <v>38531</v>
      </c>
      <c r="W5803" t="s">
        <v>31596</v>
      </c>
      <c r="X5803" t="s">
        <v>32532</v>
      </c>
    </row>
    <row r="5804" spans="1:24">
      <c r="A5804">
        <f>HYPERLINK("https://www.philgeps.gov.ph/GEPSNONPILOT/Tender/SplashBidNoticeAbstractUI.aspx?menuIndex=3&amp;refID=7040864&amp;Result=3","7040864")</f>
        <v>0</v>
      </c>
      <c r="B5804" t="s">
        <v>1858</v>
      </c>
      <c r="C5804" t="s">
        <v>8230</v>
      </c>
      <c r="D5804" t="s">
        <v>13007</v>
      </c>
      <c r="E5804" t="s">
        <v>18201</v>
      </c>
      <c r="F5804" t="s">
        <v>22441</v>
      </c>
      <c r="G5804" t="s">
        <v>22443</v>
      </c>
      <c r="H5804" t="s">
        <v>22452</v>
      </c>
      <c r="I5804" t="s">
        <v>3381</v>
      </c>
      <c r="J5804" t="s">
        <v>22785</v>
      </c>
      <c r="K5804" t="s">
        <v>29356</v>
      </c>
      <c r="M5804" t="s">
        <v>31576</v>
      </c>
      <c r="N5804" t="s">
        <v>32524</v>
      </c>
      <c r="O5804" t="s">
        <v>32525</v>
      </c>
      <c r="P5804">
        <v>0</v>
      </c>
      <c r="Q5804">
        <v>0</v>
      </c>
      <c r="R5804" t="s">
        <v>32531</v>
      </c>
      <c r="S5804" t="s">
        <v>32586</v>
      </c>
      <c r="T5804" t="s">
        <v>33185</v>
      </c>
      <c r="U5804" t="s">
        <v>38532</v>
      </c>
      <c r="W5804" t="s">
        <v>31576</v>
      </c>
      <c r="X5804" t="s">
        <v>32532</v>
      </c>
    </row>
    <row r="5805" spans="1:24">
      <c r="A5805">
        <f>HYPERLINK("https://www.philgeps.gov.ph/GEPSNONPILOT/Tender/SplashBidNoticeAbstractUI.aspx?menuIndex=3&amp;refID=7040869&amp;Result=3","7040869")</f>
        <v>0</v>
      </c>
      <c r="B5805" t="s">
        <v>1873</v>
      </c>
      <c r="C5805" t="s">
        <v>8231</v>
      </c>
      <c r="D5805" t="s">
        <v>12988</v>
      </c>
      <c r="E5805" t="s">
        <v>18246</v>
      </c>
      <c r="F5805" t="s">
        <v>22436</v>
      </c>
      <c r="G5805" t="s">
        <v>22444</v>
      </c>
      <c r="H5805" t="s">
        <v>22454</v>
      </c>
      <c r="I5805" t="s">
        <v>7738</v>
      </c>
      <c r="J5805" t="s">
        <v>26379</v>
      </c>
      <c r="K5805" t="s">
        <v>29401</v>
      </c>
      <c r="M5805" t="s">
        <v>31591</v>
      </c>
      <c r="N5805" t="s">
        <v>32524</v>
      </c>
      <c r="O5805" t="s">
        <v>32525</v>
      </c>
      <c r="P5805">
        <v>0</v>
      </c>
      <c r="Q5805">
        <v>28</v>
      </c>
      <c r="R5805" t="s">
        <v>32531</v>
      </c>
      <c r="S5805" t="s">
        <v>32586</v>
      </c>
      <c r="T5805" t="s">
        <v>33234</v>
      </c>
      <c r="U5805" t="s">
        <v>38523</v>
      </c>
      <c r="W5805" t="s">
        <v>31591</v>
      </c>
      <c r="X5805" t="s">
        <v>32532</v>
      </c>
    </row>
    <row r="5806" spans="1:24">
      <c r="A5806">
        <f>HYPERLINK("https://www.philgeps.gov.ph/GEPSNONPILOT/Tender/SplashBidNoticeAbstractUI.aspx?menuIndex=3&amp;refID=7040872&amp;Result=3","7040872")</f>
        <v>0</v>
      </c>
      <c r="B5806" t="s">
        <v>1804</v>
      </c>
      <c r="C5806" t="s">
        <v>8232</v>
      </c>
      <c r="D5806" t="s">
        <v>13064</v>
      </c>
      <c r="E5806" t="s">
        <v>18247</v>
      </c>
      <c r="F5806" t="s">
        <v>22436</v>
      </c>
      <c r="G5806" t="s">
        <v>22445</v>
      </c>
      <c r="H5806" t="s">
        <v>22452</v>
      </c>
      <c r="I5806" t="s">
        <v>22471</v>
      </c>
      <c r="J5806" t="s">
        <v>26380</v>
      </c>
      <c r="K5806" t="s">
        <v>29335</v>
      </c>
      <c r="M5806" t="s">
        <v>31517</v>
      </c>
      <c r="N5806" t="s">
        <v>32524</v>
      </c>
      <c r="O5806" t="s">
        <v>32525</v>
      </c>
      <c r="P5806">
        <v>0</v>
      </c>
      <c r="Q5806">
        <v>8</v>
      </c>
      <c r="R5806" t="s">
        <v>32531</v>
      </c>
      <c r="S5806" t="s">
        <v>32586</v>
      </c>
      <c r="T5806" t="s">
        <v>33310</v>
      </c>
      <c r="U5806" t="s">
        <v>38533</v>
      </c>
      <c r="W5806" t="s">
        <v>31517</v>
      </c>
      <c r="X5806" t="s">
        <v>32532</v>
      </c>
    </row>
    <row r="5807" spans="1:24">
      <c r="A5807">
        <f>HYPERLINK("https://www.philgeps.gov.ph/GEPSNONPILOT/Tender/SplashBidNoticeAbstractUI.aspx?menuIndex=3&amp;refID=7040861&amp;Result=3","7040861")</f>
        <v>0</v>
      </c>
      <c r="B5807" t="s">
        <v>1873</v>
      </c>
      <c r="C5807" t="s">
        <v>8233</v>
      </c>
      <c r="D5807" t="s">
        <v>12988</v>
      </c>
      <c r="E5807" t="s">
        <v>18248</v>
      </c>
      <c r="F5807" t="s">
        <v>22436</v>
      </c>
      <c r="G5807" t="s">
        <v>22444</v>
      </c>
      <c r="H5807" t="s">
        <v>22454</v>
      </c>
      <c r="I5807" t="s">
        <v>7738</v>
      </c>
      <c r="J5807" t="s">
        <v>26381</v>
      </c>
      <c r="K5807" t="s">
        <v>29345</v>
      </c>
      <c r="M5807" t="s">
        <v>31591</v>
      </c>
      <c r="N5807" t="s">
        <v>32524</v>
      </c>
      <c r="O5807" t="s">
        <v>32525</v>
      </c>
      <c r="P5807">
        <v>0</v>
      </c>
      <c r="Q5807">
        <v>20</v>
      </c>
      <c r="R5807" t="s">
        <v>32531</v>
      </c>
      <c r="S5807" t="s">
        <v>32586</v>
      </c>
      <c r="T5807" t="s">
        <v>33234</v>
      </c>
      <c r="U5807" t="s">
        <v>38523</v>
      </c>
      <c r="W5807" t="s">
        <v>31591</v>
      </c>
      <c r="X5807" t="s">
        <v>32532</v>
      </c>
    </row>
    <row r="5808" spans="1:24">
      <c r="A5808">
        <f>HYPERLINK("https://www.philgeps.gov.ph/GEPSNONPILOT/Tender/SplashBidNoticeAbstractUI.aspx?menuIndex=3&amp;refID=7040854&amp;Result=3","7040854")</f>
        <v>0</v>
      </c>
      <c r="B5808" t="s">
        <v>1864</v>
      </c>
      <c r="C5808" t="s">
        <v>8234</v>
      </c>
      <c r="D5808" t="s">
        <v>13002</v>
      </c>
      <c r="E5808" t="s">
        <v>18249</v>
      </c>
      <c r="F5808" t="s">
        <v>22436</v>
      </c>
      <c r="G5808" t="s">
        <v>22444</v>
      </c>
      <c r="H5808" t="s">
        <v>22452</v>
      </c>
      <c r="I5808" t="s">
        <v>22488</v>
      </c>
      <c r="J5808" t="s">
        <v>22806</v>
      </c>
      <c r="K5808" t="s">
        <v>29335</v>
      </c>
      <c r="M5808" t="s">
        <v>31582</v>
      </c>
      <c r="N5808" t="s">
        <v>32524</v>
      </c>
      <c r="O5808" t="s">
        <v>32525</v>
      </c>
      <c r="P5808">
        <v>0</v>
      </c>
      <c r="Q5808">
        <v>0</v>
      </c>
      <c r="R5808" t="s">
        <v>32531</v>
      </c>
      <c r="S5808" t="s">
        <v>32586</v>
      </c>
      <c r="T5808" t="s">
        <v>33516</v>
      </c>
      <c r="U5808" t="s">
        <v>38496</v>
      </c>
      <c r="V5808" t="s">
        <v>43065</v>
      </c>
      <c r="W5808" t="s">
        <v>31582</v>
      </c>
      <c r="X5808" t="s">
        <v>32532</v>
      </c>
    </row>
    <row r="5809" spans="1:24">
      <c r="A5809">
        <f>HYPERLINK("https://www.philgeps.gov.ph/GEPSNONPILOT/Tender/SplashBidNoticeAbstractUI.aspx?menuIndex=3&amp;refID=7040873&amp;Result=3","7040873")</f>
        <v>0</v>
      </c>
      <c r="B5809" t="s">
        <v>1016</v>
      </c>
      <c r="C5809" t="s">
        <v>8235</v>
      </c>
      <c r="E5809" t="s">
        <v>18250</v>
      </c>
      <c r="F5809" t="s">
        <v>22436</v>
      </c>
      <c r="G5809" t="s">
        <v>22443</v>
      </c>
      <c r="H5809" t="s">
        <v>22452</v>
      </c>
      <c r="I5809" t="s">
        <v>2981</v>
      </c>
      <c r="J5809" t="s">
        <v>26382</v>
      </c>
      <c r="K5809" t="s">
        <v>29338</v>
      </c>
      <c r="M5809" t="s">
        <v>30830</v>
      </c>
      <c r="N5809" t="s">
        <v>32524</v>
      </c>
      <c r="O5809" t="s">
        <v>32525</v>
      </c>
      <c r="Q5809">
        <v>3</v>
      </c>
      <c r="R5809" t="s">
        <v>32531</v>
      </c>
      <c r="S5809" t="s">
        <v>32614</v>
      </c>
      <c r="T5809" t="s">
        <v>33328</v>
      </c>
      <c r="U5809" t="s">
        <v>38534</v>
      </c>
      <c r="W5809" t="s">
        <v>43706</v>
      </c>
      <c r="X5809" t="s">
        <v>32532</v>
      </c>
    </row>
    <row r="5810" spans="1:24">
      <c r="A5810">
        <f>HYPERLINK("https://www.philgeps.gov.ph/GEPSNONPILOT/Tender/SplashBidNoticeAbstractUI.aspx?menuIndex=3&amp;refID=7040887&amp;Result=3","7040887")</f>
        <v>0</v>
      </c>
      <c r="B5810" t="s">
        <v>1879</v>
      </c>
      <c r="C5810" t="s">
        <v>8236</v>
      </c>
      <c r="D5810" t="s">
        <v>13003</v>
      </c>
      <c r="E5810" t="s">
        <v>18251</v>
      </c>
      <c r="F5810" t="s">
        <v>22436</v>
      </c>
      <c r="G5810" t="s">
        <v>22444</v>
      </c>
      <c r="H5810" t="s">
        <v>22454</v>
      </c>
      <c r="I5810" t="s">
        <v>7738</v>
      </c>
      <c r="J5810" t="s">
        <v>26383</v>
      </c>
      <c r="K5810" t="s">
        <v>29483</v>
      </c>
      <c r="M5810" t="s">
        <v>31597</v>
      </c>
      <c r="N5810" t="s">
        <v>32524</v>
      </c>
      <c r="O5810" t="s">
        <v>32525</v>
      </c>
      <c r="P5810">
        <v>0</v>
      </c>
      <c r="Q5810">
        <v>1</v>
      </c>
      <c r="R5810" t="s">
        <v>32531</v>
      </c>
      <c r="S5810" t="s">
        <v>32586</v>
      </c>
      <c r="T5810" t="s">
        <v>33212</v>
      </c>
      <c r="U5810" t="s">
        <v>38535</v>
      </c>
      <c r="W5810" t="s">
        <v>31597</v>
      </c>
      <c r="X5810" t="s">
        <v>32532</v>
      </c>
    </row>
    <row r="5811" spans="1:24">
      <c r="A5811">
        <f>HYPERLINK("https://www.philgeps.gov.ph/GEPSNONPILOT/Tender/SplashBidNoticeAbstractUI.aspx?menuIndex=3&amp;refID=7040886&amp;Result=3","7040886")</f>
        <v>0</v>
      </c>
      <c r="B5811" t="s">
        <v>1877</v>
      </c>
      <c r="C5811" t="s">
        <v>8237</v>
      </c>
      <c r="D5811" t="s">
        <v>13018</v>
      </c>
      <c r="E5811" t="s">
        <v>13520</v>
      </c>
      <c r="F5811" t="s">
        <v>22436</v>
      </c>
      <c r="G5811" t="s">
        <v>22444</v>
      </c>
      <c r="H5811" t="s">
        <v>22454</v>
      </c>
      <c r="I5811" t="s">
        <v>7738</v>
      </c>
      <c r="J5811" t="s">
        <v>22818</v>
      </c>
      <c r="K5811" t="s">
        <v>29335</v>
      </c>
      <c r="M5811" t="s">
        <v>31595</v>
      </c>
      <c r="N5811" t="s">
        <v>32524</v>
      </c>
      <c r="O5811" t="s">
        <v>32525</v>
      </c>
      <c r="P5811">
        <v>0</v>
      </c>
      <c r="Q5811">
        <v>1</v>
      </c>
      <c r="R5811" t="s">
        <v>32531</v>
      </c>
      <c r="S5811" t="s">
        <v>32586</v>
      </c>
      <c r="T5811" t="s">
        <v>33216</v>
      </c>
      <c r="U5811" t="s">
        <v>38536</v>
      </c>
      <c r="W5811" t="s">
        <v>31595</v>
      </c>
      <c r="X5811" t="s">
        <v>32532</v>
      </c>
    </row>
    <row r="5812" spans="1:24">
      <c r="A5812">
        <f>HYPERLINK("https://www.philgeps.gov.ph/GEPSNONPILOT/Tender/SplashBidNoticeAbstractUI.aspx?menuIndex=3&amp;refID=7040880&amp;Result=3","7040880")</f>
        <v>0</v>
      </c>
      <c r="B5812" t="s">
        <v>1880</v>
      </c>
      <c r="C5812" t="s">
        <v>8238</v>
      </c>
      <c r="D5812" t="s">
        <v>13006</v>
      </c>
      <c r="E5812" t="s">
        <v>18252</v>
      </c>
      <c r="F5812" t="s">
        <v>22436</v>
      </c>
      <c r="G5812" t="s">
        <v>22445</v>
      </c>
      <c r="H5812" t="s">
        <v>22452</v>
      </c>
      <c r="I5812" t="s">
        <v>22460</v>
      </c>
      <c r="J5812" t="s">
        <v>26384</v>
      </c>
      <c r="K5812" t="s">
        <v>29338</v>
      </c>
      <c r="M5812" t="s">
        <v>31598</v>
      </c>
      <c r="N5812" t="s">
        <v>32524</v>
      </c>
      <c r="O5812" t="s">
        <v>32525</v>
      </c>
      <c r="P5812">
        <v>0</v>
      </c>
      <c r="Q5812">
        <v>2</v>
      </c>
      <c r="R5812" t="s">
        <v>32531</v>
      </c>
      <c r="S5812" t="s">
        <v>32586</v>
      </c>
      <c r="T5812" t="s">
        <v>33209</v>
      </c>
      <c r="U5812" t="s">
        <v>38537</v>
      </c>
      <c r="W5812" t="s">
        <v>31598</v>
      </c>
      <c r="X5812" t="s">
        <v>32532</v>
      </c>
    </row>
    <row r="5813" spans="1:24">
      <c r="A5813">
        <f>HYPERLINK("https://www.philgeps.gov.ph/GEPSNONPILOT/Tender/SplashBidNoticeAbstractUI.aspx?menuIndex=3&amp;refID=7040863&amp;Result=3","7040863")</f>
        <v>0</v>
      </c>
      <c r="B5813" t="s">
        <v>1804</v>
      </c>
      <c r="C5813" t="s">
        <v>8239</v>
      </c>
      <c r="D5813" t="s">
        <v>13064</v>
      </c>
      <c r="E5813" t="s">
        <v>18253</v>
      </c>
      <c r="F5813" t="s">
        <v>22436</v>
      </c>
      <c r="G5813" t="s">
        <v>22445</v>
      </c>
      <c r="H5813" t="s">
        <v>22452</v>
      </c>
      <c r="I5813" t="s">
        <v>22471</v>
      </c>
      <c r="J5813" t="s">
        <v>24261</v>
      </c>
      <c r="K5813" t="s">
        <v>29335</v>
      </c>
      <c r="M5813" t="s">
        <v>31517</v>
      </c>
      <c r="N5813" t="s">
        <v>32524</v>
      </c>
      <c r="O5813" t="s">
        <v>32525</v>
      </c>
      <c r="P5813">
        <v>0</v>
      </c>
      <c r="Q5813">
        <v>7</v>
      </c>
      <c r="R5813" t="s">
        <v>32531</v>
      </c>
      <c r="S5813" t="s">
        <v>32586</v>
      </c>
      <c r="T5813" t="s">
        <v>33310</v>
      </c>
      <c r="U5813" t="s">
        <v>38538</v>
      </c>
      <c r="W5813" t="s">
        <v>31517</v>
      </c>
      <c r="X5813" t="s">
        <v>32532</v>
      </c>
    </row>
    <row r="5814" spans="1:24">
      <c r="A5814">
        <f>HYPERLINK("https://www.philgeps.gov.ph/GEPSNONPILOT/Tender/SplashBidNoticeAbstractUI.aspx?menuIndex=3&amp;refID=7040879&amp;Result=3","7040879")</f>
        <v>0</v>
      </c>
      <c r="B5814" t="s">
        <v>1881</v>
      </c>
      <c r="C5814" t="s">
        <v>8240</v>
      </c>
      <c r="D5814" t="s">
        <v>13051</v>
      </c>
      <c r="E5814" t="s">
        <v>18254</v>
      </c>
      <c r="F5814" t="s">
        <v>22436</v>
      </c>
      <c r="G5814" t="s">
        <v>22444</v>
      </c>
      <c r="H5814" t="s">
        <v>22452</v>
      </c>
      <c r="I5814" t="s">
        <v>22460</v>
      </c>
      <c r="J5814" t="s">
        <v>26385</v>
      </c>
      <c r="K5814" t="s">
        <v>29337</v>
      </c>
      <c r="M5814" t="s">
        <v>31599</v>
      </c>
      <c r="N5814" t="s">
        <v>32524</v>
      </c>
      <c r="O5814" t="s">
        <v>32525</v>
      </c>
      <c r="P5814">
        <v>0</v>
      </c>
      <c r="Q5814">
        <v>2</v>
      </c>
      <c r="R5814" t="s">
        <v>32531</v>
      </c>
      <c r="S5814" t="s">
        <v>32586</v>
      </c>
      <c r="T5814" t="s">
        <v>33517</v>
      </c>
      <c r="U5814" t="s">
        <v>38539</v>
      </c>
      <c r="W5814" t="s">
        <v>31599</v>
      </c>
      <c r="X5814" t="s">
        <v>32532</v>
      </c>
    </row>
    <row r="5815" spans="1:24">
      <c r="A5815">
        <f>HYPERLINK("https://www.philgeps.gov.ph/GEPSNONPILOT/Tender/SplashBidNoticeAbstractUI.aspx?menuIndex=3&amp;refID=7040885&amp;Result=3","7040885")</f>
        <v>0</v>
      </c>
      <c r="B5815" t="s">
        <v>1882</v>
      </c>
      <c r="C5815" t="s">
        <v>8241</v>
      </c>
      <c r="D5815" t="s">
        <v>13011</v>
      </c>
      <c r="E5815" t="s">
        <v>18255</v>
      </c>
      <c r="F5815" t="s">
        <v>22436</v>
      </c>
      <c r="G5815" t="s">
        <v>22444</v>
      </c>
      <c r="H5815" t="s">
        <v>22452</v>
      </c>
      <c r="I5815" t="s">
        <v>6387</v>
      </c>
      <c r="J5815" t="s">
        <v>26386</v>
      </c>
      <c r="K5815" t="s">
        <v>29337</v>
      </c>
      <c r="M5815" t="s">
        <v>31600</v>
      </c>
      <c r="N5815" t="s">
        <v>32524</v>
      </c>
      <c r="O5815" t="s">
        <v>32525</v>
      </c>
      <c r="P5815">
        <v>0</v>
      </c>
      <c r="Q5815">
        <v>1</v>
      </c>
      <c r="R5815" t="s">
        <v>32531</v>
      </c>
      <c r="S5815" t="s">
        <v>32586</v>
      </c>
      <c r="T5815" t="s">
        <v>33213</v>
      </c>
      <c r="U5815" t="s">
        <v>38540</v>
      </c>
      <c r="W5815" t="s">
        <v>31600</v>
      </c>
      <c r="X5815" t="s">
        <v>32532</v>
      </c>
    </row>
    <row r="5816" spans="1:24">
      <c r="A5816">
        <f>HYPERLINK("https://www.philgeps.gov.ph/GEPSNONPILOT/Tender/SplashBidNoticeAbstractUI.aspx?menuIndex=3&amp;refID=7040889&amp;Result=3","7040889")</f>
        <v>0</v>
      </c>
      <c r="B5816" t="s">
        <v>1883</v>
      </c>
      <c r="C5816" t="s">
        <v>8242</v>
      </c>
      <c r="D5816" t="s">
        <v>13037</v>
      </c>
      <c r="E5816" t="s">
        <v>16264</v>
      </c>
      <c r="F5816" t="s">
        <v>22436</v>
      </c>
      <c r="G5816" t="s">
        <v>22444</v>
      </c>
      <c r="H5816" t="s">
        <v>22452</v>
      </c>
      <c r="I5816" t="s">
        <v>6421</v>
      </c>
      <c r="J5816" t="s">
        <v>26387</v>
      </c>
      <c r="K5816" t="s">
        <v>29331</v>
      </c>
      <c r="M5816" t="s">
        <v>31601</v>
      </c>
      <c r="N5816" t="s">
        <v>32524</v>
      </c>
      <c r="O5816" t="s">
        <v>32525</v>
      </c>
      <c r="P5816">
        <v>0</v>
      </c>
      <c r="Q5816">
        <v>0</v>
      </c>
      <c r="R5816" t="s">
        <v>32531</v>
      </c>
      <c r="S5816" t="s">
        <v>32586</v>
      </c>
      <c r="T5816" t="s">
        <v>33259</v>
      </c>
      <c r="U5816" t="s">
        <v>38541</v>
      </c>
      <c r="W5816" t="s">
        <v>32177</v>
      </c>
      <c r="X5816" t="s">
        <v>32532</v>
      </c>
    </row>
    <row r="5817" spans="1:24">
      <c r="A5817">
        <f>HYPERLINK("https://www.philgeps.gov.ph/GEPSNONPILOT/Tender/SplashBidNoticeAbstractUI.aspx?menuIndex=3&amp;refID=7040882&amp;Result=3","7040882")</f>
        <v>0</v>
      </c>
      <c r="B5817" t="s">
        <v>1070</v>
      </c>
      <c r="C5817" t="s">
        <v>8243</v>
      </c>
      <c r="E5817" t="s">
        <v>18256</v>
      </c>
      <c r="F5817" t="s">
        <v>22436</v>
      </c>
      <c r="G5817" t="s">
        <v>22444</v>
      </c>
      <c r="H5817" t="s">
        <v>22454</v>
      </c>
      <c r="I5817" t="s">
        <v>7738</v>
      </c>
      <c r="J5817" t="s">
        <v>22587</v>
      </c>
      <c r="K5817" t="s">
        <v>29388</v>
      </c>
      <c r="M5817" t="s">
        <v>31602</v>
      </c>
      <c r="N5817" t="s">
        <v>32524</v>
      </c>
      <c r="O5817" t="s">
        <v>32525</v>
      </c>
      <c r="P5817">
        <v>0</v>
      </c>
      <c r="Q5817">
        <v>1</v>
      </c>
      <c r="R5817" t="s">
        <v>32531</v>
      </c>
      <c r="S5817" t="s">
        <v>32586</v>
      </c>
      <c r="T5817" t="s">
        <v>33518</v>
      </c>
      <c r="U5817" t="s">
        <v>38542</v>
      </c>
      <c r="V5817" t="s">
        <v>43071</v>
      </c>
      <c r="W5817" t="s">
        <v>31602</v>
      </c>
      <c r="X5817" t="s">
        <v>32532</v>
      </c>
    </row>
    <row r="5818" spans="1:24">
      <c r="A5818">
        <f>HYPERLINK("https://www.philgeps.gov.ph/GEPSNONPILOT/Tender/SplashBidNoticeAbstractUI.aspx?menuIndex=3&amp;refID=7040881&amp;Result=3","7040881")</f>
        <v>0</v>
      </c>
      <c r="B5818" t="s">
        <v>1873</v>
      </c>
      <c r="C5818" t="s">
        <v>8244</v>
      </c>
      <c r="D5818" t="s">
        <v>12988</v>
      </c>
      <c r="E5818" t="s">
        <v>18257</v>
      </c>
      <c r="F5818" t="s">
        <v>22436</v>
      </c>
      <c r="G5818" t="s">
        <v>22444</v>
      </c>
      <c r="H5818" t="s">
        <v>22454</v>
      </c>
      <c r="I5818" t="s">
        <v>7738</v>
      </c>
      <c r="J5818" t="s">
        <v>26388</v>
      </c>
      <c r="K5818" t="s">
        <v>29334</v>
      </c>
      <c r="M5818" t="s">
        <v>31591</v>
      </c>
      <c r="N5818" t="s">
        <v>32524</v>
      </c>
      <c r="O5818" t="s">
        <v>32525</v>
      </c>
      <c r="P5818">
        <v>0</v>
      </c>
      <c r="Q5818">
        <v>19</v>
      </c>
      <c r="R5818" t="s">
        <v>32531</v>
      </c>
      <c r="S5818" t="s">
        <v>32586</v>
      </c>
      <c r="T5818" t="s">
        <v>33234</v>
      </c>
      <c r="U5818" t="s">
        <v>38523</v>
      </c>
      <c r="W5818" t="s">
        <v>31591</v>
      </c>
      <c r="X5818" t="s">
        <v>32532</v>
      </c>
    </row>
    <row r="5819" spans="1:24">
      <c r="A5819">
        <f>HYPERLINK("https://www.philgeps.gov.ph/GEPSNONPILOT/Tender/SplashBidNoticeAbstractUI.aspx?menuIndex=3&amp;refID=7040888&amp;Result=3","7040888")</f>
        <v>0</v>
      </c>
      <c r="B5819" t="s">
        <v>1873</v>
      </c>
      <c r="C5819" t="s">
        <v>8245</v>
      </c>
      <c r="D5819" t="s">
        <v>12988</v>
      </c>
      <c r="E5819" t="s">
        <v>18258</v>
      </c>
      <c r="F5819" t="s">
        <v>22436</v>
      </c>
      <c r="G5819" t="s">
        <v>22444</v>
      </c>
      <c r="H5819" t="s">
        <v>22454</v>
      </c>
      <c r="I5819" t="s">
        <v>7738</v>
      </c>
      <c r="J5819" t="s">
        <v>26389</v>
      </c>
      <c r="K5819" t="s">
        <v>29344</v>
      </c>
      <c r="M5819" t="s">
        <v>31591</v>
      </c>
      <c r="N5819" t="s">
        <v>32524</v>
      </c>
      <c r="O5819" t="s">
        <v>32525</v>
      </c>
      <c r="P5819">
        <v>0</v>
      </c>
      <c r="Q5819">
        <v>19</v>
      </c>
      <c r="R5819" t="s">
        <v>32531</v>
      </c>
      <c r="S5819" t="s">
        <v>32586</v>
      </c>
      <c r="T5819" t="s">
        <v>33234</v>
      </c>
      <c r="U5819" t="s">
        <v>38523</v>
      </c>
      <c r="W5819" t="s">
        <v>31591</v>
      </c>
      <c r="X5819" t="s">
        <v>32532</v>
      </c>
    </row>
    <row r="5820" spans="1:24">
      <c r="A5820">
        <f>HYPERLINK("https://www.philgeps.gov.ph/GEPSNONPILOT/Tender/SplashBidNoticeAbstractUI.aspx?menuIndex=3&amp;refID=7040905&amp;Result=3","7040905")</f>
        <v>0</v>
      </c>
      <c r="B5820" t="s">
        <v>1884</v>
      </c>
      <c r="C5820" t="s">
        <v>8246</v>
      </c>
      <c r="D5820" t="s">
        <v>13026</v>
      </c>
      <c r="E5820" t="s">
        <v>18259</v>
      </c>
      <c r="F5820" t="s">
        <v>22436</v>
      </c>
      <c r="G5820" t="s">
        <v>22446</v>
      </c>
      <c r="H5820" t="s">
        <v>22452</v>
      </c>
      <c r="I5820" t="s">
        <v>3529</v>
      </c>
      <c r="J5820" t="s">
        <v>24222</v>
      </c>
      <c r="K5820" t="s">
        <v>29331</v>
      </c>
      <c r="M5820" t="s">
        <v>31603</v>
      </c>
      <c r="N5820" t="s">
        <v>32524</v>
      </c>
      <c r="O5820" t="s">
        <v>32525</v>
      </c>
      <c r="P5820">
        <v>0</v>
      </c>
      <c r="Q5820">
        <v>1</v>
      </c>
      <c r="R5820" t="s">
        <v>32531</v>
      </c>
      <c r="S5820" t="s">
        <v>32586</v>
      </c>
      <c r="T5820" t="s">
        <v>33238</v>
      </c>
      <c r="U5820" t="s">
        <v>38543</v>
      </c>
      <c r="W5820" t="s">
        <v>31603</v>
      </c>
      <c r="X5820" t="s">
        <v>32532</v>
      </c>
    </row>
    <row r="5821" spans="1:24">
      <c r="A5821">
        <f>HYPERLINK("https://www.philgeps.gov.ph/GEPSNONPILOT/Tender/SplashBidNoticeAbstractUI.aspx?menuIndex=3&amp;refID=7040914&amp;Result=3","7040914")</f>
        <v>0</v>
      </c>
      <c r="B5821" t="s">
        <v>1885</v>
      </c>
      <c r="C5821" t="s">
        <v>8247</v>
      </c>
      <c r="D5821" t="s">
        <v>13044</v>
      </c>
      <c r="E5821" t="s">
        <v>18260</v>
      </c>
      <c r="F5821" t="s">
        <v>22436</v>
      </c>
      <c r="G5821" t="s">
        <v>22443</v>
      </c>
      <c r="H5821" t="s">
        <v>22452</v>
      </c>
      <c r="I5821" t="s">
        <v>6421</v>
      </c>
      <c r="J5821" t="s">
        <v>26390</v>
      </c>
      <c r="K5821" t="s">
        <v>29357</v>
      </c>
      <c r="M5821" t="s">
        <v>31604</v>
      </c>
      <c r="N5821" t="s">
        <v>32524</v>
      </c>
      <c r="O5821" t="s">
        <v>32525</v>
      </c>
      <c r="P5821">
        <v>0</v>
      </c>
      <c r="Q5821">
        <v>0</v>
      </c>
      <c r="R5821" t="s">
        <v>32531</v>
      </c>
      <c r="S5821" t="s">
        <v>32586</v>
      </c>
      <c r="T5821" t="s">
        <v>33304</v>
      </c>
      <c r="U5821" t="s">
        <v>38544</v>
      </c>
      <c r="W5821" t="s">
        <v>31604</v>
      </c>
      <c r="X5821" t="s">
        <v>32532</v>
      </c>
    </row>
    <row r="5822" spans="1:24">
      <c r="A5822">
        <f>HYPERLINK("https://www.philgeps.gov.ph/GEPSNONPILOT/Tender/SplashBidNoticeAbstractUI.aspx?menuIndex=3&amp;refID=7040913&amp;Result=3","7040913")</f>
        <v>0</v>
      </c>
      <c r="B5822" t="s">
        <v>1016</v>
      </c>
      <c r="C5822" t="s">
        <v>8248</v>
      </c>
      <c r="E5822" t="s">
        <v>18261</v>
      </c>
      <c r="F5822" t="s">
        <v>22436</v>
      </c>
      <c r="G5822" t="s">
        <v>22443</v>
      </c>
      <c r="H5822" t="s">
        <v>22452</v>
      </c>
      <c r="I5822" t="s">
        <v>6387</v>
      </c>
      <c r="J5822" t="s">
        <v>25583</v>
      </c>
      <c r="K5822" t="s">
        <v>29338</v>
      </c>
      <c r="M5822" t="s">
        <v>31605</v>
      </c>
      <c r="N5822" t="s">
        <v>32524</v>
      </c>
      <c r="O5822" t="s">
        <v>32525</v>
      </c>
      <c r="P5822">
        <v>0</v>
      </c>
      <c r="Q5822">
        <v>13</v>
      </c>
      <c r="R5822" t="s">
        <v>32531</v>
      </c>
      <c r="S5822" t="s">
        <v>32586</v>
      </c>
      <c r="T5822" t="s">
        <v>33328</v>
      </c>
      <c r="U5822" t="s">
        <v>38545</v>
      </c>
      <c r="W5822" t="s">
        <v>43706</v>
      </c>
      <c r="X5822" t="s">
        <v>32532</v>
      </c>
    </row>
    <row r="5823" spans="1:24">
      <c r="A5823">
        <f>HYPERLINK("https://www.philgeps.gov.ph/GEPSNONPILOT/Tender/SplashBidNoticeAbstractUI.aspx?menuIndex=3&amp;refID=7040910&amp;Result=3","7040910")</f>
        <v>0</v>
      </c>
      <c r="B5823" t="s">
        <v>1873</v>
      </c>
      <c r="C5823" t="s">
        <v>8249</v>
      </c>
      <c r="D5823" t="s">
        <v>12988</v>
      </c>
      <c r="E5823" t="s">
        <v>16760</v>
      </c>
      <c r="F5823" t="s">
        <v>22436</v>
      </c>
      <c r="G5823" t="s">
        <v>22444</v>
      </c>
      <c r="H5823" t="s">
        <v>22454</v>
      </c>
      <c r="I5823" t="s">
        <v>7738</v>
      </c>
      <c r="J5823" t="s">
        <v>26391</v>
      </c>
      <c r="K5823" t="s">
        <v>29334</v>
      </c>
      <c r="M5823" t="s">
        <v>31591</v>
      </c>
      <c r="N5823" t="s">
        <v>32524</v>
      </c>
      <c r="O5823" t="s">
        <v>32525</v>
      </c>
      <c r="P5823">
        <v>0</v>
      </c>
      <c r="Q5823">
        <v>17</v>
      </c>
      <c r="R5823" t="s">
        <v>32531</v>
      </c>
      <c r="S5823" t="s">
        <v>32586</v>
      </c>
      <c r="T5823" t="s">
        <v>33234</v>
      </c>
      <c r="U5823" t="s">
        <v>38523</v>
      </c>
      <c r="W5823" t="s">
        <v>31591</v>
      </c>
      <c r="X5823" t="s">
        <v>32532</v>
      </c>
    </row>
    <row r="5824" spans="1:24">
      <c r="A5824">
        <f>HYPERLINK("https://www.philgeps.gov.ph/GEPSNONPILOT/Tender/SplashBidNoticeAbstractUI.aspx?menuIndex=3&amp;refID=7040908&amp;Result=3","7040908")</f>
        <v>0</v>
      </c>
      <c r="B5824" t="s">
        <v>1886</v>
      </c>
      <c r="C5824" t="s">
        <v>8250</v>
      </c>
      <c r="D5824" t="s">
        <v>12993</v>
      </c>
      <c r="E5824" t="s">
        <v>18262</v>
      </c>
      <c r="F5824" t="s">
        <v>22436</v>
      </c>
      <c r="G5824" t="s">
        <v>22444</v>
      </c>
      <c r="H5824" t="s">
        <v>22452</v>
      </c>
      <c r="I5824" t="s">
        <v>22474</v>
      </c>
      <c r="J5824" t="s">
        <v>22587</v>
      </c>
      <c r="K5824" t="s">
        <v>29329</v>
      </c>
      <c r="M5824" t="s">
        <v>31606</v>
      </c>
      <c r="N5824" t="s">
        <v>32524</v>
      </c>
      <c r="O5824" t="s">
        <v>32525</v>
      </c>
      <c r="P5824">
        <v>0</v>
      </c>
      <c r="Q5824">
        <v>6</v>
      </c>
      <c r="R5824" t="s">
        <v>32531</v>
      </c>
      <c r="S5824" t="s">
        <v>32586</v>
      </c>
      <c r="T5824" t="s">
        <v>33422</v>
      </c>
      <c r="U5824" t="s">
        <v>38546</v>
      </c>
      <c r="W5824" t="s">
        <v>31606</v>
      </c>
      <c r="X5824" t="s">
        <v>32532</v>
      </c>
    </row>
    <row r="5825" spans="1:24">
      <c r="A5825">
        <f>HYPERLINK("https://www.philgeps.gov.ph/GEPSNONPILOT/Tender/SplashBidNoticeAbstractUI.aspx?menuIndex=3&amp;refID=7040909&amp;Result=3","7040909")</f>
        <v>0</v>
      </c>
      <c r="B5825" t="s">
        <v>1887</v>
      </c>
      <c r="C5825" t="s">
        <v>8251</v>
      </c>
      <c r="D5825" t="s">
        <v>13007</v>
      </c>
      <c r="E5825" t="s">
        <v>13881</v>
      </c>
      <c r="F5825" t="s">
        <v>22436</v>
      </c>
      <c r="G5825" t="s">
        <v>22443</v>
      </c>
      <c r="H5825" t="s">
        <v>22452</v>
      </c>
      <c r="I5825" t="s">
        <v>5194</v>
      </c>
      <c r="J5825" t="s">
        <v>25800</v>
      </c>
      <c r="K5825" t="s">
        <v>29338</v>
      </c>
      <c r="M5825" t="s">
        <v>31607</v>
      </c>
      <c r="N5825" t="s">
        <v>32524</v>
      </c>
      <c r="O5825" t="s">
        <v>32525</v>
      </c>
      <c r="P5825">
        <v>0</v>
      </c>
      <c r="Q5825">
        <v>3</v>
      </c>
      <c r="R5825" t="s">
        <v>32531</v>
      </c>
      <c r="S5825" t="s">
        <v>32586</v>
      </c>
      <c r="T5825" t="s">
        <v>33185</v>
      </c>
      <c r="U5825" t="s">
        <v>38547</v>
      </c>
      <c r="W5825" t="s">
        <v>31607</v>
      </c>
      <c r="X5825" t="s">
        <v>32532</v>
      </c>
    </row>
    <row r="5826" spans="1:24">
      <c r="A5826">
        <f>HYPERLINK("https://www.philgeps.gov.ph/GEPSNONPILOT/Tender/SplashBidNoticeAbstractUI.aspx?menuIndex=3&amp;refID=7040912&amp;Result=3","7040912")</f>
        <v>0</v>
      </c>
      <c r="B5826" t="s">
        <v>1888</v>
      </c>
      <c r="C5826" t="s">
        <v>8252</v>
      </c>
      <c r="D5826" t="s">
        <v>13020</v>
      </c>
      <c r="E5826" t="s">
        <v>18263</v>
      </c>
      <c r="F5826" t="s">
        <v>22436</v>
      </c>
      <c r="G5826" t="s">
        <v>22444</v>
      </c>
      <c r="H5826" t="s">
        <v>22454</v>
      </c>
      <c r="I5826" t="s">
        <v>7738</v>
      </c>
      <c r="J5826" t="s">
        <v>22779</v>
      </c>
      <c r="K5826" t="s">
        <v>29344</v>
      </c>
      <c r="M5826" t="s">
        <v>31608</v>
      </c>
      <c r="N5826" t="s">
        <v>32524</v>
      </c>
      <c r="O5826" t="s">
        <v>32525</v>
      </c>
      <c r="P5826">
        <v>0</v>
      </c>
      <c r="Q5826">
        <v>30</v>
      </c>
      <c r="R5826" t="s">
        <v>32531</v>
      </c>
      <c r="S5826" t="s">
        <v>32586</v>
      </c>
      <c r="T5826" t="s">
        <v>33321</v>
      </c>
      <c r="U5826" t="s">
        <v>38548</v>
      </c>
      <c r="V5826" t="s">
        <v>42428</v>
      </c>
      <c r="W5826" t="s">
        <v>31608</v>
      </c>
      <c r="X5826" t="s">
        <v>32532</v>
      </c>
    </row>
    <row r="5827" spans="1:24">
      <c r="A5827">
        <f>HYPERLINK("https://www.philgeps.gov.ph/GEPSNONPILOT/Tender/SplashBidNoticeAbstractUI.aspx?menuIndex=3&amp;refID=7040918&amp;Result=3","7040918")</f>
        <v>0</v>
      </c>
      <c r="B5827" t="s">
        <v>1873</v>
      </c>
      <c r="C5827" t="s">
        <v>8253</v>
      </c>
      <c r="D5827" t="s">
        <v>12988</v>
      </c>
      <c r="E5827" t="s">
        <v>18264</v>
      </c>
      <c r="F5827" t="s">
        <v>22436</v>
      </c>
      <c r="G5827" t="s">
        <v>22444</v>
      </c>
      <c r="H5827" t="s">
        <v>22454</v>
      </c>
      <c r="I5827" t="s">
        <v>7738</v>
      </c>
      <c r="J5827" t="s">
        <v>26392</v>
      </c>
      <c r="K5827" t="s">
        <v>29388</v>
      </c>
      <c r="M5827" t="s">
        <v>31591</v>
      </c>
      <c r="N5827" t="s">
        <v>32524</v>
      </c>
      <c r="O5827" t="s">
        <v>32525</v>
      </c>
      <c r="P5827">
        <v>0</v>
      </c>
      <c r="Q5827">
        <v>26</v>
      </c>
      <c r="R5827" t="s">
        <v>32531</v>
      </c>
      <c r="S5827" t="s">
        <v>32586</v>
      </c>
      <c r="T5827" t="s">
        <v>33234</v>
      </c>
      <c r="U5827" t="s">
        <v>38523</v>
      </c>
      <c r="W5827" t="s">
        <v>31591</v>
      </c>
      <c r="X5827" t="s">
        <v>32532</v>
      </c>
    </row>
    <row r="5828" spans="1:24">
      <c r="A5828">
        <f>HYPERLINK("https://www.philgeps.gov.ph/GEPSNONPILOT/Tender/SplashBidNoticeAbstractUI.aspx?menuIndex=3&amp;refID=7040923&amp;Result=3","7040923")</f>
        <v>0</v>
      </c>
      <c r="B5828" t="s">
        <v>1889</v>
      </c>
      <c r="C5828" t="s">
        <v>8254</v>
      </c>
      <c r="E5828" t="s">
        <v>18265</v>
      </c>
      <c r="F5828" t="s">
        <v>22436</v>
      </c>
      <c r="G5828" t="s">
        <v>22443</v>
      </c>
      <c r="H5828" t="s">
        <v>22452</v>
      </c>
      <c r="I5828" t="s">
        <v>22484</v>
      </c>
      <c r="J5828" t="s">
        <v>26393</v>
      </c>
      <c r="K5828" t="s">
        <v>29336</v>
      </c>
      <c r="M5828" t="s">
        <v>31609</v>
      </c>
      <c r="N5828" t="s">
        <v>32524</v>
      </c>
      <c r="O5828" t="s">
        <v>32525</v>
      </c>
      <c r="P5828">
        <v>0</v>
      </c>
      <c r="Q5828">
        <v>11</v>
      </c>
      <c r="R5828" t="s">
        <v>32531</v>
      </c>
      <c r="S5828" t="s">
        <v>32586</v>
      </c>
      <c r="T5828" t="s">
        <v>33351</v>
      </c>
      <c r="U5828" t="s">
        <v>38549</v>
      </c>
      <c r="W5828" t="s">
        <v>31609</v>
      </c>
      <c r="X5828" t="s">
        <v>32532</v>
      </c>
    </row>
    <row r="5829" spans="1:24">
      <c r="A5829">
        <f>HYPERLINK("https://www.philgeps.gov.ph/GEPSNONPILOT/Tender/SplashBidNoticeAbstractUI.aspx?menuIndex=3&amp;refID=7040926&amp;Result=3","7040926")</f>
        <v>0</v>
      </c>
      <c r="B5829" t="s">
        <v>1887</v>
      </c>
      <c r="C5829" t="s">
        <v>8255</v>
      </c>
      <c r="D5829" t="s">
        <v>13007</v>
      </c>
      <c r="E5829" t="s">
        <v>14621</v>
      </c>
      <c r="F5829" t="s">
        <v>22436</v>
      </c>
      <c r="G5829" t="s">
        <v>22443</v>
      </c>
      <c r="H5829" t="s">
        <v>22452</v>
      </c>
      <c r="I5829" t="s">
        <v>22465</v>
      </c>
      <c r="J5829" t="s">
        <v>22607</v>
      </c>
      <c r="K5829" t="s">
        <v>29338</v>
      </c>
      <c r="M5829" t="s">
        <v>31607</v>
      </c>
      <c r="N5829" t="s">
        <v>32524</v>
      </c>
      <c r="O5829" t="s">
        <v>32525</v>
      </c>
      <c r="P5829">
        <v>0</v>
      </c>
      <c r="Q5829">
        <v>1</v>
      </c>
      <c r="R5829" t="s">
        <v>32531</v>
      </c>
      <c r="S5829" t="s">
        <v>32586</v>
      </c>
      <c r="T5829" t="s">
        <v>33173</v>
      </c>
      <c r="U5829" t="s">
        <v>38550</v>
      </c>
      <c r="W5829" t="s">
        <v>31607</v>
      </c>
      <c r="X5829" t="s">
        <v>32532</v>
      </c>
    </row>
    <row r="5830" spans="1:24">
      <c r="A5830">
        <f>HYPERLINK("https://www.philgeps.gov.ph/GEPSNONPILOT/Tender/SplashBidNoticeAbstractUI.aspx?menuIndex=3&amp;refID=7040922&amp;Result=3","7040922")</f>
        <v>0</v>
      </c>
      <c r="B5830" t="s">
        <v>1873</v>
      </c>
      <c r="C5830" t="s">
        <v>8256</v>
      </c>
      <c r="D5830" t="s">
        <v>12988</v>
      </c>
      <c r="E5830" t="s">
        <v>18266</v>
      </c>
      <c r="F5830" t="s">
        <v>22436</v>
      </c>
      <c r="G5830" t="s">
        <v>22444</v>
      </c>
      <c r="H5830" t="s">
        <v>22454</v>
      </c>
      <c r="I5830" t="s">
        <v>7738</v>
      </c>
      <c r="J5830" t="s">
        <v>26394</v>
      </c>
      <c r="K5830" t="s">
        <v>29335</v>
      </c>
      <c r="M5830" t="s">
        <v>31591</v>
      </c>
      <c r="N5830" t="s">
        <v>32524</v>
      </c>
      <c r="O5830" t="s">
        <v>32525</v>
      </c>
      <c r="P5830">
        <v>0</v>
      </c>
      <c r="Q5830">
        <v>17</v>
      </c>
      <c r="R5830" t="s">
        <v>32531</v>
      </c>
      <c r="S5830" t="s">
        <v>32586</v>
      </c>
      <c r="T5830" t="s">
        <v>33234</v>
      </c>
      <c r="U5830" t="s">
        <v>38523</v>
      </c>
      <c r="W5830" t="s">
        <v>31591</v>
      </c>
      <c r="X5830" t="s">
        <v>32532</v>
      </c>
    </row>
    <row r="5831" spans="1:24">
      <c r="A5831">
        <f>HYPERLINK("https://www.philgeps.gov.ph/GEPSNONPILOT/Tender/SplashBidNoticeAbstractUI.aspx?menuIndex=3&amp;refID=7040895&amp;Result=3","7040895")</f>
        <v>0</v>
      </c>
      <c r="B5831" t="s">
        <v>1881</v>
      </c>
      <c r="C5831" t="s">
        <v>8257</v>
      </c>
      <c r="D5831" t="s">
        <v>13051</v>
      </c>
      <c r="E5831" t="s">
        <v>18267</v>
      </c>
      <c r="F5831" t="s">
        <v>22436</v>
      </c>
      <c r="G5831" t="s">
        <v>22444</v>
      </c>
      <c r="H5831" t="s">
        <v>22452</v>
      </c>
      <c r="I5831" t="s">
        <v>5194</v>
      </c>
      <c r="J5831" t="s">
        <v>26395</v>
      </c>
      <c r="K5831" t="s">
        <v>29337</v>
      </c>
      <c r="M5831" t="s">
        <v>31599</v>
      </c>
      <c r="N5831" t="s">
        <v>32524</v>
      </c>
      <c r="O5831" t="s">
        <v>32525</v>
      </c>
      <c r="P5831">
        <v>0</v>
      </c>
      <c r="Q5831">
        <v>8</v>
      </c>
      <c r="R5831" t="s">
        <v>32531</v>
      </c>
      <c r="S5831" t="s">
        <v>32586</v>
      </c>
      <c r="T5831" t="s">
        <v>33184</v>
      </c>
      <c r="U5831" t="s">
        <v>38551</v>
      </c>
      <c r="W5831" t="s">
        <v>31599</v>
      </c>
      <c r="X5831" t="s">
        <v>32532</v>
      </c>
    </row>
    <row r="5832" spans="1:24">
      <c r="A5832">
        <f>HYPERLINK("https://www.philgeps.gov.ph/GEPSNONPILOT/Tender/SplashBidNoticeAbstractUI.aspx?menuIndex=3&amp;refID=7040935&amp;Result=3","7040935")</f>
        <v>0</v>
      </c>
      <c r="B5832" t="s">
        <v>1883</v>
      </c>
      <c r="C5832" t="s">
        <v>8258</v>
      </c>
      <c r="D5832" t="s">
        <v>13037</v>
      </c>
      <c r="E5832" t="s">
        <v>18268</v>
      </c>
      <c r="F5832" t="s">
        <v>22436</v>
      </c>
      <c r="G5832" t="s">
        <v>22444</v>
      </c>
      <c r="H5832" t="s">
        <v>22452</v>
      </c>
      <c r="I5832" t="s">
        <v>6421</v>
      </c>
      <c r="J5832" t="s">
        <v>26396</v>
      </c>
      <c r="K5832" t="s">
        <v>29331</v>
      </c>
      <c r="M5832" t="s">
        <v>31601</v>
      </c>
      <c r="N5832" t="s">
        <v>32524</v>
      </c>
      <c r="O5832" t="s">
        <v>32525</v>
      </c>
      <c r="P5832">
        <v>0</v>
      </c>
      <c r="Q5832">
        <v>0</v>
      </c>
      <c r="R5832" t="s">
        <v>32531</v>
      </c>
      <c r="S5832" t="s">
        <v>32586</v>
      </c>
      <c r="T5832" t="s">
        <v>33259</v>
      </c>
      <c r="U5832" t="s">
        <v>38552</v>
      </c>
      <c r="W5832" t="s">
        <v>32177</v>
      </c>
      <c r="X5832" t="s">
        <v>32532</v>
      </c>
    </row>
    <row r="5833" spans="1:24">
      <c r="A5833">
        <f>HYPERLINK("https://www.philgeps.gov.ph/GEPSNONPILOT/Tender/SplashBidNoticeAbstractUI.aspx?menuIndex=3&amp;refID=7040934&amp;Result=3","7040934")</f>
        <v>0</v>
      </c>
      <c r="B5833" t="s">
        <v>1890</v>
      </c>
      <c r="C5833" t="s">
        <v>8259</v>
      </c>
      <c r="D5833" t="s">
        <v>13039</v>
      </c>
      <c r="E5833" t="s">
        <v>14018</v>
      </c>
      <c r="F5833" t="s">
        <v>22436</v>
      </c>
      <c r="G5833" t="s">
        <v>22444</v>
      </c>
      <c r="H5833" t="s">
        <v>22453</v>
      </c>
      <c r="I5833" t="s">
        <v>22464</v>
      </c>
      <c r="J5833" t="s">
        <v>26397</v>
      </c>
      <c r="K5833" t="s">
        <v>29331</v>
      </c>
      <c r="M5833" t="s">
        <v>31610</v>
      </c>
      <c r="N5833" t="s">
        <v>32524</v>
      </c>
      <c r="O5833" t="s">
        <v>32525</v>
      </c>
      <c r="P5833">
        <v>0</v>
      </c>
      <c r="Q5833">
        <v>0</v>
      </c>
      <c r="R5833" t="s">
        <v>32531</v>
      </c>
      <c r="S5833" t="s">
        <v>32586</v>
      </c>
      <c r="T5833" t="s">
        <v>33220</v>
      </c>
      <c r="U5833" t="s">
        <v>38553</v>
      </c>
      <c r="W5833" t="s">
        <v>31610</v>
      </c>
      <c r="X5833" t="s">
        <v>32532</v>
      </c>
    </row>
    <row r="5834" spans="1:24">
      <c r="A5834">
        <f>HYPERLINK("https://www.philgeps.gov.ph/GEPSNONPILOT/Tender/SplashBidNoticeAbstractUI.aspx?menuIndex=3&amp;refID=7040927&amp;Result=3","7040927")</f>
        <v>0</v>
      </c>
      <c r="B5834" t="s">
        <v>1891</v>
      </c>
      <c r="C5834" t="s">
        <v>8260</v>
      </c>
      <c r="E5834" t="s">
        <v>18269</v>
      </c>
      <c r="F5834" t="s">
        <v>22436</v>
      </c>
      <c r="G5834" t="s">
        <v>22444</v>
      </c>
      <c r="H5834" t="s">
        <v>22455</v>
      </c>
      <c r="I5834" t="s">
        <v>22455</v>
      </c>
      <c r="J5834" t="s">
        <v>26398</v>
      </c>
      <c r="K5834" t="s">
        <v>29338</v>
      </c>
      <c r="M5834" t="s">
        <v>31611</v>
      </c>
      <c r="N5834" t="s">
        <v>32524</v>
      </c>
      <c r="O5834" t="s">
        <v>32525</v>
      </c>
      <c r="Q5834">
        <v>3</v>
      </c>
      <c r="R5834" t="s">
        <v>32531</v>
      </c>
      <c r="S5834" t="s">
        <v>32615</v>
      </c>
      <c r="T5834" t="s">
        <v>33252</v>
      </c>
      <c r="U5834" t="s">
        <v>38554</v>
      </c>
      <c r="W5834" t="s">
        <v>31611</v>
      </c>
      <c r="X5834" t="s">
        <v>32532</v>
      </c>
    </row>
    <row r="5835" spans="1:24">
      <c r="A5835">
        <f>HYPERLINK("https://www.philgeps.gov.ph/GEPSNONPILOT/Tender/SplashBidNoticeAbstractUI.aspx?menuIndex=3&amp;refID=7040921&amp;Result=3","7040921")</f>
        <v>0</v>
      </c>
      <c r="B5835" t="s">
        <v>527</v>
      </c>
      <c r="C5835" t="s">
        <v>8261</v>
      </c>
      <c r="D5835" t="s">
        <v>12988</v>
      </c>
      <c r="E5835" t="s">
        <v>18270</v>
      </c>
      <c r="F5835" t="s">
        <v>22436</v>
      </c>
      <c r="G5835" t="s">
        <v>22444</v>
      </c>
      <c r="H5835" t="s">
        <v>22452</v>
      </c>
      <c r="I5835" t="s">
        <v>22504</v>
      </c>
      <c r="J5835" t="s">
        <v>26399</v>
      </c>
      <c r="K5835" t="s">
        <v>29426</v>
      </c>
      <c r="M5835" t="s">
        <v>31612</v>
      </c>
      <c r="N5835" t="s">
        <v>32524</v>
      </c>
      <c r="O5835" t="s">
        <v>32525</v>
      </c>
      <c r="P5835">
        <v>0</v>
      </c>
      <c r="Q5835">
        <v>2</v>
      </c>
      <c r="R5835" t="s">
        <v>32531</v>
      </c>
      <c r="S5835" t="s">
        <v>32586</v>
      </c>
      <c r="T5835" t="s">
        <v>33423</v>
      </c>
      <c r="U5835" t="s">
        <v>38555</v>
      </c>
      <c r="W5835" t="s">
        <v>31612</v>
      </c>
      <c r="X5835" t="s">
        <v>32532</v>
      </c>
    </row>
    <row r="5836" spans="1:24">
      <c r="A5836">
        <f>HYPERLINK("https://www.philgeps.gov.ph/GEPSNONPILOT/Tender/SplashBidNoticeAbstractUI.aspx?menuIndex=3&amp;refID=7040962&amp;Result=3","7040962")</f>
        <v>0</v>
      </c>
      <c r="B5836" t="s">
        <v>1275</v>
      </c>
      <c r="C5836" t="s">
        <v>8262</v>
      </c>
      <c r="D5836" t="s">
        <v>13050</v>
      </c>
      <c r="E5836" t="s">
        <v>18271</v>
      </c>
      <c r="F5836" t="s">
        <v>22436</v>
      </c>
      <c r="G5836" t="s">
        <v>22444</v>
      </c>
      <c r="H5836" t="s">
        <v>22452</v>
      </c>
      <c r="I5836" t="s">
        <v>22527</v>
      </c>
      <c r="J5836" t="s">
        <v>26400</v>
      </c>
      <c r="K5836" t="s">
        <v>29336</v>
      </c>
      <c r="M5836" t="s">
        <v>30928</v>
      </c>
      <c r="N5836" t="s">
        <v>32524</v>
      </c>
      <c r="O5836" t="s">
        <v>32525</v>
      </c>
      <c r="P5836">
        <v>0</v>
      </c>
      <c r="Q5836">
        <v>0</v>
      </c>
      <c r="R5836" t="s">
        <v>32531</v>
      </c>
      <c r="S5836" t="s">
        <v>32586</v>
      </c>
      <c r="T5836" t="s">
        <v>33185</v>
      </c>
      <c r="U5836" t="s">
        <v>38556</v>
      </c>
      <c r="W5836" t="s">
        <v>30928</v>
      </c>
      <c r="X5836" t="s">
        <v>32532</v>
      </c>
    </row>
    <row r="5837" spans="1:24">
      <c r="A5837">
        <f>HYPERLINK("https://www.philgeps.gov.ph/GEPSNONPILOT/Tender/SplashBidNoticeAbstractUI.aspx?menuIndex=3&amp;refID=7040961&amp;Result=3","7040961")</f>
        <v>0</v>
      </c>
      <c r="B5837" t="s">
        <v>1275</v>
      </c>
      <c r="C5837" t="s">
        <v>8263</v>
      </c>
      <c r="D5837" t="s">
        <v>13050</v>
      </c>
      <c r="E5837" t="s">
        <v>18271</v>
      </c>
      <c r="F5837" t="s">
        <v>22436</v>
      </c>
      <c r="G5837" t="s">
        <v>22444</v>
      </c>
      <c r="H5837" t="s">
        <v>22452</v>
      </c>
      <c r="I5837" t="s">
        <v>22527</v>
      </c>
      <c r="J5837" t="s">
        <v>26401</v>
      </c>
      <c r="K5837" t="s">
        <v>29336</v>
      </c>
      <c r="M5837" t="s">
        <v>30928</v>
      </c>
      <c r="N5837" t="s">
        <v>32524</v>
      </c>
      <c r="O5837" t="s">
        <v>32525</v>
      </c>
      <c r="P5837">
        <v>0</v>
      </c>
      <c r="Q5837">
        <v>1</v>
      </c>
      <c r="R5837" t="s">
        <v>32531</v>
      </c>
      <c r="S5837" t="s">
        <v>32586</v>
      </c>
      <c r="T5837" t="s">
        <v>33185</v>
      </c>
      <c r="U5837" t="s">
        <v>38557</v>
      </c>
      <c r="W5837" t="s">
        <v>30928</v>
      </c>
      <c r="X5837" t="s">
        <v>32532</v>
      </c>
    </row>
    <row r="5838" spans="1:24">
      <c r="A5838">
        <f>HYPERLINK("https://www.philgeps.gov.ph/GEPSNONPILOT/Tender/SplashBidNoticeAbstractUI.aspx?menuIndex=3&amp;refID=7040890&amp;Result=3","7040890")</f>
        <v>0</v>
      </c>
      <c r="B5838" t="s">
        <v>1887</v>
      </c>
      <c r="C5838" t="s">
        <v>8264</v>
      </c>
      <c r="D5838" t="s">
        <v>13007</v>
      </c>
      <c r="E5838" t="s">
        <v>13320</v>
      </c>
      <c r="F5838" t="s">
        <v>22436</v>
      </c>
      <c r="G5838" t="s">
        <v>22443</v>
      </c>
      <c r="H5838" t="s">
        <v>22452</v>
      </c>
      <c r="I5838" t="s">
        <v>5194</v>
      </c>
      <c r="J5838" t="s">
        <v>26402</v>
      </c>
      <c r="K5838" t="s">
        <v>29338</v>
      </c>
      <c r="M5838" t="s">
        <v>31607</v>
      </c>
      <c r="N5838" t="s">
        <v>32524</v>
      </c>
      <c r="O5838" t="s">
        <v>32525</v>
      </c>
      <c r="P5838">
        <v>0</v>
      </c>
      <c r="Q5838">
        <v>7</v>
      </c>
      <c r="R5838" t="s">
        <v>32531</v>
      </c>
      <c r="S5838" t="s">
        <v>32586</v>
      </c>
      <c r="T5838" t="s">
        <v>33173</v>
      </c>
      <c r="U5838" t="s">
        <v>38558</v>
      </c>
      <c r="W5838" t="s">
        <v>31607</v>
      </c>
      <c r="X5838" t="s">
        <v>32532</v>
      </c>
    </row>
    <row r="5839" spans="1:24">
      <c r="A5839">
        <f>HYPERLINK("https://www.philgeps.gov.ph/GEPSNONPILOT/Tender/SplashBidNoticeAbstractUI.aspx?menuIndex=3&amp;refID=7040963&amp;Result=3","7040963")</f>
        <v>0</v>
      </c>
      <c r="B5839" t="s">
        <v>667</v>
      </c>
      <c r="C5839" t="s">
        <v>8265</v>
      </c>
      <c r="E5839" t="s">
        <v>18272</v>
      </c>
      <c r="F5839" t="s">
        <v>22436</v>
      </c>
      <c r="G5839" t="s">
        <v>22444</v>
      </c>
      <c r="H5839" t="s">
        <v>22453</v>
      </c>
      <c r="I5839" t="s">
        <v>22469</v>
      </c>
      <c r="J5839" t="s">
        <v>23399</v>
      </c>
      <c r="K5839" t="s">
        <v>29371</v>
      </c>
      <c r="M5839" t="s">
        <v>30802</v>
      </c>
      <c r="N5839" t="s">
        <v>32524</v>
      </c>
      <c r="O5839" t="s">
        <v>32525</v>
      </c>
      <c r="P5839">
        <v>0</v>
      </c>
      <c r="Q5839">
        <v>14</v>
      </c>
      <c r="R5839" t="s">
        <v>32531</v>
      </c>
      <c r="S5839" t="s">
        <v>32586</v>
      </c>
      <c r="T5839" t="s">
        <v>33253</v>
      </c>
      <c r="U5839" t="s">
        <v>38559</v>
      </c>
      <c r="W5839" t="s">
        <v>30802</v>
      </c>
      <c r="X5839" t="s">
        <v>32532</v>
      </c>
    </row>
    <row r="5840" spans="1:24">
      <c r="A5840">
        <f>HYPERLINK("https://www.philgeps.gov.ph/GEPSNONPILOT/Tender/SplashBidNoticeAbstractUI.aspx?menuIndex=3&amp;refID=7040899&amp;Result=3","7040899")</f>
        <v>0</v>
      </c>
      <c r="B5840" t="s">
        <v>1892</v>
      </c>
      <c r="C5840" t="s">
        <v>8266</v>
      </c>
      <c r="D5840" t="s">
        <v>13011</v>
      </c>
      <c r="E5840" t="s">
        <v>18273</v>
      </c>
      <c r="F5840" t="s">
        <v>22436</v>
      </c>
      <c r="G5840" t="s">
        <v>22448</v>
      </c>
      <c r="H5840" t="s">
        <v>22452</v>
      </c>
      <c r="I5840" t="s">
        <v>3122</v>
      </c>
      <c r="J5840" t="s">
        <v>22605</v>
      </c>
      <c r="K5840" t="s">
        <v>29340</v>
      </c>
      <c r="M5840" t="s">
        <v>31613</v>
      </c>
      <c r="N5840" t="s">
        <v>32524</v>
      </c>
      <c r="O5840" t="s">
        <v>32525</v>
      </c>
      <c r="P5840">
        <v>0</v>
      </c>
      <c r="Q5840">
        <v>0</v>
      </c>
      <c r="R5840" t="s">
        <v>32531</v>
      </c>
      <c r="S5840" t="s">
        <v>32586</v>
      </c>
      <c r="T5840" t="s">
        <v>33213</v>
      </c>
      <c r="U5840" t="s">
        <v>38560</v>
      </c>
      <c r="W5840" t="s">
        <v>31613</v>
      </c>
      <c r="X5840" t="s">
        <v>32532</v>
      </c>
    </row>
    <row r="5841" spans="1:24">
      <c r="A5841">
        <f>HYPERLINK("https://www.philgeps.gov.ph/GEPSNONPILOT/Tender/SplashBidNoticeAbstractUI.aspx?menuIndex=3&amp;refID=7040957&amp;Result=3","7040957")</f>
        <v>0</v>
      </c>
      <c r="B5841" t="s">
        <v>1893</v>
      </c>
      <c r="C5841" t="s">
        <v>8267</v>
      </c>
      <c r="D5841" t="s">
        <v>12988</v>
      </c>
      <c r="E5841" t="s">
        <v>18274</v>
      </c>
      <c r="F5841" t="s">
        <v>22436</v>
      </c>
      <c r="G5841" t="s">
        <v>22444</v>
      </c>
      <c r="H5841" t="s">
        <v>22452</v>
      </c>
      <c r="I5841" t="s">
        <v>22460</v>
      </c>
      <c r="J5841" t="s">
        <v>22640</v>
      </c>
      <c r="K5841" t="s">
        <v>29331</v>
      </c>
      <c r="M5841" t="s">
        <v>31614</v>
      </c>
      <c r="N5841" t="s">
        <v>32524</v>
      </c>
      <c r="O5841" t="s">
        <v>32525</v>
      </c>
      <c r="P5841">
        <v>0</v>
      </c>
      <c r="Q5841">
        <v>5</v>
      </c>
      <c r="R5841" t="s">
        <v>32531</v>
      </c>
      <c r="S5841" t="s">
        <v>32586</v>
      </c>
      <c r="T5841" t="s">
        <v>33220</v>
      </c>
      <c r="U5841" t="s">
        <v>38561</v>
      </c>
      <c r="W5841" t="s">
        <v>31614</v>
      </c>
      <c r="X5841" t="s">
        <v>32532</v>
      </c>
    </row>
    <row r="5842" spans="1:24">
      <c r="A5842">
        <f>HYPERLINK("https://www.philgeps.gov.ph/GEPSNONPILOT/Tender/SplashBidNoticeAbstractUI.aspx?menuIndex=3&amp;refID=7040933&amp;Result=3","7040933")</f>
        <v>0</v>
      </c>
      <c r="B5842" t="s">
        <v>1888</v>
      </c>
      <c r="C5842" t="s">
        <v>8268</v>
      </c>
      <c r="D5842" t="s">
        <v>13020</v>
      </c>
      <c r="E5842" t="s">
        <v>18275</v>
      </c>
      <c r="F5842" t="s">
        <v>22436</v>
      </c>
      <c r="G5842" t="s">
        <v>22444</v>
      </c>
      <c r="H5842" t="s">
        <v>22454</v>
      </c>
      <c r="I5842" t="s">
        <v>7738</v>
      </c>
      <c r="J5842" t="s">
        <v>22877</v>
      </c>
      <c r="K5842" t="s">
        <v>29333</v>
      </c>
      <c r="M5842" t="s">
        <v>31608</v>
      </c>
      <c r="N5842" t="s">
        <v>32524</v>
      </c>
      <c r="O5842" t="s">
        <v>32525</v>
      </c>
      <c r="P5842">
        <v>0</v>
      </c>
      <c r="Q5842">
        <v>30</v>
      </c>
      <c r="R5842" t="s">
        <v>32531</v>
      </c>
      <c r="S5842" t="s">
        <v>32586</v>
      </c>
      <c r="T5842" t="s">
        <v>33321</v>
      </c>
      <c r="U5842" t="s">
        <v>38562</v>
      </c>
      <c r="V5842" t="s">
        <v>42428</v>
      </c>
      <c r="W5842" t="s">
        <v>31608</v>
      </c>
      <c r="X5842" t="s">
        <v>32532</v>
      </c>
    </row>
    <row r="5843" spans="1:24">
      <c r="A5843">
        <f>HYPERLINK("https://www.philgeps.gov.ph/GEPSNONPILOT/Tender/SplashBidNoticeAbstractUI.aspx?menuIndex=3&amp;refID=7040959&amp;Result=3","7040959")</f>
        <v>0</v>
      </c>
      <c r="B5843" t="s">
        <v>1275</v>
      </c>
      <c r="C5843" t="s">
        <v>8269</v>
      </c>
      <c r="D5843" t="s">
        <v>13050</v>
      </c>
      <c r="E5843" t="s">
        <v>18271</v>
      </c>
      <c r="F5843" t="s">
        <v>22436</v>
      </c>
      <c r="G5843" t="s">
        <v>22444</v>
      </c>
      <c r="H5843" t="s">
        <v>22452</v>
      </c>
      <c r="I5843" t="s">
        <v>22527</v>
      </c>
      <c r="J5843" t="s">
        <v>23066</v>
      </c>
      <c r="K5843" t="s">
        <v>29336</v>
      </c>
      <c r="M5843" t="s">
        <v>30928</v>
      </c>
      <c r="N5843" t="s">
        <v>32524</v>
      </c>
      <c r="O5843" t="s">
        <v>32525</v>
      </c>
      <c r="P5843">
        <v>0</v>
      </c>
      <c r="Q5843">
        <v>0</v>
      </c>
      <c r="R5843" t="s">
        <v>32531</v>
      </c>
      <c r="S5843" t="s">
        <v>32586</v>
      </c>
      <c r="T5843" t="s">
        <v>33351</v>
      </c>
      <c r="U5843" t="s">
        <v>38563</v>
      </c>
      <c r="W5843" t="s">
        <v>30928</v>
      </c>
      <c r="X5843" t="s">
        <v>32532</v>
      </c>
    </row>
    <row r="5844" spans="1:24">
      <c r="A5844">
        <f>HYPERLINK("https://www.philgeps.gov.ph/GEPSNONPILOT/Tender/SplashBidNoticeAbstractUI.aspx?menuIndex=3&amp;refID=7040925&amp;Result=3","7040925")</f>
        <v>0</v>
      </c>
      <c r="B5844" t="s">
        <v>1888</v>
      </c>
      <c r="C5844" t="s">
        <v>8270</v>
      </c>
      <c r="D5844" t="s">
        <v>13020</v>
      </c>
      <c r="E5844" t="s">
        <v>18276</v>
      </c>
      <c r="F5844" t="s">
        <v>22436</v>
      </c>
      <c r="G5844" t="s">
        <v>22444</v>
      </c>
      <c r="H5844" t="s">
        <v>22454</v>
      </c>
      <c r="I5844" t="s">
        <v>7738</v>
      </c>
      <c r="J5844" t="s">
        <v>22779</v>
      </c>
      <c r="K5844" t="s">
        <v>29442</v>
      </c>
      <c r="M5844" t="s">
        <v>31608</v>
      </c>
      <c r="N5844" t="s">
        <v>32524</v>
      </c>
      <c r="O5844" t="s">
        <v>32525</v>
      </c>
      <c r="P5844">
        <v>0</v>
      </c>
      <c r="Q5844">
        <v>30</v>
      </c>
      <c r="R5844" t="s">
        <v>32531</v>
      </c>
      <c r="S5844" t="s">
        <v>32586</v>
      </c>
      <c r="T5844" t="s">
        <v>33321</v>
      </c>
      <c r="U5844" t="s">
        <v>38564</v>
      </c>
      <c r="V5844" t="s">
        <v>42428</v>
      </c>
      <c r="W5844" t="s">
        <v>31608</v>
      </c>
      <c r="X5844" t="s">
        <v>32532</v>
      </c>
    </row>
    <row r="5845" spans="1:24">
      <c r="A5845">
        <f>HYPERLINK("https://www.philgeps.gov.ph/GEPSNONPILOT/Tender/SplashBidNoticeAbstractUI.aspx?menuIndex=3&amp;refID=7012626-2&amp;Result=3","7012626-2")</f>
        <v>0</v>
      </c>
      <c r="B5845" t="s">
        <v>1244</v>
      </c>
      <c r="C5845" t="s">
        <v>8271</v>
      </c>
      <c r="E5845" t="s">
        <v>18277</v>
      </c>
      <c r="F5845" t="s">
        <v>22436</v>
      </c>
      <c r="G5845" t="s">
        <v>22444</v>
      </c>
      <c r="H5845" t="s">
        <v>22455</v>
      </c>
      <c r="I5845" t="s">
        <v>22455</v>
      </c>
      <c r="J5845" t="s">
        <v>26403</v>
      </c>
      <c r="K5845" t="s">
        <v>29338</v>
      </c>
      <c r="M5845" t="s">
        <v>30896</v>
      </c>
      <c r="N5845" t="s">
        <v>32524</v>
      </c>
      <c r="O5845" t="s">
        <v>32525</v>
      </c>
      <c r="P5845">
        <v>0</v>
      </c>
      <c r="Q5845">
        <v>1</v>
      </c>
      <c r="R5845" t="s">
        <v>32532</v>
      </c>
      <c r="S5845" t="s">
        <v>32616</v>
      </c>
      <c r="T5845" t="s">
        <v>33249</v>
      </c>
      <c r="U5845" t="s">
        <v>38565</v>
      </c>
      <c r="V5845" t="s">
        <v>43072</v>
      </c>
      <c r="W5845" t="s">
        <v>30896</v>
      </c>
      <c r="X5845" t="s">
        <v>32533</v>
      </c>
    </row>
    <row r="5846" spans="1:24">
      <c r="A5846">
        <f>HYPERLINK("https://www.philgeps.gov.ph/GEPSNONPILOT/Tender/SplashBidNoticeAbstractUI.aspx?menuIndex=3&amp;refID=7040919&amp;Result=3","7040919")</f>
        <v>0</v>
      </c>
      <c r="B5846" t="s">
        <v>1887</v>
      </c>
      <c r="C5846" t="s">
        <v>8272</v>
      </c>
      <c r="D5846" t="s">
        <v>13007</v>
      </c>
      <c r="E5846" t="s">
        <v>13701</v>
      </c>
      <c r="F5846" t="s">
        <v>22436</v>
      </c>
      <c r="G5846" t="s">
        <v>22443</v>
      </c>
      <c r="H5846" t="s">
        <v>22452</v>
      </c>
      <c r="I5846" t="s">
        <v>22460</v>
      </c>
      <c r="J5846" t="s">
        <v>26404</v>
      </c>
      <c r="K5846" t="s">
        <v>29338</v>
      </c>
      <c r="M5846" t="s">
        <v>31607</v>
      </c>
      <c r="N5846" t="s">
        <v>32524</v>
      </c>
      <c r="O5846" t="s">
        <v>32525</v>
      </c>
      <c r="P5846">
        <v>0</v>
      </c>
      <c r="Q5846">
        <v>3</v>
      </c>
      <c r="R5846" t="s">
        <v>32531</v>
      </c>
      <c r="S5846" t="s">
        <v>32586</v>
      </c>
      <c r="T5846" t="s">
        <v>33185</v>
      </c>
      <c r="U5846" t="s">
        <v>38566</v>
      </c>
      <c r="W5846" t="s">
        <v>31607</v>
      </c>
      <c r="X5846" t="s">
        <v>32532</v>
      </c>
    </row>
    <row r="5847" spans="1:24">
      <c r="A5847">
        <f>HYPERLINK("https://www.philgeps.gov.ph/GEPSNONPILOT/Tender/SplashBidNoticeAbstractUI.aspx?menuIndex=3&amp;refID=7040956&amp;Result=3","7040956")</f>
        <v>0</v>
      </c>
      <c r="B5847" t="s">
        <v>1893</v>
      </c>
      <c r="C5847" t="s">
        <v>8273</v>
      </c>
      <c r="D5847" t="s">
        <v>12988</v>
      </c>
      <c r="E5847" t="s">
        <v>18278</v>
      </c>
      <c r="F5847" t="s">
        <v>22436</v>
      </c>
      <c r="G5847" t="s">
        <v>22444</v>
      </c>
      <c r="H5847" t="s">
        <v>22452</v>
      </c>
      <c r="I5847" t="s">
        <v>5194</v>
      </c>
      <c r="J5847" t="s">
        <v>26405</v>
      </c>
      <c r="K5847" t="s">
        <v>29331</v>
      </c>
      <c r="M5847" t="s">
        <v>31614</v>
      </c>
      <c r="N5847" t="s">
        <v>32524</v>
      </c>
      <c r="O5847" t="s">
        <v>32525</v>
      </c>
      <c r="P5847">
        <v>0</v>
      </c>
      <c r="Q5847">
        <v>4</v>
      </c>
      <c r="R5847" t="s">
        <v>32531</v>
      </c>
      <c r="S5847" t="s">
        <v>32586</v>
      </c>
      <c r="T5847" t="s">
        <v>33220</v>
      </c>
      <c r="U5847" t="s">
        <v>38561</v>
      </c>
      <c r="W5847" t="s">
        <v>31614</v>
      </c>
      <c r="X5847" t="s">
        <v>32532</v>
      </c>
    </row>
    <row r="5848" spans="1:24">
      <c r="A5848">
        <f>HYPERLINK("https://www.philgeps.gov.ph/GEPSNONPILOT/Tender/SplashBidNoticeAbstractUI.aspx?menuIndex=3&amp;refID=7002813&amp;Result=3","7002813")</f>
        <v>0</v>
      </c>
      <c r="B5848" t="s">
        <v>1894</v>
      </c>
      <c r="C5848" t="s">
        <v>8274</v>
      </c>
      <c r="D5848" t="s">
        <v>13025</v>
      </c>
      <c r="E5848" t="s">
        <v>18279</v>
      </c>
      <c r="F5848" t="s">
        <v>22436</v>
      </c>
      <c r="G5848" t="s">
        <v>22444</v>
      </c>
      <c r="H5848" t="s">
        <v>22452</v>
      </c>
      <c r="I5848" t="s">
        <v>22468</v>
      </c>
      <c r="J5848" t="s">
        <v>26406</v>
      </c>
      <c r="K5848" t="s">
        <v>29331</v>
      </c>
      <c r="M5848" t="s">
        <v>31615</v>
      </c>
      <c r="N5848" t="s">
        <v>32524</v>
      </c>
      <c r="O5848" t="s">
        <v>32525</v>
      </c>
      <c r="P5848">
        <v>0</v>
      </c>
      <c r="Q5848">
        <v>0</v>
      </c>
      <c r="R5848" t="s">
        <v>32532</v>
      </c>
      <c r="S5848" t="s">
        <v>32616</v>
      </c>
      <c r="T5848" t="s">
        <v>33310</v>
      </c>
      <c r="U5848" t="s">
        <v>38567</v>
      </c>
      <c r="W5848" t="s">
        <v>31615</v>
      </c>
      <c r="X5848" t="s">
        <v>43783</v>
      </c>
    </row>
    <row r="5849" spans="1:24">
      <c r="A5849">
        <f>HYPERLINK("https://www.philgeps.gov.ph/GEPSNONPILOT/Tender/SplashBidNoticeAbstractUI.aspx?menuIndex=3&amp;refID=7040906&amp;Result=3","7040906")</f>
        <v>0</v>
      </c>
      <c r="B5849" t="s">
        <v>1895</v>
      </c>
      <c r="C5849" t="s">
        <v>8275</v>
      </c>
      <c r="D5849" t="s">
        <v>13011</v>
      </c>
      <c r="E5849" t="s">
        <v>18280</v>
      </c>
      <c r="F5849" t="s">
        <v>22436</v>
      </c>
      <c r="G5849" t="s">
        <v>22444</v>
      </c>
      <c r="H5849" t="s">
        <v>22454</v>
      </c>
      <c r="I5849" t="s">
        <v>7738</v>
      </c>
      <c r="J5849" t="s">
        <v>24712</v>
      </c>
      <c r="K5849" t="s">
        <v>29344</v>
      </c>
      <c r="M5849" t="s">
        <v>31616</v>
      </c>
      <c r="N5849" t="s">
        <v>32524</v>
      </c>
      <c r="O5849" t="s">
        <v>32525</v>
      </c>
      <c r="P5849">
        <v>0</v>
      </c>
      <c r="Q5849">
        <v>3</v>
      </c>
      <c r="R5849" t="s">
        <v>32531</v>
      </c>
      <c r="S5849" t="s">
        <v>32586</v>
      </c>
      <c r="T5849" t="s">
        <v>33519</v>
      </c>
      <c r="U5849" t="s">
        <v>38568</v>
      </c>
      <c r="W5849" t="s">
        <v>31616</v>
      </c>
      <c r="X5849" t="s">
        <v>32532</v>
      </c>
    </row>
    <row r="5850" spans="1:24">
      <c r="A5850">
        <f>HYPERLINK("https://www.philgeps.gov.ph/GEPSNONPILOT/Tender/SplashBidNoticeAbstractUI.aspx?menuIndex=3&amp;refID=7040945&amp;Result=3","7040945")</f>
        <v>0</v>
      </c>
      <c r="B5850" t="s">
        <v>1888</v>
      </c>
      <c r="C5850" t="s">
        <v>8276</v>
      </c>
      <c r="D5850" t="s">
        <v>13020</v>
      </c>
      <c r="E5850" t="s">
        <v>18281</v>
      </c>
      <c r="F5850" t="s">
        <v>22436</v>
      </c>
      <c r="G5850" t="s">
        <v>22444</v>
      </c>
      <c r="H5850" t="s">
        <v>22454</v>
      </c>
      <c r="I5850" t="s">
        <v>7738</v>
      </c>
      <c r="J5850" t="s">
        <v>24216</v>
      </c>
      <c r="K5850" t="s">
        <v>29413</v>
      </c>
      <c r="M5850" t="s">
        <v>31608</v>
      </c>
      <c r="N5850" t="s">
        <v>32524</v>
      </c>
      <c r="O5850" t="s">
        <v>32525</v>
      </c>
      <c r="P5850">
        <v>0</v>
      </c>
      <c r="Q5850">
        <v>30</v>
      </c>
      <c r="R5850" t="s">
        <v>32531</v>
      </c>
      <c r="S5850" t="s">
        <v>32586</v>
      </c>
      <c r="T5850" t="s">
        <v>33321</v>
      </c>
      <c r="U5850" t="s">
        <v>38569</v>
      </c>
      <c r="V5850" t="s">
        <v>42428</v>
      </c>
      <c r="W5850" t="s">
        <v>31608</v>
      </c>
      <c r="X5850" t="s">
        <v>32532</v>
      </c>
    </row>
    <row r="5851" spans="1:24">
      <c r="A5851">
        <f>HYPERLINK("https://www.philgeps.gov.ph/GEPSNONPILOT/Tender/SplashBidNoticeAbstractUI.aspx?menuIndex=3&amp;refID=6948008&amp;Result=3","6948008")</f>
        <v>0</v>
      </c>
      <c r="B5851" t="s">
        <v>1549</v>
      </c>
      <c r="C5851" t="s">
        <v>8277</v>
      </c>
      <c r="D5851" t="s">
        <v>13045</v>
      </c>
      <c r="E5851" t="s">
        <v>18282</v>
      </c>
      <c r="F5851" t="s">
        <v>22436</v>
      </c>
      <c r="G5851" t="s">
        <v>22444</v>
      </c>
      <c r="H5851" t="s">
        <v>22452</v>
      </c>
      <c r="I5851" t="s">
        <v>22471</v>
      </c>
      <c r="J5851" t="s">
        <v>26407</v>
      </c>
      <c r="K5851" t="s">
        <v>29335</v>
      </c>
      <c r="M5851" t="s">
        <v>31229</v>
      </c>
      <c r="N5851" t="s">
        <v>32524</v>
      </c>
      <c r="O5851" t="s">
        <v>32525</v>
      </c>
      <c r="P5851">
        <v>0</v>
      </c>
      <c r="Q5851">
        <v>4</v>
      </c>
      <c r="R5851" t="s">
        <v>32532</v>
      </c>
      <c r="S5851" t="s">
        <v>32616</v>
      </c>
      <c r="T5851" t="s">
        <v>33371</v>
      </c>
      <c r="U5851" t="s">
        <v>38570</v>
      </c>
      <c r="V5851" t="s">
        <v>42915</v>
      </c>
      <c r="W5851" t="s">
        <v>31229</v>
      </c>
      <c r="X5851" t="s">
        <v>43784</v>
      </c>
    </row>
    <row r="5852" spans="1:24">
      <c r="A5852">
        <f>HYPERLINK("https://www.philgeps.gov.ph/GEPSNONPILOT/Tender/SplashBidNoticeAbstractUI.aspx?menuIndex=3&amp;refID=7040944&amp;Result=3","7040944")</f>
        <v>0</v>
      </c>
      <c r="B5852" t="s">
        <v>1896</v>
      </c>
      <c r="C5852" t="s">
        <v>8278</v>
      </c>
      <c r="D5852" t="s">
        <v>13031</v>
      </c>
      <c r="E5852" t="s">
        <v>18283</v>
      </c>
      <c r="F5852" t="s">
        <v>22436</v>
      </c>
      <c r="G5852" t="s">
        <v>22443</v>
      </c>
      <c r="H5852" t="s">
        <v>22452</v>
      </c>
      <c r="I5852" t="s">
        <v>22463</v>
      </c>
      <c r="J5852" t="s">
        <v>23235</v>
      </c>
      <c r="K5852" t="s">
        <v>29335</v>
      </c>
      <c r="M5852" t="s">
        <v>31617</v>
      </c>
      <c r="N5852" t="s">
        <v>32524</v>
      </c>
      <c r="O5852" t="s">
        <v>32525</v>
      </c>
      <c r="P5852">
        <v>0</v>
      </c>
      <c r="Q5852">
        <v>6</v>
      </c>
      <c r="R5852" t="s">
        <v>32531</v>
      </c>
      <c r="S5852" t="s">
        <v>32586</v>
      </c>
      <c r="T5852" t="s">
        <v>33520</v>
      </c>
      <c r="U5852" t="s">
        <v>38571</v>
      </c>
      <c r="W5852" t="s">
        <v>31617</v>
      </c>
      <c r="X5852" t="s">
        <v>32532</v>
      </c>
    </row>
    <row r="5853" spans="1:24">
      <c r="A5853">
        <f>HYPERLINK("https://www.philgeps.gov.ph/GEPSNONPILOT/Tender/SplashBidNoticeAbstractUI.aspx?menuIndex=3&amp;refID=7016854&amp;Result=3","7016854")</f>
        <v>0</v>
      </c>
      <c r="B5853" t="s">
        <v>1897</v>
      </c>
      <c r="C5853" t="s">
        <v>8279</v>
      </c>
      <c r="D5853" t="s">
        <v>13011</v>
      </c>
      <c r="E5853" t="s">
        <v>18284</v>
      </c>
      <c r="F5853" t="s">
        <v>22436</v>
      </c>
      <c r="G5853" t="s">
        <v>22444</v>
      </c>
      <c r="H5853" t="s">
        <v>22453</v>
      </c>
      <c r="I5853" t="s">
        <v>3827</v>
      </c>
      <c r="J5853" t="s">
        <v>26408</v>
      </c>
      <c r="K5853" t="s">
        <v>29335</v>
      </c>
      <c r="M5853" t="s">
        <v>31618</v>
      </c>
      <c r="N5853" t="s">
        <v>32524</v>
      </c>
      <c r="O5853" t="s">
        <v>32525</v>
      </c>
      <c r="P5853">
        <v>0</v>
      </c>
      <c r="Q5853">
        <v>7</v>
      </c>
      <c r="R5853" t="s">
        <v>32532</v>
      </c>
      <c r="S5853" t="s">
        <v>32616</v>
      </c>
      <c r="T5853" t="s">
        <v>33455</v>
      </c>
      <c r="U5853" t="s">
        <v>38572</v>
      </c>
      <c r="V5853" t="s">
        <v>43073</v>
      </c>
      <c r="W5853" t="s">
        <v>31618</v>
      </c>
      <c r="X5853" t="s">
        <v>43782</v>
      </c>
    </row>
    <row r="5854" spans="1:24">
      <c r="A5854">
        <f>HYPERLINK("https://www.philgeps.gov.ph/GEPSNONPILOT/Tender/SplashBidNoticeAbstractUI.aspx?menuIndex=3&amp;refID=6972282-2&amp;Result=3","6972282-2")</f>
        <v>0</v>
      </c>
      <c r="B5854" t="s">
        <v>667</v>
      </c>
      <c r="C5854" t="s">
        <v>8280</v>
      </c>
      <c r="D5854" t="s">
        <v>12988</v>
      </c>
      <c r="E5854" t="s">
        <v>18285</v>
      </c>
      <c r="F5854" t="s">
        <v>22436</v>
      </c>
      <c r="G5854" t="s">
        <v>22444</v>
      </c>
      <c r="H5854" t="s">
        <v>22455</v>
      </c>
      <c r="I5854" t="s">
        <v>22455</v>
      </c>
      <c r="J5854" t="s">
        <v>22634</v>
      </c>
      <c r="K5854" t="s">
        <v>29338</v>
      </c>
      <c r="M5854" t="s">
        <v>31619</v>
      </c>
      <c r="N5854" t="s">
        <v>32524</v>
      </c>
      <c r="O5854" t="s">
        <v>32525</v>
      </c>
      <c r="P5854">
        <v>0</v>
      </c>
      <c r="Q5854">
        <v>1</v>
      </c>
      <c r="R5854" t="s">
        <v>32532</v>
      </c>
      <c r="S5854" t="s">
        <v>32616</v>
      </c>
      <c r="T5854" t="s">
        <v>33253</v>
      </c>
      <c r="U5854" t="s">
        <v>38573</v>
      </c>
      <c r="W5854" t="s">
        <v>31619</v>
      </c>
      <c r="X5854" t="s">
        <v>32533</v>
      </c>
    </row>
    <row r="5855" spans="1:24">
      <c r="A5855">
        <f>HYPERLINK("https://www.philgeps.gov.ph/GEPSNONPILOT/Tender/SplashBidNoticeAbstractUI.aspx?menuIndex=3&amp;refID=7040949&amp;Result=3","7040949")</f>
        <v>0</v>
      </c>
      <c r="B5855" t="s">
        <v>1896</v>
      </c>
      <c r="C5855" t="s">
        <v>8281</v>
      </c>
      <c r="D5855" t="s">
        <v>13031</v>
      </c>
      <c r="E5855" t="s">
        <v>18286</v>
      </c>
      <c r="F5855" t="s">
        <v>22436</v>
      </c>
      <c r="G5855" t="s">
        <v>22443</v>
      </c>
      <c r="H5855" t="s">
        <v>22452</v>
      </c>
      <c r="I5855" t="s">
        <v>22469</v>
      </c>
      <c r="J5855" t="s">
        <v>26359</v>
      </c>
      <c r="K5855" t="s">
        <v>29335</v>
      </c>
      <c r="M5855" t="s">
        <v>31617</v>
      </c>
      <c r="N5855" t="s">
        <v>32524</v>
      </c>
      <c r="O5855" t="s">
        <v>32525</v>
      </c>
      <c r="P5855">
        <v>0</v>
      </c>
      <c r="Q5855">
        <v>4</v>
      </c>
      <c r="R5855" t="s">
        <v>32531</v>
      </c>
      <c r="S5855" t="s">
        <v>32586</v>
      </c>
      <c r="T5855" t="s">
        <v>33459</v>
      </c>
      <c r="U5855" t="s">
        <v>38571</v>
      </c>
      <c r="W5855" t="s">
        <v>31617</v>
      </c>
      <c r="X5855" t="s">
        <v>32532</v>
      </c>
    </row>
    <row r="5856" spans="1:24">
      <c r="A5856">
        <f>HYPERLINK("https://www.philgeps.gov.ph/GEPSNONPILOT/Tender/SplashBidNoticeAbstractUI.aspx?menuIndex=3&amp;refID=7013338&amp;Result=3","7013338")</f>
        <v>0</v>
      </c>
      <c r="B5856" t="s">
        <v>1898</v>
      </c>
      <c r="C5856" t="s">
        <v>8282</v>
      </c>
      <c r="D5856" t="s">
        <v>13031</v>
      </c>
      <c r="E5856" t="s">
        <v>13326</v>
      </c>
      <c r="F5856" t="s">
        <v>22436</v>
      </c>
      <c r="G5856" t="s">
        <v>22444</v>
      </c>
      <c r="H5856" t="s">
        <v>22454</v>
      </c>
      <c r="I5856" t="s">
        <v>7738</v>
      </c>
      <c r="J5856" t="s">
        <v>22960</v>
      </c>
      <c r="K5856" t="s">
        <v>29334</v>
      </c>
      <c r="M5856" t="s">
        <v>31620</v>
      </c>
      <c r="N5856" t="s">
        <v>32524</v>
      </c>
      <c r="O5856" t="s">
        <v>32525</v>
      </c>
      <c r="P5856">
        <v>0</v>
      </c>
      <c r="Q5856">
        <v>2</v>
      </c>
      <c r="R5856" t="s">
        <v>32532</v>
      </c>
      <c r="S5856" t="s">
        <v>32616</v>
      </c>
      <c r="T5856" t="s">
        <v>33484</v>
      </c>
      <c r="U5856" t="s">
        <v>38574</v>
      </c>
      <c r="W5856" t="s">
        <v>31620</v>
      </c>
      <c r="X5856" t="s">
        <v>43793</v>
      </c>
    </row>
    <row r="5857" spans="1:24">
      <c r="A5857">
        <f>HYPERLINK("https://www.philgeps.gov.ph/GEPSNONPILOT/Tender/SplashBidNoticeAbstractUI.aspx?menuIndex=3&amp;refID=7040964&amp;Result=3","7040964")</f>
        <v>0</v>
      </c>
      <c r="B5857" t="s">
        <v>1275</v>
      </c>
      <c r="C5857" t="s">
        <v>8283</v>
      </c>
      <c r="D5857" t="s">
        <v>13050</v>
      </c>
      <c r="E5857" t="s">
        <v>18271</v>
      </c>
      <c r="F5857" t="s">
        <v>22436</v>
      </c>
      <c r="G5857" t="s">
        <v>22444</v>
      </c>
      <c r="H5857" t="s">
        <v>22452</v>
      </c>
      <c r="I5857" t="s">
        <v>22527</v>
      </c>
      <c r="J5857" t="s">
        <v>26409</v>
      </c>
      <c r="K5857" t="s">
        <v>29336</v>
      </c>
      <c r="M5857" t="s">
        <v>30928</v>
      </c>
      <c r="N5857" t="s">
        <v>32524</v>
      </c>
      <c r="O5857" t="s">
        <v>32525</v>
      </c>
      <c r="P5857">
        <v>0</v>
      </c>
      <c r="Q5857">
        <v>0</v>
      </c>
      <c r="R5857" t="s">
        <v>32531</v>
      </c>
      <c r="S5857" t="s">
        <v>32586</v>
      </c>
      <c r="T5857" t="s">
        <v>33185</v>
      </c>
      <c r="U5857" t="s">
        <v>38575</v>
      </c>
      <c r="W5857" t="s">
        <v>30928</v>
      </c>
      <c r="X5857" t="s">
        <v>32532</v>
      </c>
    </row>
    <row r="5858" spans="1:24">
      <c r="A5858">
        <f>HYPERLINK("https://www.philgeps.gov.ph/GEPSNONPILOT/Tender/SplashBidNoticeAbstractUI.aspx?menuIndex=3&amp;refID=7040940&amp;Result=3","7040940")</f>
        <v>0</v>
      </c>
      <c r="B5858" t="s">
        <v>1888</v>
      </c>
      <c r="C5858" t="s">
        <v>8284</v>
      </c>
      <c r="D5858" t="s">
        <v>13020</v>
      </c>
      <c r="E5858" t="s">
        <v>18287</v>
      </c>
      <c r="F5858" t="s">
        <v>22436</v>
      </c>
      <c r="G5858" t="s">
        <v>22444</v>
      </c>
      <c r="H5858" t="s">
        <v>22454</v>
      </c>
      <c r="I5858" t="s">
        <v>7738</v>
      </c>
      <c r="J5858" t="s">
        <v>22634</v>
      </c>
      <c r="K5858" t="s">
        <v>29333</v>
      </c>
      <c r="M5858" t="s">
        <v>31608</v>
      </c>
      <c r="N5858" t="s">
        <v>32524</v>
      </c>
      <c r="O5858" t="s">
        <v>32525</v>
      </c>
      <c r="P5858">
        <v>0</v>
      </c>
      <c r="Q5858">
        <v>30</v>
      </c>
      <c r="R5858" t="s">
        <v>32531</v>
      </c>
      <c r="S5858" t="s">
        <v>32586</v>
      </c>
      <c r="T5858" t="s">
        <v>33321</v>
      </c>
      <c r="U5858" t="s">
        <v>38576</v>
      </c>
      <c r="V5858" t="s">
        <v>42428</v>
      </c>
      <c r="W5858" t="s">
        <v>31608</v>
      </c>
      <c r="X5858" t="s">
        <v>32532</v>
      </c>
    </row>
    <row r="5859" spans="1:24">
      <c r="A5859">
        <f>HYPERLINK("https://www.philgeps.gov.ph/GEPSNONPILOT/Tender/SplashBidNoticeAbstractUI.aspx?menuIndex=3&amp;refID=7040965&amp;Result=3","7040965")</f>
        <v>0</v>
      </c>
      <c r="B5859" t="s">
        <v>1275</v>
      </c>
      <c r="C5859" t="s">
        <v>8285</v>
      </c>
      <c r="D5859" t="s">
        <v>13050</v>
      </c>
      <c r="E5859" t="s">
        <v>18271</v>
      </c>
      <c r="F5859" t="s">
        <v>22436</v>
      </c>
      <c r="G5859" t="s">
        <v>22444</v>
      </c>
      <c r="H5859" t="s">
        <v>22452</v>
      </c>
      <c r="I5859" t="s">
        <v>22527</v>
      </c>
      <c r="J5859" t="s">
        <v>26410</v>
      </c>
      <c r="K5859" t="s">
        <v>29336</v>
      </c>
      <c r="M5859" t="s">
        <v>30928</v>
      </c>
      <c r="N5859" t="s">
        <v>32524</v>
      </c>
      <c r="O5859" t="s">
        <v>32525</v>
      </c>
      <c r="P5859">
        <v>0</v>
      </c>
      <c r="Q5859">
        <v>0</v>
      </c>
      <c r="R5859" t="s">
        <v>32531</v>
      </c>
      <c r="S5859" t="s">
        <v>32586</v>
      </c>
      <c r="T5859" t="s">
        <v>33185</v>
      </c>
      <c r="U5859" t="s">
        <v>38577</v>
      </c>
      <c r="W5859" t="s">
        <v>30928</v>
      </c>
      <c r="X5859" t="s">
        <v>32532</v>
      </c>
    </row>
    <row r="5860" spans="1:24">
      <c r="A5860">
        <f>HYPERLINK("https://www.philgeps.gov.ph/GEPSNONPILOT/Tender/SplashBidNoticeAbstractUI.aspx?menuIndex=3&amp;refID=7019234&amp;Result=3","7019234")</f>
        <v>0</v>
      </c>
      <c r="B5860" t="s">
        <v>1899</v>
      </c>
      <c r="C5860" t="s">
        <v>8286</v>
      </c>
      <c r="D5860" t="s">
        <v>13001</v>
      </c>
      <c r="E5860" t="s">
        <v>13137</v>
      </c>
      <c r="F5860" t="s">
        <v>22436</v>
      </c>
      <c r="G5860" t="s">
        <v>22444</v>
      </c>
      <c r="H5860" t="s">
        <v>22454</v>
      </c>
      <c r="I5860" t="s">
        <v>6387</v>
      </c>
      <c r="J5860" t="s">
        <v>26411</v>
      </c>
      <c r="K5860" t="s">
        <v>29337</v>
      </c>
      <c r="L5860" t="s">
        <v>1899</v>
      </c>
      <c r="M5860" t="s">
        <v>31621</v>
      </c>
      <c r="N5860" t="s">
        <v>32524</v>
      </c>
      <c r="O5860" t="s">
        <v>32525</v>
      </c>
      <c r="P5860">
        <v>0</v>
      </c>
      <c r="Q5860">
        <v>2</v>
      </c>
      <c r="R5860" t="s">
        <v>32532</v>
      </c>
      <c r="S5860" t="s">
        <v>32616</v>
      </c>
      <c r="T5860" t="s">
        <v>33351</v>
      </c>
      <c r="U5860" t="s">
        <v>38578</v>
      </c>
      <c r="W5860" t="s">
        <v>31621</v>
      </c>
      <c r="X5860" t="s">
        <v>43779</v>
      </c>
    </row>
    <row r="5861" spans="1:24">
      <c r="A5861">
        <f>HYPERLINK("https://www.philgeps.gov.ph/GEPSNONPILOT/Tender/SplashBidNoticeAbstractUI.aspx?menuIndex=3&amp;refID=7023041&amp;Result=3","7023041")</f>
        <v>0</v>
      </c>
      <c r="B5861" t="s">
        <v>46</v>
      </c>
      <c r="C5861" t="s">
        <v>8287</v>
      </c>
      <c r="D5861" t="s">
        <v>13006</v>
      </c>
      <c r="E5861" t="s">
        <v>8287</v>
      </c>
      <c r="F5861" t="s">
        <v>22436</v>
      </c>
      <c r="G5861" t="s">
        <v>22444</v>
      </c>
      <c r="H5861" t="s">
        <v>22452</v>
      </c>
      <c r="I5861" t="s">
        <v>3840</v>
      </c>
      <c r="J5861" t="s">
        <v>26412</v>
      </c>
      <c r="K5861" t="s">
        <v>29336</v>
      </c>
      <c r="M5861" t="s">
        <v>29617</v>
      </c>
      <c r="N5861" t="s">
        <v>32524</v>
      </c>
      <c r="O5861" t="s">
        <v>32525</v>
      </c>
      <c r="P5861">
        <v>0</v>
      </c>
      <c r="Q5861">
        <v>0</v>
      </c>
      <c r="R5861" t="s">
        <v>32532</v>
      </c>
      <c r="S5861" t="s">
        <v>32616</v>
      </c>
      <c r="T5861" t="s">
        <v>33238</v>
      </c>
      <c r="U5861" t="s">
        <v>38579</v>
      </c>
      <c r="V5861" t="s">
        <v>42654</v>
      </c>
      <c r="W5861" t="s">
        <v>29617</v>
      </c>
      <c r="X5861" t="s">
        <v>32540</v>
      </c>
    </row>
    <row r="5862" spans="1:24">
      <c r="A5862">
        <f>HYPERLINK("https://www.philgeps.gov.ph/GEPSNONPILOT/Tender/SplashBidNoticeAbstractUI.aspx?menuIndex=3&amp;refID=7023350&amp;Result=3","7023350")</f>
        <v>0</v>
      </c>
      <c r="B5862" t="s">
        <v>46</v>
      </c>
      <c r="C5862" t="s">
        <v>8288</v>
      </c>
      <c r="D5862" t="s">
        <v>13006</v>
      </c>
      <c r="E5862" t="s">
        <v>18288</v>
      </c>
      <c r="F5862" t="s">
        <v>22436</v>
      </c>
      <c r="G5862" t="s">
        <v>22444</v>
      </c>
      <c r="H5862" t="s">
        <v>22452</v>
      </c>
      <c r="I5862" t="s">
        <v>22461</v>
      </c>
      <c r="J5862" t="s">
        <v>26413</v>
      </c>
      <c r="K5862" t="s">
        <v>29336</v>
      </c>
      <c r="M5862" t="s">
        <v>29617</v>
      </c>
      <c r="N5862" t="s">
        <v>32524</v>
      </c>
      <c r="O5862" t="s">
        <v>32525</v>
      </c>
      <c r="P5862">
        <v>0</v>
      </c>
      <c r="Q5862">
        <v>0</v>
      </c>
      <c r="R5862" t="s">
        <v>32532</v>
      </c>
      <c r="S5862" t="s">
        <v>32616</v>
      </c>
      <c r="T5862" t="s">
        <v>33238</v>
      </c>
      <c r="U5862" t="s">
        <v>38580</v>
      </c>
      <c r="V5862" t="s">
        <v>42654</v>
      </c>
      <c r="W5862" t="s">
        <v>29617</v>
      </c>
      <c r="X5862" t="s">
        <v>32540</v>
      </c>
    </row>
    <row r="5863" spans="1:24">
      <c r="A5863">
        <f>HYPERLINK("https://www.philgeps.gov.ph/GEPSNONPILOT/Tender/SplashBidNoticeAbstractUI.aspx?menuIndex=3&amp;refID=7020717&amp;Result=3","7020717")</f>
        <v>0</v>
      </c>
      <c r="B5863" t="s">
        <v>1900</v>
      </c>
      <c r="C5863" t="s">
        <v>8289</v>
      </c>
      <c r="D5863" t="s">
        <v>13010</v>
      </c>
      <c r="E5863" t="s">
        <v>13321</v>
      </c>
      <c r="F5863" t="s">
        <v>22436</v>
      </c>
      <c r="G5863" t="s">
        <v>22444</v>
      </c>
      <c r="H5863" t="s">
        <v>22454</v>
      </c>
      <c r="I5863" t="s">
        <v>7738</v>
      </c>
      <c r="J5863" t="s">
        <v>26414</v>
      </c>
      <c r="K5863" t="s">
        <v>29446</v>
      </c>
      <c r="M5863" t="s">
        <v>31622</v>
      </c>
      <c r="N5863" t="s">
        <v>32524</v>
      </c>
      <c r="O5863" t="s">
        <v>32525</v>
      </c>
      <c r="P5863">
        <v>0</v>
      </c>
      <c r="Q5863">
        <v>0</v>
      </c>
      <c r="R5863" t="s">
        <v>32532</v>
      </c>
      <c r="S5863" t="s">
        <v>32616</v>
      </c>
      <c r="T5863" t="s">
        <v>33484</v>
      </c>
      <c r="U5863" t="s">
        <v>38581</v>
      </c>
      <c r="W5863" t="s">
        <v>31622</v>
      </c>
      <c r="X5863" t="s">
        <v>43779</v>
      </c>
    </row>
    <row r="5864" spans="1:24">
      <c r="A5864">
        <f>HYPERLINK("https://www.philgeps.gov.ph/GEPSNONPILOT/Tender/SplashBidNoticeAbstractUI.aspx?menuIndex=3&amp;refID=7023579&amp;Result=3","7023579")</f>
        <v>0</v>
      </c>
      <c r="B5864" t="s">
        <v>622</v>
      </c>
      <c r="C5864" t="s">
        <v>8290</v>
      </c>
      <c r="D5864" t="s">
        <v>12996</v>
      </c>
      <c r="E5864" t="s">
        <v>18289</v>
      </c>
      <c r="F5864" t="s">
        <v>22436</v>
      </c>
      <c r="G5864" t="s">
        <v>22444</v>
      </c>
      <c r="H5864" t="s">
        <v>22452</v>
      </c>
      <c r="I5864" t="s">
        <v>22484</v>
      </c>
      <c r="J5864" t="s">
        <v>26112</v>
      </c>
      <c r="K5864" t="s">
        <v>29329</v>
      </c>
      <c r="M5864" t="s">
        <v>30212</v>
      </c>
      <c r="N5864" t="s">
        <v>32524</v>
      </c>
      <c r="O5864" t="s">
        <v>32525</v>
      </c>
      <c r="P5864">
        <v>0</v>
      </c>
      <c r="Q5864">
        <v>16</v>
      </c>
      <c r="R5864" t="s">
        <v>32532</v>
      </c>
      <c r="S5864" t="s">
        <v>32616</v>
      </c>
      <c r="T5864" t="s">
        <v>33510</v>
      </c>
      <c r="U5864" t="s">
        <v>38582</v>
      </c>
      <c r="V5864" t="s">
        <v>43074</v>
      </c>
      <c r="W5864" t="s">
        <v>30212</v>
      </c>
      <c r="X5864" t="s">
        <v>32540</v>
      </c>
    </row>
    <row r="5865" spans="1:24">
      <c r="A5865">
        <f>HYPERLINK("https://www.philgeps.gov.ph/GEPSNONPILOT/Tender/SplashBidNoticeAbstractUI.aspx?menuIndex=3&amp;refID=7023106&amp;Result=3","7023106")</f>
        <v>0</v>
      </c>
      <c r="B5865" t="s">
        <v>46</v>
      </c>
      <c r="C5865" t="s">
        <v>8291</v>
      </c>
      <c r="D5865" t="s">
        <v>13006</v>
      </c>
      <c r="E5865" t="s">
        <v>18290</v>
      </c>
      <c r="F5865" t="s">
        <v>22436</v>
      </c>
      <c r="G5865" t="s">
        <v>22444</v>
      </c>
      <c r="H5865" t="s">
        <v>22452</v>
      </c>
      <c r="I5865" t="s">
        <v>22461</v>
      </c>
      <c r="J5865" t="s">
        <v>26415</v>
      </c>
      <c r="K5865" t="s">
        <v>29336</v>
      </c>
      <c r="M5865" t="s">
        <v>29617</v>
      </c>
      <c r="N5865" t="s">
        <v>32524</v>
      </c>
      <c r="O5865" t="s">
        <v>32525</v>
      </c>
      <c r="P5865">
        <v>0</v>
      </c>
      <c r="Q5865">
        <v>0</v>
      </c>
      <c r="R5865" t="s">
        <v>32532</v>
      </c>
      <c r="S5865" t="s">
        <v>32616</v>
      </c>
      <c r="T5865" t="s">
        <v>33238</v>
      </c>
      <c r="U5865" t="s">
        <v>38583</v>
      </c>
      <c r="V5865" t="s">
        <v>42654</v>
      </c>
      <c r="W5865" t="s">
        <v>29617</v>
      </c>
      <c r="X5865" t="s">
        <v>32540</v>
      </c>
    </row>
    <row r="5866" spans="1:24">
      <c r="A5866">
        <f>HYPERLINK("https://www.philgeps.gov.ph/GEPSNONPILOT/Tender/SplashBidNoticeAbstractUI.aspx?menuIndex=3&amp;refID=7026199&amp;Result=3","7026199")</f>
        <v>0</v>
      </c>
      <c r="B5866" t="s">
        <v>32</v>
      </c>
      <c r="C5866" t="s">
        <v>8292</v>
      </c>
      <c r="E5866" t="s">
        <v>18291</v>
      </c>
      <c r="F5866" t="s">
        <v>22436</v>
      </c>
      <c r="G5866" t="s">
        <v>22443</v>
      </c>
      <c r="H5866" t="s">
        <v>22452</v>
      </c>
      <c r="I5866" t="s">
        <v>22461</v>
      </c>
      <c r="J5866" t="s">
        <v>22806</v>
      </c>
      <c r="K5866" t="s">
        <v>29336</v>
      </c>
      <c r="M5866" t="s">
        <v>29602</v>
      </c>
      <c r="N5866" t="s">
        <v>32524</v>
      </c>
      <c r="O5866" t="s">
        <v>32525</v>
      </c>
      <c r="P5866">
        <v>0</v>
      </c>
      <c r="Q5866">
        <v>4</v>
      </c>
      <c r="R5866" t="s">
        <v>32532</v>
      </c>
      <c r="S5866" t="s">
        <v>32616</v>
      </c>
      <c r="T5866" t="s">
        <v>33323</v>
      </c>
      <c r="U5866" t="s">
        <v>33629</v>
      </c>
      <c r="W5866" t="s">
        <v>29602</v>
      </c>
      <c r="X5866" t="s">
        <v>32539</v>
      </c>
    </row>
    <row r="5867" spans="1:24">
      <c r="A5867">
        <f>HYPERLINK("https://www.philgeps.gov.ph/GEPSNONPILOT/Tender/SplashBidNoticeAbstractUI.aspx?menuIndex=3&amp;refID=7024815&amp;Result=3","7024815")</f>
        <v>0</v>
      </c>
      <c r="B5867" t="s">
        <v>1901</v>
      </c>
      <c r="C5867" t="s">
        <v>8293</v>
      </c>
      <c r="D5867" t="s">
        <v>13041</v>
      </c>
      <c r="E5867" t="s">
        <v>18292</v>
      </c>
      <c r="F5867" t="s">
        <v>22436</v>
      </c>
      <c r="G5867" t="s">
        <v>22444</v>
      </c>
      <c r="H5867" t="s">
        <v>22454</v>
      </c>
      <c r="I5867" t="s">
        <v>7738</v>
      </c>
      <c r="J5867" t="s">
        <v>23627</v>
      </c>
      <c r="K5867" t="s">
        <v>29335</v>
      </c>
      <c r="M5867" t="s">
        <v>31623</v>
      </c>
      <c r="N5867" t="s">
        <v>32524</v>
      </c>
      <c r="O5867" t="s">
        <v>32525</v>
      </c>
      <c r="P5867">
        <v>0</v>
      </c>
      <c r="Q5867">
        <v>0</v>
      </c>
      <c r="R5867" t="s">
        <v>32532</v>
      </c>
      <c r="S5867" t="s">
        <v>32616</v>
      </c>
      <c r="T5867" t="s">
        <v>33339</v>
      </c>
      <c r="U5867" t="s">
        <v>38584</v>
      </c>
      <c r="W5867" t="s">
        <v>31623</v>
      </c>
      <c r="X5867" t="s">
        <v>32539</v>
      </c>
    </row>
    <row r="5868" spans="1:24">
      <c r="A5868">
        <f>HYPERLINK("https://www.philgeps.gov.ph/GEPSNONPILOT/Tender/SplashBidNoticeAbstractUI.aspx?menuIndex=3&amp;refID=7026255&amp;Result=3","7026255")</f>
        <v>0</v>
      </c>
      <c r="B5868" t="s">
        <v>32</v>
      </c>
      <c r="C5868" t="s">
        <v>8294</v>
      </c>
      <c r="E5868" t="s">
        <v>18293</v>
      </c>
      <c r="F5868" t="s">
        <v>22436</v>
      </c>
      <c r="G5868" t="s">
        <v>22443</v>
      </c>
      <c r="H5868" t="s">
        <v>22452</v>
      </c>
      <c r="I5868" t="s">
        <v>22463</v>
      </c>
      <c r="J5868" t="s">
        <v>26416</v>
      </c>
      <c r="K5868" t="s">
        <v>29336</v>
      </c>
      <c r="M5868" t="s">
        <v>29602</v>
      </c>
      <c r="N5868" t="s">
        <v>32524</v>
      </c>
      <c r="O5868" t="s">
        <v>32525</v>
      </c>
      <c r="P5868">
        <v>0</v>
      </c>
      <c r="Q5868">
        <v>4</v>
      </c>
      <c r="R5868" t="s">
        <v>32532</v>
      </c>
      <c r="S5868" t="s">
        <v>32616</v>
      </c>
      <c r="T5868" t="s">
        <v>33323</v>
      </c>
      <c r="U5868" t="s">
        <v>33629</v>
      </c>
      <c r="W5868" t="s">
        <v>29602</v>
      </c>
      <c r="X5868" t="s">
        <v>32539</v>
      </c>
    </row>
    <row r="5869" spans="1:24">
      <c r="A5869">
        <f>HYPERLINK("https://www.philgeps.gov.ph/GEPSNONPILOT/Tender/SplashBidNoticeAbstractUI.aspx?menuIndex=3&amp;refID=7025751&amp;Result=3","7025751")</f>
        <v>0</v>
      </c>
      <c r="B5869" t="s">
        <v>46</v>
      </c>
      <c r="C5869" t="s">
        <v>8295</v>
      </c>
      <c r="D5869" t="s">
        <v>13006</v>
      </c>
      <c r="E5869" t="s">
        <v>18294</v>
      </c>
      <c r="F5869" t="s">
        <v>22436</v>
      </c>
      <c r="G5869" t="s">
        <v>22443</v>
      </c>
      <c r="H5869" t="s">
        <v>22452</v>
      </c>
      <c r="I5869" t="s">
        <v>22466</v>
      </c>
      <c r="J5869" t="s">
        <v>23120</v>
      </c>
      <c r="K5869" t="s">
        <v>29330</v>
      </c>
      <c r="M5869" t="s">
        <v>30566</v>
      </c>
      <c r="N5869" t="s">
        <v>32524</v>
      </c>
      <c r="O5869" t="s">
        <v>32525</v>
      </c>
      <c r="P5869">
        <v>0</v>
      </c>
      <c r="Q5869">
        <v>7</v>
      </c>
      <c r="R5869" t="s">
        <v>32532</v>
      </c>
      <c r="S5869" t="s">
        <v>32616</v>
      </c>
      <c r="T5869" t="s">
        <v>33238</v>
      </c>
      <c r="U5869" t="s">
        <v>38585</v>
      </c>
      <c r="V5869" t="s">
        <v>43075</v>
      </c>
      <c r="W5869" t="s">
        <v>30566</v>
      </c>
      <c r="X5869" t="s">
        <v>32539</v>
      </c>
    </row>
    <row r="5870" spans="1:24">
      <c r="A5870">
        <f>HYPERLINK("https://www.philgeps.gov.ph/GEPSNONPILOT/Tender/SplashBidNoticeAbstractUI.aspx?menuIndex=3&amp;refID=7024449&amp;Result=3","7024449")</f>
        <v>0</v>
      </c>
      <c r="B5870" t="s">
        <v>46</v>
      </c>
      <c r="C5870" t="s">
        <v>8296</v>
      </c>
      <c r="D5870" t="s">
        <v>13006</v>
      </c>
      <c r="E5870" t="s">
        <v>18295</v>
      </c>
      <c r="F5870" t="s">
        <v>22436</v>
      </c>
      <c r="G5870" t="s">
        <v>22444</v>
      </c>
      <c r="H5870" t="s">
        <v>22452</v>
      </c>
      <c r="I5870" t="s">
        <v>22460</v>
      </c>
      <c r="J5870" t="s">
        <v>26417</v>
      </c>
      <c r="K5870" t="s">
        <v>29330</v>
      </c>
      <c r="M5870" t="s">
        <v>30566</v>
      </c>
      <c r="N5870" t="s">
        <v>32524</v>
      </c>
      <c r="O5870" t="s">
        <v>32525</v>
      </c>
      <c r="P5870">
        <v>0</v>
      </c>
      <c r="Q5870">
        <v>0</v>
      </c>
      <c r="R5870" t="s">
        <v>32532</v>
      </c>
      <c r="S5870" t="s">
        <v>32616</v>
      </c>
      <c r="T5870" t="s">
        <v>33238</v>
      </c>
      <c r="U5870" t="s">
        <v>38586</v>
      </c>
      <c r="V5870" t="s">
        <v>42461</v>
      </c>
      <c r="W5870" t="s">
        <v>30566</v>
      </c>
      <c r="X5870" t="s">
        <v>32539</v>
      </c>
    </row>
    <row r="5871" spans="1:24">
      <c r="A5871">
        <f>HYPERLINK("https://www.philgeps.gov.ph/GEPSNONPILOT/Tender/SplashBidNoticeAbstractUI.aspx?menuIndex=3&amp;refID=7023504&amp;Result=3","7023504")</f>
        <v>0</v>
      </c>
      <c r="B5871" t="s">
        <v>622</v>
      </c>
      <c r="C5871" t="s">
        <v>8297</v>
      </c>
      <c r="D5871" t="s">
        <v>12996</v>
      </c>
      <c r="E5871" t="s">
        <v>18296</v>
      </c>
      <c r="F5871" t="s">
        <v>22436</v>
      </c>
      <c r="G5871" t="s">
        <v>22444</v>
      </c>
      <c r="H5871" t="s">
        <v>22452</v>
      </c>
      <c r="I5871" t="s">
        <v>22474</v>
      </c>
      <c r="J5871" t="s">
        <v>22669</v>
      </c>
      <c r="K5871" t="s">
        <v>29333</v>
      </c>
      <c r="M5871" t="s">
        <v>30212</v>
      </c>
      <c r="N5871" t="s">
        <v>32524</v>
      </c>
      <c r="O5871" t="s">
        <v>32525</v>
      </c>
      <c r="P5871">
        <v>0</v>
      </c>
      <c r="Q5871">
        <v>10</v>
      </c>
      <c r="R5871" t="s">
        <v>32532</v>
      </c>
      <c r="S5871" t="s">
        <v>32616</v>
      </c>
      <c r="T5871" t="s">
        <v>33510</v>
      </c>
      <c r="U5871" t="s">
        <v>38587</v>
      </c>
      <c r="V5871" t="s">
        <v>43074</v>
      </c>
      <c r="W5871" t="s">
        <v>30212</v>
      </c>
      <c r="X5871" t="s">
        <v>32540</v>
      </c>
    </row>
    <row r="5872" spans="1:24">
      <c r="A5872">
        <f>HYPERLINK("https://www.philgeps.gov.ph/GEPSNONPILOT/Tender/SplashBidNoticeAbstractUI.aspx?menuIndex=3&amp;refID=7025607&amp;Result=3","7025607")</f>
        <v>0</v>
      </c>
      <c r="B5872" t="s">
        <v>46</v>
      </c>
      <c r="C5872" t="s">
        <v>8298</v>
      </c>
      <c r="D5872" t="s">
        <v>13006</v>
      </c>
      <c r="E5872" t="s">
        <v>18297</v>
      </c>
      <c r="F5872" t="s">
        <v>22436</v>
      </c>
      <c r="G5872" t="s">
        <v>22444</v>
      </c>
      <c r="H5872" t="s">
        <v>22452</v>
      </c>
      <c r="I5872" t="s">
        <v>22460</v>
      </c>
      <c r="J5872" t="s">
        <v>26418</v>
      </c>
      <c r="K5872" t="s">
        <v>29330</v>
      </c>
      <c r="M5872" t="s">
        <v>30566</v>
      </c>
      <c r="N5872" t="s">
        <v>32524</v>
      </c>
      <c r="O5872" t="s">
        <v>32525</v>
      </c>
      <c r="P5872">
        <v>0</v>
      </c>
      <c r="Q5872">
        <v>0</v>
      </c>
      <c r="R5872" t="s">
        <v>32532</v>
      </c>
      <c r="S5872" t="s">
        <v>32616</v>
      </c>
      <c r="T5872" t="s">
        <v>33238</v>
      </c>
      <c r="U5872" t="s">
        <v>38588</v>
      </c>
      <c r="V5872" t="s">
        <v>42461</v>
      </c>
      <c r="W5872" t="s">
        <v>30566</v>
      </c>
      <c r="X5872" t="s">
        <v>32539</v>
      </c>
    </row>
    <row r="5873" spans="1:24">
      <c r="A5873">
        <f>HYPERLINK("https://www.philgeps.gov.ph/GEPSNONPILOT/Tender/SplashBidNoticeAbstractUI.aspx?menuIndex=3&amp;refID=7024711&amp;Result=3","7024711")</f>
        <v>0</v>
      </c>
      <c r="B5873" t="s">
        <v>1066</v>
      </c>
      <c r="C5873" t="s">
        <v>8299</v>
      </c>
      <c r="D5873" t="s">
        <v>13000</v>
      </c>
      <c r="E5873" t="s">
        <v>18298</v>
      </c>
      <c r="F5873" t="s">
        <v>22436</v>
      </c>
      <c r="G5873" t="s">
        <v>22444</v>
      </c>
      <c r="H5873" t="s">
        <v>22454</v>
      </c>
      <c r="I5873" t="s">
        <v>7738</v>
      </c>
      <c r="J5873" t="s">
        <v>22634</v>
      </c>
      <c r="K5873" t="s">
        <v>29333</v>
      </c>
      <c r="M5873" t="s">
        <v>30699</v>
      </c>
      <c r="N5873" t="s">
        <v>32524</v>
      </c>
      <c r="O5873" t="s">
        <v>32525</v>
      </c>
      <c r="P5873">
        <v>0</v>
      </c>
      <c r="Q5873">
        <v>0</v>
      </c>
      <c r="R5873" t="s">
        <v>32532</v>
      </c>
      <c r="S5873" t="s">
        <v>32616</v>
      </c>
      <c r="T5873" t="s">
        <v>33486</v>
      </c>
      <c r="U5873" t="s">
        <v>38589</v>
      </c>
      <c r="W5873" t="s">
        <v>30699</v>
      </c>
      <c r="X5873" t="s">
        <v>32539</v>
      </c>
    </row>
    <row r="5874" spans="1:24">
      <c r="A5874">
        <f>HYPERLINK("https://www.philgeps.gov.ph/GEPSNONPILOT/Tender/SplashBidNoticeAbstractUI.aspx?menuIndex=3&amp;refID=7026214&amp;Result=3","7026214")</f>
        <v>0</v>
      </c>
      <c r="B5874" t="s">
        <v>32</v>
      </c>
      <c r="C5874" t="s">
        <v>8300</v>
      </c>
      <c r="E5874" t="s">
        <v>18299</v>
      </c>
      <c r="F5874" t="s">
        <v>22436</v>
      </c>
      <c r="G5874" t="s">
        <v>22443</v>
      </c>
      <c r="H5874" t="s">
        <v>22452</v>
      </c>
      <c r="I5874" t="s">
        <v>22460</v>
      </c>
      <c r="J5874" t="s">
        <v>26419</v>
      </c>
      <c r="K5874" t="s">
        <v>29336</v>
      </c>
      <c r="M5874" t="s">
        <v>29602</v>
      </c>
      <c r="N5874" t="s">
        <v>32524</v>
      </c>
      <c r="O5874" t="s">
        <v>32525</v>
      </c>
      <c r="P5874">
        <v>0</v>
      </c>
      <c r="Q5874">
        <v>4</v>
      </c>
      <c r="R5874" t="s">
        <v>32532</v>
      </c>
      <c r="S5874" t="s">
        <v>32616</v>
      </c>
      <c r="T5874" t="s">
        <v>33323</v>
      </c>
      <c r="U5874" t="s">
        <v>33629</v>
      </c>
      <c r="W5874" t="s">
        <v>29602</v>
      </c>
      <c r="X5874" t="s">
        <v>32539</v>
      </c>
    </row>
    <row r="5875" spans="1:24">
      <c r="A5875">
        <f>HYPERLINK("https://www.philgeps.gov.ph/GEPSNONPILOT/Tender/SplashBidNoticeAbstractUI.aspx?menuIndex=3&amp;refID=7023404&amp;Result=3","7023404")</f>
        <v>0</v>
      </c>
      <c r="B5875" t="s">
        <v>46</v>
      </c>
      <c r="C5875" t="s">
        <v>8301</v>
      </c>
      <c r="D5875" t="s">
        <v>13006</v>
      </c>
      <c r="E5875" t="s">
        <v>18300</v>
      </c>
      <c r="F5875" t="s">
        <v>22436</v>
      </c>
      <c r="G5875" t="s">
        <v>22444</v>
      </c>
      <c r="H5875" t="s">
        <v>22452</v>
      </c>
      <c r="I5875" t="s">
        <v>22482</v>
      </c>
      <c r="J5875" t="s">
        <v>22616</v>
      </c>
      <c r="K5875" t="s">
        <v>29336</v>
      </c>
      <c r="M5875" t="s">
        <v>29617</v>
      </c>
      <c r="N5875" t="s">
        <v>32524</v>
      </c>
      <c r="O5875" t="s">
        <v>32525</v>
      </c>
      <c r="P5875">
        <v>0</v>
      </c>
      <c r="Q5875">
        <v>1</v>
      </c>
      <c r="R5875" t="s">
        <v>32532</v>
      </c>
      <c r="S5875" t="s">
        <v>32616</v>
      </c>
      <c r="T5875" t="s">
        <v>33238</v>
      </c>
      <c r="U5875" t="s">
        <v>38590</v>
      </c>
      <c r="V5875" t="s">
        <v>42654</v>
      </c>
      <c r="W5875" t="s">
        <v>29617</v>
      </c>
      <c r="X5875" t="s">
        <v>32540</v>
      </c>
    </row>
    <row r="5876" spans="1:24">
      <c r="A5876">
        <f>HYPERLINK("https://www.philgeps.gov.ph/GEPSNONPILOT/Tender/SplashBidNoticeAbstractUI.aspx?menuIndex=3&amp;refID=7027276&amp;Result=3","7027276")</f>
        <v>0</v>
      </c>
      <c r="B5876" t="s">
        <v>1902</v>
      </c>
      <c r="C5876" t="s">
        <v>8302</v>
      </c>
      <c r="D5876" t="s">
        <v>13014</v>
      </c>
      <c r="E5876" t="s">
        <v>18301</v>
      </c>
      <c r="F5876" t="s">
        <v>22436</v>
      </c>
      <c r="G5876" t="s">
        <v>22444</v>
      </c>
      <c r="H5876" t="s">
        <v>22452</v>
      </c>
      <c r="I5876" t="s">
        <v>3827</v>
      </c>
      <c r="J5876" t="s">
        <v>26420</v>
      </c>
      <c r="K5876" t="s">
        <v>29335</v>
      </c>
      <c r="M5876" t="s">
        <v>31624</v>
      </c>
      <c r="N5876" t="s">
        <v>32524</v>
      </c>
      <c r="O5876" t="s">
        <v>32525</v>
      </c>
      <c r="P5876">
        <v>0</v>
      </c>
      <c r="Q5876">
        <v>5</v>
      </c>
      <c r="R5876" t="s">
        <v>32532</v>
      </c>
      <c r="S5876" t="s">
        <v>32616</v>
      </c>
      <c r="T5876" t="s">
        <v>33218</v>
      </c>
      <c r="U5876" t="s">
        <v>38591</v>
      </c>
      <c r="W5876" t="s">
        <v>31624</v>
      </c>
      <c r="X5876" t="s">
        <v>32538</v>
      </c>
    </row>
    <row r="5877" spans="1:24">
      <c r="A5877">
        <f>HYPERLINK("https://www.philgeps.gov.ph/GEPSNONPILOT/Tender/SplashBidNoticeAbstractUI.aspx?menuIndex=3&amp;refID=7025554&amp;Result=3","7025554")</f>
        <v>0</v>
      </c>
      <c r="B5877" t="s">
        <v>1666</v>
      </c>
      <c r="C5877" t="s">
        <v>8303</v>
      </c>
      <c r="D5877" t="s">
        <v>12990</v>
      </c>
      <c r="E5877" t="s">
        <v>13368</v>
      </c>
      <c r="F5877" t="s">
        <v>22436</v>
      </c>
      <c r="G5877" t="s">
        <v>22444</v>
      </c>
      <c r="H5877" t="s">
        <v>22452</v>
      </c>
      <c r="I5877" t="s">
        <v>22484</v>
      </c>
      <c r="J5877" t="s">
        <v>22798</v>
      </c>
      <c r="K5877" t="s">
        <v>29341</v>
      </c>
      <c r="M5877" t="s">
        <v>31363</v>
      </c>
      <c r="N5877" t="s">
        <v>32524</v>
      </c>
      <c r="O5877" t="s">
        <v>32525</v>
      </c>
      <c r="P5877">
        <v>0</v>
      </c>
      <c r="Q5877">
        <v>2</v>
      </c>
      <c r="R5877" t="s">
        <v>32532</v>
      </c>
      <c r="S5877" t="s">
        <v>32616</v>
      </c>
      <c r="T5877" t="s">
        <v>33323</v>
      </c>
      <c r="U5877" t="s">
        <v>38592</v>
      </c>
      <c r="W5877" t="s">
        <v>31363</v>
      </c>
      <c r="X5877" t="s">
        <v>32539</v>
      </c>
    </row>
    <row r="5878" spans="1:24">
      <c r="A5878">
        <f>HYPERLINK("https://www.philgeps.gov.ph/GEPSNONPILOT/Tender/SplashBidNoticeAbstractUI.aspx?menuIndex=3&amp;refID=7028095&amp;Result=3","7028095")</f>
        <v>0</v>
      </c>
      <c r="B5878" t="s">
        <v>1897</v>
      </c>
      <c r="C5878" t="s">
        <v>8304</v>
      </c>
      <c r="D5878" t="s">
        <v>13011</v>
      </c>
      <c r="E5878" t="s">
        <v>15628</v>
      </c>
      <c r="F5878" t="s">
        <v>22436</v>
      </c>
      <c r="G5878" t="s">
        <v>22443</v>
      </c>
      <c r="H5878" t="s">
        <v>22453</v>
      </c>
      <c r="I5878" t="s">
        <v>22519</v>
      </c>
      <c r="J5878" t="s">
        <v>26421</v>
      </c>
      <c r="K5878" t="s">
        <v>29443</v>
      </c>
      <c r="M5878" t="s">
        <v>31618</v>
      </c>
      <c r="N5878" t="s">
        <v>32524</v>
      </c>
      <c r="O5878" t="s">
        <v>32525</v>
      </c>
      <c r="P5878">
        <v>0</v>
      </c>
      <c r="Q5878">
        <v>3</v>
      </c>
      <c r="R5878" t="s">
        <v>32532</v>
      </c>
      <c r="S5878" t="s">
        <v>32616</v>
      </c>
      <c r="T5878" t="s">
        <v>33372</v>
      </c>
      <c r="U5878" t="s">
        <v>38593</v>
      </c>
      <c r="V5878" t="s">
        <v>43073</v>
      </c>
      <c r="W5878" t="s">
        <v>31618</v>
      </c>
      <c r="X5878" t="s">
        <v>32538</v>
      </c>
    </row>
    <row r="5879" spans="1:24">
      <c r="A5879">
        <f>HYPERLINK("https://www.philgeps.gov.ph/GEPSNONPILOT/Tender/SplashBidNoticeAbstractUI.aspx?menuIndex=3&amp;refID=7028103&amp;Result=3","7028103")</f>
        <v>0</v>
      </c>
      <c r="B5879" t="s">
        <v>1897</v>
      </c>
      <c r="C5879" t="s">
        <v>8305</v>
      </c>
      <c r="D5879" t="s">
        <v>13032</v>
      </c>
      <c r="E5879" t="s">
        <v>13131</v>
      </c>
      <c r="F5879" t="s">
        <v>22436</v>
      </c>
      <c r="G5879" t="s">
        <v>22443</v>
      </c>
      <c r="H5879" t="s">
        <v>22453</v>
      </c>
      <c r="I5879" t="s">
        <v>22519</v>
      </c>
      <c r="J5879" t="s">
        <v>26422</v>
      </c>
      <c r="K5879" t="s">
        <v>29443</v>
      </c>
      <c r="M5879" t="s">
        <v>31618</v>
      </c>
      <c r="N5879" t="s">
        <v>32524</v>
      </c>
      <c r="O5879" t="s">
        <v>32525</v>
      </c>
      <c r="P5879">
        <v>0</v>
      </c>
      <c r="Q5879">
        <v>2</v>
      </c>
      <c r="R5879" t="s">
        <v>32532</v>
      </c>
      <c r="S5879" t="s">
        <v>32616</v>
      </c>
      <c r="T5879" t="s">
        <v>33372</v>
      </c>
      <c r="U5879" t="s">
        <v>38593</v>
      </c>
      <c r="V5879" t="s">
        <v>43073</v>
      </c>
      <c r="W5879" t="s">
        <v>31618</v>
      </c>
      <c r="X5879" t="s">
        <v>32538</v>
      </c>
    </row>
    <row r="5880" spans="1:24">
      <c r="A5880">
        <f>HYPERLINK("https://www.philgeps.gov.ph/GEPSNONPILOT/Tender/SplashBidNoticeAbstractUI.aspx?menuIndex=3&amp;refID=7026238&amp;Result=3","7026238")</f>
        <v>0</v>
      </c>
      <c r="B5880" t="s">
        <v>32</v>
      </c>
      <c r="C5880" t="s">
        <v>8306</v>
      </c>
      <c r="E5880" t="s">
        <v>18302</v>
      </c>
      <c r="F5880" t="s">
        <v>22436</v>
      </c>
      <c r="G5880" t="s">
        <v>22443</v>
      </c>
      <c r="H5880" t="s">
        <v>22452</v>
      </c>
      <c r="I5880" t="s">
        <v>3529</v>
      </c>
      <c r="J5880" t="s">
        <v>26423</v>
      </c>
      <c r="K5880" t="s">
        <v>29336</v>
      </c>
      <c r="M5880" t="s">
        <v>29602</v>
      </c>
      <c r="N5880" t="s">
        <v>32524</v>
      </c>
      <c r="O5880" t="s">
        <v>32525</v>
      </c>
      <c r="P5880">
        <v>0</v>
      </c>
      <c r="Q5880">
        <v>0</v>
      </c>
      <c r="R5880" t="s">
        <v>32532</v>
      </c>
      <c r="S5880" t="s">
        <v>32616</v>
      </c>
      <c r="T5880" t="s">
        <v>33323</v>
      </c>
      <c r="U5880" t="s">
        <v>33629</v>
      </c>
      <c r="W5880" t="s">
        <v>29602</v>
      </c>
      <c r="X5880" t="s">
        <v>32539</v>
      </c>
    </row>
    <row r="5881" spans="1:24">
      <c r="A5881">
        <f>HYPERLINK("https://www.philgeps.gov.ph/GEPSNONPILOT/Tender/SplashBidNoticeAbstractUI.aspx?menuIndex=3&amp;refID=7027898&amp;Result=3","7027898")</f>
        <v>0</v>
      </c>
      <c r="B5881" t="s">
        <v>1903</v>
      </c>
      <c r="C5881" t="s">
        <v>8307</v>
      </c>
      <c r="D5881" t="s">
        <v>13010</v>
      </c>
      <c r="E5881" t="s">
        <v>18303</v>
      </c>
      <c r="F5881" t="s">
        <v>22436</v>
      </c>
      <c r="G5881" t="s">
        <v>22443</v>
      </c>
      <c r="H5881" t="s">
        <v>22452</v>
      </c>
      <c r="I5881" t="s">
        <v>2962</v>
      </c>
      <c r="J5881" t="s">
        <v>26424</v>
      </c>
      <c r="K5881" t="s">
        <v>29331</v>
      </c>
      <c r="M5881" t="s">
        <v>31625</v>
      </c>
      <c r="N5881" t="s">
        <v>32524</v>
      </c>
      <c r="O5881" t="s">
        <v>32525</v>
      </c>
      <c r="P5881">
        <v>0</v>
      </c>
      <c r="Q5881">
        <v>0</v>
      </c>
      <c r="R5881" t="s">
        <v>32532</v>
      </c>
      <c r="S5881" t="s">
        <v>32616</v>
      </c>
      <c r="T5881" t="s">
        <v>33406</v>
      </c>
      <c r="U5881" t="s">
        <v>38594</v>
      </c>
      <c r="V5881" t="s">
        <v>43076</v>
      </c>
      <c r="W5881" t="s">
        <v>31625</v>
      </c>
      <c r="X5881" t="s">
        <v>32538</v>
      </c>
    </row>
    <row r="5882" spans="1:24">
      <c r="A5882">
        <f>HYPERLINK("https://www.philgeps.gov.ph/GEPSNONPILOT/Tender/SplashBidNoticeAbstractUI.aspx?menuIndex=3&amp;refID=7028032&amp;Result=3","7028032")</f>
        <v>0</v>
      </c>
      <c r="B5882" t="s">
        <v>1904</v>
      </c>
      <c r="C5882" t="s">
        <v>6451</v>
      </c>
      <c r="D5882" t="s">
        <v>13006</v>
      </c>
      <c r="E5882" t="s">
        <v>18304</v>
      </c>
      <c r="F5882" t="s">
        <v>22436</v>
      </c>
      <c r="G5882" t="s">
        <v>22444</v>
      </c>
      <c r="H5882" t="s">
        <v>22453</v>
      </c>
      <c r="I5882" t="s">
        <v>22457</v>
      </c>
      <c r="J5882" t="s">
        <v>26425</v>
      </c>
      <c r="K5882" t="s">
        <v>29372</v>
      </c>
      <c r="M5882" t="s">
        <v>31626</v>
      </c>
      <c r="N5882" t="s">
        <v>32524</v>
      </c>
      <c r="O5882" t="s">
        <v>32525</v>
      </c>
      <c r="Q5882">
        <v>5</v>
      </c>
      <c r="R5882" t="s">
        <v>32532</v>
      </c>
      <c r="S5882" t="s">
        <v>32617</v>
      </c>
      <c r="T5882" t="s">
        <v>33252</v>
      </c>
      <c r="U5882" t="s">
        <v>38595</v>
      </c>
      <c r="W5882" t="s">
        <v>31626</v>
      </c>
      <c r="X5882" t="s">
        <v>32538</v>
      </c>
    </row>
    <row r="5883" spans="1:24">
      <c r="A5883">
        <f>HYPERLINK("https://www.philgeps.gov.ph/GEPSNONPILOT/Tender/SplashBidNoticeAbstractUI.aspx?menuIndex=3&amp;refID=7028181&amp;Result=3","7028181")</f>
        <v>0</v>
      </c>
      <c r="B5883" t="s">
        <v>46</v>
      </c>
      <c r="C5883" t="s">
        <v>8308</v>
      </c>
      <c r="D5883" t="s">
        <v>13006</v>
      </c>
      <c r="E5883" t="s">
        <v>8308</v>
      </c>
      <c r="F5883" t="s">
        <v>22436</v>
      </c>
      <c r="G5883" t="s">
        <v>22444</v>
      </c>
      <c r="H5883" t="s">
        <v>22452</v>
      </c>
      <c r="I5883" t="s">
        <v>3827</v>
      </c>
      <c r="J5883" t="s">
        <v>24063</v>
      </c>
      <c r="K5883" t="s">
        <v>29336</v>
      </c>
      <c r="M5883" t="s">
        <v>29617</v>
      </c>
      <c r="N5883" t="s">
        <v>32524</v>
      </c>
      <c r="O5883" t="s">
        <v>32525</v>
      </c>
      <c r="P5883">
        <v>0</v>
      </c>
      <c r="Q5883">
        <v>0</v>
      </c>
      <c r="R5883" t="s">
        <v>32532</v>
      </c>
      <c r="S5883" t="s">
        <v>32616</v>
      </c>
      <c r="T5883" t="s">
        <v>33253</v>
      </c>
      <c r="U5883" t="s">
        <v>38596</v>
      </c>
      <c r="V5883" t="s">
        <v>42654</v>
      </c>
      <c r="W5883" t="s">
        <v>29617</v>
      </c>
      <c r="X5883" t="s">
        <v>32538</v>
      </c>
    </row>
    <row r="5884" spans="1:24">
      <c r="A5884">
        <f>HYPERLINK("https://www.philgeps.gov.ph/GEPSNONPILOT/Tender/SplashBidNoticeAbstractUI.aspx?menuIndex=3&amp;refID=7027660&amp;Result=3","7027660")</f>
        <v>0</v>
      </c>
      <c r="B5884" t="s">
        <v>1905</v>
      </c>
      <c r="C5884" t="s">
        <v>8309</v>
      </c>
      <c r="D5884" t="s">
        <v>12998</v>
      </c>
      <c r="E5884" t="s">
        <v>18305</v>
      </c>
      <c r="F5884" t="s">
        <v>22436</v>
      </c>
      <c r="G5884" t="s">
        <v>22444</v>
      </c>
      <c r="H5884" t="s">
        <v>22452</v>
      </c>
      <c r="I5884" t="s">
        <v>3529</v>
      </c>
      <c r="J5884" t="s">
        <v>26426</v>
      </c>
      <c r="K5884" t="s">
        <v>29341</v>
      </c>
      <c r="M5884" t="s">
        <v>31627</v>
      </c>
      <c r="N5884" t="s">
        <v>32524</v>
      </c>
      <c r="O5884" t="s">
        <v>32525</v>
      </c>
      <c r="P5884">
        <v>0</v>
      </c>
      <c r="Q5884">
        <v>2</v>
      </c>
      <c r="R5884" t="s">
        <v>32532</v>
      </c>
      <c r="S5884" t="s">
        <v>32616</v>
      </c>
      <c r="T5884" t="s">
        <v>33181</v>
      </c>
      <c r="U5884" t="s">
        <v>38597</v>
      </c>
      <c r="W5884" t="s">
        <v>31627</v>
      </c>
      <c r="X5884" t="s">
        <v>32538</v>
      </c>
    </row>
    <row r="5885" spans="1:24">
      <c r="A5885">
        <f>HYPERLINK("https://www.philgeps.gov.ph/GEPSNONPILOT/Tender/SplashBidNoticeAbstractUI.aspx?menuIndex=3&amp;refID=7027463&amp;Result=3","7027463")</f>
        <v>0</v>
      </c>
      <c r="B5885" t="s">
        <v>146</v>
      </c>
      <c r="C5885" t="s">
        <v>8310</v>
      </c>
      <c r="D5885" t="s">
        <v>13042</v>
      </c>
      <c r="E5885" t="s">
        <v>18306</v>
      </c>
      <c r="F5885" t="s">
        <v>22436</v>
      </c>
      <c r="G5885" t="s">
        <v>22444</v>
      </c>
      <c r="H5885" t="s">
        <v>22452</v>
      </c>
      <c r="I5885" t="s">
        <v>22460</v>
      </c>
      <c r="J5885" t="s">
        <v>26427</v>
      </c>
      <c r="K5885" t="s">
        <v>29336</v>
      </c>
      <c r="M5885" t="s">
        <v>29937</v>
      </c>
      <c r="N5885" t="s">
        <v>32524</v>
      </c>
      <c r="O5885" t="s">
        <v>32525</v>
      </c>
      <c r="P5885">
        <v>0</v>
      </c>
      <c r="Q5885">
        <v>3</v>
      </c>
      <c r="R5885" t="s">
        <v>32532</v>
      </c>
      <c r="S5885" t="s">
        <v>32616</v>
      </c>
      <c r="T5885" t="s">
        <v>33440</v>
      </c>
      <c r="U5885" t="s">
        <v>38598</v>
      </c>
      <c r="W5885" t="s">
        <v>29937</v>
      </c>
      <c r="X5885" t="s">
        <v>32538</v>
      </c>
    </row>
    <row r="5886" spans="1:24">
      <c r="A5886">
        <f>HYPERLINK("https://www.philgeps.gov.ph/GEPSNONPILOT/Tender/SplashBidNoticeAbstractUI.aspx?menuIndex=3&amp;refID=7028539&amp;Result=3","7028539")</f>
        <v>0</v>
      </c>
      <c r="B5886" t="s">
        <v>1903</v>
      </c>
      <c r="C5886" t="s">
        <v>8311</v>
      </c>
      <c r="D5886" t="s">
        <v>13010</v>
      </c>
      <c r="E5886" t="s">
        <v>18307</v>
      </c>
      <c r="F5886" t="s">
        <v>22436</v>
      </c>
      <c r="G5886" t="s">
        <v>22443</v>
      </c>
      <c r="H5886" t="s">
        <v>22452</v>
      </c>
      <c r="I5886" t="s">
        <v>3122</v>
      </c>
      <c r="J5886" t="s">
        <v>26428</v>
      </c>
      <c r="K5886" t="s">
        <v>29331</v>
      </c>
      <c r="M5886" t="s">
        <v>31625</v>
      </c>
      <c r="N5886" t="s">
        <v>32524</v>
      </c>
      <c r="O5886" t="s">
        <v>32525</v>
      </c>
      <c r="P5886">
        <v>0</v>
      </c>
      <c r="Q5886">
        <v>0</v>
      </c>
      <c r="R5886" t="s">
        <v>32532</v>
      </c>
      <c r="S5886" t="s">
        <v>32616</v>
      </c>
      <c r="T5886" t="s">
        <v>33406</v>
      </c>
      <c r="U5886" t="s">
        <v>38594</v>
      </c>
      <c r="V5886" t="s">
        <v>43077</v>
      </c>
      <c r="W5886" t="s">
        <v>31625</v>
      </c>
      <c r="X5886" t="s">
        <v>32538</v>
      </c>
    </row>
    <row r="5887" spans="1:24">
      <c r="A5887">
        <f>HYPERLINK("https://www.philgeps.gov.ph/GEPSNONPILOT/Tender/SplashBidNoticeAbstractUI.aspx?menuIndex=3&amp;refID=7029238&amp;Result=3","7029238")</f>
        <v>0</v>
      </c>
      <c r="B5887" t="s">
        <v>91</v>
      </c>
      <c r="C5887" t="s">
        <v>8312</v>
      </c>
      <c r="D5887" t="s">
        <v>13027</v>
      </c>
      <c r="E5887" t="s">
        <v>18308</v>
      </c>
      <c r="F5887" t="s">
        <v>22436</v>
      </c>
      <c r="G5887" t="s">
        <v>22444</v>
      </c>
      <c r="H5887" t="s">
        <v>22452</v>
      </c>
      <c r="I5887" t="s">
        <v>22474</v>
      </c>
      <c r="J5887" t="s">
        <v>23079</v>
      </c>
      <c r="K5887" t="s">
        <v>29333</v>
      </c>
      <c r="M5887" t="s">
        <v>29663</v>
      </c>
      <c r="N5887" t="s">
        <v>32524</v>
      </c>
      <c r="O5887" t="s">
        <v>32525</v>
      </c>
      <c r="P5887">
        <v>0</v>
      </c>
      <c r="Q5887">
        <v>0</v>
      </c>
      <c r="R5887" t="s">
        <v>32532</v>
      </c>
      <c r="S5887" t="s">
        <v>32616</v>
      </c>
      <c r="T5887" t="s">
        <v>33323</v>
      </c>
      <c r="U5887" t="s">
        <v>38599</v>
      </c>
      <c r="W5887" t="s">
        <v>29663</v>
      </c>
      <c r="X5887" t="s">
        <v>32538</v>
      </c>
    </row>
    <row r="5888" spans="1:24">
      <c r="A5888">
        <f>HYPERLINK("https://www.philgeps.gov.ph/GEPSNONPILOT/Tender/SplashBidNoticeAbstractUI.aspx?menuIndex=3&amp;refID=7029004&amp;Result=3","7029004")</f>
        <v>0</v>
      </c>
      <c r="B5888" t="s">
        <v>72</v>
      </c>
      <c r="C5888" t="s">
        <v>8313</v>
      </c>
      <c r="D5888" t="s">
        <v>13019</v>
      </c>
      <c r="E5888" t="s">
        <v>18309</v>
      </c>
      <c r="F5888" t="s">
        <v>22436</v>
      </c>
      <c r="G5888" t="s">
        <v>22444</v>
      </c>
      <c r="H5888" t="s">
        <v>22454</v>
      </c>
      <c r="I5888" t="s">
        <v>7738</v>
      </c>
      <c r="J5888" t="s">
        <v>26429</v>
      </c>
      <c r="K5888" t="s">
        <v>29335</v>
      </c>
      <c r="M5888" t="s">
        <v>29644</v>
      </c>
      <c r="N5888" t="s">
        <v>32524</v>
      </c>
      <c r="O5888" t="s">
        <v>32525</v>
      </c>
      <c r="P5888">
        <v>0</v>
      </c>
      <c r="Q5888">
        <v>1</v>
      </c>
      <c r="R5888" t="s">
        <v>32532</v>
      </c>
      <c r="S5888" t="s">
        <v>32616</v>
      </c>
      <c r="T5888" t="s">
        <v>33218</v>
      </c>
      <c r="U5888" t="s">
        <v>38600</v>
      </c>
      <c r="W5888" t="s">
        <v>29644</v>
      </c>
      <c r="X5888" t="s">
        <v>32538</v>
      </c>
    </row>
    <row r="5889" spans="1:24">
      <c r="A5889">
        <f>HYPERLINK("https://www.philgeps.gov.ph/GEPSNONPILOT/Tender/SplashBidNoticeAbstractUI.aspx?menuIndex=3&amp;refID=7028666&amp;Result=3","7028666")</f>
        <v>0</v>
      </c>
      <c r="B5889" t="s">
        <v>91</v>
      </c>
      <c r="C5889" t="s">
        <v>8314</v>
      </c>
      <c r="D5889" t="s">
        <v>13027</v>
      </c>
      <c r="E5889" t="s">
        <v>18310</v>
      </c>
      <c r="F5889" t="s">
        <v>22436</v>
      </c>
      <c r="G5889" t="s">
        <v>22444</v>
      </c>
      <c r="H5889" t="s">
        <v>22452</v>
      </c>
      <c r="I5889" t="s">
        <v>3529</v>
      </c>
      <c r="J5889" t="s">
        <v>26430</v>
      </c>
      <c r="K5889" t="s">
        <v>29333</v>
      </c>
      <c r="M5889" t="s">
        <v>29663</v>
      </c>
      <c r="N5889" t="s">
        <v>32524</v>
      </c>
      <c r="O5889" t="s">
        <v>32525</v>
      </c>
      <c r="P5889">
        <v>0</v>
      </c>
      <c r="Q5889">
        <v>1</v>
      </c>
      <c r="R5889" t="s">
        <v>32532</v>
      </c>
      <c r="S5889" t="s">
        <v>32616</v>
      </c>
      <c r="T5889" t="s">
        <v>33323</v>
      </c>
      <c r="U5889" t="s">
        <v>38601</v>
      </c>
      <c r="W5889" t="s">
        <v>29663</v>
      </c>
      <c r="X5889" t="s">
        <v>32538</v>
      </c>
    </row>
    <row r="5890" spans="1:24">
      <c r="A5890">
        <f>HYPERLINK("https://www.philgeps.gov.ph/GEPSNONPILOT/Tender/SplashBidNoticeAbstractUI.aspx?menuIndex=3&amp;refID=7028909&amp;Result=3","7028909")</f>
        <v>0</v>
      </c>
      <c r="B5890" t="s">
        <v>46</v>
      </c>
      <c r="C5890" t="s">
        <v>8315</v>
      </c>
      <c r="D5890" t="s">
        <v>13006</v>
      </c>
      <c r="E5890" t="s">
        <v>18311</v>
      </c>
      <c r="F5890" t="s">
        <v>22436</v>
      </c>
      <c r="G5890" t="s">
        <v>22444</v>
      </c>
      <c r="H5890" t="s">
        <v>22452</v>
      </c>
      <c r="I5890" t="s">
        <v>3529</v>
      </c>
      <c r="J5890" t="s">
        <v>26431</v>
      </c>
      <c r="K5890" t="s">
        <v>29336</v>
      </c>
      <c r="M5890" t="s">
        <v>29617</v>
      </c>
      <c r="N5890" t="s">
        <v>32524</v>
      </c>
      <c r="O5890" t="s">
        <v>32525</v>
      </c>
      <c r="P5890">
        <v>0</v>
      </c>
      <c r="Q5890">
        <v>0</v>
      </c>
      <c r="R5890" t="s">
        <v>32532</v>
      </c>
      <c r="S5890" t="s">
        <v>32616</v>
      </c>
      <c r="T5890" t="s">
        <v>33238</v>
      </c>
      <c r="U5890" t="s">
        <v>38602</v>
      </c>
      <c r="V5890" t="s">
        <v>43078</v>
      </c>
      <c r="W5890" t="s">
        <v>29617</v>
      </c>
      <c r="X5890" t="s">
        <v>32538</v>
      </c>
    </row>
    <row r="5891" spans="1:24">
      <c r="A5891">
        <f>HYPERLINK("https://www.philgeps.gov.ph/GEPSNONPILOT/Tender/SplashBidNoticeAbstractUI.aspx?menuIndex=3&amp;refID=7027504&amp;Result=3","7027504")</f>
        <v>0</v>
      </c>
      <c r="B5891" t="s">
        <v>482</v>
      </c>
      <c r="C5891" t="s">
        <v>6606</v>
      </c>
      <c r="D5891" t="s">
        <v>13053</v>
      </c>
      <c r="E5891" t="s">
        <v>18312</v>
      </c>
      <c r="F5891" t="s">
        <v>22436</v>
      </c>
      <c r="G5891" t="s">
        <v>22444</v>
      </c>
      <c r="H5891" t="s">
        <v>22452</v>
      </c>
      <c r="I5891" t="s">
        <v>6421</v>
      </c>
      <c r="J5891" t="s">
        <v>26432</v>
      </c>
      <c r="K5891" t="s">
        <v>29331</v>
      </c>
      <c r="M5891" t="s">
        <v>30066</v>
      </c>
      <c r="N5891" t="s">
        <v>32524</v>
      </c>
      <c r="O5891" t="s">
        <v>32525</v>
      </c>
      <c r="P5891">
        <v>0</v>
      </c>
      <c r="Q5891">
        <v>5</v>
      </c>
      <c r="R5891" t="s">
        <v>32532</v>
      </c>
      <c r="S5891" t="s">
        <v>32616</v>
      </c>
      <c r="T5891" t="s">
        <v>33213</v>
      </c>
      <c r="U5891" t="s">
        <v>38603</v>
      </c>
      <c r="W5891" t="s">
        <v>30066</v>
      </c>
      <c r="X5891" t="s">
        <v>32538</v>
      </c>
    </row>
    <row r="5892" spans="1:24">
      <c r="A5892">
        <f>HYPERLINK("https://www.philgeps.gov.ph/GEPSNONPILOT/Tender/SplashBidNoticeAbstractUI.aspx?menuIndex=3&amp;refID=7028853&amp;Result=3","7028853")</f>
        <v>0</v>
      </c>
      <c r="B5892" t="s">
        <v>91</v>
      </c>
      <c r="C5892" t="s">
        <v>8316</v>
      </c>
      <c r="D5892" t="s">
        <v>13027</v>
      </c>
      <c r="E5892" t="s">
        <v>18313</v>
      </c>
      <c r="F5892" t="s">
        <v>22436</v>
      </c>
      <c r="G5892" t="s">
        <v>22444</v>
      </c>
      <c r="H5892" t="s">
        <v>22452</v>
      </c>
      <c r="I5892" t="s">
        <v>3529</v>
      </c>
      <c r="J5892" t="s">
        <v>26433</v>
      </c>
      <c r="K5892" t="s">
        <v>29333</v>
      </c>
      <c r="M5892" t="s">
        <v>29663</v>
      </c>
      <c r="N5892" t="s">
        <v>32524</v>
      </c>
      <c r="O5892" t="s">
        <v>32525</v>
      </c>
      <c r="P5892">
        <v>0</v>
      </c>
      <c r="Q5892">
        <v>0</v>
      </c>
      <c r="R5892" t="s">
        <v>32532</v>
      </c>
      <c r="S5892" t="s">
        <v>32616</v>
      </c>
      <c r="T5892" t="s">
        <v>33323</v>
      </c>
      <c r="U5892" t="s">
        <v>38604</v>
      </c>
      <c r="W5892" t="s">
        <v>29663</v>
      </c>
      <c r="X5892" t="s">
        <v>32538</v>
      </c>
    </row>
    <row r="5893" spans="1:24">
      <c r="A5893">
        <f>HYPERLINK("https://www.philgeps.gov.ph/GEPSNONPILOT/Tender/SplashBidNoticeAbstractUI.aspx?menuIndex=3&amp;refID=7027733&amp;Result=3","7027733")</f>
        <v>0</v>
      </c>
      <c r="B5893" t="s">
        <v>1905</v>
      </c>
      <c r="C5893" t="s">
        <v>8317</v>
      </c>
      <c r="D5893" t="s">
        <v>12998</v>
      </c>
      <c r="E5893" t="s">
        <v>18314</v>
      </c>
      <c r="F5893" t="s">
        <v>22436</v>
      </c>
      <c r="G5893" t="s">
        <v>22444</v>
      </c>
      <c r="H5893" t="s">
        <v>22452</v>
      </c>
      <c r="I5893" t="s">
        <v>3529</v>
      </c>
      <c r="J5893" t="s">
        <v>26434</v>
      </c>
      <c r="K5893" t="s">
        <v>29341</v>
      </c>
      <c r="M5893" t="s">
        <v>31627</v>
      </c>
      <c r="N5893" t="s">
        <v>32524</v>
      </c>
      <c r="O5893" t="s">
        <v>32525</v>
      </c>
      <c r="P5893">
        <v>0</v>
      </c>
      <c r="Q5893">
        <v>2</v>
      </c>
      <c r="R5893" t="s">
        <v>32532</v>
      </c>
      <c r="S5893" t="s">
        <v>32616</v>
      </c>
      <c r="T5893" t="s">
        <v>33211</v>
      </c>
      <c r="U5893" t="s">
        <v>38597</v>
      </c>
      <c r="W5893" t="s">
        <v>31627</v>
      </c>
      <c r="X5893" t="s">
        <v>32538</v>
      </c>
    </row>
    <row r="5894" spans="1:24">
      <c r="A5894">
        <f>HYPERLINK("https://www.philgeps.gov.ph/GEPSNONPILOT/Tender/SplashBidNoticeAbstractUI.aspx?menuIndex=3&amp;refID=7029866&amp;Result=3","7029866")</f>
        <v>0</v>
      </c>
      <c r="B5894" t="s">
        <v>91</v>
      </c>
      <c r="C5894" t="s">
        <v>8318</v>
      </c>
      <c r="D5894" t="s">
        <v>13027</v>
      </c>
      <c r="E5894" t="s">
        <v>18315</v>
      </c>
      <c r="F5894" t="s">
        <v>22436</v>
      </c>
      <c r="G5894" t="s">
        <v>22444</v>
      </c>
      <c r="H5894" t="s">
        <v>22452</v>
      </c>
      <c r="I5894" t="s">
        <v>3529</v>
      </c>
      <c r="J5894" t="s">
        <v>26435</v>
      </c>
      <c r="K5894" t="s">
        <v>29333</v>
      </c>
      <c r="M5894" t="s">
        <v>29663</v>
      </c>
      <c r="N5894" t="s">
        <v>32524</v>
      </c>
      <c r="O5894" t="s">
        <v>32525</v>
      </c>
      <c r="P5894">
        <v>0</v>
      </c>
      <c r="Q5894">
        <v>0</v>
      </c>
      <c r="R5894" t="s">
        <v>32532</v>
      </c>
      <c r="S5894" t="s">
        <v>32616</v>
      </c>
      <c r="T5894" t="s">
        <v>33323</v>
      </c>
      <c r="U5894" t="s">
        <v>38605</v>
      </c>
      <c r="W5894" t="s">
        <v>29663</v>
      </c>
      <c r="X5894" t="s">
        <v>32537</v>
      </c>
    </row>
    <row r="5895" spans="1:24">
      <c r="A5895">
        <f>HYPERLINK("https://www.philgeps.gov.ph/GEPSNONPILOT/Tender/SplashBidNoticeAbstractUI.aspx?menuIndex=3&amp;refID=7029358&amp;Result=3","7029358")</f>
        <v>0</v>
      </c>
      <c r="B5895" t="s">
        <v>91</v>
      </c>
      <c r="C5895" t="s">
        <v>8319</v>
      </c>
      <c r="D5895" t="s">
        <v>13027</v>
      </c>
      <c r="E5895" t="s">
        <v>18316</v>
      </c>
      <c r="F5895" t="s">
        <v>22436</v>
      </c>
      <c r="G5895" t="s">
        <v>22444</v>
      </c>
      <c r="H5895" t="s">
        <v>22452</v>
      </c>
      <c r="I5895" t="s">
        <v>3529</v>
      </c>
      <c r="J5895" t="s">
        <v>26436</v>
      </c>
      <c r="K5895" t="s">
        <v>29333</v>
      </c>
      <c r="M5895" t="s">
        <v>29663</v>
      </c>
      <c r="N5895" t="s">
        <v>32524</v>
      </c>
      <c r="O5895" t="s">
        <v>32525</v>
      </c>
      <c r="P5895">
        <v>0</v>
      </c>
      <c r="Q5895">
        <v>0</v>
      </c>
      <c r="R5895" t="s">
        <v>32532</v>
      </c>
      <c r="S5895" t="s">
        <v>32616</v>
      </c>
      <c r="T5895" t="s">
        <v>33323</v>
      </c>
      <c r="U5895" t="s">
        <v>38606</v>
      </c>
      <c r="W5895" t="s">
        <v>29663</v>
      </c>
      <c r="X5895" t="s">
        <v>32538</v>
      </c>
    </row>
    <row r="5896" spans="1:24">
      <c r="A5896">
        <f>HYPERLINK("https://www.philgeps.gov.ph/GEPSNONPILOT/Tender/SplashBidNoticeAbstractUI.aspx?menuIndex=3&amp;refID=7028948&amp;Result=3","7028948")</f>
        <v>0</v>
      </c>
      <c r="B5896" t="s">
        <v>91</v>
      </c>
      <c r="C5896" t="s">
        <v>8320</v>
      </c>
      <c r="D5896" t="s">
        <v>13027</v>
      </c>
      <c r="E5896" t="s">
        <v>18317</v>
      </c>
      <c r="F5896" t="s">
        <v>22436</v>
      </c>
      <c r="G5896" t="s">
        <v>22444</v>
      </c>
      <c r="H5896" t="s">
        <v>22452</v>
      </c>
      <c r="I5896" t="s">
        <v>22461</v>
      </c>
      <c r="J5896" t="s">
        <v>26437</v>
      </c>
      <c r="K5896" t="s">
        <v>29333</v>
      </c>
      <c r="M5896" t="s">
        <v>29663</v>
      </c>
      <c r="N5896" t="s">
        <v>32524</v>
      </c>
      <c r="O5896" t="s">
        <v>32525</v>
      </c>
      <c r="P5896">
        <v>0</v>
      </c>
      <c r="Q5896">
        <v>2</v>
      </c>
      <c r="R5896" t="s">
        <v>32532</v>
      </c>
      <c r="S5896" t="s">
        <v>32616</v>
      </c>
      <c r="T5896" t="s">
        <v>33323</v>
      </c>
      <c r="U5896" t="s">
        <v>38607</v>
      </c>
      <c r="W5896" t="s">
        <v>29663</v>
      </c>
      <c r="X5896" t="s">
        <v>32538</v>
      </c>
    </row>
    <row r="5897" spans="1:24">
      <c r="A5897">
        <f>HYPERLINK("https://www.philgeps.gov.ph/GEPSNONPILOT/Tender/SplashBidNoticeAbstractUI.aspx?menuIndex=3&amp;refID=7028773&amp;Result=3","7028773")</f>
        <v>0</v>
      </c>
      <c r="B5897" t="s">
        <v>91</v>
      </c>
      <c r="C5897" t="s">
        <v>8321</v>
      </c>
      <c r="D5897" t="s">
        <v>13027</v>
      </c>
      <c r="E5897" t="s">
        <v>18318</v>
      </c>
      <c r="F5897" t="s">
        <v>22436</v>
      </c>
      <c r="G5897" t="s">
        <v>22444</v>
      </c>
      <c r="H5897" t="s">
        <v>22452</v>
      </c>
      <c r="I5897" t="s">
        <v>3529</v>
      </c>
      <c r="J5897" t="s">
        <v>26438</v>
      </c>
      <c r="K5897" t="s">
        <v>29329</v>
      </c>
      <c r="M5897" t="s">
        <v>29663</v>
      </c>
      <c r="N5897" t="s">
        <v>32524</v>
      </c>
      <c r="O5897" t="s">
        <v>32525</v>
      </c>
      <c r="P5897">
        <v>0</v>
      </c>
      <c r="Q5897">
        <v>0</v>
      </c>
      <c r="R5897" t="s">
        <v>32532</v>
      </c>
      <c r="S5897" t="s">
        <v>32616</v>
      </c>
      <c r="T5897" t="s">
        <v>33323</v>
      </c>
      <c r="U5897" t="s">
        <v>38608</v>
      </c>
      <c r="W5897" t="s">
        <v>29663</v>
      </c>
      <c r="X5897" t="s">
        <v>32538</v>
      </c>
    </row>
    <row r="5898" spans="1:24">
      <c r="A5898">
        <f>HYPERLINK("https://www.philgeps.gov.ph/GEPSNONPILOT/Tender/SplashBidNoticeAbstractUI.aspx?menuIndex=3&amp;refID=7029990&amp;Result=3","7029990")</f>
        <v>0</v>
      </c>
      <c r="B5898" t="s">
        <v>91</v>
      </c>
      <c r="C5898" t="s">
        <v>8322</v>
      </c>
      <c r="D5898" t="s">
        <v>13027</v>
      </c>
      <c r="E5898" t="s">
        <v>18319</v>
      </c>
      <c r="F5898" t="s">
        <v>22436</v>
      </c>
      <c r="G5898" t="s">
        <v>22444</v>
      </c>
      <c r="H5898" t="s">
        <v>22452</v>
      </c>
      <c r="I5898" t="s">
        <v>3529</v>
      </c>
      <c r="J5898" t="s">
        <v>26439</v>
      </c>
      <c r="K5898" t="s">
        <v>29333</v>
      </c>
      <c r="M5898" t="s">
        <v>29663</v>
      </c>
      <c r="N5898" t="s">
        <v>32524</v>
      </c>
      <c r="O5898" t="s">
        <v>32525</v>
      </c>
      <c r="P5898">
        <v>0</v>
      </c>
      <c r="Q5898">
        <v>0</v>
      </c>
      <c r="R5898" t="s">
        <v>32532</v>
      </c>
      <c r="S5898" t="s">
        <v>32616</v>
      </c>
      <c r="T5898" t="s">
        <v>33323</v>
      </c>
      <c r="U5898" t="s">
        <v>38609</v>
      </c>
      <c r="W5898" t="s">
        <v>29663</v>
      </c>
      <c r="X5898" t="s">
        <v>32537</v>
      </c>
    </row>
    <row r="5899" spans="1:24">
      <c r="A5899">
        <f>HYPERLINK("https://www.philgeps.gov.ph/GEPSNONPILOT/Tender/SplashBidNoticeAbstractUI.aspx?menuIndex=3&amp;refID=7027703&amp;Result=3","7027703")</f>
        <v>0</v>
      </c>
      <c r="B5899" t="s">
        <v>1905</v>
      </c>
      <c r="C5899" t="s">
        <v>8323</v>
      </c>
      <c r="D5899" t="s">
        <v>12998</v>
      </c>
      <c r="E5899" t="s">
        <v>18320</v>
      </c>
      <c r="F5899" t="s">
        <v>22436</v>
      </c>
      <c r="G5899" t="s">
        <v>22444</v>
      </c>
      <c r="H5899" t="s">
        <v>22452</v>
      </c>
      <c r="I5899" t="s">
        <v>3529</v>
      </c>
      <c r="J5899" t="s">
        <v>26440</v>
      </c>
      <c r="K5899" t="s">
        <v>29337</v>
      </c>
      <c r="M5899" t="s">
        <v>31627</v>
      </c>
      <c r="N5899" t="s">
        <v>32524</v>
      </c>
      <c r="O5899" t="s">
        <v>32525</v>
      </c>
      <c r="P5899">
        <v>0</v>
      </c>
      <c r="Q5899">
        <v>0</v>
      </c>
      <c r="R5899" t="s">
        <v>32532</v>
      </c>
      <c r="S5899" t="s">
        <v>32616</v>
      </c>
      <c r="T5899" t="s">
        <v>33181</v>
      </c>
      <c r="U5899" t="s">
        <v>38597</v>
      </c>
      <c r="W5899" t="s">
        <v>31627</v>
      </c>
      <c r="X5899" t="s">
        <v>32538</v>
      </c>
    </row>
    <row r="5900" spans="1:24">
      <c r="A5900">
        <f>HYPERLINK("https://www.philgeps.gov.ph/GEPSNONPILOT/Tender/SplashBidNoticeAbstractUI.aspx?menuIndex=3&amp;refID=7029948&amp;Result=3","7029948")</f>
        <v>0</v>
      </c>
      <c r="B5900" t="s">
        <v>91</v>
      </c>
      <c r="C5900" t="s">
        <v>8324</v>
      </c>
      <c r="D5900" t="s">
        <v>13027</v>
      </c>
      <c r="E5900" t="s">
        <v>18321</v>
      </c>
      <c r="F5900" t="s">
        <v>22436</v>
      </c>
      <c r="G5900" t="s">
        <v>22444</v>
      </c>
      <c r="H5900" t="s">
        <v>22452</v>
      </c>
      <c r="I5900" t="s">
        <v>3529</v>
      </c>
      <c r="J5900" t="s">
        <v>26441</v>
      </c>
      <c r="K5900" t="s">
        <v>29333</v>
      </c>
      <c r="M5900" t="s">
        <v>29663</v>
      </c>
      <c r="N5900" t="s">
        <v>32524</v>
      </c>
      <c r="O5900" t="s">
        <v>32525</v>
      </c>
      <c r="P5900">
        <v>0</v>
      </c>
      <c r="Q5900">
        <v>0</v>
      </c>
      <c r="R5900" t="s">
        <v>32532</v>
      </c>
      <c r="S5900" t="s">
        <v>32616</v>
      </c>
      <c r="T5900" t="s">
        <v>33323</v>
      </c>
      <c r="U5900" t="s">
        <v>38610</v>
      </c>
      <c r="W5900" t="s">
        <v>29663</v>
      </c>
      <c r="X5900" t="s">
        <v>32537</v>
      </c>
    </row>
    <row r="5901" spans="1:24">
      <c r="A5901">
        <f>HYPERLINK("https://www.philgeps.gov.ph/GEPSNONPILOT/Tender/SplashBidNoticeAbstractUI.aspx?menuIndex=3&amp;refID=7027764&amp;Result=3","7027764")</f>
        <v>0</v>
      </c>
      <c r="B5901" t="s">
        <v>1905</v>
      </c>
      <c r="C5901" t="s">
        <v>8325</v>
      </c>
      <c r="D5901" t="s">
        <v>12998</v>
      </c>
      <c r="E5901" t="s">
        <v>18322</v>
      </c>
      <c r="F5901" t="s">
        <v>22436</v>
      </c>
      <c r="G5901" t="s">
        <v>22444</v>
      </c>
      <c r="H5901" t="s">
        <v>22452</v>
      </c>
      <c r="I5901" t="s">
        <v>3529</v>
      </c>
      <c r="J5901" t="s">
        <v>26440</v>
      </c>
      <c r="K5901" t="s">
        <v>29337</v>
      </c>
      <c r="M5901" t="s">
        <v>31627</v>
      </c>
      <c r="N5901" t="s">
        <v>32524</v>
      </c>
      <c r="O5901" t="s">
        <v>32525</v>
      </c>
      <c r="P5901">
        <v>0</v>
      </c>
      <c r="Q5901">
        <v>1</v>
      </c>
      <c r="R5901" t="s">
        <v>32532</v>
      </c>
      <c r="S5901" t="s">
        <v>32616</v>
      </c>
      <c r="T5901" t="s">
        <v>33190</v>
      </c>
      <c r="U5901" t="s">
        <v>38597</v>
      </c>
      <c r="W5901" t="s">
        <v>31627</v>
      </c>
      <c r="X5901" t="s">
        <v>32538</v>
      </c>
    </row>
    <row r="5902" spans="1:24">
      <c r="A5902">
        <f>HYPERLINK("https://www.philgeps.gov.ph/GEPSNONPILOT/Tender/SplashBidNoticeAbstractUI.aspx?menuIndex=3&amp;refID=7031277&amp;Result=3","7031277")</f>
        <v>0</v>
      </c>
      <c r="B5902" t="s">
        <v>82</v>
      </c>
      <c r="C5902" t="s">
        <v>6033</v>
      </c>
      <c r="D5902" t="s">
        <v>13024</v>
      </c>
      <c r="E5902" t="s">
        <v>18323</v>
      </c>
      <c r="F5902" t="s">
        <v>22436</v>
      </c>
      <c r="G5902" t="s">
        <v>22444</v>
      </c>
      <c r="H5902" t="s">
        <v>22452</v>
      </c>
      <c r="I5902" t="s">
        <v>22463</v>
      </c>
      <c r="J5902" t="s">
        <v>26442</v>
      </c>
      <c r="K5902" t="s">
        <v>29336</v>
      </c>
      <c r="M5902" t="s">
        <v>29654</v>
      </c>
      <c r="N5902" t="s">
        <v>32524</v>
      </c>
      <c r="O5902" t="s">
        <v>32525</v>
      </c>
      <c r="P5902">
        <v>0</v>
      </c>
      <c r="Q5902">
        <v>2</v>
      </c>
      <c r="R5902" t="s">
        <v>32532</v>
      </c>
      <c r="S5902" t="s">
        <v>32616</v>
      </c>
      <c r="T5902" t="s">
        <v>33521</v>
      </c>
      <c r="U5902" t="s">
        <v>33741</v>
      </c>
      <c r="V5902" t="s">
        <v>43079</v>
      </c>
      <c r="W5902" t="s">
        <v>29654</v>
      </c>
      <c r="X5902" t="s">
        <v>32537</v>
      </c>
    </row>
    <row r="5903" spans="1:24">
      <c r="A5903">
        <f>HYPERLINK("https://www.philgeps.gov.ph/GEPSNONPILOT/Tender/SplashBidNoticeAbstractUI.aspx?menuIndex=3&amp;refID=7029882&amp;Result=3","7029882")</f>
        <v>0</v>
      </c>
      <c r="B5903" t="s">
        <v>91</v>
      </c>
      <c r="C5903" t="s">
        <v>8326</v>
      </c>
      <c r="D5903" t="s">
        <v>13027</v>
      </c>
      <c r="E5903" t="s">
        <v>18324</v>
      </c>
      <c r="F5903" t="s">
        <v>22436</v>
      </c>
      <c r="G5903" t="s">
        <v>22444</v>
      </c>
      <c r="H5903" t="s">
        <v>22452</v>
      </c>
      <c r="I5903" t="s">
        <v>12358</v>
      </c>
      <c r="J5903" t="s">
        <v>24080</v>
      </c>
      <c r="K5903" t="s">
        <v>29329</v>
      </c>
      <c r="M5903" t="s">
        <v>29663</v>
      </c>
      <c r="N5903" t="s">
        <v>32524</v>
      </c>
      <c r="O5903" t="s">
        <v>32525</v>
      </c>
      <c r="P5903">
        <v>0</v>
      </c>
      <c r="Q5903">
        <v>0</v>
      </c>
      <c r="R5903" t="s">
        <v>32532</v>
      </c>
      <c r="S5903" t="s">
        <v>32616</v>
      </c>
      <c r="T5903" t="s">
        <v>33323</v>
      </c>
      <c r="U5903" t="s">
        <v>38611</v>
      </c>
      <c r="W5903" t="s">
        <v>29663</v>
      </c>
      <c r="X5903" t="s">
        <v>32537</v>
      </c>
    </row>
    <row r="5904" spans="1:24">
      <c r="A5904">
        <f>HYPERLINK("https://www.philgeps.gov.ph/GEPSNONPILOT/Tender/SplashBidNoticeAbstractUI.aspx?menuIndex=3&amp;refID=7031230&amp;Result=3","7031230")</f>
        <v>0</v>
      </c>
      <c r="B5904" t="s">
        <v>1906</v>
      </c>
      <c r="C5904" t="s">
        <v>8327</v>
      </c>
      <c r="D5904" t="s">
        <v>13011</v>
      </c>
      <c r="E5904" t="s">
        <v>13210</v>
      </c>
      <c r="F5904" t="s">
        <v>22436</v>
      </c>
      <c r="G5904" t="s">
        <v>22444</v>
      </c>
      <c r="H5904" t="s">
        <v>22454</v>
      </c>
      <c r="I5904" t="s">
        <v>7738</v>
      </c>
      <c r="J5904" t="s">
        <v>26443</v>
      </c>
      <c r="K5904" t="s">
        <v>29345</v>
      </c>
      <c r="M5904" t="s">
        <v>31628</v>
      </c>
      <c r="N5904" t="s">
        <v>32524</v>
      </c>
      <c r="O5904" t="s">
        <v>32525</v>
      </c>
      <c r="P5904">
        <v>0</v>
      </c>
      <c r="Q5904">
        <v>2</v>
      </c>
      <c r="R5904" t="s">
        <v>32532</v>
      </c>
      <c r="S5904" t="s">
        <v>32616</v>
      </c>
      <c r="T5904" t="s">
        <v>33259</v>
      </c>
      <c r="U5904" t="s">
        <v>38612</v>
      </c>
      <c r="V5904" t="s">
        <v>43080</v>
      </c>
      <c r="W5904" t="s">
        <v>31628</v>
      </c>
      <c r="X5904" t="s">
        <v>32537</v>
      </c>
    </row>
    <row r="5905" spans="1:24">
      <c r="A5905">
        <f>HYPERLINK("https://www.philgeps.gov.ph/GEPSNONPILOT/Tender/SplashBidNoticeAbstractUI.aspx?menuIndex=3&amp;refID=7031350&amp;Result=3","7031350")</f>
        <v>0</v>
      </c>
      <c r="B5905" t="s">
        <v>1906</v>
      </c>
      <c r="C5905" t="s">
        <v>8328</v>
      </c>
      <c r="D5905" t="s">
        <v>13011</v>
      </c>
      <c r="E5905" t="s">
        <v>18325</v>
      </c>
      <c r="F5905" t="s">
        <v>22436</v>
      </c>
      <c r="G5905" t="s">
        <v>22444</v>
      </c>
      <c r="H5905" t="s">
        <v>22454</v>
      </c>
      <c r="I5905" t="s">
        <v>7738</v>
      </c>
      <c r="J5905" t="s">
        <v>26444</v>
      </c>
      <c r="K5905" t="s">
        <v>29344</v>
      </c>
      <c r="M5905" t="s">
        <v>31628</v>
      </c>
      <c r="N5905" t="s">
        <v>32524</v>
      </c>
      <c r="O5905" t="s">
        <v>32525</v>
      </c>
      <c r="P5905">
        <v>0</v>
      </c>
      <c r="Q5905">
        <v>1</v>
      </c>
      <c r="R5905" t="s">
        <v>32532</v>
      </c>
      <c r="S5905" t="s">
        <v>32616</v>
      </c>
      <c r="T5905" t="s">
        <v>33259</v>
      </c>
      <c r="U5905" t="s">
        <v>38613</v>
      </c>
      <c r="V5905" t="s">
        <v>43081</v>
      </c>
      <c r="W5905" t="s">
        <v>31628</v>
      </c>
      <c r="X5905" t="s">
        <v>32537</v>
      </c>
    </row>
    <row r="5906" spans="1:24">
      <c r="A5906">
        <f>HYPERLINK("https://www.philgeps.gov.ph/GEPSNONPILOT/Tender/SplashBidNoticeAbstractUI.aspx?menuIndex=3&amp;refID=7031383&amp;Result=3","7031383")</f>
        <v>0</v>
      </c>
      <c r="B5906" t="s">
        <v>1574</v>
      </c>
      <c r="C5906" t="s">
        <v>8329</v>
      </c>
      <c r="D5906" t="s">
        <v>13008</v>
      </c>
      <c r="E5906" t="s">
        <v>18326</v>
      </c>
      <c r="F5906" t="s">
        <v>22436</v>
      </c>
      <c r="G5906" t="s">
        <v>22444</v>
      </c>
      <c r="H5906" t="s">
        <v>22454</v>
      </c>
      <c r="I5906" t="s">
        <v>7738</v>
      </c>
      <c r="J5906" t="s">
        <v>22587</v>
      </c>
      <c r="K5906" t="s">
        <v>29338</v>
      </c>
      <c r="M5906" t="s">
        <v>31256</v>
      </c>
      <c r="N5906" t="s">
        <v>32524</v>
      </c>
      <c r="O5906" t="s">
        <v>32525</v>
      </c>
      <c r="P5906">
        <v>0</v>
      </c>
      <c r="Q5906">
        <v>1</v>
      </c>
      <c r="R5906" t="s">
        <v>32532</v>
      </c>
      <c r="S5906" t="s">
        <v>32616</v>
      </c>
      <c r="T5906" t="s">
        <v>33234</v>
      </c>
      <c r="U5906" t="s">
        <v>38614</v>
      </c>
      <c r="W5906" t="s">
        <v>31256</v>
      </c>
      <c r="X5906" t="s">
        <v>32537</v>
      </c>
    </row>
    <row r="5907" spans="1:24">
      <c r="A5907">
        <f>HYPERLINK("https://www.philgeps.gov.ph/GEPSNONPILOT/Tender/SplashBidNoticeAbstractUI.aspx?menuIndex=3&amp;refID=7030462&amp;Result=3","7030462")</f>
        <v>0</v>
      </c>
      <c r="B5907" t="s">
        <v>482</v>
      </c>
      <c r="C5907" t="s">
        <v>8330</v>
      </c>
      <c r="D5907" t="s">
        <v>13053</v>
      </c>
      <c r="E5907" t="s">
        <v>15090</v>
      </c>
      <c r="F5907" t="s">
        <v>22436</v>
      </c>
      <c r="G5907" t="s">
        <v>22444</v>
      </c>
      <c r="H5907" t="s">
        <v>22452</v>
      </c>
      <c r="I5907" t="s">
        <v>22485</v>
      </c>
      <c r="J5907" t="s">
        <v>26445</v>
      </c>
      <c r="K5907" t="s">
        <v>29331</v>
      </c>
      <c r="M5907" t="s">
        <v>30066</v>
      </c>
      <c r="N5907" t="s">
        <v>32524</v>
      </c>
      <c r="O5907" t="s">
        <v>32525</v>
      </c>
      <c r="P5907">
        <v>0</v>
      </c>
      <c r="Q5907">
        <v>1</v>
      </c>
      <c r="R5907" t="s">
        <v>32532</v>
      </c>
      <c r="S5907" t="s">
        <v>32616</v>
      </c>
      <c r="T5907" t="s">
        <v>33213</v>
      </c>
      <c r="U5907" t="s">
        <v>38615</v>
      </c>
      <c r="W5907" t="s">
        <v>30066</v>
      </c>
      <c r="X5907" t="s">
        <v>32537</v>
      </c>
    </row>
    <row r="5908" spans="1:24">
      <c r="A5908">
        <f>HYPERLINK("https://www.philgeps.gov.ph/GEPSNONPILOT/Tender/SplashBidNoticeAbstractUI.aspx?menuIndex=3&amp;refID=7030242&amp;Result=3","7030242")</f>
        <v>0</v>
      </c>
      <c r="B5908" t="s">
        <v>482</v>
      </c>
      <c r="C5908" t="s">
        <v>8331</v>
      </c>
      <c r="D5908" t="s">
        <v>13053</v>
      </c>
      <c r="E5908" t="s">
        <v>15085</v>
      </c>
      <c r="F5908" t="s">
        <v>22436</v>
      </c>
      <c r="G5908" t="s">
        <v>22444</v>
      </c>
      <c r="H5908" t="s">
        <v>22452</v>
      </c>
      <c r="I5908" t="s">
        <v>22479</v>
      </c>
      <c r="J5908" t="s">
        <v>26446</v>
      </c>
      <c r="K5908" t="s">
        <v>29331</v>
      </c>
      <c r="M5908" t="s">
        <v>30066</v>
      </c>
      <c r="N5908" t="s">
        <v>32524</v>
      </c>
      <c r="O5908" t="s">
        <v>32525</v>
      </c>
      <c r="P5908">
        <v>0</v>
      </c>
      <c r="Q5908">
        <v>3</v>
      </c>
      <c r="R5908" t="s">
        <v>32532</v>
      </c>
      <c r="S5908" t="s">
        <v>32616</v>
      </c>
      <c r="T5908" t="s">
        <v>33213</v>
      </c>
      <c r="U5908" t="s">
        <v>38616</v>
      </c>
      <c r="W5908" t="s">
        <v>30066</v>
      </c>
      <c r="X5908" t="s">
        <v>32537</v>
      </c>
    </row>
    <row r="5909" spans="1:24">
      <c r="A5909">
        <f>HYPERLINK("https://www.philgeps.gov.ph/GEPSNONPILOT/Tender/SplashBidNoticeAbstractUI.aspx?menuIndex=3&amp;refID=7031569&amp;Result=3","7031569")</f>
        <v>0</v>
      </c>
      <c r="B5909" t="s">
        <v>32</v>
      </c>
      <c r="C5909" t="s">
        <v>8332</v>
      </c>
      <c r="E5909" t="s">
        <v>18327</v>
      </c>
      <c r="F5909" t="s">
        <v>22436</v>
      </c>
      <c r="G5909" t="s">
        <v>22443</v>
      </c>
      <c r="H5909" t="s">
        <v>22452</v>
      </c>
      <c r="I5909" t="s">
        <v>22533</v>
      </c>
      <c r="J5909" t="s">
        <v>26447</v>
      </c>
      <c r="K5909" t="s">
        <v>29338</v>
      </c>
      <c r="M5909" t="s">
        <v>29609</v>
      </c>
      <c r="N5909" t="s">
        <v>32524</v>
      </c>
      <c r="O5909" t="s">
        <v>32525</v>
      </c>
      <c r="P5909">
        <v>0</v>
      </c>
      <c r="Q5909">
        <v>0</v>
      </c>
      <c r="R5909" t="s">
        <v>32532</v>
      </c>
      <c r="S5909" t="s">
        <v>32616</v>
      </c>
      <c r="T5909" t="s">
        <v>33323</v>
      </c>
      <c r="U5909" t="s">
        <v>33629</v>
      </c>
      <c r="W5909" t="s">
        <v>29609</v>
      </c>
      <c r="X5909" t="s">
        <v>32537</v>
      </c>
    </row>
    <row r="5910" spans="1:24">
      <c r="A5910">
        <f>HYPERLINK("https://www.philgeps.gov.ph/GEPSNONPILOT/Tender/SplashBidNoticeAbstractUI.aspx?menuIndex=3&amp;refID=7030192&amp;Result=3","7030192")</f>
        <v>0</v>
      </c>
      <c r="B5910" t="s">
        <v>91</v>
      </c>
      <c r="C5910" t="s">
        <v>8333</v>
      </c>
      <c r="D5910" t="s">
        <v>13027</v>
      </c>
      <c r="E5910" t="s">
        <v>18328</v>
      </c>
      <c r="F5910" t="s">
        <v>22436</v>
      </c>
      <c r="G5910" t="s">
        <v>22444</v>
      </c>
      <c r="H5910" t="s">
        <v>22452</v>
      </c>
      <c r="I5910" t="s">
        <v>22553</v>
      </c>
      <c r="J5910" t="s">
        <v>23356</v>
      </c>
      <c r="K5910" t="s">
        <v>29333</v>
      </c>
      <c r="M5910" t="s">
        <v>29663</v>
      </c>
      <c r="N5910" t="s">
        <v>32524</v>
      </c>
      <c r="O5910" t="s">
        <v>32525</v>
      </c>
      <c r="P5910">
        <v>0</v>
      </c>
      <c r="Q5910">
        <v>5</v>
      </c>
      <c r="R5910" t="s">
        <v>32532</v>
      </c>
      <c r="S5910" t="s">
        <v>32616</v>
      </c>
      <c r="T5910" t="s">
        <v>33323</v>
      </c>
      <c r="U5910" t="s">
        <v>38617</v>
      </c>
      <c r="W5910" t="s">
        <v>29663</v>
      </c>
      <c r="X5910" t="s">
        <v>32537</v>
      </c>
    </row>
    <row r="5911" spans="1:24">
      <c r="A5911">
        <f>HYPERLINK("https://www.philgeps.gov.ph/GEPSNONPILOT/Tender/SplashBidNoticeAbstractUI.aspx?menuIndex=3&amp;refID=7031588&amp;Result=3","7031588")</f>
        <v>0</v>
      </c>
      <c r="B5911" t="s">
        <v>32</v>
      </c>
      <c r="C5911" t="s">
        <v>8334</v>
      </c>
      <c r="E5911" t="s">
        <v>18329</v>
      </c>
      <c r="F5911" t="s">
        <v>22436</v>
      </c>
      <c r="G5911" t="s">
        <v>22443</v>
      </c>
      <c r="H5911" t="s">
        <v>22452</v>
      </c>
      <c r="I5911" t="s">
        <v>22493</v>
      </c>
      <c r="J5911" t="s">
        <v>22788</v>
      </c>
      <c r="K5911" t="s">
        <v>29338</v>
      </c>
      <c r="M5911" t="s">
        <v>29609</v>
      </c>
      <c r="N5911" t="s">
        <v>32524</v>
      </c>
      <c r="O5911" t="s">
        <v>32525</v>
      </c>
      <c r="P5911">
        <v>0</v>
      </c>
      <c r="Q5911">
        <v>5</v>
      </c>
      <c r="R5911" t="s">
        <v>32532</v>
      </c>
      <c r="S5911" t="s">
        <v>32616</v>
      </c>
      <c r="T5911" t="s">
        <v>33323</v>
      </c>
      <c r="U5911" t="s">
        <v>33629</v>
      </c>
      <c r="W5911" t="s">
        <v>29609</v>
      </c>
      <c r="X5911" t="s">
        <v>32537</v>
      </c>
    </row>
    <row r="5912" spans="1:24">
      <c r="A5912">
        <f>HYPERLINK("https://www.philgeps.gov.ph/GEPSNONPILOT/Tender/SplashBidNoticeAbstractUI.aspx?menuIndex=3&amp;refID=7032192&amp;Result=3","7032192")</f>
        <v>0</v>
      </c>
      <c r="B5912" t="s">
        <v>46</v>
      </c>
      <c r="C5912" t="s">
        <v>8335</v>
      </c>
      <c r="D5912" t="s">
        <v>13006</v>
      </c>
      <c r="E5912" t="s">
        <v>18330</v>
      </c>
      <c r="F5912" t="s">
        <v>22436</v>
      </c>
      <c r="G5912" t="s">
        <v>22444</v>
      </c>
      <c r="H5912" t="s">
        <v>22454</v>
      </c>
      <c r="I5912" t="s">
        <v>7738</v>
      </c>
      <c r="J5912" t="s">
        <v>23185</v>
      </c>
      <c r="K5912" t="s">
        <v>29333</v>
      </c>
      <c r="M5912" t="s">
        <v>31245</v>
      </c>
      <c r="N5912" t="s">
        <v>32524</v>
      </c>
      <c r="O5912" t="s">
        <v>32525</v>
      </c>
      <c r="P5912">
        <v>0</v>
      </c>
      <c r="Q5912">
        <v>0</v>
      </c>
      <c r="R5912" t="s">
        <v>32532</v>
      </c>
      <c r="S5912" t="s">
        <v>32616</v>
      </c>
      <c r="T5912" t="s">
        <v>33161</v>
      </c>
      <c r="U5912" t="s">
        <v>35793</v>
      </c>
      <c r="V5912" t="s">
        <v>42461</v>
      </c>
      <c r="W5912" t="s">
        <v>31245</v>
      </c>
      <c r="X5912" t="s">
        <v>32536</v>
      </c>
    </row>
    <row r="5913" spans="1:24">
      <c r="A5913">
        <f>HYPERLINK("https://www.philgeps.gov.ph/GEPSNONPILOT/Tender/SplashBidNoticeAbstractUI.aspx?menuIndex=3&amp;refID=7032420&amp;Result=3","7032420")</f>
        <v>0</v>
      </c>
      <c r="B5913" t="s">
        <v>1907</v>
      </c>
      <c r="C5913" t="s">
        <v>8336</v>
      </c>
      <c r="D5913" t="s">
        <v>13061</v>
      </c>
      <c r="E5913" t="s">
        <v>18331</v>
      </c>
      <c r="F5913" t="s">
        <v>22436</v>
      </c>
      <c r="G5913" t="s">
        <v>22444</v>
      </c>
      <c r="H5913" t="s">
        <v>22454</v>
      </c>
      <c r="I5913" t="s">
        <v>7738</v>
      </c>
      <c r="J5913" t="s">
        <v>26448</v>
      </c>
      <c r="K5913" t="s">
        <v>29362</v>
      </c>
      <c r="M5913" t="s">
        <v>31629</v>
      </c>
      <c r="N5913" t="s">
        <v>32524</v>
      </c>
      <c r="O5913" t="s">
        <v>32525</v>
      </c>
      <c r="P5913">
        <v>0</v>
      </c>
      <c r="Q5913">
        <v>0</v>
      </c>
      <c r="R5913" t="s">
        <v>32532</v>
      </c>
      <c r="S5913" t="s">
        <v>32616</v>
      </c>
      <c r="T5913" t="s">
        <v>33234</v>
      </c>
      <c r="U5913" t="s">
        <v>38618</v>
      </c>
      <c r="W5913" t="s">
        <v>31629</v>
      </c>
      <c r="X5913" t="s">
        <v>32535</v>
      </c>
    </row>
    <row r="5914" spans="1:24">
      <c r="A5914">
        <f>HYPERLINK("https://www.philgeps.gov.ph/GEPSNONPILOT/Tender/SplashBidNoticeAbstractUI.aspx?menuIndex=3&amp;refID=7032443&amp;Result=3","7032443")</f>
        <v>0</v>
      </c>
      <c r="B5914" t="s">
        <v>1907</v>
      </c>
      <c r="C5914" t="s">
        <v>8337</v>
      </c>
      <c r="D5914" t="s">
        <v>13061</v>
      </c>
      <c r="E5914" t="s">
        <v>18332</v>
      </c>
      <c r="F5914" t="s">
        <v>22436</v>
      </c>
      <c r="G5914" t="s">
        <v>22444</v>
      </c>
      <c r="H5914" t="s">
        <v>22454</v>
      </c>
      <c r="I5914" t="s">
        <v>7738</v>
      </c>
      <c r="J5914" t="s">
        <v>26449</v>
      </c>
      <c r="K5914" t="s">
        <v>29386</v>
      </c>
      <c r="M5914" t="s">
        <v>31629</v>
      </c>
      <c r="N5914" t="s">
        <v>32524</v>
      </c>
      <c r="O5914" t="s">
        <v>32525</v>
      </c>
      <c r="P5914">
        <v>0</v>
      </c>
      <c r="Q5914">
        <v>1</v>
      </c>
      <c r="R5914" t="s">
        <v>32532</v>
      </c>
      <c r="S5914" t="s">
        <v>32616</v>
      </c>
      <c r="T5914" t="s">
        <v>33234</v>
      </c>
      <c r="U5914" t="s">
        <v>38619</v>
      </c>
      <c r="W5914" t="s">
        <v>31629</v>
      </c>
      <c r="X5914" t="s">
        <v>32535</v>
      </c>
    </row>
    <row r="5915" spans="1:24">
      <c r="A5915">
        <f>HYPERLINK("https://www.philgeps.gov.ph/GEPSNONPILOT/Tender/SplashBidNoticeAbstractUI.aspx?menuIndex=3&amp;refID=7030116&amp;Result=3","7030116")</f>
        <v>0</v>
      </c>
      <c r="B5915" t="s">
        <v>91</v>
      </c>
      <c r="C5915" t="s">
        <v>8338</v>
      </c>
      <c r="D5915" t="s">
        <v>13027</v>
      </c>
      <c r="E5915" t="s">
        <v>18333</v>
      </c>
      <c r="F5915" t="s">
        <v>22436</v>
      </c>
      <c r="G5915" t="s">
        <v>22444</v>
      </c>
      <c r="H5915" t="s">
        <v>22452</v>
      </c>
      <c r="I5915" t="s">
        <v>3529</v>
      </c>
      <c r="J5915" t="s">
        <v>26450</v>
      </c>
      <c r="K5915" t="s">
        <v>29329</v>
      </c>
      <c r="M5915" t="s">
        <v>29663</v>
      </c>
      <c r="N5915" t="s">
        <v>32524</v>
      </c>
      <c r="O5915" t="s">
        <v>32525</v>
      </c>
      <c r="P5915">
        <v>0</v>
      </c>
      <c r="Q5915">
        <v>0</v>
      </c>
      <c r="R5915" t="s">
        <v>32532</v>
      </c>
      <c r="S5915" t="s">
        <v>32616</v>
      </c>
      <c r="T5915" t="s">
        <v>33323</v>
      </c>
      <c r="U5915" t="s">
        <v>38620</v>
      </c>
      <c r="W5915" t="s">
        <v>29663</v>
      </c>
      <c r="X5915" t="s">
        <v>32537</v>
      </c>
    </row>
    <row r="5916" spans="1:24">
      <c r="A5916">
        <f>HYPERLINK("https://www.philgeps.gov.ph/GEPSNONPILOT/Tender/SplashBidNoticeAbstractUI.aspx?menuIndex=3&amp;refID=7032417&amp;Result=3","7032417")</f>
        <v>0</v>
      </c>
      <c r="B5916" t="s">
        <v>1907</v>
      </c>
      <c r="C5916" t="s">
        <v>8339</v>
      </c>
      <c r="D5916" t="s">
        <v>13061</v>
      </c>
      <c r="E5916" t="s">
        <v>18334</v>
      </c>
      <c r="F5916" t="s">
        <v>22436</v>
      </c>
      <c r="G5916" t="s">
        <v>22444</v>
      </c>
      <c r="H5916" t="s">
        <v>22454</v>
      </c>
      <c r="I5916" t="s">
        <v>7738</v>
      </c>
      <c r="J5916" t="s">
        <v>26451</v>
      </c>
      <c r="K5916" t="s">
        <v>29333</v>
      </c>
      <c r="M5916" t="s">
        <v>31629</v>
      </c>
      <c r="N5916" t="s">
        <v>32524</v>
      </c>
      <c r="O5916" t="s">
        <v>32525</v>
      </c>
      <c r="P5916">
        <v>0</v>
      </c>
      <c r="Q5916">
        <v>1</v>
      </c>
      <c r="R5916" t="s">
        <v>32532</v>
      </c>
      <c r="S5916" t="s">
        <v>32616</v>
      </c>
      <c r="T5916" t="s">
        <v>33234</v>
      </c>
      <c r="U5916" t="s">
        <v>38621</v>
      </c>
      <c r="W5916" t="s">
        <v>31629</v>
      </c>
      <c r="X5916" t="s">
        <v>32535</v>
      </c>
    </row>
    <row r="5917" spans="1:24">
      <c r="A5917">
        <f>HYPERLINK("https://www.philgeps.gov.ph/GEPSNONPILOT/Tender/SplashBidNoticeAbstractUI.aspx?menuIndex=3&amp;refID=7032170&amp;Result=3","7032170")</f>
        <v>0</v>
      </c>
      <c r="B5917" t="s">
        <v>888</v>
      </c>
      <c r="C5917" t="s">
        <v>8340</v>
      </c>
      <c r="D5917" t="s">
        <v>13032</v>
      </c>
      <c r="E5917" t="s">
        <v>18335</v>
      </c>
      <c r="F5917" t="s">
        <v>22436</v>
      </c>
      <c r="G5917" t="s">
        <v>22444</v>
      </c>
      <c r="H5917" t="s">
        <v>22452</v>
      </c>
      <c r="I5917" t="s">
        <v>3529</v>
      </c>
      <c r="J5917" t="s">
        <v>26452</v>
      </c>
      <c r="K5917" t="s">
        <v>29330</v>
      </c>
      <c r="M5917" t="s">
        <v>30499</v>
      </c>
      <c r="N5917" t="s">
        <v>32524</v>
      </c>
      <c r="O5917" t="s">
        <v>32525</v>
      </c>
      <c r="P5917">
        <v>0</v>
      </c>
      <c r="Q5917">
        <v>1</v>
      </c>
      <c r="R5917" t="s">
        <v>32532</v>
      </c>
      <c r="S5917" t="s">
        <v>32616</v>
      </c>
      <c r="T5917" t="s">
        <v>33218</v>
      </c>
      <c r="U5917" t="s">
        <v>35536</v>
      </c>
      <c r="V5917" t="s">
        <v>43082</v>
      </c>
      <c r="W5917" t="s">
        <v>30499</v>
      </c>
      <c r="X5917" t="s">
        <v>32536</v>
      </c>
    </row>
    <row r="5918" spans="1:24">
      <c r="A5918">
        <f>HYPERLINK("https://www.philgeps.gov.ph/GEPSNONPILOT/Tender/SplashBidNoticeAbstractUI.aspx?menuIndex=3&amp;refID=7032439&amp;Result=3","7032439")</f>
        <v>0</v>
      </c>
      <c r="B5918" t="s">
        <v>1907</v>
      </c>
      <c r="C5918" t="s">
        <v>8341</v>
      </c>
      <c r="D5918" t="s">
        <v>13061</v>
      </c>
      <c r="E5918" t="s">
        <v>18336</v>
      </c>
      <c r="F5918" t="s">
        <v>22436</v>
      </c>
      <c r="G5918" t="s">
        <v>22444</v>
      </c>
      <c r="H5918" t="s">
        <v>22454</v>
      </c>
      <c r="I5918" t="s">
        <v>7738</v>
      </c>
      <c r="J5918" t="s">
        <v>26453</v>
      </c>
      <c r="K5918" t="s">
        <v>29447</v>
      </c>
      <c r="M5918" t="s">
        <v>31629</v>
      </c>
      <c r="N5918" t="s">
        <v>32524</v>
      </c>
      <c r="O5918" t="s">
        <v>32525</v>
      </c>
      <c r="P5918">
        <v>0</v>
      </c>
      <c r="Q5918">
        <v>1</v>
      </c>
      <c r="R5918" t="s">
        <v>32532</v>
      </c>
      <c r="S5918" t="s">
        <v>32616</v>
      </c>
      <c r="T5918" t="s">
        <v>33234</v>
      </c>
      <c r="U5918" t="s">
        <v>38622</v>
      </c>
      <c r="W5918" t="s">
        <v>31629</v>
      </c>
      <c r="X5918" t="s">
        <v>32535</v>
      </c>
    </row>
    <row r="5919" spans="1:24">
      <c r="A5919">
        <f>HYPERLINK("https://www.philgeps.gov.ph/GEPSNONPILOT/Tender/SplashBidNoticeAbstractUI.aspx?menuIndex=3&amp;refID=7030380&amp;Result=3","7030380")</f>
        <v>0</v>
      </c>
      <c r="B5919" t="s">
        <v>482</v>
      </c>
      <c r="C5919" t="s">
        <v>8342</v>
      </c>
      <c r="D5919" t="s">
        <v>13053</v>
      </c>
      <c r="E5919" t="s">
        <v>18337</v>
      </c>
      <c r="F5919" t="s">
        <v>22436</v>
      </c>
      <c r="G5919" t="s">
        <v>22444</v>
      </c>
      <c r="H5919" t="s">
        <v>22454</v>
      </c>
      <c r="I5919" t="s">
        <v>7738</v>
      </c>
      <c r="J5919" t="s">
        <v>26454</v>
      </c>
      <c r="K5919" t="s">
        <v>29334</v>
      </c>
      <c r="M5919" t="s">
        <v>30066</v>
      </c>
      <c r="N5919" t="s">
        <v>32524</v>
      </c>
      <c r="O5919" t="s">
        <v>32525</v>
      </c>
      <c r="P5919">
        <v>0</v>
      </c>
      <c r="Q5919">
        <v>0</v>
      </c>
      <c r="R5919" t="s">
        <v>32532</v>
      </c>
      <c r="S5919" t="s">
        <v>32616</v>
      </c>
      <c r="T5919" t="s">
        <v>33213</v>
      </c>
      <c r="U5919" t="s">
        <v>38623</v>
      </c>
      <c r="W5919" t="s">
        <v>30066</v>
      </c>
      <c r="X5919" t="s">
        <v>32537</v>
      </c>
    </row>
    <row r="5920" spans="1:24">
      <c r="A5920">
        <f>HYPERLINK("https://www.philgeps.gov.ph/GEPSNONPILOT/Tender/SplashBidNoticeAbstractUI.aspx?menuIndex=3&amp;refID=7032475&amp;Result=3","7032475")</f>
        <v>0</v>
      </c>
      <c r="B5920" t="s">
        <v>1907</v>
      </c>
      <c r="C5920" t="s">
        <v>8343</v>
      </c>
      <c r="D5920" t="s">
        <v>13061</v>
      </c>
      <c r="E5920" t="s">
        <v>18338</v>
      </c>
      <c r="F5920" t="s">
        <v>22436</v>
      </c>
      <c r="G5920" t="s">
        <v>22444</v>
      </c>
      <c r="H5920" t="s">
        <v>22454</v>
      </c>
      <c r="I5920" t="s">
        <v>7738</v>
      </c>
      <c r="J5920" t="s">
        <v>26455</v>
      </c>
      <c r="K5920" t="s">
        <v>29364</v>
      </c>
      <c r="M5920" t="s">
        <v>31629</v>
      </c>
      <c r="N5920" t="s">
        <v>32524</v>
      </c>
      <c r="O5920" t="s">
        <v>32525</v>
      </c>
      <c r="P5920">
        <v>0</v>
      </c>
      <c r="Q5920">
        <v>0</v>
      </c>
      <c r="R5920" t="s">
        <v>32532</v>
      </c>
      <c r="S5920" t="s">
        <v>32616</v>
      </c>
      <c r="T5920" t="s">
        <v>33234</v>
      </c>
      <c r="U5920" t="s">
        <v>38624</v>
      </c>
      <c r="W5920" t="s">
        <v>31629</v>
      </c>
      <c r="X5920" t="s">
        <v>32535</v>
      </c>
    </row>
    <row r="5921" spans="1:24">
      <c r="A5921">
        <f>HYPERLINK("https://www.philgeps.gov.ph/GEPSNONPILOT/Tender/SplashBidNoticeAbstractUI.aspx?menuIndex=3&amp;refID=7030033&amp;Result=3","7030033")</f>
        <v>0</v>
      </c>
      <c r="B5921" t="s">
        <v>91</v>
      </c>
      <c r="C5921" t="s">
        <v>8344</v>
      </c>
      <c r="D5921" t="s">
        <v>13027</v>
      </c>
      <c r="E5921" t="s">
        <v>18339</v>
      </c>
      <c r="F5921" t="s">
        <v>22436</v>
      </c>
      <c r="G5921" t="s">
        <v>22444</v>
      </c>
      <c r="H5921" t="s">
        <v>22452</v>
      </c>
      <c r="I5921" t="s">
        <v>3529</v>
      </c>
      <c r="J5921" t="s">
        <v>26456</v>
      </c>
      <c r="K5921" t="s">
        <v>29333</v>
      </c>
      <c r="M5921" t="s">
        <v>29663</v>
      </c>
      <c r="N5921" t="s">
        <v>32524</v>
      </c>
      <c r="O5921" t="s">
        <v>32525</v>
      </c>
      <c r="P5921">
        <v>0</v>
      </c>
      <c r="Q5921">
        <v>0</v>
      </c>
      <c r="R5921" t="s">
        <v>32532</v>
      </c>
      <c r="S5921" t="s">
        <v>32616</v>
      </c>
      <c r="T5921" t="s">
        <v>33323</v>
      </c>
      <c r="U5921" t="s">
        <v>38625</v>
      </c>
      <c r="W5921" t="s">
        <v>29663</v>
      </c>
      <c r="X5921" t="s">
        <v>32537</v>
      </c>
    </row>
    <row r="5922" spans="1:24">
      <c r="A5922">
        <f>HYPERLINK("https://www.philgeps.gov.ph/GEPSNONPILOT/Tender/SplashBidNoticeAbstractUI.aspx?menuIndex=3&amp;refID=7032474&amp;Result=3","7032474")</f>
        <v>0</v>
      </c>
      <c r="B5922" t="s">
        <v>1907</v>
      </c>
      <c r="C5922" t="s">
        <v>8345</v>
      </c>
      <c r="D5922" t="s">
        <v>13061</v>
      </c>
      <c r="E5922" t="s">
        <v>18340</v>
      </c>
      <c r="F5922" t="s">
        <v>22436</v>
      </c>
      <c r="G5922" t="s">
        <v>22444</v>
      </c>
      <c r="H5922" t="s">
        <v>22454</v>
      </c>
      <c r="I5922" t="s">
        <v>7738</v>
      </c>
      <c r="J5922" t="s">
        <v>26457</v>
      </c>
      <c r="K5922" t="s">
        <v>29333</v>
      </c>
      <c r="M5922" t="s">
        <v>31629</v>
      </c>
      <c r="N5922" t="s">
        <v>32524</v>
      </c>
      <c r="O5922" t="s">
        <v>32525</v>
      </c>
      <c r="P5922">
        <v>0</v>
      </c>
      <c r="Q5922">
        <v>0</v>
      </c>
      <c r="R5922" t="s">
        <v>32532</v>
      </c>
      <c r="S5922" t="s">
        <v>32616</v>
      </c>
      <c r="T5922" t="s">
        <v>33234</v>
      </c>
      <c r="U5922" t="s">
        <v>38626</v>
      </c>
      <c r="W5922" t="s">
        <v>31629</v>
      </c>
      <c r="X5922" t="s">
        <v>32535</v>
      </c>
    </row>
    <row r="5923" spans="1:24">
      <c r="A5923">
        <f>HYPERLINK("https://www.philgeps.gov.ph/GEPSNONPILOT/Tender/SplashBidNoticeAbstractUI.aspx?menuIndex=3&amp;refID=7032463&amp;Result=3","7032463")</f>
        <v>0</v>
      </c>
      <c r="B5923" t="s">
        <v>1907</v>
      </c>
      <c r="C5923" t="s">
        <v>8346</v>
      </c>
      <c r="D5923" t="s">
        <v>13061</v>
      </c>
      <c r="E5923" t="s">
        <v>18341</v>
      </c>
      <c r="F5923" t="s">
        <v>22436</v>
      </c>
      <c r="G5923" t="s">
        <v>22444</v>
      </c>
      <c r="H5923" t="s">
        <v>22454</v>
      </c>
      <c r="I5923" t="s">
        <v>7738</v>
      </c>
      <c r="J5923" t="s">
        <v>26458</v>
      </c>
      <c r="K5923" t="s">
        <v>29433</v>
      </c>
      <c r="M5923" t="s">
        <v>31629</v>
      </c>
      <c r="N5923" t="s">
        <v>32524</v>
      </c>
      <c r="O5923" t="s">
        <v>32525</v>
      </c>
      <c r="P5923">
        <v>0</v>
      </c>
      <c r="Q5923">
        <v>0</v>
      </c>
      <c r="R5923" t="s">
        <v>32532</v>
      </c>
      <c r="S5923" t="s">
        <v>32616</v>
      </c>
      <c r="T5923" t="s">
        <v>33234</v>
      </c>
      <c r="U5923" t="s">
        <v>38627</v>
      </c>
      <c r="W5923" t="s">
        <v>31629</v>
      </c>
      <c r="X5923" t="s">
        <v>32535</v>
      </c>
    </row>
    <row r="5924" spans="1:24">
      <c r="A5924">
        <f>HYPERLINK("https://www.philgeps.gov.ph/GEPSNONPILOT/Tender/SplashBidNoticeAbstractUI.aspx?menuIndex=3&amp;refID=7032478&amp;Result=3","7032478")</f>
        <v>0</v>
      </c>
      <c r="B5924" t="s">
        <v>1907</v>
      </c>
      <c r="C5924" t="s">
        <v>8347</v>
      </c>
      <c r="D5924" t="s">
        <v>13061</v>
      </c>
      <c r="E5924" t="s">
        <v>18342</v>
      </c>
      <c r="F5924" t="s">
        <v>22436</v>
      </c>
      <c r="G5924" t="s">
        <v>22444</v>
      </c>
      <c r="H5924" t="s">
        <v>22454</v>
      </c>
      <c r="I5924" t="s">
        <v>7738</v>
      </c>
      <c r="J5924" t="s">
        <v>26459</v>
      </c>
      <c r="K5924" t="s">
        <v>29484</v>
      </c>
      <c r="M5924" t="s">
        <v>31629</v>
      </c>
      <c r="N5924" t="s">
        <v>32524</v>
      </c>
      <c r="O5924" t="s">
        <v>32525</v>
      </c>
      <c r="P5924">
        <v>0</v>
      </c>
      <c r="Q5924">
        <v>0</v>
      </c>
      <c r="R5924" t="s">
        <v>32532</v>
      </c>
      <c r="S5924" t="s">
        <v>32616</v>
      </c>
      <c r="T5924" t="s">
        <v>33234</v>
      </c>
      <c r="U5924" t="s">
        <v>38628</v>
      </c>
      <c r="W5924" t="s">
        <v>31629</v>
      </c>
      <c r="X5924" t="s">
        <v>32535</v>
      </c>
    </row>
    <row r="5925" spans="1:24">
      <c r="A5925">
        <f>HYPERLINK("https://www.philgeps.gov.ph/GEPSNONPILOT/Tender/SplashBidNoticeAbstractUI.aspx?menuIndex=3&amp;refID=7032467&amp;Result=3","7032467")</f>
        <v>0</v>
      </c>
      <c r="B5925" t="s">
        <v>1907</v>
      </c>
      <c r="C5925" t="s">
        <v>8348</v>
      </c>
      <c r="D5925" t="s">
        <v>13061</v>
      </c>
      <c r="E5925" t="s">
        <v>18343</v>
      </c>
      <c r="F5925" t="s">
        <v>22436</v>
      </c>
      <c r="G5925" t="s">
        <v>22444</v>
      </c>
      <c r="H5925" t="s">
        <v>22454</v>
      </c>
      <c r="I5925" t="s">
        <v>7738</v>
      </c>
      <c r="J5925" t="s">
        <v>26460</v>
      </c>
      <c r="K5925" t="s">
        <v>29403</v>
      </c>
      <c r="M5925" t="s">
        <v>31629</v>
      </c>
      <c r="N5925" t="s">
        <v>32524</v>
      </c>
      <c r="O5925" t="s">
        <v>32525</v>
      </c>
      <c r="P5925">
        <v>0</v>
      </c>
      <c r="Q5925">
        <v>0</v>
      </c>
      <c r="R5925" t="s">
        <v>32532</v>
      </c>
      <c r="S5925" t="s">
        <v>32616</v>
      </c>
      <c r="T5925" t="s">
        <v>33234</v>
      </c>
      <c r="U5925" t="s">
        <v>38629</v>
      </c>
      <c r="W5925" t="s">
        <v>31629</v>
      </c>
      <c r="X5925" t="s">
        <v>32535</v>
      </c>
    </row>
    <row r="5926" spans="1:24">
      <c r="A5926">
        <f>HYPERLINK("https://www.philgeps.gov.ph/GEPSNONPILOT/Tender/SplashBidNoticeAbstractUI.aspx?menuIndex=3&amp;refID=7032451&amp;Result=3","7032451")</f>
        <v>0</v>
      </c>
      <c r="B5926" t="s">
        <v>1907</v>
      </c>
      <c r="C5926" t="s">
        <v>8349</v>
      </c>
      <c r="D5926" t="s">
        <v>13061</v>
      </c>
      <c r="E5926" t="s">
        <v>18344</v>
      </c>
      <c r="F5926" t="s">
        <v>22436</v>
      </c>
      <c r="G5926" t="s">
        <v>22444</v>
      </c>
      <c r="H5926" t="s">
        <v>22454</v>
      </c>
      <c r="I5926" t="s">
        <v>7738</v>
      </c>
      <c r="J5926" t="s">
        <v>26461</v>
      </c>
      <c r="K5926" t="s">
        <v>29401</v>
      </c>
      <c r="M5926" t="s">
        <v>31629</v>
      </c>
      <c r="N5926" t="s">
        <v>32524</v>
      </c>
      <c r="O5926" t="s">
        <v>32525</v>
      </c>
      <c r="P5926">
        <v>0</v>
      </c>
      <c r="Q5926">
        <v>0</v>
      </c>
      <c r="R5926" t="s">
        <v>32532</v>
      </c>
      <c r="S5926" t="s">
        <v>32616</v>
      </c>
      <c r="T5926" t="s">
        <v>33234</v>
      </c>
      <c r="U5926" t="s">
        <v>38630</v>
      </c>
      <c r="W5926" t="s">
        <v>31629</v>
      </c>
      <c r="X5926" t="s">
        <v>32535</v>
      </c>
    </row>
    <row r="5927" spans="1:24">
      <c r="A5927">
        <f>HYPERLINK("https://www.philgeps.gov.ph/GEPSNONPILOT/Tender/SplashBidNoticeAbstractUI.aspx?menuIndex=3&amp;refID=7032437&amp;Result=3","7032437")</f>
        <v>0</v>
      </c>
      <c r="B5927" t="s">
        <v>1907</v>
      </c>
      <c r="C5927" t="s">
        <v>8350</v>
      </c>
      <c r="D5927" t="s">
        <v>13061</v>
      </c>
      <c r="E5927" t="s">
        <v>18345</v>
      </c>
      <c r="F5927" t="s">
        <v>22436</v>
      </c>
      <c r="G5927" t="s">
        <v>22444</v>
      </c>
      <c r="H5927" t="s">
        <v>22454</v>
      </c>
      <c r="I5927" t="s">
        <v>7738</v>
      </c>
      <c r="J5927" t="s">
        <v>26462</v>
      </c>
      <c r="K5927" t="s">
        <v>29433</v>
      </c>
      <c r="M5927" t="s">
        <v>31629</v>
      </c>
      <c r="N5927" t="s">
        <v>32524</v>
      </c>
      <c r="O5927" t="s">
        <v>32525</v>
      </c>
      <c r="P5927">
        <v>0</v>
      </c>
      <c r="Q5927">
        <v>0</v>
      </c>
      <c r="R5927" t="s">
        <v>32532</v>
      </c>
      <c r="S5927" t="s">
        <v>32616</v>
      </c>
      <c r="T5927" t="s">
        <v>33234</v>
      </c>
      <c r="U5927" t="s">
        <v>38631</v>
      </c>
      <c r="W5927" t="s">
        <v>31629</v>
      </c>
      <c r="X5927" t="s">
        <v>32535</v>
      </c>
    </row>
    <row r="5928" spans="1:24">
      <c r="A5928">
        <f>HYPERLINK("https://www.philgeps.gov.ph/GEPSNONPILOT/Tender/SplashBidNoticeAbstractUI.aspx?menuIndex=3&amp;refID=7032446&amp;Result=3","7032446")</f>
        <v>0</v>
      </c>
      <c r="B5928" t="s">
        <v>1907</v>
      </c>
      <c r="C5928" t="s">
        <v>8351</v>
      </c>
      <c r="D5928" t="s">
        <v>13061</v>
      </c>
      <c r="E5928" t="s">
        <v>18346</v>
      </c>
      <c r="F5928" t="s">
        <v>22436</v>
      </c>
      <c r="G5928" t="s">
        <v>22444</v>
      </c>
      <c r="H5928" t="s">
        <v>22454</v>
      </c>
      <c r="I5928" t="s">
        <v>7738</v>
      </c>
      <c r="J5928" t="s">
        <v>26463</v>
      </c>
      <c r="K5928" t="s">
        <v>29391</v>
      </c>
      <c r="M5928" t="s">
        <v>31629</v>
      </c>
      <c r="N5928" t="s">
        <v>32524</v>
      </c>
      <c r="O5928" t="s">
        <v>32525</v>
      </c>
      <c r="P5928">
        <v>0</v>
      </c>
      <c r="Q5928">
        <v>0</v>
      </c>
      <c r="R5928" t="s">
        <v>32532</v>
      </c>
      <c r="S5928" t="s">
        <v>32616</v>
      </c>
      <c r="T5928" t="s">
        <v>33234</v>
      </c>
      <c r="U5928" t="s">
        <v>38632</v>
      </c>
      <c r="W5928" t="s">
        <v>31629</v>
      </c>
      <c r="X5928" t="s">
        <v>32535</v>
      </c>
    </row>
    <row r="5929" spans="1:24">
      <c r="A5929">
        <f>HYPERLINK("https://www.philgeps.gov.ph/GEPSNONPILOT/Tender/SplashBidNoticeAbstractUI.aspx?menuIndex=3&amp;refID=7032456&amp;Result=3","7032456")</f>
        <v>0</v>
      </c>
      <c r="B5929" t="s">
        <v>1907</v>
      </c>
      <c r="C5929" t="s">
        <v>8352</v>
      </c>
      <c r="D5929" t="s">
        <v>13061</v>
      </c>
      <c r="E5929" t="s">
        <v>18347</v>
      </c>
      <c r="F5929" t="s">
        <v>22436</v>
      </c>
      <c r="G5929" t="s">
        <v>22444</v>
      </c>
      <c r="H5929" t="s">
        <v>22454</v>
      </c>
      <c r="I5929" t="s">
        <v>7738</v>
      </c>
      <c r="J5929" t="s">
        <v>26464</v>
      </c>
      <c r="K5929" t="s">
        <v>29364</v>
      </c>
      <c r="M5929" t="s">
        <v>31629</v>
      </c>
      <c r="N5929" t="s">
        <v>32524</v>
      </c>
      <c r="O5929" t="s">
        <v>32525</v>
      </c>
      <c r="P5929">
        <v>0</v>
      </c>
      <c r="Q5929">
        <v>0</v>
      </c>
      <c r="R5929" t="s">
        <v>32532</v>
      </c>
      <c r="S5929" t="s">
        <v>32616</v>
      </c>
      <c r="T5929" t="s">
        <v>33234</v>
      </c>
      <c r="U5929" t="s">
        <v>38633</v>
      </c>
      <c r="W5929" t="s">
        <v>31629</v>
      </c>
      <c r="X5929" t="s">
        <v>32535</v>
      </c>
    </row>
    <row r="5930" spans="1:24">
      <c r="A5930">
        <f>HYPERLINK("https://www.philgeps.gov.ph/GEPSNONPILOT/Tender/SplashBidNoticeAbstractUI.aspx?menuIndex=3&amp;refID=7032427&amp;Result=3","7032427")</f>
        <v>0</v>
      </c>
      <c r="B5930" t="s">
        <v>1907</v>
      </c>
      <c r="C5930" t="s">
        <v>8353</v>
      </c>
      <c r="D5930" t="s">
        <v>13061</v>
      </c>
      <c r="E5930" t="s">
        <v>18348</v>
      </c>
      <c r="F5930" t="s">
        <v>22436</v>
      </c>
      <c r="G5930" t="s">
        <v>22444</v>
      </c>
      <c r="H5930" t="s">
        <v>22454</v>
      </c>
      <c r="I5930" t="s">
        <v>7738</v>
      </c>
      <c r="J5930" t="s">
        <v>26465</v>
      </c>
      <c r="K5930" t="s">
        <v>29442</v>
      </c>
      <c r="M5930" t="s">
        <v>31629</v>
      </c>
      <c r="N5930" t="s">
        <v>32524</v>
      </c>
      <c r="O5930" t="s">
        <v>32525</v>
      </c>
      <c r="P5930">
        <v>0</v>
      </c>
      <c r="Q5930">
        <v>1</v>
      </c>
      <c r="R5930" t="s">
        <v>32532</v>
      </c>
      <c r="S5930" t="s">
        <v>32616</v>
      </c>
      <c r="T5930" t="s">
        <v>33234</v>
      </c>
      <c r="U5930" t="s">
        <v>38634</v>
      </c>
      <c r="W5930" t="s">
        <v>31629</v>
      </c>
      <c r="X5930" t="s">
        <v>32535</v>
      </c>
    </row>
    <row r="5931" spans="1:24">
      <c r="A5931">
        <f>HYPERLINK("https://www.philgeps.gov.ph/GEPSNONPILOT/Tender/SplashBidNoticeAbstractUI.aspx?menuIndex=3&amp;refID=7031186&amp;Result=3","7031186")</f>
        <v>0</v>
      </c>
      <c r="B5931" t="s">
        <v>82</v>
      </c>
      <c r="C5931" t="s">
        <v>5457</v>
      </c>
      <c r="D5931" t="s">
        <v>13024</v>
      </c>
      <c r="E5931" t="s">
        <v>18349</v>
      </c>
      <c r="F5931" t="s">
        <v>22436</v>
      </c>
      <c r="G5931" t="s">
        <v>22444</v>
      </c>
      <c r="H5931" t="s">
        <v>22452</v>
      </c>
      <c r="I5931" t="s">
        <v>22463</v>
      </c>
      <c r="J5931" t="s">
        <v>26466</v>
      </c>
      <c r="K5931" t="s">
        <v>29336</v>
      </c>
      <c r="M5931" t="s">
        <v>29654</v>
      </c>
      <c r="N5931" t="s">
        <v>32524</v>
      </c>
      <c r="O5931" t="s">
        <v>32525</v>
      </c>
      <c r="P5931">
        <v>0</v>
      </c>
      <c r="Q5931">
        <v>1</v>
      </c>
      <c r="R5931" t="s">
        <v>32532</v>
      </c>
      <c r="S5931" t="s">
        <v>32616</v>
      </c>
      <c r="T5931" t="s">
        <v>33521</v>
      </c>
      <c r="U5931" t="s">
        <v>33741</v>
      </c>
      <c r="V5931" t="s">
        <v>43083</v>
      </c>
      <c r="W5931" t="s">
        <v>29654</v>
      </c>
      <c r="X5931" t="s">
        <v>32537</v>
      </c>
    </row>
    <row r="5932" spans="1:24">
      <c r="A5932">
        <f>HYPERLINK("https://www.philgeps.gov.ph/GEPSNONPILOT/Tender/SplashBidNoticeAbstractUI.aspx?menuIndex=3&amp;refID=7032430&amp;Result=3","7032430")</f>
        <v>0</v>
      </c>
      <c r="B5932" t="s">
        <v>1907</v>
      </c>
      <c r="C5932" t="s">
        <v>8354</v>
      </c>
      <c r="D5932" t="s">
        <v>13061</v>
      </c>
      <c r="E5932" t="s">
        <v>18350</v>
      </c>
      <c r="F5932" t="s">
        <v>22436</v>
      </c>
      <c r="G5932" t="s">
        <v>22444</v>
      </c>
      <c r="H5932" t="s">
        <v>22454</v>
      </c>
      <c r="I5932" t="s">
        <v>7738</v>
      </c>
      <c r="J5932" t="s">
        <v>26467</v>
      </c>
      <c r="K5932" t="s">
        <v>29444</v>
      </c>
      <c r="M5932" t="s">
        <v>31629</v>
      </c>
      <c r="N5932" t="s">
        <v>32524</v>
      </c>
      <c r="O5932" t="s">
        <v>32525</v>
      </c>
      <c r="P5932">
        <v>0</v>
      </c>
      <c r="Q5932">
        <v>1</v>
      </c>
      <c r="R5932" t="s">
        <v>32532</v>
      </c>
      <c r="S5932" t="s">
        <v>32616</v>
      </c>
      <c r="T5932" t="s">
        <v>33234</v>
      </c>
      <c r="U5932" t="s">
        <v>38635</v>
      </c>
      <c r="W5932" t="s">
        <v>31629</v>
      </c>
      <c r="X5932" t="s">
        <v>32535</v>
      </c>
    </row>
    <row r="5933" spans="1:24">
      <c r="A5933">
        <f>HYPERLINK("https://www.philgeps.gov.ph/GEPSNONPILOT/Tender/SplashBidNoticeAbstractUI.aspx?menuIndex=3&amp;refID=7032422&amp;Result=3","7032422")</f>
        <v>0</v>
      </c>
      <c r="B5933" t="s">
        <v>1907</v>
      </c>
      <c r="C5933" t="s">
        <v>8355</v>
      </c>
      <c r="D5933" t="s">
        <v>13061</v>
      </c>
      <c r="E5933" t="s">
        <v>18351</v>
      </c>
      <c r="F5933" t="s">
        <v>22436</v>
      </c>
      <c r="G5933" t="s">
        <v>22444</v>
      </c>
      <c r="H5933" t="s">
        <v>22454</v>
      </c>
      <c r="I5933" t="s">
        <v>7738</v>
      </c>
      <c r="J5933" t="s">
        <v>26468</v>
      </c>
      <c r="K5933" t="s">
        <v>29484</v>
      </c>
      <c r="M5933" t="s">
        <v>31629</v>
      </c>
      <c r="N5933" t="s">
        <v>32524</v>
      </c>
      <c r="O5933" t="s">
        <v>32525</v>
      </c>
      <c r="P5933">
        <v>0</v>
      </c>
      <c r="Q5933">
        <v>2</v>
      </c>
      <c r="R5933" t="s">
        <v>32532</v>
      </c>
      <c r="S5933" t="s">
        <v>32616</v>
      </c>
      <c r="T5933" t="s">
        <v>33234</v>
      </c>
      <c r="U5933" t="s">
        <v>38636</v>
      </c>
      <c r="W5933" t="s">
        <v>31629</v>
      </c>
      <c r="X5933" t="s">
        <v>32535</v>
      </c>
    </row>
    <row r="5934" spans="1:24">
      <c r="A5934">
        <f>HYPERLINK("https://www.philgeps.gov.ph/GEPSNONPILOT/Tender/SplashBidNoticeAbstractUI.aspx?menuIndex=3&amp;refID=7032426&amp;Result=3","7032426")</f>
        <v>0</v>
      </c>
      <c r="B5934" t="s">
        <v>1907</v>
      </c>
      <c r="C5934" t="s">
        <v>8356</v>
      </c>
      <c r="D5934" t="s">
        <v>13061</v>
      </c>
      <c r="E5934" t="s">
        <v>18352</v>
      </c>
      <c r="F5934" t="s">
        <v>22436</v>
      </c>
      <c r="G5934" t="s">
        <v>22444</v>
      </c>
      <c r="H5934" t="s">
        <v>22454</v>
      </c>
      <c r="I5934" t="s">
        <v>7738</v>
      </c>
      <c r="J5934" t="s">
        <v>26469</v>
      </c>
      <c r="K5934" t="s">
        <v>29333</v>
      </c>
      <c r="M5934" t="s">
        <v>31629</v>
      </c>
      <c r="N5934" t="s">
        <v>32524</v>
      </c>
      <c r="O5934" t="s">
        <v>32525</v>
      </c>
      <c r="P5934">
        <v>0</v>
      </c>
      <c r="Q5934">
        <v>0</v>
      </c>
      <c r="R5934" t="s">
        <v>32532</v>
      </c>
      <c r="S5934" t="s">
        <v>32616</v>
      </c>
      <c r="T5934" t="s">
        <v>33234</v>
      </c>
      <c r="U5934" t="s">
        <v>38637</v>
      </c>
      <c r="W5934" t="s">
        <v>31629</v>
      </c>
      <c r="X5934" t="s">
        <v>32535</v>
      </c>
    </row>
    <row r="5935" spans="1:24">
      <c r="A5935">
        <f>HYPERLINK("https://www.philgeps.gov.ph/GEPSNONPILOT/Tender/SplashBidNoticeAbstractUI.aspx?menuIndex=3&amp;refID=7032435&amp;Result=3","7032435")</f>
        <v>0</v>
      </c>
      <c r="B5935" t="s">
        <v>1907</v>
      </c>
      <c r="C5935" t="s">
        <v>8357</v>
      </c>
      <c r="D5935" t="s">
        <v>13061</v>
      </c>
      <c r="E5935" t="s">
        <v>18353</v>
      </c>
      <c r="F5935" t="s">
        <v>22436</v>
      </c>
      <c r="G5935" t="s">
        <v>22444</v>
      </c>
      <c r="H5935" t="s">
        <v>22454</v>
      </c>
      <c r="I5935" t="s">
        <v>7738</v>
      </c>
      <c r="J5935" t="s">
        <v>26470</v>
      </c>
      <c r="K5935" t="s">
        <v>29485</v>
      </c>
      <c r="M5935" t="s">
        <v>31629</v>
      </c>
      <c r="N5935" t="s">
        <v>32524</v>
      </c>
      <c r="O5935" t="s">
        <v>32525</v>
      </c>
      <c r="P5935">
        <v>0</v>
      </c>
      <c r="Q5935">
        <v>1</v>
      </c>
      <c r="R5935" t="s">
        <v>32532</v>
      </c>
      <c r="S5935" t="s">
        <v>32616</v>
      </c>
      <c r="T5935" t="s">
        <v>33234</v>
      </c>
      <c r="U5935" t="s">
        <v>38638</v>
      </c>
      <c r="W5935" t="s">
        <v>31629</v>
      </c>
      <c r="X5935" t="s">
        <v>32535</v>
      </c>
    </row>
    <row r="5936" spans="1:24">
      <c r="A5936">
        <f>HYPERLINK("https://www.philgeps.gov.ph/GEPSNONPILOT/Tender/SplashBidNoticeAbstractUI.aspx?menuIndex=3&amp;refID=7032493&amp;Result=3","7032493")</f>
        <v>0</v>
      </c>
      <c r="B5936" t="s">
        <v>1907</v>
      </c>
      <c r="C5936" t="s">
        <v>8358</v>
      </c>
      <c r="D5936" t="s">
        <v>13061</v>
      </c>
      <c r="E5936" t="s">
        <v>18354</v>
      </c>
      <c r="F5936" t="s">
        <v>22436</v>
      </c>
      <c r="G5936" t="s">
        <v>22444</v>
      </c>
      <c r="H5936" t="s">
        <v>22454</v>
      </c>
      <c r="I5936" t="s">
        <v>7738</v>
      </c>
      <c r="J5936" t="s">
        <v>26471</v>
      </c>
      <c r="K5936" t="s">
        <v>29433</v>
      </c>
      <c r="M5936" t="s">
        <v>31629</v>
      </c>
      <c r="N5936" t="s">
        <v>32524</v>
      </c>
      <c r="O5936" t="s">
        <v>32525</v>
      </c>
      <c r="P5936">
        <v>0</v>
      </c>
      <c r="Q5936">
        <v>0</v>
      </c>
      <c r="R5936" t="s">
        <v>32532</v>
      </c>
      <c r="S5936" t="s">
        <v>32616</v>
      </c>
      <c r="T5936" t="s">
        <v>33234</v>
      </c>
      <c r="U5936" t="s">
        <v>38639</v>
      </c>
      <c r="W5936" t="s">
        <v>31629</v>
      </c>
      <c r="X5936" t="s">
        <v>32535</v>
      </c>
    </row>
    <row r="5937" spans="1:24">
      <c r="A5937">
        <f>HYPERLINK("https://www.philgeps.gov.ph/GEPSNONPILOT/Tender/SplashBidNoticeAbstractUI.aspx?menuIndex=3&amp;refID=7032425&amp;Result=3","7032425")</f>
        <v>0</v>
      </c>
      <c r="B5937" t="s">
        <v>1907</v>
      </c>
      <c r="C5937" t="s">
        <v>8359</v>
      </c>
      <c r="D5937" t="s">
        <v>13061</v>
      </c>
      <c r="E5937" t="s">
        <v>18355</v>
      </c>
      <c r="F5937" t="s">
        <v>22436</v>
      </c>
      <c r="G5937" t="s">
        <v>22444</v>
      </c>
      <c r="H5937" t="s">
        <v>22454</v>
      </c>
      <c r="I5937" t="s">
        <v>7738</v>
      </c>
      <c r="J5937" t="s">
        <v>26472</v>
      </c>
      <c r="K5937" t="s">
        <v>29433</v>
      </c>
      <c r="M5937" t="s">
        <v>31629</v>
      </c>
      <c r="N5937" t="s">
        <v>32524</v>
      </c>
      <c r="O5937" t="s">
        <v>32525</v>
      </c>
      <c r="P5937">
        <v>0</v>
      </c>
      <c r="Q5937">
        <v>1</v>
      </c>
      <c r="R5937" t="s">
        <v>32532</v>
      </c>
      <c r="S5937" t="s">
        <v>32616</v>
      </c>
      <c r="T5937" t="s">
        <v>33234</v>
      </c>
      <c r="U5937" t="s">
        <v>38640</v>
      </c>
      <c r="W5937" t="s">
        <v>31629</v>
      </c>
      <c r="X5937" t="s">
        <v>32535</v>
      </c>
    </row>
    <row r="5938" spans="1:24">
      <c r="A5938">
        <f>HYPERLINK("https://www.philgeps.gov.ph/GEPSNONPILOT/Tender/SplashBidNoticeAbstractUI.aspx?menuIndex=3&amp;refID=7032432&amp;Result=3","7032432")</f>
        <v>0</v>
      </c>
      <c r="B5938" t="s">
        <v>1907</v>
      </c>
      <c r="C5938" t="s">
        <v>8360</v>
      </c>
      <c r="D5938" t="s">
        <v>13061</v>
      </c>
      <c r="E5938" t="s">
        <v>18356</v>
      </c>
      <c r="F5938" t="s">
        <v>22436</v>
      </c>
      <c r="G5938" t="s">
        <v>22444</v>
      </c>
      <c r="H5938" t="s">
        <v>22454</v>
      </c>
      <c r="I5938" t="s">
        <v>7738</v>
      </c>
      <c r="J5938" t="s">
        <v>26473</v>
      </c>
      <c r="K5938" t="s">
        <v>29402</v>
      </c>
      <c r="M5938" t="s">
        <v>31629</v>
      </c>
      <c r="N5938" t="s">
        <v>32524</v>
      </c>
      <c r="O5938" t="s">
        <v>32525</v>
      </c>
      <c r="P5938">
        <v>0</v>
      </c>
      <c r="Q5938">
        <v>1</v>
      </c>
      <c r="R5938" t="s">
        <v>32532</v>
      </c>
      <c r="S5938" t="s">
        <v>32616</v>
      </c>
      <c r="T5938" t="s">
        <v>33234</v>
      </c>
      <c r="U5938" t="s">
        <v>38641</v>
      </c>
      <c r="W5938" t="s">
        <v>31629</v>
      </c>
      <c r="X5938" t="s">
        <v>32535</v>
      </c>
    </row>
    <row r="5939" spans="1:24">
      <c r="A5939">
        <f>HYPERLINK("https://www.philgeps.gov.ph/GEPSNONPILOT/Tender/SplashBidNoticeAbstractUI.aspx?menuIndex=3&amp;refID=7032501&amp;Result=3","7032501")</f>
        <v>0</v>
      </c>
      <c r="B5939" t="s">
        <v>1907</v>
      </c>
      <c r="C5939" t="s">
        <v>8361</v>
      </c>
      <c r="D5939" t="s">
        <v>13061</v>
      </c>
      <c r="E5939" t="s">
        <v>18357</v>
      </c>
      <c r="F5939" t="s">
        <v>22436</v>
      </c>
      <c r="G5939" t="s">
        <v>22444</v>
      </c>
      <c r="H5939" t="s">
        <v>22454</v>
      </c>
      <c r="I5939" t="s">
        <v>7738</v>
      </c>
      <c r="J5939" t="s">
        <v>26474</v>
      </c>
      <c r="K5939" t="s">
        <v>29333</v>
      </c>
      <c r="M5939" t="s">
        <v>31629</v>
      </c>
      <c r="N5939" t="s">
        <v>32524</v>
      </c>
      <c r="O5939" t="s">
        <v>32525</v>
      </c>
      <c r="P5939">
        <v>0</v>
      </c>
      <c r="Q5939">
        <v>1</v>
      </c>
      <c r="R5939" t="s">
        <v>32532</v>
      </c>
      <c r="S5939" t="s">
        <v>32616</v>
      </c>
      <c r="T5939" t="s">
        <v>33234</v>
      </c>
      <c r="U5939" t="s">
        <v>38642</v>
      </c>
      <c r="W5939" t="s">
        <v>31629</v>
      </c>
      <c r="X5939" t="s">
        <v>32535</v>
      </c>
    </row>
    <row r="5940" spans="1:24">
      <c r="A5940">
        <f>HYPERLINK("https://www.philgeps.gov.ph/GEPSNONPILOT/Tender/SplashBidNoticeAbstractUI.aspx?menuIndex=3&amp;refID=7032498&amp;Result=3","7032498")</f>
        <v>0</v>
      </c>
      <c r="B5940" t="s">
        <v>1907</v>
      </c>
      <c r="C5940" t="s">
        <v>8362</v>
      </c>
      <c r="D5940" t="s">
        <v>13061</v>
      </c>
      <c r="E5940" t="s">
        <v>18358</v>
      </c>
      <c r="F5940" t="s">
        <v>22436</v>
      </c>
      <c r="G5940" t="s">
        <v>22444</v>
      </c>
      <c r="H5940" t="s">
        <v>22454</v>
      </c>
      <c r="I5940" t="s">
        <v>7738</v>
      </c>
      <c r="J5940" t="s">
        <v>26475</v>
      </c>
      <c r="K5940" t="s">
        <v>29346</v>
      </c>
      <c r="M5940" t="s">
        <v>31629</v>
      </c>
      <c r="N5940" t="s">
        <v>32524</v>
      </c>
      <c r="O5940" t="s">
        <v>32525</v>
      </c>
      <c r="P5940">
        <v>0</v>
      </c>
      <c r="Q5940">
        <v>0</v>
      </c>
      <c r="R5940" t="s">
        <v>32532</v>
      </c>
      <c r="S5940" t="s">
        <v>32616</v>
      </c>
      <c r="T5940" t="s">
        <v>33234</v>
      </c>
      <c r="U5940" t="s">
        <v>38643</v>
      </c>
      <c r="W5940" t="s">
        <v>31629</v>
      </c>
      <c r="X5940" t="s">
        <v>32535</v>
      </c>
    </row>
    <row r="5941" spans="1:24">
      <c r="A5941">
        <f>HYPERLINK("https://www.philgeps.gov.ph/GEPSNONPILOT/Tender/SplashBidNoticeAbstractUI.aspx?menuIndex=3&amp;refID=7032536&amp;Result=3","7032536")</f>
        <v>0</v>
      </c>
      <c r="B5941" t="s">
        <v>718</v>
      </c>
      <c r="C5941" t="s">
        <v>8363</v>
      </c>
      <c r="D5941" t="s">
        <v>12988</v>
      </c>
      <c r="E5941" t="s">
        <v>18359</v>
      </c>
      <c r="F5941" t="s">
        <v>22436</v>
      </c>
      <c r="G5941" t="s">
        <v>22444</v>
      </c>
      <c r="H5941" t="s">
        <v>22452</v>
      </c>
      <c r="I5941" t="s">
        <v>22469</v>
      </c>
      <c r="J5941" t="s">
        <v>22634</v>
      </c>
      <c r="K5941" t="s">
        <v>29335</v>
      </c>
      <c r="M5941" t="s">
        <v>31630</v>
      </c>
      <c r="N5941" t="s">
        <v>32524</v>
      </c>
      <c r="O5941" t="s">
        <v>32525</v>
      </c>
      <c r="P5941">
        <v>0</v>
      </c>
      <c r="Q5941">
        <v>10</v>
      </c>
      <c r="R5941" t="s">
        <v>32532</v>
      </c>
      <c r="S5941" t="s">
        <v>32616</v>
      </c>
      <c r="T5941" t="s">
        <v>33301</v>
      </c>
      <c r="U5941" t="s">
        <v>38644</v>
      </c>
      <c r="V5941" t="s">
        <v>43084</v>
      </c>
      <c r="W5941" t="s">
        <v>31630</v>
      </c>
      <c r="X5941" t="s">
        <v>32535</v>
      </c>
    </row>
    <row r="5942" spans="1:24">
      <c r="A5942">
        <f>HYPERLINK("https://www.philgeps.gov.ph/GEPSNONPILOT/Tender/SplashBidNoticeAbstractUI.aspx?menuIndex=3&amp;refID=7032494&amp;Result=3","7032494")</f>
        <v>0</v>
      </c>
      <c r="B5942" t="s">
        <v>1907</v>
      </c>
      <c r="C5942" t="s">
        <v>8364</v>
      </c>
      <c r="D5942" t="s">
        <v>13061</v>
      </c>
      <c r="E5942" t="s">
        <v>18360</v>
      </c>
      <c r="F5942" t="s">
        <v>22436</v>
      </c>
      <c r="G5942" t="s">
        <v>22444</v>
      </c>
      <c r="H5942" t="s">
        <v>22454</v>
      </c>
      <c r="I5942" t="s">
        <v>7738</v>
      </c>
      <c r="J5942" t="s">
        <v>26476</v>
      </c>
      <c r="K5942" t="s">
        <v>29436</v>
      </c>
      <c r="M5942" t="s">
        <v>31629</v>
      </c>
      <c r="N5942" t="s">
        <v>32524</v>
      </c>
      <c r="O5942" t="s">
        <v>32525</v>
      </c>
      <c r="P5942">
        <v>0</v>
      </c>
      <c r="Q5942">
        <v>1</v>
      </c>
      <c r="R5942" t="s">
        <v>32532</v>
      </c>
      <c r="S5942" t="s">
        <v>32616</v>
      </c>
      <c r="T5942" t="s">
        <v>33234</v>
      </c>
      <c r="U5942" t="s">
        <v>38645</v>
      </c>
      <c r="W5942" t="s">
        <v>31629</v>
      </c>
      <c r="X5942" t="s">
        <v>32535</v>
      </c>
    </row>
    <row r="5943" spans="1:24">
      <c r="A5943">
        <f>HYPERLINK("https://www.philgeps.gov.ph/GEPSNONPILOT/Tender/SplashBidNoticeAbstractUI.aspx?menuIndex=3&amp;refID=7032491&amp;Result=3","7032491")</f>
        <v>0</v>
      </c>
      <c r="B5943" t="s">
        <v>1907</v>
      </c>
      <c r="C5943" t="s">
        <v>8365</v>
      </c>
      <c r="D5943" t="s">
        <v>13061</v>
      </c>
      <c r="E5943" t="s">
        <v>18361</v>
      </c>
      <c r="F5943" t="s">
        <v>22436</v>
      </c>
      <c r="G5943" t="s">
        <v>22444</v>
      </c>
      <c r="H5943" t="s">
        <v>22454</v>
      </c>
      <c r="I5943" t="s">
        <v>7738</v>
      </c>
      <c r="J5943" t="s">
        <v>26477</v>
      </c>
      <c r="K5943" t="s">
        <v>29457</v>
      </c>
      <c r="M5943" t="s">
        <v>31629</v>
      </c>
      <c r="N5943" t="s">
        <v>32524</v>
      </c>
      <c r="O5943" t="s">
        <v>32525</v>
      </c>
      <c r="P5943">
        <v>0</v>
      </c>
      <c r="Q5943">
        <v>0</v>
      </c>
      <c r="R5943" t="s">
        <v>32532</v>
      </c>
      <c r="S5943" t="s">
        <v>32616</v>
      </c>
      <c r="T5943" t="s">
        <v>33234</v>
      </c>
      <c r="U5943" t="s">
        <v>38646</v>
      </c>
      <c r="W5943" t="s">
        <v>31629</v>
      </c>
      <c r="X5943" t="s">
        <v>32535</v>
      </c>
    </row>
    <row r="5944" spans="1:24">
      <c r="A5944">
        <f>HYPERLINK("https://www.philgeps.gov.ph/GEPSNONPILOT/Tender/SplashBidNoticeAbstractUI.aspx?menuIndex=3&amp;refID=7032523&amp;Result=3","7032523")</f>
        <v>0</v>
      </c>
      <c r="B5944" t="s">
        <v>718</v>
      </c>
      <c r="C5944" t="s">
        <v>8366</v>
      </c>
      <c r="D5944" t="s">
        <v>12988</v>
      </c>
      <c r="E5944" t="s">
        <v>18362</v>
      </c>
      <c r="F5944" t="s">
        <v>22436</v>
      </c>
      <c r="G5944" t="s">
        <v>22444</v>
      </c>
      <c r="H5944" t="s">
        <v>22452</v>
      </c>
      <c r="I5944" t="s">
        <v>22469</v>
      </c>
      <c r="J5944" t="s">
        <v>22960</v>
      </c>
      <c r="K5944" t="s">
        <v>29353</v>
      </c>
      <c r="M5944" t="s">
        <v>31630</v>
      </c>
      <c r="N5944" t="s">
        <v>32524</v>
      </c>
      <c r="O5944" t="s">
        <v>32525</v>
      </c>
      <c r="P5944">
        <v>0</v>
      </c>
      <c r="Q5944">
        <v>14</v>
      </c>
      <c r="R5944" t="s">
        <v>32532</v>
      </c>
      <c r="S5944" t="s">
        <v>32616</v>
      </c>
      <c r="T5944" t="s">
        <v>33301</v>
      </c>
      <c r="U5944" t="s">
        <v>38647</v>
      </c>
      <c r="V5944" t="s">
        <v>43085</v>
      </c>
      <c r="W5944" t="s">
        <v>31630</v>
      </c>
      <c r="X5944" t="s">
        <v>32535</v>
      </c>
    </row>
    <row r="5945" spans="1:24">
      <c r="A5945">
        <f>HYPERLINK("https://www.philgeps.gov.ph/GEPSNONPILOT/Tender/SplashBidNoticeAbstractUI.aspx?menuIndex=3&amp;refID=7033212&amp;Result=3","7033212")</f>
        <v>0</v>
      </c>
      <c r="B5945" t="s">
        <v>1908</v>
      </c>
      <c r="C5945" t="s">
        <v>8367</v>
      </c>
      <c r="D5945" t="s">
        <v>13015</v>
      </c>
      <c r="E5945" t="s">
        <v>13368</v>
      </c>
      <c r="F5945" t="s">
        <v>22436</v>
      </c>
      <c r="G5945" t="s">
        <v>22444</v>
      </c>
      <c r="H5945" t="s">
        <v>22452</v>
      </c>
      <c r="I5945" t="s">
        <v>22467</v>
      </c>
      <c r="J5945" t="s">
        <v>22657</v>
      </c>
      <c r="K5945" t="s">
        <v>29338</v>
      </c>
      <c r="M5945" t="s">
        <v>31631</v>
      </c>
      <c r="N5945" t="s">
        <v>32524</v>
      </c>
      <c r="O5945" t="s">
        <v>32525</v>
      </c>
      <c r="P5945">
        <v>0</v>
      </c>
      <c r="Q5945">
        <v>0</v>
      </c>
      <c r="R5945" t="s">
        <v>32532</v>
      </c>
      <c r="S5945" t="s">
        <v>32616</v>
      </c>
      <c r="T5945" t="s">
        <v>33296</v>
      </c>
      <c r="U5945" t="s">
        <v>38648</v>
      </c>
      <c r="W5945" t="s">
        <v>31631</v>
      </c>
      <c r="X5945" t="s">
        <v>32534</v>
      </c>
    </row>
    <row r="5946" spans="1:24">
      <c r="A5946">
        <f>HYPERLINK("https://www.philgeps.gov.ph/GEPSNONPILOT/Tender/SplashBidNoticeAbstractUI.aspx?menuIndex=3&amp;refID=7032975&amp;Result=3","7032975")</f>
        <v>0</v>
      </c>
      <c r="B5946" t="s">
        <v>1192</v>
      </c>
      <c r="C5946" t="s">
        <v>8368</v>
      </c>
      <c r="D5946" t="s">
        <v>13007</v>
      </c>
      <c r="E5946" t="s">
        <v>18363</v>
      </c>
      <c r="F5946" t="s">
        <v>22436</v>
      </c>
      <c r="G5946" t="s">
        <v>22443</v>
      </c>
      <c r="H5946" t="s">
        <v>22452</v>
      </c>
      <c r="I5946" t="s">
        <v>22475</v>
      </c>
      <c r="J5946" t="s">
        <v>22692</v>
      </c>
      <c r="K5946" t="s">
        <v>29337</v>
      </c>
      <c r="M5946" t="s">
        <v>30839</v>
      </c>
      <c r="N5946" t="s">
        <v>32524</v>
      </c>
      <c r="O5946" t="s">
        <v>32525</v>
      </c>
      <c r="P5946">
        <v>0</v>
      </c>
      <c r="Q5946">
        <v>1</v>
      </c>
      <c r="R5946" t="s">
        <v>32532</v>
      </c>
      <c r="S5946" t="s">
        <v>32616</v>
      </c>
      <c r="T5946" t="s">
        <v>33416</v>
      </c>
      <c r="U5946" t="s">
        <v>36477</v>
      </c>
      <c r="W5946" t="s">
        <v>43709</v>
      </c>
      <c r="X5946" t="s">
        <v>32534</v>
      </c>
    </row>
    <row r="5947" spans="1:24">
      <c r="A5947">
        <f>HYPERLINK("https://www.philgeps.gov.ph/GEPSNONPILOT/Tender/SplashBidNoticeAbstractUI.aspx?menuIndex=3&amp;refID=7033257&amp;Result=3","7033257")</f>
        <v>0</v>
      </c>
      <c r="B5947" t="s">
        <v>466</v>
      </c>
      <c r="C5947" t="s">
        <v>8369</v>
      </c>
      <c r="D5947" t="s">
        <v>13045</v>
      </c>
      <c r="E5947" t="s">
        <v>18364</v>
      </c>
      <c r="F5947" t="s">
        <v>22436</v>
      </c>
      <c r="G5947" t="s">
        <v>22444</v>
      </c>
      <c r="H5947" t="s">
        <v>22452</v>
      </c>
      <c r="I5947" t="s">
        <v>11896</v>
      </c>
      <c r="J5947" t="s">
        <v>26478</v>
      </c>
      <c r="K5947" t="s">
        <v>29338</v>
      </c>
      <c r="M5947" t="s">
        <v>30321</v>
      </c>
      <c r="N5947" t="s">
        <v>32524</v>
      </c>
      <c r="O5947" t="s">
        <v>32525</v>
      </c>
      <c r="P5947">
        <v>0</v>
      </c>
      <c r="Q5947">
        <v>7</v>
      </c>
      <c r="R5947" t="s">
        <v>32532</v>
      </c>
      <c r="S5947" t="s">
        <v>32616</v>
      </c>
      <c r="T5947" t="s">
        <v>33242</v>
      </c>
      <c r="U5947" t="s">
        <v>38649</v>
      </c>
      <c r="V5947" t="s">
        <v>43086</v>
      </c>
      <c r="W5947" t="s">
        <v>30321</v>
      </c>
      <c r="X5947" t="s">
        <v>32534</v>
      </c>
    </row>
    <row r="5948" spans="1:24">
      <c r="A5948">
        <f>HYPERLINK("https://www.philgeps.gov.ph/GEPSNONPILOT/Tender/SplashBidNoticeAbstractUI.aspx?menuIndex=3&amp;refID=7033021&amp;Result=3","7033021")</f>
        <v>0</v>
      </c>
      <c r="B5948" t="s">
        <v>270</v>
      </c>
      <c r="C5948" t="s">
        <v>8370</v>
      </c>
      <c r="D5948" t="s">
        <v>13038</v>
      </c>
      <c r="E5948" t="s">
        <v>18365</v>
      </c>
      <c r="F5948" t="s">
        <v>22436</v>
      </c>
      <c r="G5948" t="s">
        <v>22444</v>
      </c>
      <c r="H5948" t="s">
        <v>22452</v>
      </c>
      <c r="I5948" t="s">
        <v>3529</v>
      </c>
      <c r="J5948" t="s">
        <v>26479</v>
      </c>
      <c r="K5948" t="s">
        <v>29338</v>
      </c>
      <c r="M5948" t="s">
        <v>29844</v>
      </c>
      <c r="N5948" t="s">
        <v>32524</v>
      </c>
      <c r="O5948" t="s">
        <v>32525</v>
      </c>
      <c r="P5948">
        <v>0</v>
      </c>
      <c r="Q5948">
        <v>0</v>
      </c>
      <c r="R5948" t="s">
        <v>32532</v>
      </c>
      <c r="S5948" t="s">
        <v>32616</v>
      </c>
      <c r="T5948" t="s">
        <v>33213</v>
      </c>
      <c r="U5948" t="s">
        <v>38650</v>
      </c>
      <c r="W5948" t="s">
        <v>43736</v>
      </c>
      <c r="X5948" t="s">
        <v>32534</v>
      </c>
    </row>
    <row r="5949" spans="1:24">
      <c r="A5949">
        <f>HYPERLINK("https://www.philgeps.gov.ph/GEPSNONPILOT/Tender/SplashBidNoticeAbstractUI.aspx?menuIndex=3&amp;refID=7032924&amp;Result=3","7032924")</f>
        <v>0</v>
      </c>
      <c r="B5949" t="s">
        <v>969</v>
      </c>
      <c r="C5949" t="s">
        <v>8371</v>
      </c>
      <c r="D5949" t="s">
        <v>13022</v>
      </c>
      <c r="E5949" t="s">
        <v>18366</v>
      </c>
      <c r="F5949" t="s">
        <v>22436</v>
      </c>
      <c r="G5949" t="s">
        <v>22444</v>
      </c>
      <c r="H5949" t="s">
        <v>22452</v>
      </c>
      <c r="I5949" t="s">
        <v>6387</v>
      </c>
      <c r="J5949" t="s">
        <v>23185</v>
      </c>
      <c r="K5949" t="s">
        <v>29337</v>
      </c>
      <c r="M5949" t="s">
        <v>30588</v>
      </c>
      <c r="N5949" t="s">
        <v>32524</v>
      </c>
      <c r="O5949" t="s">
        <v>32525</v>
      </c>
      <c r="P5949">
        <v>0</v>
      </c>
      <c r="Q5949">
        <v>1</v>
      </c>
      <c r="R5949" t="s">
        <v>32532</v>
      </c>
      <c r="S5949" t="s">
        <v>32616</v>
      </c>
      <c r="T5949" t="s">
        <v>33234</v>
      </c>
      <c r="U5949" t="s">
        <v>38651</v>
      </c>
      <c r="W5949" t="s">
        <v>30588</v>
      </c>
      <c r="X5949" t="s">
        <v>32534</v>
      </c>
    </row>
    <row r="5950" spans="1:24">
      <c r="A5950">
        <f>HYPERLINK("https://www.philgeps.gov.ph/GEPSNONPILOT/Tender/SplashBidNoticeAbstractUI.aspx?menuIndex=3&amp;refID=7032826&amp;Result=3","7032826")</f>
        <v>0</v>
      </c>
      <c r="B5950" t="s">
        <v>790</v>
      </c>
      <c r="C5950" t="s">
        <v>8372</v>
      </c>
      <c r="D5950" t="s">
        <v>13018</v>
      </c>
      <c r="E5950" t="s">
        <v>18367</v>
      </c>
      <c r="F5950" t="s">
        <v>22436</v>
      </c>
      <c r="G5950" t="s">
        <v>22446</v>
      </c>
      <c r="H5950" t="s">
        <v>22452</v>
      </c>
      <c r="I5950" t="s">
        <v>22460</v>
      </c>
      <c r="J5950" t="s">
        <v>26480</v>
      </c>
      <c r="K5950" t="s">
        <v>29338</v>
      </c>
      <c r="M5950" t="s">
        <v>30391</v>
      </c>
      <c r="N5950" t="s">
        <v>32524</v>
      </c>
      <c r="O5950" t="s">
        <v>32525</v>
      </c>
      <c r="Q5950">
        <v>0</v>
      </c>
      <c r="R5950" t="s">
        <v>32532</v>
      </c>
      <c r="S5950" t="s">
        <v>32618</v>
      </c>
      <c r="T5950" t="s">
        <v>33220</v>
      </c>
      <c r="U5950" t="s">
        <v>35314</v>
      </c>
      <c r="W5950" t="s">
        <v>30391</v>
      </c>
      <c r="X5950" t="s">
        <v>32534</v>
      </c>
    </row>
    <row r="5951" spans="1:24">
      <c r="A5951">
        <f>HYPERLINK("https://www.philgeps.gov.ph/GEPSNONPILOT/Tender/SplashBidNoticeAbstractUI.aspx?menuIndex=3&amp;refID=7033151&amp;Result=3","7033151")</f>
        <v>0</v>
      </c>
      <c r="B5951" t="s">
        <v>466</v>
      </c>
      <c r="C5951" t="s">
        <v>8373</v>
      </c>
      <c r="D5951" t="s">
        <v>13045</v>
      </c>
      <c r="E5951" t="s">
        <v>18368</v>
      </c>
      <c r="F5951" t="s">
        <v>22436</v>
      </c>
      <c r="G5951" t="s">
        <v>22444</v>
      </c>
      <c r="H5951" t="s">
        <v>22452</v>
      </c>
      <c r="I5951" t="s">
        <v>22497</v>
      </c>
      <c r="J5951" t="s">
        <v>26481</v>
      </c>
      <c r="K5951" t="s">
        <v>29338</v>
      </c>
      <c r="M5951" t="s">
        <v>30321</v>
      </c>
      <c r="N5951" t="s">
        <v>32524</v>
      </c>
      <c r="O5951" t="s">
        <v>32525</v>
      </c>
      <c r="P5951">
        <v>0</v>
      </c>
      <c r="Q5951">
        <v>3</v>
      </c>
      <c r="R5951" t="s">
        <v>32532</v>
      </c>
      <c r="S5951" t="s">
        <v>32616</v>
      </c>
      <c r="T5951" t="s">
        <v>33310</v>
      </c>
      <c r="U5951" t="s">
        <v>38652</v>
      </c>
      <c r="V5951" t="s">
        <v>43086</v>
      </c>
      <c r="W5951" t="s">
        <v>30321</v>
      </c>
      <c r="X5951" t="s">
        <v>32534</v>
      </c>
    </row>
    <row r="5952" spans="1:24">
      <c r="A5952">
        <f>HYPERLINK("https://www.philgeps.gov.ph/GEPSNONPILOT/Tender/SplashBidNoticeAbstractUI.aspx?menuIndex=3&amp;refID=7032800&amp;Result=3","7032800")</f>
        <v>0</v>
      </c>
      <c r="B5952" t="s">
        <v>46</v>
      </c>
      <c r="C5952" t="s">
        <v>8374</v>
      </c>
      <c r="D5952" t="s">
        <v>13006</v>
      </c>
      <c r="E5952" t="s">
        <v>18369</v>
      </c>
      <c r="F5952" t="s">
        <v>22436</v>
      </c>
      <c r="G5952" t="s">
        <v>22444</v>
      </c>
      <c r="H5952" t="s">
        <v>22452</v>
      </c>
      <c r="I5952" t="s">
        <v>22466</v>
      </c>
      <c r="J5952" t="s">
        <v>23941</v>
      </c>
      <c r="K5952" t="s">
        <v>29330</v>
      </c>
      <c r="M5952" t="s">
        <v>30583</v>
      </c>
      <c r="N5952" t="s">
        <v>32524</v>
      </c>
      <c r="O5952" t="s">
        <v>32525</v>
      </c>
      <c r="P5952">
        <v>0</v>
      </c>
      <c r="Q5952">
        <v>2</v>
      </c>
      <c r="R5952" t="s">
        <v>32532</v>
      </c>
      <c r="S5952" t="s">
        <v>32616</v>
      </c>
      <c r="T5952" t="s">
        <v>33161</v>
      </c>
      <c r="U5952" t="s">
        <v>38653</v>
      </c>
      <c r="V5952" t="s">
        <v>43078</v>
      </c>
      <c r="W5952" t="s">
        <v>30583</v>
      </c>
      <c r="X5952" t="s">
        <v>32534</v>
      </c>
    </row>
    <row r="5953" spans="1:24">
      <c r="A5953">
        <f>HYPERLINK("https://www.philgeps.gov.ph/GEPSNONPILOT/Tender/SplashBidNoticeAbstractUI.aspx?menuIndex=3&amp;refID=7032811&amp;Result=3","7032811")</f>
        <v>0</v>
      </c>
      <c r="B5953" t="s">
        <v>1909</v>
      </c>
      <c r="C5953" t="s">
        <v>8375</v>
      </c>
      <c r="E5953" t="s">
        <v>18370</v>
      </c>
      <c r="F5953" t="s">
        <v>22436</v>
      </c>
      <c r="G5953" t="s">
        <v>22444</v>
      </c>
      <c r="H5953" t="s">
        <v>22454</v>
      </c>
      <c r="I5953" t="s">
        <v>7738</v>
      </c>
      <c r="J5953" t="s">
        <v>26482</v>
      </c>
      <c r="K5953" t="s">
        <v>29338</v>
      </c>
      <c r="M5953" t="s">
        <v>31632</v>
      </c>
      <c r="N5953" t="s">
        <v>32524</v>
      </c>
      <c r="O5953" t="s">
        <v>32525</v>
      </c>
      <c r="P5953">
        <v>0</v>
      </c>
      <c r="Q5953">
        <v>1</v>
      </c>
      <c r="R5953" t="s">
        <v>32532</v>
      </c>
      <c r="S5953" t="s">
        <v>32616</v>
      </c>
      <c r="T5953" t="s">
        <v>33185</v>
      </c>
      <c r="U5953" t="s">
        <v>38654</v>
      </c>
      <c r="W5953" t="s">
        <v>31632</v>
      </c>
      <c r="X5953" t="s">
        <v>32534</v>
      </c>
    </row>
    <row r="5954" spans="1:24">
      <c r="A5954">
        <f>HYPERLINK("https://www.philgeps.gov.ph/GEPSNONPILOT/Tender/SplashBidNoticeAbstractUI.aspx?menuIndex=3&amp;refID=7033039&amp;Result=3","7033039")</f>
        <v>0</v>
      </c>
      <c r="B5954" t="s">
        <v>270</v>
      </c>
      <c r="C5954" t="s">
        <v>8376</v>
      </c>
      <c r="D5954" t="s">
        <v>13038</v>
      </c>
      <c r="E5954" t="s">
        <v>18371</v>
      </c>
      <c r="F5954" t="s">
        <v>22436</v>
      </c>
      <c r="G5954" t="s">
        <v>22444</v>
      </c>
      <c r="H5954" t="s">
        <v>22452</v>
      </c>
      <c r="I5954" t="s">
        <v>3529</v>
      </c>
      <c r="J5954" t="s">
        <v>26483</v>
      </c>
      <c r="K5954" t="s">
        <v>29338</v>
      </c>
      <c r="M5954" t="s">
        <v>29844</v>
      </c>
      <c r="N5954" t="s">
        <v>32524</v>
      </c>
      <c r="O5954" t="s">
        <v>32525</v>
      </c>
      <c r="P5954">
        <v>0</v>
      </c>
      <c r="Q5954">
        <v>0</v>
      </c>
      <c r="R5954" t="s">
        <v>32532</v>
      </c>
      <c r="S5954" t="s">
        <v>32616</v>
      </c>
      <c r="T5954" t="s">
        <v>33213</v>
      </c>
      <c r="U5954" t="s">
        <v>38655</v>
      </c>
      <c r="W5954" t="s">
        <v>43736</v>
      </c>
      <c r="X5954" t="s">
        <v>32534</v>
      </c>
    </row>
    <row r="5955" spans="1:24">
      <c r="A5955">
        <f>HYPERLINK("https://www.philgeps.gov.ph/GEPSNONPILOT/Tender/SplashBidNoticeAbstractUI.aspx?menuIndex=3&amp;refID=7032575&amp;Result=3","7032575")</f>
        <v>0</v>
      </c>
      <c r="B5955" t="s">
        <v>1910</v>
      </c>
      <c r="C5955" t="s">
        <v>8377</v>
      </c>
      <c r="D5955" t="s">
        <v>13006</v>
      </c>
      <c r="E5955" t="s">
        <v>18372</v>
      </c>
      <c r="F5955" t="s">
        <v>22436</v>
      </c>
      <c r="G5955" t="s">
        <v>22444</v>
      </c>
      <c r="H5955" t="s">
        <v>22452</v>
      </c>
      <c r="I5955" t="s">
        <v>22474</v>
      </c>
      <c r="J5955" t="s">
        <v>22669</v>
      </c>
      <c r="K5955" t="s">
        <v>29334</v>
      </c>
      <c r="M5955" t="s">
        <v>31633</v>
      </c>
      <c r="N5955" t="s">
        <v>32524</v>
      </c>
      <c r="O5955" t="s">
        <v>32525</v>
      </c>
      <c r="P5955">
        <v>0</v>
      </c>
      <c r="Q5955">
        <v>6</v>
      </c>
      <c r="R5955" t="s">
        <v>32532</v>
      </c>
      <c r="S5955" t="s">
        <v>32616</v>
      </c>
      <c r="T5955" t="s">
        <v>33522</v>
      </c>
      <c r="U5955" t="s">
        <v>38656</v>
      </c>
      <c r="W5955" t="s">
        <v>31633</v>
      </c>
      <c r="X5955" t="s">
        <v>32535</v>
      </c>
    </row>
    <row r="5956" spans="1:24">
      <c r="A5956">
        <f>HYPERLINK("https://www.philgeps.gov.ph/GEPSNONPILOT/Tender/SplashBidNoticeAbstractUI.aspx?menuIndex=3&amp;refID=7033180&amp;Result=3","7033180")</f>
        <v>0</v>
      </c>
      <c r="B5956" t="s">
        <v>466</v>
      </c>
      <c r="C5956" t="s">
        <v>8378</v>
      </c>
      <c r="D5956" t="s">
        <v>13045</v>
      </c>
      <c r="E5956" t="s">
        <v>18373</v>
      </c>
      <c r="F5956" t="s">
        <v>22436</v>
      </c>
      <c r="G5956" t="s">
        <v>22444</v>
      </c>
      <c r="H5956" t="s">
        <v>22452</v>
      </c>
      <c r="I5956" t="s">
        <v>22476</v>
      </c>
      <c r="J5956" t="s">
        <v>26484</v>
      </c>
      <c r="K5956" t="s">
        <v>29338</v>
      </c>
      <c r="M5956" t="s">
        <v>30321</v>
      </c>
      <c r="N5956" t="s">
        <v>32524</v>
      </c>
      <c r="O5956" t="s">
        <v>32525</v>
      </c>
      <c r="P5956">
        <v>0</v>
      </c>
      <c r="Q5956">
        <v>8</v>
      </c>
      <c r="R5956" t="s">
        <v>32532</v>
      </c>
      <c r="S5956" t="s">
        <v>32616</v>
      </c>
      <c r="T5956" t="s">
        <v>33242</v>
      </c>
      <c r="U5956" t="s">
        <v>38657</v>
      </c>
      <c r="V5956" t="s">
        <v>43086</v>
      </c>
      <c r="W5956" t="s">
        <v>30321</v>
      </c>
      <c r="X5956" t="s">
        <v>32534</v>
      </c>
    </row>
    <row r="5957" spans="1:24">
      <c r="A5957">
        <f>HYPERLINK("https://www.philgeps.gov.ph/GEPSNONPILOT/Tender/SplashBidNoticeAbstractUI.aspx?menuIndex=3&amp;refID=7033645&amp;Result=3","7033645")</f>
        <v>0</v>
      </c>
      <c r="B5957" t="s">
        <v>456</v>
      </c>
      <c r="C5957" t="s">
        <v>8379</v>
      </c>
      <c r="D5957" t="s">
        <v>13045</v>
      </c>
      <c r="E5957" t="s">
        <v>18374</v>
      </c>
      <c r="F5957" t="s">
        <v>22436</v>
      </c>
      <c r="G5957" t="s">
        <v>22443</v>
      </c>
      <c r="H5957" t="s">
        <v>22455</v>
      </c>
      <c r="I5957" t="s">
        <v>22455</v>
      </c>
      <c r="J5957" t="s">
        <v>26485</v>
      </c>
      <c r="K5957" t="s">
        <v>29347</v>
      </c>
      <c r="M5957" t="s">
        <v>30038</v>
      </c>
      <c r="N5957" t="s">
        <v>32524</v>
      </c>
      <c r="O5957" t="s">
        <v>32525</v>
      </c>
      <c r="P5957">
        <v>0</v>
      </c>
      <c r="Q5957">
        <v>3</v>
      </c>
      <c r="R5957" t="s">
        <v>32532</v>
      </c>
      <c r="S5957" t="s">
        <v>32616</v>
      </c>
      <c r="T5957" t="s">
        <v>33523</v>
      </c>
      <c r="U5957" t="s">
        <v>38658</v>
      </c>
      <c r="V5957" t="s">
        <v>43087</v>
      </c>
      <c r="W5957" t="s">
        <v>30038</v>
      </c>
      <c r="X5957" t="s">
        <v>32534</v>
      </c>
    </row>
    <row r="5958" spans="1:24">
      <c r="A5958">
        <f>HYPERLINK("https://www.philgeps.gov.ph/GEPSNONPILOT/Tender/SplashBidNoticeAbstractUI.aspx?menuIndex=3&amp;refID=7033154&amp;Result=3","7033154")</f>
        <v>0</v>
      </c>
      <c r="B5958" t="s">
        <v>1903</v>
      </c>
      <c r="C5958" t="s">
        <v>8380</v>
      </c>
      <c r="D5958" t="s">
        <v>13010</v>
      </c>
      <c r="E5958" t="s">
        <v>18375</v>
      </c>
      <c r="F5958" t="s">
        <v>22436</v>
      </c>
      <c r="G5958" t="s">
        <v>22443</v>
      </c>
      <c r="H5958" t="s">
        <v>22452</v>
      </c>
      <c r="I5958" t="s">
        <v>22535</v>
      </c>
      <c r="J5958" t="s">
        <v>26486</v>
      </c>
      <c r="K5958" t="s">
        <v>29331</v>
      </c>
      <c r="M5958" t="s">
        <v>31625</v>
      </c>
      <c r="N5958" t="s">
        <v>32524</v>
      </c>
      <c r="O5958" t="s">
        <v>32525</v>
      </c>
      <c r="P5958">
        <v>0</v>
      </c>
      <c r="Q5958">
        <v>0</v>
      </c>
      <c r="R5958" t="s">
        <v>32532</v>
      </c>
      <c r="S5958" t="s">
        <v>32616</v>
      </c>
      <c r="T5958" t="s">
        <v>33406</v>
      </c>
      <c r="U5958" t="s">
        <v>38594</v>
      </c>
      <c r="V5958" t="s">
        <v>43076</v>
      </c>
      <c r="W5958" t="s">
        <v>31625</v>
      </c>
      <c r="X5958" t="s">
        <v>32534</v>
      </c>
    </row>
    <row r="5959" spans="1:24">
      <c r="A5959">
        <f>HYPERLINK("https://www.philgeps.gov.ph/GEPSNONPILOT/Tender/SplashBidNoticeAbstractUI.aspx?menuIndex=3&amp;refID=7034007&amp;Result=3","7034007")</f>
        <v>0</v>
      </c>
      <c r="B5959" t="s">
        <v>48</v>
      </c>
      <c r="C5959" t="s">
        <v>8381</v>
      </c>
      <c r="D5959" t="s">
        <v>13007</v>
      </c>
      <c r="E5959" t="s">
        <v>18376</v>
      </c>
      <c r="F5959" t="s">
        <v>22436</v>
      </c>
      <c r="G5959" t="s">
        <v>22444</v>
      </c>
      <c r="H5959" t="s">
        <v>22452</v>
      </c>
      <c r="I5959" t="s">
        <v>6421</v>
      </c>
      <c r="J5959" t="s">
        <v>23694</v>
      </c>
      <c r="K5959" t="s">
        <v>29335</v>
      </c>
      <c r="M5959" t="s">
        <v>31634</v>
      </c>
      <c r="N5959" t="s">
        <v>32524</v>
      </c>
      <c r="O5959" t="s">
        <v>32525</v>
      </c>
      <c r="P5959">
        <v>0</v>
      </c>
      <c r="Q5959">
        <v>8</v>
      </c>
      <c r="R5959" t="s">
        <v>32532</v>
      </c>
      <c r="S5959" t="s">
        <v>32616</v>
      </c>
      <c r="T5959" t="s">
        <v>33323</v>
      </c>
      <c r="U5959" t="s">
        <v>38659</v>
      </c>
      <c r="W5959" t="s">
        <v>31634</v>
      </c>
      <c r="X5959" t="s">
        <v>32534</v>
      </c>
    </row>
    <row r="5960" spans="1:24">
      <c r="A5960">
        <f>HYPERLINK("https://www.philgeps.gov.ph/GEPSNONPILOT/Tender/SplashBidNoticeAbstractUI.aspx?menuIndex=3&amp;refID=7034069&amp;Result=3","7034069")</f>
        <v>0</v>
      </c>
      <c r="B5960" t="s">
        <v>1911</v>
      </c>
      <c r="C5960" t="s">
        <v>8382</v>
      </c>
      <c r="D5960" t="s">
        <v>13002</v>
      </c>
      <c r="E5960" t="s">
        <v>18377</v>
      </c>
      <c r="F5960" t="s">
        <v>22436</v>
      </c>
      <c r="G5960" t="s">
        <v>22444</v>
      </c>
      <c r="H5960" t="s">
        <v>22452</v>
      </c>
      <c r="I5960" t="s">
        <v>22471</v>
      </c>
      <c r="J5960" t="s">
        <v>26487</v>
      </c>
      <c r="K5960" t="s">
        <v>29331</v>
      </c>
      <c r="M5960" t="s">
        <v>31635</v>
      </c>
      <c r="N5960" t="s">
        <v>32524</v>
      </c>
      <c r="O5960" t="s">
        <v>32525</v>
      </c>
      <c r="P5960">
        <v>0</v>
      </c>
      <c r="Q5960">
        <v>1</v>
      </c>
      <c r="R5960" t="s">
        <v>32532</v>
      </c>
      <c r="S5960" t="s">
        <v>32616</v>
      </c>
      <c r="T5960" t="s">
        <v>33213</v>
      </c>
      <c r="U5960" t="s">
        <v>38660</v>
      </c>
      <c r="V5960" t="s">
        <v>43088</v>
      </c>
      <c r="W5960" t="s">
        <v>31635</v>
      </c>
      <c r="X5960" t="s">
        <v>32534</v>
      </c>
    </row>
    <row r="5961" spans="1:24">
      <c r="A5961">
        <f>HYPERLINK("https://www.philgeps.gov.ph/GEPSNONPILOT/Tender/SplashBidNoticeAbstractUI.aspx?menuIndex=3&amp;refID=7033294&amp;Result=3","7033294")</f>
        <v>0</v>
      </c>
      <c r="B5961" t="s">
        <v>32</v>
      </c>
      <c r="C5961" t="s">
        <v>8383</v>
      </c>
      <c r="E5961" t="s">
        <v>18378</v>
      </c>
      <c r="F5961" t="s">
        <v>22436</v>
      </c>
      <c r="G5961" t="s">
        <v>22446</v>
      </c>
      <c r="H5961" t="s">
        <v>22452</v>
      </c>
      <c r="I5961" t="s">
        <v>22460</v>
      </c>
      <c r="J5961" t="s">
        <v>26488</v>
      </c>
      <c r="K5961" t="s">
        <v>29336</v>
      </c>
      <c r="M5961" t="s">
        <v>29602</v>
      </c>
      <c r="N5961" t="s">
        <v>32524</v>
      </c>
      <c r="O5961" t="s">
        <v>32525</v>
      </c>
      <c r="P5961">
        <v>0</v>
      </c>
      <c r="Q5961">
        <v>1</v>
      </c>
      <c r="R5961" t="s">
        <v>32532</v>
      </c>
      <c r="S5961" t="s">
        <v>32616</v>
      </c>
      <c r="T5961" t="s">
        <v>33323</v>
      </c>
      <c r="U5961" t="s">
        <v>34464</v>
      </c>
      <c r="W5961" t="s">
        <v>29602</v>
      </c>
      <c r="X5961" t="s">
        <v>32534</v>
      </c>
    </row>
    <row r="5962" spans="1:24">
      <c r="A5962">
        <f>HYPERLINK("https://www.philgeps.gov.ph/GEPSNONPILOT/Tender/SplashBidNoticeAbstractUI.aspx?menuIndex=3&amp;refID=7033765&amp;Result=3","7033765")</f>
        <v>0</v>
      </c>
      <c r="B5962" t="s">
        <v>1912</v>
      </c>
      <c r="C5962" t="s">
        <v>8384</v>
      </c>
      <c r="D5962" t="s">
        <v>12990</v>
      </c>
      <c r="E5962" t="s">
        <v>13368</v>
      </c>
      <c r="F5962" t="s">
        <v>22436</v>
      </c>
      <c r="G5962" t="s">
        <v>22444</v>
      </c>
      <c r="H5962" t="s">
        <v>22452</v>
      </c>
      <c r="I5962" t="s">
        <v>6421</v>
      </c>
      <c r="J5962" t="s">
        <v>23235</v>
      </c>
      <c r="K5962" t="s">
        <v>29341</v>
      </c>
      <c r="M5962" t="s">
        <v>31636</v>
      </c>
      <c r="N5962" t="s">
        <v>32524</v>
      </c>
      <c r="O5962" t="s">
        <v>32525</v>
      </c>
      <c r="P5962">
        <v>0</v>
      </c>
      <c r="Q5962">
        <v>1</v>
      </c>
      <c r="R5962" t="s">
        <v>32532</v>
      </c>
      <c r="S5962" t="s">
        <v>32616</v>
      </c>
      <c r="T5962" t="s">
        <v>33323</v>
      </c>
      <c r="U5962" t="s">
        <v>38661</v>
      </c>
      <c r="W5962" t="s">
        <v>31636</v>
      </c>
      <c r="X5962" t="s">
        <v>32534</v>
      </c>
    </row>
    <row r="5963" spans="1:24">
      <c r="A5963">
        <f>HYPERLINK("https://www.philgeps.gov.ph/GEPSNONPILOT/Tender/SplashBidNoticeAbstractUI.aspx?menuIndex=3&amp;refID=7034003&amp;Result=3","7034003")</f>
        <v>0</v>
      </c>
      <c r="B5963" t="s">
        <v>1913</v>
      </c>
      <c r="C5963" t="s">
        <v>8385</v>
      </c>
      <c r="D5963" t="s">
        <v>13032</v>
      </c>
      <c r="E5963" t="s">
        <v>18379</v>
      </c>
      <c r="F5963" t="s">
        <v>22436</v>
      </c>
      <c r="G5963" t="s">
        <v>22444</v>
      </c>
      <c r="H5963" t="s">
        <v>22454</v>
      </c>
      <c r="I5963" t="s">
        <v>7738</v>
      </c>
      <c r="J5963" t="s">
        <v>26489</v>
      </c>
      <c r="K5963" t="s">
        <v>29445</v>
      </c>
      <c r="M5963" t="s">
        <v>31637</v>
      </c>
      <c r="N5963" t="s">
        <v>32524</v>
      </c>
      <c r="O5963" t="s">
        <v>32525</v>
      </c>
      <c r="P5963">
        <v>0</v>
      </c>
      <c r="Q5963">
        <v>0</v>
      </c>
      <c r="R5963" t="s">
        <v>32532</v>
      </c>
      <c r="S5963" t="s">
        <v>32616</v>
      </c>
      <c r="T5963" t="s">
        <v>33249</v>
      </c>
      <c r="U5963" t="s">
        <v>38662</v>
      </c>
      <c r="V5963" t="s">
        <v>43089</v>
      </c>
      <c r="W5963" t="s">
        <v>31637</v>
      </c>
      <c r="X5963" t="s">
        <v>32534</v>
      </c>
    </row>
    <row r="5964" spans="1:24">
      <c r="A5964">
        <f>HYPERLINK("https://www.philgeps.gov.ph/GEPSNONPILOT/Tender/SplashBidNoticeAbstractUI.aspx?menuIndex=3&amp;refID=7033989&amp;Result=3","7033989")</f>
        <v>0</v>
      </c>
      <c r="B5964" t="s">
        <v>1806</v>
      </c>
      <c r="C5964" t="s">
        <v>8386</v>
      </c>
      <c r="D5964" t="s">
        <v>13007</v>
      </c>
      <c r="E5964" t="s">
        <v>18380</v>
      </c>
      <c r="F5964" t="s">
        <v>22436</v>
      </c>
      <c r="G5964" t="s">
        <v>22444</v>
      </c>
      <c r="H5964" t="s">
        <v>22452</v>
      </c>
      <c r="I5964" t="s">
        <v>3529</v>
      </c>
      <c r="J5964" t="s">
        <v>26490</v>
      </c>
      <c r="K5964" t="s">
        <v>29341</v>
      </c>
      <c r="M5964" t="s">
        <v>31519</v>
      </c>
      <c r="N5964" t="s">
        <v>32524</v>
      </c>
      <c r="O5964" t="s">
        <v>32525</v>
      </c>
      <c r="P5964">
        <v>0</v>
      </c>
      <c r="Q5964">
        <v>4</v>
      </c>
      <c r="R5964" t="s">
        <v>32532</v>
      </c>
      <c r="S5964" t="s">
        <v>32616</v>
      </c>
      <c r="T5964" t="s">
        <v>33234</v>
      </c>
      <c r="U5964" t="s">
        <v>38663</v>
      </c>
      <c r="W5964" t="s">
        <v>31519</v>
      </c>
      <c r="X5964" t="s">
        <v>32534</v>
      </c>
    </row>
    <row r="5965" spans="1:24">
      <c r="A5965">
        <f>HYPERLINK("https://www.philgeps.gov.ph/GEPSNONPILOT/Tender/SplashBidNoticeAbstractUI.aspx?menuIndex=3&amp;refID=7033700&amp;Result=3","7033700")</f>
        <v>0</v>
      </c>
      <c r="B5965" t="s">
        <v>456</v>
      </c>
      <c r="C5965" t="s">
        <v>8387</v>
      </c>
      <c r="D5965" t="s">
        <v>13045</v>
      </c>
      <c r="E5965" t="s">
        <v>18381</v>
      </c>
      <c r="F5965" t="s">
        <v>22436</v>
      </c>
      <c r="G5965" t="s">
        <v>22443</v>
      </c>
      <c r="H5965" t="s">
        <v>22455</v>
      </c>
      <c r="I5965" t="s">
        <v>22455</v>
      </c>
      <c r="J5965" t="s">
        <v>26485</v>
      </c>
      <c r="K5965" t="s">
        <v>29347</v>
      </c>
      <c r="M5965" t="s">
        <v>30038</v>
      </c>
      <c r="N5965" t="s">
        <v>32524</v>
      </c>
      <c r="O5965" t="s">
        <v>32525</v>
      </c>
      <c r="P5965">
        <v>0</v>
      </c>
      <c r="Q5965">
        <v>3</v>
      </c>
      <c r="R5965" t="s">
        <v>32532</v>
      </c>
      <c r="S5965" t="s">
        <v>32616</v>
      </c>
      <c r="T5965" t="s">
        <v>33523</v>
      </c>
      <c r="U5965" t="s">
        <v>38664</v>
      </c>
      <c r="V5965" t="s">
        <v>43087</v>
      </c>
      <c r="W5965" t="s">
        <v>30038</v>
      </c>
      <c r="X5965" t="s">
        <v>32534</v>
      </c>
    </row>
    <row r="5966" spans="1:24">
      <c r="A5966">
        <f>HYPERLINK("https://www.philgeps.gov.ph/GEPSNONPILOT/Tender/SplashBidNoticeAbstractUI.aspx?menuIndex=3&amp;refID=7033583&amp;Result=3","7033583")</f>
        <v>0</v>
      </c>
      <c r="B5966" t="s">
        <v>1913</v>
      </c>
      <c r="C5966" t="s">
        <v>8388</v>
      </c>
      <c r="D5966" t="s">
        <v>13032</v>
      </c>
      <c r="E5966" t="s">
        <v>18382</v>
      </c>
      <c r="F5966" t="s">
        <v>22436</v>
      </c>
      <c r="G5966" t="s">
        <v>22444</v>
      </c>
      <c r="H5966" t="s">
        <v>22452</v>
      </c>
      <c r="I5966" t="s">
        <v>22502</v>
      </c>
      <c r="J5966" t="s">
        <v>26491</v>
      </c>
      <c r="K5966" t="s">
        <v>29335</v>
      </c>
      <c r="M5966" t="s">
        <v>31637</v>
      </c>
      <c r="N5966" t="s">
        <v>32524</v>
      </c>
      <c r="O5966" t="s">
        <v>32525</v>
      </c>
      <c r="P5966">
        <v>0</v>
      </c>
      <c r="Q5966">
        <v>5</v>
      </c>
      <c r="R5966" t="s">
        <v>32532</v>
      </c>
      <c r="S5966" t="s">
        <v>32616</v>
      </c>
      <c r="T5966" t="s">
        <v>33249</v>
      </c>
      <c r="U5966" t="s">
        <v>38665</v>
      </c>
      <c r="V5966" t="s">
        <v>43090</v>
      </c>
      <c r="W5966" t="s">
        <v>31637</v>
      </c>
      <c r="X5966" t="s">
        <v>32534</v>
      </c>
    </row>
    <row r="5967" spans="1:24">
      <c r="A5967">
        <f>HYPERLINK("https://www.philgeps.gov.ph/GEPSNONPILOT/Tender/SplashBidNoticeAbstractUI.aspx?menuIndex=3&amp;refID=7033912&amp;Result=3","7033912")</f>
        <v>0</v>
      </c>
      <c r="B5967" t="s">
        <v>1913</v>
      </c>
      <c r="C5967" t="s">
        <v>8389</v>
      </c>
      <c r="D5967" t="s">
        <v>13032</v>
      </c>
      <c r="E5967" t="s">
        <v>18383</v>
      </c>
      <c r="F5967" t="s">
        <v>22436</v>
      </c>
      <c r="G5967" t="s">
        <v>22444</v>
      </c>
      <c r="H5967" t="s">
        <v>22454</v>
      </c>
      <c r="I5967" t="s">
        <v>7738</v>
      </c>
      <c r="J5967" t="s">
        <v>26492</v>
      </c>
      <c r="K5967" t="s">
        <v>29409</v>
      </c>
      <c r="M5967" t="s">
        <v>31637</v>
      </c>
      <c r="N5967" t="s">
        <v>32524</v>
      </c>
      <c r="O5967" t="s">
        <v>32525</v>
      </c>
      <c r="P5967">
        <v>0</v>
      </c>
      <c r="Q5967">
        <v>0</v>
      </c>
      <c r="R5967" t="s">
        <v>32532</v>
      </c>
      <c r="S5967" t="s">
        <v>32616</v>
      </c>
      <c r="T5967" t="s">
        <v>33249</v>
      </c>
      <c r="U5967" t="s">
        <v>38666</v>
      </c>
      <c r="V5967" t="s">
        <v>43091</v>
      </c>
      <c r="W5967" t="s">
        <v>31637</v>
      </c>
      <c r="X5967" t="s">
        <v>32534</v>
      </c>
    </row>
    <row r="5968" spans="1:24">
      <c r="A5968">
        <f>HYPERLINK("https://www.philgeps.gov.ph/GEPSNONPILOT/Tender/SplashBidNoticeAbstractUI.aspx?menuIndex=3&amp;refID=7034061&amp;Result=3","7034061")</f>
        <v>0</v>
      </c>
      <c r="B5968" t="s">
        <v>46</v>
      </c>
      <c r="C5968" t="s">
        <v>8390</v>
      </c>
      <c r="D5968" t="s">
        <v>13006</v>
      </c>
      <c r="E5968" t="s">
        <v>18384</v>
      </c>
      <c r="F5968" t="s">
        <v>22436</v>
      </c>
      <c r="G5968" t="s">
        <v>22444</v>
      </c>
      <c r="H5968" t="s">
        <v>22452</v>
      </c>
      <c r="I5968" t="s">
        <v>6421</v>
      </c>
      <c r="J5968" t="s">
        <v>26493</v>
      </c>
      <c r="K5968" t="s">
        <v>29330</v>
      </c>
      <c r="M5968" t="s">
        <v>30566</v>
      </c>
      <c r="N5968" t="s">
        <v>32524</v>
      </c>
      <c r="O5968" t="s">
        <v>32525</v>
      </c>
      <c r="P5968">
        <v>0</v>
      </c>
      <c r="Q5968">
        <v>1</v>
      </c>
      <c r="R5968" t="s">
        <v>32532</v>
      </c>
      <c r="S5968" t="s">
        <v>32616</v>
      </c>
      <c r="T5968" t="s">
        <v>33238</v>
      </c>
      <c r="U5968" t="s">
        <v>38667</v>
      </c>
      <c r="V5968" t="s">
        <v>42461</v>
      </c>
      <c r="W5968" t="s">
        <v>30566</v>
      </c>
      <c r="X5968" t="s">
        <v>32534</v>
      </c>
    </row>
    <row r="5969" spans="1:24">
      <c r="A5969">
        <f>HYPERLINK("https://www.philgeps.gov.ph/GEPSNONPILOT/Tender/SplashBidNoticeAbstractUI.aspx?menuIndex=3&amp;refID=7033668&amp;Result=3","7033668")</f>
        <v>0</v>
      </c>
      <c r="B5969" t="s">
        <v>456</v>
      </c>
      <c r="C5969" t="s">
        <v>8391</v>
      </c>
      <c r="D5969" t="s">
        <v>13045</v>
      </c>
      <c r="E5969" t="s">
        <v>18385</v>
      </c>
      <c r="F5969" t="s">
        <v>22436</v>
      </c>
      <c r="G5969" t="s">
        <v>22443</v>
      </c>
      <c r="H5969" t="s">
        <v>22455</v>
      </c>
      <c r="I5969" t="s">
        <v>22455</v>
      </c>
      <c r="J5969" t="s">
        <v>26485</v>
      </c>
      <c r="K5969" t="s">
        <v>29347</v>
      </c>
      <c r="M5969" t="s">
        <v>30038</v>
      </c>
      <c r="N5969" t="s">
        <v>32524</v>
      </c>
      <c r="O5969" t="s">
        <v>32525</v>
      </c>
      <c r="P5969">
        <v>0</v>
      </c>
      <c r="Q5969">
        <v>2</v>
      </c>
      <c r="R5969" t="s">
        <v>32532</v>
      </c>
      <c r="S5969" t="s">
        <v>32616</v>
      </c>
      <c r="T5969" t="s">
        <v>33523</v>
      </c>
      <c r="U5969" t="s">
        <v>38658</v>
      </c>
      <c r="V5969" t="s">
        <v>43087</v>
      </c>
      <c r="W5969" t="s">
        <v>30038</v>
      </c>
      <c r="X5969" t="s">
        <v>32534</v>
      </c>
    </row>
    <row r="5970" spans="1:24">
      <c r="A5970">
        <f>HYPERLINK("https://www.philgeps.gov.ph/GEPSNONPILOT/Tender/SplashBidNoticeAbstractUI.aspx?menuIndex=3&amp;refID=7033687&amp;Result=3","7033687")</f>
        <v>0</v>
      </c>
      <c r="B5970" t="s">
        <v>456</v>
      </c>
      <c r="C5970" t="s">
        <v>8392</v>
      </c>
      <c r="D5970" t="s">
        <v>13045</v>
      </c>
      <c r="E5970" t="s">
        <v>18386</v>
      </c>
      <c r="F5970" t="s">
        <v>22436</v>
      </c>
      <c r="G5970" t="s">
        <v>22443</v>
      </c>
      <c r="H5970" t="s">
        <v>22455</v>
      </c>
      <c r="I5970" t="s">
        <v>22455</v>
      </c>
      <c r="J5970" t="s">
        <v>26485</v>
      </c>
      <c r="K5970" t="s">
        <v>29347</v>
      </c>
      <c r="M5970" t="s">
        <v>30038</v>
      </c>
      <c r="N5970" t="s">
        <v>32524</v>
      </c>
      <c r="O5970" t="s">
        <v>32525</v>
      </c>
      <c r="P5970">
        <v>0</v>
      </c>
      <c r="Q5970">
        <v>3</v>
      </c>
      <c r="R5970" t="s">
        <v>32532</v>
      </c>
      <c r="S5970" t="s">
        <v>32616</v>
      </c>
      <c r="T5970" t="s">
        <v>33523</v>
      </c>
      <c r="U5970" t="s">
        <v>38668</v>
      </c>
      <c r="V5970" t="s">
        <v>43087</v>
      </c>
      <c r="W5970" t="s">
        <v>30038</v>
      </c>
      <c r="X5970" t="s">
        <v>32534</v>
      </c>
    </row>
    <row r="5971" spans="1:24">
      <c r="A5971">
        <f>HYPERLINK("https://www.philgeps.gov.ph/GEPSNONPILOT/Tender/SplashBidNoticeAbstractUI.aspx?menuIndex=3&amp;refID=7034006&amp;Result=3","7034006")</f>
        <v>0</v>
      </c>
      <c r="B5971" t="s">
        <v>456</v>
      </c>
      <c r="C5971" t="s">
        <v>8393</v>
      </c>
      <c r="E5971" t="s">
        <v>18387</v>
      </c>
      <c r="F5971" t="s">
        <v>22436</v>
      </c>
      <c r="G5971" t="s">
        <v>22443</v>
      </c>
      <c r="H5971" t="s">
        <v>22455</v>
      </c>
      <c r="I5971" t="s">
        <v>22455</v>
      </c>
      <c r="J5971" t="s">
        <v>26494</v>
      </c>
      <c r="K5971" t="s">
        <v>29329</v>
      </c>
      <c r="M5971" t="s">
        <v>30038</v>
      </c>
      <c r="N5971" t="s">
        <v>32524</v>
      </c>
      <c r="O5971" t="s">
        <v>32525</v>
      </c>
      <c r="P5971">
        <v>0</v>
      </c>
      <c r="Q5971">
        <v>3</v>
      </c>
      <c r="R5971" t="s">
        <v>32532</v>
      </c>
      <c r="S5971" t="s">
        <v>32616</v>
      </c>
      <c r="T5971" t="s">
        <v>33523</v>
      </c>
      <c r="U5971" t="s">
        <v>38669</v>
      </c>
      <c r="V5971" t="s">
        <v>43087</v>
      </c>
      <c r="W5971" t="s">
        <v>30038</v>
      </c>
      <c r="X5971" t="s">
        <v>32534</v>
      </c>
    </row>
    <row r="5972" spans="1:24">
      <c r="A5972">
        <f>HYPERLINK("https://www.philgeps.gov.ph/GEPSNONPILOT/Tender/SplashBidNoticeAbstractUI.aspx?menuIndex=3&amp;refID=7034100&amp;Result=3","7034100")</f>
        <v>0</v>
      </c>
      <c r="B5972" t="s">
        <v>48</v>
      </c>
      <c r="C5972" t="s">
        <v>8394</v>
      </c>
      <c r="D5972" t="s">
        <v>13007</v>
      </c>
      <c r="E5972" t="s">
        <v>18388</v>
      </c>
      <c r="F5972" t="s">
        <v>22436</v>
      </c>
      <c r="G5972" t="s">
        <v>22444</v>
      </c>
      <c r="H5972" t="s">
        <v>22452</v>
      </c>
      <c r="I5972" t="s">
        <v>5194</v>
      </c>
      <c r="J5972" t="s">
        <v>26495</v>
      </c>
      <c r="K5972" t="s">
        <v>29335</v>
      </c>
      <c r="M5972" t="s">
        <v>31634</v>
      </c>
      <c r="N5972" t="s">
        <v>32524</v>
      </c>
      <c r="O5972" t="s">
        <v>32525</v>
      </c>
      <c r="P5972">
        <v>0</v>
      </c>
      <c r="Q5972">
        <v>4</v>
      </c>
      <c r="R5972" t="s">
        <v>32532</v>
      </c>
      <c r="S5972" t="s">
        <v>32616</v>
      </c>
      <c r="T5972" t="s">
        <v>33323</v>
      </c>
      <c r="U5972" t="s">
        <v>38670</v>
      </c>
      <c r="W5972" t="s">
        <v>31634</v>
      </c>
      <c r="X5972" t="s">
        <v>32534</v>
      </c>
    </row>
    <row r="5973" spans="1:24">
      <c r="A5973">
        <f>HYPERLINK("https://www.philgeps.gov.ph/GEPSNONPILOT/Tender/SplashBidNoticeAbstractUI.aspx?menuIndex=3&amp;refID=7034206&amp;Result=3","7034206")</f>
        <v>0</v>
      </c>
      <c r="B5973" t="s">
        <v>46</v>
      </c>
      <c r="C5973" t="s">
        <v>8395</v>
      </c>
      <c r="D5973" t="s">
        <v>13006</v>
      </c>
      <c r="E5973" t="s">
        <v>8395</v>
      </c>
      <c r="F5973" t="s">
        <v>22436</v>
      </c>
      <c r="G5973" t="s">
        <v>22444</v>
      </c>
      <c r="H5973" t="s">
        <v>22452</v>
      </c>
      <c r="I5973" t="s">
        <v>3358</v>
      </c>
      <c r="J5973" t="s">
        <v>26496</v>
      </c>
      <c r="K5973" t="s">
        <v>29336</v>
      </c>
      <c r="M5973" t="s">
        <v>29617</v>
      </c>
      <c r="N5973" t="s">
        <v>32524</v>
      </c>
      <c r="O5973" t="s">
        <v>32525</v>
      </c>
      <c r="P5973">
        <v>0</v>
      </c>
      <c r="Q5973">
        <v>0</v>
      </c>
      <c r="R5973" t="s">
        <v>32532</v>
      </c>
      <c r="S5973" t="s">
        <v>32616</v>
      </c>
      <c r="T5973" t="s">
        <v>33238</v>
      </c>
      <c r="U5973" t="s">
        <v>38671</v>
      </c>
      <c r="V5973" t="s">
        <v>42654</v>
      </c>
      <c r="W5973" t="s">
        <v>29617</v>
      </c>
      <c r="X5973" t="s">
        <v>32534</v>
      </c>
    </row>
    <row r="5974" spans="1:24">
      <c r="A5974">
        <f>HYPERLINK("https://www.philgeps.gov.ph/GEPSNONPILOT/Tender/SplashBidNoticeAbstractUI.aspx?menuIndex=3&amp;refID=7034103&amp;Result=3","7034103")</f>
        <v>0</v>
      </c>
      <c r="B5974" t="s">
        <v>1911</v>
      </c>
      <c r="C5974" t="s">
        <v>8396</v>
      </c>
      <c r="D5974" t="s">
        <v>13002</v>
      </c>
      <c r="E5974" t="s">
        <v>18389</v>
      </c>
      <c r="F5974" t="s">
        <v>22436</v>
      </c>
      <c r="G5974" t="s">
        <v>22443</v>
      </c>
      <c r="H5974" t="s">
        <v>22454</v>
      </c>
      <c r="I5974" t="s">
        <v>22558</v>
      </c>
      <c r="J5974" t="s">
        <v>26497</v>
      </c>
      <c r="K5974" t="s">
        <v>29335</v>
      </c>
      <c r="M5974" t="s">
        <v>31635</v>
      </c>
      <c r="N5974" t="s">
        <v>32524</v>
      </c>
      <c r="O5974" t="s">
        <v>32525</v>
      </c>
      <c r="P5974">
        <v>0</v>
      </c>
      <c r="Q5974">
        <v>0</v>
      </c>
      <c r="R5974" t="s">
        <v>32532</v>
      </c>
      <c r="S5974" t="s">
        <v>32616</v>
      </c>
      <c r="T5974" t="s">
        <v>33213</v>
      </c>
      <c r="U5974" t="s">
        <v>38672</v>
      </c>
      <c r="V5974" t="s">
        <v>43092</v>
      </c>
      <c r="W5974" t="s">
        <v>31635</v>
      </c>
      <c r="X5974" t="s">
        <v>32534</v>
      </c>
    </row>
    <row r="5975" spans="1:24">
      <c r="A5975">
        <f>HYPERLINK("https://www.philgeps.gov.ph/GEPSNONPILOT/Tender/SplashBidNoticeAbstractUI.aspx?menuIndex=3&amp;refID=7034116&amp;Result=3","7034116")</f>
        <v>0</v>
      </c>
      <c r="B5975" t="s">
        <v>1914</v>
      </c>
      <c r="C5975" t="s">
        <v>8397</v>
      </c>
      <c r="D5975" t="s">
        <v>13065</v>
      </c>
      <c r="E5975" t="s">
        <v>18390</v>
      </c>
      <c r="F5975" t="s">
        <v>22436</v>
      </c>
      <c r="G5975" t="s">
        <v>22444</v>
      </c>
      <c r="H5975" t="s">
        <v>22452</v>
      </c>
      <c r="I5975" t="s">
        <v>6421</v>
      </c>
      <c r="J5975" t="s">
        <v>26498</v>
      </c>
      <c r="K5975" t="s">
        <v>29329</v>
      </c>
      <c r="M5975" t="s">
        <v>31638</v>
      </c>
      <c r="N5975" t="s">
        <v>32524</v>
      </c>
      <c r="O5975" t="s">
        <v>32525</v>
      </c>
      <c r="P5975">
        <v>0</v>
      </c>
      <c r="Q5975">
        <v>3</v>
      </c>
      <c r="R5975" t="s">
        <v>32532</v>
      </c>
      <c r="S5975" t="s">
        <v>32616</v>
      </c>
      <c r="T5975" t="s">
        <v>33175</v>
      </c>
      <c r="U5975" t="s">
        <v>38673</v>
      </c>
      <c r="V5975" t="s">
        <v>43093</v>
      </c>
      <c r="W5975" t="s">
        <v>31638</v>
      </c>
      <c r="X5975" t="s">
        <v>32534</v>
      </c>
    </row>
    <row r="5976" spans="1:24">
      <c r="A5976">
        <f>HYPERLINK("https://www.philgeps.gov.ph/GEPSNONPILOT/Tender/SplashBidNoticeAbstractUI.aspx?menuIndex=3&amp;refID=7034258&amp;Result=3","7034258")</f>
        <v>0</v>
      </c>
      <c r="B5976" t="s">
        <v>46</v>
      </c>
      <c r="C5976" t="s">
        <v>8398</v>
      </c>
      <c r="D5976" t="s">
        <v>13006</v>
      </c>
      <c r="E5976" t="s">
        <v>18391</v>
      </c>
      <c r="F5976" t="s">
        <v>22436</v>
      </c>
      <c r="G5976" t="s">
        <v>22444</v>
      </c>
      <c r="H5976" t="s">
        <v>22452</v>
      </c>
      <c r="I5976" t="s">
        <v>3529</v>
      </c>
      <c r="J5976" t="s">
        <v>26499</v>
      </c>
      <c r="K5976" t="s">
        <v>29336</v>
      </c>
      <c r="M5976" t="s">
        <v>29617</v>
      </c>
      <c r="N5976" t="s">
        <v>32524</v>
      </c>
      <c r="O5976" t="s">
        <v>32525</v>
      </c>
      <c r="P5976">
        <v>0</v>
      </c>
      <c r="Q5976">
        <v>0</v>
      </c>
      <c r="R5976" t="s">
        <v>32532</v>
      </c>
      <c r="S5976" t="s">
        <v>32616</v>
      </c>
      <c r="T5976" t="s">
        <v>33238</v>
      </c>
      <c r="U5976" t="s">
        <v>38674</v>
      </c>
      <c r="V5976" t="s">
        <v>42654</v>
      </c>
      <c r="W5976" t="s">
        <v>29617</v>
      </c>
      <c r="X5976" t="s">
        <v>32534</v>
      </c>
    </row>
    <row r="5977" spans="1:24">
      <c r="A5977">
        <f>HYPERLINK("https://www.philgeps.gov.ph/GEPSNONPILOT/Tender/SplashBidNoticeAbstractUI.aspx?menuIndex=3&amp;refID=7034161&amp;Result=3","7034161")</f>
        <v>0</v>
      </c>
      <c r="B5977" t="s">
        <v>59</v>
      </c>
      <c r="C5977" t="s">
        <v>8399</v>
      </c>
      <c r="D5977" t="s">
        <v>13004</v>
      </c>
      <c r="E5977" t="s">
        <v>18392</v>
      </c>
      <c r="F5977" t="s">
        <v>22436</v>
      </c>
      <c r="G5977" t="s">
        <v>22443</v>
      </c>
      <c r="H5977" t="s">
        <v>22455</v>
      </c>
      <c r="I5977" t="s">
        <v>22455</v>
      </c>
      <c r="J5977" t="s">
        <v>26500</v>
      </c>
      <c r="K5977" t="s">
        <v>29338</v>
      </c>
      <c r="L5977" t="s">
        <v>59</v>
      </c>
      <c r="M5977" t="s">
        <v>31345</v>
      </c>
      <c r="N5977" t="s">
        <v>32524</v>
      </c>
      <c r="O5977" t="s">
        <v>32525</v>
      </c>
      <c r="P5977">
        <v>0</v>
      </c>
      <c r="Q5977">
        <v>2</v>
      </c>
      <c r="R5977" t="s">
        <v>32532</v>
      </c>
      <c r="S5977" t="s">
        <v>32616</v>
      </c>
      <c r="T5977" t="s">
        <v>33323</v>
      </c>
      <c r="U5977" t="s">
        <v>38675</v>
      </c>
      <c r="W5977" t="s">
        <v>31345</v>
      </c>
      <c r="X5977" t="s">
        <v>32534</v>
      </c>
    </row>
    <row r="5978" spans="1:24">
      <c r="A5978">
        <f>HYPERLINK("https://www.philgeps.gov.ph/GEPSNONPILOT/Tender/SplashBidNoticeAbstractUI.aspx?menuIndex=3&amp;refID=7034570&amp;Result=3","7034570")</f>
        <v>0</v>
      </c>
      <c r="B5978" t="s">
        <v>1002</v>
      </c>
      <c r="C5978" t="s">
        <v>8400</v>
      </c>
      <c r="D5978" t="s">
        <v>13058</v>
      </c>
      <c r="E5978" t="s">
        <v>18393</v>
      </c>
      <c r="F5978" t="s">
        <v>22436</v>
      </c>
      <c r="G5978" t="s">
        <v>22444</v>
      </c>
      <c r="H5978" t="s">
        <v>22452</v>
      </c>
      <c r="I5978" t="s">
        <v>12358</v>
      </c>
      <c r="J5978" t="s">
        <v>26501</v>
      </c>
      <c r="K5978" t="s">
        <v>29335</v>
      </c>
      <c r="M5978" t="s">
        <v>30629</v>
      </c>
      <c r="N5978" t="s">
        <v>32524</v>
      </c>
      <c r="O5978" t="s">
        <v>32525</v>
      </c>
      <c r="P5978">
        <v>0</v>
      </c>
      <c r="Q5978">
        <v>0</v>
      </c>
      <c r="R5978" t="s">
        <v>32532</v>
      </c>
      <c r="S5978" t="s">
        <v>32616</v>
      </c>
      <c r="T5978" t="s">
        <v>33171</v>
      </c>
      <c r="U5978" t="s">
        <v>38676</v>
      </c>
      <c r="W5978" t="s">
        <v>30629</v>
      </c>
      <c r="X5978" t="s">
        <v>32534</v>
      </c>
    </row>
    <row r="5979" spans="1:24">
      <c r="A5979">
        <f>HYPERLINK("https://www.philgeps.gov.ph/GEPSNONPILOT/Tender/SplashBidNoticeAbstractUI.aspx?menuIndex=3&amp;refID=7034565&amp;Result=3","7034565")</f>
        <v>0</v>
      </c>
      <c r="B5979" t="s">
        <v>941</v>
      </c>
      <c r="C5979" t="s">
        <v>8401</v>
      </c>
      <c r="D5979" t="s">
        <v>13006</v>
      </c>
      <c r="E5979" t="s">
        <v>18394</v>
      </c>
      <c r="F5979" t="s">
        <v>22436</v>
      </c>
      <c r="G5979" t="s">
        <v>22444</v>
      </c>
      <c r="H5979" t="s">
        <v>22452</v>
      </c>
      <c r="I5979" t="s">
        <v>22502</v>
      </c>
      <c r="J5979" t="s">
        <v>22654</v>
      </c>
      <c r="K5979" t="s">
        <v>29335</v>
      </c>
      <c r="M5979" t="s">
        <v>31639</v>
      </c>
      <c r="N5979" t="s">
        <v>32524</v>
      </c>
      <c r="O5979" t="s">
        <v>32525</v>
      </c>
      <c r="P5979">
        <v>0</v>
      </c>
      <c r="Q5979">
        <v>4</v>
      </c>
      <c r="R5979" t="s">
        <v>32532</v>
      </c>
      <c r="S5979" t="s">
        <v>32616</v>
      </c>
      <c r="T5979" t="s">
        <v>33242</v>
      </c>
      <c r="U5979" t="s">
        <v>38677</v>
      </c>
      <c r="V5979" t="s">
        <v>43094</v>
      </c>
      <c r="W5979" t="s">
        <v>31639</v>
      </c>
      <c r="X5979" t="s">
        <v>32534</v>
      </c>
    </row>
    <row r="5980" spans="1:24">
      <c r="A5980">
        <f>HYPERLINK("https://www.philgeps.gov.ph/GEPSNONPILOT/Tender/SplashBidNoticeAbstractUI.aspx?menuIndex=3&amp;refID=7034519&amp;Result=3","7034519")</f>
        <v>0</v>
      </c>
      <c r="B5980" t="s">
        <v>1027</v>
      </c>
      <c r="C5980" t="s">
        <v>8402</v>
      </c>
      <c r="D5980" t="s">
        <v>13039</v>
      </c>
      <c r="E5980" t="s">
        <v>14659</v>
      </c>
      <c r="F5980" t="s">
        <v>22436</v>
      </c>
      <c r="G5980" t="s">
        <v>22443</v>
      </c>
      <c r="H5980" t="s">
        <v>22452</v>
      </c>
      <c r="I5980" t="s">
        <v>22560</v>
      </c>
      <c r="J5980" t="s">
        <v>22806</v>
      </c>
      <c r="K5980" t="s">
        <v>29335</v>
      </c>
      <c r="M5980" t="s">
        <v>30656</v>
      </c>
      <c r="N5980" t="s">
        <v>32524</v>
      </c>
      <c r="O5980" t="s">
        <v>32525</v>
      </c>
      <c r="P5980">
        <v>0</v>
      </c>
      <c r="Q5980">
        <v>6</v>
      </c>
      <c r="R5980" t="s">
        <v>32532</v>
      </c>
      <c r="S5980" t="s">
        <v>32616</v>
      </c>
      <c r="T5980" t="s">
        <v>33372</v>
      </c>
      <c r="U5980" t="s">
        <v>38678</v>
      </c>
      <c r="W5980" t="s">
        <v>30656</v>
      </c>
      <c r="X5980" t="s">
        <v>32534</v>
      </c>
    </row>
    <row r="5981" spans="1:24">
      <c r="A5981">
        <f>HYPERLINK("https://www.philgeps.gov.ph/GEPSNONPILOT/Tender/SplashBidNoticeAbstractUI.aspx?menuIndex=3&amp;refID=7034564&amp;Result=3","7034564")</f>
        <v>0</v>
      </c>
      <c r="B5981" t="s">
        <v>1027</v>
      </c>
      <c r="C5981" t="s">
        <v>8403</v>
      </c>
      <c r="D5981" t="s">
        <v>13039</v>
      </c>
      <c r="E5981" t="s">
        <v>14036</v>
      </c>
      <c r="F5981" t="s">
        <v>22436</v>
      </c>
      <c r="G5981" t="s">
        <v>22443</v>
      </c>
      <c r="H5981" t="s">
        <v>22452</v>
      </c>
      <c r="I5981" t="s">
        <v>2981</v>
      </c>
      <c r="J5981" t="s">
        <v>22607</v>
      </c>
      <c r="K5981" t="s">
        <v>29337</v>
      </c>
      <c r="M5981" t="s">
        <v>30656</v>
      </c>
      <c r="N5981" t="s">
        <v>32524</v>
      </c>
      <c r="O5981" t="s">
        <v>32525</v>
      </c>
      <c r="P5981">
        <v>0</v>
      </c>
      <c r="Q5981">
        <v>0</v>
      </c>
      <c r="R5981" t="s">
        <v>32532</v>
      </c>
      <c r="S5981" t="s">
        <v>32616</v>
      </c>
      <c r="T5981" t="s">
        <v>33372</v>
      </c>
      <c r="U5981" t="s">
        <v>38679</v>
      </c>
      <c r="W5981" t="s">
        <v>30656</v>
      </c>
      <c r="X5981" t="s">
        <v>32534</v>
      </c>
    </row>
    <row r="5982" spans="1:24">
      <c r="A5982">
        <f>HYPERLINK("https://www.philgeps.gov.ph/GEPSNONPILOT/Tender/SplashBidNoticeAbstractUI.aspx?menuIndex=3&amp;refID=7034285&amp;Result=3","7034285")</f>
        <v>0</v>
      </c>
      <c r="B5982" t="s">
        <v>48</v>
      </c>
      <c r="C5982" t="s">
        <v>8404</v>
      </c>
      <c r="D5982" t="s">
        <v>13007</v>
      </c>
      <c r="E5982" t="s">
        <v>18395</v>
      </c>
      <c r="F5982" t="s">
        <v>22436</v>
      </c>
      <c r="G5982" t="s">
        <v>22444</v>
      </c>
      <c r="H5982" t="s">
        <v>22452</v>
      </c>
      <c r="I5982" t="s">
        <v>3529</v>
      </c>
      <c r="J5982" t="s">
        <v>26502</v>
      </c>
      <c r="K5982" t="s">
        <v>29335</v>
      </c>
      <c r="M5982" t="s">
        <v>31634</v>
      </c>
      <c r="N5982" t="s">
        <v>32524</v>
      </c>
      <c r="O5982" t="s">
        <v>32525</v>
      </c>
      <c r="P5982">
        <v>0</v>
      </c>
      <c r="Q5982">
        <v>0</v>
      </c>
      <c r="R5982" t="s">
        <v>32532</v>
      </c>
      <c r="S5982" t="s">
        <v>32616</v>
      </c>
      <c r="T5982" t="s">
        <v>33323</v>
      </c>
      <c r="U5982" t="s">
        <v>38680</v>
      </c>
      <c r="W5982" t="s">
        <v>31634</v>
      </c>
      <c r="X5982" t="s">
        <v>32534</v>
      </c>
    </row>
    <row r="5983" spans="1:24">
      <c r="A5983">
        <f>HYPERLINK("https://www.philgeps.gov.ph/GEPSNONPILOT/Tender/SplashBidNoticeAbstractUI.aspx?menuIndex=3&amp;refID=7034160&amp;Result=3","7034160")</f>
        <v>0</v>
      </c>
      <c r="B5983" t="s">
        <v>1915</v>
      </c>
      <c r="C5983" t="s">
        <v>8405</v>
      </c>
      <c r="D5983" t="s">
        <v>13004</v>
      </c>
      <c r="E5983" t="s">
        <v>18396</v>
      </c>
      <c r="F5983" t="s">
        <v>22436</v>
      </c>
      <c r="G5983" t="s">
        <v>22446</v>
      </c>
      <c r="H5983" t="s">
        <v>22452</v>
      </c>
      <c r="I5983" t="s">
        <v>6421</v>
      </c>
      <c r="J5983" t="s">
        <v>26503</v>
      </c>
      <c r="K5983" t="s">
        <v>29335</v>
      </c>
      <c r="M5983" t="s">
        <v>31640</v>
      </c>
      <c r="N5983" t="s">
        <v>32524</v>
      </c>
      <c r="O5983" t="s">
        <v>32525</v>
      </c>
      <c r="P5983">
        <v>0</v>
      </c>
      <c r="Q5983">
        <v>2</v>
      </c>
      <c r="R5983" t="s">
        <v>32532</v>
      </c>
      <c r="S5983" t="s">
        <v>32616</v>
      </c>
      <c r="T5983" t="s">
        <v>33371</v>
      </c>
      <c r="U5983" t="s">
        <v>38681</v>
      </c>
      <c r="W5983" t="s">
        <v>31640</v>
      </c>
      <c r="X5983" t="s">
        <v>32534</v>
      </c>
    </row>
    <row r="5984" spans="1:24">
      <c r="A5984">
        <f>HYPERLINK("https://www.philgeps.gov.ph/GEPSNONPILOT/Tender/SplashBidNoticeAbstractUI.aspx?menuIndex=3&amp;refID=7034475&amp;Result=3","7034475")</f>
        <v>0</v>
      </c>
      <c r="B5984" t="s">
        <v>462</v>
      </c>
      <c r="C5984" t="s">
        <v>8406</v>
      </c>
      <c r="D5984" t="s">
        <v>12988</v>
      </c>
      <c r="E5984" t="s">
        <v>18397</v>
      </c>
      <c r="F5984" t="s">
        <v>22436</v>
      </c>
      <c r="G5984" t="s">
        <v>22445</v>
      </c>
      <c r="H5984" t="s">
        <v>22452</v>
      </c>
      <c r="I5984" t="s">
        <v>22468</v>
      </c>
      <c r="J5984" t="s">
        <v>22667</v>
      </c>
      <c r="K5984" t="s">
        <v>29336</v>
      </c>
      <c r="M5984" t="s">
        <v>30044</v>
      </c>
      <c r="N5984" t="s">
        <v>32524</v>
      </c>
      <c r="O5984" t="s">
        <v>32525</v>
      </c>
      <c r="P5984">
        <v>0</v>
      </c>
      <c r="Q5984">
        <v>6</v>
      </c>
      <c r="R5984" t="s">
        <v>32532</v>
      </c>
      <c r="S5984" t="s">
        <v>32616</v>
      </c>
      <c r="T5984" t="s">
        <v>33323</v>
      </c>
      <c r="U5984" t="s">
        <v>38682</v>
      </c>
      <c r="W5984" t="s">
        <v>43683</v>
      </c>
      <c r="X5984" t="s">
        <v>32534</v>
      </c>
    </row>
    <row r="5985" spans="1:24">
      <c r="A5985">
        <f>HYPERLINK("https://www.philgeps.gov.ph/GEPSNONPILOT/Tender/SplashBidNoticeAbstractUI.aspx?menuIndex=3&amp;refID=7034474&amp;Result=3","7034474")</f>
        <v>0</v>
      </c>
      <c r="B5985" t="s">
        <v>1002</v>
      </c>
      <c r="C5985" t="s">
        <v>8407</v>
      </c>
      <c r="D5985" t="s">
        <v>13058</v>
      </c>
      <c r="E5985" t="s">
        <v>18398</v>
      </c>
      <c r="F5985" t="s">
        <v>22436</v>
      </c>
      <c r="G5985" t="s">
        <v>22444</v>
      </c>
      <c r="H5985" t="s">
        <v>22452</v>
      </c>
      <c r="I5985" t="s">
        <v>12358</v>
      </c>
      <c r="J5985" t="s">
        <v>26504</v>
      </c>
      <c r="K5985" t="s">
        <v>29335</v>
      </c>
      <c r="M5985" t="s">
        <v>30629</v>
      </c>
      <c r="N5985" t="s">
        <v>32524</v>
      </c>
      <c r="O5985" t="s">
        <v>32525</v>
      </c>
      <c r="P5985">
        <v>0</v>
      </c>
      <c r="Q5985">
        <v>0</v>
      </c>
      <c r="R5985" t="s">
        <v>32532</v>
      </c>
      <c r="S5985" t="s">
        <v>32616</v>
      </c>
      <c r="T5985" t="s">
        <v>33171</v>
      </c>
      <c r="U5985" t="s">
        <v>38683</v>
      </c>
      <c r="W5985" t="s">
        <v>30629</v>
      </c>
      <c r="X5985" t="s">
        <v>32534</v>
      </c>
    </row>
    <row r="5986" spans="1:24">
      <c r="A5986">
        <f>HYPERLINK("https://www.philgeps.gov.ph/GEPSNONPILOT/Tender/SplashBidNoticeAbstractUI.aspx?menuIndex=3&amp;refID=7034501&amp;Result=3","7034501")</f>
        <v>0</v>
      </c>
      <c r="B5986" t="s">
        <v>462</v>
      </c>
      <c r="C5986" t="s">
        <v>8408</v>
      </c>
      <c r="D5986" t="s">
        <v>12988</v>
      </c>
      <c r="E5986" t="s">
        <v>18399</v>
      </c>
      <c r="F5986" t="s">
        <v>22436</v>
      </c>
      <c r="G5986" t="s">
        <v>22445</v>
      </c>
      <c r="H5986" t="s">
        <v>22452</v>
      </c>
      <c r="I5986" t="s">
        <v>22489</v>
      </c>
      <c r="J5986" t="s">
        <v>24857</v>
      </c>
      <c r="K5986" t="s">
        <v>29336</v>
      </c>
      <c r="M5986" t="s">
        <v>30044</v>
      </c>
      <c r="N5986" t="s">
        <v>32524</v>
      </c>
      <c r="O5986" t="s">
        <v>32525</v>
      </c>
      <c r="P5986">
        <v>0</v>
      </c>
      <c r="Q5986">
        <v>5</v>
      </c>
      <c r="R5986" t="s">
        <v>32532</v>
      </c>
      <c r="S5986" t="s">
        <v>32616</v>
      </c>
      <c r="T5986" t="s">
        <v>33323</v>
      </c>
      <c r="U5986" t="s">
        <v>38684</v>
      </c>
      <c r="W5986" t="s">
        <v>43683</v>
      </c>
      <c r="X5986" t="s">
        <v>32534</v>
      </c>
    </row>
    <row r="5987" spans="1:24">
      <c r="A5987">
        <f>HYPERLINK("https://www.philgeps.gov.ph/GEPSNONPILOT/Tender/SplashBidNoticeAbstractUI.aspx?menuIndex=3&amp;refID=7034211&amp;Result=3","7034211")</f>
        <v>0</v>
      </c>
      <c r="B5987" t="s">
        <v>48</v>
      </c>
      <c r="C5987" t="s">
        <v>8409</v>
      </c>
      <c r="D5987" t="s">
        <v>13007</v>
      </c>
      <c r="E5987" t="s">
        <v>18400</v>
      </c>
      <c r="F5987" t="s">
        <v>22436</v>
      </c>
      <c r="G5987" t="s">
        <v>22444</v>
      </c>
      <c r="H5987" t="s">
        <v>22452</v>
      </c>
      <c r="I5987" t="s">
        <v>22470</v>
      </c>
      <c r="J5987" t="s">
        <v>26505</v>
      </c>
      <c r="K5987" t="s">
        <v>29335</v>
      </c>
      <c r="M5987" t="s">
        <v>31634</v>
      </c>
      <c r="N5987" t="s">
        <v>32524</v>
      </c>
      <c r="O5987" t="s">
        <v>32525</v>
      </c>
      <c r="P5987">
        <v>0</v>
      </c>
      <c r="Q5987">
        <v>2</v>
      </c>
      <c r="R5987" t="s">
        <v>32532</v>
      </c>
      <c r="S5987" t="s">
        <v>32616</v>
      </c>
      <c r="T5987" t="s">
        <v>33323</v>
      </c>
      <c r="U5987" t="s">
        <v>38685</v>
      </c>
      <c r="W5987" t="s">
        <v>31634</v>
      </c>
      <c r="X5987" t="s">
        <v>32534</v>
      </c>
    </row>
    <row r="5988" spans="1:24">
      <c r="A5988">
        <f>HYPERLINK("https://www.philgeps.gov.ph/GEPSNONPILOT/Tender/SplashBidNoticeAbstractUI.aspx?menuIndex=3&amp;refID=7034609&amp;Result=3","7034609")</f>
        <v>0</v>
      </c>
      <c r="B5988" t="s">
        <v>1916</v>
      </c>
      <c r="C5988" t="s">
        <v>8410</v>
      </c>
      <c r="D5988" t="s">
        <v>13061</v>
      </c>
      <c r="E5988" t="s">
        <v>18401</v>
      </c>
      <c r="F5988" t="s">
        <v>22436</v>
      </c>
      <c r="G5988" t="s">
        <v>22444</v>
      </c>
      <c r="H5988" t="s">
        <v>22452</v>
      </c>
      <c r="I5988" t="s">
        <v>6421</v>
      </c>
      <c r="J5988" t="s">
        <v>22779</v>
      </c>
      <c r="K5988" t="s">
        <v>29352</v>
      </c>
      <c r="M5988" t="s">
        <v>31641</v>
      </c>
      <c r="N5988" t="s">
        <v>32524</v>
      </c>
      <c r="O5988" t="s">
        <v>32525</v>
      </c>
      <c r="P5988">
        <v>0</v>
      </c>
      <c r="Q5988">
        <v>14</v>
      </c>
      <c r="R5988" t="s">
        <v>32532</v>
      </c>
      <c r="S5988" t="s">
        <v>32616</v>
      </c>
      <c r="T5988" t="s">
        <v>33234</v>
      </c>
      <c r="U5988" t="s">
        <v>38686</v>
      </c>
      <c r="W5988" t="s">
        <v>31641</v>
      </c>
      <c r="X5988" t="s">
        <v>32534</v>
      </c>
    </row>
    <row r="5989" spans="1:24">
      <c r="A5989">
        <f>HYPERLINK("https://www.philgeps.gov.ph/GEPSNONPILOT/Tender/SplashBidNoticeAbstractUI.aspx?menuIndex=3&amp;refID=7034540&amp;Result=3","7034540")</f>
        <v>0</v>
      </c>
      <c r="B5989" t="s">
        <v>1027</v>
      </c>
      <c r="C5989" t="s">
        <v>8411</v>
      </c>
      <c r="D5989" t="s">
        <v>13039</v>
      </c>
      <c r="E5989" t="s">
        <v>14658</v>
      </c>
      <c r="F5989" t="s">
        <v>22436</v>
      </c>
      <c r="G5989" t="s">
        <v>22443</v>
      </c>
      <c r="H5989" t="s">
        <v>22452</v>
      </c>
      <c r="I5989" t="s">
        <v>22486</v>
      </c>
      <c r="J5989" t="s">
        <v>22874</v>
      </c>
      <c r="K5989" t="s">
        <v>29335</v>
      </c>
      <c r="M5989" t="s">
        <v>30656</v>
      </c>
      <c r="N5989" t="s">
        <v>32524</v>
      </c>
      <c r="O5989" t="s">
        <v>32525</v>
      </c>
      <c r="P5989">
        <v>0</v>
      </c>
      <c r="Q5989">
        <v>0</v>
      </c>
      <c r="R5989" t="s">
        <v>32532</v>
      </c>
      <c r="S5989" t="s">
        <v>32616</v>
      </c>
      <c r="T5989" t="s">
        <v>33372</v>
      </c>
      <c r="U5989" t="s">
        <v>38687</v>
      </c>
      <c r="W5989" t="s">
        <v>30656</v>
      </c>
      <c r="X5989" t="s">
        <v>32534</v>
      </c>
    </row>
    <row r="5990" spans="1:24">
      <c r="A5990">
        <f>HYPERLINK("https://www.philgeps.gov.ph/GEPSNONPILOT/Tender/SplashBidNoticeAbstractUI.aspx?menuIndex=3&amp;refID=7034396&amp;Result=3","7034396")</f>
        <v>0</v>
      </c>
      <c r="B5990" t="s">
        <v>1917</v>
      </c>
      <c r="C5990" t="s">
        <v>8412</v>
      </c>
      <c r="D5990" t="s">
        <v>13011</v>
      </c>
      <c r="E5990" t="s">
        <v>18402</v>
      </c>
      <c r="F5990" t="s">
        <v>22436</v>
      </c>
      <c r="G5990" t="s">
        <v>22444</v>
      </c>
      <c r="H5990" t="s">
        <v>22454</v>
      </c>
      <c r="I5990" t="s">
        <v>7738</v>
      </c>
      <c r="J5990" t="s">
        <v>26506</v>
      </c>
      <c r="K5990" t="s">
        <v>29334</v>
      </c>
      <c r="M5990" t="s">
        <v>31642</v>
      </c>
      <c r="N5990" t="s">
        <v>32524</v>
      </c>
      <c r="O5990" t="s">
        <v>32525</v>
      </c>
      <c r="P5990">
        <v>0</v>
      </c>
      <c r="Q5990">
        <v>1</v>
      </c>
      <c r="R5990" t="s">
        <v>32532</v>
      </c>
      <c r="S5990" t="s">
        <v>32616</v>
      </c>
      <c r="T5990" t="s">
        <v>33323</v>
      </c>
      <c r="U5990" t="s">
        <v>38688</v>
      </c>
      <c r="V5990" t="s">
        <v>43095</v>
      </c>
      <c r="W5990" t="s">
        <v>31642</v>
      </c>
      <c r="X5990" t="s">
        <v>32534</v>
      </c>
    </row>
    <row r="5991" spans="1:24">
      <c r="A5991">
        <f>HYPERLINK("https://www.philgeps.gov.ph/GEPSNONPILOT/Tender/SplashBidNoticeAbstractUI.aspx?menuIndex=3&amp;refID=7034589&amp;Result=3","7034589")</f>
        <v>0</v>
      </c>
      <c r="B5991" t="s">
        <v>1027</v>
      </c>
      <c r="C5991" t="s">
        <v>8413</v>
      </c>
      <c r="D5991" t="s">
        <v>13039</v>
      </c>
      <c r="E5991" t="s">
        <v>14028</v>
      </c>
      <c r="F5991" t="s">
        <v>22436</v>
      </c>
      <c r="G5991" t="s">
        <v>22443</v>
      </c>
      <c r="H5991" t="s">
        <v>22452</v>
      </c>
      <c r="I5991" t="s">
        <v>2981</v>
      </c>
      <c r="J5991" t="s">
        <v>26507</v>
      </c>
      <c r="K5991" t="s">
        <v>29335</v>
      </c>
      <c r="M5991" t="s">
        <v>30656</v>
      </c>
      <c r="N5991" t="s">
        <v>32524</v>
      </c>
      <c r="O5991" t="s">
        <v>32525</v>
      </c>
      <c r="P5991">
        <v>0</v>
      </c>
      <c r="Q5991">
        <v>0</v>
      </c>
      <c r="R5991" t="s">
        <v>32532</v>
      </c>
      <c r="S5991" t="s">
        <v>32616</v>
      </c>
      <c r="T5991" t="s">
        <v>33372</v>
      </c>
      <c r="U5991" t="s">
        <v>38689</v>
      </c>
      <c r="W5991" t="s">
        <v>30656</v>
      </c>
      <c r="X5991" t="s">
        <v>32534</v>
      </c>
    </row>
    <row r="5992" spans="1:24">
      <c r="A5992">
        <f>HYPERLINK("https://www.philgeps.gov.ph/GEPSNONPILOT/Tender/SplashBidNoticeAbstractUI.aspx?menuIndex=3&amp;refID=7034587&amp;Result=3","7034587")</f>
        <v>0</v>
      </c>
      <c r="B5992" t="s">
        <v>525</v>
      </c>
      <c r="C5992" t="s">
        <v>8414</v>
      </c>
      <c r="D5992" t="s">
        <v>13038</v>
      </c>
      <c r="E5992" t="s">
        <v>18403</v>
      </c>
      <c r="F5992" t="s">
        <v>22436</v>
      </c>
      <c r="G5992" t="s">
        <v>22444</v>
      </c>
      <c r="H5992" t="s">
        <v>22452</v>
      </c>
      <c r="I5992" t="s">
        <v>22499</v>
      </c>
      <c r="J5992" t="s">
        <v>26508</v>
      </c>
      <c r="K5992" t="s">
        <v>29335</v>
      </c>
      <c r="M5992" t="s">
        <v>30109</v>
      </c>
      <c r="N5992" t="s">
        <v>32524</v>
      </c>
      <c r="O5992" t="s">
        <v>32525</v>
      </c>
      <c r="P5992">
        <v>0</v>
      </c>
      <c r="Q5992">
        <v>0</v>
      </c>
      <c r="R5992" t="s">
        <v>32532</v>
      </c>
      <c r="S5992" t="s">
        <v>32616</v>
      </c>
      <c r="T5992" t="s">
        <v>33270</v>
      </c>
      <c r="U5992" t="s">
        <v>38690</v>
      </c>
      <c r="W5992" t="s">
        <v>30109</v>
      </c>
      <c r="X5992" t="s">
        <v>32534</v>
      </c>
    </row>
    <row r="5993" spans="1:24">
      <c r="A5993">
        <f>HYPERLINK("https://www.philgeps.gov.ph/GEPSNONPILOT/Tender/SplashBidNoticeAbstractUI.aspx?menuIndex=3&amp;refID=7034385&amp;Result=3","7034385")</f>
        <v>0</v>
      </c>
      <c r="B5993" t="s">
        <v>1918</v>
      </c>
      <c r="C5993" t="s">
        <v>8415</v>
      </c>
      <c r="D5993" t="s">
        <v>13023</v>
      </c>
      <c r="E5993" t="s">
        <v>18404</v>
      </c>
      <c r="F5993" t="s">
        <v>22436</v>
      </c>
      <c r="G5993" t="s">
        <v>22444</v>
      </c>
      <c r="H5993" t="s">
        <v>22452</v>
      </c>
      <c r="I5993" t="s">
        <v>22476</v>
      </c>
      <c r="J5993" t="s">
        <v>26509</v>
      </c>
      <c r="K5993" t="s">
        <v>29335</v>
      </c>
      <c r="M5993" t="s">
        <v>31643</v>
      </c>
      <c r="N5993" t="s">
        <v>32524</v>
      </c>
      <c r="O5993" t="s">
        <v>32525</v>
      </c>
      <c r="P5993">
        <v>0</v>
      </c>
      <c r="Q5993">
        <v>2</v>
      </c>
      <c r="R5993" t="s">
        <v>32532</v>
      </c>
      <c r="S5993" t="s">
        <v>32616</v>
      </c>
      <c r="T5993" t="s">
        <v>33510</v>
      </c>
      <c r="U5993" t="s">
        <v>38691</v>
      </c>
      <c r="V5993" t="s">
        <v>43096</v>
      </c>
      <c r="W5993" t="s">
        <v>31643</v>
      </c>
      <c r="X5993" t="s">
        <v>32534</v>
      </c>
    </row>
    <row r="5994" spans="1:24">
      <c r="A5994">
        <f>HYPERLINK("https://www.philgeps.gov.ph/GEPSNONPILOT/Tender/SplashBidNoticeAbstractUI.aspx?menuIndex=3&amp;refID=7034626&amp;Result=3","7034626")</f>
        <v>0</v>
      </c>
      <c r="B5994" t="s">
        <v>525</v>
      </c>
      <c r="C5994" t="s">
        <v>8416</v>
      </c>
      <c r="D5994" t="s">
        <v>13038</v>
      </c>
      <c r="E5994" t="s">
        <v>18405</v>
      </c>
      <c r="F5994" t="s">
        <v>22436</v>
      </c>
      <c r="G5994" t="s">
        <v>22444</v>
      </c>
      <c r="H5994" t="s">
        <v>22452</v>
      </c>
      <c r="I5994" t="s">
        <v>2962</v>
      </c>
      <c r="J5994" t="s">
        <v>22640</v>
      </c>
      <c r="K5994" t="s">
        <v>29335</v>
      </c>
      <c r="M5994" t="s">
        <v>30109</v>
      </c>
      <c r="N5994" t="s">
        <v>32524</v>
      </c>
      <c r="O5994" t="s">
        <v>32525</v>
      </c>
      <c r="P5994">
        <v>0</v>
      </c>
      <c r="Q5994">
        <v>0</v>
      </c>
      <c r="R5994" t="s">
        <v>32532</v>
      </c>
      <c r="S5994" t="s">
        <v>32616</v>
      </c>
      <c r="T5994" t="s">
        <v>33270</v>
      </c>
      <c r="U5994" t="s">
        <v>38692</v>
      </c>
      <c r="W5994" t="s">
        <v>30109</v>
      </c>
      <c r="X5994" t="s">
        <v>32534</v>
      </c>
    </row>
    <row r="5995" spans="1:24">
      <c r="A5995">
        <f>HYPERLINK("https://www.philgeps.gov.ph/GEPSNONPILOT/Tender/SplashBidNoticeAbstractUI.aspx?menuIndex=3&amp;refID=7034697&amp;Result=3","7034697")</f>
        <v>0</v>
      </c>
      <c r="B5995" t="s">
        <v>1726</v>
      </c>
      <c r="C5995" t="s">
        <v>8417</v>
      </c>
      <c r="D5995" t="s">
        <v>12988</v>
      </c>
      <c r="E5995" t="s">
        <v>18406</v>
      </c>
      <c r="F5995" t="s">
        <v>22436</v>
      </c>
      <c r="G5995" t="s">
        <v>22444</v>
      </c>
      <c r="H5995" t="s">
        <v>22453</v>
      </c>
      <c r="I5995" t="s">
        <v>22509</v>
      </c>
      <c r="J5995" t="s">
        <v>26510</v>
      </c>
      <c r="K5995" t="s">
        <v>29336</v>
      </c>
      <c r="M5995" t="s">
        <v>31644</v>
      </c>
      <c r="N5995" t="s">
        <v>32524</v>
      </c>
      <c r="O5995" t="s">
        <v>32525</v>
      </c>
      <c r="P5995">
        <v>0</v>
      </c>
      <c r="Q5995">
        <v>6</v>
      </c>
      <c r="R5995" t="s">
        <v>32532</v>
      </c>
      <c r="S5995" t="s">
        <v>32616</v>
      </c>
      <c r="T5995" t="s">
        <v>33259</v>
      </c>
      <c r="U5995" t="s">
        <v>38693</v>
      </c>
      <c r="W5995" t="s">
        <v>31644</v>
      </c>
      <c r="X5995" t="s">
        <v>32534</v>
      </c>
    </row>
    <row r="5996" spans="1:24">
      <c r="A5996">
        <f>HYPERLINK("https://www.philgeps.gov.ph/GEPSNONPILOT/Tender/SplashBidNoticeAbstractUI.aspx?menuIndex=3&amp;refID=7034341&amp;Result=3","7034341")</f>
        <v>0</v>
      </c>
      <c r="B5996" t="s">
        <v>48</v>
      </c>
      <c r="C5996" t="s">
        <v>8418</v>
      </c>
      <c r="D5996" t="s">
        <v>13007</v>
      </c>
      <c r="E5996" t="s">
        <v>18407</v>
      </c>
      <c r="F5996" t="s">
        <v>22436</v>
      </c>
      <c r="G5996" t="s">
        <v>22444</v>
      </c>
      <c r="H5996" t="s">
        <v>22452</v>
      </c>
      <c r="I5996" t="s">
        <v>22456</v>
      </c>
      <c r="J5996" t="s">
        <v>26511</v>
      </c>
      <c r="K5996" t="s">
        <v>29335</v>
      </c>
      <c r="M5996" t="s">
        <v>31634</v>
      </c>
      <c r="N5996" t="s">
        <v>32524</v>
      </c>
      <c r="O5996" t="s">
        <v>32525</v>
      </c>
      <c r="P5996">
        <v>0</v>
      </c>
      <c r="Q5996">
        <v>5</v>
      </c>
      <c r="R5996" t="s">
        <v>32532</v>
      </c>
      <c r="S5996" t="s">
        <v>32616</v>
      </c>
      <c r="T5996" t="s">
        <v>33323</v>
      </c>
      <c r="U5996" t="s">
        <v>38694</v>
      </c>
      <c r="W5996" t="s">
        <v>31634</v>
      </c>
      <c r="X5996" t="s">
        <v>32534</v>
      </c>
    </row>
    <row r="5997" spans="1:24">
      <c r="A5997">
        <f>HYPERLINK("https://www.philgeps.gov.ph/GEPSNONPILOT/Tender/SplashBidNoticeAbstractUI.aspx?menuIndex=3&amp;refID=7034394&amp;Result=3","7034394")</f>
        <v>0</v>
      </c>
      <c r="B5997" t="s">
        <v>1919</v>
      </c>
      <c r="C5997" t="s">
        <v>8419</v>
      </c>
      <c r="E5997" t="s">
        <v>18408</v>
      </c>
      <c r="F5997" t="s">
        <v>22436</v>
      </c>
      <c r="G5997" t="s">
        <v>22444</v>
      </c>
      <c r="H5997" t="s">
        <v>22454</v>
      </c>
      <c r="I5997" t="s">
        <v>7738</v>
      </c>
      <c r="J5997" t="s">
        <v>22640</v>
      </c>
      <c r="K5997" t="s">
        <v>29427</v>
      </c>
      <c r="M5997" t="s">
        <v>31645</v>
      </c>
      <c r="N5997" t="s">
        <v>32524</v>
      </c>
      <c r="O5997" t="s">
        <v>32525</v>
      </c>
      <c r="P5997">
        <v>0</v>
      </c>
      <c r="Q5997">
        <v>1</v>
      </c>
      <c r="R5997" t="s">
        <v>32532</v>
      </c>
      <c r="S5997" t="s">
        <v>32616</v>
      </c>
      <c r="T5997" t="s">
        <v>33318</v>
      </c>
      <c r="U5997" t="s">
        <v>38695</v>
      </c>
      <c r="W5997" t="s">
        <v>31645</v>
      </c>
      <c r="X5997" t="s">
        <v>32534</v>
      </c>
    </row>
    <row r="5998" spans="1:24">
      <c r="A5998">
        <f>HYPERLINK("https://www.philgeps.gov.ph/GEPSNONPILOT/Tender/SplashBidNoticeAbstractUI.aspx?menuIndex=3&amp;refID=7034765&amp;Result=3","7034765")</f>
        <v>0</v>
      </c>
      <c r="B5998" t="s">
        <v>1726</v>
      </c>
      <c r="C5998" t="s">
        <v>8420</v>
      </c>
      <c r="D5998" t="s">
        <v>12988</v>
      </c>
      <c r="E5998" t="s">
        <v>18409</v>
      </c>
      <c r="F5998" t="s">
        <v>22436</v>
      </c>
      <c r="G5998" t="s">
        <v>22444</v>
      </c>
      <c r="H5998" t="s">
        <v>22452</v>
      </c>
      <c r="I5998" t="s">
        <v>2981</v>
      </c>
      <c r="J5998" t="s">
        <v>26512</v>
      </c>
      <c r="K5998" t="s">
        <v>29336</v>
      </c>
      <c r="M5998" t="s">
        <v>31644</v>
      </c>
      <c r="N5998" t="s">
        <v>32524</v>
      </c>
      <c r="O5998" t="s">
        <v>32525</v>
      </c>
      <c r="P5998">
        <v>0</v>
      </c>
      <c r="Q5998">
        <v>0</v>
      </c>
      <c r="R5998" t="s">
        <v>32532</v>
      </c>
      <c r="S5998" t="s">
        <v>32616</v>
      </c>
      <c r="T5998" t="s">
        <v>33259</v>
      </c>
      <c r="U5998" t="s">
        <v>38696</v>
      </c>
      <c r="W5998" t="s">
        <v>31644</v>
      </c>
      <c r="X5998" t="s">
        <v>32534</v>
      </c>
    </row>
    <row r="5999" spans="1:24">
      <c r="A5999">
        <f>HYPERLINK("https://www.philgeps.gov.ph/GEPSNONPILOT/Tender/SplashBidNoticeAbstractUI.aspx?menuIndex=3&amp;refID=7034742&amp;Result=3","7034742")</f>
        <v>0</v>
      </c>
      <c r="B5999" t="s">
        <v>1726</v>
      </c>
      <c r="C5999" t="s">
        <v>8421</v>
      </c>
      <c r="D5999" t="s">
        <v>12988</v>
      </c>
      <c r="E5999" t="s">
        <v>18410</v>
      </c>
      <c r="F5999" t="s">
        <v>22436</v>
      </c>
      <c r="G5999" t="s">
        <v>22444</v>
      </c>
      <c r="H5999" t="s">
        <v>22452</v>
      </c>
      <c r="I5999" t="s">
        <v>22460</v>
      </c>
      <c r="J5999" t="s">
        <v>26513</v>
      </c>
      <c r="K5999" t="s">
        <v>29336</v>
      </c>
      <c r="M5999" t="s">
        <v>31644</v>
      </c>
      <c r="N5999" t="s">
        <v>32524</v>
      </c>
      <c r="O5999" t="s">
        <v>32525</v>
      </c>
      <c r="P5999">
        <v>0</v>
      </c>
      <c r="Q5999">
        <v>2</v>
      </c>
      <c r="R5999" t="s">
        <v>32532</v>
      </c>
      <c r="S5999" t="s">
        <v>32616</v>
      </c>
      <c r="T5999" t="s">
        <v>33259</v>
      </c>
      <c r="U5999" t="s">
        <v>38697</v>
      </c>
      <c r="W5999" t="s">
        <v>31644</v>
      </c>
      <c r="X5999" t="s">
        <v>32534</v>
      </c>
    </row>
    <row r="6000" spans="1:24">
      <c r="A6000">
        <f>HYPERLINK("https://www.philgeps.gov.ph/GEPSNONPILOT/Tender/SplashBidNoticeAbstractUI.aspx?menuIndex=3&amp;refID=7034676&amp;Result=3","7034676")</f>
        <v>0</v>
      </c>
      <c r="B6000" t="s">
        <v>944</v>
      </c>
      <c r="C6000" t="s">
        <v>8422</v>
      </c>
      <c r="D6000" t="s">
        <v>13035</v>
      </c>
      <c r="E6000" t="s">
        <v>18411</v>
      </c>
      <c r="F6000" t="s">
        <v>22436</v>
      </c>
      <c r="G6000" t="s">
        <v>22444</v>
      </c>
      <c r="H6000" t="s">
        <v>22452</v>
      </c>
      <c r="I6000" t="s">
        <v>22465</v>
      </c>
      <c r="J6000" t="s">
        <v>26514</v>
      </c>
      <c r="K6000" t="s">
        <v>29341</v>
      </c>
      <c r="M6000" t="s">
        <v>30558</v>
      </c>
      <c r="N6000" t="s">
        <v>32524</v>
      </c>
      <c r="O6000" t="s">
        <v>32525</v>
      </c>
      <c r="P6000">
        <v>0</v>
      </c>
      <c r="Q6000">
        <v>1</v>
      </c>
      <c r="R6000" t="s">
        <v>32532</v>
      </c>
      <c r="S6000" t="s">
        <v>32616</v>
      </c>
      <c r="T6000" t="s">
        <v>33361</v>
      </c>
      <c r="U6000" t="s">
        <v>38698</v>
      </c>
      <c r="V6000" t="s">
        <v>42652</v>
      </c>
      <c r="W6000" t="s">
        <v>30558</v>
      </c>
      <c r="X6000" t="s">
        <v>32534</v>
      </c>
    </row>
    <row r="6001" spans="1:24">
      <c r="A6001">
        <f>HYPERLINK("https://www.philgeps.gov.ph/GEPSNONPILOT/Tender/SplashBidNoticeAbstractUI.aspx?menuIndex=3&amp;refID=7034772&amp;Result=3","7034772")</f>
        <v>0</v>
      </c>
      <c r="B6001" t="s">
        <v>1726</v>
      </c>
      <c r="C6001" t="s">
        <v>8423</v>
      </c>
      <c r="D6001" t="s">
        <v>12988</v>
      </c>
      <c r="E6001" t="s">
        <v>18412</v>
      </c>
      <c r="F6001" t="s">
        <v>22436</v>
      </c>
      <c r="G6001" t="s">
        <v>22444</v>
      </c>
      <c r="H6001" t="s">
        <v>22452</v>
      </c>
      <c r="I6001" t="s">
        <v>3122</v>
      </c>
      <c r="J6001" t="s">
        <v>26515</v>
      </c>
      <c r="K6001" t="s">
        <v>29336</v>
      </c>
      <c r="M6001" t="s">
        <v>31644</v>
      </c>
      <c r="N6001" t="s">
        <v>32524</v>
      </c>
      <c r="O6001" t="s">
        <v>32525</v>
      </c>
      <c r="P6001">
        <v>0</v>
      </c>
      <c r="Q6001">
        <v>1</v>
      </c>
      <c r="R6001" t="s">
        <v>32532</v>
      </c>
      <c r="S6001" t="s">
        <v>32616</v>
      </c>
      <c r="T6001" t="s">
        <v>33259</v>
      </c>
      <c r="U6001" t="s">
        <v>38699</v>
      </c>
      <c r="W6001" t="s">
        <v>31644</v>
      </c>
      <c r="X6001" t="s">
        <v>32534</v>
      </c>
    </row>
    <row r="6002" spans="1:24">
      <c r="A6002">
        <f>HYPERLINK("https://www.philgeps.gov.ph/GEPSNONPILOT/Tender/SplashBidNoticeAbstractUI.aspx?menuIndex=3&amp;refID=7034721&amp;Result=3","7034721")</f>
        <v>0</v>
      </c>
      <c r="B6002" t="s">
        <v>1726</v>
      </c>
      <c r="C6002" t="s">
        <v>8424</v>
      </c>
      <c r="D6002" t="s">
        <v>12988</v>
      </c>
      <c r="E6002" t="s">
        <v>18413</v>
      </c>
      <c r="F6002" t="s">
        <v>22436</v>
      </c>
      <c r="G6002" t="s">
        <v>22444</v>
      </c>
      <c r="H6002" t="s">
        <v>22453</v>
      </c>
      <c r="I6002" t="s">
        <v>22493</v>
      </c>
      <c r="J6002" t="s">
        <v>26516</v>
      </c>
      <c r="K6002" t="s">
        <v>29336</v>
      </c>
      <c r="M6002" t="s">
        <v>31644</v>
      </c>
      <c r="N6002" t="s">
        <v>32524</v>
      </c>
      <c r="O6002" t="s">
        <v>32525</v>
      </c>
      <c r="P6002">
        <v>0</v>
      </c>
      <c r="Q6002">
        <v>1</v>
      </c>
      <c r="R6002" t="s">
        <v>32532</v>
      </c>
      <c r="S6002" t="s">
        <v>32616</v>
      </c>
      <c r="T6002" t="s">
        <v>33259</v>
      </c>
      <c r="U6002" t="s">
        <v>38700</v>
      </c>
      <c r="W6002" t="s">
        <v>31644</v>
      </c>
      <c r="X6002" t="s">
        <v>32534</v>
      </c>
    </row>
    <row r="6003" spans="1:24">
      <c r="A6003">
        <f>HYPERLINK("https://www.philgeps.gov.ph/GEPSNONPILOT/Tender/SplashBidNoticeAbstractUI.aspx?menuIndex=3&amp;refID=7034755&amp;Result=3","7034755")</f>
        <v>0</v>
      </c>
      <c r="B6003" t="s">
        <v>1726</v>
      </c>
      <c r="C6003" t="s">
        <v>8425</v>
      </c>
      <c r="D6003" t="s">
        <v>12988</v>
      </c>
      <c r="E6003" t="s">
        <v>18414</v>
      </c>
      <c r="F6003" t="s">
        <v>22436</v>
      </c>
      <c r="G6003" t="s">
        <v>22444</v>
      </c>
      <c r="H6003" t="s">
        <v>22452</v>
      </c>
      <c r="I6003" t="s">
        <v>3122</v>
      </c>
      <c r="J6003" t="s">
        <v>22634</v>
      </c>
      <c r="K6003" t="s">
        <v>29336</v>
      </c>
      <c r="M6003" t="s">
        <v>31644</v>
      </c>
      <c r="N6003" t="s">
        <v>32524</v>
      </c>
      <c r="O6003" t="s">
        <v>32525</v>
      </c>
      <c r="P6003">
        <v>0</v>
      </c>
      <c r="Q6003">
        <v>2</v>
      </c>
      <c r="R6003" t="s">
        <v>32532</v>
      </c>
      <c r="S6003" t="s">
        <v>32616</v>
      </c>
      <c r="T6003" t="s">
        <v>33259</v>
      </c>
      <c r="U6003" t="s">
        <v>38699</v>
      </c>
      <c r="W6003" t="s">
        <v>31644</v>
      </c>
      <c r="X6003" t="s">
        <v>32534</v>
      </c>
    </row>
    <row r="6004" spans="1:24">
      <c r="A6004">
        <f>HYPERLINK("https://www.philgeps.gov.ph/GEPSNONPILOT/Tender/SplashBidNoticeAbstractUI.aspx?menuIndex=3&amp;refID=7034760&amp;Result=3","7034760")</f>
        <v>0</v>
      </c>
      <c r="B6004" t="s">
        <v>1752</v>
      </c>
      <c r="C6004" t="s">
        <v>8426</v>
      </c>
      <c r="D6004" t="s">
        <v>13022</v>
      </c>
      <c r="E6004" t="s">
        <v>18415</v>
      </c>
      <c r="F6004" t="s">
        <v>22436</v>
      </c>
      <c r="G6004" t="s">
        <v>22444</v>
      </c>
      <c r="H6004" t="s">
        <v>22454</v>
      </c>
      <c r="I6004" t="s">
        <v>7738</v>
      </c>
      <c r="J6004" t="s">
        <v>26517</v>
      </c>
      <c r="K6004" t="s">
        <v>29334</v>
      </c>
      <c r="M6004" t="s">
        <v>31646</v>
      </c>
      <c r="N6004" t="s">
        <v>32524</v>
      </c>
      <c r="O6004" t="s">
        <v>32525</v>
      </c>
      <c r="P6004">
        <v>0</v>
      </c>
      <c r="Q6004">
        <v>2</v>
      </c>
      <c r="R6004" t="s">
        <v>32532</v>
      </c>
      <c r="S6004" t="s">
        <v>32616</v>
      </c>
      <c r="T6004" t="s">
        <v>33455</v>
      </c>
      <c r="U6004" t="s">
        <v>38701</v>
      </c>
      <c r="W6004" t="s">
        <v>31646</v>
      </c>
      <c r="X6004" t="s">
        <v>32534</v>
      </c>
    </row>
    <row r="6005" spans="1:24">
      <c r="A6005">
        <f>HYPERLINK("https://www.philgeps.gov.ph/GEPSNONPILOT/Tender/SplashBidNoticeAbstractUI.aspx?menuIndex=3&amp;refID=7034703&amp;Result=3","7034703")</f>
        <v>0</v>
      </c>
      <c r="B6005" t="s">
        <v>82</v>
      </c>
      <c r="C6005" t="s">
        <v>8427</v>
      </c>
      <c r="D6005" t="s">
        <v>13024</v>
      </c>
      <c r="E6005" t="s">
        <v>18416</v>
      </c>
      <c r="F6005" t="s">
        <v>22436</v>
      </c>
      <c r="G6005" t="s">
        <v>22447</v>
      </c>
      <c r="H6005" t="s">
        <v>22452</v>
      </c>
      <c r="I6005" t="s">
        <v>22461</v>
      </c>
      <c r="J6005" t="s">
        <v>26518</v>
      </c>
      <c r="K6005" t="s">
        <v>29336</v>
      </c>
      <c r="M6005" t="s">
        <v>29654</v>
      </c>
      <c r="N6005" t="s">
        <v>32524</v>
      </c>
      <c r="O6005" t="s">
        <v>32525</v>
      </c>
      <c r="P6005">
        <v>0</v>
      </c>
      <c r="Q6005">
        <v>0</v>
      </c>
      <c r="R6005" t="s">
        <v>32532</v>
      </c>
      <c r="S6005" t="s">
        <v>32616</v>
      </c>
      <c r="T6005" t="s">
        <v>33521</v>
      </c>
      <c r="U6005" t="s">
        <v>38702</v>
      </c>
      <c r="W6005" t="s">
        <v>29654</v>
      </c>
      <c r="X6005" t="s">
        <v>32534</v>
      </c>
    </row>
    <row r="6006" spans="1:24">
      <c r="A6006">
        <f>HYPERLINK("https://www.philgeps.gov.ph/GEPSNONPILOT/Tender/SplashBidNoticeAbstractUI.aspx?menuIndex=3&amp;refID=7034833&amp;Result=3","7034833")</f>
        <v>0</v>
      </c>
      <c r="B6006" t="s">
        <v>1726</v>
      </c>
      <c r="C6006" t="s">
        <v>8428</v>
      </c>
      <c r="D6006" t="s">
        <v>12988</v>
      </c>
      <c r="E6006" t="s">
        <v>18417</v>
      </c>
      <c r="F6006" t="s">
        <v>22436</v>
      </c>
      <c r="G6006" t="s">
        <v>22444</v>
      </c>
      <c r="H6006" t="s">
        <v>22454</v>
      </c>
      <c r="I6006" t="s">
        <v>7738</v>
      </c>
      <c r="J6006" t="s">
        <v>26519</v>
      </c>
      <c r="K6006" t="s">
        <v>29334</v>
      </c>
      <c r="M6006" t="s">
        <v>31644</v>
      </c>
      <c r="N6006" t="s">
        <v>32524</v>
      </c>
      <c r="O6006" t="s">
        <v>32525</v>
      </c>
      <c r="P6006">
        <v>0</v>
      </c>
      <c r="Q6006">
        <v>2</v>
      </c>
      <c r="R6006" t="s">
        <v>32532</v>
      </c>
      <c r="S6006" t="s">
        <v>32616</v>
      </c>
      <c r="T6006" t="s">
        <v>33259</v>
      </c>
      <c r="U6006" t="s">
        <v>38703</v>
      </c>
      <c r="W6006" t="s">
        <v>31644</v>
      </c>
      <c r="X6006" t="s">
        <v>32534</v>
      </c>
    </row>
    <row r="6007" spans="1:24">
      <c r="A6007">
        <f>HYPERLINK("https://www.philgeps.gov.ph/GEPSNONPILOT/Tender/SplashBidNoticeAbstractUI.aspx?menuIndex=3&amp;refID=7034748&amp;Result=3","7034748")</f>
        <v>0</v>
      </c>
      <c r="B6007" t="s">
        <v>941</v>
      </c>
      <c r="C6007" t="s">
        <v>8429</v>
      </c>
      <c r="D6007" t="s">
        <v>13006</v>
      </c>
      <c r="E6007" t="s">
        <v>18418</v>
      </c>
      <c r="F6007" t="s">
        <v>22436</v>
      </c>
      <c r="G6007" t="s">
        <v>22444</v>
      </c>
      <c r="H6007" t="s">
        <v>22452</v>
      </c>
      <c r="I6007" t="s">
        <v>22502</v>
      </c>
      <c r="J6007" t="s">
        <v>26520</v>
      </c>
      <c r="K6007" t="s">
        <v>29335</v>
      </c>
      <c r="M6007" t="s">
        <v>31639</v>
      </c>
      <c r="N6007" t="s">
        <v>32524</v>
      </c>
      <c r="O6007" t="s">
        <v>32525</v>
      </c>
      <c r="P6007">
        <v>0</v>
      </c>
      <c r="Q6007">
        <v>6</v>
      </c>
      <c r="R6007" t="s">
        <v>32532</v>
      </c>
      <c r="S6007" t="s">
        <v>32616</v>
      </c>
      <c r="T6007" t="s">
        <v>33242</v>
      </c>
      <c r="U6007" t="s">
        <v>38704</v>
      </c>
      <c r="V6007" t="s">
        <v>43097</v>
      </c>
      <c r="W6007" t="s">
        <v>31639</v>
      </c>
      <c r="X6007" t="s">
        <v>32534</v>
      </c>
    </row>
    <row r="6008" spans="1:24">
      <c r="A6008">
        <f>HYPERLINK("https://www.philgeps.gov.ph/GEPSNONPILOT/Tender/SplashBidNoticeAbstractUI.aspx?menuIndex=3&amp;refID=7034818&amp;Result=3","7034818")</f>
        <v>0</v>
      </c>
      <c r="B6008" t="s">
        <v>1752</v>
      </c>
      <c r="C6008" t="s">
        <v>8430</v>
      </c>
      <c r="D6008" t="s">
        <v>13022</v>
      </c>
      <c r="E6008" t="s">
        <v>18419</v>
      </c>
      <c r="F6008" t="s">
        <v>22436</v>
      </c>
      <c r="G6008" t="s">
        <v>22444</v>
      </c>
      <c r="H6008" t="s">
        <v>22454</v>
      </c>
      <c r="I6008" t="s">
        <v>7738</v>
      </c>
      <c r="J6008" t="s">
        <v>26521</v>
      </c>
      <c r="K6008" t="s">
        <v>29352</v>
      </c>
      <c r="M6008" t="s">
        <v>31646</v>
      </c>
      <c r="N6008" t="s">
        <v>32524</v>
      </c>
      <c r="O6008" t="s">
        <v>32525</v>
      </c>
      <c r="P6008">
        <v>0</v>
      </c>
      <c r="Q6008">
        <v>2</v>
      </c>
      <c r="R6008" t="s">
        <v>32532</v>
      </c>
      <c r="S6008" t="s">
        <v>32616</v>
      </c>
      <c r="T6008" t="s">
        <v>33455</v>
      </c>
      <c r="U6008" t="s">
        <v>38705</v>
      </c>
      <c r="W6008" t="s">
        <v>31646</v>
      </c>
      <c r="X6008" t="s">
        <v>32534</v>
      </c>
    </row>
    <row r="6009" spans="1:24">
      <c r="A6009">
        <f>HYPERLINK("https://www.philgeps.gov.ph/GEPSNONPILOT/Tender/SplashBidNoticeAbstractUI.aspx?menuIndex=3&amp;refID=7034711&amp;Result=3","7034711")</f>
        <v>0</v>
      </c>
      <c r="B6009" t="s">
        <v>941</v>
      </c>
      <c r="C6009" t="s">
        <v>8431</v>
      </c>
      <c r="D6009" t="s">
        <v>13006</v>
      </c>
      <c r="E6009" t="s">
        <v>18420</v>
      </c>
      <c r="F6009" t="s">
        <v>22436</v>
      </c>
      <c r="G6009" t="s">
        <v>22444</v>
      </c>
      <c r="H6009" t="s">
        <v>22452</v>
      </c>
      <c r="I6009" t="s">
        <v>6421</v>
      </c>
      <c r="J6009" t="s">
        <v>26522</v>
      </c>
      <c r="K6009" t="s">
        <v>29335</v>
      </c>
      <c r="M6009" t="s">
        <v>31639</v>
      </c>
      <c r="N6009" t="s">
        <v>32524</v>
      </c>
      <c r="O6009" t="s">
        <v>32525</v>
      </c>
      <c r="P6009">
        <v>0</v>
      </c>
      <c r="Q6009">
        <v>4</v>
      </c>
      <c r="R6009" t="s">
        <v>32532</v>
      </c>
      <c r="S6009" t="s">
        <v>32616</v>
      </c>
      <c r="T6009" t="s">
        <v>33242</v>
      </c>
      <c r="U6009" t="s">
        <v>38706</v>
      </c>
      <c r="V6009" t="s">
        <v>43098</v>
      </c>
      <c r="W6009" t="s">
        <v>31639</v>
      </c>
      <c r="X6009" t="s">
        <v>32534</v>
      </c>
    </row>
    <row r="6010" spans="1:24">
      <c r="A6010">
        <f>HYPERLINK("https://www.philgeps.gov.ph/GEPSNONPILOT/Tender/SplashBidNoticeAbstractUI.aspx?menuIndex=3&amp;refID=7034789&amp;Result=3","7034789")</f>
        <v>0</v>
      </c>
      <c r="B6010" t="s">
        <v>1752</v>
      </c>
      <c r="C6010" t="s">
        <v>8432</v>
      </c>
      <c r="D6010" t="s">
        <v>13022</v>
      </c>
      <c r="E6010" t="s">
        <v>18421</v>
      </c>
      <c r="F6010" t="s">
        <v>22436</v>
      </c>
      <c r="G6010" t="s">
        <v>22444</v>
      </c>
      <c r="H6010" t="s">
        <v>22454</v>
      </c>
      <c r="I6010" t="s">
        <v>7738</v>
      </c>
      <c r="J6010" t="s">
        <v>26523</v>
      </c>
      <c r="K6010" t="s">
        <v>29486</v>
      </c>
      <c r="M6010" t="s">
        <v>31646</v>
      </c>
      <c r="N6010" t="s">
        <v>32524</v>
      </c>
      <c r="O6010" t="s">
        <v>32525</v>
      </c>
      <c r="P6010">
        <v>0</v>
      </c>
      <c r="Q6010">
        <v>2</v>
      </c>
      <c r="R6010" t="s">
        <v>32532</v>
      </c>
      <c r="S6010" t="s">
        <v>32616</v>
      </c>
      <c r="T6010" t="s">
        <v>33455</v>
      </c>
      <c r="U6010" t="s">
        <v>38707</v>
      </c>
      <c r="W6010" t="s">
        <v>31646</v>
      </c>
      <c r="X6010" t="s">
        <v>32534</v>
      </c>
    </row>
    <row r="6011" spans="1:24">
      <c r="A6011">
        <f>HYPERLINK("https://www.philgeps.gov.ph/GEPSNONPILOT/Tender/SplashBidNoticeAbstractUI.aspx?menuIndex=3&amp;refID=7034831&amp;Result=3","7034831")</f>
        <v>0</v>
      </c>
      <c r="B6011" t="s">
        <v>1920</v>
      </c>
      <c r="C6011" t="s">
        <v>8433</v>
      </c>
      <c r="D6011" t="s">
        <v>13006</v>
      </c>
      <c r="E6011" t="s">
        <v>18422</v>
      </c>
      <c r="F6011" t="s">
        <v>22436</v>
      </c>
      <c r="G6011" t="s">
        <v>22444</v>
      </c>
      <c r="H6011" t="s">
        <v>22452</v>
      </c>
      <c r="I6011" t="s">
        <v>22460</v>
      </c>
      <c r="J6011" t="s">
        <v>26524</v>
      </c>
      <c r="K6011" t="s">
        <v>29347</v>
      </c>
      <c r="M6011" t="s">
        <v>31647</v>
      </c>
      <c r="N6011" t="s">
        <v>32524</v>
      </c>
      <c r="O6011" t="s">
        <v>32525</v>
      </c>
      <c r="P6011">
        <v>0</v>
      </c>
      <c r="Q6011">
        <v>7</v>
      </c>
      <c r="R6011" t="s">
        <v>32532</v>
      </c>
      <c r="S6011" t="s">
        <v>32616</v>
      </c>
      <c r="T6011" t="s">
        <v>33455</v>
      </c>
      <c r="U6011" t="s">
        <v>38708</v>
      </c>
      <c r="W6011" t="s">
        <v>31647</v>
      </c>
      <c r="X6011" t="s">
        <v>32534</v>
      </c>
    </row>
    <row r="6012" spans="1:24">
      <c r="A6012">
        <f>HYPERLINK("https://www.philgeps.gov.ph/GEPSNONPILOT/Tender/SplashBidNoticeAbstractUI.aspx?menuIndex=3&amp;refID=7034839&amp;Result=3","7034839")</f>
        <v>0</v>
      </c>
      <c r="B6012" t="s">
        <v>214</v>
      </c>
      <c r="C6012" t="s">
        <v>8434</v>
      </c>
      <c r="D6012" t="s">
        <v>12992</v>
      </c>
      <c r="E6012" t="s">
        <v>14074</v>
      </c>
      <c r="F6012" t="s">
        <v>22436</v>
      </c>
      <c r="G6012" t="s">
        <v>22444</v>
      </c>
      <c r="H6012" t="s">
        <v>22452</v>
      </c>
      <c r="I6012" t="s">
        <v>3529</v>
      </c>
      <c r="J6012" t="s">
        <v>22616</v>
      </c>
      <c r="K6012" t="s">
        <v>29335</v>
      </c>
      <c r="M6012" t="s">
        <v>29787</v>
      </c>
      <c r="N6012" t="s">
        <v>32524</v>
      </c>
      <c r="O6012" t="s">
        <v>32525</v>
      </c>
      <c r="P6012">
        <v>0</v>
      </c>
      <c r="Q6012">
        <v>0</v>
      </c>
      <c r="R6012" t="s">
        <v>32532</v>
      </c>
      <c r="S6012" t="s">
        <v>32616</v>
      </c>
      <c r="T6012" t="s">
        <v>33181</v>
      </c>
      <c r="U6012" t="s">
        <v>38709</v>
      </c>
      <c r="W6012" t="s">
        <v>29787</v>
      </c>
      <c r="X6012" t="s">
        <v>32534</v>
      </c>
    </row>
    <row r="6013" spans="1:24">
      <c r="A6013">
        <f>HYPERLINK("https://www.philgeps.gov.ph/GEPSNONPILOT/Tender/SplashBidNoticeAbstractUI.aspx?menuIndex=3&amp;refID=7034820&amp;Result=3","7034820")</f>
        <v>0</v>
      </c>
      <c r="B6013" t="s">
        <v>1726</v>
      </c>
      <c r="C6013" t="s">
        <v>8435</v>
      </c>
      <c r="D6013" t="s">
        <v>12988</v>
      </c>
      <c r="E6013" t="s">
        <v>18423</v>
      </c>
      <c r="F6013" t="s">
        <v>22436</v>
      </c>
      <c r="G6013" t="s">
        <v>22444</v>
      </c>
      <c r="H6013" t="s">
        <v>22452</v>
      </c>
      <c r="I6013" t="s">
        <v>2981</v>
      </c>
      <c r="J6013" t="s">
        <v>24169</v>
      </c>
      <c r="K6013" t="s">
        <v>29336</v>
      </c>
      <c r="M6013" t="s">
        <v>31644</v>
      </c>
      <c r="N6013" t="s">
        <v>32524</v>
      </c>
      <c r="O6013" t="s">
        <v>32525</v>
      </c>
      <c r="P6013">
        <v>0</v>
      </c>
      <c r="Q6013">
        <v>0</v>
      </c>
      <c r="R6013" t="s">
        <v>32532</v>
      </c>
      <c r="S6013" t="s">
        <v>32616</v>
      </c>
      <c r="T6013" t="s">
        <v>33259</v>
      </c>
      <c r="U6013" t="s">
        <v>38696</v>
      </c>
      <c r="W6013" t="s">
        <v>31644</v>
      </c>
      <c r="X6013" t="s">
        <v>32534</v>
      </c>
    </row>
    <row r="6014" spans="1:24">
      <c r="A6014">
        <f>HYPERLINK("https://www.philgeps.gov.ph/GEPSNONPILOT/Tender/SplashBidNoticeAbstractUI.aspx?menuIndex=3&amp;refID=7034888&amp;Result=3","7034888")</f>
        <v>0</v>
      </c>
      <c r="B6014" t="s">
        <v>1726</v>
      </c>
      <c r="C6014" t="s">
        <v>8436</v>
      </c>
      <c r="D6014" t="s">
        <v>12988</v>
      </c>
      <c r="E6014" t="s">
        <v>18424</v>
      </c>
      <c r="F6014" t="s">
        <v>22436</v>
      </c>
      <c r="G6014" t="s">
        <v>22444</v>
      </c>
      <c r="H6014" t="s">
        <v>22452</v>
      </c>
      <c r="I6014" t="s">
        <v>22460</v>
      </c>
      <c r="J6014" t="s">
        <v>26525</v>
      </c>
      <c r="K6014" t="s">
        <v>29336</v>
      </c>
      <c r="M6014" t="s">
        <v>31644</v>
      </c>
      <c r="N6014" t="s">
        <v>32524</v>
      </c>
      <c r="O6014" t="s">
        <v>32525</v>
      </c>
      <c r="P6014">
        <v>0</v>
      </c>
      <c r="Q6014">
        <v>3</v>
      </c>
      <c r="R6014" t="s">
        <v>32532</v>
      </c>
      <c r="S6014" t="s">
        <v>32616</v>
      </c>
      <c r="T6014" t="s">
        <v>33259</v>
      </c>
      <c r="U6014" t="s">
        <v>38697</v>
      </c>
      <c r="W6014" t="s">
        <v>31644</v>
      </c>
      <c r="X6014" t="s">
        <v>32534</v>
      </c>
    </row>
    <row r="6015" spans="1:24">
      <c r="A6015">
        <f>HYPERLINK("https://www.philgeps.gov.ph/GEPSNONPILOT/Tender/SplashBidNoticeAbstractUI.aspx?menuIndex=3&amp;refID=7034856&amp;Result=3","7034856")</f>
        <v>0</v>
      </c>
      <c r="B6015" t="s">
        <v>1726</v>
      </c>
      <c r="C6015" t="s">
        <v>8437</v>
      </c>
      <c r="D6015" t="s">
        <v>12988</v>
      </c>
      <c r="E6015" t="s">
        <v>18425</v>
      </c>
      <c r="F6015" t="s">
        <v>22436</v>
      </c>
      <c r="G6015" t="s">
        <v>22444</v>
      </c>
      <c r="H6015" t="s">
        <v>22453</v>
      </c>
      <c r="I6015" t="s">
        <v>22475</v>
      </c>
      <c r="J6015" t="s">
        <v>22605</v>
      </c>
      <c r="K6015" t="s">
        <v>29336</v>
      </c>
      <c r="M6015" t="s">
        <v>31644</v>
      </c>
      <c r="N6015" t="s">
        <v>32524</v>
      </c>
      <c r="O6015" t="s">
        <v>32525</v>
      </c>
      <c r="P6015">
        <v>0</v>
      </c>
      <c r="Q6015">
        <v>0</v>
      </c>
      <c r="R6015" t="s">
        <v>32532</v>
      </c>
      <c r="S6015" t="s">
        <v>32616</v>
      </c>
      <c r="T6015" t="s">
        <v>33259</v>
      </c>
      <c r="U6015" t="s">
        <v>38710</v>
      </c>
      <c r="W6015" t="s">
        <v>31644</v>
      </c>
      <c r="X6015" t="s">
        <v>32534</v>
      </c>
    </row>
    <row r="6016" spans="1:24">
      <c r="A6016">
        <f>HYPERLINK("https://www.philgeps.gov.ph/GEPSNONPILOT/Tender/SplashBidNoticeAbstractUI.aspx?menuIndex=3&amp;refID=7034807&amp;Result=3","7034807")</f>
        <v>0</v>
      </c>
      <c r="B6016" t="s">
        <v>651</v>
      </c>
      <c r="C6016" t="s">
        <v>8438</v>
      </c>
      <c r="D6016" t="s">
        <v>13029</v>
      </c>
      <c r="E6016" t="s">
        <v>13927</v>
      </c>
      <c r="F6016" t="s">
        <v>22436</v>
      </c>
      <c r="G6016" t="s">
        <v>22444</v>
      </c>
      <c r="H6016" t="s">
        <v>22452</v>
      </c>
      <c r="I6016" t="s">
        <v>22463</v>
      </c>
      <c r="J6016" t="s">
        <v>22911</v>
      </c>
      <c r="K6016" t="s">
        <v>29335</v>
      </c>
      <c r="M6016" t="s">
        <v>30243</v>
      </c>
      <c r="N6016" t="s">
        <v>32524</v>
      </c>
      <c r="O6016" t="s">
        <v>32525</v>
      </c>
      <c r="P6016">
        <v>0</v>
      </c>
      <c r="Q6016">
        <v>4</v>
      </c>
      <c r="R6016" t="s">
        <v>32532</v>
      </c>
      <c r="S6016" t="s">
        <v>32616</v>
      </c>
      <c r="T6016" t="s">
        <v>33169</v>
      </c>
      <c r="U6016" t="s">
        <v>38711</v>
      </c>
      <c r="W6016" t="s">
        <v>30243</v>
      </c>
      <c r="X6016" t="s">
        <v>32534</v>
      </c>
    </row>
    <row r="6017" spans="1:24">
      <c r="A6017">
        <f>HYPERLINK("https://www.philgeps.gov.ph/GEPSNONPILOT/Tender/SplashBidNoticeAbstractUI.aspx?menuIndex=3&amp;refID=7035073&amp;Result=3","7035073")</f>
        <v>0</v>
      </c>
      <c r="B6017" t="s">
        <v>1761</v>
      </c>
      <c r="C6017" t="s">
        <v>8439</v>
      </c>
      <c r="D6017" t="s">
        <v>12990</v>
      </c>
      <c r="E6017" t="s">
        <v>18426</v>
      </c>
      <c r="F6017" t="s">
        <v>22436</v>
      </c>
      <c r="G6017" t="s">
        <v>22444</v>
      </c>
      <c r="H6017" t="s">
        <v>22454</v>
      </c>
      <c r="I6017" t="s">
        <v>7738</v>
      </c>
      <c r="J6017" t="s">
        <v>22779</v>
      </c>
      <c r="K6017" t="s">
        <v>29334</v>
      </c>
      <c r="M6017" t="s">
        <v>31467</v>
      </c>
      <c r="N6017" t="s">
        <v>32524</v>
      </c>
      <c r="O6017" t="s">
        <v>32525</v>
      </c>
      <c r="P6017">
        <v>0</v>
      </c>
      <c r="Q6017">
        <v>0</v>
      </c>
      <c r="R6017" t="s">
        <v>32532</v>
      </c>
      <c r="S6017" t="s">
        <v>32616</v>
      </c>
      <c r="T6017" t="s">
        <v>33261</v>
      </c>
      <c r="U6017" t="s">
        <v>38712</v>
      </c>
      <c r="W6017" t="s">
        <v>31467</v>
      </c>
      <c r="X6017" t="s">
        <v>32534</v>
      </c>
    </row>
    <row r="6018" spans="1:24">
      <c r="A6018">
        <f>HYPERLINK("https://www.philgeps.gov.ph/GEPSNONPILOT/Tender/SplashBidNoticeAbstractUI.aspx?menuIndex=3&amp;refID=7035057&amp;Result=3","7035057")</f>
        <v>0</v>
      </c>
      <c r="B6018" t="s">
        <v>1761</v>
      </c>
      <c r="C6018" t="s">
        <v>8440</v>
      </c>
      <c r="D6018" t="s">
        <v>12990</v>
      </c>
      <c r="E6018" t="s">
        <v>18427</v>
      </c>
      <c r="F6018" t="s">
        <v>22436</v>
      </c>
      <c r="G6018" t="s">
        <v>22444</v>
      </c>
      <c r="H6018" t="s">
        <v>22454</v>
      </c>
      <c r="I6018" t="s">
        <v>7738</v>
      </c>
      <c r="J6018" t="s">
        <v>22877</v>
      </c>
      <c r="K6018" t="s">
        <v>29334</v>
      </c>
      <c r="M6018" t="s">
        <v>31467</v>
      </c>
      <c r="N6018" t="s">
        <v>32524</v>
      </c>
      <c r="O6018" t="s">
        <v>32525</v>
      </c>
      <c r="P6018">
        <v>0</v>
      </c>
      <c r="Q6018">
        <v>1</v>
      </c>
      <c r="R6018" t="s">
        <v>32532</v>
      </c>
      <c r="S6018" t="s">
        <v>32616</v>
      </c>
      <c r="T6018" t="s">
        <v>33261</v>
      </c>
      <c r="U6018" t="s">
        <v>38713</v>
      </c>
      <c r="W6018" t="s">
        <v>31467</v>
      </c>
      <c r="X6018" t="s">
        <v>32534</v>
      </c>
    </row>
    <row r="6019" spans="1:24">
      <c r="A6019">
        <f>HYPERLINK("https://www.philgeps.gov.ph/GEPSNONPILOT/Tender/SplashBidNoticeAbstractUI.aspx?menuIndex=3&amp;refID=7035054&amp;Result=3","7035054")</f>
        <v>0</v>
      </c>
      <c r="B6019" t="s">
        <v>1761</v>
      </c>
      <c r="C6019" t="s">
        <v>8441</v>
      </c>
      <c r="D6019" t="s">
        <v>12990</v>
      </c>
      <c r="E6019" t="s">
        <v>18428</v>
      </c>
      <c r="F6019" t="s">
        <v>22436</v>
      </c>
      <c r="G6019" t="s">
        <v>22444</v>
      </c>
      <c r="H6019" t="s">
        <v>22454</v>
      </c>
      <c r="I6019" t="s">
        <v>7738</v>
      </c>
      <c r="J6019" t="s">
        <v>22877</v>
      </c>
      <c r="K6019" t="s">
        <v>29334</v>
      </c>
      <c r="M6019" t="s">
        <v>31467</v>
      </c>
      <c r="N6019" t="s">
        <v>32524</v>
      </c>
      <c r="O6019" t="s">
        <v>32525</v>
      </c>
      <c r="P6019">
        <v>0</v>
      </c>
      <c r="Q6019">
        <v>0</v>
      </c>
      <c r="R6019" t="s">
        <v>32532</v>
      </c>
      <c r="S6019" t="s">
        <v>32616</v>
      </c>
      <c r="T6019" t="s">
        <v>33261</v>
      </c>
      <c r="U6019" t="s">
        <v>38714</v>
      </c>
      <c r="W6019" t="s">
        <v>31467</v>
      </c>
      <c r="X6019" t="s">
        <v>32534</v>
      </c>
    </row>
    <row r="6020" spans="1:24">
      <c r="A6020">
        <f>HYPERLINK("https://www.philgeps.gov.ph/GEPSNONPILOT/Tender/SplashBidNoticeAbstractUI.aspx?menuIndex=3&amp;refID=7034939&amp;Result=3","7034939")</f>
        <v>0</v>
      </c>
      <c r="B6020" t="s">
        <v>1921</v>
      </c>
      <c r="C6020" t="s">
        <v>8442</v>
      </c>
      <c r="D6020" t="s">
        <v>13007</v>
      </c>
      <c r="E6020" t="s">
        <v>15063</v>
      </c>
      <c r="F6020" t="s">
        <v>22436</v>
      </c>
      <c r="G6020" t="s">
        <v>22444</v>
      </c>
      <c r="H6020" t="s">
        <v>22452</v>
      </c>
      <c r="I6020" t="s">
        <v>5194</v>
      </c>
      <c r="J6020" t="s">
        <v>26526</v>
      </c>
      <c r="K6020" t="s">
        <v>29341</v>
      </c>
      <c r="M6020" t="s">
        <v>31648</v>
      </c>
      <c r="N6020" t="s">
        <v>32524</v>
      </c>
      <c r="O6020" t="s">
        <v>32525</v>
      </c>
      <c r="P6020">
        <v>0</v>
      </c>
      <c r="Q6020">
        <v>5</v>
      </c>
      <c r="R6020" t="s">
        <v>32532</v>
      </c>
      <c r="S6020" t="s">
        <v>32616</v>
      </c>
      <c r="T6020" t="s">
        <v>33524</v>
      </c>
      <c r="U6020" t="s">
        <v>38715</v>
      </c>
      <c r="W6020" t="s">
        <v>31648</v>
      </c>
      <c r="X6020" t="s">
        <v>32534</v>
      </c>
    </row>
    <row r="6021" spans="1:24">
      <c r="A6021">
        <f>HYPERLINK("https://www.philgeps.gov.ph/GEPSNONPILOT/Tender/SplashBidNoticeAbstractUI.aspx?menuIndex=3&amp;refID=7035065&amp;Result=3","7035065")</f>
        <v>0</v>
      </c>
      <c r="B6021" t="s">
        <v>1761</v>
      </c>
      <c r="C6021" t="s">
        <v>8443</v>
      </c>
      <c r="D6021" t="s">
        <v>12990</v>
      </c>
      <c r="E6021" t="s">
        <v>18429</v>
      </c>
      <c r="F6021" t="s">
        <v>22436</v>
      </c>
      <c r="G6021" t="s">
        <v>22444</v>
      </c>
      <c r="H6021" t="s">
        <v>22454</v>
      </c>
      <c r="I6021" t="s">
        <v>7738</v>
      </c>
      <c r="J6021" t="s">
        <v>22779</v>
      </c>
      <c r="K6021" t="s">
        <v>29334</v>
      </c>
      <c r="M6021" t="s">
        <v>31467</v>
      </c>
      <c r="N6021" t="s">
        <v>32524</v>
      </c>
      <c r="O6021" t="s">
        <v>32525</v>
      </c>
      <c r="P6021">
        <v>0</v>
      </c>
      <c r="Q6021">
        <v>0</v>
      </c>
      <c r="R6021" t="s">
        <v>32532</v>
      </c>
      <c r="S6021" t="s">
        <v>32616</v>
      </c>
      <c r="T6021" t="s">
        <v>33261</v>
      </c>
      <c r="U6021" t="s">
        <v>38716</v>
      </c>
      <c r="W6021" t="s">
        <v>31467</v>
      </c>
      <c r="X6021" t="s">
        <v>32534</v>
      </c>
    </row>
    <row r="6022" spans="1:24">
      <c r="A6022">
        <f>HYPERLINK("https://www.philgeps.gov.ph/GEPSNONPILOT/Tender/SplashBidNoticeAbstractUI.aspx?menuIndex=3&amp;refID=7034932&amp;Result=3","7034932")</f>
        <v>0</v>
      </c>
      <c r="B6022" t="s">
        <v>1917</v>
      </c>
      <c r="C6022" t="s">
        <v>8444</v>
      </c>
      <c r="D6022" t="s">
        <v>13011</v>
      </c>
      <c r="E6022" t="s">
        <v>18430</v>
      </c>
      <c r="F6022" t="s">
        <v>22436</v>
      </c>
      <c r="G6022" t="s">
        <v>22444</v>
      </c>
      <c r="H6022" t="s">
        <v>22452</v>
      </c>
      <c r="I6022" t="s">
        <v>6421</v>
      </c>
      <c r="J6022" t="s">
        <v>26527</v>
      </c>
      <c r="K6022" t="s">
        <v>29330</v>
      </c>
      <c r="M6022" t="s">
        <v>31642</v>
      </c>
      <c r="N6022" t="s">
        <v>32524</v>
      </c>
      <c r="O6022" t="s">
        <v>32525</v>
      </c>
      <c r="P6022">
        <v>0</v>
      </c>
      <c r="Q6022">
        <v>8</v>
      </c>
      <c r="R6022" t="s">
        <v>32532</v>
      </c>
      <c r="S6022" t="s">
        <v>32616</v>
      </c>
      <c r="T6022" t="s">
        <v>33323</v>
      </c>
      <c r="U6022" t="s">
        <v>38717</v>
      </c>
      <c r="V6022" t="s">
        <v>43095</v>
      </c>
      <c r="W6022" t="s">
        <v>31642</v>
      </c>
      <c r="X6022" t="s">
        <v>32534</v>
      </c>
    </row>
    <row r="6023" spans="1:24">
      <c r="A6023">
        <f>HYPERLINK("https://www.philgeps.gov.ph/GEPSNONPILOT/Tender/SplashBidNoticeAbstractUI.aspx?menuIndex=3&amp;refID=7034876&amp;Result=3","7034876")</f>
        <v>0</v>
      </c>
      <c r="B6023" t="s">
        <v>1726</v>
      </c>
      <c r="C6023" t="s">
        <v>8445</v>
      </c>
      <c r="D6023" t="s">
        <v>12988</v>
      </c>
      <c r="E6023" t="s">
        <v>18431</v>
      </c>
      <c r="F6023" t="s">
        <v>22436</v>
      </c>
      <c r="G6023" t="s">
        <v>22444</v>
      </c>
      <c r="H6023" t="s">
        <v>22452</v>
      </c>
      <c r="I6023" t="s">
        <v>2981</v>
      </c>
      <c r="J6023" t="s">
        <v>26528</v>
      </c>
      <c r="K6023" t="s">
        <v>29336</v>
      </c>
      <c r="M6023" t="s">
        <v>31644</v>
      </c>
      <c r="N6023" t="s">
        <v>32524</v>
      </c>
      <c r="O6023" t="s">
        <v>32525</v>
      </c>
      <c r="P6023">
        <v>0</v>
      </c>
      <c r="Q6023">
        <v>0</v>
      </c>
      <c r="R6023" t="s">
        <v>32532</v>
      </c>
      <c r="S6023" t="s">
        <v>32616</v>
      </c>
      <c r="T6023" t="s">
        <v>33259</v>
      </c>
      <c r="U6023" t="s">
        <v>38696</v>
      </c>
      <c r="W6023" t="s">
        <v>31644</v>
      </c>
      <c r="X6023" t="s">
        <v>32534</v>
      </c>
    </row>
    <row r="6024" spans="1:24">
      <c r="A6024">
        <f>HYPERLINK("https://www.philgeps.gov.ph/GEPSNONPILOT/Tender/SplashBidNoticeAbstractUI.aspx?menuIndex=3&amp;refID=7035068&amp;Result=3","7035068")</f>
        <v>0</v>
      </c>
      <c r="B6024" t="s">
        <v>1761</v>
      </c>
      <c r="C6024" t="s">
        <v>8446</v>
      </c>
      <c r="D6024" t="s">
        <v>12990</v>
      </c>
      <c r="E6024" t="s">
        <v>18432</v>
      </c>
      <c r="F6024" t="s">
        <v>22436</v>
      </c>
      <c r="G6024" t="s">
        <v>22444</v>
      </c>
      <c r="H6024" t="s">
        <v>22454</v>
      </c>
      <c r="I6024" t="s">
        <v>7738</v>
      </c>
      <c r="J6024" t="s">
        <v>22877</v>
      </c>
      <c r="K6024" t="s">
        <v>29334</v>
      </c>
      <c r="M6024" t="s">
        <v>31467</v>
      </c>
      <c r="N6024" t="s">
        <v>32524</v>
      </c>
      <c r="O6024" t="s">
        <v>32525</v>
      </c>
      <c r="P6024">
        <v>0</v>
      </c>
      <c r="Q6024">
        <v>1</v>
      </c>
      <c r="R6024" t="s">
        <v>32532</v>
      </c>
      <c r="S6024" t="s">
        <v>32616</v>
      </c>
      <c r="T6024" t="s">
        <v>33261</v>
      </c>
      <c r="U6024" t="s">
        <v>38718</v>
      </c>
      <c r="W6024" t="s">
        <v>31467</v>
      </c>
      <c r="X6024" t="s">
        <v>32534</v>
      </c>
    </row>
    <row r="6025" spans="1:24">
      <c r="A6025">
        <f>HYPERLINK("https://www.philgeps.gov.ph/GEPSNONPILOT/Tender/SplashBidNoticeAbstractUI.aspx?menuIndex=3&amp;refID=7034792&amp;Result=3","7034792")</f>
        <v>0</v>
      </c>
      <c r="B6025" t="s">
        <v>1014</v>
      </c>
      <c r="C6025" t="s">
        <v>8447</v>
      </c>
      <c r="D6025" t="s">
        <v>12994</v>
      </c>
      <c r="E6025" t="s">
        <v>18433</v>
      </c>
      <c r="F6025" t="s">
        <v>22436</v>
      </c>
      <c r="G6025" t="s">
        <v>22444</v>
      </c>
      <c r="H6025" t="s">
        <v>22454</v>
      </c>
      <c r="I6025" t="s">
        <v>22564</v>
      </c>
      <c r="J6025" t="s">
        <v>26529</v>
      </c>
      <c r="K6025" t="s">
        <v>29388</v>
      </c>
      <c r="M6025" t="s">
        <v>31649</v>
      </c>
      <c r="N6025" t="s">
        <v>32524</v>
      </c>
      <c r="O6025" t="s">
        <v>32525</v>
      </c>
      <c r="P6025">
        <v>0</v>
      </c>
      <c r="Q6025">
        <v>2</v>
      </c>
      <c r="R6025" t="s">
        <v>32532</v>
      </c>
      <c r="S6025" t="s">
        <v>32616</v>
      </c>
      <c r="T6025" t="s">
        <v>33487</v>
      </c>
      <c r="U6025" t="s">
        <v>38719</v>
      </c>
      <c r="W6025" t="s">
        <v>31649</v>
      </c>
      <c r="X6025" t="s">
        <v>32534</v>
      </c>
    </row>
    <row r="6026" spans="1:24">
      <c r="A6026">
        <f>HYPERLINK("https://www.philgeps.gov.ph/GEPSNONPILOT/Tender/SplashBidNoticeAbstractUI.aspx?menuIndex=3&amp;refID=7035196&amp;Result=3","7035196")</f>
        <v>0</v>
      </c>
      <c r="B6026" t="s">
        <v>1584</v>
      </c>
      <c r="C6026" t="s">
        <v>8448</v>
      </c>
      <c r="D6026" t="s">
        <v>13033</v>
      </c>
      <c r="E6026" t="s">
        <v>18434</v>
      </c>
      <c r="F6026" t="s">
        <v>22436</v>
      </c>
      <c r="G6026" t="s">
        <v>22444</v>
      </c>
      <c r="H6026" t="s">
        <v>22454</v>
      </c>
      <c r="I6026" t="s">
        <v>7738</v>
      </c>
      <c r="J6026" t="s">
        <v>22605</v>
      </c>
      <c r="K6026" t="s">
        <v>29335</v>
      </c>
      <c r="M6026" t="s">
        <v>31266</v>
      </c>
      <c r="N6026" t="s">
        <v>32524</v>
      </c>
      <c r="O6026" t="s">
        <v>32525</v>
      </c>
      <c r="P6026">
        <v>0</v>
      </c>
      <c r="Q6026">
        <v>0</v>
      </c>
      <c r="R6026" t="s">
        <v>32532</v>
      </c>
      <c r="S6026" t="s">
        <v>32616</v>
      </c>
      <c r="T6026" t="s">
        <v>33361</v>
      </c>
      <c r="U6026" t="s">
        <v>38720</v>
      </c>
      <c r="W6026" t="s">
        <v>31266</v>
      </c>
      <c r="X6026" t="s">
        <v>32534</v>
      </c>
    </row>
    <row r="6027" spans="1:24">
      <c r="A6027">
        <f>HYPERLINK("https://www.philgeps.gov.ph/GEPSNONPILOT/Tender/SplashBidNoticeAbstractUI.aspx?menuIndex=3&amp;refID=7034867&amp;Result=3","7034867")</f>
        <v>0</v>
      </c>
      <c r="B6027" t="s">
        <v>1726</v>
      </c>
      <c r="C6027" t="s">
        <v>8449</v>
      </c>
      <c r="D6027" t="s">
        <v>12988</v>
      </c>
      <c r="E6027" t="s">
        <v>18435</v>
      </c>
      <c r="F6027" t="s">
        <v>22436</v>
      </c>
      <c r="G6027" t="s">
        <v>22444</v>
      </c>
      <c r="H6027" t="s">
        <v>22452</v>
      </c>
      <c r="I6027" t="s">
        <v>2993</v>
      </c>
      <c r="J6027" t="s">
        <v>22936</v>
      </c>
      <c r="K6027" t="s">
        <v>29336</v>
      </c>
      <c r="M6027" t="s">
        <v>31644</v>
      </c>
      <c r="N6027" t="s">
        <v>32524</v>
      </c>
      <c r="O6027" t="s">
        <v>32525</v>
      </c>
      <c r="P6027">
        <v>0</v>
      </c>
      <c r="Q6027">
        <v>1</v>
      </c>
      <c r="R6027" t="s">
        <v>32532</v>
      </c>
      <c r="S6027" t="s">
        <v>32616</v>
      </c>
      <c r="T6027" t="s">
        <v>33259</v>
      </c>
      <c r="U6027" t="s">
        <v>38721</v>
      </c>
      <c r="W6027" t="s">
        <v>31644</v>
      </c>
      <c r="X6027" t="s">
        <v>32534</v>
      </c>
    </row>
    <row r="6028" spans="1:24">
      <c r="A6028">
        <f>HYPERLINK("https://www.philgeps.gov.ph/GEPSNONPILOT/Tender/SplashBidNoticeAbstractUI.aspx?menuIndex=3&amp;refID=7035094&amp;Result=3","7035094")</f>
        <v>0</v>
      </c>
      <c r="B6028" t="s">
        <v>1761</v>
      </c>
      <c r="C6028" t="s">
        <v>8450</v>
      </c>
      <c r="D6028" t="s">
        <v>12990</v>
      </c>
      <c r="E6028" t="s">
        <v>18436</v>
      </c>
      <c r="F6028" t="s">
        <v>22436</v>
      </c>
      <c r="G6028" t="s">
        <v>22444</v>
      </c>
      <c r="H6028" t="s">
        <v>22454</v>
      </c>
      <c r="I6028" t="s">
        <v>7738</v>
      </c>
      <c r="J6028" t="s">
        <v>22893</v>
      </c>
      <c r="K6028" t="s">
        <v>29333</v>
      </c>
      <c r="M6028" t="s">
        <v>31467</v>
      </c>
      <c r="N6028" t="s">
        <v>32524</v>
      </c>
      <c r="O6028" t="s">
        <v>32525</v>
      </c>
      <c r="P6028">
        <v>0</v>
      </c>
      <c r="Q6028">
        <v>0</v>
      </c>
      <c r="R6028" t="s">
        <v>32532</v>
      </c>
      <c r="S6028" t="s">
        <v>32616</v>
      </c>
      <c r="T6028" t="s">
        <v>33261</v>
      </c>
      <c r="U6028" t="s">
        <v>38722</v>
      </c>
      <c r="W6028" t="s">
        <v>31467</v>
      </c>
      <c r="X6028" t="s">
        <v>32534</v>
      </c>
    </row>
    <row r="6029" spans="1:24">
      <c r="A6029">
        <f>HYPERLINK("https://www.philgeps.gov.ph/GEPSNONPILOT/Tender/SplashBidNoticeAbstractUI.aspx?menuIndex=3&amp;refID=7034989&amp;Result=3","7034989")</f>
        <v>0</v>
      </c>
      <c r="B6029" t="s">
        <v>1922</v>
      </c>
      <c r="C6029" t="s">
        <v>8451</v>
      </c>
      <c r="E6029" t="s">
        <v>18437</v>
      </c>
      <c r="F6029" t="s">
        <v>22436</v>
      </c>
      <c r="G6029" t="s">
        <v>22444</v>
      </c>
      <c r="H6029" t="s">
        <v>22452</v>
      </c>
      <c r="I6029" t="s">
        <v>22467</v>
      </c>
      <c r="J6029" t="s">
        <v>26530</v>
      </c>
      <c r="K6029" t="s">
        <v>29338</v>
      </c>
      <c r="M6029" t="s">
        <v>31650</v>
      </c>
      <c r="N6029" t="s">
        <v>32524</v>
      </c>
      <c r="O6029" t="s">
        <v>32525</v>
      </c>
      <c r="P6029">
        <v>0</v>
      </c>
      <c r="Q6029">
        <v>8</v>
      </c>
      <c r="R6029" t="s">
        <v>32532</v>
      </c>
      <c r="S6029" t="s">
        <v>32616</v>
      </c>
      <c r="T6029" t="s">
        <v>33525</v>
      </c>
      <c r="U6029" t="s">
        <v>38723</v>
      </c>
      <c r="W6029" t="s">
        <v>31650</v>
      </c>
      <c r="X6029" t="s">
        <v>32534</v>
      </c>
    </row>
    <row r="6030" spans="1:24">
      <c r="A6030">
        <f>HYPERLINK("https://www.philgeps.gov.ph/GEPSNONPILOT/Tender/SplashBidNoticeAbstractUI.aspx?menuIndex=3&amp;refID=7035079&amp;Result=3","7035079")</f>
        <v>0</v>
      </c>
      <c r="B6030" t="s">
        <v>1761</v>
      </c>
      <c r="C6030" t="s">
        <v>8452</v>
      </c>
      <c r="D6030" t="s">
        <v>12990</v>
      </c>
      <c r="E6030" t="s">
        <v>18438</v>
      </c>
      <c r="F6030" t="s">
        <v>22436</v>
      </c>
      <c r="G6030" t="s">
        <v>22444</v>
      </c>
      <c r="H6030" t="s">
        <v>22454</v>
      </c>
      <c r="I6030" t="s">
        <v>7738</v>
      </c>
      <c r="J6030" t="s">
        <v>22893</v>
      </c>
      <c r="K6030" t="s">
        <v>29333</v>
      </c>
      <c r="M6030" t="s">
        <v>31467</v>
      </c>
      <c r="N6030" t="s">
        <v>32524</v>
      </c>
      <c r="O6030" t="s">
        <v>32525</v>
      </c>
      <c r="P6030">
        <v>0</v>
      </c>
      <c r="Q6030">
        <v>0</v>
      </c>
      <c r="R6030" t="s">
        <v>32532</v>
      </c>
      <c r="S6030" t="s">
        <v>32616</v>
      </c>
      <c r="T6030" t="s">
        <v>33261</v>
      </c>
      <c r="U6030" t="s">
        <v>38724</v>
      </c>
      <c r="W6030" t="s">
        <v>31467</v>
      </c>
      <c r="X6030" t="s">
        <v>32534</v>
      </c>
    </row>
    <row r="6031" spans="1:24">
      <c r="A6031">
        <f>HYPERLINK("https://www.philgeps.gov.ph/GEPSNONPILOT/Tender/SplashBidNoticeAbstractUI.aspx?menuIndex=3&amp;refID=7035086&amp;Result=3","7035086")</f>
        <v>0</v>
      </c>
      <c r="B6031" t="s">
        <v>1761</v>
      </c>
      <c r="C6031" t="s">
        <v>8453</v>
      </c>
      <c r="D6031" t="s">
        <v>12990</v>
      </c>
      <c r="E6031" t="s">
        <v>18439</v>
      </c>
      <c r="F6031" t="s">
        <v>22436</v>
      </c>
      <c r="G6031" t="s">
        <v>22444</v>
      </c>
      <c r="H6031" t="s">
        <v>22454</v>
      </c>
      <c r="I6031" t="s">
        <v>7738</v>
      </c>
      <c r="J6031" t="s">
        <v>23356</v>
      </c>
      <c r="K6031" t="s">
        <v>29333</v>
      </c>
      <c r="M6031" t="s">
        <v>31467</v>
      </c>
      <c r="N6031" t="s">
        <v>32524</v>
      </c>
      <c r="O6031" t="s">
        <v>32525</v>
      </c>
      <c r="P6031">
        <v>0</v>
      </c>
      <c r="Q6031">
        <v>1</v>
      </c>
      <c r="R6031" t="s">
        <v>32532</v>
      </c>
      <c r="S6031" t="s">
        <v>32616</v>
      </c>
      <c r="T6031" t="s">
        <v>33261</v>
      </c>
      <c r="U6031" t="s">
        <v>38725</v>
      </c>
      <c r="W6031" t="s">
        <v>31467</v>
      </c>
      <c r="X6031" t="s">
        <v>32534</v>
      </c>
    </row>
    <row r="6032" spans="1:24">
      <c r="A6032">
        <f>HYPERLINK("https://www.philgeps.gov.ph/GEPSNONPILOT/Tender/SplashBidNoticeAbstractUI.aspx?menuIndex=3&amp;refID=7035147&amp;Result=3","7035147")</f>
        <v>0</v>
      </c>
      <c r="B6032" t="s">
        <v>1923</v>
      </c>
      <c r="C6032" t="s">
        <v>8454</v>
      </c>
      <c r="D6032" t="s">
        <v>13060</v>
      </c>
      <c r="E6032" t="s">
        <v>18440</v>
      </c>
      <c r="F6032" t="s">
        <v>22436</v>
      </c>
      <c r="G6032" t="s">
        <v>22444</v>
      </c>
      <c r="H6032" t="s">
        <v>22453</v>
      </c>
      <c r="I6032" t="s">
        <v>22482</v>
      </c>
      <c r="J6032" t="s">
        <v>26531</v>
      </c>
      <c r="K6032" t="s">
        <v>29335</v>
      </c>
      <c r="M6032" t="s">
        <v>31651</v>
      </c>
      <c r="N6032" t="s">
        <v>32524</v>
      </c>
      <c r="O6032" t="s">
        <v>32525</v>
      </c>
      <c r="P6032">
        <v>0</v>
      </c>
      <c r="Q6032">
        <v>2</v>
      </c>
      <c r="R6032" t="s">
        <v>32532</v>
      </c>
      <c r="S6032" t="s">
        <v>32616</v>
      </c>
      <c r="T6032" t="s">
        <v>33397</v>
      </c>
      <c r="U6032" t="s">
        <v>38726</v>
      </c>
      <c r="V6032" t="s">
        <v>43099</v>
      </c>
      <c r="W6032" t="s">
        <v>31651</v>
      </c>
      <c r="X6032" t="s">
        <v>32534</v>
      </c>
    </row>
    <row r="6033" spans="1:24">
      <c r="A6033">
        <f>HYPERLINK("https://www.philgeps.gov.ph/GEPSNONPILOT/Tender/SplashBidNoticeAbstractUI.aspx?menuIndex=3&amp;refID=7035182&amp;Result=3","7035182")</f>
        <v>0</v>
      </c>
      <c r="B6033" t="s">
        <v>1729</v>
      </c>
      <c r="C6033" t="s">
        <v>8455</v>
      </c>
      <c r="D6033" t="s">
        <v>12988</v>
      </c>
      <c r="E6033" t="s">
        <v>17704</v>
      </c>
      <c r="F6033" t="s">
        <v>22436</v>
      </c>
      <c r="G6033" t="s">
        <v>22444</v>
      </c>
      <c r="H6033" t="s">
        <v>22452</v>
      </c>
      <c r="I6033" t="s">
        <v>3529</v>
      </c>
      <c r="J6033" t="s">
        <v>26532</v>
      </c>
      <c r="K6033" t="s">
        <v>29335</v>
      </c>
      <c r="M6033" t="s">
        <v>31434</v>
      </c>
      <c r="N6033" t="s">
        <v>32524</v>
      </c>
      <c r="O6033" t="s">
        <v>32525</v>
      </c>
      <c r="Q6033">
        <v>1</v>
      </c>
      <c r="R6033" t="s">
        <v>32532</v>
      </c>
      <c r="S6033" t="s">
        <v>32619</v>
      </c>
      <c r="T6033" t="s">
        <v>33209</v>
      </c>
      <c r="U6033" t="s">
        <v>38727</v>
      </c>
      <c r="W6033" t="s">
        <v>31434</v>
      </c>
      <c r="X6033" t="s">
        <v>32534</v>
      </c>
    </row>
    <row r="6034" spans="1:24">
      <c r="A6034">
        <f>HYPERLINK("https://www.philgeps.gov.ph/GEPSNONPILOT/Tender/SplashBidNoticeAbstractUI.aspx?menuIndex=3&amp;refID=7034845&amp;Result=3","7034845")</f>
        <v>0</v>
      </c>
      <c r="B6034" t="s">
        <v>1726</v>
      </c>
      <c r="C6034" t="s">
        <v>8456</v>
      </c>
      <c r="D6034" t="s">
        <v>12988</v>
      </c>
      <c r="E6034" t="s">
        <v>18441</v>
      </c>
      <c r="F6034" t="s">
        <v>22436</v>
      </c>
      <c r="G6034" t="s">
        <v>22444</v>
      </c>
      <c r="H6034" t="s">
        <v>22454</v>
      </c>
      <c r="I6034" t="s">
        <v>7738</v>
      </c>
      <c r="J6034" t="s">
        <v>26533</v>
      </c>
      <c r="K6034" t="s">
        <v>29334</v>
      </c>
      <c r="M6034" t="s">
        <v>31644</v>
      </c>
      <c r="N6034" t="s">
        <v>32524</v>
      </c>
      <c r="O6034" t="s">
        <v>32525</v>
      </c>
      <c r="P6034">
        <v>0</v>
      </c>
      <c r="Q6034">
        <v>1</v>
      </c>
      <c r="R6034" t="s">
        <v>32532</v>
      </c>
      <c r="S6034" t="s">
        <v>32616</v>
      </c>
      <c r="T6034" t="s">
        <v>33259</v>
      </c>
      <c r="U6034" t="s">
        <v>38728</v>
      </c>
      <c r="W6034" t="s">
        <v>31644</v>
      </c>
      <c r="X6034" t="s">
        <v>32534</v>
      </c>
    </row>
    <row r="6035" spans="1:24">
      <c r="A6035">
        <f>HYPERLINK("https://www.philgeps.gov.ph/GEPSNONPILOT/Tender/SplashBidNoticeAbstractUI.aspx?menuIndex=3&amp;refID=7035216&amp;Result=3","7035216")</f>
        <v>0</v>
      </c>
      <c r="B6035" t="s">
        <v>1235</v>
      </c>
      <c r="C6035" t="s">
        <v>8457</v>
      </c>
      <c r="D6035" t="s">
        <v>13011</v>
      </c>
      <c r="E6035" t="s">
        <v>18442</v>
      </c>
      <c r="F6035" t="s">
        <v>22436</v>
      </c>
      <c r="G6035" t="s">
        <v>22444</v>
      </c>
      <c r="H6035" t="s">
        <v>22452</v>
      </c>
      <c r="I6035" t="s">
        <v>2981</v>
      </c>
      <c r="J6035" t="s">
        <v>26534</v>
      </c>
      <c r="K6035" t="s">
        <v>29352</v>
      </c>
      <c r="M6035" t="s">
        <v>30887</v>
      </c>
      <c r="N6035" t="s">
        <v>32524</v>
      </c>
      <c r="O6035" t="s">
        <v>32525</v>
      </c>
      <c r="P6035">
        <v>0</v>
      </c>
      <c r="Q6035">
        <v>3</v>
      </c>
      <c r="R6035" t="s">
        <v>32532</v>
      </c>
      <c r="S6035" t="s">
        <v>32616</v>
      </c>
      <c r="T6035" t="s">
        <v>33227</v>
      </c>
      <c r="U6035" t="s">
        <v>38729</v>
      </c>
      <c r="W6035" t="s">
        <v>30887</v>
      </c>
      <c r="X6035" t="s">
        <v>32534</v>
      </c>
    </row>
    <row r="6036" spans="1:24">
      <c r="A6036">
        <f>HYPERLINK("https://www.philgeps.gov.ph/GEPSNONPILOT/Tender/SplashBidNoticeAbstractUI.aspx?menuIndex=3&amp;refID=7034893&amp;Result=3","7034893")</f>
        <v>0</v>
      </c>
      <c r="B6036" t="s">
        <v>1924</v>
      </c>
      <c r="C6036" t="s">
        <v>8458</v>
      </c>
      <c r="D6036" t="s">
        <v>13039</v>
      </c>
      <c r="E6036" t="s">
        <v>18443</v>
      </c>
      <c r="F6036" t="s">
        <v>22436</v>
      </c>
      <c r="G6036" t="s">
        <v>22444</v>
      </c>
      <c r="H6036" t="s">
        <v>22452</v>
      </c>
      <c r="I6036" t="s">
        <v>3529</v>
      </c>
      <c r="J6036" t="s">
        <v>26535</v>
      </c>
      <c r="K6036" t="s">
        <v>29336</v>
      </c>
      <c r="M6036" t="s">
        <v>31652</v>
      </c>
      <c r="N6036" t="s">
        <v>32524</v>
      </c>
      <c r="O6036" t="s">
        <v>32525</v>
      </c>
      <c r="P6036">
        <v>0</v>
      </c>
      <c r="Q6036">
        <v>0</v>
      </c>
      <c r="R6036" t="s">
        <v>32532</v>
      </c>
      <c r="S6036" t="s">
        <v>32616</v>
      </c>
      <c r="T6036" t="s">
        <v>33323</v>
      </c>
      <c r="U6036" t="s">
        <v>33733</v>
      </c>
      <c r="W6036" t="s">
        <v>31652</v>
      </c>
      <c r="X6036" t="s">
        <v>32534</v>
      </c>
    </row>
    <row r="6037" spans="1:24">
      <c r="A6037">
        <f>HYPERLINK("https://www.philgeps.gov.ph/GEPSNONPILOT/Tender/SplashBidNoticeAbstractUI.aspx?menuIndex=3&amp;refID=7035225&amp;Result=3","7035225")</f>
        <v>0</v>
      </c>
      <c r="B6037" t="s">
        <v>1235</v>
      </c>
      <c r="C6037" t="s">
        <v>8459</v>
      </c>
      <c r="D6037" t="s">
        <v>13011</v>
      </c>
      <c r="E6037" t="s">
        <v>18444</v>
      </c>
      <c r="F6037" t="s">
        <v>22436</v>
      </c>
      <c r="G6037" t="s">
        <v>22444</v>
      </c>
      <c r="H6037" t="s">
        <v>22452</v>
      </c>
      <c r="I6037" t="s">
        <v>22484</v>
      </c>
      <c r="J6037" t="s">
        <v>22877</v>
      </c>
      <c r="K6037" t="s">
        <v>29336</v>
      </c>
      <c r="M6037" t="s">
        <v>30887</v>
      </c>
      <c r="N6037" t="s">
        <v>32524</v>
      </c>
      <c r="O6037" t="s">
        <v>32525</v>
      </c>
      <c r="P6037">
        <v>0</v>
      </c>
      <c r="Q6037">
        <v>8</v>
      </c>
      <c r="R6037" t="s">
        <v>32532</v>
      </c>
      <c r="S6037" t="s">
        <v>32616</v>
      </c>
      <c r="T6037" t="s">
        <v>33227</v>
      </c>
      <c r="U6037" t="s">
        <v>38730</v>
      </c>
      <c r="W6037" t="s">
        <v>30887</v>
      </c>
      <c r="X6037" t="s">
        <v>32534</v>
      </c>
    </row>
    <row r="6038" spans="1:24">
      <c r="A6038">
        <f>HYPERLINK("https://www.philgeps.gov.ph/GEPSNONPILOT/Tender/SplashBidNoticeAbstractUI.aspx?menuIndex=3&amp;refID=7034891&amp;Result=3","7034891")</f>
        <v>0</v>
      </c>
      <c r="B6038" t="s">
        <v>1726</v>
      </c>
      <c r="C6038" t="s">
        <v>8460</v>
      </c>
      <c r="D6038" t="s">
        <v>12988</v>
      </c>
      <c r="E6038" t="s">
        <v>18445</v>
      </c>
      <c r="F6038" t="s">
        <v>22436</v>
      </c>
      <c r="G6038" t="s">
        <v>22444</v>
      </c>
      <c r="H6038" t="s">
        <v>22452</v>
      </c>
      <c r="I6038" t="s">
        <v>22460</v>
      </c>
      <c r="J6038" t="s">
        <v>26536</v>
      </c>
      <c r="K6038" t="s">
        <v>29336</v>
      </c>
      <c r="M6038" t="s">
        <v>31644</v>
      </c>
      <c r="N6038" t="s">
        <v>32524</v>
      </c>
      <c r="O6038" t="s">
        <v>32525</v>
      </c>
      <c r="P6038">
        <v>0</v>
      </c>
      <c r="Q6038">
        <v>1</v>
      </c>
      <c r="R6038" t="s">
        <v>32532</v>
      </c>
      <c r="S6038" t="s">
        <v>32616</v>
      </c>
      <c r="T6038" t="s">
        <v>33259</v>
      </c>
      <c r="U6038" t="s">
        <v>38697</v>
      </c>
      <c r="W6038" t="s">
        <v>31644</v>
      </c>
      <c r="X6038" t="s">
        <v>32534</v>
      </c>
    </row>
    <row r="6039" spans="1:24">
      <c r="A6039">
        <f>HYPERLINK("https://www.philgeps.gov.ph/GEPSNONPILOT/Tender/SplashBidNoticeAbstractUI.aspx?menuIndex=3&amp;refID=7035223&amp;Result=3","7035223")</f>
        <v>0</v>
      </c>
      <c r="B6039" t="s">
        <v>1235</v>
      </c>
      <c r="C6039" t="s">
        <v>8461</v>
      </c>
      <c r="D6039" t="s">
        <v>13011</v>
      </c>
      <c r="E6039" t="s">
        <v>18446</v>
      </c>
      <c r="F6039" t="s">
        <v>22436</v>
      </c>
      <c r="G6039" t="s">
        <v>22444</v>
      </c>
      <c r="H6039" t="s">
        <v>22452</v>
      </c>
      <c r="I6039" t="s">
        <v>22504</v>
      </c>
      <c r="J6039" t="s">
        <v>26537</v>
      </c>
      <c r="K6039" t="s">
        <v>29335</v>
      </c>
      <c r="M6039" t="s">
        <v>30887</v>
      </c>
      <c r="N6039" t="s">
        <v>32524</v>
      </c>
      <c r="O6039" t="s">
        <v>32525</v>
      </c>
      <c r="P6039">
        <v>0</v>
      </c>
      <c r="Q6039">
        <v>7</v>
      </c>
      <c r="R6039" t="s">
        <v>32532</v>
      </c>
      <c r="S6039" t="s">
        <v>32616</v>
      </c>
      <c r="T6039" t="s">
        <v>33227</v>
      </c>
      <c r="U6039" t="s">
        <v>38731</v>
      </c>
      <c r="W6039" t="s">
        <v>30887</v>
      </c>
      <c r="X6039" t="s">
        <v>32534</v>
      </c>
    </row>
    <row r="6040" spans="1:24">
      <c r="A6040">
        <f>HYPERLINK("https://www.philgeps.gov.ph/GEPSNONPILOT/Tender/SplashBidNoticeAbstractUI.aspx?menuIndex=3&amp;refID=7035239&amp;Result=3","7035239")</f>
        <v>0</v>
      </c>
      <c r="B6040" t="s">
        <v>1235</v>
      </c>
      <c r="C6040" t="s">
        <v>8462</v>
      </c>
      <c r="D6040" t="s">
        <v>13011</v>
      </c>
      <c r="E6040" t="s">
        <v>18447</v>
      </c>
      <c r="F6040" t="s">
        <v>22436</v>
      </c>
      <c r="G6040" t="s">
        <v>22444</v>
      </c>
      <c r="H6040" t="s">
        <v>22452</v>
      </c>
      <c r="I6040" t="s">
        <v>22461</v>
      </c>
      <c r="J6040" t="s">
        <v>26538</v>
      </c>
      <c r="K6040" t="s">
        <v>29330</v>
      </c>
      <c r="M6040" t="s">
        <v>30887</v>
      </c>
      <c r="N6040" t="s">
        <v>32524</v>
      </c>
      <c r="O6040" t="s">
        <v>32525</v>
      </c>
      <c r="P6040">
        <v>0</v>
      </c>
      <c r="Q6040">
        <v>0</v>
      </c>
      <c r="R6040" t="s">
        <v>32532</v>
      </c>
      <c r="S6040" t="s">
        <v>32616</v>
      </c>
      <c r="T6040" t="s">
        <v>33227</v>
      </c>
      <c r="U6040" t="s">
        <v>38732</v>
      </c>
      <c r="W6040" t="s">
        <v>30887</v>
      </c>
      <c r="X6040" t="s">
        <v>32534</v>
      </c>
    </row>
    <row r="6041" spans="1:24">
      <c r="A6041">
        <f>HYPERLINK("https://www.philgeps.gov.ph/GEPSNONPILOT/Tender/SplashBidNoticeAbstractUI.aspx?menuIndex=3&amp;refID=7034898&amp;Result=3","7034898")</f>
        <v>0</v>
      </c>
      <c r="B6041" t="s">
        <v>1925</v>
      </c>
      <c r="C6041" t="s">
        <v>8463</v>
      </c>
      <c r="D6041" t="s">
        <v>12994</v>
      </c>
      <c r="E6041" t="s">
        <v>18448</v>
      </c>
      <c r="F6041" t="s">
        <v>22436</v>
      </c>
      <c r="G6041" t="s">
        <v>22443</v>
      </c>
      <c r="H6041" t="s">
        <v>22454</v>
      </c>
      <c r="I6041" t="s">
        <v>7738</v>
      </c>
      <c r="J6041" t="s">
        <v>26539</v>
      </c>
      <c r="K6041" t="s">
        <v>29335</v>
      </c>
      <c r="M6041" t="s">
        <v>31653</v>
      </c>
      <c r="N6041" t="s">
        <v>32524</v>
      </c>
      <c r="O6041" t="s">
        <v>32525</v>
      </c>
      <c r="P6041">
        <v>0</v>
      </c>
      <c r="Q6041">
        <v>0</v>
      </c>
      <c r="R6041" t="s">
        <v>32532</v>
      </c>
      <c r="S6041" t="s">
        <v>32616</v>
      </c>
      <c r="T6041" t="s">
        <v>33372</v>
      </c>
      <c r="U6041" t="s">
        <v>38733</v>
      </c>
      <c r="W6041" t="s">
        <v>31653</v>
      </c>
      <c r="X6041" t="s">
        <v>32534</v>
      </c>
    </row>
    <row r="6042" spans="1:24">
      <c r="A6042">
        <f>HYPERLINK("https://www.philgeps.gov.ph/GEPSNONPILOT/Tender/SplashBidNoticeAbstractUI.aspx?menuIndex=3&amp;refID=7035253&amp;Result=3","7035253")</f>
        <v>0</v>
      </c>
      <c r="B6042" t="s">
        <v>1235</v>
      </c>
      <c r="C6042" t="s">
        <v>8464</v>
      </c>
      <c r="D6042" t="s">
        <v>13011</v>
      </c>
      <c r="E6042" t="s">
        <v>18449</v>
      </c>
      <c r="F6042" t="s">
        <v>22436</v>
      </c>
      <c r="G6042" t="s">
        <v>22444</v>
      </c>
      <c r="H6042" t="s">
        <v>22454</v>
      </c>
      <c r="I6042" t="s">
        <v>7738</v>
      </c>
      <c r="J6042" t="s">
        <v>26540</v>
      </c>
      <c r="K6042" t="s">
        <v>29335</v>
      </c>
      <c r="M6042" t="s">
        <v>30887</v>
      </c>
      <c r="N6042" t="s">
        <v>32524</v>
      </c>
      <c r="O6042" t="s">
        <v>32525</v>
      </c>
      <c r="P6042">
        <v>0</v>
      </c>
      <c r="Q6042">
        <v>2</v>
      </c>
      <c r="R6042" t="s">
        <v>32532</v>
      </c>
      <c r="S6042" t="s">
        <v>32616</v>
      </c>
      <c r="T6042" t="s">
        <v>33227</v>
      </c>
      <c r="U6042" t="s">
        <v>38734</v>
      </c>
      <c r="W6042" t="s">
        <v>30887</v>
      </c>
      <c r="X6042" t="s">
        <v>32534</v>
      </c>
    </row>
    <row r="6043" spans="1:24">
      <c r="A6043">
        <f>HYPERLINK("https://www.philgeps.gov.ph/GEPSNONPILOT/Tender/SplashBidNoticeAbstractUI.aspx?menuIndex=3&amp;refID=7035257&amp;Result=3","7035257")</f>
        <v>0</v>
      </c>
      <c r="B6043" t="s">
        <v>1235</v>
      </c>
      <c r="C6043" t="s">
        <v>8465</v>
      </c>
      <c r="D6043" t="s">
        <v>13011</v>
      </c>
      <c r="E6043" t="s">
        <v>18450</v>
      </c>
      <c r="F6043" t="s">
        <v>22436</v>
      </c>
      <c r="G6043" t="s">
        <v>22444</v>
      </c>
      <c r="H6043" t="s">
        <v>22454</v>
      </c>
      <c r="I6043" t="s">
        <v>7738</v>
      </c>
      <c r="J6043" t="s">
        <v>26541</v>
      </c>
      <c r="K6043" t="s">
        <v>29388</v>
      </c>
      <c r="M6043" t="s">
        <v>30887</v>
      </c>
      <c r="N6043" t="s">
        <v>32524</v>
      </c>
      <c r="O6043" t="s">
        <v>32525</v>
      </c>
      <c r="P6043">
        <v>0</v>
      </c>
      <c r="Q6043">
        <v>0</v>
      </c>
      <c r="R6043" t="s">
        <v>32532</v>
      </c>
      <c r="S6043" t="s">
        <v>32616</v>
      </c>
      <c r="T6043" t="s">
        <v>33227</v>
      </c>
      <c r="U6043" t="s">
        <v>38735</v>
      </c>
      <c r="W6043" t="s">
        <v>30887</v>
      </c>
      <c r="X6043" t="s">
        <v>32534</v>
      </c>
    </row>
    <row r="6044" spans="1:24">
      <c r="A6044">
        <f>HYPERLINK("https://www.philgeps.gov.ph/GEPSNONPILOT/Tender/SplashBidNoticeAbstractUI.aspx?menuIndex=3&amp;refID=7035228&amp;Result=3","7035228")</f>
        <v>0</v>
      </c>
      <c r="B6044" t="s">
        <v>1235</v>
      </c>
      <c r="C6044" t="s">
        <v>8466</v>
      </c>
      <c r="D6044" t="s">
        <v>13011</v>
      </c>
      <c r="E6044" t="s">
        <v>18451</v>
      </c>
      <c r="F6044" t="s">
        <v>22436</v>
      </c>
      <c r="G6044" t="s">
        <v>22444</v>
      </c>
      <c r="H6044" t="s">
        <v>22452</v>
      </c>
      <c r="I6044" t="s">
        <v>22484</v>
      </c>
      <c r="J6044" t="s">
        <v>26542</v>
      </c>
      <c r="K6044" t="s">
        <v>29336</v>
      </c>
      <c r="M6044" t="s">
        <v>30887</v>
      </c>
      <c r="N6044" t="s">
        <v>32524</v>
      </c>
      <c r="O6044" t="s">
        <v>32525</v>
      </c>
      <c r="P6044">
        <v>0</v>
      </c>
      <c r="Q6044">
        <v>4</v>
      </c>
      <c r="R6044" t="s">
        <v>32532</v>
      </c>
      <c r="S6044" t="s">
        <v>32616</v>
      </c>
      <c r="T6044" t="s">
        <v>33227</v>
      </c>
      <c r="U6044" t="s">
        <v>38736</v>
      </c>
      <c r="W6044" t="s">
        <v>30887</v>
      </c>
      <c r="X6044" t="s">
        <v>32534</v>
      </c>
    </row>
    <row r="6045" spans="1:24">
      <c r="A6045">
        <f>HYPERLINK("https://www.philgeps.gov.ph/GEPSNONPILOT/Tender/SplashBidNoticeAbstractUI.aspx?menuIndex=3&amp;refID=7035249&amp;Result=3","7035249")</f>
        <v>0</v>
      </c>
      <c r="B6045" t="s">
        <v>1235</v>
      </c>
      <c r="C6045" t="s">
        <v>8467</v>
      </c>
      <c r="D6045" t="s">
        <v>13011</v>
      </c>
      <c r="E6045" t="s">
        <v>18452</v>
      </c>
      <c r="F6045" t="s">
        <v>22436</v>
      </c>
      <c r="G6045" t="s">
        <v>22444</v>
      </c>
      <c r="H6045" t="s">
        <v>22452</v>
      </c>
      <c r="I6045" t="s">
        <v>6421</v>
      </c>
      <c r="J6045" t="s">
        <v>26543</v>
      </c>
      <c r="K6045" t="s">
        <v>29336</v>
      </c>
      <c r="M6045" t="s">
        <v>30887</v>
      </c>
      <c r="N6045" t="s">
        <v>32524</v>
      </c>
      <c r="O6045" t="s">
        <v>32525</v>
      </c>
      <c r="P6045">
        <v>0</v>
      </c>
      <c r="Q6045">
        <v>6</v>
      </c>
      <c r="R6045" t="s">
        <v>32532</v>
      </c>
      <c r="S6045" t="s">
        <v>32616</v>
      </c>
      <c r="T6045" t="s">
        <v>33227</v>
      </c>
      <c r="U6045" t="s">
        <v>38737</v>
      </c>
      <c r="W6045" t="s">
        <v>30887</v>
      </c>
      <c r="X6045" t="s">
        <v>32534</v>
      </c>
    </row>
    <row r="6046" spans="1:24">
      <c r="A6046">
        <f>HYPERLINK("https://www.philgeps.gov.ph/GEPSNONPILOT/Tender/SplashBidNoticeAbstractUI.aspx?menuIndex=3&amp;refID=7035233&amp;Result=3","7035233")</f>
        <v>0</v>
      </c>
      <c r="B6046" t="s">
        <v>1235</v>
      </c>
      <c r="C6046" t="s">
        <v>8468</v>
      </c>
      <c r="D6046" t="s">
        <v>13011</v>
      </c>
      <c r="E6046" t="s">
        <v>18453</v>
      </c>
      <c r="F6046" t="s">
        <v>22436</v>
      </c>
      <c r="G6046" t="s">
        <v>22444</v>
      </c>
      <c r="H6046" t="s">
        <v>22452</v>
      </c>
      <c r="I6046" t="s">
        <v>2981</v>
      </c>
      <c r="J6046" t="s">
        <v>26544</v>
      </c>
      <c r="K6046" t="s">
        <v>29330</v>
      </c>
      <c r="M6046" t="s">
        <v>30887</v>
      </c>
      <c r="N6046" t="s">
        <v>32524</v>
      </c>
      <c r="O6046" t="s">
        <v>32525</v>
      </c>
      <c r="P6046">
        <v>0</v>
      </c>
      <c r="Q6046">
        <v>6</v>
      </c>
      <c r="R6046" t="s">
        <v>32532</v>
      </c>
      <c r="S6046" t="s">
        <v>32616</v>
      </c>
      <c r="T6046" t="s">
        <v>33227</v>
      </c>
      <c r="U6046" t="s">
        <v>38738</v>
      </c>
      <c r="W6046" t="s">
        <v>30887</v>
      </c>
      <c r="X6046" t="s">
        <v>32534</v>
      </c>
    </row>
    <row r="6047" spans="1:24">
      <c r="A6047">
        <f>HYPERLINK("https://www.philgeps.gov.ph/GEPSNONPILOT/Tender/SplashBidNoticeAbstractUI.aspx?menuIndex=3&amp;refID=7035283&amp;Result=3","7035283")</f>
        <v>0</v>
      </c>
      <c r="B6047" t="s">
        <v>1926</v>
      </c>
      <c r="C6047" t="s">
        <v>8469</v>
      </c>
      <c r="D6047" t="s">
        <v>12990</v>
      </c>
      <c r="E6047" t="s">
        <v>18454</v>
      </c>
      <c r="F6047" t="s">
        <v>22436</v>
      </c>
      <c r="G6047" t="s">
        <v>22446</v>
      </c>
      <c r="H6047" t="s">
        <v>22452</v>
      </c>
      <c r="I6047" t="s">
        <v>22463</v>
      </c>
      <c r="J6047" t="s">
        <v>26545</v>
      </c>
      <c r="K6047" t="s">
        <v>29356</v>
      </c>
      <c r="M6047" t="s">
        <v>31654</v>
      </c>
      <c r="N6047" t="s">
        <v>32524</v>
      </c>
      <c r="O6047" t="s">
        <v>32525</v>
      </c>
      <c r="P6047">
        <v>0</v>
      </c>
      <c r="Q6047">
        <v>2</v>
      </c>
      <c r="R6047" t="s">
        <v>32532</v>
      </c>
      <c r="S6047" t="s">
        <v>32616</v>
      </c>
      <c r="T6047" t="s">
        <v>33215</v>
      </c>
      <c r="U6047" t="s">
        <v>38739</v>
      </c>
      <c r="W6047" t="s">
        <v>31654</v>
      </c>
      <c r="X6047" t="s">
        <v>32533</v>
      </c>
    </row>
    <row r="6048" spans="1:24">
      <c r="A6048">
        <f>HYPERLINK("https://www.philgeps.gov.ph/GEPSNONPILOT/Tender/SplashBidNoticeAbstractUI.aspx?menuIndex=3&amp;refID=7035288&amp;Result=3","7035288")</f>
        <v>0</v>
      </c>
      <c r="B6048" t="s">
        <v>1927</v>
      </c>
      <c r="C6048" t="s">
        <v>8470</v>
      </c>
      <c r="D6048" t="s">
        <v>13029</v>
      </c>
      <c r="E6048" t="s">
        <v>18455</v>
      </c>
      <c r="F6048" t="s">
        <v>22436</v>
      </c>
      <c r="G6048" t="s">
        <v>22444</v>
      </c>
      <c r="H6048" t="s">
        <v>22452</v>
      </c>
      <c r="I6048" t="s">
        <v>6387</v>
      </c>
      <c r="J6048" t="s">
        <v>26546</v>
      </c>
      <c r="K6048" t="s">
        <v>29338</v>
      </c>
      <c r="M6048" t="s">
        <v>31655</v>
      </c>
      <c r="N6048" t="s">
        <v>32524</v>
      </c>
      <c r="O6048" t="s">
        <v>32525</v>
      </c>
      <c r="P6048">
        <v>0</v>
      </c>
      <c r="Q6048">
        <v>1</v>
      </c>
      <c r="R6048" t="s">
        <v>32532</v>
      </c>
      <c r="S6048" t="s">
        <v>32616</v>
      </c>
      <c r="T6048" t="s">
        <v>33372</v>
      </c>
      <c r="U6048" t="s">
        <v>38740</v>
      </c>
      <c r="W6048" t="s">
        <v>31655</v>
      </c>
      <c r="X6048" t="s">
        <v>32533</v>
      </c>
    </row>
    <row r="6049" spans="1:24">
      <c r="A6049">
        <f>HYPERLINK("https://www.philgeps.gov.ph/GEPSNONPILOT/Tender/SplashBidNoticeAbstractUI.aspx?menuIndex=3&amp;refID=7035270&amp;Result=3","7035270")</f>
        <v>0</v>
      </c>
      <c r="B6049" t="s">
        <v>1235</v>
      </c>
      <c r="C6049" t="s">
        <v>8471</v>
      </c>
      <c r="D6049" t="s">
        <v>13011</v>
      </c>
      <c r="E6049" t="s">
        <v>18141</v>
      </c>
      <c r="F6049" t="s">
        <v>22436</v>
      </c>
      <c r="G6049" t="s">
        <v>22444</v>
      </c>
      <c r="H6049" t="s">
        <v>22454</v>
      </c>
      <c r="I6049" t="s">
        <v>7738</v>
      </c>
      <c r="J6049" t="s">
        <v>26547</v>
      </c>
      <c r="K6049" t="s">
        <v>29334</v>
      </c>
      <c r="M6049" t="s">
        <v>30887</v>
      </c>
      <c r="N6049" t="s">
        <v>32524</v>
      </c>
      <c r="O6049" t="s">
        <v>32525</v>
      </c>
      <c r="P6049">
        <v>0</v>
      </c>
      <c r="Q6049">
        <v>0</v>
      </c>
      <c r="R6049" t="s">
        <v>32532</v>
      </c>
      <c r="S6049" t="s">
        <v>32616</v>
      </c>
      <c r="T6049" t="s">
        <v>33227</v>
      </c>
      <c r="U6049" t="s">
        <v>38741</v>
      </c>
      <c r="W6049" t="s">
        <v>30887</v>
      </c>
      <c r="X6049" t="s">
        <v>32534</v>
      </c>
    </row>
    <row r="6050" spans="1:24">
      <c r="A6050">
        <f>HYPERLINK("https://www.philgeps.gov.ph/GEPSNONPILOT/Tender/SplashBidNoticeAbstractUI.aspx?menuIndex=3&amp;refID=7035278&amp;Result=3","7035278")</f>
        <v>0</v>
      </c>
      <c r="B6050" t="s">
        <v>1928</v>
      </c>
      <c r="C6050" t="s">
        <v>8469</v>
      </c>
      <c r="D6050" t="s">
        <v>12990</v>
      </c>
      <c r="E6050" t="s">
        <v>18454</v>
      </c>
      <c r="F6050" t="s">
        <v>22436</v>
      </c>
      <c r="G6050" t="s">
        <v>22446</v>
      </c>
      <c r="H6050" t="s">
        <v>22452</v>
      </c>
      <c r="I6050" t="s">
        <v>22463</v>
      </c>
      <c r="J6050" t="s">
        <v>23029</v>
      </c>
      <c r="K6050" t="s">
        <v>29356</v>
      </c>
      <c r="M6050" t="s">
        <v>31656</v>
      </c>
      <c r="N6050" t="s">
        <v>32524</v>
      </c>
      <c r="O6050" t="s">
        <v>32525</v>
      </c>
      <c r="P6050">
        <v>0</v>
      </c>
      <c r="Q6050">
        <v>3</v>
      </c>
      <c r="R6050" t="s">
        <v>32532</v>
      </c>
      <c r="S6050" t="s">
        <v>32616</v>
      </c>
      <c r="T6050" t="s">
        <v>33526</v>
      </c>
      <c r="U6050" t="s">
        <v>38739</v>
      </c>
      <c r="W6050" t="s">
        <v>31656</v>
      </c>
      <c r="X6050" t="s">
        <v>32533</v>
      </c>
    </row>
    <row r="6051" spans="1:24">
      <c r="A6051">
        <f>HYPERLINK("https://www.philgeps.gov.ph/GEPSNONPILOT/Tender/SplashBidNoticeAbstractUI.aspx?menuIndex=3&amp;refID=7035287&amp;Result=3","7035287")</f>
        <v>0</v>
      </c>
      <c r="B6051" t="s">
        <v>1929</v>
      </c>
      <c r="C6051" t="s">
        <v>8472</v>
      </c>
      <c r="D6051" t="s">
        <v>13029</v>
      </c>
      <c r="E6051" t="s">
        <v>13278</v>
      </c>
      <c r="F6051" t="s">
        <v>22436</v>
      </c>
      <c r="G6051" t="s">
        <v>22444</v>
      </c>
      <c r="H6051" t="s">
        <v>22452</v>
      </c>
      <c r="I6051" t="s">
        <v>6387</v>
      </c>
      <c r="J6051" t="s">
        <v>22585</v>
      </c>
      <c r="K6051" t="s">
        <v>29357</v>
      </c>
      <c r="M6051" t="s">
        <v>31657</v>
      </c>
      <c r="N6051" t="s">
        <v>32524</v>
      </c>
      <c r="O6051" t="s">
        <v>32525</v>
      </c>
      <c r="P6051">
        <v>0</v>
      </c>
      <c r="Q6051">
        <v>1</v>
      </c>
      <c r="R6051" t="s">
        <v>32532</v>
      </c>
      <c r="S6051" t="s">
        <v>32616</v>
      </c>
      <c r="T6051" t="s">
        <v>33206</v>
      </c>
      <c r="U6051" t="s">
        <v>38742</v>
      </c>
      <c r="W6051" t="s">
        <v>31657</v>
      </c>
      <c r="X6051" t="s">
        <v>32533</v>
      </c>
    </row>
    <row r="6052" spans="1:24">
      <c r="A6052">
        <f>HYPERLINK("https://www.philgeps.gov.ph/GEPSNONPILOT/Tender/SplashBidNoticeAbstractUI.aspx?menuIndex=3&amp;refID=7035281&amp;Result=3","7035281")</f>
        <v>0</v>
      </c>
      <c r="B6052" t="s">
        <v>1930</v>
      </c>
      <c r="C6052" t="s">
        <v>8469</v>
      </c>
      <c r="D6052" t="s">
        <v>12990</v>
      </c>
      <c r="E6052" t="s">
        <v>18454</v>
      </c>
      <c r="F6052" t="s">
        <v>22436</v>
      </c>
      <c r="G6052" t="s">
        <v>22446</v>
      </c>
      <c r="H6052" t="s">
        <v>22452</v>
      </c>
      <c r="I6052" t="s">
        <v>22463</v>
      </c>
      <c r="J6052" t="s">
        <v>26548</v>
      </c>
      <c r="K6052" t="s">
        <v>29356</v>
      </c>
      <c r="M6052" t="s">
        <v>31658</v>
      </c>
      <c r="N6052" t="s">
        <v>32524</v>
      </c>
      <c r="O6052" t="s">
        <v>32525</v>
      </c>
      <c r="P6052">
        <v>0</v>
      </c>
      <c r="Q6052">
        <v>1</v>
      </c>
      <c r="R6052" t="s">
        <v>32532</v>
      </c>
      <c r="S6052" t="s">
        <v>32616</v>
      </c>
      <c r="T6052" t="s">
        <v>33351</v>
      </c>
      <c r="U6052" t="s">
        <v>38739</v>
      </c>
      <c r="W6052" t="s">
        <v>31658</v>
      </c>
      <c r="X6052" t="s">
        <v>32533</v>
      </c>
    </row>
    <row r="6053" spans="1:24">
      <c r="A6053">
        <f>HYPERLINK("https://www.philgeps.gov.ph/GEPSNONPILOT/Tender/SplashBidNoticeAbstractUI.aspx?menuIndex=3&amp;refID=7035296&amp;Result=3","7035296")</f>
        <v>0</v>
      </c>
      <c r="B6053" t="s">
        <v>1870</v>
      </c>
      <c r="C6053" t="s">
        <v>8473</v>
      </c>
      <c r="D6053" t="s">
        <v>13045</v>
      </c>
      <c r="E6053" t="s">
        <v>18456</v>
      </c>
      <c r="F6053" t="s">
        <v>22436</v>
      </c>
      <c r="G6053" t="s">
        <v>22444</v>
      </c>
      <c r="H6053" t="s">
        <v>22454</v>
      </c>
      <c r="I6053" t="s">
        <v>7738</v>
      </c>
      <c r="J6053" t="s">
        <v>26549</v>
      </c>
      <c r="K6053" t="s">
        <v>29487</v>
      </c>
      <c r="M6053" t="s">
        <v>31588</v>
      </c>
      <c r="N6053" t="s">
        <v>32524</v>
      </c>
      <c r="O6053" t="s">
        <v>32525</v>
      </c>
      <c r="P6053">
        <v>0</v>
      </c>
      <c r="Q6053">
        <v>1</v>
      </c>
      <c r="R6053" t="s">
        <v>32532</v>
      </c>
      <c r="S6053" t="s">
        <v>32616</v>
      </c>
      <c r="T6053" t="s">
        <v>33249</v>
      </c>
      <c r="U6053" t="s">
        <v>38743</v>
      </c>
      <c r="V6053" t="s">
        <v>43068</v>
      </c>
      <c r="W6053" t="s">
        <v>31588</v>
      </c>
      <c r="X6053" t="s">
        <v>32533</v>
      </c>
    </row>
    <row r="6054" spans="1:24">
      <c r="A6054">
        <f>HYPERLINK("https://www.philgeps.gov.ph/GEPSNONPILOT/Tender/SplashBidNoticeAbstractUI.aspx?menuIndex=3&amp;refID=7035291&amp;Result=3","7035291")</f>
        <v>0</v>
      </c>
      <c r="B6054" t="s">
        <v>103</v>
      </c>
      <c r="C6054" t="s">
        <v>8474</v>
      </c>
      <c r="D6054" t="s">
        <v>13030</v>
      </c>
      <c r="E6054" t="s">
        <v>18457</v>
      </c>
      <c r="F6054" t="s">
        <v>22436</v>
      </c>
      <c r="G6054" t="s">
        <v>22444</v>
      </c>
      <c r="H6054" t="s">
        <v>22454</v>
      </c>
      <c r="I6054" t="s">
        <v>7738</v>
      </c>
      <c r="J6054" t="s">
        <v>22605</v>
      </c>
      <c r="K6054" t="s">
        <v>29341</v>
      </c>
      <c r="M6054" t="s">
        <v>29675</v>
      </c>
      <c r="N6054" t="s">
        <v>32524</v>
      </c>
      <c r="O6054" t="s">
        <v>32525</v>
      </c>
      <c r="P6054">
        <v>0</v>
      </c>
      <c r="Q6054">
        <v>0</v>
      </c>
      <c r="R6054" t="s">
        <v>32532</v>
      </c>
      <c r="S6054" t="s">
        <v>32616</v>
      </c>
      <c r="T6054" t="s">
        <v>33167</v>
      </c>
      <c r="U6054" t="s">
        <v>38744</v>
      </c>
      <c r="V6054" t="s">
        <v>43100</v>
      </c>
      <c r="W6054" t="s">
        <v>29675</v>
      </c>
      <c r="X6054" t="s">
        <v>32533</v>
      </c>
    </row>
    <row r="6055" spans="1:24">
      <c r="A6055">
        <f>HYPERLINK("https://www.philgeps.gov.ph/GEPSNONPILOT/Tender/SplashBidNoticeAbstractUI.aspx?menuIndex=3&amp;refID=7035299&amp;Result=3","7035299")</f>
        <v>0</v>
      </c>
      <c r="B6055" t="s">
        <v>1870</v>
      </c>
      <c r="C6055" t="s">
        <v>8475</v>
      </c>
      <c r="D6055" t="s">
        <v>13045</v>
      </c>
      <c r="E6055" t="s">
        <v>18458</v>
      </c>
      <c r="F6055" t="s">
        <v>22436</v>
      </c>
      <c r="G6055" t="s">
        <v>22444</v>
      </c>
      <c r="H6055" t="s">
        <v>22454</v>
      </c>
      <c r="I6055" t="s">
        <v>7738</v>
      </c>
      <c r="J6055" t="s">
        <v>25909</v>
      </c>
      <c r="K6055" t="s">
        <v>29344</v>
      </c>
      <c r="M6055" t="s">
        <v>31588</v>
      </c>
      <c r="N6055" t="s">
        <v>32524</v>
      </c>
      <c r="O6055" t="s">
        <v>32525</v>
      </c>
      <c r="P6055">
        <v>0</v>
      </c>
      <c r="Q6055">
        <v>1</v>
      </c>
      <c r="R6055" t="s">
        <v>32532</v>
      </c>
      <c r="S6055" t="s">
        <v>32616</v>
      </c>
      <c r="T6055" t="s">
        <v>33249</v>
      </c>
      <c r="U6055" t="s">
        <v>38516</v>
      </c>
      <c r="V6055" t="s">
        <v>43068</v>
      </c>
      <c r="W6055" t="s">
        <v>31588</v>
      </c>
      <c r="X6055" t="s">
        <v>32533</v>
      </c>
    </row>
    <row r="6056" spans="1:24">
      <c r="A6056">
        <f>HYPERLINK("https://www.philgeps.gov.ph/GEPSNONPILOT/Tender/SplashBidNoticeAbstractUI.aspx?menuIndex=3&amp;refID=7035314&amp;Result=3","7035314")</f>
        <v>0</v>
      </c>
      <c r="B6056" t="s">
        <v>1931</v>
      </c>
      <c r="C6056" t="s">
        <v>8476</v>
      </c>
      <c r="D6056" t="s">
        <v>13012</v>
      </c>
      <c r="E6056" t="s">
        <v>15693</v>
      </c>
      <c r="F6056" t="s">
        <v>22436</v>
      </c>
      <c r="G6056" t="s">
        <v>22444</v>
      </c>
      <c r="H6056" t="s">
        <v>22452</v>
      </c>
      <c r="I6056" t="s">
        <v>3529</v>
      </c>
      <c r="J6056" t="s">
        <v>26550</v>
      </c>
      <c r="K6056" t="s">
        <v>29336</v>
      </c>
      <c r="M6056" t="s">
        <v>31659</v>
      </c>
      <c r="N6056" t="s">
        <v>32524</v>
      </c>
      <c r="O6056" t="s">
        <v>32525</v>
      </c>
      <c r="P6056">
        <v>0</v>
      </c>
      <c r="Q6056">
        <v>0</v>
      </c>
      <c r="R6056" t="s">
        <v>32532</v>
      </c>
      <c r="S6056" t="s">
        <v>32616</v>
      </c>
      <c r="T6056" t="s">
        <v>33451</v>
      </c>
      <c r="U6056" t="s">
        <v>38745</v>
      </c>
      <c r="W6056" t="s">
        <v>31659</v>
      </c>
      <c r="X6056" t="s">
        <v>32533</v>
      </c>
    </row>
    <row r="6057" spans="1:24">
      <c r="A6057">
        <f>HYPERLINK("https://www.philgeps.gov.ph/GEPSNONPILOT/Tender/SplashBidNoticeAbstractUI.aspx?menuIndex=3&amp;refID=7035311&amp;Result=3","7035311")</f>
        <v>0</v>
      </c>
      <c r="B6057" t="s">
        <v>1932</v>
      </c>
      <c r="C6057" t="s">
        <v>8477</v>
      </c>
      <c r="D6057" t="s">
        <v>13040</v>
      </c>
      <c r="E6057" t="s">
        <v>18459</v>
      </c>
      <c r="F6057" t="s">
        <v>22436</v>
      </c>
      <c r="G6057" t="s">
        <v>22444</v>
      </c>
      <c r="H6057" t="s">
        <v>22452</v>
      </c>
      <c r="I6057" t="s">
        <v>22482</v>
      </c>
      <c r="J6057" t="s">
        <v>25246</v>
      </c>
      <c r="K6057" t="s">
        <v>29335</v>
      </c>
      <c r="M6057" t="s">
        <v>31660</v>
      </c>
      <c r="N6057" t="s">
        <v>32524</v>
      </c>
      <c r="O6057" t="s">
        <v>32525</v>
      </c>
      <c r="P6057">
        <v>0</v>
      </c>
      <c r="Q6057">
        <v>9</v>
      </c>
      <c r="R6057" t="s">
        <v>32532</v>
      </c>
      <c r="S6057" t="s">
        <v>32616</v>
      </c>
      <c r="T6057" t="s">
        <v>33486</v>
      </c>
      <c r="U6057" t="s">
        <v>38746</v>
      </c>
      <c r="W6057" t="s">
        <v>43737</v>
      </c>
      <c r="X6057" t="s">
        <v>32533</v>
      </c>
    </row>
    <row r="6058" spans="1:24">
      <c r="A6058">
        <f>HYPERLINK("https://www.philgeps.gov.ph/GEPSNONPILOT/Tender/SplashBidNoticeAbstractUI.aspx?menuIndex=3&amp;refID=7035298&amp;Result=3","7035298")</f>
        <v>0</v>
      </c>
      <c r="B6058" t="s">
        <v>1870</v>
      </c>
      <c r="C6058" t="s">
        <v>8478</v>
      </c>
      <c r="D6058" t="s">
        <v>13045</v>
      </c>
      <c r="E6058" t="s">
        <v>18460</v>
      </c>
      <c r="F6058" t="s">
        <v>22436</v>
      </c>
      <c r="G6058" t="s">
        <v>22444</v>
      </c>
      <c r="H6058" t="s">
        <v>22454</v>
      </c>
      <c r="I6058" t="s">
        <v>7738</v>
      </c>
      <c r="J6058" t="s">
        <v>24431</v>
      </c>
      <c r="K6058" t="s">
        <v>29333</v>
      </c>
      <c r="M6058" t="s">
        <v>31588</v>
      </c>
      <c r="N6058" t="s">
        <v>32524</v>
      </c>
      <c r="O6058" t="s">
        <v>32525</v>
      </c>
      <c r="P6058">
        <v>0</v>
      </c>
      <c r="Q6058">
        <v>1</v>
      </c>
      <c r="R6058" t="s">
        <v>32532</v>
      </c>
      <c r="S6058" t="s">
        <v>32616</v>
      </c>
      <c r="T6058" t="s">
        <v>33249</v>
      </c>
      <c r="U6058" t="s">
        <v>38747</v>
      </c>
      <c r="V6058" t="s">
        <v>43068</v>
      </c>
      <c r="W6058" t="s">
        <v>31588</v>
      </c>
      <c r="X6058" t="s">
        <v>32533</v>
      </c>
    </row>
    <row r="6059" spans="1:24">
      <c r="A6059">
        <f>HYPERLINK("https://www.philgeps.gov.ph/GEPSNONPILOT/Tender/SplashBidNoticeAbstractUI.aspx?menuIndex=3&amp;refID=7035292&amp;Result=3","7035292")</f>
        <v>0</v>
      </c>
      <c r="B6059" t="s">
        <v>1933</v>
      </c>
      <c r="C6059" t="s">
        <v>8479</v>
      </c>
      <c r="D6059" t="s">
        <v>13025</v>
      </c>
      <c r="E6059" t="s">
        <v>13131</v>
      </c>
      <c r="F6059" t="s">
        <v>22436</v>
      </c>
      <c r="G6059" t="s">
        <v>22444</v>
      </c>
      <c r="H6059" t="s">
        <v>22452</v>
      </c>
      <c r="I6059" t="s">
        <v>3529</v>
      </c>
      <c r="J6059" t="s">
        <v>26551</v>
      </c>
      <c r="K6059" t="s">
        <v>29335</v>
      </c>
      <c r="M6059" t="s">
        <v>31661</v>
      </c>
      <c r="N6059" t="s">
        <v>32524</v>
      </c>
      <c r="O6059" t="s">
        <v>32525</v>
      </c>
      <c r="P6059">
        <v>0</v>
      </c>
      <c r="Q6059">
        <v>0</v>
      </c>
      <c r="R6059" t="s">
        <v>32532</v>
      </c>
      <c r="S6059" t="s">
        <v>32616</v>
      </c>
      <c r="T6059" t="s">
        <v>33227</v>
      </c>
      <c r="U6059" t="s">
        <v>38748</v>
      </c>
      <c r="W6059" t="s">
        <v>31661</v>
      </c>
      <c r="X6059" t="s">
        <v>32533</v>
      </c>
    </row>
    <row r="6060" spans="1:24">
      <c r="A6060">
        <f>HYPERLINK("https://www.philgeps.gov.ph/GEPSNONPILOT/Tender/SplashBidNoticeAbstractUI.aspx?menuIndex=3&amp;refID=7035306&amp;Result=3","7035306")</f>
        <v>0</v>
      </c>
      <c r="B6060" t="s">
        <v>1897</v>
      </c>
      <c r="C6060" t="s">
        <v>8480</v>
      </c>
      <c r="D6060" t="s">
        <v>13011</v>
      </c>
      <c r="E6060" t="s">
        <v>14095</v>
      </c>
      <c r="F6060" t="s">
        <v>22436</v>
      </c>
      <c r="G6060" t="s">
        <v>22447</v>
      </c>
      <c r="H6060" t="s">
        <v>22453</v>
      </c>
      <c r="I6060" t="s">
        <v>2962</v>
      </c>
      <c r="J6060" t="s">
        <v>22937</v>
      </c>
      <c r="K6060" t="s">
        <v>29335</v>
      </c>
      <c r="M6060" t="s">
        <v>31618</v>
      </c>
      <c r="N6060" t="s">
        <v>32524</v>
      </c>
      <c r="O6060" t="s">
        <v>32525</v>
      </c>
      <c r="P6060">
        <v>0</v>
      </c>
      <c r="Q6060">
        <v>0</v>
      </c>
      <c r="R6060" t="s">
        <v>32532</v>
      </c>
      <c r="S6060" t="s">
        <v>32616</v>
      </c>
      <c r="T6060" t="s">
        <v>33372</v>
      </c>
      <c r="U6060" t="s">
        <v>38749</v>
      </c>
      <c r="W6060" t="s">
        <v>31618</v>
      </c>
      <c r="X6060" t="s">
        <v>32533</v>
      </c>
    </row>
    <row r="6061" spans="1:24">
      <c r="A6061">
        <f>HYPERLINK("https://www.philgeps.gov.ph/GEPSNONPILOT/Tender/SplashBidNoticeAbstractUI.aspx?menuIndex=3&amp;refID=7035293&amp;Result=3","7035293")</f>
        <v>0</v>
      </c>
      <c r="B6061" t="s">
        <v>1933</v>
      </c>
      <c r="C6061" t="s">
        <v>8481</v>
      </c>
      <c r="D6061" t="s">
        <v>13025</v>
      </c>
      <c r="E6061" t="s">
        <v>14095</v>
      </c>
      <c r="F6061" t="s">
        <v>22436</v>
      </c>
      <c r="G6061" t="s">
        <v>22444</v>
      </c>
      <c r="H6061" t="s">
        <v>22452</v>
      </c>
      <c r="I6061" t="s">
        <v>22476</v>
      </c>
      <c r="J6061" t="s">
        <v>22692</v>
      </c>
      <c r="K6061" t="s">
        <v>29335</v>
      </c>
      <c r="M6061" t="s">
        <v>31661</v>
      </c>
      <c r="N6061" t="s">
        <v>32524</v>
      </c>
      <c r="O6061" t="s">
        <v>32525</v>
      </c>
      <c r="P6061">
        <v>0</v>
      </c>
      <c r="Q6061">
        <v>0</v>
      </c>
      <c r="R6061" t="s">
        <v>32532</v>
      </c>
      <c r="S6061" t="s">
        <v>32616</v>
      </c>
      <c r="T6061" t="s">
        <v>33227</v>
      </c>
      <c r="U6061" t="s">
        <v>38750</v>
      </c>
      <c r="W6061" t="s">
        <v>31661</v>
      </c>
      <c r="X6061" t="s">
        <v>32533</v>
      </c>
    </row>
    <row r="6062" spans="1:24">
      <c r="A6062">
        <f>HYPERLINK("https://www.philgeps.gov.ph/GEPSNONPILOT/Tender/SplashBidNoticeAbstractUI.aspx?menuIndex=3&amp;refID=7035313&amp;Result=3","7035313")</f>
        <v>0</v>
      </c>
      <c r="B6062" t="s">
        <v>1934</v>
      </c>
      <c r="C6062" t="s">
        <v>8482</v>
      </c>
      <c r="D6062" t="s">
        <v>13019</v>
      </c>
      <c r="E6062" t="s">
        <v>18461</v>
      </c>
      <c r="F6062" t="s">
        <v>22436</v>
      </c>
      <c r="G6062" t="s">
        <v>22444</v>
      </c>
      <c r="H6062" t="s">
        <v>22454</v>
      </c>
      <c r="I6062" t="s">
        <v>7738</v>
      </c>
      <c r="J6062" t="s">
        <v>22798</v>
      </c>
      <c r="K6062" t="s">
        <v>29338</v>
      </c>
      <c r="M6062" t="s">
        <v>31662</v>
      </c>
      <c r="N6062" t="s">
        <v>32524</v>
      </c>
      <c r="O6062" t="s">
        <v>32525</v>
      </c>
      <c r="P6062">
        <v>0</v>
      </c>
      <c r="Q6062">
        <v>0</v>
      </c>
      <c r="R6062" t="s">
        <v>32532</v>
      </c>
      <c r="S6062" t="s">
        <v>32616</v>
      </c>
      <c r="T6062" t="s">
        <v>33185</v>
      </c>
      <c r="U6062" t="s">
        <v>38751</v>
      </c>
      <c r="W6062" t="s">
        <v>31662</v>
      </c>
      <c r="X6062" t="s">
        <v>32533</v>
      </c>
    </row>
    <row r="6063" spans="1:24">
      <c r="A6063">
        <f>HYPERLINK("https://www.philgeps.gov.ph/GEPSNONPILOT/Tender/SplashBidNoticeAbstractUI.aspx?menuIndex=3&amp;refID=7035308&amp;Result=3","7035308")</f>
        <v>0</v>
      </c>
      <c r="B6063" t="s">
        <v>1934</v>
      </c>
      <c r="C6063" t="s">
        <v>8483</v>
      </c>
      <c r="D6063" t="s">
        <v>13019</v>
      </c>
      <c r="E6063" t="s">
        <v>18462</v>
      </c>
      <c r="F6063" t="s">
        <v>22436</v>
      </c>
      <c r="G6063" t="s">
        <v>22444</v>
      </c>
      <c r="H6063" t="s">
        <v>22454</v>
      </c>
      <c r="I6063" t="s">
        <v>7738</v>
      </c>
      <c r="J6063" t="s">
        <v>26552</v>
      </c>
      <c r="K6063" t="s">
        <v>29338</v>
      </c>
      <c r="M6063" t="s">
        <v>31662</v>
      </c>
      <c r="N6063" t="s">
        <v>32524</v>
      </c>
      <c r="O6063" t="s">
        <v>32525</v>
      </c>
      <c r="P6063">
        <v>0</v>
      </c>
      <c r="Q6063">
        <v>0</v>
      </c>
      <c r="R6063" t="s">
        <v>32532</v>
      </c>
      <c r="S6063" t="s">
        <v>32616</v>
      </c>
      <c r="T6063" t="s">
        <v>33185</v>
      </c>
      <c r="U6063" t="s">
        <v>38751</v>
      </c>
      <c r="W6063" t="s">
        <v>31662</v>
      </c>
      <c r="X6063" t="s">
        <v>32533</v>
      </c>
    </row>
    <row r="6064" spans="1:24">
      <c r="A6064">
        <f>HYPERLINK("https://www.philgeps.gov.ph/GEPSNONPILOT/Tender/SplashBidNoticeAbstractUI.aspx?menuIndex=3&amp;refID=7035324&amp;Result=3","7035324")</f>
        <v>0</v>
      </c>
      <c r="B6064" t="s">
        <v>1935</v>
      </c>
      <c r="C6064" t="s">
        <v>8484</v>
      </c>
      <c r="D6064" t="s">
        <v>13036</v>
      </c>
      <c r="E6064" t="s">
        <v>18463</v>
      </c>
      <c r="F6064" t="s">
        <v>22436</v>
      </c>
      <c r="G6064" t="s">
        <v>22444</v>
      </c>
      <c r="H6064" t="s">
        <v>22454</v>
      </c>
      <c r="I6064" t="s">
        <v>7738</v>
      </c>
      <c r="J6064" t="s">
        <v>26553</v>
      </c>
      <c r="K6064" t="s">
        <v>29335</v>
      </c>
      <c r="M6064" t="s">
        <v>31663</v>
      </c>
      <c r="N6064" t="s">
        <v>32524</v>
      </c>
      <c r="O6064" t="s">
        <v>32525</v>
      </c>
      <c r="P6064">
        <v>0</v>
      </c>
      <c r="Q6064">
        <v>0</v>
      </c>
      <c r="R6064" t="s">
        <v>32532</v>
      </c>
      <c r="S6064" t="s">
        <v>32616</v>
      </c>
      <c r="T6064" t="s">
        <v>33327</v>
      </c>
      <c r="U6064" t="s">
        <v>38752</v>
      </c>
      <c r="W6064" t="s">
        <v>31663</v>
      </c>
      <c r="X6064" t="s">
        <v>32533</v>
      </c>
    </row>
    <row r="6065" spans="1:24">
      <c r="A6065">
        <f>HYPERLINK("https://www.philgeps.gov.ph/GEPSNONPILOT/Tender/SplashBidNoticeAbstractUI.aspx?menuIndex=3&amp;refID=7035331&amp;Result=3","7035331")</f>
        <v>0</v>
      </c>
      <c r="B6065" t="s">
        <v>46</v>
      </c>
      <c r="C6065" t="s">
        <v>8485</v>
      </c>
      <c r="D6065" t="s">
        <v>13006</v>
      </c>
      <c r="E6065" t="s">
        <v>18464</v>
      </c>
      <c r="F6065" t="s">
        <v>22436</v>
      </c>
      <c r="G6065" t="s">
        <v>22443</v>
      </c>
      <c r="H6065" t="s">
        <v>22452</v>
      </c>
      <c r="I6065" t="s">
        <v>22465</v>
      </c>
      <c r="J6065" t="s">
        <v>26554</v>
      </c>
      <c r="K6065" t="s">
        <v>29330</v>
      </c>
      <c r="M6065" t="s">
        <v>29617</v>
      </c>
      <c r="N6065" t="s">
        <v>32524</v>
      </c>
      <c r="O6065" t="s">
        <v>32525</v>
      </c>
      <c r="P6065">
        <v>0</v>
      </c>
      <c r="Q6065">
        <v>0</v>
      </c>
      <c r="R6065" t="s">
        <v>32532</v>
      </c>
      <c r="S6065" t="s">
        <v>32616</v>
      </c>
      <c r="T6065" t="s">
        <v>33161</v>
      </c>
      <c r="U6065" t="s">
        <v>38753</v>
      </c>
      <c r="V6065" t="s">
        <v>43075</v>
      </c>
      <c r="W6065" t="s">
        <v>29617</v>
      </c>
      <c r="X6065" t="s">
        <v>32533</v>
      </c>
    </row>
    <row r="6066" spans="1:24">
      <c r="A6066">
        <f>HYPERLINK("https://www.philgeps.gov.ph/GEPSNONPILOT/Tender/SplashBidNoticeAbstractUI.aspx?menuIndex=3&amp;refID=7035328&amp;Result=3","7035328")</f>
        <v>0</v>
      </c>
      <c r="B6066" t="s">
        <v>1932</v>
      </c>
      <c r="C6066" t="s">
        <v>8486</v>
      </c>
      <c r="D6066" t="s">
        <v>13040</v>
      </c>
      <c r="E6066" t="s">
        <v>18465</v>
      </c>
      <c r="F6066" t="s">
        <v>22436</v>
      </c>
      <c r="G6066" t="s">
        <v>22444</v>
      </c>
      <c r="H6066" t="s">
        <v>22452</v>
      </c>
      <c r="I6066" t="s">
        <v>6421</v>
      </c>
      <c r="J6066" t="s">
        <v>26555</v>
      </c>
      <c r="K6066" t="s">
        <v>29335</v>
      </c>
      <c r="M6066" t="s">
        <v>31660</v>
      </c>
      <c r="N6066" t="s">
        <v>32524</v>
      </c>
      <c r="O6066" t="s">
        <v>32525</v>
      </c>
      <c r="P6066">
        <v>0</v>
      </c>
      <c r="Q6066">
        <v>5</v>
      </c>
      <c r="R6066" t="s">
        <v>32532</v>
      </c>
      <c r="S6066" t="s">
        <v>32616</v>
      </c>
      <c r="T6066" t="s">
        <v>33486</v>
      </c>
      <c r="U6066" t="s">
        <v>38754</v>
      </c>
      <c r="W6066" t="s">
        <v>43737</v>
      </c>
      <c r="X6066" t="s">
        <v>32533</v>
      </c>
    </row>
    <row r="6067" spans="1:24">
      <c r="A6067">
        <f>HYPERLINK("https://www.philgeps.gov.ph/GEPSNONPILOT/Tender/SplashBidNoticeAbstractUI.aspx?menuIndex=3&amp;refID=7035322&amp;Result=3","7035322")</f>
        <v>0</v>
      </c>
      <c r="B6067" t="s">
        <v>1917</v>
      </c>
      <c r="C6067" t="s">
        <v>8487</v>
      </c>
      <c r="D6067" t="s">
        <v>13011</v>
      </c>
      <c r="E6067" t="s">
        <v>18466</v>
      </c>
      <c r="F6067" t="s">
        <v>22436</v>
      </c>
      <c r="G6067" t="s">
        <v>22444</v>
      </c>
      <c r="H6067" t="s">
        <v>22452</v>
      </c>
      <c r="I6067" t="s">
        <v>22502</v>
      </c>
      <c r="J6067" t="s">
        <v>26556</v>
      </c>
      <c r="K6067" t="s">
        <v>29330</v>
      </c>
      <c r="M6067" t="s">
        <v>31642</v>
      </c>
      <c r="N6067" t="s">
        <v>32524</v>
      </c>
      <c r="O6067" t="s">
        <v>32525</v>
      </c>
      <c r="P6067">
        <v>0</v>
      </c>
      <c r="Q6067">
        <v>6</v>
      </c>
      <c r="R6067" t="s">
        <v>32532</v>
      </c>
      <c r="S6067" t="s">
        <v>32616</v>
      </c>
      <c r="T6067" t="s">
        <v>33323</v>
      </c>
      <c r="U6067" t="s">
        <v>38755</v>
      </c>
      <c r="V6067" t="s">
        <v>43095</v>
      </c>
      <c r="W6067" t="s">
        <v>31642</v>
      </c>
      <c r="X6067" t="s">
        <v>32533</v>
      </c>
    </row>
    <row r="6068" spans="1:24">
      <c r="A6068">
        <f>HYPERLINK("https://www.philgeps.gov.ph/GEPSNONPILOT/Tender/SplashBidNoticeAbstractUI.aspx?menuIndex=3&amp;refID=7035326&amp;Result=3","7035326")</f>
        <v>0</v>
      </c>
      <c r="B6068" t="s">
        <v>46</v>
      </c>
      <c r="C6068" t="s">
        <v>8488</v>
      </c>
      <c r="D6068" t="s">
        <v>13006</v>
      </c>
      <c r="E6068" t="s">
        <v>18467</v>
      </c>
      <c r="F6068" t="s">
        <v>22436</v>
      </c>
      <c r="G6068" t="s">
        <v>22444</v>
      </c>
      <c r="H6068" t="s">
        <v>22452</v>
      </c>
      <c r="I6068" t="s">
        <v>22460</v>
      </c>
      <c r="J6068" t="s">
        <v>26557</v>
      </c>
      <c r="K6068" t="s">
        <v>29330</v>
      </c>
      <c r="M6068" t="s">
        <v>29617</v>
      </c>
      <c r="N6068" t="s">
        <v>32524</v>
      </c>
      <c r="O6068" t="s">
        <v>32525</v>
      </c>
      <c r="P6068">
        <v>0</v>
      </c>
      <c r="Q6068">
        <v>0</v>
      </c>
      <c r="R6068" t="s">
        <v>32532</v>
      </c>
      <c r="S6068" t="s">
        <v>32616</v>
      </c>
      <c r="T6068" t="s">
        <v>33238</v>
      </c>
      <c r="U6068" t="s">
        <v>38756</v>
      </c>
      <c r="V6068" t="s">
        <v>42461</v>
      </c>
      <c r="W6068" t="s">
        <v>29617</v>
      </c>
      <c r="X6068" t="s">
        <v>32533</v>
      </c>
    </row>
    <row r="6069" spans="1:24">
      <c r="A6069">
        <f>HYPERLINK("https://www.philgeps.gov.ph/GEPSNONPILOT/Tender/SplashBidNoticeAbstractUI.aspx?menuIndex=3&amp;refID=7035303&amp;Result=3","7035303")</f>
        <v>0</v>
      </c>
      <c r="B6069" t="s">
        <v>1934</v>
      </c>
      <c r="C6069" t="s">
        <v>8489</v>
      </c>
      <c r="D6069" t="s">
        <v>13019</v>
      </c>
      <c r="E6069" t="s">
        <v>18468</v>
      </c>
      <c r="F6069" t="s">
        <v>22436</v>
      </c>
      <c r="G6069" t="s">
        <v>22444</v>
      </c>
      <c r="H6069" t="s">
        <v>22452</v>
      </c>
      <c r="I6069" t="s">
        <v>3529</v>
      </c>
      <c r="J6069" t="s">
        <v>26558</v>
      </c>
      <c r="K6069" t="s">
        <v>29338</v>
      </c>
      <c r="M6069" t="s">
        <v>31662</v>
      </c>
      <c r="N6069" t="s">
        <v>32524</v>
      </c>
      <c r="O6069" t="s">
        <v>32525</v>
      </c>
      <c r="P6069">
        <v>0</v>
      </c>
      <c r="Q6069">
        <v>0</v>
      </c>
      <c r="R6069" t="s">
        <v>32532</v>
      </c>
      <c r="S6069" t="s">
        <v>32616</v>
      </c>
      <c r="T6069" t="s">
        <v>33185</v>
      </c>
      <c r="U6069" t="s">
        <v>38757</v>
      </c>
      <c r="W6069" t="s">
        <v>31662</v>
      </c>
      <c r="X6069" t="s">
        <v>32533</v>
      </c>
    </row>
    <row r="6070" spans="1:24">
      <c r="A6070">
        <f>HYPERLINK("https://www.philgeps.gov.ph/GEPSNONPILOT/Tender/SplashBidNoticeAbstractUI.aspx?menuIndex=3&amp;refID=7035336&amp;Result=3","7035336")</f>
        <v>0</v>
      </c>
      <c r="B6070" t="s">
        <v>46</v>
      </c>
      <c r="C6070" t="s">
        <v>8490</v>
      </c>
      <c r="D6070" t="s">
        <v>13006</v>
      </c>
      <c r="E6070" t="s">
        <v>18469</v>
      </c>
      <c r="F6070" t="s">
        <v>22436</v>
      </c>
      <c r="G6070" t="s">
        <v>22444</v>
      </c>
      <c r="H6070" t="s">
        <v>22452</v>
      </c>
      <c r="I6070" t="s">
        <v>22463</v>
      </c>
      <c r="J6070" t="s">
        <v>26559</v>
      </c>
      <c r="K6070" t="s">
        <v>29330</v>
      </c>
      <c r="M6070" t="s">
        <v>30583</v>
      </c>
      <c r="N6070" t="s">
        <v>32524</v>
      </c>
      <c r="O6070" t="s">
        <v>32525</v>
      </c>
      <c r="P6070">
        <v>0</v>
      </c>
      <c r="Q6070">
        <v>3</v>
      </c>
      <c r="R6070" t="s">
        <v>32532</v>
      </c>
      <c r="S6070" t="s">
        <v>32616</v>
      </c>
      <c r="T6070" t="s">
        <v>33238</v>
      </c>
      <c r="U6070" t="s">
        <v>38758</v>
      </c>
      <c r="V6070" t="s">
        <v>42654</v>
      </c>
      <c r="W6070" t="s">
        <v>30583</v>
      </c>
      <c r="X6070" t="s">
        <v>32533</v>
      </c>
    </row>
    <row r="6071" spans="1:24">
      <c r="A6071">
        <f>HYPERLINK("https://www.philgeps.gov.ph/GEPSNONPILOT/Tender/SplashBidNoticeAbstractUI.aspx?menuIndex=3&amp;refID=7035320&amp;Result=3","7035320")</f>
        <v>0</v>
      </c>
      <c r="B6071" t="s">
        <v>515</v>
      </c>
      <c r="C6071" t="s">
        <v>3823</v>
      </c>
      <c r="D6071" t="s">
        <v>13020</v>
      </c>
      <c r="E6071" t="s">
        <v>18470</v>
      </c>
      <c r="F6071" t="s">
        <v>22436</v>
      </c>
      <c r="G6071" t="s">
        <v>22444</v>
      </c>
      <c r="H6071" t="s">
        <v>22454</v>
      </c>
      <c r="I6071" t="s">
        <v>7738</v>
      </c>
      <c r="J6071" t="s">
        <v>26560</v>
      </c>
      <c r="K6071" t="s">
        <v>29336</v>
      </c>
      <c r="M6071" t="s">
        <v>30099</v>
      </c>
      <c r="N6071" t="s">
        <v>32524</v>
      </c>
      <c r="O6071" t="s">
        <v>32525</v>
      </c>
      <c r="P6071">
        <v>0</v>
      </c>
      <c r="Q6071">
        <v>1</v>
      </c>
      <c r="R6071" t="s">
        <v>32532</v>
      </c>
      <c r="S6071" t="s">
        <v>32616</v>
      </c>
      <c r="T6071" t="s">
        <v>33220</v>
      </c>
      <c r="U6071" t="s">
        <v>38759</v>
      </c>
      <c r="V6071" t="s">
        <v>43101</v>
      </c>
      <c r="W6071" t="s">
        <v>30099</v>
      </c>
      <c r="X6071" t="s">
        <v>32533</v>
      </c>
    </row>
    <row r="6072" spans="1:24">
      <c r="A6072">
        <f>HYPERLINK("https://www.philgeps.gov.ph/GEPSNONPILOT/Tender/SplashBidNoticeAbstractUI.aspx?menuIndex=3&amp;refID=7035305&amp;Result=3","7035305")</f>
        <v>0</v>
      </c>
      <c r="B6072" t="s">
        <v>1917</v>
      </c>
      <c r="C6072" t="s">
        <v>8491</v>
      </c>
      <c r="D6072" t="s">
        <v>13011</v>
      </c>
      <c r="E6072" t="s">
        <v>18471</v>
      </c>
      <c r="F6072" t="s">
        <v>22436</v>
      </c>
      <c r="G6072" t="s">
        <v>22444</v>
      </c>
      <c r="H6072" t="s">
        <v>22452</v>
      </c>
      <c r="I6072" t="s">
        <v>3827</v>
      </c>
      <c r="J6072" t="s">
        <v>26561</v>
      </c>
      <c r="K6072" t="s">
        <v>29330</v>
      </c>
      <c r="M6072" t="s">
        <v>31642</v>
      </c>
      <c r="N6072" t="s">
        <v>32524</v>
      </c>
      <c r="O6072" t="s">
        <v>32525</v>
      </c>
      <c r="P6072">
        <v>0</v>
      </c>
      <c r="Q6072">
        <v>2</v>
      </c>
      <c r="R6072" t="s">
        <v>32532</v>
      </c>
      <c r="S6072" t="s">
        <v>32616</v>
      </c>
      <c r="T6072" t="s">
        <v>33323</v>
      </c>
      <c r="U6072" t="s">
        <v>38760</v>
      </c>
      <c r="V6072" t="s">
        <v>43095</v>
      </c>
      <c r="W6072" t="s">
        <v>31642</v>
      </c>
      <c r="X6072" t="s">
        <v>32533</v>
      </c>
    </row>
    <row r="6073" spans="1:24">
      <c r="A6073">
        <f>HYPERLINK("https://www.philgeps.gov.ph/GEPSNONPILOT/Tender/SplashBidNoticeAbstractUI.aspx?menuIndex=3&amp;refID=7035319&amp;Result=3","7035319")</f>
        <v>0</v>
      </c>
      <c r="B6073" t="s">
        <v>954</v>
      </c>
      <c r="C6073" t="s">
        <v>8492</v>
      </c>
      <c r="D6073" t="s">
        <v>13046</v>
      </c>
      <c r="E6073" t="s">
        <v>18472</v>
      </c>
      <c r="F6073" t="s">
        <v>22436</v>
      </c>
      <c r="G6073" t="s">
        <v>22446</v>
      </c>
      <c r="H6073" t="s">
        <v>22452</v>
      </c>
      <c r="I6073" t="s">
        <v>3827</v>
      </c>
      <c r="J6073" t="s">
        <v>26562</v>
      </c>
      <c r="K6073" t="s">
        <v>29338</v>
      </c>
      <c r="M6073" t="s">
        <v>30570</v>
      </c>
      <c r="N6073" t="s">
        <v>32524</v>
      </c>
      <c r="O6073" t="s">
        <v>32525</v>
      </c>
      <c r="P6073">
        <v>0</v>
      </c>
      <c r="Q6073">
        <v>0</v>
      </c>
      <c r="R6073" t="s">
        <v>32532</v>
      </c>
      <c r="S6073" t="s">
        <v>32616</v>
      </c>
      <c r="T6073" t="s">
        <v>33220</v>
      </c>
      <c r="U6073" t="s">
        <v>38761</v>
      </c>
      <c r="W6073" t="s">
        <v>43701</v>
      </c>
      <c r="X6073" t="s">
        <v>32533</v>
      </c>
    </row>
    <row r="6074" spans="1:24">
      <c r="A6074">
        <f>HYPERLINK("https://www.philgeps.gov.ph/GEPSNONPILOT/Tender/SplashBidNoticeAbstractUI.aspx?menuIndex=3&amp;refID=7035315&amp;Result=3","7035315")</f>
        <v>0</v>
      </c>
      <c r="B6074" t="s">
        <v>954</v>
      </c>
      <c r="C6074" t="s">
        <v>8493</v>
      </c>
      <c r="D6074" t="s">
        <v>13046</v>
      </c>
      <c r="E6074" t="s">
        <v>18473</v>
      </c>
      <c r="F6074" t="s">
        <v>22436</v>
      </c>
      <c r="G6074" t="s">
        <v>22446</v>
      </c>
      <c r="H6074" t="s">
        <v>22452</v>
      </c>
      <c r="I6074" t="s">
        <v>12358</v>
      </c>
      <c r="J6074" t="s">
        <v>26563</v>
      </c>
      <c r="K6074" t="s">
        <v>29338</v>
      </c>
      <c r="M6074" t="s">
        <v>30570</v>
      </c>
      <c r="N6074" t="s">
        <v>32524</v>
      </c>
      <c r="O6074" t="s">
        <v>32525</v>
      </c>
      <c r="P6074">
        <v>0</v>
      </c>
      <c r="Q6074">
        <v>0</v>
      </c>
      <c r="R6074" t="s">
        <v>32532</v>
      </c>
      <c r="S6074" t="s">
        <v>32616</v>
      </c>
      <c r="T6074" t="s">
        <v>33220</v>
      </c>
      <c r="U6074" t="s">
        <v>38762</v>
      </c>
      <c r="W6074" t="s">
        <v>43701</v>
      </c>
      <c r="X6074" t="s">
        <v>32533</v>
      </c>
    </row>
    <row r="6075" spans="1:24">
      <c r="A6075">
        <f>HYPERLINK("https://www.philgeps.gov.ph/GEPSNONPILOT/Tender/SplashBidNoticeAbstractUI.aspx?menuIndex=3&amp;refID=7035325&amp;Result=3","7035325")</f>
        <v>0</v>
      </c>
      <c r="B6075" t="s">
        <v>954</v>
      </c>
      <c r="C6075" t="s">
        <v>8494</v>
      </c>
      <c r="D6075" t="s">
        <v>13046</v>
      </c>
      <c r="E6075" t="s">
        <v>18474</v>
      </c>
      <c r="F6075" t="s">
        <v>22436</v>
      </c>
      <c r="G6075" t="s">
        <v>22446</v>
      </c>
      <c r="H6075" t="s">
        <v>22452</v>
      </c>
      <c r="I6075" t="s">
        <v>22467</v>
      </c>
      <c r="J6075" t="s">
        <v>26564</v>
      </c>
      <c r="K6075" t="s">
        <v>29338</v>
      </c>
      <c r="M6075" t="s">
        <v>30570</v>
      </c>
      <c r="N6075" t="s">
        <v>32524</v>
      </c>
      <c r="O6075" t="s">
        <v>32525</v>
      </c>
      <c r="P6075">
        <v>0</v>
      </c>
      <c r="Q6075">
        <v>0</v>
      </c>
      <c r="R6075" t="s">
        <v>32532</v>
      </c>
      <c r="S6075" t="s">
        <v>32616</v>
      </c>
      <c r="T6075" t="s">
        <v>33220</v>
      </c>
      <c r="U6075" t="s">
        <v>38763</v>
      </c>
      <c r="W6075" t="s">
        <v>43701</v>
      </c>
      <c r="X6075" t="s">
        <v>32533</v>
      </c>
    </row>
    <row r="6076" spans="1:24">
      <c r="A6076">
        <f>HYPERLINK("https://www.philgeps.gov.ph/GEPSNONPILOT/Tender/SplashBidNoticeAbstractUI.aspx?menuIndex=3&amp;refID=7035316&amp;Result=3","7035316")</f>
        <v>0</v>
      </c>
      <c r="B6076" t="s">
        <v>46</v>
      </c>
      <c r="C6076" t="s">
        <v>8495</v>
      </c>
      <c r="D6076" t="s">
        <v>13006</v>
      </c>
      <c r="E6076" t="s">
        <v>18475</v>
      </c>
      <c r="F6076" t="s">
        <v>22436</v>
      </c>
      <c r="G6076" t="s">
        <v>22443</v>
      </c>
      <c r="H6076" t="s">
        <v>22452</v>
      </c>
      <c r="I6076" t="s">
        <v>22468</v>
      </c>
      <c r="J6076" t="s">
        <v>26565</v>
      </c>
      <c r="K6076" t="s">
        <v>29330</v>
      </c>
      <c r="M6076" t="s">
        <v>29617</v>
      </c>
      <c r="N6076" t="s">
        <v>32524</v>
      </c>
      <c r="O6076" t="s">
        <v>32525</v>
      </c>
      <c r="P6076">
        <v>0</v>
      </c>
      <c r="Q6076">
        <v>2</v>
      </c>
      <c r="R6076" t="s">
        <v>32532</v>
      </c>
      <c r="S6076" t="s">
        <v>32616</v>
      </c>
      <c r="T6076" t="s">
        <v>33161</v>
      </c>
      <c r="U6076" t="s">
        <v>38764</v>
      </c>
      <c r="V6076" t="s">
        <v>43075</v>
      </c>
      <c r="W6076" t="s">
        <v>29617</v>
      </c>
      <c r="X6076" t="s">
        <v>32533</v>
      </c>
    </row>
    <row r="6077" spans="1:24">
      <c r="A6077">
        <f>HYPERLINK("https://www.philgeps.gov.ph/GEPSNONPILOT/Tender/SplashBidNoticeAbstractUI.aspx?menuIndex=3&amp;refID=7035318&amp;Result=3","7035318")</f>
        <v>0</v>
      </c>
      <c r="B6077" t="s">
        <v>46</v>
      </c>
      <c r="C6077" t="s">
        <v>8496</v>
      </c>
      <c r="D6077" t="s">
        <v>13006</v>
      </c>
      <c r="E6077" t="s">
        <v>18476</v>
      </c>
      <c r="F6077" t="s">
        <v>22436</v>
      </c>
      <c r="G6077" t="s">
        <v>22444</v>
      </c>
      <c r="H6077" t="s">
        <v>22452</v>
      </c>
      <c r="I6077" t="s">
        <v>22493</v>
      </c>
      <c r="J6077" t="s">
        <v>26566</v>
      </c>
      <c r="K6077" t="s">
        <v>29330</v>
      </c>
      <c r="M6077" t="s">
        <v>30583</v>
      </c>
      <c r="N6077" t="s">
        <v>32524</v>
      </c>
      <c r="O6077" t="s">
        <v>32525</v>
      </c>
      <c r="P6077">
        <v>0</v>
      </c>
      <c r="Q6077">
        <v>0</v>
      </c>
      <c r="R6077" t="s">
        <v>32532</v>
      </c>
      <c r="S6077" t="s">
        <v>32616</v>
      </c>
      <c r="T6077" t="s">
        <v>33238</v>
      </c>
      <c r="U6077" t="s">
        <v>38765</v>
      </c>
      <c r="V6077" t="s">
        <v>42654</v>
      </c>
      <c r="W6077" t="s">
        <v>30583</v>
      </c>
      <c r="X6077" t="s">
        <v>32533</v>
      </c>
    </row>
    <row r="6078" spans="1:24">
      <c r="A6078">
        <f>HYPERLINK("https://www.philgeps.gov.ph/GEPSNONPILOT/Tender/SplashBidNoticeAbstractUI.aspx?menuIndex=3&amp;refID=7035338&amp;Result=3","7035338")</f>
        <v>0</v>
      </c>
      <c r="B6078" t="s">
        <v>920</v>
      </c>
      <c r="C6078" t="s">
        <v>8497</v>
      </c>
      <c r="D6078" t="s">
        <v>13000</v>
      </c>
      <c r="E6078" t="s">
        <v>18477</v>
      </c>
      <c r="F6078" t="s">
        <v>22436</v>
      </c>
      <c r="G6078" t="s">
        <v>22444</v>
      </c>
      <c r="H6078" t="s">
        <v>22454</v>
      </c>
      <c r="I6078" t="s">
        <v>3529</v>
      </c>
      <c r="J6078" t="s">
        <v>26567</v>
      </c>
      <c r="K6078" t="s">
        <v>29336</v>
      </c>
      <c r="M6078" t="s">
        <v>30534</v>
      </c>
      <c r="N6078" t="s">
        <v>32524</v>
      </c>
      <c r="O6078" t="s">
        <v>32525</v>
      </c>
      <c r="P6078">
        <v>0</v>
      </c>
      <c r="Q6078">
        <v>0</v>
      </c>
      <c r="R6078" t="s">
        <v>32532</v>
      </c>
      <c r="S6078" t="s">
        <v>32616</v>
      </c>
      <c r="T6078" t="s">
        <v>33304</v>
      </c>
      <c r="U6078" t="s">
        <v>38766</v>
      </c>
      <c r="W6078" t="s">
        <v>30534</v>
      </c>
      <c r="X6078" t="s">
        <v>32533</v>
      </c>
    </row>
    <row r="6079" spans="1:24">
      <c r="A6079">
        <f>HYPERLINK("https://www.philgeps.gov.ph/GEPSNONPILOT/Tender/SplashBidNoticeAbstractUI.aspx?menuIndex=3&amp;refID=7035360&amp;Result=3","7035360")</f>
        <v>0</v>
      </c>
      <c r="B6079" t="s">
        <v>1429</v>
      </c>
      <c r="C6079" t="s">
        <v>8498</v>
      </c>
      <c r="E6079" t="s">
        <v>18478</v>
      </c>
      <c r="F6079" t="s">
        <v>22436</v>
      </c>
      <c r="G6079" t="s">
        <v>22443</v>
      </c>
      <c r="H6079" t="s">
        <v>22452</v>
      </c>
      <c r="I6079" t="s">
        <v>5194</v>
      </c>
      <c r="J6079" t="s">
        <v>26568</v>
      </c>
      <c r="K6079" t="s">
        <v>29338</v>
      </c>
      <c r="M6079" t="s">
        <v>31092</v>
      </c>
      <c r="N6079" t="s">
        <v>32524</v>
      </c>
      <c r="O6079" t="s">
        <v>32525</v>
      </c>
      <c r="P6079">
        <v>0</v>
      </c>
      <c r="Q6079">
        <v>3</v>
      </c>
      <c r="R6079" t="s">
        <v>32532</v>
      </c>
      <c r="S6079" t="s">
        <v>32616</v>
      </c>
      <c r="T6079" t="s">
        <v>33167</v>
      </c>
      <c r="U6079" t="s">
        <v>38767</v>
      </c>
      <c r="W6079" t="s">
        <v>31092</v>
      </c>
      <c r="X6079" t="s">
        <v>32533</v>
      </c>
    </row>
    <row r="6080" spans="1:24">
      <c r="A6080">
        <f>HYPERLINK("https://www.philgeps.gov.ph/GEPSNONPILOT/Tender/SplashBidNoticeAbstractUI.aspx?menuIndex=3&amp;refID=7035343&amp;Result=3","7035343")</f>
        <v>0</v>
      </c>
      <c r="B6080" t="s">
        <v>1932</v>
      </c>
      <c r="C6080" t="s">
        <v>8499</v>
      </c>
      <c r="D6080" t="s">
        <v>13040</v>
      </c>
      <c r="E6080" t="s">
        <v>18479</v>
      </c>
      <c r="F6080" t="s">
        <v>22436</v>
      </c>
      <c r="G6080" t="s">
        <v>22444</v>
      </c>
      <c r="H6080" t="s">
        <v>22452</v>
      </c>
      <c r="I6080" t="s">
        <v>22499</v>
      </c>
      <c r="J6080" t="s">
        <v>26569</v>
      </c>
      <c r="K6080" t="s">
        <v>29335</v>
      </c>
      <c r="M6080" t="s">
        <v>31660</v>
      </c>
      <c r="N6080" t="s">
        <v>32524</v>
      </c>
      <c r="O6080" t="s">
        <v>32525</v>
      </c>
      <c r="P6080">
        <v>0</v>
      </c>
      <c r="Q6080">
        <v>4</v>
      </c>
      <c r="R6080" t="s">
        <v>32532</v>
      </c>
      <c r="S6080" t="s">
        <v>32616</v>
      </c>
      <c r="T6080" t="s">
        <v>33486</v>
      </c>
      <c r="U6080" t="s">
        <v>38768</v>
      </c>
      <c r="W6080" t="s">
        <v>43737</v>
      </c>
      <c r="X6080" t="s">
        <v>32533</v>
      </c>
    </row>
    <row r="6081" spans="1:24">
      <c r="A6081">
        <f>HYPERLINK("https://www.philgeps.gov.ph/GEPSNONPILOT/Tender/SplashBidNoticeAbstractUI.aspx?menuIndex=3&amp;refID=7035364&amp;Result=3","7035364")</f>
        <v>0</v>
      </c>
      <c r="B6081" t="s">
        <v>187</v>
      </c>
      <c r="C6081" t="s">
        <v>8500</v>
      </c>
      <c r="D6081" t="s">
        <v>13010</v>
      </c>
      <c r="E6081" t="s">
        <v>18480</v>
      </c>
      <c r="F6081" t="s">
        <v>22436</v>
      </c>
      <c r="G6081" t="s">
        <v>22443</v>
      </c>
      <c r="H6081" t="s">
        <v>22452</v>
      </c>
      <c r="I6081" t="s">
        <v>22461</v>
      </c>
      <c r="J6081" t="s">
        <v>26570</v>
      </c>
      <c r="K6081" t="s">
        <v>29341</v>
      </c>
      <c r="M6081" t="s">
        <v>29759</v>
      </c>
      <c r="N6081" t="s">
        <v>32524</v>
      </c>
      <c r="O6081" t="s">
        <v>32525</v>
      </c>
      <c r="P6081">
        <v>0</v>
      </c>
      <c r="Q6081">
        <v>1</v>
      </c>
      <c r="R6081" t="s">
        <v>32532</v>
      </c>
      <c r="S6081" t="s">
        <v>32616</v>
      </c>
      <c r="T6081" t="s">
        <v>33351</v>
      </c>
      <c r="U6081" t="s">
        <v>38769</v>
      </c>
      <c r="V6081" t="s">
        <v>43102</v>
      </c>
      <c r="W6081" t="s">
        <v>29759</v>
      </c>
      <c r="X6081" t="s">
        <v>32533</v>
      </c>
    </row>
    <row r="6082" spans="1:24">
      <c r="A6082">
        <f>HYPERLINK("https://www.philgeps.gov.ph/GEPSNONPILOT/Tender/SplashBidNoticeAbstractUI.aspx?menuIndex=3&amp;refID=7035339&amp;Result=3","7035339")</f>
        <v>0</v>
      </c>
      <c r="B6082" t="s">
        <v>46</v>
      </c>
      <c r="C6082" t="s">
        <v>8501</v>
      </c>
      <c r="D6082" t="s">
        <v>13006</v>
      </c>
      <c r="E6082" t="s">
        <v>18481</v>
      </c>
      <c r="F6082" t="s">
        <v>22436</v>
      </c>
      <c r="G6082" t="s">
        <v>22444</v>
      </c>
      <c r="H6082" t="s">
        <v>22452</v>
      </c>
      <c r="I6082" t="s">
        <v>22458</v>
      </c>
      <c r="J6082" t="s">
        <v>22970</v>
      </c>
      <c r="K6082" t="s">
        <v>29330</v>
      </c>
      <c r="M6082" t="s">
        <v>30566</v>
      </c>
      <c r="N6082" t="s">
        <v>32524</v>
      </c>
      <c r="O6082" t="s">
        <v>32525</v>
      </c>
      <c r="P6082">
        <v>0</v>
      </c>
      <c r="Q6082">
        <v>13</v>
      </c>
      <c r="R6082" t="s">
        <v>32532</v>
      </c>
      <c r="S6082" t="s">
        <v>32616</v>
      </c>
      <c r="T6082" t="s">
        <v>33253</v>
      </c>
      <c r="U6082" t="s">
        <v>38770</v>
      </c>
      <c r="V6082" t="s">
        <v>42654</v>
      </c>
      <c r="W6082" t="s">
        <v>30566</v>
      </c>
      <c r="X6082" t="s">
        <v>32533</v>
      </c>
    </row>
    <row r="6083" spans="1:24">
      <c r="A6083">
        <f>HYPERLINK("https://www.philgeps.gov.ph/GEPSNONPILOT/Tender/SplashBidNoticeAbstractUI.aspx?menuIndex=3&amp;refID=7035341&amp;Result=3","7035341")</f>
        <v>0</v>
      </c>
      <c r="B6083" t="s">
        <v>64</v>
      </c>
      <c r="C6083" t="s">
        <v>8502</v>
      </c>
      <c r="D6083" t="s">
        <v>13016</v>
      </c>
      <c r="E6083" t="s">
        <v>18482</v>
      </c>
      <c r="F6083" t="s">
        <v>22436</v>
      </c>
      <c r="G6083" t="s">
        <v>22443</v>
      </c>
      <c r="H6083" t="s">
        <v>22452</v>
      </c>
      <c r="I6083" t="s">
        <v>22486</v>
      </c>
      <c r="J6083" t="s">
        <v>22605</v>
      </c>
      <c r="K6083" t="s">
        <v>29337</v>
      </c>
      <c r="M6083" t="s">
        <v>31664</v>
      </c>
      <c r="N6083" t="s">
        <v>32524</v>
      </c>
      <c r="O6083" t="s">
        <v>32525</v>
      </c>
      <c r="P6083">
        <v>0</v>
      </c>
      <c r="Q6083">
        <v>1</v>
      </c>
      <c r="R6083" t="s">
        <v>32532</v>
      </c>
      <c r="S6083" t="s">
        <v>32616</v>
      </c>
      <c r="T6083" t="s">
        <v>33167</v>
      </c>
      <c r="U6083" t="s">
        <v>38771</v>
      </c>
      <c r="W6083" t="s">
        <v>31664</v>
      </c>
      <c r="X6083" t="s">
        <v>32533</v>
      </c>
    </row>
    <row r="6084" spans="1:24">
      <c r="A6084">
        <f>HYPERLINK("https://www.philgeps.gov.ph/GEPSNONPILOT/Tender/SplashBidNoticeAbstractUI.aspx?menuIndex=3&amp;refID=7035382&amp;Result=3","7035382")</f>
        <v>0</v>
      </c>
      <c r="B6084" t="s">
        <v>1099</v>
      </c>
      <c r="C6084" t="s">
        <v>8503</v>
      </c>
      <c r="D6084" t="s">
        <v>13055</v>
      </c>
      <c r="E6084" t="s">
        <v>18483</v>
      </c>
      <c r="F6084" t="s">
        <v>22436</v>
      </c>
      <c r="G6084" t="s">
        <v>22444</v>
      </c>
      <c r="H6084" t="s">
        <v>22452</v>
      </c>
      <c r="I6084" t="s">
        <v>22502</v>
      </c>
      <c r="J6084" t="s">
        <v>26571</v>
      </c>
      <c r="K6084" t="s">
        <v>29333</v>
      </c>
      <c r="M6084" t="s">
        <v>30735</v>
      </c>
      <c r="N6084" t="s">
        <v>32524</v>
      </c>
      <c r="O6084" t="s">
        <v>32525</v>
      </c>
      <c r="P6084">
        <v>0</v>
      </c>
      <c r="Q6084">
        <v>21</v>
      </c>
      <c r="R6084" t="s">
        <v>32532</v>
      </c>
      <c r="S6084" t="s">
        <v>32616</v>
      </c>
      <c r="T6084" t="s">
        <v>33259</v>
      </c>
      <c r="U6084" t="s">
        <v>38772</v>
      </c>
      <c r="V6084" t="s">
        <v>43103</v>
      </c>
      <c r="W6084" t="s">
        <v>30735</v>
      </c>
      <c r="X6084" t="s">
        <v>32533</v>
      </c>
    </row>
    <row r="6085" spans="1:24">
      <c r="A6085">
        <f>HYPERLINK("https://www.philgeps.gov.ph/GEPSNONPILOT/Tender/SplashBidNoticeAbstractUI.aspx?menuIndex=3&amp;refID=7035377&amp;Result=3","7035377")</f>
        <v>0</v>
      </c>
      <c r="B6085" t="s">
        <v>46</v>
      </c>
      <c r="C6085" t="s">
        <v>8504</v>
      </c>
      <c r="D6085" t="s">
        <v>13006</v>
      </c>
      <c r="E6085" t="s">
        <v>18484</v>
      </c>
      <c r="F6085" t="s">
        <v>22436</v>
      </c>
      <c r="G6085" t="s">
        <v>22444</v>
      </c>
      <c r="H6085" t="s">
        <v>22452</v>
      </c>
      <c r="I6085" t="s">
        <v>22463</v>
      </c>
      <c r="J6085" t="s">
        <v>26572</v>
      </c>
      <c r="K6085" t="s">
        <v>29330</v>
      </c>
      <c r="M6085" t="s">
        <v>30583</v>
      </c>
      <c r="N6085" t="s">
        <v>32524</v>
      </c>
      <c r="O6085" t="s">
        <v>32525</v>
      </c>
      <c r="P6085">
        <v>0</v>
      </c>
      <c r="Q6085">
        <v>1</v>
      </c>
      <c r="R6085" t="s">
        <v>32532</v>
      </c>
      <c r="S6085" t="s">
        <v>32616</v>
      </c>
      <c r="T6085" t="s">
        <v>33238</v>
      </c>
      <c r="U6085" t="s">
        <v>38773</v>
      </c>
      <c r="V6085" t="s">
        <v>42654</v>
      </c>
      <c r="W6085" t="s">
        <v>30583</v>
      </c>
      <c r="X6085" t="s">
        <v>32533</v>
      </c>
    </row>
    <row r="6086" spans="1:24">
      <c r="A6086">
        <f>HYPERLINK("https://www.philgeps.gov.ph/GEPSNONPILOT/Tender/SplashBidNoticeAbstractUI.aspx?menuIndex=3&amp;refID=7035354&amp;Result=3","7035354")</f>
        <v>0</v>
      </c>
      <c r="B6086" t="s">
        <v>64</v>
      </c>
      <c r="C6086" t="s">
        <v>8505</v>
      </c>
      <c r="D6086" t="s">
        <v>13016</v>
      </c>
      <c r="E6086" t="s">
        <v>18485</v>
      </c>
      <c r="F6086" t="s">
        <v>22436</v>
      </c>
      <c r="G6086" t="s">
        <v>22443</v>
      </c>
      <c r="H6086" t="s">
        <v>22452</v>
      </c>
      <c r="I6086" t="s">
        <v>22486</v>
      </c>
      <c r="J6086" t="s">
        <v>26573</v>
      </c>
      <c r="K6086" t="s">
        <v>29331</v>
      </c>
      <c r="M6086" t="s">
        <v>31664</v>
      </c>
      <c r="N6086" t="s">
        <v>32524</v>
      </c>
      <c r="O6086" t="s">
        <v>32525</v>
      </c>
      <c r="P6086">
        <v>0</v>
      </c>
      <c r="Q6086">
        <v>0</v>
      </c>
      <c r="R6086" t="s">
        <v>32532</v>
      </c>
      <c r="S6086" t="s">
        <v>32616</v>
      </c>
      <c r="T6086" t="s">
        <v>33167</v>
      </c>
      <c r="U6086" t="s">
        <v>38774</v>
      </c>
      <c r="W6086" t="s">
        <v>31664</v>
      </c>
      <c r="X6086" t="s">
        <v>32533</v>
      </c>
    </row>
    <row r="6087" spans="1:24">
      <c r="A6087">
        <f>HYPERLINK("https://www.philgeps.gov.ph/GEPSNONPILOT/Tender/SplashBidNoticeAbstractUI.aspx?menuIndex=3&amp;refID=7035375&amp;Result=3","7035375")</f>
        <v>0</v>
      </c>
      <c r="B6087" t="s">
        <v>1936</v>
      </c>
      <c r="C6087" t="s">
        <v>8506</v>
      </c>
      <c r="D6087" t="s">
        <v>13006</v>
      </c>
      <c r="E6087" t="s">
        <v>13368</v>
      </c>
      <c r="F6087" t="s">
        <v>22436</v>
      </c>
      <c r="G6087" t="s">
        <v>22444</v>
      </c>
      <c r="H6087" t="s">
        <v>22452</v>
      </c>
      <c r="I6087" t="s">
        <v>3529</v>
      </c>
      <c r="J6087" t="s">
        <v>26574</v>
      </c>
      <c r="K6087" t="s">
        <v>29341</v>
      </c>
      <c r="M6087" t="s">
        <v>31665</v>
      </c>
      <c r="N6087" t="s">
        <v>32524</v>
      </c>
      <c r="O6087" t="s">
        <v>32525</v>
      </c>
      <c r="P6087">
        <v>0</v>
      </c>
      <c r="Q6087">
        <v>0</v>
      </c>
      <c r="R6087" t="s">
        <v>32532</v>
      </c>
      <c r="S6087" t="s">
        <v>32616</v>
      </c>
      <c r="T6087" t="s">
        <v>33220</v>
      </c>
      <c r="U6087" t="s">
        <v>38775</v>
      </c>
      <c r="W6087" t="s">
        <v>31665</v>
      </c>
      <c r="X6087" t="s">
        <v>32533</v>
      </c>
    </row>
    <row r="6088" spans="1:24">
      <c r="A6088">
        <f>HYPERLINK("https://www.philgeps.gov.ph/GEPSNONPILOT/Tender/SplashBidNoticeAbstractUI.aspx?menuIndex=3&amp;refID=7035381&amp;Result=3","7035381")</f>
        <v>0</v>
      </c>
      <c r="B6088" t="s">
        <v>1726</v>
      </c>
      <c r="C6088" t="s">
        <v>8507</v>
      </c>
      <c r="D6088" t="s">
        <v>12988</v>
      </c>
      <c r="E6088" t="s">
        <v>18486</v>
      </c>
      <c r="F6088" t="s">
        <v>22436</v>
      </c>
      <c r="G6088" t="s">
        <v>22444</v>
      </c>
      <c r="H6088" t="s">
        <v>22453</v>
      </c>
      <c r="I6088" t="s">
        <v>22475</v>
      </c>
      <c r="J6088" t="s">
        <v>22605</v>
      </c>
      <c r="K6088" t="s">
        <v>29336</v>
      </c>
      <c r="M6088" t="s">
        <v>31644</v>
      </c>
      <c r="N6088" t="s">
        <v>32524</v>
      </c>
      <c r="O6088" t="s">
        <v>32525</v>
      </c>
      <c r="P6088">
        <v>0</v>
      </c>
      <c r="Q6088">
        <v>0</v>
      </c>
      <c r="R6088" t="s">
        <v>32532</v>
      </c>
      <c r="S6088" t="s">
        <v>32616</v>
      </c>
      <c r="T6088" t="s">
        <v>33259</v>
      </c>
      <c r="U6088" t="s">
        <v>38776</v>
      </c>
      <c r="W6088" t="s">
        <v>31644</v>
      </c>
      <c r="X6088" t="s">
        <v>32533</v>
      </c>
    </row>
    <row r="6089" spans="1:24">
      <c r="A6089">
        <f>HYPERLINK("https://www.philgeps.gov.ph/GEPSNONPILOT/Tender/SplashBidNoticeAbstractUI.aspx?menuIndex=3&amp;refID=7035374&amp;Result=3","7035374")</f>
        <v>0</v>
      </c>
      <c r="B6089" t="s">
        <v>1937</v>
      </c>
      <c r="C6089" t="s">
        <v>8508</v>
      </c>
      <c r="D6089" t="s">
        <v>13033</v>
      </c>
      <c r="E6089" t="s">
        <v>18487</v>
      </c>
      <c r="F6089" t="s">
        <v>22436</v>
      </c>
      <c r="G6089" t="s">
        <v>22444</v>
      </c>
      <c r="H6089" t="s">
        <v>22454</v>
      </c>
      <c r="I6089" t="s">
        <v>7738</v>
      </c>
      <c r="J6089" t="s">
        <v>26575</v>
      </c>
      <c r="K6089" t="s">
        <v>29388</v>
      </c>
      <c r="M6089" t="s">
        <v>31666</v>
      </c>
      <c r="N6089" t="s">
        <v>32524</v>
      </c>
      <c r="O6089" t="s">
        <v>32525</v>
      </c>
      <c r="P6089">
        <v>0</v>
      </c>
      <c r="Q6089">
        <v>0</v>
      </c>
      <c r="R6089" t="s">
        <v>32532</v>
      </c>
      <c r="S6089" t="s">
        <v>32616</v>
      </c>
      <c r="T6089" t="s">
        <v>33218</v>
      </c>
      <c r="U6089" t="s">
        <v>38777</v>
      </c>
      <c r="W6089" t="s">
        <v>31666</v>
      </c>
      <c r="X6089" t="s">
        <v>32533</v>
      </c>
    </row>
    <row r="6090" spans="1:24">
      <c r="A6090">
        <f>HYPERLINK("https://www.philgeps.gov.ph/GEPSNONPILOT/Tender/SplashBidNoticeAbstractUI.aspx?menuIndex=3&amp;refID=7035370&amp;Result=3","7035370")</f>
        <v>0</v>
      </c>
      <c r="B6090" t="s">
        <v>1938</v>
      </c>
      <c r="C6090" t="s">
        <v>8509</v>
      </c>
      <c r="D6090" t="s">
        <v>12992</v>
      </c>
      <c r="E6090" t="s">
        <v>13182</v>
      </c>
      <c r="F6090" t="s">
        <v>22436</v>
      </c>
      <c r="G6090" t="s">
        <v>22444</v>
      </c>
      <c r="H6090" t="s">
        <v>22454</v>
      </c>
      <c r="I6090" t="s">
        <v>7738</v>
      </c>
      <c r="J6090" t="s">
        <v>22674</v>
      </c>
      <c r="K6090" t="s">
        <v>29362</v>
      </c>
      <c r="M6090" t="s">
        <v>31667</v>
      </c>
      <c r="N6090" t="s">
        <v>32524</v>
      </c>
      <c r="O6090" t="s">
        <v>32525</v>
      </c>
      <c r="P6090">
        <v>0</v>
      </c>
      <c r="Q6090">
        <v>0</v>
      </c>
      <c r="R6090" t="s">
        <v>32532</v>
      </c>
      <c r="S6090" t="s">
        <v>32616</v>
      </c>
      <c r="T6090" t="s">
        <v>33238</v>
      </c>
      <c r="U6090" t="s">
        <v>38778</v>
      </c>
      <c r="W6090" t="s">
        <v>31667</v>
      </c>
      <c r="X6090" t="s">
        <v>32533</v>
      </c>
    </row>
    <row r="6091" spans="1:24">
      <c r="A6091">
        <f>HYPERLINK("https://www.philgeps.gov.ph/GEPSNONPILOT/Tender/SplashBidNoticeAbstractUI.aspx?menuIndex=3&amp;refID=7035387&amp;Result=3","7035387")</f>
        <v>0</v>
      </c>
      <c r="B6091" t="s">
        <v>46</v>
      </c>
      <c r="C6091" t="s">
        <v>8510</v>
      </c>
      <c r="D6091" t="s">
        <v>13006</v>
      </c>
      <c r="E6091" t="s">
        <v>18488</v>
      </c>
      <c r="F6091" t="s">
        <v>22436</v>
      </c>
      <c r="G6091" t="s">
        <v>22444</v>
      </c>
      <c r="H6091" t="s">
        <v>22452</v>
      </c>
      <c r="I6091" t="s">
        <v>3827</v>
      </c>
      <c r="J6091" t="s">
        <v>22616</v>
      </c>
      <c r="K6091" t="s">
        <v>29330</v>
      </c>
      <c r="M6091" t="s">
        <v>30583</v>
      </c>
      <c r="N6091" t="s">
        <v>32524</v>
      </c>
      <c r="O6091" t="s">
        <v>32525</v>
      </c>
      <c r="P6091">
        <v>0</v>
      </c>
      <c r="Q6091">
        <v>4</v>
      </c>
      <c r="R6091" t="s">
        <v>32532</v>
      </c>
      <c r="S6091" t="s">
        <v>32616</v>
      </c>
      <c r="T6091" t="s">
        <v>33253</v>
      </c>
      <c r="U6091" t="s">
        <v>38779</v>
      </c>
      <c r="V6091" t="s">
        <v>42654</v>
      </c>
      <c r="W6091" t="s">
        <v>30583</v>
      </c>
      <c r="X6091" t="s">
        <v>32533</v>
      </c>
    </row>
    <row r="6092" spans="1:24">
      <c r="A6092">
        <f>HYPERLINK("https://www.philgeps.gov.ph/GEPSNONPILOT/Tender/SplashBidNoticeAbstractUI.aspx?menuIndex=3&amp;refID=7035373&amp;Result=3","7035373")</f>
        <v>0</v>
      </c>
      <c r="B6092" t="s">
        <v>46</v>
      </c>
      <c r="C6092" t="s">
        <v>8511</v>
      </c>
      <c r="D6092" t="s">
        <v>13006</v>
      </c>
      <c r="E6092" t="s">
        <v>18489</v>
      </c>
      <c r="F6092" t="s">
        <v>22436</v>
      </c>
      <c r="G6092" t="s">
        <v>22444</v>
      </c>
      <c r="H6092" t="s">
        <v>22452</v>
      </c>
      <c r="I6092" t="s">
        <v>22458</v>
      </c>
      <c r="J6092" t="s">
        <v>23226</v>
      </c>
      <c r="K6092" t="s">
        <v>29330</v>
      </c>
      <c r="M6092" t="s">
        <v>30566</v>
      </c>
      <c r="N6092" t="s">
        <v>32524</v>
      </c>
      <c r="O6092" t="s">
        <v>32525</v>
      </c>
      <c r="P6092">
        <v>0</v>
      </c>
      <c r="Q6092">
        <v>6</v>
      </c>
      <c r="R6092" t="s">
        <v>32532</v>
      </c>
      <c r="S6092" t="s">
        <v>32616</v>
      </c>
      <c r="T6092" t="s">
        <v>33253</v>
      </c>
      <c r="U6092" t="s">
        <v>38780</v>
      </c>
      <c r="V6092" t="s">
        <v>42654</v>
      </c>
      <c r="W6092" t="s">
        <v>30566</v>
      </c>
      <c r="X6092" t="s">
        <v>32533</v>
      </c>
    </row>
    <row r="6093" spans="1:24">
      <c r="A6093">
        <f>HYPERLINK("https://www.philgeps.gov.ph/GEPSNONPILOT/Tender/SplashBidNoticeAbstractUI.aspx?menuIndex=3&amp;refID=7035365&amp;Result=3","7035365")</f>
        <v>0</v>
      </c>
      <c r="B6093" t="s">
        <v>64</v>
      </c>
      <c r="C6093" t="s">
        <v>8512</v>
      </c>
      <c r="D6093" t="s">
        <v>13016</v>
      </c>
      <c r="E6093" t="s">
        <v>18490</v>
      </c>
      <c r="F6093" t="s">
        <v>22436</v>
      </c>
      <c r="G6093" t="s">
        <v>22443</v>
      </c>
      <c r="H6093" t="s">
        <v>22452</v>
      </c>
      <c r="I6093" t="s">
        <v>22486</v>
      </c>
      <c r="J6093" t="s">
        <v>22640</v>
      </c>
      <c r="K6093" t="s">
        <v>29335</v>
      </c>
      <c r="M6093" t="s">
        <v>31664</v>
      </c>
      <c r="N6093" t="s">
        <v>32524</v>
      </c>
      <c r="O6093" t="s">
        <v>32525</v>
      </c>
      <c r="P6093">
        <v>0</v>
      </c>
      <c r="Q6093">
        <v>1</v>
      </c>
      <c r="R6093" t="s">
        <v>32532</v>
      </c>
      <c r="S6093" t="s">
        <v>32616</v>
      </c>
      <c r="T6093" t="s">
        <v>33167</v>
      </c>
      <c r="U6093" t="s">
        <v>38781</v>
      </c>
      <c r="W6093" t="s">
        <v>31664</v>
      </c>
      <c r="X6093" t="s">
        <v>32533</v>
      </c>
    </row>
    <row r="6094" spans="1:24">
      <c r="A6094">
        <f>HYPERLINK("https://www.philgeps.gov.ph/GEPSNONPILOT/Tender/SplashBidNoticeAbstractUI.aspx?menuIndex=3&amp;refID=7035408&amp;Result=3","7035408")</f>
        <v>0</v>
      </c>
      <c r="B6094" t="s">
        <v>1936</v>
      </c>
      <c r="C6094" t="s">
        <v>8513</v>
      </c>
      <c r="D6094" t="s">
        <v>13006</v>
      </c>
      <c r="E6094" t="s">
        <v>13743</v>
      </c>
      <c r="F6094" t="s">
        <v>22436</v>
      </c>
      <c r="G6094" t="s">
        <v>22444</v>
      </c>
      <c r="H6094" t="s">
        <v>22452</v>
      </c>
      <c r="I6094" t="s">
        <v>3529</v>
      </c>
      <c r="J6094" t="s">
        <v>26576</v>
      </c>
      <c r="K6094" t="s">
        <v>29341</v>
      </c>
      <c r="M6094" t="s">
        <v>31665</v>
      </c>
      <c r="N6094" t="s">
        <v>32524</v>
      </c>
      <c r="O6094" t="s">
        <v>32525</v>
      </c>
      <c r="P6094">
        <v>0</v>
      </c>
      <c r="Q6094">
        <v>0</v>
      </c>
      <c r="R6094" t="s">
        <v>32532</v>
      </c>
      <c r="S6094" t="s">
        <v>32616</v>
      </c>
      <c r="T6094" t="s">
        <v>33220</v>
      </c>
      <c r="U6094" t="s">
        <v>38782</v>
      </c>
      <c r="W6094" t="s">
        <v>31665</v>
      </c>
      <c r="X6094" t="s">
        <v>32533</v>
      </c>
    </row>
    <row r="6095" spans="1:24">
      <c r="A6095">
        <f>HYPERLINK("https://www.philgeps.gov.ph/GEPSNONPILOT/Tender/SplashBidNoticeAbstractUI.aspx?menuIndex=3&amp;refID=7035362&amp;Result=3","7035362")</f>
        <v>0</v>
      </c>
      <c r="B6095" t="s">
        <v>64</v>
      </c>
      <c r="C6095" t="s">
        <v>8514</v>
      </c>
      <c r="D6095" t="s">
        <v>13016</v>
      </c>
      <c r="E6095" t="s">
        <v>18491</v>
      </c>
      <c r="F6095" t="s">
        <v>22436</v>
      </c>
      <c r="G6095" t="s">
        <v>22443</v>
      </c>
      <c r="H6095" t="s">
        <v>22452</v>
      </c>
      <c r="I6095" t="s">
        <v>22486</v>
      </c>
      <c r="J6095" t="s">
        <v>22640</v>
      </c>
      <c r="K6095" t="s">
        <v>29335</v>
      </c>
      <c r="M6095" t="s">
        <v>31664</v>
      </c>
      <c r="N6095" t="s">
        <v>32524</v>
      </c>
      <c r="O6095" t="s">
        <v>32525</v>
      </c>
      <c r="P6095">
        <v>0</v>
      </c>
      <c r="Q6095">
        <v>0</v>
      </c>
      <c r="R6095" t="s">
        <v>32532</v>
      </c>
      <c r="S6095" t="s">
        <v>32616</v>
      </c>
      <c r="T6095" t="s">
        <v>33167</v>
      </c>
      <c r="U6095" t="s">
        <v>38783</v>
      </c>
      <c r="W6095" t="s">
        <v>31664</v>
      </c>
      <c r="X6095" t="s">
        <v>32533</v>
      </c>
    </row>
    <row r="6096" spans="1:24">
      <c r="A6096">
        <f>HYPERLINK("https://www.philgeps.gov.ph/GEPSNONPILOT/Tender/SplashBidNoticeAbstractUI.aspx?menuIndex=3&amp;refID=7035406&amp;Result=3","7035406")</f>
        <v>0</v>
      </c>
      <c r="B6096" t="s">
        <v>1726</v>
      </c>
      <c r="C6096" t="s">
        <v>8515</v>
      </c>
      <c r="D6096" t="s">
        <v>12988</v>
      </c>
      <c r="E6096" t="s">
        <v>18492</v>
      </c>
      <c r="F6096" t="s">
        <v>22436</v>
      </c>
      <c r="G6096" t="s">
        <v>22444</v>
      </c>
      <c r="H6096" t="s">
        <v>22452</v>
      </c>
      <c r="I6096" t="s">
        <v>2993</v>
      </c>
      <c r="J6096" t="s">
        <v>22936</v>
      </c>
      <c r="K6096" t="s">
        <v>29336</v>
      </c>
      <c r="M6096" t="s">
        <v>31644</v>
      </c>
      <c r="N6096" t="s">
        <v>32524</v>
      </c>
      <c r="O6096" t="s">
        <v>32525</v>
      </c>
      <c r="P6096">
        <v>0</v>
      </c>
      <c r="Q6096">
        <v>0</v>
      </c>
      <c r="R6096" t="s">
        <v>32532</v>
      </c>
      <c r="S6096" t="s">
        <v>32616</v>
      </c>
      <c r="T6096" t="s">
        <v>33259</v>
      </c>
      <c r="U6096" t="s">
        <v>38784</v>
      </c>
      <c r="W6096" t="s">
        <v>31644</v>
      </c>
      <c r="X6096" t="s">
        <v>32533</v>
      </c>
    </row>
    <row r="6097" spans="1:24">
      <c r="A6097">
        <f>HYPERLINK("https://www.philgeps.gov.ph/GEPSNONPILOT/Tender/SplashBidNoticeAbstractUI.aspx?menuIndex=3&amp;refID=7035409&amp;Result=3","7035409")</f>
        <v>0</v>
      </c>
      <c r="B6097" t="s">
        <v>1099</v>
      </c>
      <c r="C6097" t="s">
        <v>8516</v>
      </c>
      <c r="D6097" t="s">
        <v>13055</v>
      </c>
      <c r="E6097" t="s">
        <v>18493</v>
      </c>
      <c r="F6097" t="s">
        <v>22436</v>
      </c>
      <c r="G6097" t="s">
        <v>22444</v>
      </c>
      <c r="H6097" t="s">
        <v>22454</v>
      </c>
      <c r="I6097" t="s">
        <v>7738</v>
      </c>
      <c r="J6097" t="s">
        <v>26577</v>
      </c>
      <c r="K6097" t="s">
        <v>29334</v>
      </c>
      <c r="M6097" t="s">
        <v>30735</v>
      </c>
      <c r="N6097" t="s">
        <v>32524</v>
      </c>
      <c r="O6097" t="s">
        <v>32525</v>
      </c>
      <c r="P6097">
        <v>0</v>
      </c>
      <c r="Q6097">
        <v>2</v>
      </c>
      <c r="R6097" t="s">
        <v>32532</v>
      </c>
      <c r="S6097" t="s">
        <v>32616</v>
      </c>
      <c r="T6097" t="s">
        <v>33191</v>
      </c>
      <c r="U6097" t="s">
        <v>38785</v>
      </c>
      <c r="V6097" t="s">
        <v>43104</v>
      </c>
      <c r="W6097" t="s">
        <v>30735</v>
      </c>
      <c r="X6097" t="s">
        <v>32533</v>
      </c>
    </row>
    <row r="6098" spans="1:24">
      <c r="A6098">
        <f>HYPERLINK("https://www.philgeps.gov.ph/GEPSNONPILOT/Tender/SplashBidNoticeAbstractUI.aspx?menuIndex=3&amp;refID=7035346&amp;Result=3","7035346")</f>
        <v>0</v>
      </c>
      <c r="B6098" t="s">
        <v>920</v>
      </c>
      <c r="C6098" t="s">
        <v>8517</v>
      </c>
      <c r="D6098" t="s">
        <v>13000</v>
      </c>
      <c r="E6098" t="s">
        <v>18494</v>
      </c>
      <c r="F6098" t="s">
        <v>22436</v>
      </c>
      <c r="G6098" t="s">
        <v>22444</v>
      </c>
      <c r="H6098" t="s">
        <v>22454</v>
      </c>
      <c r="I6098" t="s">
        <v>7738</v>
      </c>
      <c r="J6098" t="s">
        <v>26578</v>
      </c>
      <c r="K6098" t="s">
        <v>29336</v>
      </c>
      <c r="M6098" t="s">
        <v>30534</v>
      </c>
      <c r="N6098" t="s">
        <v>32524</v>
      </c>
      <c r="O6098" t="s">
        <v>32525</v>
      </c>
      <c r="P6098">
        <v>0</v>
      </c>
      <c r="Q6098">
        <v>0</v>
      </c>
      <c r="R6098" t="s">
        <v>32532</v>
      </c>
      <c r="S6098" t="s">
        <v>32616</v>
      </c>
      <c r="T6098" t="s">
        <v>33304</v>
      </c>
      <c r="U6098" t="s">
        <v>38786</v>
      </c>
      <c r="W6098" t="s">
        <v>30534</v>
      </c>
      <c r="X6098" t="s">
        <v>32533</v>
      </c>
    </row>
    <row r="6099" spans="1:24">
      <c r="A6099">
        <f>HYPERLINK("https://www.philgeps.gov.ph/GEPSNONPILOT/Tender/SplashBidNoticeAbstractUI.aspx?menuIndex=3&amp;refID=7035426&amp;Result=3","7035426")</f>
        <v>0</v>
      </c>
      <c r="B6099" t="s">
        <v>1939</v>
      </c>
      <c r="C6099" t="s">
        <v>8518</v>
      </c>
      <c r="D6099" t="s">
        <v>12993</v>
      </c>
      <c r="E6099" t="s">
        <v>18495</v>
      </c>
      <c r="F6099" t="s">
        <v>22436</v>
      </c>
      <c r="G6099" t="s">
        <v>22444</v>
      </c>
      <c r="H6099" t="s">
        <v>22454</v>
      </c>
      <c r="I6099" t="s">
        <v>7738</v>
      </c>
      <c r="J6099" t="s">
        <v>26579</v>
      </c>
      <c r="K6099" t="s">
        <v>29338</v>
      </c>
      <c r="M6099" t="s">
        <v>31668</v>
      </c>
      <c r="N6099" t="s">
        <v>32524</v>
      </c>
      <c r="O6099" t="s">
        <v>32525</v>
      </c>
      <c r="Q6099">
        <v>0</v>
      </c>
      <c r="R6099" t="s">
        <v>32532</v>
      </c>
      <c r="S6099" t="s">
        <v>32620</v>
      </c>
      <c r="T6099" t="s">
        <v>33340</v>
      </c>
      <c r="U6099" t="s">
        <v>38787</v>
      </c>
      <c r="W6099" t="s">
        <v>31668</v>
      </c>
      <c r="X6099" t="s">
        <v>32533</v>
      </c>
    </row>
    <row r="6100" spans="1:24">
      <c r="A6100">
        <f>HYPERLINK("https://www.philgeps.gov.ph/GEPSNONPILOT/Tender/SplashBidNoticeAbstractUI.aspx?menuIndex=3&amp;refID=7035424&amp;Result=3","7035424")</f>
        <v>0</v>
      </c>
      <c r="B6100" t="s">
        <v>773</v>
      </c>
      <c r="C6100" t="s">
        <v>8519</v>
      </c>
      <c r="D6100" t="s">
        <v>13003</v>
      </c>
      <c r="E6100" t="s">
        <v>18496</v>
      </c>
      <c r="F6100" t="s">
        <v>22436</v>
      </c>
      <c r="G6100" t="s">
        <v>22444</v>
      </c>
      <c r="H6100" t="s">
        <v>22454</v>
      </c>
      <c r="I6100" t="s">
        <v>7738</v>
      </c>
      <c r="J6100" t="s">
        <v>26580</v>
      </c>
      <c r="K6100" t="s">
        <v>29354</v>
      </c>
      <c r="L6100" t="s">
        <v>773</v>
      </c>
      <c r="M6100" t="s">
        <v>30374</v>
      </c>
      <c r="N6100" t="s">
        <v>32524</v>
      </c>
      <c r="O6100" t="s">
        <v>32525</v>
      </c>
      <c r="P6100">
        <v>0</v>
      </c>
      <c r="Q6100">
        <v>1</v>
      </c>
      <c r="R6100" t="s">
        <v>32532</v>
      </c>
      <c r="S6100" t="s">
        <v>32616</v>
      </c>
      <c r="T6100" t="s">
        <v>33249</v>
      </c>
      <c r="U6100" t="s">
        <v>38788</v>
      </c>
      <c r="V6100" t="s">
        <v>43105</v>
      </c>
      <c r="W6100" t="s">
        <v>30374</v>
      </c>
      <c r="X6100" t="s">
        <v>32533</v>
      </c>
    </row>
    <row r="6101" spans="1:24">
      <c r="A6101">
        <f>HYPERLINK("https://www.philgeps.gov.ph/GEPSNONPILOT/Tender/SplashBidNoticeAbstractUI.aspx?menuIndex=3&amp;refID=7035413&amp;Result=3","7035413")</f>
        <v>0</v>
      </c>
      <c r="B6101" t="s">
        <v>1939</v>
      </c>
      <c r="C6101" t="s">
        <v>8520</v>
      </c>
      <c r="D6101" t="s">
        <v>12993</v>
      </c>
      <c r="E6101" t="s">
        <v>18497</v>
      </c>
      <c r="F6101" t="s">
        <v>22436</v>
      </c>
      <c r="G6101" t="s">
        <v>22444</v>
      </c>
      <c r="H6101" t="s">
        <v>22454</v>
      </c>
      <c r="I6101" t="s">
        <v>7738</v>
      </c>
      <c r="J6101" t="s">
        <v>26579</v>
      </c>
      <c r="K6101" t="s">
        <v>29338</v>
      </c>
      <c r="M6101" t="s">
        <v>31668</v>
      </c>
      <c r="N6101" t="s">
        <v>32524</v>
      </c>
      <c r="O6101" t="s">
        <v>32525</v>
      </c>
      <c r="Q6101">
        <v>0</v>
      </c>
      <c r="R6101" t="s">
        <v>32532</v>
      </c>
      <c r="S6101" t="s">
        <v>32621</v>
      </c>
      <c r="T6101" t="s">
        <v>33340</v>
      </c>
      <c r="U6101" t="s">
        <v>38789</v>
      </c>
      <c r="W6101" t="s">
        <v>31668</v>
      </c>
      <c r="X6101" t="s">
        <v>32533</v>
      </c>
    </row>
    <row r="6102" spans="1:24">
      <c r="A6102">
        <f>HYPERLINK("https://www.philgeps.gov.ph/GEPSNONPILOT/Tender/SplashBidNoticeAbstractUI.aspx?menuIndex=3&amp;refID=7035421&amp;Result=3","7035421")</f>
        <v>0</v>
      </c>
      <c r="B6102" t="s">
        <v>512</v>
      </c>
      <c r="C6102" t="s">
        <v>8521</v>
      </c>
      <c r="D6102" t="s">
        <v>12995</v>
      </c>
      <c r="E6102" t="s">
        <v>18498</v>
      </c>
      <c r="F6102" t="s">
        <v>22436</v>
      </c>
      <c r="G6102" t="s">
        <v>22444</v>
      </c>
      <c r="H6102" t="s">
        <v>22452</v>
      </c>
      <c r="I6102" t="s">
        <v>22461</v>
      </c>
      <c r="J6102" t="s">
        <v>26581</v>
      </c>
      <c r="K6102" t="s">
        <v>29336</v>
      </c>
      <c r="M6102" t="s">
        <v>30096</v>
      </c>
      <c r="N6102" t="s">
        <v>32524</v>
      </c>
      <c r="O6102" t="s">
        <v>32525</v>
      </c>
      <c r="P6102">
        <v>0</v>
      </c>
      <c r="Q6102">
        <v>1</v>
      </c>
      <c r="R6102" t="s">
        <v>32532</v>
      </c>
      <c r="S6102" t="s">
        <v>32616</v>
      </c>
      <c r="T6102" t="s">
        <v>33181</v>
      </c>
      <c r="U6102" t="s">
        <v>34661</v>
      </c>
      <c r="W6102" t="s">
        <v>30096</v>
      </c>
      <c r="X6102" t="s">
        <v>32533</v>
      </c>
    </row>
    <row r="6103" spans="1:24">
      <c r="A6103">
        <f>HYPERLINK("https://www.philgeps.gov.ph/GEPSNONPILOT/Tender/SplashBidNoticeAbstractUI.aspx?menuIndex=3&amp;refID=7035349&amp;Result=3","7035349")</f>
        <v>0</v>
      </c>
      <c r="B6103" t="s">
        <v>1940</v>
      </c>
      <c r="C6103" t="s">
        <v>8522</v>
      </c>
      <c r="D6103" t="s">
        <v>13056</v>
      </c>
      <c r="E6103" t="s">
        <v>18499</v>
      </c>
      <c r="F6103" t="s">
        <v>22436</v>
      </c>
      <c r="G6103" t="s">
        <v>22444</v>
      </c>
      <c r="H6103" t="s">
        <v>22454</v>
      </c>
      <c r="I6103" t="s">
        <v>7738</v>
      </c>
      <c r="J6103" t="s">
        <v>26582</v>
      </c>
      <c r="K6103" t="s">
        <v>29367</v>
      </c>
      <c r="M6103" t="s">
        <v>31669</v>
      </c>
      <c r="N6103" t="s">
        <v>32524</v>
      </c>
      <c r="O6103" t="s">
        <v>32525</v>
      </c>
      <c r="P6103">
        <v>0</v>
      </c>
      <c r="Q6103">
        <v>1</v>
      </c>
      <c r="R6103" t="s">
        <v>32532</v>
      </c>
      <c r="S6103" t="s">
        <v>32616</v>
      </c>
      <c r="T6103" t="s">
        <v>33527</v>
      </c>
      <c r="U6103" t="s">
        <v>38790</v>
      </c>
      <c r="W6103" t="s">
        <v>31669</v>
      </c>
      <c r="X6103" t="s">
        <v>32533</v>
      </c>
    </row>
    <row r="6104" spans="1:24">
      <c r="A6104">
        <f>HYPERLINK("https://www.philgeps.gov.ph/GEPSNONPILOT/Tender/SplashBidNoticeAbstractUI.aspx?menuIndex=3&amp;refID=7035410&amp;Result=3","7035410")</f>
        <v>0</v>
      </c>
      <c r="B6104" t="s">
        <v>477</v>
      </c>
      <c r="C6104" t="s">
        <v>6033</v>
      </c>
      <c r="D6104" t="s">
        <v>13016</v>
      </c>
      <c r="E6104" t="s">
        <v>18500</v>
      </c>
      <c r="F6104" t="s">
        <v>22436</v>
      </c>
      <c r="G6104" t="s">
        <v>22444</v>
      </c>
      <c r="H6104" t="s">
        <v>22452</v>
      </c>
      <c r="I6104" t="s">
        <v>22463</v>
      </c>
      <c r="J6104" t="s">
        <v>26583</v>
      </c>
      <c r="K6104" t="s">
        <v>29331</v>
      </c>
      <c r="M6104" t="s">
        <v>30701</v>
      </c>
      <c r="N6104" t="s">
        <v>32524</v>
      </c>
      <c r="O6104" t="s">
        <v>32525</v>
      </c>
      <c r="P6104">
        <v>0</v>
      </c>
      <c r="Q6104">
        <v>7</v>
      </c>
      <c r="R6104" t="s">
        <v>32532</v>
      </c>
      <c r="S6104" t="s">
        <v>32616</v>
      </c>
      <c r="T6104" t="s">
        <v>33253</v>
      </c>
      <c r="U6104" t="s">
        <v>38791</v>
      </c>
      <c r="W6104" t="s">
        <v>30701</v>
      </c>
      <c r="X6104" t="s">
        <v>32533</v>
      </c>
    </row>
    <row r="6105" spans="1:24">
      <c r="A6105">
        <f>HYPERLINK("https://www.philgeps.gov.ph/GEPSNONPILOT/Tender/SplashBidNoticeAbstractUI.aspx?menuIndex=3&amp;refID=7035418&amp;Result=3","7035418")</f>
        <v>0</v>
      </c>
      <c r="B6105" t="s">
        <v>1941</v>
      </c>
      <c r="C6105" t="s">
        <v>8523</v>
      </c>
      <c r="D6105" t="s">
        <v>13005</v>
      </c>
      <c r="E6105" t="s">
        <v>18501</v>
      </c>
      <c r="F6105" t="s">
        <v>22436</v>
      </c>
      <c r="G6105" t="s">
        <v>22447</v>
      </c>
      <c r="H6105" t="s">
        <v>22452</v>
      </c>
      <c r="I6105" t="s">
        <v>22474</v>
      </c>
      <c r="J6105" t="s">
        <v>22616</v>
      </c>
      <c r="K6105" t="s">
        <v>29336</v>
      </c>
      <c r="M6105" t="s">
        <v>31670</v>
      </c>
      <c r="N6105" t="s">
        <v>32524</v>
      </c>
      <c r="O6105" t="s">
        <v>32525</v>
      </c>
      <c r="P6105">
        <v>0</v>
      </c>
      <c r="Q6105">
        <v>1</v>
      </c>
      <c r="R6105" t="s">
        <v>32532</v>
      </c>
      <c r="S6105" t="s">
        <v>32616</v>
      </c>
      <c r="T6105" t="s">
        <v>33238</v>
      </c>
      <c r="U6105" t="s">
        <v>38792</v>
      </c>
      <c r="W6105" t="s">
        <v>31670</v>
      </c>
      <c r="X6105" t="s">
        <v>32533</v>
      </c>
    </row>
    <row r="6106" spans="1:24">
      <c r="A6106">
        <f>HYPERLINK("https://www.philgeps.gov.ph/GEPSNONPILOT/Tender/SplashBidNoticeAbstractUI.aspx?menuIndex=3&amp;refID=7035422&amp;Result=3","7035422")</f>
        <v>0</v>
      </c>
      <c r="B6106" t="s">
        <v>1726</v>
      </c>
      <c r="C6106" t="s">
        <v>8524</v>
      </c>
      <c r="D6106" t="s">
        <v>12988</v>
      </c>
      <c r="E6106" t="s">
        <v>18502</v>
      </c>
      <c r="F6106" t="s">
        <v>22436</v>
      </c>
      <c r="G6106" t="s">
        <v>22444</v>
      </c>
      <c r="H6106" t="s">
        <v>22452</v>
      </c>
      <c r="I6106" t="s">
        <v>2981</v>
      </c>
      <c r="J6106" t="s">
        <v>26584</v>
      </c>
      <c r="K6106" t="s">
        <v>29336</v>
      </c>
      <c r="M6106" t="s">
        <v>31644</v>
      </c>
      <c r="N6106" t="s">
        <v>32524</v>
      </c>
      <c r="O6106" t="s">
        <v>32525</v>
      </c>
      <c r="P6106">
        <v>0</v>
      </c>
      <c r="Q6106">
        <v>1</v>
      </c>
      <c r="R6106" t="s">
        <v>32532</v>
      </c>
      <c r="S6106" t="s">
        <v>32616</v>
      </c>
      <c r="T6106" t="s">
        <v>33259</v>
      </c>
      <c r="U6106" t="s">
        <v>37975</v>
      </c>
      <c r="W6106" t="s">
        <v>31644</v>
      </c>
      <c r="X6106" t="s">
        <v>32533</v>
      </c>
    </row>
    <row r="6107" spans="1:24">
      <c r="A6107">
        <f>HYPERLINK("https://www.philgeps.gov.ph/GEPSNONPILOT/Tender/SplashBidNoticeAbstractUI.aspx?menuIndex=3&amp;refID=7035350&amp;Result=3","7035350")</f>
        <v>0</v>
      </c>
      <c r="B6107" t="s">
        <v>1609</v>
      </c>
      <c r="C6107" t="s">
        <v>8525</v>
      </c>
      <c r="D6107" t="s">
        <v>13001</v>
      </c>
      <c r="E6107" t="s">
        <v>18503</v>
      </c>
      <c r="F6107" t="s">
        <v>22436</v>
      </c>
      <c r="G6107" t="s">
        <v>22444</v>
      </c>
      <c r="H6107" t="s">
        <v>22454</v>
      </c>
      <c r="I6107" t="s">
        <v>7738</v>
      </c>
      <c r="J6107" t="s">
        <v>26585</v>
      </c>
      <c r="K6107" t="s">
        <v>29338</v>
      </c>
      <c r="M6107" t="s">
        <v>31293</v>
      </c>
      <c r="N6107" t="s">
        <v>32524</v>
      </c>
      <c r="O6107" t="s">
        <v>32525</v>
      </c>
      <c r="P6107">
        <v>0</v>
      </c>
      <c r="Q6107">
        <v>32</v>
      </c>
      <c r="R6107" t="s">
        <v>32532</v>
      </c>
      <c r="S6107" t="s">
        <v>32616</v>
      </c>
      <c r="T6107" t="s">
        <v>33185</v>
      </c>
      <c r="U6107" t="s">
        <v>38793</v>
      </c>
      <c r="W6107" t="s">
        <v>31293</v>
      </c>
      <c r="X6107" t="s">
        <v>32533</v>
      </c>
    </row>
    <row r="6108" spans="1:24">
      <c r="A6108">
        <f>HYPERLINK("https://www.philgeps.gov.ph/GEPSNONPILOT/Tender/SplashBidNoticeAbstractUI.aspx?menuIndex=3&amp;refID=7035403&amp;Result=3","7035403")</f>
        <v>0</v>
      </c>
      <c r="B6108" t="s">
        <v>1942</v>
      </c>
      <c r="C6108" t="s">
        <v>8526</v>
      </c>
      <c r="D6108" t="s">
        <v>13024</v>
      </c>
      <c r="E6108" t="s">
        <v>18504</v>
      </c>
      <c r="F6108" t="s">
        <v>22436</v>
      </c>
      <c r="G6108" t="s">
        <v>22444</v>
      </c>
      <c r="H6108" t="s">
        <v>22452</v>
      </c>
      <c r="I6108" t="s">
        <v>3529</v>
      </c>
      <c r="J6108" t="s">
        <v>26586</v>
      </c>
      <c r="K6108" t="s">
        <v>29335</v>
      </c>
      <c r="L6108" t="s">
        <v>1942</v>
      </c>
      <c r="M6108" t="s">
        <v>31671</v>
      </c>
      <c r="N6108" t="s">
        <v>32524</v>
      </c>
      <c r="O6108" t="s">
        <v>32525</v>
      </c>
      <c r="P6108">
        <v>0</v>
      </c>
      <c r="Q6108">
        <v>0</v>
      </c>
      <c r="R6108" t="s">
        <v>32532</v>
      </c>
      <c r="S6108" t="s">
        <v>32616</v>
      </c>
      <c r="T6108" t="s">
        <v>33327</v>
      </c>
      <c r="U6108" t="s">
        <v>38794</v>
      </c>
      <c r="W6108" t="s">
        <v>31671</v>
      </c>
      <c r="X6108" t="s">
        <v>32533</v>
      </c>
    </row>
    <row r="6109" spans="1:24">
      <c r="A6109">
        <f>HYPERLINK("https://www.philgeps.gov.ph/GEPSNONPILOT/Tender/SplashBidNoticeAbstractUI.aspx?menuIndex=3&amp;refID=7035358&amp;Result=3","7035358")</f>
        <v>0</v>
      </c>
      <c r="B6109" t="s">
        <v>1943</v>
      </c>
      <c r="C6109" t="s">
        <v>8527</v>
      </c>
      <c r="D6109" t="s">
        <v>13039</v>
      </c>
      <c r="E6109" t="s">
        <v>18505</v>
      </c>
      <c r="F6109" t="s">
        <v>22436</v>
      </c>
      <c r="G6109" t="s">
        <v>22444</v>
      </c>
      <c r="H6109" t="s">
        <v>22452</v>
      </c>
      <c r="I6109" t="s">
        <v>3529</v>
      </c>
      <c r="J6109" t="s">
        <v>26587</v>
      </c>
      <c r="K6109" t="s">
        <v>29335</v>
      </c>
      <c r="M6109" t="s">
        <v>31672</v>
      </c>
      <c r="N6109" t="s">
        <v>32524</v>
      </c>
      <c r="O6109" t="s">
        <v>32525</v>
      </c>
      <c r="P6109">
        <v>0</v>
      </c>
      <c r="Q6109">
        <v>1</v>
      </c>
      <c r="R6109" t="s">
        <v>32532</v>
      </c>
      <c r="S6109" t="s">
        <v>32616</v>
      </c>
      <c r="T6109" t="s">
        <v>33310</v>
      </c>
      <c r="U6109" t="s">
        <v>38795</v>
      </c>
      <c r="W6109" t="s">
        <v>31672</v>
      </c>
      <c r="X6109" t="s">
        <v>32533</v>
      </c>
    </row>
    <row r="6110" spans="1:24">
      <c r="A6110">
        <f>HYPERLINK("https://www.philgeps.gov.ph/GEPSNONPILOT/Tender/SplashBidNoticeAbstractUI.aspx?menuIndex=3&amp;refID=7035402&amp;Result=3","7035402")</f>
        <v>0</v>
      </c>
      <c r="B6110" t="s">
        <v>512</v>
      </c>
      <c r="C6110" t="s">
        <v>8528</v>
      </c>
      <c r="D6110" t="s">
        <v>12995</v>
      </c>
      <c r="E6110" t="s">
        <v>18506</v>
      </c>
      <c r="F6110" t="s">
        <v>22436</v>
      </c>
      <c r="G6110" t="s">
        <v>22444</v>
      </c>
      <c r="H6110" t="s">
        <v>22452</v>
      </c>
      <c r="I6110" t="s">
        <v>22506</v>
      </c>
      <c r="J6110" t="s">
        <v>26588</v>
      </c>
      <c r="K6110" t="s">
        <v>29336</v>
      </c>
      <c r="M6110" t="s">
        <v>30096</v>
      </c>
      <c r="N6110" t="s">
        <v>32524</v>
      </c>
      <c r="O6110" t="s">
        <v>32525</v>
      </c>
      <c r="P6110">
        <v>0</v>
      </c>
      <c r="Q6110">
        <v>2</v>
      </c>
      <c r="R6110" t="s">
        <v>32532</v>
      </c>
      <c r="S6110" t="s">
        <v>32616</v>
      </c>
      <c r="T6110" t="s">
        <v>33181</v>
      </c>
      <c r="U6110" t="s">
        <v>34661</v>
      </c>
      <c r="W6110" t="s">
        <v>30096</v>
      </c>
      <c r="X6110" t="s">
        <v>32533</v>
      </c>
    </row>
    <row r="6111" spans="1:24">
      <c r="A6111">
        <f>HYPERLINK("https://www.philgeps.gov.ph/GEPSNONPILOT/Tender/SplashBidNoticeAbstractUI.aspx?menuIndex=3&amp;refID=7035391&amp;Result=3","7035391")</f>
        <v>0</v>
      </c>
      <c r="B6111" t="s">
        <v>1944</v>
      </c>
      <c r="C6111" t="s">
        <v>8529</v>
      </c>
      <c r="D6111" t="s">
        <v>13015</v>
      </c>
      <c r="E6111" t="s">
        <v>16755</v>
      </c>
      <c r="F6111" t="s">
        <v>22436</v>
      </c>
      <c r="G6111" t="s">
        <v>22444</v>
      </c>
      <c r="H6111" t="s">
        <v>22454</v>
      </c>
      <c r="I6111" t="s">
        <v>7738</v>
      </c>
      <c r="J6111" t="s">
        <v>22624</v>
      </c>
      <c r="K6111" t="s">
        <v>29388</v>
      </c>
      <c r="M6111" t="s">
        <v>31673</v>
      </c>
      <c r="N6111" t="s">
        <v>32524</v>
      </c>
      <c r="O6111" t="s">
        <v>32525</v>
      </c>
      <c r="P6111">
        <v>0</v>
      </c>
      <c r="Q6111">
        <v>2</v>
      </c>
      <c r="R6111" t="s">
        <v>32532</v>
      </c>
      <c r="S6111" t="s">
        <v>32616</v>
      </c>
      <c r="T6111" t="s">
        <v>33218</v>
      </c>
      <c r="U6111" t="s">
        <v>38796</v>
      </c>
      <c r="V6111" t="s">
        <v>43106</v>
      </c>
      <c r="W6111" t="s">
        <v>31673</v>
      </c>
      <c r="X6111" t="s">
        <v>32533</v>
      </c>
    </row>
    <row r="6112" spans="1:24">
      <c r="A6112">
        <f>HYPERLINK("https://www.philgeps.gov.ph/GEPSNONPILOT/Tender/SplashBidNoticeAbstractUI.aspx?menuIndex=3&amp;refID=7035398&amp;Result=3","7035398")</f>
        <v>0</v>
      </c>
      <c r="B6112" t="s">
        <v>1945</v>
      </c>
      <c r="C6112" t="s">
        <v>8530</v>
      </c>
      <c r="D6112" t="s">
        <v>13045</v>
      </c>
      <c r="E6112" t="s">
        <v>18507</v>
      </c>
      <c r="F6112" t="s">
        <v>22436</v>
      </c>
      <c r="G6112" t="s">
        <v>22444</v>
      </c>
      <c r="H6112" t="s">
        <v>22454</v>
      </c>
      <c r="I6112" t="s">
        <v>7738</v>
      </c>
      <c r="J6112" t="s">
        <v>26589</v>
      </c>
      <c r="K6112" t="s">
        <v>29390</v>
      </c>
      <c r="M6112" t="s">
        <v>31674</v>
      </c>
      <c r="N6112" t="s">
        <v>32524</v>
      </c>
      <c r="O6112" t="s">
        <v>32525</v>
      </c>
      <c r="P6112">
        <v>0</v>
      </c>
      <c r="Q6112">
        <v>0</v>
      </c>
      <c r="R6112" t="s">
        <v>32532</v>
      </c>
      <c r="S6112" t="s">
        <v>32616</v>
      </c>
      <c r="T6112" t="s">
        <v>33232</v>
      </c>
      <c r="U6112" t="s">
        <v>38797</v>
      </c>
      <c r="W6112" t="s">
        <v>31674</v>
      </c>
      <c r="X6112" t="s">
        <v>32533</v>
      </c>
    </row>
    <row r="6113" spans="1:24">
      <c r="A6113">
        <f>HYPERLINK("https://www.philgeps.gov.ph/GEPSNONPILOT/Tender/SplashBidNoticeAbstractUI.aspx?menuIndex=3&amp;refID=7035389&amp;Result=3","7035389")</f>
        <v>0</v>
      </c>
      <c r="B6113" t="s">
        <v>1938</v>
      </c>
      <c r="C6113" t="s">
        <v>8531</v>
      </c>
      <c r="D6113" t="s">
        <v>12992</v>
      </c>
      <c r="E6113" t="s">
        <v>13318</v>
      </c>
      <c r="F6113" t="s">
        <v>22436</v>
      </c>
      <c r="G6113" t="s">
        <v>22444</v>
      </c>
      <c r="H6113" t="s">
        <v>22454</v>
      </c>
      <c r="I6113" t="s">
        <v>7738</v>
      </c>
      <c r="J6113" t="s">
        <v>22640</v>
      </c>
      <c r="K6113" t="s">
        <v>29335</v>
      </c>
      <c r="M6113" t="s">
        <v>31667</v>
      </c>
      <c r="N6113" t="s">
        <v>32524</v>
      </c>
      <c r="O6113" t="s">
        <v>32525</v>
      </c>
      <c r="P6113">
        <v>0</v>
      </c>
      <c r="Q6113">
        <v>0</v>
      </c>
      <c r="R6113" t="s">
        <v>32532</v>
      </c>
      <c r="S6113" t="s">
        <v>32616</v>
      </c>
      <c r="T6113" t="s">
        <v>33296</v>
      </c>
      <c r="U6113" t="s">
        <v>38798</v>
      </c>
      <c r="W6113" t="s">
        <v>31667</v>
      </c>
      <c r="X6113" t="s">
        <v>32533</v>
      </c>
    </row>
    <row r="6114" spans="1:24">
      <c r="A6114">
        <f>HYPERLINK("https://www.philgeps.gov.ph/GEPSNONPILOT/Tender/SplashBidNoticeAbstractUI.aspx?menuIndex=3&amp;refID=7035404&amp;Result=3","7035404")</f>
        <v>0</v>
      </c>
      <c r="B6114" t="s">
        <v>1946</v>
      </c>
      <c r="C6114" t="s">
        <v>8532</v>
      </c>
      <c r="D6114" t="s">
        <v>12996</v>
      </c>
      <c r="E6114" t="s">
        <v>18508</v>
      </c>
      <c r="F6114" t="s">
        <v>22436</v>
      </c>
      <c r="G6114" t="s">
        <v>22443</v>
      </c>
      <c r="H6114" t="s">
        <v>22452</v>
      </c>
      <c r="I6114" t="s">
        <v>22524</v>
      </c>
      <c r="J6114" t="s">
        <v>26590</v>
      </c>
      <c r="K6114" t="s">
        <v>29357</v>
      </c>
      <c r="M6114" t="s">
        <v>31675</v>
      </c>
      <c r="N6114" t="s">
        <v>32524</v>
      </c>
      <c r="O6114" t="s">
        <v>32525</v>
      </c>
      <c r="P6114">
        <v>0</v>
      </c>
      <c r="Q6114">
        <v>5</v>
      </c>
      <c r="R6114" t="s">
        <v>32532</v>
      </c>
      <c r="S6114" t="s">
        <v>32616</v>
      </c>
      <c r="T6114" t="s">
        <v>33323</v>
      </c>
      <c r="U6114" t="s">
        <v>38799</v>
      </c>
      <c r="W6114" t="s">
        <v>31675</v>
      </c>
      <c r="X6114" t="s">
        <v>32533</v>
      </c>
    </row>
    <row r="6115" spans="1:24">
      <c r="A6115">
        <f>HYPERLINK("https://www.philgeps.gov.ph/GEPSNONPILOT/Tender/SplashBidNoticeAbstractUI.aspx?menuIndex=3&amp;refID=7035432&amp;Result=3","7035432")</f>
        <v>0</v>
      </c>
      <c r="B6115" t="s">
        <v>1726</v>
      </c>
      <c r="C6115" t="s">
        <v>8533</v>
      </c>
      <c r="D6115" t="s">
        <v>12988</v>
      </c>
      <c r="E6115" t="s">
        <v>18509</v>
      </c>
      <c r="F6115" t="s">
        <v>22436</v>
      </c>
      <c r="G6115" t="s">
        <v>22444</v>
      </c>
      <c r="H6115" t="s">
        <v>22452</v>
      </c>
      <c r="I6115" t="s">
        <v>3122</v>
      </c>
      <c r="J6115" t="s">
        <v>26591</v>
      </c>
      <c r="K6115" t="s">
        <v>29336</v>
      </c>
      <c r="M6115" t="s">
        <v>31644</v>
      </c>
      <c r="N6115" t="s">
        <v>32524</v>
      </c>
      <c r="O6115" t="s">
        <v>32525</v>
      </c>
      <c r="P6115">
        <v>0</v>
      </c>
      <c r="Q6115">
        <v>0</v>
      </c>
      <c r="R6115" t="s">
        <v>32532</v>
      </c>
      <c r="S6115" t="s">
        <v>32616</v>
      </c>
      <c r="T6115" t="s">
        <v>33259</v>
      </c>
      <c r="U6115" t="s">
        <v>37987</v>
      </c>
      <c r="W6115" t="s">
        <v>31644</v>
      </c>
      <c r="X6115" t="s">
        <v>32533</v>
      </c>
    </row>
    <row r="6116" spans="1:24">
      <c r="A6116">
        <f>HYPERLINK("https://www.philgeps.gov.ph/GEPSNONPILOT/Tender/SplashBidNoticeAbstractUI.aspx?menuIndex=3&amp;refID=7035469&amp;Result=3","7035469")</f>
        <v>0</v>
      </c>
      <c r="B6116" t="s">
        <v>1109</v>
      </c>
      <c r="C6116" t="s">
        <v>8534</v>
      </c>
      <c r="D6116" t="s">
        <v>13045</v>
      </c>
      <c r="E6116" t="s">
        <v>18510</v>
      </c>
      <c r="F6116" t="s">
        <v>22436</v>
      </c>
      <c r="G6116" t="s">
        <v>22444</v>
      </c>
      <c r="H6116" t="s">
        <v>22454</v>
      </c>
      <c r="I6116" t="s">
        <v>7738</v>
      </c>
      <c r="J6116" t="s">
        <v>26592</v>
      </c>
      <c r="K6116" t="s">
        <v>29335</v>
      </c>
      <c r="M6116" t="s">
        <v>30745</v>
      </c>
      <c r="N6116" t="s">
        <v>32524</v>
      </c>
      <c r="O6116" t="s">
        <v>32525</v>
      </c>
      <c r="P6116">
        <v>0</v>
      </c>
      <c r="Q6116">
        <v>1</v>
      </c>
      <c r="R6116" t="s">
        <v>32532</v>
      </c>
      <c r="S6116" t="s">
        <v>32616</v>
      </c>
      <c r="T6116" t="s">
        <v>33310</v>
      </c>
      <c r="U6116" t="s">
        <v>38800</v>
      </c>
      <c r="W6116" t="s">
        <v>30745</v>
      </c>
      <c r="X6116" t="s">
        <v>32533</v>
      </c>
    </row>
    <row r="6117" spans="1:24">
      <c r="A6117">
        <f>HYPERLINK("https://www.philgeps.gov.ph/GEPSNONPILOT/Tender/SplashBidNoticeAbstractUI.aspx?menuIndex=3&amp;refID=7035448&amp;Result=3","7035448")</f>
        <v>0</v>
      </c>
      <c r="B6117" t="s">
        <v>1726</v>
      </c>
      <c r="C6117" t="s">
        <v>8535</v>
      </c>
      <c r="D6117" t="s">
        <v>12988</v>
      </c>
      <c r="E6117" t="s">
        <v>18511</v>
      </c>
      <c r="F6117" t="s">
        <v>22436</v>
      </c>
      <c r="G6117" t="s">
        <v>22444</v>
      </c>
      <c r="H6117" t="s">
        <v>22453</v>
      </c>
      <c r="I6117" t="s">
        <v>2962</v>
      </c>
      <c r="J6117" t="s">
        <v>22758</v>
      </c>
      <c r="K6117" t="s">
        <v>29336</v>
      </c>
      <c r="M6117" t="s">
        <v>31644</v>
      </c>
      <c r="N6117" t="s">
        <v>32524</v>
      </c>
      <c r="O6117" t="s">
        <v>32525</v>
      </c>
      <c r="P6117">
        <v>0</v>
      </c>
      <c r="Q6117">
        <v>0</v>
      </c>
      <c r="R6117" t="s">
        <v>32532</v>
      </c>
      <c r="S6117" t="s">
        <v>32616</v>
      </c>
      <c r="T6117" t="s">
        <v>33259</v>
      </c>
      <c r="U6117" t="s">
        <v>38801</v>
      </c>
      <c r="W6117" t="s">
        <v>31644</v>
      </c>
      <c r="X6117" t="s">
        <v>32533</v>
      </c>
    </row>
    <row r="6118" spans="1:24">
      <c r="A6118">
        <f>HYPERLINK("https://www.philgeps.gov.ph/GEPSNONPILOT/Tender/SplashBidNoticeAbstractUI.aspx?menuIndex=3&amp;refID=7035470&amp;Result=3","7035470")</f>
        <v>0</v>
      </c>
      <c r="B6118" t="s">
        <v>1947</v>
      </c>
      <c r="C6118" t="s">
        <v>8536</v>
      </c>
      <c r="D6118" t="s">
        <v>12998</v>
      </c>
      <c r="E6118" t="s">
        <v>18512</v>
      </c>
      <c r="F6118" t="s">
        <v>22436</v>
      </c>
      <c r="G6118" t="s">
        <v>22444</v>
      </c>
      <c r="H6118" t="s">
        <v>22453</v>
      </c>
      <c r="I6118" t="s">
        <v>2981</v>
      </c>
      <c r="J6118" t="s">
        <v>26593</v>
      </c>
      <c r="K6118" t="s">
        <v>29333</v>
      </c>
      <c r="M6118" t="s">
        <v>31676</v>
      </c>
      <c r="N6118" t="s">
        <v>32524</v>
      </c>
      <c r="O6118" t="s">
        <v>32525</v>
      </c>
      <c r="P6118">
        <v>0</v>
      </c>
      <c r="Q6118">
        <v>2</v>
      </c>
      <c r="R6118" t="s">
        <v>32532</v>
      </c>
      <c r="S6118" t="s">
        <v>32616</v>
      </c>
      <c r="T6118" t="s">
        <v>33253</v>
      </c>
      <c r="U6118" t="s">
        <v>38802</v>
      </c>
      <c r="V6118" t="s">
        <v>43107</v>
      </c>
      <c r="W6118" t="s">
        <v>31676</v>
      </c>
      <c r="X6118" t="s">
        <v>32533</v>
      </c>
    </row>
    <row r="6119" spans="1:24">
      <c r="A6119">
        <f>HYPERLINK("https://www.philgeps.gov.ph/GEPSNONPILOT/Tender/SplashBidNoticeAbstractUI.aspx?menuIndex=3&amp;refID=7035396&amp;Result=3","7035396")</f>
        <v>0</v>
      </c>
      <c r="B6119" t="s">
        <v>1726</v>
      </c>
      <c r="C6119" t="s">
        <v>8537</v>
      </c>
      <c r="D6119" t="s">
        <v>12988</v>
      </c>
      <c r="E6119" t="s">
        <v>18513</v>
      </c>
      <c r="F6119" t="s">
        <v>22436</v>
      </c>
      <c r="G6119" t="s">
        <v>22444</v>
      </c>
      <c r="H6119" t="s">
        <v>22452</v>
      </c>
      <c r="I6119" t="s">
        <v>2981</v>
      </c>
      <c r="J6119" t="s">
        <v>26528</v>
      </c>
      <c r="K6119" t="s">
        <v>29336</v>
      </c>
      <c r="M6119" t="s">
        <v>31644</v>
      </c>
      <c r="N6119" t="s">
        <v>32524</v>
      </c>
      <c r="O6119" t="s">
        <v>32525</v>
      </c>
      <c r="P6119">
        <v>0</v>
      </c>
      <c r="Q6119">
        <v>0</v>
      </c>
      <c r="R6119" t="s">
        <v>32532</v>
      </c>
      <c r="S6119" t="s">
        <v>32616</v>
      </c>
      <c r="T6119" t="s">
        <v>33259</v>
      </c>
      <c r="U6119" t="s">
        <v>37975</v>
      </c>
      <c r="W6119" t="s">
        <v>31644</v>
      </c>
      <c r="X6119" t="s">
        <v>32533</v>
      </c>
    </row>
    <row r="6120" spans="1:24">
      <c r="A6120">
        <f>HYPERLINK("https://www.philgeps.gov.ph/GEPSNONPILOT/Tender/SplashBidNoticeAbstractUI.aspx?menuIndex=3&amp;refID=7035472&amp;Result=3","7035472")</f>
        <v>0</v>
      </c>
      <c r="B6120" t="s">
        <v>512</v>
      </c>
      <c r="C6120" t="s">
        <v>8538</v>
      </c>
      <c r="D6120" t="s">
        <v>12995</v>
      </c>
      <c r="E6120" t="s">
        <v>18514</v>
      </c>
      <c r="F6120" t="s">
        <v>22436</v>
      </c>
      <c r="G6120" t="s">
        <v>22444</v>
      </c>
      <c r="H6120" t="s">
        <v>22453</v>
      </c>
      <c r="I6120" t="s">
        <v>22469</v>
      </c>
      <c r="J6120" t="s">
        <v>23327</v>
      </c>
      <c r="K6120" t="s">
        <v>29336</v>
      </c>
      <c r="M6120" t="s">
        <v>30096</v>
      </c>
      <c r="N6120" t="s">
        <v>32524</v>
      </c>
      <c r="O6120" t="s">
        <v>32525</v>
      </c>
      <c r="P6120">
        <v>0</v>
      </c>
      <c r="Q6120">
        <v>1</v>
      </c>
      <c r="R6120" t="s">
        <v>32532</v>
      </c>
      <c r="S6120" t="s">
        <v>32616</v>
      </c>
      <c r="T6120" t="s">
        <v>33181</v>
      </c>
      <c r="U6120" t="s">
        <v>34661</v>
      </c>
      <c r="W6120" t="s">
        <v>30096</v>
      </c>
      <c r="X6120" t="s">
        <v>32533</v>
      </c>
    </row>
    <row r="6121" spans="1:24">
      <c r="A6121">
        <f>HYPERLINK("https://www.philgeps.gov.ph/GEPSNONPILOT/Tender/SplashBidNoticeAbstractUI.aspx?menuIndex=3&amp;refID=7035399&amp;Result=3","7035399")</f>
        <v>0</v>
      </c>
      <c r="B6121" t="s">
        <v>773</v>
      </c>
      <c r="C6121" t="s">
        <v>8539</v>
      </c>
      <c r="D6121" t="s">
        <v>13003</v>
      </c>
      <c r="E6121" t="s">
        <v>18515</v>
      </c>
      <c r="F6121" t="s">
        <v>22436</v>
      </c>
      <c r="G6121" t="s">
        <v>22444</v>
      </c>
      <c r="H6121" t="s">
        <v>22454</v>
      </c>
      <c r="I6121" t="s">
        <v>7738</v>
      </c>
      <c r="J6121" t="s">
        <v>24887</v>
      </c>
      <c r="K6121" t="s">
        <v>29344</v>
      </c>
      <c r="L6121" t="s">
        <v>773</v>
      </c>
      <c r="M6121" t="s">
        <v>30374</v>
      </c>
      <c r="N6121" t="s">
        <v>32524</v>
      </c>
      <c r="O6121" t="s">
        <v>32525</v>
      </c>
      <c r="P6121">
        <v>0</v>
      </c>
      <c r="Q6121">
        <v>0</v>
      </c>
      <c r="R6121" t="s">
        <v>32532</v>
      </c>
      <c r="S6121" t="s">
        <v>32616</v>
      </c>
      <c r="T6121" t="s">
        <v>33249</v>
      </c>
      <c r="U6121" t="s">
        <v>38803</v>
      </c>
      <c r="V6121" t="s">
        <v>43108</v>
      </c>
      <c r="W6121" t="s">
        <v>30374</v>
      </c>
      <c r="X6121" t="s">
        <v>32533</v>
      </c>
    </row>
    <row r="6122" spans="1:24">
      <c r="A6122">
        <f>HYPERLINK("https://www.philgeps.gov.ph/GEPSNONPILOT/Tender/SplashBidNoticeAbstractUI.aspx?menuIndex=3&amp;refID=7035392&amp;Result=3","7035392")</f>
        <v>0</v>
      </c>
      <c r="B6122" t="s">
        <v>1948</v>
      </c>
      <c r="C6122" t="s">
        <v>8540</v>
      </c>
      <c r="D6122" t="s">
        <v>13045</v>
      </c>
      <c r="E6122" t="s">
        <v>15130</v>
      </c>
      <c r="F6122" t="s">
        <v>22442</v>
      </c>
      <c r="G6122" t="s">
        <v>22445</v>
      </c>
      <c r="H6122" t="s">
        <v>22452</v>
      </c>
      <c r="I6122" t="s">
        <v>22502</v>
      </c>
      <c r="J6122" t="s">
        <v>23090</v>
      </c>
      <c r="K6122" t="s">
        <v>29341</v>
      </c>
      <c r="M6122" t="s">
        <v>31677</v>
      </c>
      <c r="N6122" t="s">
        <v>32524</v>
      </c>
      <c r="O6122" t="s">
        <v>32525</v>
      </c>
      <c r="P6122">
        <v>0</v>
      </c>
      <c r="Q6122">
        <v>3</v>
      </c>
      <c r="R6122" t="s">
        <v>32532</v>
      </c>
      <c r="S6122" t="s">
        <v>32616</v>
      </c>
      <c r="T6122" t="s">
        <v>33372</v>
      </c>
      <c r="U6122" t="s">
        <v>38804</v>
      </c>
      <c r="V6122" t="s">
        <v>43109</v>
      </c>
      <c r="W6122" t="s">
        <v>31677</v>
      </c>
      <c r="X6122" t="s">
        <v>32533</v>
      </c>
    </row>
    <row r="6123" spans="1:24">
      <c r="A6123">
        <f>HYPERLINK("https://www.philgeps.gov.ph/GEPSNONPILOT/Tender/SplashBidNoticeAbstractUI.aspx?menuIndex=3&amp;refID=7035466&amp;Result=3","7035466")</f>
        <v>0</v>
      </c>
      <c r="B6123" t="s">
        <v>1726</v>
      </c>
      <c r="C6123" t="s">
        <v>8541</v>
      </c>
      <c r="D6123" t="s">
        <v>12988</v>
      </c>
      <c r="E6123" t="s">
        <v>18516</v>
      </c>
      <c r="F6123" t="s">
        <v>22436</v>
      </c>
      <c r="G6123" t="s">
        <v>22444</v>
      </c>
      <c r="H6123" t="s">
        <v>22453</v>
      </c>
      <c r="I6123" t="s">
        <v>2962</v>
      </c>
      <c r="J6123" t="s">
        <v>23234</v>
      </c>
      <c r="K6123" t="s">
        <v>29336</v>
      </c>
      <c r="M6123" t="s">
        <v>31644</v>
      </c>
      <c r="N6123" t="s">
        <v>32524</v>
      </c>
      <c r="O6123" t="s">
        <v>32525</v>
      </c>
      <c r="P6123">
        <v>0</v>
      </c>
      <c r="Q6123">
        <v>0</v>
      </c>
      <c r="R6123" t="s">
        <v>32532</v>
      </c>
      <c r="S6123" t="s">
        <v>32616</v>
      </c>
      <c r="T6123" t="s">
        <v>33259</v>
      </c>
      <c r="U6123" t="s">
        <v>38805</v>
      </c>
      <c r="W6123" t="s">
        <v>31644</v>
      </c>
      <c r="X6123" t="s">
        <v>32533</v>
      </c>
    </row>
    <row r="6124" spans="1:24">
      <c r="A6124">
        <f>HYPERLINK("https://www.philgeps.gov.ph/GEPSNONPILOT/Tender/SplashBidNoticeAbstractUI.aspx?menuIndex=3&amp;refID=7035464&amp;Result=3","7035464")</f>
        <v>0</v>
      </c>
      <c r="B6124" t="s">
        <v>515</v>
      </c>
      <c r="C6124" t="s">
        <v>3823</v>
      </c>
      <c r="D6124" t="s">
        <v>13020</v>
      </c>
      <c r="E6124" t="s">
        <v>18517</v>
      </c>
      <c r="F6124" t="s">
        <v>22436</v>
      </c>
      <c r="G6124" t="s">
        <v>22444</v>
      </c>
      <c r="H6124" t="s">
        <v>22454</v>
      </c>
      <c r="I6124" t="s">
        <v>7738</v>
      </c>
      <c r="J6124" t="s">
        <v>26594</v>
      </c>
      <c r="K6124" t="s">
        <v>29336</v>
      </c>
      <c r="M6124" t="s">
        <v>30099</v>
      </c>
      <c r="N6124" t="s">
        <v>32524</v>
      </c>
      <c r="O6124" t="s">
        <v>32525</v>
      </c>
      <c r="P6124">
        <v>0</v>
      </c>
      <c r="Q6124">
        <v>1</v>
      </c>
      <c r="R6124" t="s">
        <v>32532</v>
      </c>
      <c r="S6124" t="s">
        <v>32616</v>
      </c>
      <c r="T6124" t="s">
        <v>33220</v>
      </c>
      <c r="U6124" t="s">
        <v>38806</v>
      </c>
      <c r="V6124" t="s">
        <v>43110</v>
      </c>
      <c r="W6124" t="s">
        <v>30099</v>
      </c>
      <c r="X6124" t="s">
        <v>32533</v>
      </c>
    </row>
    <row r="6125" spans="1:24">
      <c r="A6125">
        <f>HYPERLINK("https://www.philgeps.gov.ph/GEPSNONPILOT/Tender/SplashBidNoticeAbstractUI.aspx?menuIndex=3&amp;refID=7035467&amp;Result=3","7035467")</f>
        <v>0</v>
      </c>
      <c r="B6125" t="s">
        <v>1941</v>
      </c>
      <c r="C6125" t="s">
        <v>8523</v>
      </c>
      <c r="D6125" t="s">
        <v>13005</v>
      </c>
      <c r="E6125" t="s">
        <v>18518</v>
      </c>
      <c r="F6125" t="s">
        <v>22436</v>
      </c>
      <c r="G6125" t="s">
        <v>22447</v>
      </c>
      <c r="H6125" t="s">
        <v>22452</v>
      </c>
      <c r="I6125" t="s">
        <v>22474</v>
      </c>
      <c r="J6125" t="s">
        <v>24570</v>
      </c>
      <c r="K6125" t="s">
        <v>29336</v>
      </c>
      <c r="M6125" t="s">
        <v>31670</v>
      </c>
      <c r="N6125" t="s">
        <v>32524</v>
      </c>
      <c r="O6125" t="s">
        <v>32525</v>
      </c>
      <c r="P6125">
        <v>0</v>
      </c>
      <c r="Q6125">
        <v>0</v>
      </c>
      <c r="R6125" t="s">
        <v>32532</v>
      </c>
      <c r="S6125" t="s">
        <v>32616</v>
      </c>
      <c r="T6125" t="s">
        <v>33238</v>
      </c>
      <c r="U6125" t="s">
        <v>38792</v>
      </c>
      <c r="W6125" t="s">
        <v>31670</v>
      </c>
      <c r="X6125" t="s">
        <v>32533</v>
      </c>
    </row>
    <row r="6126" spans="1:24">
      <c r="A6126">
        <f>HYPERLINK("https://www.philgeps.gov.ph/GEPSNONPILOT/Tender/SplashBidNoticeAbstractUI.aspx?menuIndex=3&amp;refID=7035453&amp;Result=3","7035453")</f>
        <v>0</v>
      </c>
      <c r="B6126" t="s">
        <v>356</v>
      </c>
      <c r="C6126" t="s">
        <v>8542</v>
      </c>
      <c r="D6126" t="s">
        <v>12993</v>
      </c>
      <c r="E6126" t="s">
        <v>18519</v>
      </c>
      <c r="F6126" t="s">
        <v>22441</v>
      </c>
      <c r="G6126" t="s">
        <v>22443</v>
      </c>
      <c r="H6126" t="s">
        <v>22452</v>
      </c>
      <c r="I6126" t="s">
        <v>22474</v>
      </c>
      <c r="J6126" t="s">
        <v>22853</v>
      </c>
      <c r="K6126" t="s">
        <v>29434</v>
      </c>
      <c r="M6126" t="s">
        <v>31678</v>
      </c>
      <c r="N6126" t="s">
        <v>32524</v>
      </c>
      <c r="O6126" t="s">
        <v>32525</v>
      </c>
      <c r="P6126">
        <v>0</v>
      </c>
      <c r="Q6126">
        <v>1</v>
      </c>
      <c r="R6126" t="s">
        <v>32532</v>
      </c>
      <c r="S6126" t="s">
        <v>32616</v>
      </c>
      <c r="T6126" t="s">
        <v>33322</v>
      </c>
      <c r="U6126" t="s">
        <v>38807</v>
      </c>
      <c r="W6126" t="s">
        <v>31678</v>
      </c>
      <c r="X6126" t="s">
        <v>32533</v>
      </c>
    </row>
    <row r="6127" spans="1:24">
      <c r="A6127">
        <f>HYPERLINK("https://www.philgeps.gov.ph/GEPSNONPILOT/Tender/SplashBidNoticeAbstractUI.aspx?menuIndex=3&amp;refID=7035471&amp;Result=3","7035471")</f>
        <v>0</v>
      </c>
      <c r="B6127" t="s">
        <v>1949</v>
      </c>
      <c r="C6127" t="s">
        <v>8543</v>
      </c>
      <c r="D6127" t="s">
        <v>13019</v>
      </c>
      <c r="E6127" t="s">
        <v>18520</v>
      </c>
      <c r="F6127" t="s">
        <v>22436</v>
      </c>
      <c r="G6127" t="s">
        <v>22444</v>
      </c>
      <c r="H6127" t="s">
        <v>22452</v>
      </c>
      <c r="I6127" t="s">
        <v>3827</v>
      </c>
      <c r="J6127" t="s">
        <v>26595</v>
      </c>
      <c r="K6127" t="s">
        <v>29335</v>
      </c>
      <c r="M6127" t="s">
        <v>31679</v>
      </c>
      <c r="N6127" t="s">
        <v>32524</v>
      </c>
      <c r="O6127" t="s">
        <v>32525</v>
      </c>
      <c r="Q6127">
        <v>5</v>
      </c>
      <c r="R6127" t="s">
        <v>32532</v>
      </c>
      <c r="S6127" t="s">
        <v>32622</v>
      </c>
      <c r="T6127" t="s">
        <v>33409</v>
      </c>
      <c r="U6127" t="s">
        <v>38808</v>
      </c>
      <c r="V6127" t="s">
        <v>43111</v>
      </c>
      <c r="W6127" t="s">
        <v>31679</v>
      </c>
      <c r="X6127" t="s">
        <v>32533</v>
      </c>
    </row>
    <row r="6128" spans="1:24">
      <c r="A6128">
        <f>HYPERLINK("https://www.philgeps.gov.ph/GEPSNONPILOT/Tender/SplashBidNoticeAbstractUI.aspx?menuIndex=3&amp;refID=7035440&amp;Result=3","7035440")</f>
        <v>0</v>
      </c>
      <c r="B6128" t="s">
        <v>1937</v>
      </c>
      <c r="C6128" t="s">
        <v>8544</v>
      </c>
      <c r="D6128" t="s">
        <v>13033</v>
      </c>
      <c r="E6128" t="s">
        <v>18521</v>
      </c>
      <c r="F6128" t="s">
        <v>22436</v>
      </c>
      <c r="G6128" t="s">
        <v>22444</v>
      </c>
      <c r="H6128" t="s">
        <v>22454</v>
      </c>
      <c r="I6128" t="s">
        <v>7738</v>
      </c>
      <c r="J6128" t="s">
        <v>26596</v>
      </c>
      <c r="K6128" t="s">
        <v>29333</v>
      </c>
      <c r="M6128" t="s">
        <v>31666</v>
      </c>
      <c r="N6128" t="s">
        <v>32524</v>
      </c>
      <c r="O6128" t="s">
        <v>32525</v>
      </c>
      <c r="P6128">
        <v>0</v>
      </c>
      <c r="Q6128">
        <v>0</v>
      </c>
      <c r="R6128" t="s">
        <v>32532</v>
      </c>
      <c r="S6128" t="s">
        <v>32616</v>
      </c>
      <c r="T6128" t="s">
        <v>33218</v>
      </c>
      <c r="U6128" t="s">
        <v>38809</v>
      </c>
      <c r="W6128" t="s">
        <v>31666</v>
      </c>
      <c r="X6128" t="s">
        <v>32533</v>
      </c>
    </row>
    <row r="6129" spans="1:24">
      <c r="A6129">
        <f>HYPERLINK("https://www.philgeps.gov.ph/GEPSNONPILOT/Tender/SplashBidNoticeAbstractUI.aspx?menuIndex=3&amp;refID=7035460&amp;Result=3","7035460")</f>
        <v>0</v>
      </c>
      <c r="B6129" t="s">
        <v>1950</v>
      </c>
      <c r="C6129" t="s">
        <v>7633</v>
      </c>
      <c r="D6129" t="s">
        <v>13066</v>
      </c>
      <c r="E6129" t="s">
        <v>18522</v>
      </c>
      <c r="F6129" t="s">
        <v>22436</v>
      </c>
      <c r="G6129" t="s">
        <v>22443</v>
      </c>
      <c r="H6129" t="s">
        <v>22452</v>
      </c>
      <c r="I6129" t="s">
        <v>3827</v>
      </c>
      <c r="J6129" t="s">
        <v>22610</v>
      </c>
      <c r="K6129" t="s">
        <v>29336</v>
      </c>
      <c r="M6129" t="s">
        <v>31680</v>
      </c>
      <c r="N6129" t="s">
        <v>32524</v>
      </c>
      <c r="O6129" t="s">
        <v>32525</v>
      </c>
      <c r="P6129">
        <v>0</v>
      </c>
      <c r="Q6129">
        <v>1</v>
      </c>
      <c r="R6129" t="s">
        <v>32532</v>
      </c>
      <c r="S6129" t="s">
        <v>32616</v>
      </c>
      <c r="T6129" t="s">
        <v>33371</v>
      </c>
      <c r="U6129" t="s">
        <v>38810</v>
      </c>
      <c r="W6129" t="s">
        <v>31680</v>
      </c>
      <c r="X6129" t="s">
        <v>32533</v>
      </c>
    </row>
    <row r="6130" spans="1:24">
      <c r="A6130">
        <f>HYPERLINK("https://www.philgeps.gov.ph/GEPSNONPILOT/Tender/SplashBidNoticeAbstractUI.aspx?menuIndex=3&amp;refID=7035435&amp;Result=3","7035435")</f>
        <v>0</v>
      </c>
      <c r="B6130" t="s">
        <v>1951</v>
      </c>
      <c r="C6130" t="s">
        <v>8545</v>
      </c>
      <c r="D6130" t="s">
        <v>13065</v>
      </c>
      <c r="E6130" t="s">
        <v>18523</v>
      </c>
      <c r="F6130" t="s">
        <v>22436</v>
      </c>
      <c r="G6130" t="s">
        <v>22444</v>
      </c>
      <c r="H6130" t="s">
        <v>22454</v>
      </c>
      <c r="I6130" t="s">
        <v>7738</v>
      </c>
      <c r="J6130" t="s">
        <v>26597</v>
      </c>
      <c r="K6130" t="s">
        <v>29354</v>
      </c>
      <c r="M6130" t="s">
        <v>31681</v>
      </c>
      <c r="N6130" t="s">
        <v>32524</v>
      </c>
      <c r="O6130" t="s">
        <v>32525</v>
      </c>
      <c r="P6130">
        <v>0</v>
      </c>
      <c r="Q6130">
        <v>0</v>
      </c>
      <c r="R6130" t="s">
        <v>32532</v>
      </c>
      <c r="S6130" t="s">
        <v>32616</v>
      </c>
      <c r="T6130" t="s">
        <v>33522</v>
      </c>
      <c r="U6130" t="s">
        <v>38811</v>
      </c>
      <c r="W6130" t="s">
        <v>31681</v>
      </c>
      <c r="X6130" t="s">
        <v>32533</v>
      </c>
    </row>
    <row r="6131" spans="1:24">
      <c r="A6131">
        <f>HYPERLINK("https://www.philgeps.gov.ph/GEPSNONPILOT/Tender/SplashBidNoticeAbstractUI.aspx?menuIndex=3&amp;refID=7035468&amp;Result=3","7035468")</f>
        <v>0</v>
      </c>
      <c r="B6131" t="s">
        <v>1950</v>
      </c>
      <c r="C6131" t="s">
        <v>8546</v>
      </c>
      <c r="D6131" t="s">
        <v>13066</v>
      </c>
      <c r="E6131" t="s">
        <v>18524</v>
      </c>
      <c r="F6131" t="s">
        <v>22436</v>
      </c>
      <c r="G6131" t="s">
        <v>22443</v>
      </c>
      <c r="H6131" t="s">
        <v>22452</v>
      </c>
      <c r="I6131" t="s">
        <v>22465</v>
      </c>
      <c r="J6131" t="s">
        <v>23090</v>
      </c>
      <c r="K6131" t="s">
        <v>29336</v>
      </c>
      <c r="M6131" t="s">
        <v>31680</v>
      </c>
      <c r="N6131" t="s">
        <v>32524</v>
      </c>
      <c r="O6131" t="s">
        <v>32525</v>
      </c>
      <c r="P6131">
        <v>0</v>
      </c>
      <c r="Q6131">
        <v>0</v>
      </c>
      <c r="R6131" t="s">
        <v>32532</v>
      </c>
      <c r="S6131" t="s">
        <v>32616</v>
      </c>
      <c r="T6131" t="s">
        <v>33371</v>
      </c>
      <c r="U6131" t="s">
        <v>38810</v>
      </c>
      <c r="W6131" t="s">
        <v>31680</v>
      </c>
      <c r="X6131" t="s">
        <v>32533</v>
      </c>
    </row>
    <row r="6132" spans="1:24">
      <c r="A6132">
        <f>HYPERLINK("https://www.philgeps.gov.ph/GEPSNONPILOT/Tender/SplashBidNoticeAbstractUI.aspx?menuIndex=3&amp;refID=7035447&amp;Result=3","7035447")</f>
        <v>0</v>
      </c>
      <c r="B6132" t="s">
        <v>773</v>
      </c>
      <c r="C6132" t="s">
        <v>8547</v>
      </c>
      <c r="D6132" t="s">
        <v>13003</v>
      </c>
      <c r="E6132" t="s">
        <v>18525</v>
      </c>
      <c r="F6132" t="s">
        <v>22436</v>
      </c>
      <c r="G6132" t="s">
        <v>22444</v>
      </c>
      <c r="H6132" t="s">
        <v>22454</v>
      </c>
      <c r="I6132" t="s">
        <v>7738</v>
      </c>
      <c r="J6132" t="s">
        <v>26598</v>
      </c>
      <c r="K6132" t="s">
        <v>29433</v>
      </c>
      <c r="L6132" t="s">
        <v>773</v>
      </c>
      <c r="M6132" t="s">
        <v>30374</v>
      </c>
      <c r="N6132" t="s">
        <v>32524</v>
      </c>
      <c r="O6132" t="s">
        <v>32525</v>
      </c>
      <c r="P6132">
        <v>0</v>
      </c>
      <c r="Q6132">
        <v>0</v>
      </c>
      <c r="R6132" t="s">
        <v>32532</v>
      </c>
      <c r="S6132" t="s">
        <v>32616</v>
      </c>
      <c r="T6132" t="s">
        <v>33249</v>
      </c>
      <c r="U6132" t="s">
        <v>38812</v>
      </c>
      <c r="V6132" t="s">
        <v>43112</v>
      </c>
      <c r="W6132" t="s">
        <v>30374</v>
      </c>
      <c r="X6132" t="s">
        <v>32533</v>
      </c>
    </row>
    <row r="6133" spans="1:24">
      <c r="A6133">
        <f>HYPERLINK("https://www.philgeps.gov.ph/GEPSNONPILOT/Tender/SplashBidNoticeAbstractUI.aspx?menuIndex=3&amp;refID=7035454&amp;Result=3","7035454")</f>
        <v>0</v>
      </c>
      <c r="B6133" t="s">
        <v>46</v>
      </c>
      <c r="C6133" t="s">
        <v>8548</v>
      </c>
      <c r="D6133" t="s">
        <v>13006</v>
      </c>
      <c r="E6133" t="s">
        <v>18526</v>
      </c>
      <c r="F6133" t="s">
        <v>22436</v>
      </c>
      <c r="G6133" t="s">
        <v>22444</v>
      </c>
      <c r="H6133" t="s">
        <v>22452</v>
      </c>
      <c r="I6133" t="s">
        <v>22502</v>
      </c>
      <c r="J6133" t="s">
        <v>26599</v>
      </c>
      <c r="K6133" t="s">
        <v>29330</v>
      </c>
      <c r="M6133" t="s">
        <v>30583</v>
      </c>
      <c r="N6133" t="s">
        <v>32524</v>
      </c>
      <c r="O6133" t="s">
        <v>32525</v>
      </c>
      <c r="P6133">
        <v>0</v>
      </c>
      <c r="Q6133">
        <v>5</v>
      </c>
      <c r="R6133" t="s">
        <v>32532</v>
      </c>
      <c r="S6133" t="s">
        <v>32616</v>
      </c>
      <c r="T6133" t="s">
        <v>33238</v>
      </c>
      <c r="U6133" t="s">
        <v>38813</v>
      </c>
      <c r="V6133" t="s">
        <v>42654</v>
      </c>
      <c r="W6133" t="s">
        <v>30583</v>
      </c>
      <c r="X6133" t="s">
        <v>32533</v>
      </c>
    </row>
    <row r="6134" spans="1:24">
      <c r="A6134">
        <f>HYPERLINK("https://www.philgeps.gov.ph/GEPSNONPILOT/Tender/SplashBidNoticeAbstractUI.aspx?menuIndex=3&amp;refID=7035433&amp;Result=3","7035433")</f>
        <v>0</v>
      </c>
      <c r="B6134" t="s">
        <v>46</v>
      </c>
      <c r="C6134" t="s">
        <v>8549</v>
      </c>
      <c r="D6134" t="s">
        <v>13006</v>
      </c>
      <c r="E6134" t="s">
        <v>18527</v>
      </c>
      <c r="F6134" t="s">
        <v>22436</v>
      </c>
      <c r="G6134" t="s">
        <v>22444</v>
      </c>
      <c r="H6134" t="s">
        <v>22452</v>
      </c>
      <c r="I6134" t="s">
        <v>22502</v>
      </c>
      <c r="J6134" t="s">
        <v>26600</v>
      </c>
      <c r="K6134" t="s">
        <v>29330</v>
      </c>
      <c r="M6134" t="s">
        <v>30583</v>
      </c>
      <c r="N6134" t="s">
        <v>32524</v>
      </c>
      <c r="O6134" t="s">
        <v>32525</v>
      </c>
      <c r="P6134">
        <v>0</v>
      </c>
      <c r="Q6134">
        <v>4</v>
      </c>
      <c r="R6134" t="s">
        <v>32532</v>
      </c>
      <c r="S6134" t="s">
        <v>32616</v>
      </c>
      <c r="T6134" t="s">
        <v>33238</v>
      </c>
      <c r="U6134" t="s">
        <v>38814</v>
      </c>
      <c r="V6134" t="s">
        <v>42654</v>
      </c>
      <c r="W6134" t="s">
        <v>30583</v>
      </c>
      <c r="X6134" t="s">
        <v>32533</v>
      </c>
    </row>
    <row r="6135" spans="1:24">
      <c r="A6135">
        <f>HYPERLINK("https://www.philgeps.gov.ph/GEPSNONPILOT/Tender/SplashBidNoticeAbstractUI.aspx?menuIndex=3&amp;refID=7035502&amp;Result=3","7035502")</f>
        <v>0</v>
      </c>
      <c r="B6135" t="s">
        <v>1726</v>
      </c>
      <c r="C6135" t="s">
        <v>8550</v>
      </c>
      <c r="D6135" t="s">
        <v>12988</v>
      </c>
      <c r="E6135" t="s">
        <v>18528</v>
      </c>
      <c r="F6135" t="s">
        <v>22436</v>
      </c>
      <c r="G6135" t="s">
        <v>22444</v>
      </c>
      <c r="H6135" t="s">
        <v>22453</v>
      </c>
      <c r="I6135" t="s">
        <v>22493</v>
      </c>
      <c r="J6135" t="s">
        <v>22640</v>
      </c>
      <c r="K6135" t="s">
        <v>29336</v>
      </c>
      <c r="M6135" t="s">
        <v>31644</v>
      </c>
      <c r="N6135" t="s">
        <v>32524</v>
      </c>
      <c r="O6135" t="s">
        <v>32525</v>
      </c>
      <c r="P6135">
        <v>0</v>
      </c>
      <c r="Q6135">
        <v>0</v>
      </c>
      <c r="R6135" t="s">
        <v>32532</v>
      </c>
      <c r="S6135" t="s">
        <v>32616</v>
      </c>
      <c r="T6135" t="s">
        <v>33259</v>
      </c>
      <c r="U6135" t="s">
        <v>38815</v>
      </c>
      <c r="W6135" t="s">
        <v>31644</v>
      </c>
      <c r="X6135" t="s">
        <v>32533</v>
      </c>
    </row>
    <row r="6136" spans="1:24">
      <c r="A6136">
        <f>HYPERLINK("https://www.philgeps.gov.ph/GEPSNONPILOT/Tender/SplashBidNoticeAbstractUI.aspx?menuIndex=3&amp;refID=7035504&amp;Result=3","7035504")</f>
        <v>0</v>
      </c>
      <c r="B6136" t="s">
        <v>1937</v>
      </c>
      <c r="C6136" t="s">
        <v>8551</v>
      </c>
      <c r="D6136" t="s">
        <v>13033</v>
      </c>
      <c r="E6136" t="s">
        <v>18529</v>
      </c>
      <c r="F6136" t="s">
        <v>22436</v>
      </c>
      <c r="G6136" t="s">
        <v>22444</v>
      </c>
      <c r="H6136" t="s">
        <v>22452</v>
      </c>
      <c r="I6136" t="s">
        <v>3529</v>
      </c>
      <c r="J6136" t="s">
        <v>26601</v>
      </c>
      <c r="K6136" t="s">
        <v>29336</v>
      </c>
      <c r="M6136" t="s">
        <v>31666</v>
      </c>
      <c r="N6136" t="s">
        <v>32524</v>
      </c>
      <c r="O6136" t="s">
        <v>32525</v>
      </c>
      <c r="P6136">
        <v>0</v>
      </c>
      <c r="Q6136">
        <v>0</v>
      </c>
      <c r="R6136" t="s">
        <v>32532</v>
      </c>
      <c r="S6136" t="s">
        <v>32616</v>
      </c>
      <c r="T6136" t="s">
        <v>33218</v>
      </c>
      <c r="U6136" t="s">
        <v>38816</v>
      </c>
      <c r="W6136" t="s">
        <v>31666</v>
      </c>
      <c r="X6136" t="s">
        <v>32533</v>
      </c>
    </row>
    <row r="6137" spans="1:24">
      <c r="A6137">
        <f>HYPERLINK("https://www.philgeps.gov.ph/GEPSNONPILOT/Tender/SplashBidNoticeAbstractUI.aspx?menuIndex=3&amp;refID=7035525&amp;Result=3","7035525")</f>
        <v>0</v>
      </c>
      <c r="B6137" t="s">
        <v>1936</v>
      </c>
      <c r="C6137" t="s">
        <v>8552</v>
      </c>
      <c r="D6137" t="s">
        <v>13006</v>
      </c>
      <c r="E6137" t="s">
        <v>13278</v>
      </c>
      <c r="F6137" t="s">
        <v>22436</v>
      </c>
      <c r="G6137" t="s">
        <v>22444</v>
      </c>
      <c r="H6137" t="s">
        <v>22452</v>
      </c>
      <c r="I6137" t="s">
        <v>3529</v>
      </c>
      <c r="J6137" t="s">
        <v>26602</v>
      </c>
      <c r="K6137" t="s">
        <v>29341</v>
      </c>
      <c r="M6137" t="s">
        <v>31665</v>
      </c>
      <c r="N6137" t="s">
        <v>32524</v>
      </c>
      <c r="O6137" t="s">
        <v>32525</v>
      </c>
      <c r="P6137">
        <v>0</v>
      </c>
      <c r="Q6137">
        <v>0</v>
      </c>
      <c r="R6137" t="s">
        <v>32532</v>
      </c>
      <c r="S6137" t="s">
        <v>32616</v>
      </c>
      <c r="T6137" t="s">
        <v>33220</v>
      </c>
      <c r="U6137" t="s">
        <v>38817</v>
      </c>
      <c r="W6137" t="s">
        <v>31665</v>
      </c>
      <c r="X6137" t="s">
        <v>32533</v>
      </c>
    </row>
    <row r="6138" spans="1:24">
      <c r="A6138">
        <f>HYPERLINK("https://www.philgeps.gov.ph/GEPSNONPILOT/Tender/SplashBidNoticeAbstractUI.aspx?menuIndex=3&amp;refID=7035522&amp;Result=3","7035522")</f>
        <v>0</v>
      </c>
      <c r="B6138" t="s">
        <v>1950</v>
      </c>
      <c r="C6138" t="s">
        <v>8553</v>
      </c>
      <c r="D6138" t="s">
        <v>13066</v>
      </c>
      <c r="E6138" t="s">
        <v>18530</v>
      </c>
      <c r="F6138" t="s">
        <v>22436</v>
      </c>
      <c r="G6138" t="s">
        <v>22443</v>
      </c>
      <c r="H6138" t="s">
        <v>22452</v>
      </c>
      <c r="I6138" t="s">
        <v>22460</v>
      </c>
      <c r="J6138" t="s">
        <v>26603</v>
      </c>
      <c r="K6138" t="s">
        <v>29336</v>
      </c>
      <c r="M6138" t="s">
        <v>31680</v>
      </c>
      <c r="N6138" t="s">
        <v>32524</v>
      </c>
      <c r="O6138" t="s">
        <v>32525</v>
      </c>
      <c r="P6138">
        <v>0</v>
      </c>
      <c r="Q6138">
        <v>0</v>
      </c>
      <c r="R6138" t="s">
        <v>32532</v>
      </c>
      <c r="S6138" t="s">
        <v>32616</v>
      </c>
      <c r="T6138" t="s">
        <v>33371</v>
      </c>
      <c r="U6138" t="s">
        <v>38810</v>
      </c>
      <c r="W6138" t="s">
        <v>31680</v>
      </c>
      <c r="X6138" t="s">
        <v>32533</v>
      </c>
    </row>
    <row r="6139" spans="1:24">
      <c r="A6139">
        <f>HYPERLINK("https://www.philgeps.gov.ph/GEPSNONPILOT/Tender/SplashBidNoticeAbstractUI.aspx?menuIndex=3&amp;refID=7035475&amp;Result=3","7035475")</f>
        <v>0</v>
      </c>
      <c r="B6139" t="s">
        <v>64</v>
      </c>
      <c r="C6139" t="s">
        <v>8554</v>
      </c>
      <c r="D6139" t="s">
        <v>13016</v>
      </c>
      <c r="E6139" t="s">
        <v>18531</v>
      </c>
      <c r="F6139" t="s">
        <v>22436</v>
      </c>
      <c r="G6139" t="s">
        <v>22446</v>
      </c>
      <c r="H6139" t="s">
        <v>22452</v>
      </c>
      <c r="I6139" t="s">
        <v>22465</v>
      </c>
      <c r="J6139" t="s">
        <v>26604</v>
      </c>
      <c r="K6139" t="s">
        <v>29335</v>
      </c>
      <c r="M6139" t="s">
        <v>29636</v>
      </c>
      <c r="N6139" t="s">
        <v>32524</v>
      </c>
      <c r="O6139" t="s">
        <v>32525</v>
      </c>
      <c r="P6139">
        <v>0</v>
      </c>
      <c r="Q6139">
        <v>0</v>
      </c>
      <c r="R6139" t="s">
        <v>32532</v>
      </c>
      <c r="S6139" t="s">
        <v>32616</v>
      </c>
      <c r="T6139" t="s">
        <v>33296</v>
      </c>
      <c r="U6139" t="s">
        <v>38818</v>
      </c>
      <c r="V6139" t="s">
        <v>42432</v>
      </c>
      <c r="W6139" t="s">
        <v>29636</v>
      </c>
      <c r="X6139" t="s">
        <v>32533</v>
      </c>
    </row>
    <row r="6140" spans="1:24">
      <c r="A6140">
        <f>HYPERLINK("https://www.philgeps.gov.ph/GEPSNONPILOT/Tender/SplashBidNoticeAbstractUI.aspx?menuIndex=3&amp;refID=7035524&amp;Result=3","7035524")</f>
        <v>0</v>
      </c>
      <c r="B6140" t="s">
        <v>1949</v>
      </c>
      <c r="C6140" t="s">
        <v>8555</v>
      </c>
      <c r="D6140" t="s">
        <v>13019</v>
      </c>
      <c r="E6140" t="s">
        <v>18532</v>
      </c>
      <c r="F6140" t="s">
        <v>22436</v>
      </c>
      <c r="G6140" t="s">
        <v>22444</v>
      </c>
      <c r="H6140" t="s">
        <v>22452</v>
      </c>
      <c r="I6140" t="s">
        <v>22469</v>
      </c>
      <c r="J6140" t="s">
        <v>25709</v>
      </c>
      <c r="K6140" t="s">
        <v>29335</v>
      </c>
      <c r="M6140" t="s">
        <v>31679</v>
      </c>
      <c r="N6140" t="s">
        <v>32524</v>
      </c>
      <c r="O6140" t="s">
        <v>32525</v>
      </c>
      <c r="P6140">
        <v>0</v>
      </c>
      <c r="Q6140">
        <v>3</v>
      </c>
      <c r="R6140" t="s">
        <v>32532</v>
      </c>
      <c r="S6140" t="s">
        <v>32616</v>
      </c>
      <c r="T6140" t="s">
        <v>33409</v>
      </c>
      <c r="U6140" t="s">
        <v>38819</v>
      </c>
      <c r="V6140" t="s">
        <v>43111</v>
      </c>
      <c r="W6140" t="s">
        <v>31679</v>
      </c>
      <c r="X6140" t="s">
        <v>32533</v>
      </c>
    </row>
    <row r="6141" spans="1:24">
      <c r="A6141">
        <f>HYPERLINK("https://www.philgeps.gov.ph/GEPSNONPILOT/Tender/SplashBidNoticeAbstractUI.aspx?menuIndex=3&amp;refID=7035430&amp;Result=3","7035430")</f>
        <v>0</v>
      </c>
      <c r="B6141" t="s">
        <v>1952</v>
      </c>
      <c r="C6141" t="s">
        <v>8556</v>
      </c>
      <c r="D6141" t="s">
        <v>13039</v>
      </c>
      <c r="E6141" t="s">
        <v>13487</v>
      </c>
      <c r="F6141" t="s">
        <v>22436</v>
      </c>
      <c r="G6141" t="s">
        <v>22444</v>
      </c>
      <c r="H6141" t="s">
        <v>22452</v>
      </c>
      <c r="I6141" t="s">
        <v>22471</v>
      </c>
      <c r="J6141" t="s">
        <v>26605</v>
      </c>
      <c r="K6141" t="s">
        <v>29341</v>
      </c>
      <c r="M6141" t="s">
        <v>31682</v>
      </c>
      <c r="N6141" t="s">
        <v>32524</v>
      </c>
      <c r="O6141" t="s">
        <v>32525</v>
      </c>
      <c r="P6141">
        <v>0</v>
      </c>
      <c r="Q6141">
        <v>0</v>
      </c>
      <c r="R6141" t="s">
        <v>32532</v>
      </c>
      <c r="S6141" t="s">
        <v>32616</v>
      </c>
      <c r="T6141" t="s">
        <v>33185</v>
      </c>
      <c r="U6141" t="s">
        <v>38820</v>
      </c>
      <c r="W6141" t="s">
        <v>31682</v>
      </c>
      <c r="X6141" t="s">
        <v>32533</v>
      </c>
    </row>
    <row r="6142" spans="1:24">
      <c r="A6142">
        <f>HYPERLINK("https://www.philgeps.gov.ph/GEPSNONPILOT/Tender/SplashBidNoticeAbstractUI.aspx?menuIndex=3&amp;refID=7035520&amp;Result=3","7035520")</f>
        <v>0</v>
      </c>
      <c r="B6142" t="s">
        <v>1109</v>
      </c>
      <c r="C6142" t="s">
        <v>8557</v>
      </c>
      <c r="D6142" t="s">
        <v>13045</v>
      </c>
      <c r="E6142" t="s">
        <v>18533</v>
      </c>
      <c r="F6142" t="s">
        <v>22436</v>
      </c>
      <c r="G6142" t="s">
        <v>22444</v>
      </c>
      <c r="H6142" t="s">
        <v>22454</v>
      </c>
      <c r="I6142" t="s">
        <v>7738</v>
      </c>
      <c r="J6142" t="s">
        <v>26606</v>
      </c>
      <c r="K6142" t="s">
        <v>29335</v>
      </c>
      <c r="M6142" t="s">
        <v>30745</v>
      </c>
      <c r="N6142" t="s">
        <v>32524</v>
      </c>
      <c r="O6142" t="s">
        <v>32525</v>
      </c>
      <c r="P6142">
        <v>0</v>
      </c>
      <c r="Q6142">
        <v>1</v>
      </c>
      <c r="R6142" t="s">
        <v>32532</v>
      </c>
      <c r="S6142" t="s">
        <v>32616</v>
      </c>
      <c r="T6142" t="s">
        <v>33310</v>
      </c>
      <c r="U6142" t="s">
        <v>38800</v>
      </c>
      <c r="W6142" t="s">
        <v>30745</v>
      </c>
      <c r="X6142" t="s">
        <v>32533</v>
      </c>
    </row>
    <row r="6143" spans="1:24">
      <c r="A6143">
        <f>HYPERLINK("https://www.philgeps.gov.ph/GEPSNONPILOT/Tender/SplashBidNoticeAbstractUI.aspx?menuIndex=3&amp;refID=7035526&amp;Result=3","7035526")</f>
        <v>0</v>
      </c>
      <c r="B6143" t="s">
        <v>1953</v>
      </c>
      <c r="C6143" t="s">
        <v>8558</v>
      </c>
      <c r="D6143" t="s">
        <v>13073</v>
      </c>
      <c r="E6143" t="s">
        <v>18534</v>
      </c>
      <c r="F6143" t="s">
        <v>22436</v>
      </c>
      <c r="G6143" t="s">
        <v>22444</v>
      </c>
      <c r="H6143" t="s">
        <v>22452</v>
      </c>
      <c r="I6143" t="s">
        <v>11896</v>
      </c>
      <c r="J6143" t="s">
        <v>26607</v>
      </c>
      <c r="K6143" t="s">
        <v>29331</v>
      </c>
      <c r="L6143" t="s">
        <v>1953</v>
      </c>
      <c r="M6143" t="s">
        <v>31683</v>
      </c>
      <c r="N6143" t="s">
        <v>32524</v>
      </c>
      <c r="O6143" t="s">
        <v>32525</v>
      </c>
      <c r="P6143">
        <v>0</v>
      </c>
      <c r="Q6143">
        <v>0</v>
      </c>
      <c r="R6143" t="s">
        <v>32532</v>
      </c>
      <c r="S6143" t="s">
        <v>32616</v>
      </c>
      <c r="T6143" t="s">
        <v>33168</v>
      </c>
      <c r="U6143" t="s">
        <v>38821</v>
      </c>
      <c r="W6143" t="s">
        <v>31683</v>
      </c>
      <c r="X6143" t="s">
        <v>32533</v>
      </c>
    </row>
    <row r="6144" spans="1:24">
      <c r="A6144">
        <f>HYPERLINK("https://www.philgeps.gov.ph/GEPSNONPILOT/Tender/SplashBidNoticeAbstractUI.aspx?menuIndex=3&amp;refID=7035473&amp;Result=3","7035473")</f>
        <v>0</v>
      </c>
      <c r="B6144" t="s">
        <v>1937</v>
      </c>
      <c r="C6144" t="s">
        <v>8559</v>
      </c>
      <c r="D6144" t="s">
        <v>13033</v>
      </c>
      <c r="E6144" t="s">
        <v>18535</v>
      </c>
      <c r="F6144" t="s">
        <v>22436</v>
      </c>
      <c r="G6144" t="s">
        <v>22444</v>
      </c>
      <c r="H6144" t="s">
        <v>22454</v>
      </c>
      <c r="I6144" t="s">
        <v>7738</v>
      </c>
      <c r="J6144" t="s">
        <v>26608</v>
      </c>
      <c r="K6144" t="s">
        <v>29331</v>
      </c>
      <c r="M6144" t="s">
        <v>31666</v>
      </c>
      <c r="N6144" t="s">
        <v>32524</v>
      </c>
      <c r="O6144" t="s">
        <v>32525</v>
      </c>
      <c r="P6144">
        <v>0</v>
      </c>
      <c r="Q6144">
        <v>0</v>
      </c>
      <c r="R6144" t="s">
        <v>32532</v>
      </c>
      <c r="S6144" t="s">
        <v>32616</v>
      </c>
      <c r="T6144" t="s">
        <v>33218</v>
      </c>
      <c r="U6144" t="s">
        <v>38822</v>
      </c>
      <c r="W6144" t="s">
        <v>31666</v>
      </c>
      <c r="X6144" t="s">
        <v>32533</v>
      </c>
    </row>
    <row r="6145" spans="1:24">
      <c r="A6145">
        <f>HYPERLINK("https://www.philgeps.gov.ph/GEPSNONPILOT/Tender/SplashBidNoticeAbstractUI.aspx?menuIndex=3&amp;refID=7035507&amp;Result=3","7035507")</f>
        <v>0</v>
      </c>
      <c r="B6145" t="s">
        <v>1954</v>
      </c>
      <c r="C6145" t="s">
        <v>8560</v>
      </c>
      <c r="D6145" t="s">
        <v>13037</v>
      </c>
      <c r="E6145" t="s">
        <v>13226</v>
      </c>
      <c r="F6145" t="s">
        <v>22436</v>
      </c>
      <c r="G6145" t="s">
        <v>22446</v>
      </c>
      <c r="H6145" t="s">
        <v>22452</v>
      </c>
      <c r="I6145" t="s">
        <v>22460</v>
      </c>
      <c r="J6145" t="s">
        <v>22692</v>
      </c>
      <c r="K6145" t="s">
        <v>29336</v>
      </c>
      <c r="M6145" t="s">
        <v>31684</v>
      </c>
      <c r="N6145" t="s">
        <v>32524</v>
      </c>
      <c r="O6145" t="s">
        <v>32525</v>
      </c>
      <c r="P6145">
        <v>0</v>
      </c>
      <c r="Q6145">
        <v>1</v>
      </c>
      <c r="R6145" t="s">
        <v>32532</v>
      </c>
      <c r="S6145" t="s">
        <v>32616</v>
      </c>
      <c r="T6145" t="s">
        <v>33371</v>
      </c>
      <c r="U6145" t="s">
        <v>38823</v>
      </c>
      <c r="W6145" t="s">
        <v>31684</v>
      </c>
      <c r="X6145" t="s">
        <v>32533</v>
      </c>
    </row>
    <row r="6146" spans="1:24">
      <c r="A6146">
        <f>HYPERLINK("https://www.philgeps.gov.ph/GEPSNONPILOT/Tender/SplashBidNoticeAbstractUI.aspx?menuIndex=3&amp;refID=7035509&amp;Result=3","7035509")</f>
        <v>0</v>
      </c>
      <c r="B6146" t="s">
        <v>1955</v>
      </c>
      <c r="C6146" t="s">
        <v>8561</v>
      </c>
      <c r="D6146" t="s">
        <v>13044</v>
      </c>
      <c r="E6146" t="s">
        <v>18536</v>
      </c>
      <c r="F6146" t="s">
        <v>22436</v>
      </c>
      <c r="G6146" t="s">
        <v>22444</v>
      </c>
      <c r="H6146" t="s">
        <v>22454</v>
      </c>
      <c r="I6146" t="s">
        <v>7738</v>
      </c>
      <c r="J6146" t="s">
        <v>26609</v>
      </c>
      <c r="K6146" t="s">
        <v>29352</v>
      </c>
      <c r="M6146" t="s">
        <v>31685</v>
      </c>
      <c r="N6146" t="s">
        <v>32524</v>
      </c>
      <c r="O6146" t="s">
        <v>32525</v>
      </c>
      <c r="P6146">
        <v>0</v>
      </c>
      <c r="Q6146">
        <v>1</v>
      </c>
      <c r="R6146" t="s">
        <v>32532</v>
      </c>
      <c r="S6146" t="s">
        <v>32616</v>
      </c>
      <c r="T6146" t="s">
        <v>33218</v>
      </c>
      <c r="U6146" t="s">
        <v>38824</v>
      </c>
      <c r="W6146" t="s">
        <v>31685</v>
      </c>
      <c r="X6146" t="s">
        <v>32533</v>
      </c>
    </row>
    <row r="6147" spans="1:24">
      <c r="A6147">
        <f>HYPERLINK("https://www.philgeps.gov.ph/GEPSNONPILOT/Tender/SplashBidNoticeAbstractUI.aspx?menuIndex=3&amp;refID=7035494&amp;Result=3","7035494")</f>
        <v>0</v>
      </c>
      <c r="B6147" t="s">
        <v>1726</v>
      </c>
      <c r="C6147" t="s">
        <v>8562</v>
      </c>
      <c r="D6147" t="s">
        <v>12988</v>
      </c>
      <c r="E6147" t="s">
        <v>18537</v>
      </c>
      <c r="F6147" t="s">
        <v>22436</v>
      </c>
      <c r="G6147" t="s">
        <v>22444</v>
      </c>
      <c r="H6147" t="s">
        <v>22453</v>
      </c>
      <c r="I6147" t="s">
        <v>22493</v>
      </c>
      <c r="J6147" t="s">
        <v>22657</v>
      </c>
      <c r="K6147" t="s">
        <v>29336</v>
      </c>
      <c r="M6147" t="s">
        <v>31644</v>
      </c>
      <c r="N6147" t="s">
        <v>32524</v>
      </c>
      <c r="O6147" t="s">
        <v>32525</v>
      </c>
      <c r="P6147">
        <v>0</v>
      </c>
      <c r="Q6147">
        <v>0</v>
      </c>
      <c r="R6147" t="s">
        <v>32532</v>
      </c>
      <c r="S6147" t="s">
        <v>32616</v>
      </c>
      <c r="T6147" t="s">
        <v>33259</v>
      </c>
      <c r="U6147" t="s">
        <v>38815</v>
      </c>
      <c r="W6147" t="s">
        <v>31644</v>
      </c>
      <c r="X6147" t="s">
        <v>32533</v>
      </c>
    </row>
    <row r="6148" spans="1:24">
      <c r="A6148">
        <f>HYPERLINK("https://www.philgeps.gov.ph/GEPSNONPILOT/Tender/SplashBidNoticeAbstractUI.aspx?menuIndex=3&amp;refID=7035530&amp;Result=3","7035530")</f>
        <v>0</v>
      </c>
      <c r="B6148" t="s">
        <v>1956</v>
      </c>
      <c r="C6148" t="s">
        <v>8563</v>
      </c>
      <c r="D6148" t="s">
        <v>12998</v>
      </c>
      <c r="E6148" t="s">
        <v>18538</v>
      </c>
      <c r="F6148" t="s">
        <v>22436</v>
      </c>
      <c r="G6148" t="s">
        <v>22444</v>
      </c>
      <c r="H6148" t="s">
        <v>22452</v>
      </c>
      <c r="I6148" t="s">
        <v>4688</v>
      </c>
      <c r="J6148" t="s">
        <v>26610</v>
      </c>
      <c r="K6148" t="s">
        <v>29335</v>
      </c>
      <c r="M6148" t="s">
        <v>31686</v>
      </c>
      <c r="N6148" t="s">
        <v>32524</v>
      </c>
      <c r="O6148" t="s">
        <v>32525</v>
      </c>
      <c r="P6148">
        <v>0</v>
      </c>
      <c r="Q6148">
        <v>5</v>
      </c>
      <c r="R6148" t="s">
        <v>32532</v>
      </c>
      <c r="S6148" t="s">
        <v>32616</v>
      </c>
      <c r="T6148" t="s">
        <v>33234</v>
      </c>
      <c r="U6148" t="s">
        <v>38825</v>
      </c>
      <c r="V6148" t="s">
        <v>43113</v>
      </c>
      <c r="W6148" t="s">
        <v>31686</v>
      </c>
      <c r="X6148" t="s">
        <v>32533</v>
      </c>
    </row>
    <row r="6149" spans="1:24">
      <c r="A6149">
        <f>HYPERLINK("https://www.philgeps.gov.ph/GEPSNONPILOT/Tender/SplashBidNoticeAbstractUI.aspx?menuIndex=3&amp;refID=7035511&amp;Result=3","7035511")</f>
        <v>0</v>
      </c>
      <c r="B6149" t="s">
        <v>1945</v>
      </c>
      <c r="C6149" t="s">
        <v>8564</v>
      </c>
      <c r="D6149" t="s">
        <v>13045</v>
      </c>
      <c r="E6149" t="s">
        <v>18507</v>
      </c>
      <c r="F6149" t="s">
        <v>22436</v>
      </c>
      <c r="G6149" t="s">
        <v>22444</v>
      </c>
      <c r="H6149" t="s">
        <v>22454</v>
      </c>
      <c r="I6149" t="s">
        <v>7738</v>
      </c>
      <c r="J6149" t="s">
        <v>26611</v>
      </c>
      <c r="K6149" t="s">
        <v>29333</v>
      </c>
      <c r="M6149" t="s">
        <v>31674</v>
      </c>
      <c r="N6149" t="s">
        <v>32524</v>
      </c>
      <c r="O6149" t="s">
        <v>32525</v>
      </c>
      <c r="P6149">
        <v>0</v>
      </c>
      <c r="Q6149">
        <v>0</v>
      </c>
      <c r="R6149" t="s">
        <v>32532</v>
      </c>
      <c r="S6149" t="s">
        <v>32616</v>
      </c>
      <c r="T6149" t="s">
        <v>33232</v>
      </c>
      <c r="U6149" t="s">
        <v>38826</v>
      </c>
      <c r="W6149" t="s">
        <v>31674</v>
      </c>
      <c r="X6149" t="s">
        <v>32533</v>
      </c>
    </row>
    <row r="6150" spans="1:24">
      <c r="A6150">
        <f>HYPERLINK("https://www.philgeps.gov.ph/GEPSNONPILOT/Tender/SplashBidNoticeAbstractUI.aspx?menuIndex=3&amp;refID=7035484&amp;Result=3","7035484")</f>
        <v>0</v>
      </c>
      <c r="B6150" t="s">
        <v>1726</v>
      </c>
      <c r="C6150" t="s">
        <v>8565</v>
      </c>
      <c r="D6150" t="s">
        <v>12988</v>
      </c>
      <c r="E6150" t="s">
        <v>18539</v>
      </c>
      <c r="F6150" t="s">
        <v>22436</v>
      </c>
      <c r="G6150" t="s">
        <v>22444</v>
      </c>
      <c r="H6150" t="s">
        <v>22453</v>
      </c>
      <c r="I6150" t="s">
        <v>22493</v>
      </c>
      <c r="J6150" t="s">
        <v>22640</v>
      </c>
      <c r="K6150" t="s">
        <v>29336</v>
      </c>
      <c r="M6150" t="s">
        <v>31644</v>
      </c>
      <c r="N6150" t="s">
        <v>32524</v>
      </c>
      <c r="O6150" t="s">
        <v>32525</v>
      </c>
      <c r="P6150">
        <v>0</v>
      </c>
      <c r="Q6150">
        <v>1</v>
      </c>
      <c r="R6150" t="s">
        <v>32532</v>
      </c>
      <c r="S6150" t="s">
        <v>32616</v>
      </c>
      <c r="T6150" t="s">
        <v>33259</v>
      </c>
      <c r="U6150" t="s">
        <v>38815</v>
      </c>
      <c r="W6150" t="s">
        <v>31644</v>
      </c>
      <c r="X6150" t="s">
        <v>32533</v>
      </c>
    </row>
    <row r="6151" spans="1:24">
      <c r="A6151">
        <f>HYPERLINK("https://www.philgeps.gov.ph/GEPSNONPILOT/Tender/SplashBidNoticeAbstractUI.aspx?menuIndex=3&amp;refID=7035451&amp;Result=3","7035451")</f>
        <v>0</v>
      </c>
      <c r="B6151" t="s">
        <v>512</v>
      </c>
      <c r="C6151" t="s">
        <v>8566</v>
      </c>
      <c r="D6151" t="s">
        <v>12995</v>
      </c>
      <c r="E6151" t="s">
        <v>18540</v>
      </c>
      <c r="F6151" t="s">
        <v>22436</v>
      </c>
      <c r="G6151" t="s">
        <v>22444</v>
      </c>
      <c r="H6151" t="s">
        <v>22452</v>
      </c>
      <c r="I6151" t="s">
        <v>22553</v>
      </c>
      <c r="J6151" t="s">
        <v>26612</v>
      </c>
      <c r="K6151" t="s">
        <v>29336</v>
      </c>
      <c r="M6151" t="s">
        <v>30096</v>
      </c>
      <c r="N6151" t="s">
        <v>32524</v>
      </c>
      <c r="O6151" t="s">
        <v>32525</v>
      </c>
      <c r="P6151">
        <v>0</v>
      </c>
      <c r="Q6151">
        <v>0</v>
      </c>
      <c r="R6151" t="s">
        <v>32532</v>
      </c>
      <c r="S6151" t="s">
        <v>32616</v>
      </c>
      <c r="T6151" t="s">
        <v>33181</v>
      </c>
      <c r="U6151" t="s">
        <v>34661</v>
      </c>
      <c r="W6151" t="s">
        <v>30096</v>
      </c>
      <c r="X6151" t="s">
        <v>32533</v>
      </c>
    </row>
    <row r="6152" spans="1:24">
      <c r="A6152">
        <f>HYPERLINK("https://www.philgeps.gov.ph/GEPSNONPILOT/Tender/SplashBidNoticeAbstractUI.aspx?menuIndex=3&amp;refID=7035479&amp;Result=3","7035479")</f>
        <v>0</v>
      </c>
      <c r="B6152" t="s">
        <v>46</v>
      </c>
      <c r="C6152" t="s">
        <v>8567</v>
      </c>
      <c r="D6152" t="s">
        <v>13006</v>
      </c>
      <c r="E6152" t="s">
        <v>18541</v>
      </c>
      <c r="F6152" t="s">
        <v>22436</v>
      </c>
      <c r="G6152" t="s">
        <v>22444</v>
      </c>
      <c r="H6152" t="s">
        <v>22452</v>
      </c>
      <c r="I6152" t="s">
        <v>12358</v>
      </c>
      <c r="J6152" t="s">
        <v>22874</v>
      </c>
      <c r="K6152" t="s">
        <v>29330</v>
      </c>
      <c r="M6152" t="s">
        <v>29760</v>
      </c>
      <c r="N6152" t="s">
        <v>32524</v>
      </c>
      <c r="O6152" t="s">
        <v>32525</v>
      </c>
      <c r="P6152">
        <v>0</v>
      </c>
      <c r="Q6152">
        <v>0</v>
      </c>
      <c r="R6152" t="s">
        <v>32532</v>
      </c>
      <c r="S6152" t="s">
        <v>32616</v>
      </c>
      <c r="T6152" t="s">
        <v>33161</v>
      </c>
      <c r="U6152" t="s">
        <v>38827</v>
      </c>
      <c r="V6152" t="s">
        <v>42461</v>
      </c>
      <c r="W6152" t="s">
        <v>29760</v>
      </c>
      <c r="X6152" t="s">
        <v>32533</v>
      </c>
    </row>
    <row r="6153" spans="1:24">
      <c r="A6153">
        <f>HYPERLINK("https://www.philgeps.gov.ph/GEPSNONPILOT/Tender/SplashBidNoticeAbstractUI.aspx?menuIndex=3&amp;refID=7035574&amp;Result=3","7035574")</f>
        <v>0</v>
      </c>
      <c r="B6153" t="s">
        <v>1957</v>
      </c>
      <c r="C6153" t="s">
        <v>8568</v>
      </c>
      <c r="D6153" t="s">
        <v>12997</v>
      </c>
      <c r="E6153" t="s">
        <v>18542</v>
      </c>
      <c r="F6153" t="s">
        <v>22436</v>
      </c>
      <c r="G6153" t="s">
        <v>22443</v>
      </c>
      <c r="H6153" t="s">
        <v>22452</v>
      </c>
      <c r="I6153" t="s">
        <v>3840</v>
      </c>
      <c r="J6153" t="s">
        <v>26613</v>
      </c>
      <c r="K6153" t="s">
        <v>29341</v>
      </c>
      <c r="M6153" t="s">
        <v>31687</v>
      </c>
      <c r="N6153" t="s">
        <v>32524</v>
      </c>
      <c r="O6153" t="s">
        <v>32525</v>
      </c>
      <c r="P6153">
        <v>0</v>
      </c>
      <c r="Q6153">
        <v>0</v>
      </c>
      <c r="R6153" t="s">
        <v>32532</v>
      </c>
      <c r="S6153" t="s">
        <v>32616</v>
      </c>
      <c r="T6153" t="s">
        <v>33181</v>
      </c>
      <c r="U6153" t="s">
        <v>38828</v>
      </c>
      <c r="W6153" t="s">
        <v>31687</v>
      </c>
      <c r="X6153" t="s">
        <v>32533</v>
      </c>
    </row>
    <row r="6154" spans="1:24">
      <c r="A6154">
        <f>HYPERLINK("https://www.philgeps.gov.ph/GEPSNONPILOT/Tender/SplashBidNoticeAbstractUI.aspx?menuIndex=3&amp;refID=7035591&amp;Result=3","7035591")</f>
        <v>0</v>
      </c>
      <c r="B6154" t="s">
        <v>1947</v>
      </c>
      <c r="C6154" t="s">
        <v>8569</v>
      </c>
      <c r="D6154" t="s">
        <v>12988</v>
      </c>
      <c r="E6154" t="s">
        <v>18543</v>
      </c>
      <c r="F6154" t="s">
        <v>22436</v>
      </c>
      <c r="G6154" t="s">
        <v>22444</v>
      </c>
      <c r="H6154" t="s">
        <v>22453</v>
      </c>
      <c r="I6154" t="s">
        <v>22484</v>
      </c>
      <c r="J6154" t="s">
        <v>26614</v>
      </c>
      <c r="K6154" t="s">
        <v>29329</v>
      </c>
      <c r="M6154" t="s">
        <v>31676</v>
      </c>
      <c r="N6154" t="s">
        <v>32524</v>
      </c>
      <c r="O6154" t="s">
        <v>32525</v>
      </c>
      <c r="P6154">
        <v>0</v>
      </c>
      <c r="Q6154">
        <v>3</v>
      </c>
      <c r="R6154" t="s">
        <v>32532</v>
      </c>
      <c r="S6154" t="s">
        <v>32616</v>
      </c>
      <c r="T6154" t="s">
        <v>33253</v>
      </c>
      <c r="U6154" t="s">
        <v>38802</v>
      </c>
      <c r="V6154" t="s">
        <v>43114</v>
      </c>
      <c r="W6154" t="s">
        <v>31676</v>
      </c>
      <c r="X6154" t="s">
        <v>32533</v>
      </c>
    </row>
    <row r="6155" spans="1:24">
      <c r="A6155">
        <f>HYPERLINK("https://www.philgeps.gov.ph/GEPSNONPILOT/Tender/SplashBidNoticeAbstractUI.aspx?menuIndex=3&amp;refID=7035518&amp;Result=3","7035518")</f>
        <v>0</v>
      </c>
      <c r="B6155" t="s">
        <v>384</v>
      </c>
      <c r="C6155" t="s">
        <v>8570</v>
      </c>
      <c r="D6155" t="s">
        <v>13004</v>
      </c>
      <c r="E6155" t="s">
        <v>13119</v>
      </c>
      <c r="F6155" t="s">
        <v>22436</v>
      </c>
      <c r="G6155" t="s">
        <v>22444</v>
      </c>
      <c r="H6155" t="s">
        <v>22452</v>
      </c>
      <c r="I6155" t="s">
        <v>3529</v>
      </c>
      <c r="J6155" t="s">
        <v>26615</v>
      </c>
      <c r="K6155" t="s">
        <v>29336</v>
      </c>
      <c r="M6155" t="s">
        <v>29963</v>
      </c>
      <c r="N6155" t="s">
        <v>32524</v>
      </c>
      <c r="O6155" t="s">
        <v>32525</v>
      </c>
      <c r="P6155">
        <v>0</v>
      </c>
      <c r="Q6155">
        <v>0</v>
      </c>
      <c r="R6155" t="s">
        <v>32532</v>
      </c>
      <c r="S6155" t="s">
        <v>32616</v>
      </c>
      <c r="T6155" t="s">
        <v>33283</v>
      </c>
      <c r="U6155" t="s">
        <v>38829</v>
      </c>
      <c r="W6155" t="s">
        <v>29963</v>
      </c>
      <c r="X6155" t="s">
        <v>32533</v>
      </c>
    </row>
    <row r="6156" spans="1:24">
      <c r="A6156">
        <f>HYPERLINK("https://www.philgeps.gov.ph/GEPSNONPILOT/Tender/SplashBidNoticeAbstractUI.aspx?menuIndex=3&amp;refID=7035508&amp;Result=3","7035508")</f>
        <v>0</v>
      </c>
      <c r="B6156" t="s">
        <v>1941</v>
      </c>
      <c r="C6156" t="s">
        <v>8571</v>
      </c>
      <c r="D6156" t="s">
        <v>13005</v>
      </c>
      <c r="E6156" t="s">
        <v>18544</v>
      </c>
      <c r="F6156" t="s">
        <v>22436</v>
      </c>
      <c r="G6156" t="s">
        <v>22447</v>
      </c>
      <c r="H6156" t="s">
        <v>22452</v>
      </c>
      <c r="I6156" t="s">
        <v>3827</v>
      </c>
      <c r="J6156" t="s">
        <v>26616</v>
      </c>
      <c r="K6156" t="s">
        <v>29336</v>
      </c>
      <c r="M6156" t="s">
        <v>31670</v>
      </c>
      <c r="N6156" t="s">
        <v>32524</v>
      </c>
      <c r="O6156" t="s">
        <v>32525</v>
      </c>
      <c r="P6156">
        <v>0</v>
      </c>
      <c r="Q6156">
        <v>3</v>
      </c>
      <c r="R6156" t="s">
        <v>32532</v>
      </c>
      <c r="S6156" t="s">
        <v>32616</v>
      </c>
      <c r="T6156" t="s">
        <v>33238</v>
      </c>
      <c r="U6156" t="s">
        <v>38792</v>
      </c>
      <c r="W6156" t="s">
        <v>31670</v>
      </c>
      <c r="X6156" t="s">
        <v>32533</v>
      </c>
    </row>
    <row r="6157" spans="1:24">
      <c r="A6157">
        <f>HYPERLINK("https://www.philgeps.gov.ph/GEPSNONPILOT/Tender/SplashBidNoticeAbstractUI.aspx?menuIndex=3&amp;refID=7035583&amp;Result=3","7035583")</f>
        <v>0</v>
      </c>
      <c r="B6157" t="s">
        <v>1941</v>
      </c>
      <c r="C6157" t="s">
        <v>8572</v>
      </c>
      <c r="D6157" t="s">
        <v>13005</v>
      </c>
      <c r="E6157" t="s">
        <v>18545</v>
      </c>
      <c r="F6157" t="s">
        <v>22436</v>
      </c>
      <c r="G6157" t="s">
        <v>22444</v>
      </c>
      <c r="H6157" t="s">
        <v>22452</v>
      </c>
      <c r="I6157" t="s">
        <v>6421</v>
      </c>
      <c r="J6157" t="s">
        <v>26617</v>
      </c>
      <c r="K6157" t="s">
        <v>29336</v>
      </c>
      <c r="M6157" t="s">
        <v>31670</v>
      </c>
      <c r="N6157" t="s">
        <v>32524</v>
      </c>
      <c r="O6157" t="s">
        <v>32525</v>
      </c>
      <c r="P6157">
        <v>0</v>
      </c>
      <c r="Q6157">
        <v>4</v>
      </c>
      <c r="R6157" t="s">
        <v>32532</v>
      </c>
      <c r="S6157" t="s">
        <v>32616</v>
      </c>
      <c r="T6157" t="s">
        <v>33253</v>
      </c>
      <c r="U6157" t="s">
        <v>38830</v>
      </c>
      <c r="W6157" t="s">
        <v>31670</v>
      </c>
      <c r="X6157" t="s">
        <v>32533</v>
      </c>
    </row>
    <row r="6158" spans="1:24">
      <c r="A6158">
        <f>HYPERLINK("https://www.philgeps.gov.ph/GEPSNONPILOT/Tender/SplashBidNoticeAbstractUI.aspx?menuIndex=3&amp;refID=7035436&amp;Result=3","7035436")</f>
        <v>0</v>
      </c>
      <c r="B6158" t="s">
        <v>131</v>
      </c>
      <c r="C6158" t="s">
        <v>8573</v>
      </c>
      <c r="D6158" t="s">
        <v>13032</v>
      </c>
      <c r="E6158" t="s">
        <v>18546</v>
      </c>
      <c r="F6158" t="s">
        <v>22436</v>
      </c>
      <c r="G6158" t="s">
        <v>22444</v>
      </c>
      <c r="H6158" t="s">
        <v>22454</v>
      </c>
      <c r="I6158" t="s">
        <v>7738</v>
      </c>
      <c r="J6158" t="s">
        <v>22911</v>
      </c>
      <c r="K6158" t="s">
        <v>29338</v>
      </c>
      <c r="M6158" t="s">
        <v>29703</v>
      </c>
      <c r="N6158" t="s">
        <v>32524</v>
      </c>
      <c r="O6158" t="s">
        <v>32525</v>
      </c>
      <c r="P6158">
        <v>0</v>
      </c>
      <c r="Q6158">
        <v>1</v>
      </c>
      <c r="R6158" t="s">
        <v>32532</v>
      </c>
      <c r="S6158" t="s">
        <v>32616</v>
      </c>
      <c r="T6158" t="s">
        <v>33213</v>
      </c>
      <c r="U6158" t="s">
        <v>38831</v>
      </c>
      <c r="V6158" t="s">
        <v>42461</v>
      </c>
      <c r="W6158" t="s">
        <v>29703</v>
      </c>
      <c r="X6158" t="s">
        <v>32533</v>
      </c>
    </row>
    <row r="6159" spans="1:24">
      <c r="A6159">
        <f>HYPERLINK("https://www.philgeps.gov.ph/GEPSNONPILOT/Tender/SplashBidNoticeAbstractUI.aspx?menuIndex=3&amp;refID=7035572&amp;Result=3","7035572")</f>
        <v>0</v>
      </c>
      <c r="B6159" t="s">
        <v>1726</v>
      </c>
      <c r="C6159" t="s">
        <v>8574</v>
      </c>
      <c r="D6159" t="s">
        <v>12988</v>
      </c>
      <c r="E6159" t="s">
        <v>18547</v>
      </c>
      <c r="F6159" t="s">
        <v>22436</v>
      </c>
      <c r="G6159" t="s">
        <v>22444</v>
      </c>
      <c r="H6159" t="s">
        <v>22453</v>
      </c>
      <c r="I6159" t="s">
        <v>22493</v>
      </c>
      <c r="J6159" t="s">
        <v>26618</v>
      </c>
      <c r="K6159" t="s">
        <v>29336</v>
      </c>
      <c r="M6159" t="s">
        <v>31644</v>
      </c>
      <c r="N6159" t="s">
        <v>32524</v>
      </c>
      <c r="O6159" t="s">
        <v>32525</v>
      </c>
      <c r="P6159">
        <v>0</v>
      </c>
      <c r="Q6159">
        <v>0</v>
      </c>
      <c r="R6159" t="s">
        <v>32532</v>
      </c>
      <c r="S6159" t="s">
        <v>32616</v>
      </c>
      <c r="T6159" t="s">
        <v>33259</v>
      </c>
      <c r="U6159" t="s">
        <v>38815</v>
      </c>
      <c r="W6159" t="s">
        <v>31644</v>
      </c>
      <c r="X6159" t="s">
        <v>32533</v>
      </c>
    </row>
    <row r="6160" spans="1:24">
      <c r="A6160">
        <f>HYPERLINK("https://www.philgeps.gov.ph/GEPSNONPILOT/Tender/SplashBidNoticeAbstractUI.aspx?menuIndex=3&amp;refID=7035488&amp;Result=3","7035488")</f>
        <v>0</v>
      </c>
      <c r="B6160" t="s">
        <v>1941</v>
      </c>
      <c r="C6160" t="s">
        <v>8571</v>
      </c>
      <c r="D6160" t="s">
        <v>13005</v>
      </c>
      <c r="E6160" t="s">
        <v>18548</v>
      </c>
      <c r="F6160" t="s">
        <v>22436</v>
      </c>
      <c r="G6160" t="s">
        <v>22447</v>
      </c>
      <c r="H6160" t="s">
        <v>22452</v>
      </c>
      <c r="I6160" t="s">
        <v>3827</v>
      </c>
      <c r="J6160" t="s">
        <v>26619</v>
      </c>
      <c r="K6160" t="s">
        <v>29336</v>
      </c>
      <c r="M6160" t="s">
        <v>31670</v>
      </c>
      <c r="N6160" t="s">
        <v>32524</v>
      </c>
      <c r="O6160" t="s">
        <v>32525</v>
      </c>
      <c r="P6160">
        <v>0</v>
      </c>
      <c r="Q6160">
        <v>2</v>
      </c>
      <c r="R6160" t="s">
        <v>32532</v>
      </c>
      <c r="S6160" t="s">
        <v>32616</v>
      </c>
      <c r="T6160" t="s">
        <v>33238</v>
      </c>
      <c r="U6160" t="s">
        <v>38792</v>
      </c>
      <c r="W6160" t="s">
        <v>31670</v>
      </c>
      <c r="X6160" t="s">
        <v>32533</v>
      </c>
    </row>
    <row r="6161" spans="1:24">
      <c r="A6161">
        <f>HYPERLINK("https://www.philgeps.gov.ph/GEPSNONPILOT/Tender/SplashBidNoticeAbstractUI.aspx?menuIndex=3&amp;refID=7035584&amp;Result=3","7035584")</f>
        <v>0</v>
      </c>
      <c r="B6161" t="s">
        <v>1958</v>
      </c>
      <c r="C6161" t="s">
        <v>8575</v>
      </c>
      <c r="D6161" t="s">
        <v>13015</v>
      </c>
      <c r="E6161" t="s">
        <v>18279</v>
      </c>
      <c r="F6161" t="s">
        <v>22436</v>
      </c>
      <c r="G6161" t="s">
        <v>22444</v>
      </c>
      <c r="H6161" t="s">
        <v>22452</v>
      </c>
      <c r="I6161" t="s">
        <v>3529</v>
      </c>
      <c r="J6161" t="s">
        <v>26620</v>
      </c>
      <c r="K6161" t="s">
        <v>29336</v>
      </c>
      <c r="M6161" t="s">
        <v>31688</v>
      </c>
      <c r="N6161" t="s">
        <v>32524</v>
      </c>
      <c r="O6161" t="s">
        <v>32525</v>
      </c>
      <c r="P6161">
        <v>0</v>
      </c>
      <c r="Q6161">
        <v>0</v>
      </c>
      <c r="R6161" t="s">
        <v>32532</v>
      </c>
      <c r="S6161" t="s">
        <v>32616</v>
      </c>
      <c r="T6161" t="s">
        <v>33296</v>
      </c>
      <c r="U6161" t="s">
        <v>38832</v>
      </c>
      <c r="V6161" t="s">
        <v>43115</v>
      </c>
      <c r="W6161" t="s">
        <v>31688</v>
      </c>
      <c r="X6161" t="s">
        <v>32533</v>
      </c>
    </row>
    <row r="6162" spans="1:24">
      <c r="A6162">
        <f>HYPERLINK("https://www.philgeps.gov.ph/GEPSNONPILOT/Tender/SplashBidNoticeAbstractUI.aspx?menuIndex=3&amp;refID=7035566&amp;Result=3","7035566")</f>
        <v>0</v>
      </c>
      <c r="B6162" t="s">
        <v>1959</v>
      </c>
      <c r="C6162" t="s">
        <v>8576</v>
      </c>
      <c r="D6162" t="s">
        <v>13004</v>
      </c>
      <c r="E6162" t="s">
        <v>18549</v>
      </c>
      <c r="F6162" t="s">
        <v>22436</v>
      </c>
      <c r="G6162" t="s">
        <v>22444</v>
      </c>
      <c r="H6162" t="s">
        <v>22452</v>
      </c>
      <c r="I6162" t="s">
        <v>22459</v>
      </c>
      <c r="J6162" t="s">
        <v>26621</v>
      </c>
      <c r="K6162" t="s">
        <v>29338</v>
      </c>
      <c r="M6162" t="s">
        <v>31689</v>
      </c>
      <c r="N6162" t="s">
        <v>32524</v>
      </c>
      <c r="O6162" t="s">
        <v>32525</v>
      </c>
      <c r="P6162">
        <v>0</v>
      </c>
      <c r="Q6162">
        <v>0</v>
      </c>
      <c r="R6162" t="s">
        <v>32532</v>
      </c>
      <c r="S6162" t="s">
        <v>32616</v>
      </c>
      <c r="T6162" t="s">
        <v>33406</v>
      </c>
      <c r="U6162" t="s">
        <v>38833</v>
      </c>
      <c r="W6162" t="s">
        <v>31689</v>
      </c>
      <c r="X6162" t="s">
        <v>32533</v>
      </c>
    </row>
    <row r="6163" spans="1:24">
      <c r="A6163">
        <f>HYPERLINK("https://www.philgeps.gov.ph/GEPSNONPILOT/Tender/SplashBidNoticeAbstractUI.aspx?menuIndex=3&amp;refID=7035585&amp;Result=3","7035585")</f>
        <v>0</v>
      </c>
      <c r="B6163" t="s">
        <v>1950</v>
      </c>
      <c r="C6163" t="s">
        <v>8577</v>
      </c>
      <c r="D6163" t="s">
        <v>13066</v>
      </c>
      <c r="E6163" t="s">
        <v>18550</v>
      </c>
      <c r="F6163" t="s">
        <v>22436</v>
      </c>
      <c r="G6163" t="s">
        <v>22443</v>
      </c>
      <c r="H6163" t="s">
        <v>22452</v>
      </c>
      <c r="I6163" t="s">
        <v>2962</v>
      </c>
      <c r="J6163" t="s">
        <v>26622</v>
      </c>
      <c r="K6163" t="s">
        <v>29336</v>
      </c>
      <c r="M6163" t="s">
        <v>31680</v>
      </c>
      <c r="N6163" t="s">
        <v>32524</v>
      </c>
      <c r="O6163" t="s">
        <v>32525</v>
      </c>
      <c r="P6163">
        <v>0</v>
      </c>
      <c r="Q6163">
        <v>0</v>
      </c>
      <c r="R6163" t="s">
        <v>32532</v>
      </c>
      <c r="S6163" t="s">
        <v>32616</v>
      </c>
      <c r="T6163" t="s">
        <v>33371</v>
      </c>
      <c r="U6163" t="s">
        <v>38810</v>
      </c>
      <c r="W6163" t="s">
        <v>31680</v>
      </c>
      <c r="X6163" t="s">
        <v>32533</v>
      </c>
    </row>
    <row r="6164" spans="1:24">
      <c r="A6164">
        <f>HYPERLINK("https://www.philgeps.gov.ph/GEPSNONPILOT/Tender/SplashBidNoticeAbstractUI.aspx?menuIndex=3&amp;refID=7035567&amp;Result=3","7035567")</f>
        <v>0</v>
      </c>
      <c r="B6164" t="s">
        <v>1726</v>
      </c>
      <c r="C6164" t="s">
        <v>8578</v>
      </c>
      <c r="D6164" t="s">
        <v>12988</v>
      </c>
      <c r="E6164" t="s">
        <v>18551</v>
      </c>
      <c r="F6164" t="s">
        <v>22436</v>
      </c>
      <c r="G6164" t="s">
        <v>22444</v>
      </c>
      <c r="H6164" t="s">
        <v>22453</v>
      </c>
      <c r="I6164" t="s">
        <v>22493</v>
      </c>
      <c r="J6164" t="s">
        <v>26623</v>
      </c>
      <c r="K6164" t="s">
        <v>29336</v>
      </c>
      <c r="M6164" t="s">
        <v>31644</v>
      </c>
      <c r="N6164" t="s">
        <v>32524</v>
      </c>
      <c r="O6164" t="s">
        <v>32525</v>
      </c>
      <c r="P6164">
        <v>0</v>
      </c>
      <c r="Q6164">
        <v>0</v>
      </c>
      <c r="R6164" t="s">
        <v>32532</v>
      </c>
      <c r="S6164" t="s">
        <v>32616</v>
      </c>
      <c r="T6164" t="s">
        <v>33259</v>
      </c>
      <c r="U6164" t="s">
        <v>38815</v>
      </c>
      <c r="W6164" t="s">
        <v>31644</v>
      </c>
      <c r="X6164" t="s">
        <v>32533</v>
      </c>
    </row>
    <row r="6165" spans="1:24">
      <c r="A6165">
        <f>HYPERLINK("https://www.philgeps.gov.ph/GEPSNONPILOT/Tender/SplashBidNoticeAbstractUI.aspx?menuIndex=3&amp;refID=7035559&amp;Result=3","7035559")</f>
        <v>0</v>
      </c>
      <c r="B6165" t="s">
        <v>1726</v>
      </c>
      <c r="C6165" t="s">
        <v>8579</v>
      </c>
      <c r="D6165" t="s">
        <v>12988</v>
      </c>
      <c r="E6165" t="s">
        <v>18552</v>
      </c>
      <c r="F6165" t="s">
        <v>22436</v>
      </c>
      <c r="G6165" t="s">
        <v>22444</v>
      </c>
      <c r="H6165" t="s">
        <v>22453</v>
      </c>
      <c r="I6165" t="s">
        <v>22493</v>
      </c>
      <c r="J6165" t="s">
        <v>26624</v>
      </c>
      <c r="K6165" t="s">
        <v>29336</v>
      </c>
      <c r="M6165" t="s">
        <v>31644</v>
      </c>
      <c r="N6165" t="s">
        <v>32524</v>
      </c>
      <c r="O6165" t="s">
        <v>32525</v>
      </c>
      <c r="P6165">
        <v>0</v>
      </c>
      <c r="Q6165">
        <v>0</v>
      </c>
      <c r="R6165" t="s">
        <v>32532</v>
      </c>
      <c r="S6165" t="s">
        <v>32616</v>
      </c>
      <c r="T6165" t="s">
        <v>33259</v>
      </c>
      <c r="U6165" t="s">
        <v>38815</v>
      </c>
      <c r="W6165" t="s">
        <v>31644</v>
      </c>
      <c r="X6165" t="s">
        <v>32533</v>
      </c>
    </row>
    <row r="6166" spans="1:24">
      <c r="A6166">
        <f>HYPERLINK("https://www.philgeps.gov.ph/GEPSNONPILOT/Tender/SplashBidNoticeAbstractUI.aspx?menuIndex=3&amp;refID=7035543&amp;Result=3","7035543")</f>
        <v>0</v>
      </c>
      <c r="B6166" t="s">
        <v>1945</v>
      </c>
      <c r="C6166" t="s">
        <v>8580</v>
      </c>
      <c r="D6166" t="s">
        <v>13045</v>
      </c>
      <c r="E6166" t="s">
        <v>18507</v>
      </c>
      <c r="F6166" t="s">
        <v>22436</v>
      </c>
      <c r="G6166" t="s">
        <v>22444</v>
      </c>
      <c r="H6166" t="s">
        <v>22454</v>
      </c>
      <c r="I6166" t="s">
        <v>7738</v>
      </c>
      <c r="J6166" t="s">
        <v>26589</v>
      </c>
      <c r="K6166" t="s">
        <v>29390</v>
      </c>
      <c r="M6166" t="s">
        <v>31674</v>
      </c>
      <c r="N6166" t="s">
        <v>32524</v>
      </c>
      <c r="O6166" t="s">
        <v>32525</v>
      </c>
      <c r="P6166">
        <v>0</v>
      </c>
      <c r="Q6166">
        <v>0</v>
      </c>
      <c r="R6166" t="s">
        <v>32532</v>
      </c>
      <c r="S6166" t="s">
        <v>32616</v>
      </c>
      <c r="T6166" t="s">
        <v>33232</v>
      </c>
      <c r="U6166" t="s">
        <v>38834</v>
      </c>
      <c r="W6166" t="s">
        <v>31674</v>
      </c>
      <c r="X6166" t="s">
        <v>32533</v>
      </c>
    </row>
    <row r="6167" spans="1:24">
      <c r="A6167">
        <f>HYPERLINK("https://www.philgeps.gov.ph/GEPSNONPILOT/Tender/SplashBidNoticeAbstractUI.aspx?menuIndex=3&amp;refID=7035550&amp;Result=3","7035550")</f>
        <v>0</v>
      </c>
      <c r="B6167" t="s">
        <v>705</v>
      </c>
      <c r="C6167" t="s">
        <v>8581</v>
      </c>
      <c r="D6167" t="s">
        <v>13007</v>
      </c>
      <c r="E6167" t="s">
        <v>18553</v>
      </c>
      <c r="F6167" t="s">
        <v>22436</v>
      </c>
      <c r="G6167" t="s">
        <v>22444</v>
      </c>
      <c r="H6167" t="s">
        <v>22452</v>
      </c>
      <c r="I6167" t="s">
        <v>3529</v>
      </c>
      <c r="J6167" t="s">
        <v>26625</v>
      </c>
      <c r="K6167" t="s">
        <v>29338</v>
      </c>
      <c r="M6167" t="s">
        <v>30302</v>
      </c>
      <c r="N6167" t="s">
        <v>32524</v>
      </c>
      <c r="O6167" t="s">
        <v>32525</v>
      </c>
      <c r="P6167">
        <v>0</v>
      </c>
      <c r="Q6167">
        <v>0</v>
      </c>
      <c r="R6167" t="s">
        <v>32532</v>
      </c>
      <c r="S6167" t="s">
        <v>32616</v>
      </c>
      <c r="T6167" t="s">
        <v>33492</v>
      </c>
      <c r="U6167" t="s">
        <v>38835</v>
      </c>
      <c r="W6167" t="s">
        <v>30302</v>
      </c>
      <c r="X6167" t="s">
        <v>32533</v>
      </c>
    </row>
    <row r="6168" spans="1:24">
      <c r="A6168">
        <f>HYPERLINK("https://www.philgeps.gov.ph/GEPSNONPILOT/Tender/SplashBidNoticeAbstractUI.aspx?menuIndex=3&amp;refID=7035542&amp;Result=3","7035542")</f>
        <v>0</v>
      </c>
      <c r="B6168" t="s">
        <v>1479</v>
      </c>
      <c r="C6168" t="s">
        <v>8582</v>
      </c>
      <c r="D6168" t="s">
        <v>13046</v>
      </c>
      <c r="E6168" t="s">
        <v>18554</v>
      </c>
      <c r="F6168" t="s">
        <v>22436</v>
      </c>
      <c r="G6168" t="s">
        <v>22443</v>
      </c>
      <c r="H6168" t="s">
        <v>22453</v>
      </c>
      <c r="I6168" t="s">
        <v>22519</v>
      </c>
      <c r="J6168" t="s">
        <v>23599</v>
      </c>
      <c r="K6168" t="s">
        <v>29371</v>
      </c>
      <c r="M6168" t="s">
        <v>31149</v>
      </c>
      <c r="N6168" t="s">
        <v>32524</v>
      </c>
      <c r="O6168" t="s">
        <v>32525</v>
      </c>
      <c r="P6168">
        <v>0</v>
      </c>
      <c r="Q6168">
        <v>0</v>
      </c>
      <c r="R6168" t="s">
        <v>32532</v>
      </c>
      <c r="S6168" t="s">
        <v>32616</v>
      </c>
      <c r="T6168" t="s">
        <v>33296</v>
      </c>
      <c r="U6168" t="s">
        <v>38836</v>
      </c>
      <c r="W6168" t="s">
        <v>43721</v>
      </c>
      <c r="X6168" t="s">
        <v>32533</v>
      </c>
    </row>
    <row r="6169" spans="1:24">
      <c r="A6169">
        <f>HYPERLINK("https://www.philgeps.gov.ph/GEPSNONPILOT/Tender/SplashBidNoticeAbstractUI.aspx?menuIndex=3&amp;refID=7035538&amp;Result=3","7035538")</f>
        <v>0</v>
      </c>
      <c r="B6169" t="s">
        <v>1960</v>
      </c>
      <c r="C6169" t="s">
        <v>8583</v>
      </c>
      <c r="D6169" t="s">
        <v>12999</v>
      </c>
      <c r="E6169" t="s">
        <v>18555</v>
      </c>
      <c r="F6169" t="s">
        <v>22436</v>
      </c>
      <c r="G6169" t="s">
        <v>22444</v>
      </c>
      <c r="H6169" t="s">
        <v>22454</v>
      </c>
      <c r="I6169" t="s">
        <v>7738</v>
      </c>
      <c r="J6169" t="s">
        <v>26626</v>
      </c>
      <c r="K6169" t="s">
        <v>29488</v>
      </c>
      <c r="M6169" t="s">
        <v>31690</v>
      </c>
      <c r="N6169" t="s">
        <v>32524</v>
      </c>
      <c r="O6169" t="s">
        <v>32525</v>
      </c>
      <c r="Q6169">
        <v>0</v>
      </c>
      <c r="R6169" t="s">
        <v>32532</v>
      </c>
      <c r="S6169" t="s">
        <v>32623</v>
      </c>
      <c r="T6169" t="s">
        <v>33405</v>
      </c>
      <c r="U6169" t="s">
        <v>38837</v>
      </c>
      <c r="W6169" t="s">
        <v>31690</v>
      </c>
      <c r="X6169" t="s">
        <v>32533</v>
      </c>
    </row>
    <row r="6170" spans="1:24">
      <c r="A6170">
        <f>HYPERLINK("https://www.philgeps.gov.ph/GEPSNONPILOT/Tender/SplashBidNoticeAbstractUI.aspx?menuIndex=3&amp;refID=7035545&amp;Result=3","7035545")</f>
        <v>0</v>
      </c>
      <c r="B6170" t="s">
        <v>512</v>
      </c>
      <c r="C6170" t="s">
        <v>8584</v>
      </c>
      <c r="D6170" t="s">
        <v>12995</v>
      </c>
      <c r="E6170" t="s">
        <v>18556</v>
      </c>
      <c r="F6170" t="s">
        <v>22436</v>
      </c>
      <c r="G6170" t="s">
        <v>22444</v>
      </c>
      <c r="H6170" t="s">
        <v>22452</v>
      </c>
      <c r="I6170" t="s">
        <v>22474</v>
      </c>
      <c r="J6170" t="s">
        <v>26112</v>
      </c>
      <c r="K6170" t="s">
        <v>29336</v>
      </c>
      <c r="M6170" t="s">
        <v>30096</v>
      </c>
      <c r="N6170" t="s">
        <v>32524</v>
      </c>
      <c r="O6170" t="s">
        <v>32525</v>
      </c>
      <c r="P6170">
        <v>0</v>
      </c>
      <c r="Q6170">
        <v>16</v>
      </c>
      <c r="R6170" t="s">
        <v>32532</v>
      </c>
      <c r="S6170" t="s">
        <v>32616</v>
      </c>
      <c r="T6170" t="s">
        <v>33181</v>
      </c>
      <c r="U6170" t="s">
        <v>34661</v>
      </c>
      <c r="W6170" t="s">
        <v>30096</v>
      </c>
      <c r="X6170" t="s">
        <v>32533</v>
      </c>
    </row>
    <row r="6171" spans="1:24">
      <c r="A6171">
        <f>HYPERLINK("https://www.philgeps.gov.ph/GEPSNONPILOT/Tender/SplashBidNoticeAbstractUI.aspx?menuIndex=3&amp;refID=7035544&amp;Result=3","7035544")</f>
        <v>0</v>
      </c>
      <c r="B6171" t="s">
        <v>1726</v>
      </c>
      <c r="C6171" t="s">
        <v>8585</v>
      </c>
      <c r="D6171" t="s">
        <v>12988</v>
      </c>
      <c r="E6171" t="s">
        <v>18557</v>
      </c>
      <c r="F6171" t="s">
        <v>22436</v>
      </c>
      <c r="G6171" t="s">
        <v>22444</v>
      </c>
      <c r="H6171" t="s">
        <v>22453</v>
      </c>
      <c r="I6171" t="s">
        <v>22493</v>
      </c>
      <c r="J6171" t="s">
        <v>24063</v>
      </c>
      <c r="K6171" t="s">
        <v>29336</v>
      </c>
      <c r="M6171" t="s">
        <v>31644</v>
      </c>
      <c r="N6171" t="s">
        <v>32524</v>
      </c>
      <c r="O6171" t="s">
        <v>32525</v>
      </c>
      <c r="P6171">
        <v>0</v>
      </c>
      <c r="Q6171">
        <v>0</v>
      </c>
      <c r="R6171" t="s">
        <v>32532</v>
      </c>
      <c r="S6171" t="s">
        <v>32616</v>
      </c>
      <c r="T6171" t="s">
        <v>33259</v>
      </c>
      <c r="U6171" t="s">
        <v>38815</v>
      </c>
      <c r="W6171" t="s">
        <v>31644</v>
      </c>
      <c r="X6171" t="s">
        <v>32533</v>
      </c>
    </row>
    <row r="6172" spans="1:24">
      <c r="A6172">
        <f>HYPERLINK("https://www.philgeps.gov.ph/GEPSNONPILOT/Tender/SplashBidNoticeAbstractUI.aspx?menuIndex=3&amp;refID=7035535&amp;Result=3","7035535")</f>
        <v>0</v>
      </c>
      <c r="B6172" t="s">
        <v>1726</v>
      </c>
      <c r="C6172" t="s">
        <v>8586</v>
      </c>
      <c r="D6172" t="s">
        <v>12988</v>
      </c>
      <c r="E6172" t="s">
        <v>18558</v>
      </c>
      <c r="F6172" t="s">
        <v>22436</v>
      </c>
      <c r="G6172" t="s">
        <v>22444</v>
      </c>
      <c r="H6172" t="s">
        <v>22453</v>
      </c>
      <c r="I6172" t="s">
        <v>22493</v>
      </c>
      <c r="J6172" t="s">
        <v>26627</v>
      </c>
      <c r="K6172" t="s">
        <v>29336</v>
      </c>
      <c r="M6172" t="s">
        <v>31644</v>
      </c>
      <c r="N6172" t="s">
        <v>32524</v>
      </c>
      <c r="O6172" t="s">
        <v>32525</v>
      </c>
      <c r="P6172">
        <v>0</v>
      </c>
      <c r="Q6172">
        <v>0</v>
      </c>
      <c r="R6172" t="s">
        <v>32532</v>
      </c>
      <c r="S6172" t="s">
        <v>32616</v>
      </c>
      <c r="T6172" t="s">
        <v>33259</v>
      </c>
      <c r="U6172" t="s">
        <v>38815</v>
      </c>
      <c r="W6172" t="s">
        <v>31644</v>
      </c>
      <c r="X6172" t="s">
        <v>32533</v>
      </c>
    </row>
    <row r="6173" spans="1:24">
      <c r="A6173">
        <f>HYPERLINK("https://www.philgeps.gov.ph/GEPSNONPILOT/Tender/SplashBidNoticeAbstractUI.aspx?menuIndex=3&amp;refID=7035478&amp;Result=3","7035478")</f>
        <v>0</v>
      </c>
      <c r="B6173" t="s">
        <v>1950</v>
      </c>
      <c r="C6173" t="s">
        <v>8587</v>
      </c>
      <c r="D6173" t="s">
        <v>13066</v>
      </c>
      <c r="E6173" t="s">
        <v>18559</v>
      </c>
      <c r="F6173" t="s">
        <v>22436</v>
      </c>
      <c r="G6173" t="s">
        <v>22443</v>
      </c>
      <c r="H6173" t="s">
        <v>22452</v>
      </c>
      <c r="I6173" t="s">
        <v>2981</v>
      </c>
      <c r="J6173" t="s">
        <v>26628</v>
      </c>
      <c r="K6173" t="s">
        <v>29336</v>
      </c>
      <c r="M6173" t="s">
        <v>31680</v>
      </c>
      <c r="N6173" t="s">
        <v>32524</v>
      </c>
      <c r="O6173" t="s">
        <v>32525</v>
      </c>
      <c r="P6173">
        <v>0</v>
      </c>
      <c r="Q6173">
        <v>2</v>
      </c>
      <c r="R6173" t="s">
        <v>32532</v>
      </c>
      <c r="S6173" t="s">
        <v>32616</v>
      </c>
      <c r="T6173" t="s">
        <v>33371</v>
      </c>
      <c r="U6173" t="s">
        <v>38810</v>
      </c>
      <c r="W6173" t="s">
        <v>31680</v>
      </c>
      <c r="X6173" t="s">
        <v>32533</v>
      </c>
    </row>
    <row r="6174" spans="1:24">
      <c r="A6174">
        <f>HYPERLINK("https://www.philgeps.gov.ph/GEPSNONPILOT/Tender/SplashBidNoticeAbstractUI.aspx?menuIndex=3&amp;refID=7035549&amp;Result=3","7035549")</f>
        <v>0</v>
      </c>
      <c r="B6174" t="s">
        <v>1950</v>
      </c>
      <c r="C6174" t="s">
        <v>8588</v>
      </c>
      <c r="D6174" t="s">
        <v>13066</v>
      </c>
      <c r="E6174" t="s">
        <v>18560</v>
      </c>
      <c r="F6174" t="s">
        <v>22436</v>
      </c>
      <c r="G6174" t="s">
        <v>22443</v>
      </c>
      <c r="H6174" t="s">
        <v>22452</v>
      </c>
      <c r="I6174" t="s">
        <v>3840</v>
      </c>
      <c r="J6174" t="s">
        <v>26629</v>
      </c>
      <c r="K6174" t="s">
        <v>29336</v>
      </c>
      <c r="M6174" t="s">
        <v>31680</v>
      </c>
      <c r="N6174" t="s">
        <v>32524</v>
      </c>
      <c r="O6174" t="s">
        <v>32525</v>
      </c>
      <c r="P6174">
        <v>0</v>
      </c>
      <c r="Q6174">
        <v>1</v>
      </c>
      <c r="R6174" t="s">
        <v>32532</v>
      </c>
      <c r="S6174" t="s">
        <v>32616</v>
      </c>
      <c r="T6174" t="s">
        <v>33371</v>
      </c>
      <c r="U6174" t="s">
        <v>38810</v>
      </c>
      <c r="W6174" t="s">
        <v>31680</v>
      </c>
      <c r="X6174" t="s">
        <v>32533</v>
      </c>
    </row>
    <row r="6175" spans="1:24">
      <c r="A6175">
        <f>HYPERLINK("https://www.philgeps.gov.ph/GEPSNONPILOT/Tender/SplashBidNoticeAbstractUI.aspx?menuIndex=3&amp;refID=7035536&amp;Result=3","7035536")</f>
        <v>0</v>
      </c>
      <c r="B6175" t="s">
        <v>1941</v>
      </c>
      <c r="C6175" t="s">
        <v>8589</v>
      </c>
      <c r="D6175" t="s">
        <v>13005</v>
      </c>
      <c r="E6175" t="s">
        <v>18561</v>
      </c>
      <c r="F6175" t="s">
        <v>22436</v>
      </c>
      <c r="G6175" t="s">
        <v>22447</v>
      </c>
      <c r="H6175" t="s">
        <v>22452</v>
      </c>
      <c r="I6175" t="s">
        <v>22482</v>
      </c>
      <c r="J6175" t="s">
        <v>22779</v>
      </c>
      <c r="K6175" t="s">
        <v>29336</v>
      </c>
      <c r="M6175" t="s">
        <v>31670</v>
      </c>
      <c r="N6175" t="s">
        <v>32524</v>
      </c>
      <c r="O6175" t="s">
        <v>32525</v>
      </c>
      <c r="P6175">
        <v>0</v>
      </c>
      <c r="Q6175">
        <v>7</v>
      </c>
      <c r="R6175" t="s">
        <v>32532</v>
      </c>
      <c r="S6175" t="s">
        <v>32616</v>
      </c>
      <c r="T6175" t="s">
        <v>33238</v>
      </c>
      <c r="U6175" t="s">
        <v>38792</v>
      </c>
      <c r="W6175" t="s">
        <v>31670</v>
      </c>
      <c r="X6175" t="s">
        <v>32533</v>
      </c>
    </row>
    <row r="6176" spans="1:24">
      <c r="A6176">
        <f>HYPERLINK("https://www.philgeps.gov.ph/GEPSNONPILOT/Tender/SplashBidNoticeAbstractUI.aspx?menuIndex=3&amp;refID=7035577&amp;Result=3","7035577")</f>
        <v>0</v>
      </c>
      <c r="B6176" t="s">
        <v>1950</v>
      </c>
      <c r="C6176" t="s">
        <v>8590</v>
      </c>
      <c r="D6176" t="s">
        <v>13066</v>
      </c>
      <c r="E6176" t="s">
        <v>18562</v>
      </c>
      <c r="F6176" t="s">
        <v>22436</v>
      </c>
      <c r="G6176" t="s">
        <v>22443</v>
      </c>
      <c r="H6176" t="s">
        <v>22452</v>
      </c>
      <c r="I6176" t="s">
        <v>22519</v>
      </c>
      <c r="J6176" t="s">
        <v>23501</v>
      </c>
      <c r="K6176" t="s">
        <v>29336</v>
      </c>
      <c r="M6176" t="s">
        <v>31680</v>
      </c>
      <c r="N6176" t="s">
        <v>32524</v>
      </c>
      <c r="O6176" t="s">
        <v>32525</v>
      </c>
      <c r="P6176">
        <v>0</v>
      </c>
      <c r="Q6176">
        <v>0</v>
      </c>
      <c r="R6176" t="s">
        <v>32532</v>
      </c>
      <c r="S6176" t="s">
        <v>32616</v>
      </c>
      <c r="T6176" t="s">
        <v>33371</v>
      </c>
      <c r="U6176" t="s">
        <v>38810</v>
      </c>
      <c r="W6176" t="s">
        <v>31680</v>
      </c>
      <c r="X6176" t="s">
        <v>32533</v>
      </c>
    </row>
    <row r="6177" spans="1:24">
      <c r="A6177">
        <f>HYPERLINK("https://www.philgeps.gov.ph/GEPSNONPILOT/Tender/SplashBidNoticeAbstractUI.aspx?menuIndex=3&amp;refID=7035476&amp;Result=3","7035476")</f>
        <v>0</v>
      </c>
      <c r="B6177" t="s">
        <v>705</v>
      </c>
      <c r="C6177" t="s">
        <v>8591</v>
      </c>
      <c r="D6177" t="s">
        <v>13007</v>
      </c>
      <c r="E6177" t="s">
        <v>18563</v>
      </c>
      <c r="F6177" t="s">
        <v>22436</v>
      </c>
      <c r="G6177" t="s">
        <v>22444</v>
      </c>
      <c r="H6177" t="s">
        <v>22452</v>
      </c>
      <c r="I6177" t="s">
        <v>22468</v>
      </c>
      <c r="J6177" t="s">
        <v>26630</v>
      </c>
      <c r="K6177" t="s">
        <v>29338</v>
      </c>
      <c r="M6177" t="s">
        <v>30302</v>
      </c>
      <c r="N6177" t="s">
        <v>32524</v>
      </c>
      <c r="O6177" t="s">
        <v>32525</v>
      </c>
      <c r="P6177">
        <v>0</v>
      </c>
      <c r="Q6177">
        <v>0</v>
      </c>
      <c r="R6177" t="s">
        <v>32532</v>
      </c>
      <c r="S6177" t="s">
        <v>32616</v>
      </c>
      <c r="T6177" t="s">
        <v>33492</v>
      </c>
      <c r="U6177" t="s">
        <v>38838</v>
      </c>
      <c r="W6177" t="s">
        <v>30302</v>
      </c>
      <c r="X6177" t="s">
        <v>32533</v>
      </c>
    </row>
    <row r="6178" spans="1:24">
      <c r="A6178">
        <f>HYPERLINK("https://www.philgeps.gov.ph/GEPSNONPILOT/Tender/SplashBidNoticeAbstractUI.aspx?menuIndex=3&amp;refID=7035594&amp;Result=3","7035594")</f>
        <v>0</v>
      </c>
      <c r="B6178" t="s">
        <v>1726</v>
      </c>
      <c r="C6178" t="s">
        <v>8592</v>
      </c>
      <c r="D6178" t="s">
        <v>12988</v>
      </c>
      <c r="E6178" t="s">
        <v>18564</v>
      </c>
      <c r="F6178" t="s">
        <v>22436</v>
      </c>
      <c r="G6178" t="s">
        <v>22444</v>
      </c>
      <c r="H6178" t="s">
        <v>22453</v>
      </c>
      <c r="I6178" t="s">
        <v>22456</v>
      </c>
      <c r="J6178" t="s">
        <v>22654</v>
      </c>
      <c r="K6178" t="s">
        <v>29336</v>
      </c>
      <c r="M6178" t="s">
        <v>31644</v>
      </c>
      <c r="N6178" t="s">
        <v>32524</v>
      </c>
      <c r="O6178" t="s">
        <v>32525</v>
      </c>
      <c r="P6178">
        <v>0</v>
      </c>
      <c r="Q6178">
        <v>0</v>
      </c>
      <c r="R6178" t="s">
        <v>32532</v>
      </c>
      <c r="S6178" t="s">
        <v>32616</v>
      </c>
      <c r="T6178" t="s">
        <v>33259</v>
      </c>
      <c r="U6178" t="s">
        <v>38839</v>
      </c>
      <c r="W6178" t="s">
        <v>31644</v>
      </c>
      <c r="X6178" t="s">
        <v>32533</v>
      </c>
    </row>
    <row r="6179" spans="1:24">
      <c r="A6179">
        <f>HYPERLINK("https://www.philgeps.gov.ph/GEPSNONPILOT/Tender/SplashBidNoticeAbstractUI.aspx?menuIndex=3&amp;refID=7035599&amp;Result=3","7035599")</f>
        <v>0</v>
      </c>
      <c r="B6179" t="s">
        <v>474</v>
      </c>
      <c r="C6179" t="s">
        <v>8593</v>
      </c>
      <c r="D6179" t="s">
        <v>13018</v>
      </c>
      <c r="E6179" t="s">
        <v>14219</v>
      </c>
      <c r="F6179" t="s">
        <v>22436</v>
      </c>
      <c r="G6179" t="s">
        <v>22444</v>
      </c>
      <c r="H6179" t="s">
        <v>22454</v>
      </c>
      <c r="I6179" t="s">
        <v>3529</v>
      </c>
      <c r="J6179" t="s">
        <v>26631</v>
      </c>
      <c r="K6179" t="s">
        <v>29334</v>
      </c>
      <c r="M6179" t="s">
        <v>30058</v>
      </c>
      <c r="N6179" t="s">
        <v>32524</v>
      </c>
      <c r="O6179" t="s">
        <v>32525</v>
      </c>
      <c r="P6179">
        <v>0</v>
      </c>
      <c r="Q6179">
        <v>0</v>
      </c>
      <c r="R6179" t="s">
        <v>32532</v>
      </c>
      <c r="S6179" t="s">
        <v>32616</v>
      </c>
      <c r="T6179" t="s">
        <v>33528</v>
      </c>
      <c r="U6179" t="s">
        <v>38840</v>
      </c>
      <c r="W6179" t="s">
        <v>30058</v>
      </c>
      <c r="X6179" t="s">
        <v>32533</v>
      </c>
    </row>
    <row r="6180" spans="1:24">
      <c r="A6180">
        <f>HYPERLINK("https://www.philgeps.gov.ph/GEPSNONPILOT/Tender/SplashBidNoticeAbstractUI.aspx?menuIndex=3&amp;refID=7035598&amp;Result=3","7035598")</f>
        <v>0</v>
      </c>
      <c r="B6180" t="s">
        <v>1961</v>
      </c>
      <c r="C6180" t="s">
        <v>8594</v>
      </c>
      <c r="D6180" t="s">
        <v>13029</v>
      </c>
      <c r="E6180" t="s">
        <v>16359</v>
      </c>
      <c r="F6180" t="s">
        <v>22436</v>
      </c>
      <c r="G6180" t="s">
        <v>22443</v>
      </c>
      <c r="H6180" t="s">
        <v>22452</v>
      </c>
      <c r="I6180" t="s">
        <v>22474</v>
      </c>
      <c r="J6180" t="s">
        <v>22692</v>
      </c>
      <c r="K6180" t="s">
        <v>29335</v>
      </c>
      <c r="M6180" t="s">
        <v>31691</v>
      </c>
      <c r="N6180" t="s">
        <v>32524</v>
      </c>
      <c r="O6180" t="s">
        <v>32525</v>
      </c>
      <c r="P6180">
        <v>0</v>
      </c>
      <c r="Q6180">
        <v>1</v>
      </c>
      <c r="R6180" t="s">
        <v>32532</v>
      </c>
      <c r="S6180" t="s">
        <v>32616</v>
      </c>
      <c r="T6180" t="s">
        <v>33304</v>
      </c>
      <c r="U6180" t="s">
        <v>38841</v>
      </c>
      <c r="W6180" t="s">
        <v>31691</v>
      </c>
      <c r="X6180" t="s">
        <v>32533</v>
      </c>
    </row>
    <row r="6181" spans="1:24">
      <c r="A6181">
        <f>HYPERLINK("https://www.philgeps.gov.ph/GEPSNONPILOT/Tender/SplashBidNoticeAbstractUI.aspx?menuIndex=3&amp;refID=7035632&amp;Result=3","7035632")</f>
        <v>0</v>
      </c>
      <c r="B6181" t="s">
        <v>1358</v>
      </c>
      <c r="C6181" t="s">
        <v>8595</v>
      </c>
      <c r="D6181" t="s">
        <v>13041</v>
      </c>
      <c r="E6181" t="s">
        <v>18565</v>
      </c>
      <c r="F6181" t="s">
        <v>22436</v>
      </c>
      <c r="G6181" t="s">
        <v>22444</v>
      </c>
      <c r="H6181" t="s">
        <v>22454</v>
      </c>
      <c r="I6181" t="s">
        <v>7738</v>
      </c>
      <c r="J6181" t="s">
        <v>26632</v>
      </c>
      <c r="K6181" t="s">
        <v>29338</v>
      </c>
      <c r="M6181" t="s">
        <v>31014</v>
      </c>
      <c r="N6181" t="s">
        <v>32524</v>
      </c>
      <c r="O6181" t="s">
        <v>32525</v>
      </c>
      <c r="Q6181">
        <v>0</v>
      </c>
      <c r="R6181" t="s">
        <v>32532</v>
      </c>
      <c r="S6181" t="s">
        <v>32624</v>
      </c>
      <c r="T6181" t="s">
        <v>33175</v>
      </c>
      <c r="U6181" t="s">
        <v>38842</v>
      </c>
      <c r="W6181" t="s">
        <v>31014</v>
      </c>
      <c r="X6181" t="s">
        <v>32533</v>
      </c>
    </row>
    <row r="6182" spans="1:24">
      <c r="A6182">
        <f>HYPERLINK("https://www.philgeps.gov.ph/GEPSNONPILOT/Tender/SplashBidNoticeAbstractUI.aspx?menuIndex=3&amp;refID=7035661&amp;Result=3","7035661")</f>
        <v>0</v>
      </c>
      <c r="B6182" t="s">
        <v>1563</v>
      </c>
      <c r="C6182" t="s">
        <v>8596</v>
      </c>
      <c r="D6182" t="s">
        <v>13006</v>
      </c>
      <c r="E6182" t="s">
        <v>18566</v>
      </c>
      <c r="F6182" t="s">
        <v>22436</v>
      </c>
      <c r="G6182" t="s">
        <v>22443</v>
      </c>
      <c r="H6182" t="s">
        <v>22452</v>
      </c>
      <c r="I6182" t="s">
        <v>6421</v>
      </c>
      <c r="J6182" t="s">
        <v>26633</v>
      </c>
      <c r="K6182" t="s">
        <v>29338</v>
      </c>
      <c r="M6182" t="s">
        <v>31692</v>
      </c>
      <c r="N6182" t="s">
        <v>32524</v>
      </c>
      <c r="O6182" t="s">
        <v>32525</v>
      </c>
      <c r="P6182">
        <v>0</v>
      </c>
      <c r="Q6182">
        <v>2</v>
      </c>
      <c r="R6182" t="s">
        <v>32532</v>
      </c>
      <c r="S6182" t="s">
        <v>32616</v>
      </c>
      <c r="T6182" t="s">
        <v>33220</v>
      </c>
      <c r="U6182" t="s">
        <v>38843</v>
      </c>
      <c r="W6182" t="s">
        <v>31692</v>
      </c>
      <c r="X6182" t="s">
        <v>32533</v>
      </c>
    </row>
    <row r="6183" spans="1:24">
      <c r="A6183">
        <f>HYPERLINK("https://www.philgeps.gov.ph/GEPSNONPILOT/Tender/SplashBidNoticeAbstractUI.aspx?menuIndex=3&amp;refID=7035658&amp;Result=3","7035658")</f>
        <v>0</v>
      </c>
      <c r="B6183" t="s">
        <v>1959</v>
      </c>
      <c r="C6183" t="s">
        <v>8597</v>
      </c>
      <c r="E6183" t="s">
        <v>18567</v>
      </c>
      <c r="F6183" t="s">
        <v>22436</v>
      </c>
      <c r="G6183" t="s">
        <v>22444</v>
      </c>
      <c r="H6183" t="s">
        <v>22452</v>
      </c>
      <c r="I6183" t="s">
        <v>6387</v>
      </c>
      <c r="J6183" t="s">
        <v>26634</v>
      </c>
      <c r="K6183" t="s">
        <v>29338</v>
      </c>
      <c r="M6183" t="s">
        <v>31689</v>
      </c>
      <c r="N6183" t="s">
        <v>32524</v>
      </c>
      <c r="O6183" t="s">
        <v>32525</v>
      </c>
      <c r="P6183">
        <v>0</v>
      </c>
      <c r="Q6183">
        <v>1</v>
      </c>
      <c r="R6183" t="s">
        <v>32532</v>
      </c>
      <c r="S6183" t="s">
        <v>32616</v>
      </c>
      <c r="T6183" t="s">
        <v>33406</v>
      </c>
      <c r="U6183" t="s">
        <v>38844</v>
      </c>
      <c r="W6183" t="s">
        <v>31689</v>
      </c>
      <c r="X6183" t="s">
        <v>32533</v>
      </c>
    </row>
    <row r="6184" spans="1:24">
      <c r="A6184">
        <f>HYPERLINK("https://www.philgeps.gov.ph/GEPSNONPILOT/Tender/SplashBidNoticeAbstractUI.aspx?menuIndex=3&amp;refID=7035654&amp;Result=3","7035654")</f>
        <v>0</v>
      </c>
      <c r="B6184" t="s">
        <v>1726</v>
      </c>
      <c r="C6184" t="s">
        <v>8598</v>
      </c>
      <c r="D6184" t="s">
        <v>12988</v>
      </c>
      <c r="E6184" t="s">
        <v>18568</v>
      </c>
      <c r="F6184" t="s">
        <v>22436</v>
      </c>
      <c r="G6184" t="s">
        <v>22444</v>
      </c>
      <c r="H6184" t="s">
        <v>22453</v>
      </c>
      <c r="I6184" t="s">
        <v>22456</v>
      </c>
      <c r="J6184" t="s">
        <v>26635</v>
      </c>
      <c r="K6184" t="s">
        <v>29336</v>
      </c>
      <c r="M6184" t="s">
        <v>31644</v>
      </c>
      <c r="N6184" t="s">
        <v>32524</v>
      </c>
      <c r="O6184" t="s">
        <v>32525</v>
      </c>
      <c r="P6184">
        <v>0</v>
      </c>
      <c r="Q6184">
        <v>0</v>
      </c>
      <c r="R6184" t="s">
        <v>32532</v>
      </c>
      <c r="S6184" t="s">
        <v>32616</v>
      </c>
      <c r="T6184" t="s">
        <v>33259</v>
      </c>
      <c r="U6184" t="s">
        <v>38839</v>
      </c>
      <c r="W6184" t="s">
        <v>31644</v>
      </c>
      <c r="X6184" t="s">
        <v>32533</v>
      </c>
    </row>
    <row r="6185" spans="1:24">
      <c r="A6185">
        <f>HYPERLINK("https://www.philgeps.gov.ph/GEPSNONPILOT/Tender/SplashBidNoticeAbstractUI.aspx?menuIndex=3&amp;refID=7035660&amp;Result=3","7035660")</f>
        <v>0</v>
      </c>
      <c r="B6185" t="s">
        <v>1962</v>
      </c>
      <c r="C6185" t="s">
        <v>8599</v>
      </c>
      <c r="D6185" t="s">
        <v>13022</v>
      </c>
      <c r="E6185" t="s">
        <v>13368</v>
      </c>
      <c r="F6185" t="s">
        <v>22436</v>
      </c>
      <c r="G6185" t="s">
        <v>22446</v>
      </c>
      <c r="H6185" t="s">
        <v>22452</v>
      </c>
      <c r="I6185" t="s">
        <v>3529</v>
      </c>
      <c r="J6185" t="s">
        <v>26636</v>
      </c>
      <c r="K6185" t="s">
        <v>29357</v>
      </c>
      <c r="M6185" t="s">
        <v>31693</v>
      </c>
      <c r="N6185" t="s">
        <v>32524</v>
      </c>
      <c r="O6185" t="s">
        <v>32525</v>
      </c>
      <c r="P6185">
        <v>0</v>
      </c>
      <c r="Q6185">
        <v>0</v>
      </c>
      <c r="R6185" t="s">
        <v>32532</v>
      </c>
      <c r="S6185" t="s">
        <v>32616</v>
      </c>
      <c r="T6185" t="s">
        <v>33236</v>
      </c>
      <c r="U6185" t="s">
        <v>38845</v>
      </c>
      <c r="W6185" t="s">
        <v>31693</v>
      </c>
      <c r="X6185" t="s">
        <v>32533</v>
      </c>
    </row>
    <row r="6186" spans="1:24">
      <c r="A6186">
        <f>HYPERLINK("https://www.philgeps.gov.ph/GEPSNONPILOT/Tender/SplashBidNoticeAbstractUI.aspx?menuIndex=3&amp;refID=7035640&amp;Result=3","7035640")</f>
        <v>0</v>
      </c>
      <c r="B6186" t="s">
        <v>1963</v>
      </c>
      <c r="C6186" t="s">
        <v>8600</v>
      </c>
      <c r="D6186" t="s">
        <v>13045</v>
      </c>
      <c r="E6186" t="s">
        <v>18569</v>
      </c>
      <c r="F6186" t="s">
        <v>22436</v>
      </c>
      <c r="G6186" t="s">
        <v>22444</v>
      </c>
      <c r="H6186" t="s">
        <v>22452</v>
      </c>
      <c r="I6186" t="s">
        <v>3529</v>
      </c>
      <c r="J6186" t="s">
        <v>26637</v>
      </c>
      <c r="K6186" t="s">
        <v>29341</v>
      </c>
      <c r="M6186" t="s">
        <v>31694</v>
      </c>
      <c r="N6186" t="s">
        <v>32524</v>
      </c>
      <c r="O6186" t="s">
        <v>32525</v>
      </c>
      <c r="P6186">
        <v>0</v>
      </c>
      <c r="Q6186">
        <v>0</v>
      </c>
      <c r="R6186" t="s">
        <v>32532</v>
      </c>
      <c r="S6186" t="s">
        <v>32616</v>
      </c>
      <c r="T6186" t="s">
        <v>33167</v>
      </c>
      <c r="U6186" t="s">
        <v>38846</v>
      </c>
      <c r="W6186" t="s">
        <v>31694</v>
      </c>
      <c r="X6186" t="s">
        <v>32533</v>
      </c>
    </row>
    <row r="6187" spans="1:24">
      <c r="A6187">
        <f>HYPERLINK("https://www.philgeps.gov.ph/GEPSNONPILOT/Tender/SplashBidNoticeAbstractUI.aspx?menuIndex=3&amp;refID=7035636&amp;Result=3","7035636")</f>
        <v>0</v>
      </c>
      <c r="B6187" t="s">
        <v>145</v>
      </c>
      <c r="C6187" t="s">
        <v>8601</v>
      </c>
      <c r="D6187" t="s">
        <v>13041</v>
      </c>
      <c r="E6187" t="s">
        <v>18570</v>
      </c>
      <c r="F6187" t="s">
        <v>22436</v>
      </c>
      <c r="G6187" t="s">
        <v>22443</v>
      </c>
      <c r="H6187" t="s">
        <v>22452</v>
      </c>
      <c r="I6187" t="s">
        <v>3827</v>
      </c>
      <c r="J6187" t="s">
        <v>23079</v>
      </c>
      <c r="K6187" t="s">
        <v>29335</v>
      </c>
      <c r="M6187" t="s">
        <v>29717</v>
      </c>
      <c r="N6187" t="s">
        <v>32524</v>
      </c>
      <c r="O6187" t="s">
        <v>32525</v>
      </c>
      <c r="P6187">
        <v>0</v>
      </c>
      <c r="Q6187">
        <v>6</v>
      </c>
      <c r="R6187" t="s">
        <v>32532</v>
      </c>
      <c r="S6187" t="s">
        <v>32616</v>
      </c>
      <c r="T6187" t="s">
        <v>33523</v>
      </c>
      <c r="U6187" t="s">
        <v>38847</v>
      </c>
      <c r="W6187" t="s">
        <v>29717</v>
      </c>
      <c r="X6187" t="s">
        <v>32533</v>
      </c>
    </row>
    <row r="6188" spans="1:24">
      <c r="A6188">
        <f>HYPERLINK("https://www.philgeps.gov.ph/GEPSNONPILOT/Tender/SplashBidNoticeAbstractUI.aspx?menuIndex=3&amp;refID=7035622&amp;Result=3","7035622")</f>
        <v>0</v>
      </c>
      <c r="B6188" t="s">
        <v>1726</v>
      </c>
      <c r="C6188" t="s">
        <v>8602</v>
      </c>
      <c r="D6188" t="s">
        <v>12988</v>
      </c>
      <c r="E6188" t="s">
        <v>18571</v>
      </c>
      <c r="F6188" t="s">
        <v>22436</v>
      </c>
      <c r="G6188" t="s">
        <v>22444</v>
      </c>
      <c r="H6188" t="s">
        <v>22453</v>
      </c>
      <c r="I6188" t="s">
        <v>22456</v>
      </c>
      <c r="J6188" t="s">
        <v>26638</v>
      </c>
      <c r="K6188" t="s">
        <v>29336</v>
      </c>
      <c r="M6188" t="s">
        <v>31644</v>
      </c>
      <c r="N6188" t="s">
        <v>32524</v>
      </c>
      <c r="O6188" t="s">
        <v>32525</v>
      </c>
      <c r="P6188">
        <v>0</v>
      </c>
      <c r="Q6188">
        <v>0</v>
      </c>
      <c r="R6188" t="s">
        <v>32532</v>
      </c>
      <c r="S6188" t="s">
        <v>32616</v>
      </c>
      <c r="T6188" t="s">
        <v>33259</v>
      </c>
      <c r="U6188" t="s">
        <v>38839</v>
      </c>
      <c r="W6188" t="s">
        <v>31644</v>
      </c>
      <c r="X6188" t="s">
        <v>32533</v>
      </c>
    </row>
    <row r="6189" spans="1:24">
      <c r="A6189">
        <f>HYPERLINK("https://www.philgeps.gov.ph/GEPSNONPILOT/Tender/SplashBidNoticeAbstractUI.aspx?menuIndex=3&amp;refID=7035630&amp;Result=3","7035630")</f>
        <v>0</v>
      </c>
      <c r="B6189" t="s">
        <v>1950</v>
      </c>
      <c r="C6189" t="s">
        <v>8603</v>
      </c>
      <c r="D6189" t="s">
        <v>13066</v>
      </c>
      <c r="E6189" t="s">
        <v>18572</v>
      </c>
      <c r="F6189" t="s">
        <v>22436</v>
      </c>
      <c r="G6189" t="s">
        <v>22443</v>
      </c>
      <c r="H6189" t="s">
        <v>22452</v>
      </c>
      <c r="I6189" t="s">
        <v>12358</v>
      </c>
      <c r="J6189" t="s">
        <v>26639</v>
      </c>
      <c r="K6189" t="s">
        <v>29336</v>
      </c>
      <c r="M6189" t="s">
        <v>31680</v>
      </c>
      <c r="N6189" t="s">
        <v>32524</v>
      </c>
      <c r="O6189" t="s">
        <v>32525</v>
      </c>
      <c r="P6189">
        <v>0</v>
      </c>
      <c r="Q6189">
        <v>0</v>
      </c>
      <c r="R6189" t="s">
        <v>32532</v>
      </c>
      <c r="S6189" t="s">
        <v>32616</v>
      </c>
      <c r="T6189" t="s">
        <v>33371</v>
      </c>
      <c r="U6189" t="s">
        <v>38810</v>
      </c>
      <c r="W6189" t="s">
        <v>31680</v>
      </c>
      <c r="X6189" t="s">
        <v>32533</v>
      </c>
    </row>
    <row r="6190" spans="1:24">
      <c r="A6190">
        <f>HYPERLINK("https://www.philgeps.gov.ph/GEPSNONPILOT/Tender/SplashBidNoticeAbstractUI.aspx?menuIndex=3&amp;refID=7035621&amp;Result=3","7035621")</f>
        <v>0</v>
      </c>
      <c r="B6190" t="s">
        <v>1964</v>
      </c>
      <c r="C6190" t="s">
        <v>8604</v>
      </c>
      <c r="D6190" t="s">
        <v>13039</v>
      </c>
      <c r="E6190" t="s">
        <v>18573</v>
      </c>
      <c r="F6190" t="s">
        <v>22436</v>
      </c>
      <c r="G6190" t="s">
        <v>22444</v>
      </c>
      <c r="H6190" t="s">
        <v>22452</v>
      </c>
      <c r="I6190" t="s">
        <v>3358</v>
      </c>
      <c r="J6190" t="s">
        <v>26640</v>
      </c>
      <c r="K6190" t="s">
        <v>29333</v>
      </c>
      <c r="M6190" t="s">
        <v>31695</v>
      </c>
      <c r="N6190" t="s">
        <v>32524</v>
      </c>
      <c r="O6190" t="s">
        <v>32525</v>
      </c>
      <c r="Q6190">
        <v>0</v>
      </c>
      <c r="R6190" t="s">
        <v>32532</v>
      </c>
      <c r="S6190" t="s">
        <v>32625</v>
      </c>
      <c r="T6190" t="s">
        <v>33521</v>
      </c>
      <c r="U6190" t="s">
        <v>38848</v>
      </c>
      <c r="W6190" t="s">
        <v>31695</v>
      </c>
      <c r="X6190" t="s">
        <v>32533</v>
      </c>
    </row>
    <row r="6191" spans="1:24">
      <c r="A6191">
        <f>HYPERLINK("https://www.philgeps.gov.ph/GEPSNONPILOT/Tender/SplashBidNoticeAbstractUI.aspx?menuIndex=3&amp;refID=7035665&amp;Result=3","7035665")</f>
        <v>0</v>
      </c>
      <c r="B6191" t="s">
        <v>1958</v>
      </c>
      <c r="C6191" t="s">
        <v>8605</v>
      </c>
      <c r="D6191" t="s">
        <v>13015</v>
      </c>
      <c r="E6191" t="s">
        <v>18574</v>
      </c>
      <c r="F6191" t="s">
        <v>22436</v>
      </c>
      <c r="G6191" t="s">
        <v>22444</v>
      </c>
      <c r="H6191" t="s">
        <v>22452</v>
      </c>
      <c r="I6191" t="s">
        <v>3529</v>
      </c>
      <c r="J6191" t="s">
        <v>26641</v>
      </c>
      <c r="K6191" t="s">
        <v>29336</v>
      </c>
      <c r="M6191" t="s">
        <v>31688</v>
      </c>
      <c r="N6191" t="s">
        <v>32524</v>
      </c>
      <c r="O6191" t="s">
        <v>32525</v>
      </c>
      <c r="P6191">
        <v>0</v>
      </c>
      <c r="Q6191">
        <v>1</v>
      </c>
      <c r="R6191" t="s">
        <v>32532</v>
      </c>
      <c r="S6191" t="s">
        <v>32616</v>
      </c>
      <c r="T6191" t="s">
        <v>33296</v>
      </c>
      <c r="U6191" t="s">
        <v>38849</v>
      </c>
      <c r="V6191" t="s">
        <v>43115</v>
      </c>
      <c r="W6191" t="s">
        <v>31688</v>
      </c>
      <c r="X6191" t="s">
        <v>32533</v>
      </c>
    </row>
    <row r="6192" spans="1:24">
      <c r="A6192">
        <f>HYPERLINK("https://www.philgeps.gov.ph/GEPSNONPILOT/Tender/SplashBidNoticeAbstractUI.aspx?menuIndex=3&amp;refID=7035639&amp;Result=3","7035639")</f>
        <v>0</v>
      </c>
      <c r="B6192" t="s">
        <v>1726</v>
      </c>
      <c r="C6192" t="s">
        <v>8606</v>
      </c>
      <c r="D6192" t="s">
        <v>12988</v>
      </c>
      <c r="E6192" t="s">
        <v>18575</v>
      </c>
      <c r="F6192" t="s">
        <v>22436</v>
      </c>
      <c r="G6192" t="s">
        <v>22444</v>
      </c>
      <c r="H6192" t="s">
        <v>22453</v>
      </c>
      <c r="I6192" t="s">
        <v>22456</v>
      </c>
      <c r="J6192" t="s">
        <v>26642</v>
      </c>
      <c r="K6192" t="s">
        <v>29336</v>
      </c>
      <c r="M6192" t="s">
        <v>31644</v>
      </c>
      <c r="N6192" t="s">
        <v>32524</v>
      </c>
      <c r="O6192" t="s">
        <v>32525</v>
      </c>
      <c r="P6192">
        <v>0</v>
      </c>
      <c r="Q6192">
        <v>0</v>
      </c>
      <c r="R6192" t="s">
        <v>32532</v>
      </c>
      <c r="S6192" t="s">
        <v>32616</v>
      </c>
      <c r="T6192" t="s">
        <v>33259</v>
      </c>
      <c r="U6192" t="s">
        <v>38839</v>
      </c>
      <c r="W6192" t="s">
        <v>31644</v>
      </c>
      <c r="X6192" t="s">
        <v>32533</v>
      </c>
    </row>
    <row r="6193" spans="1:24">
      <c r="A6193">
        <f>HYPERLINK("https://www.philgeps.gov.ph/GEPSNONPILOT/Tender/SplashBidNoticeAbstractUI.aspx?menuIndex=3&amp;refID=7035642&amp;Result=3","7035642")</f>
        <v>0</v>
      </c>
      <c r="B6193" t="s">
        <v>24</v>
      </c>
      <c r="C6193" t="s">
        <v>8607</v>
      </c>
      <c r="D6193" t="s">
        <v>12988</v>
      </c>
      <c r="E6193" t="s">
        <v>18576</v>
      </c>
      <c r="F6193" t="s">
        <v>22436</v>
      </c>
      <c r="G6193" t="s">
        <v>22443</v>
      </c>
      <c r="H6193" t="s">
        <v>22452</v>
      </c>
      <c r="I6193" t="s">
        <v>22469</v>
      </c>
      <c r="J6193" t="s">
        <v>23356</v>
      </c>
      <c r="K6193" t="s">
        <v>29335</v>
      </c>
      <c r="M6193" t="s">
        <v>29594</v>
      </c>
      <c r="N6193" t="s">
        <v>32524</v>
      </c>
      <c r="O6193" t="s">
        <v>32525</v>
      </c>
      <c r="P6193">
        <v>0</v>
      </c>
      <c r="Q6193">
        <v>11</v>
      </c>
      <c r="R6193" t="s">
        <v>32532</v>
      </c>
      <c r="S6193" t="s">
        <v>32616</v>
      </c>
      <c r="T6193" t="s">
        <v>33372</v>
      </c>
      <c r="U6193" t="s">
        <v>38850</v>
      </c>
      <c r="W6193" t="s">
        <v>29594</v>
      </c>
      <c r="X6193" t="s">
        <v>32533</v>
      </c>
    </row>
    <row r="6194" spans="1:24">
      <c r="A6194">
        <f>HYPERLINK("https://www.philgeps.gov.ph/GEPSNONPILOT/Tender/SplashBidNoticeAbstractUI.aspx?menuIndex=3&amp;refID=7035649&amp;Result=3","7035649")</f>
        <v>0</v>
      </c>
      <c r="B6194" t="s">
        <v>1965</v>
      </c>
      <c r="C6194" t="s">
        <v>8608</v>
      </c>
      <c r="D6194" t="s">
        <v>13068</v>
      </c>
      <c r="E6194" t="s">
        <v>14079</v>
      </c>
      <c r="F6194" t="s">
        <v>22437</v>
      </c>
      <c r="G6194" t="s">
        <v>22444</v>
      </c>
      <c r="H6194" t="s">
        <v>22452</v>
      </c>
      <c r="I6194" t="s">
        <v>22468</v>
      </c>
      <c r="J6194" t="s">
        <v>26643</v>
      </c>
      <c r="K6194" t="s">
        <v>29335</v>
      </c>
      <c r="M6194" t="s">
        <v>31696</v>
      </c>
      <c r="N6194" t="s">
        <v>32524</v>
      </c>
      <c r="O6194" t="s">
        <v>32525</v>
      </c>
      <c r="P6194">
        <v>0</v>
      </c>
      <c r="Q6194">
        <v>3</v>
      </c>
      <c r="R6194" t="s">
        <v>32532</v>
      </c>
      <c r="S6194" t="s">
        <v>32616</v>
      </c>
      <c r="T6194" t="s">
        <v>33423</v>
      </c>
      <c r="U6194" t="s">
        <v>38851</v>
      </c>
      <c r="W6194" t="s">
        <v>31696</v>
      </c>
      <c r="X6194" t="s">
        <v>32533</v>
      </c>
    </row>
    <row r="6195" spans="1:24">
      <c r="A6195">
        <f>HYPERLINK("https://www.philgeps.gov.ph/GEPSNONPILOT/Tender/SplashBidNoticeAbstractUI.aspx?menuIndex=3&amp;refID=7035610&amp;Result=3","7035610")</f>
        <v>0</v>
      </c>
      <c r="B6195" t="s">
        <v>1726</v>
      </c>
      <c r="C6195" t="s">
        <v>8609</v>
      </c>
      <c r="D6195" t="s">
        <v>12988</v>
      </c>
      <c r="E6195" t="s">
        <v>18577</v>
      </c>
      <c r="F6195" t="s">
        <v>22436</v>
      </c>
      <c r="G6195" t="s">
        <v>22444</v>
      </c>
      <c r="H6195" t="s">
        <v>22453</v>
      </c>
      <c r="I6195" t="s">
        <v>22456</v>
      </c>
      <c r="J6195" t="s">
        <v>26644</v>
      </c>
      <c r="K6195" t="s">
        <v>29336</v>
      </c>
      <c r="M6195" t="s">
        <v>31644</v>
      </c>
      <c r="N6195" t="s">
        <v>32524</v>
      </c>
      <c r="O6195" t="s">
        <v>32525</v>
      </c>
      <c r="P6195">
        <v>0</v>
      </c>
      <c r="Q6195">
        <v>3</v>
      </c>
      <c r="R6195" t="s">
        <v>32532</v>
      </c>
      <c r="S6195" t="s">
        <v>32616</v>
      </c>
      <c r="T6195" t="s">
        <v>33259</v>
      </c>
      <c r="U6195" t="s">
        <v>38839</v>
      </c>
      <c r="W6195" t="s">
        <v>31644</v>
      </c>
      <c r="X6195" t="s">
        <v>32533</v>
      </c>
    </row>
    <row r="6196" spans="1:24">
      <c r="A6196">
        <f>HYPERLINK("https://www.philgeps.gov.ph/GEPSNONPILOT/Tender/SplashBidNoticeAbstractUI.aspx?menuIndex=3&amp;refID=7035643&amp;Result=3","7035643")</f>
        <v>0</v>
      </c>
      <c r="B6196" t="s">
        <v>1950</v>
      </c>
      <c r="C6196" t="s">
        <v>8610</v>
      </c>
      <c r="D6196" t="s">
        <v>13066</v>
      </c>
      <c r="E6196" t="s">
        <v>18578</v>
      </c>
      <c r="F6196" t="s">
        <v>22436</v>
      </c>
      <c r="G6196" t="s">
        <v>22443</v>
      </c>
      <c r="H6196" t="s">
        <v>22452</v>
      </c>
      <c r="I6196" t="s">
        <v>3027</v>
      </c>
      <c r="J6196" t="s">
        <v>26645</v>
      </c>
      <c r="K6196" t="s">
        <v>29336</v>
      </c>
      <c r="M6196" t="s">
        <v>31680</v>
      </c>
      <c r="N6196" t="s">
        <v>32524</v>
      </c>
      <c r="O6196" t="s">
        <v>32525</v>
      </c>
      <c r="P6196">
        <v>0</v>
      </c>
      <c r="Q6196">
        <v>0</v>
      </c>
      <c r="R6196" t="s">
        <v>32532</v>
      </c>
      <c r="S6196" t="s">
        <v>32616</v>
      </c>
      <c r="T6196" t="s">
        <v>33371</v>
      </c>
      <c r="U6196" t="s">
        <v>38810</v>
      </c>
      <c r="W6196" t="s">
        <v>31680</v>
      </c>
      <c r="X6196" t="s">
        <v>32533</v>
      </c>
    </row>
    <row r="6197" spans="1:24">
      <c r="A6197">
        <f>HYPERLINK("https://www.philgeps.gov.ph/GEPSNONPILOT/Tender/SplashBidNoticeAbstractUI.aspx?menuIndex=3&amp;refID=7035664&amp;Result=3","7035664")</f>
        <v>0</v>
      </c>
      <c r="B6197" t="s">
        <v>1966</v>
      </c>
      <c r="C6197" t="s">
        <v>8611</v>
      </c>
      <c r="D6197" t="s">
        <v>13012</v>
      </c>
      <c r="E6197" t="s">
        <v>13320</v>
      </c>
      <c r="F6197" t="s">
        <v>22436</v>
      </c>
      <c r="G6197" t="s">
        <v>22444</v>
      </c>
      <c r="H6197" t="s">
        <v>22452</v>
      </c>
      <c r="I6197" t="s">
        <v>3529</v>
      </c>
      <c r="J6197" t="s">
        <v>26646</v>
      </c>
      <c r="K6197" t="s">
        <v>29341</v>
      </c>
      <c r="M6197" t="s">
        <v>31697</v>
      </c>
      <c r="N6197" t="s">
        <v>32524</v>
      </c>
      <c r="O6197" t="s">
        <v>32525</v>
      </c>
      <c r="P6197">
        <v>0</v>
      </c>
      <c r="Q6197">
        <v>0</v>
      </c>
      <c r="R6197" t="s">
        <v>32532</v>
      </c>
      <c r="S6197" t="s">
        <v>32616</v>
      </c>
      <c r="T6197" t="s">
        <v>33296</v>
      </c>
      <c r="U6197" t="s">
        <v>38852</v>
      </c>
      <c r="W6197" t="s">
        <v>31697</v>
      </c>
      <c r="X6197" t="s">
        <v>32533</v>
      </c>
    </row>
    <row r="6198" spans="1:24">
      <c r="A6198">
        <f>HYPERLINK("https://www.philgeps.gov.ph/GEPSNONPILOT/Tender/SplashBidNoticeAbstractUI.aspx?menuIndex=3&amp;refID=7035620&amp;Result=3","7035620")</f>
        <v>0</v>
      </c>
      <c r="B6198" t="s">
        <v>1950</v>
      </c>
      <c r="C6198" t="s">
        <v>8612</v>
      </c>
      <c r="D6198" t="s">
        <v>13066</v>
      </c>
      <c r="E6198" t="s">
        <v>18579</v>
      </c>
      <c r="F6198" t="s">
        <v>22436</v>
      </c>
      <c r="G6198" t="s">
        <v>22443</v>
      </c>
      <c r="H6198" t="s">
        <v>22452</v>
      </c>
      <c r="I6198" t="s">
        <v>22466</v>
      </c>
      <c r="J6198" t="s">
        <v>26647</v>
      </c>
      <c r="K6198" t="s">
        <v>29336</v>
      </c>
      <c r="M6198" t="s">
        <v>31680</v>
      </c>
      <c r="N6198" t="s">
        <v>32524</v>
      </c>
      <c r="O6198" t="s">
        <v>32525</v>
      </c>
      <c r="P6198">
        <v>0</v>
      </c>
      <c r="Q6198">
        <v>1</v>
      </c>
      <c r="R6198" t="s">
        <v>32532</v>
      </c>
      <c r="S6198" t="s">
        <v>32616</v>
      </c>
      <c r="T6198" t="s">
        <v>33371</v>
      </c>
      <c r="U6198" t="s">
        <v>38810</v>
      </c>
      <c r="W6198" t="s">
        <v>31680</v>
      </c>
      <c r="X6198" t="s">
        <v>32533</v>
      </c>
    </row>
    <row r="6199" spans="1:24">
      <c r="A6199">
        <f>HYPERLINK("https://www.philgeps.gov.ph/GEPSNONPILOT/Tender/SplashBidNoticeAbstractUI.aspx?menuIndex=3&amp;refID=7035703&amp;Result=3","7035703")</f>
        <v>0</v>
      </c>
      <c r="B6199" t="s">
        <v>874</v>
      </c>
      <c r="C6199" t="s">
        <v>8613</v>
      </c>
      <c r="E6199" t="s">
        <v>18580</v>
      </c>
      <c r="F6199" t="s">
        <v>22436</v>
      </c>
      <c r="G6199" t="s">
        <v>22443</v>
      </c>
      <c r="H6199" t="s">
        <v>22452</v>
      </c>
      <c r="I6199" t="s">
        <v>22527</v>
      </c>
      <c r="J6199" t="s">
        <v>26648</v>
      </c>
      <c r="K6199" t="s">
        <v>29338</v>
      </c>
      <c r="M6199" t="s">
        <v>30482</v>
      </c>
      <c r="N6199" t="s">
        <v>32524</v>
      </c>
      <c r="O6199" t="s">
        <v>32525</v>
      </c>
      <c r="P6199">
        <v>0</v>
      </c>
      <c r="Q6199">
        <v>0</v>
      </c>
      <c r="R6199" t="s">
        <v>32532</v>
      </c>
      <c r="S6199" t="s">
        <v>32616</v>
      </c>
      <c r="T6199" t="s">
        <v>33327</v>
      </c>
      <c r="U6199" t="s">
        <v>38853</v>
      </c>
      <c r="W6199" t="s">
        <v>30482</v>
      </c>
      <c r="X6199" t="s">
        <v>32533</v>
      </c>
    </row>
    <row r="6200" spans="1:24">
      <c r="A6200">
        <f>HYPERLINK("https://www.philgeps.gov.ph/GEPSNONPILOT/Tender/SplashBidNoticeAbstractUI.aspx?menuIndex=3&amp;refID=7035600&amp;Result=3","7035600")</f>
        <v>0</v>
      </c>
      <c r="B6200" t="s">
        <v>1950</v>
      </c>
      <c r="C6200" t="s">
        <v>3829</v>
      </c>
      <c r="D6200" t="s">
        <v>13066</v>
      </c>
      <c r="E6200" t="s">
        <v>18581</v>
      </c>
      <c r="F6200" t="s">
        <v>22436</v>
      </c>
      <c r="G6200" t="s">
        <v>22443</v>
      </c>
      <c r="H6200" t="s">
        <v>22452</v>
      </c>
      <c r="I6200" t="s">
        <v>22460</v>
      </c>
      <c r="J6200" t="s">
        <v>26649</v>
      </c>
      <c r="K6200" t="s">
        <v>29336</v>
      </c>
      <c r="M6200" t="s">
        <v>31680</v>
      </c>
      <c r="N6200" t="s">
        <v>32524</v>
      </c>
      <c r="O6200" t="s">
        <v>32525</v>
      </c>
      <c r="P6200">
        <v>0</v>
      </c>
      <c r="Q6200">
        <v>0</v>
      </c>
      <c r="R6200" t="s">
        <v>32532</v>
      </c>
      <c r="S6200" t="s">
        <v>32616</v>
      </c>
      <c r="T6200" t="s">
        <v>33371</v>
      </c>
      <c r="U6200" t="s">
        <v>38810</v>
      </c>
      <c r="W6200" t="s">
        <v>31680</v>
      </c>
      <c r="X6200" t="s">
        <v>32533</v>
      </c>
    </row>
    <row r="6201" spans="1:24">
      <c r="A6201">
        <f>HYPERLINK("https://www.philgeps.gov.ph/GEPSNONPILOT/Tender/SplashBidNoticeAbstractUI.aspx?menuIndex=3&amp;refID=7035687&amp;Result=3","7035687")</f>
        <v>0</v>
      </c>
      <c r="B6201" t="s">
        <v>128</v>
      </c>
      <c r="C6201" t="s">
        <v>8614</v>
      </c>
      <c r="D6201" t="s">
        <v>13025</v>
      </c>
      <c r="E6201" t="s">
        <v>18582</v>
      </c>
      <c r="F6201" t="s">
        <v>22436</v>
      </c>
      <c r="G6201" t="s">
        <v>22444</v>
      </c>
      <c r="H6201" t="s">
        <v>22452</v>
      </c>
      <c r="I6201" t="s">
        <v>22476</v>
      </c>
      <c r="J6201" t="s">
        <v>24160</v>
      </c>
      <c r="K6201" t="s">
        <v>29331</v>
      </c>
      <c r="M6201" t="s">
        <v>29700</v>
      </c>
      <c r="N6201" t="s">
        <v>32524</v>
      </c>
      <c r="O6201" t="s">
        <v>32525</v>
      </c>
      <c r="P6201">
        <v>0</v>
      </c>
      <c r="Q6201">
        <v>0</v>
      </c>
      <c r="R6201" t="s">
        <v>32532</v>
      </c>
      <c r="S6201" t="s">
        <v>32616</v>
      </c>
      <c r="T6201" t="s">
        <v>33220</v>
      </c>
      <c r="U6201" t="s">
        <v>38854</v>
      </c>
      <c r="W6201" t="s">
        <v>29700</v>
      </c>
      <c r="X6201" t="s">
        <v>32533</v>
      </c>
    </row>
    <row r="6202" spans="1:24">
      <c r="A6202">
        <f>HYPERLINK("https://www.philgeps.gov.ph/GEPSNONPILOT/Tender/SplashBidNoticeAbstractUI.aspx?menuIndex=3&amp;refID=7035705&amp;Result=3","7035705")</f>
        <v>0</v>
      </c>
      <c r="B6202" t="s">
        <v>1932</v>
      </c>
      <c r="C6202" t="s">
        <v>8615</v>
      </c>
      <c r="D6202" t="s">
        <v>13040</v>
      </c>
      <c r="E6202" t="s">
        <v>18583</v>
      </c>
      <c r="F6202" t="s">
        <v>22436</v>
      </c>
      <c r="G6202" t="s">
        <v>22444</v>
      </c>
      <c r="H6202" t="s">
        <v>22452</v>
      </c>
      <c r="I6202" t="s">
        <v>22530</v>
      </c>
      <c r="J6202" t="s">
        <v>22960</v>
      </c>
      <c r="K6202" t="s">
        <v>29345</v>
      </c>
      <c r="M6202" t="s">
        <v>31660</v>
      </c>
      <c r="N6202" t="s">
        <v>32524</v>
      </c>
      <c r="O6202" t="s">
        <v>32525</v>
      </c>
      <c r="P6202">
        <v>0</v>
      </c>
      <c r="Q6202">
        <v>9</v>
      </c>
      <c r="R6202" t="s">
        <v>32532</v>
      </c>
      <c r="S6202" t="s">
        <v>32616</v>
      </c>
      <c r="T6202" t="s">
        <v>33486</v>
      </c>
      <c r="U6202" t="s">
        <v>38855</v>
      </c>
      <c r="W6202" t="s">
        <v>43737</v>
      </c>
      <c r="X6202" t="s">
        <v>32533</v>
      </c>
    </row>
    <row r="6203" spans="1:24">
      <c r="A6203">
        <f>HYPERLINK("https://www.philgeps.gov.ph/GEPSNONPILOT/Tender/SplashBidNoticeAbstractUI.aspx?menuIndex=3&amp;refID=7035696&amp;Result=3","7035696")</f>
        <v>0</v>
      </c>
      <c r="B6203" t="s">
        <v>1726</v>
      </c>
      <c r="C6203" t="s">
        <v>8616</v>
      </c>
      <c r="D6203" t="s">
        <v>12988</v>
      </c>
      <c r="E6203" t="s">
        <v>18584</v>
      </c>
      <c r="F6203" t="s">
        <v>22436</v>
      </c>
      <c r="G6203" t="s">
        <v>22444</v>
      </c>
      <c r="H6203" t="s">
        <v>22453</v>
      </c>
      <c r="I6203" t="s">
        <v>22456</v>
      </c>
      <c r="J6203" t="s">
        <v>26650</v>
      </c>
      <c r="K6203" t="s">
        <v>29336</v>
      </c>
      <c r="M6203" t="s">
        <v>31644</v>
      </c>
      <c r="N6203" t="s">
        <v>32524</v>
      </c>
      <c r="O6203" t="s">
        <v>32525</v>
      </c>
      <c r="P6203">
        <v>0</v>
      </c>
      <c r="Q6203">
        <v>0</v>
      </c>
      <c r="R6203" t="s">
        <v>32532</v>
      </c>
      <c r="S6203" t="s">
        <v>32616</v>
      </c>
      <c r="T6203" t="s">
        <v>33259</v>
      </c>
      <c r="U6203" t="s">
        <v>38839</v>
      </c>
      <c r="W6203" t="s">
        <v>31644</v>
      </c>
      <c r="X6203" t="s">
        <v>32533</v>
      </c>
    </row>
    <row r="6204" spans="1:24">
      <c r="A6204">
        <f>HYPERLINK("https://www.philgeps.gov.ph/GEPSNONPILOT/Tender/SplashBidNoticeAbstractUI.aspx?menuIndex=3&amp;refID=7035689&amp;Result=3","7035689")</f>
        <v>0</v>
      </c>
      <c r="B6204" t="s">
        <v>874</v>
      </c>
      <c r="C6204" t="s">
        <v>8617</v>
      </c>
      <c r="E6204" t="s">
        <v>18585</v>
      </c>
      <c r="F6204" t="s">
        <v>22436</v>
      </c>
      <c r="G6204" t="s">
        <v>22443</v>
      </c>
      <c r="H6204" t="s">
        <v>22452</v>
      </c>
      <c r="I6204" t="s">
        <v>22502</v>
      </c>
      <c r="J6204" t="s">
        <v>22616</v>
      </c>
      <c r="K6204" t="s">
        <v>29338</v>
      </c>
      <c r="M6204" t="s">
        <v>30482</v>
      </c>
      <c r="N6204" t="s">
        <v>32524</v>
      </c>
      <c r="O6204" t="s">
        <v>32525</v>
      </c>
      <c r="P6204">
        <v>0</v>
      </c>
      <c r="Q6204">
        <v>3</v>
      </c>
      <c r="R6204" t="s">
        <v>32532</v>
      </c>
      <c r="S6204" t="s">
        <v>32616</v>
      </c>
      <c r="T6204" t="s">
        <v>33327</v>
      </c>
      <c r="U6204" t="s">
        <v>38853</v>
      </c>
      <c r="W6204" t="s">
        <v>30482</v>
      </c>
      <c r="X6204" t="s">
        <v>32533</v>
      </c>
    </row>
    <row r="6205" spans="1:24">
      <c r="A6205">
        <f>HYPERLINK("https://www.philgeps.gov.ph/GEPSNONPILOT/Tender/SplashBidNoticeAbstractUI.aspx?menuIndex=3&amp;refID=7035697&amp;Result=3","7035697")</f>
        <v>0</v>
      </c>
      <c r="B6205" t="s">
        <v>266</v>
      </c>
      <c r="C6205" t="s">
        <v>8618</v>
      </c>
      <c r="D6205" t="s">
        <v>12988</v>
      </c>
      <c r="E6205" t="s">
        <v>18586</v>
      </c>
      <c r="F6205" t="s">
        <v>22436</v>
      </c>
      <c r="G6205" t="s">
        <v>22444</v>
      </c>
      <c r="H6205" t="s">
        <v>22452</v>
      </c>
      <c r="I6205" t="s">
        <v>3122</v>
      </c>
      <c r="J6205" t="s">
        <v>26651</v>
      </c>
      <c r="K6205" t="s">
        <v>29338</v>
      </c>
      <c r="M6205" t="s">
        <v>29840</v>
      </c>
      <c r="N6205" t="s">
        <v>32524</v>
      </c>
      <c r="O6205" t="s">
        <v>32525</v>
      </c>
      <c r="P6205">
        <v>0</v>
      </c>
      <c r="Q6205">
        <v>7</v>
      </c>
      <c r="R6205" t="s">
        <v>32532</v>
      </c>
      <c r="S6205" t="s">
        <v>32616</v>
      </c>
      <c r="T6205" t="s">
        <v>33242</v>
      </c>
      <c r="U6205" t="s">
        <v>38856</v>
      </c>
      <c r="W6205" t="s">
        <v>30625</v>
      </c>
      <c r="X6205" t="s">
        <v>32533</v>
      </c>
    </row>
    <row r="6206" spans="1:24">
      <c r="A6206">
        <f>HYPERLINK("https://www.philgeps.gov.ph/GEPSNONPILOT/Tender/SplashBidNoticeAbstractUI.aspx?menuIndex=3&amp;refID=7035691&amp;Result=3","7035691")</f>
        <v>0</v>
      </c>
      <c r="B6206" t="s">
        <v>1967</v>
      </c>
      <c r="C6206" t="s">
        <v>8619</v>
      </c>
      <c r="D6206" t="s">
        <v>13007</v>
      </c>
      <c r="E6206" t="s">
        <v>18587</v>
      </c>
      <c r="F6206" t="s">
        <v>22436</v>
      </c>
      <c r="G6206" t="s">
        <v>22444</v>
      </c>
      <c r="H6206" t="s">
        <v>22452</v>
      </c>
      <c r="I6206" t="s">
        <v>3529</v>
      </c>
      <c r="J6206" t="s">
        <v>26652</v>
      </c>
      <c r="K6206" t="s">
        <v>29338</v>
      </c>
      <c r="M6206" t="s">
        <v>31698</v>
      </c>
      <c r="N6206" t="s">
        <v>32524</v>
      </c>
      <c r="O6206" t="s">
        <v>32525</v>
      </c>
      <c r="P6206">
        <v>0</v>
      </c>
      <c r="Q6206">
        <v>0</v>
      </c>
      <c r="R6206" t="s">
        <v>32532</v>
      </c>
      <c r="S6206" t="s">
        <v>32616</v>
      </c>
      <c r="T6206" t="s">
        <v>33416</v>
      </c>
      <c r="U6206" t="s">
        <v>38857</v>
      </c>
      <c r="V6206" t="s">
        <v>43116</v>
      </c>
      <c r="W6206" t="s">
        <v>31698</v>
      </c>
      <c r="X6206" t="s">
        <v>32533</v>
      </c>
    </row>
    <row r="6207" spans="1:24">
      <c r="A6207">
        <f>HYPERLINK("https://www.philgeps.gov.ph/GEPSNONPILOT/Tender/SplashBidNoticeAbstractUI.aspx?menuIndex=3&amp;refID=7035684&amp;Result=3","7035684")</f>
        <v>0</v>
      </c>
      <c r="B6207" t="s">
        <v>1951</v>
      </c>
      <c r="C6207" t="s">
        <v>8620</v>
      </c>
      <c r="D6207" t="s">
        <v>13065</v>
      </c>
      <c r="E6207" t="s">
        <v>13927</v>
      </c>
      <c r="F6207" t="s">
        <v>22436</v>
      </c>
      <c r="G6207" t="s">
        <v>22444</v>
      </c>
      <c r="H6207" t="s">
        <v>22454</v>
      </c>
      <c r="I6207" t="s">
        <v>7738</v>
      </c>
      <c r="J6207" t="s">
        <v>26653</v>
      </c>
      <c r="K6207" t="s">
        <v>29381</v>
      </c>
      <c r="M6207" t="s">
        <v>31681</v>
      </c>
      <c r="N6207" t="s">
        <v>32524</v>
      </c>
      <c r="O6207" t="s">
        <v>32525</v>
      </c>
      <c r="P6207">
        <v>0</v>
      </c>
      <c r="Q6207">
        <v>0</v>
      </c>
      <c r="R6207" t="s">
        <v>32532</v>
      </c>
      <c r="S6207" t="s">
        <v>32616</v>
      </c>
      <c r="T6207" t="s">
        <v>33522</v>
      </c>
      <c r="U6207" t="s">
        <v>38858</v>
      </c>
      <c r="W6207" t="s">
        <v>31681</v>
      </c>
      <c r="X6207" t="s">
        <v>32533</v>
      </c>
    </row>
    <row r="6208" spans="1:24">
      <c r="A6208">
        <f>HYPERLINK("https://www.philgeps.gov.ph/GEPSNONPILOT/Tender/SplashBidNoticeAbstractUI.aspx?menuIndex=3&amp;refID=7035721&amp;Result=3","7035721")</f>
        <v>0</v>
      </c>
      <c r="B6208" t="s">
        <v>1947</v>
      </c>
      <c r="C6208" t="s">
        <v>8621</v>
      </c>
      <c r="D6208" t="s">
        <v>13059</v>
      </c>
      <c r="E6208" t="s">
        <v>18588</v>
      </c>
      <c r="F6208" t="s">
        <v>22436</v>
      </c>
      <c r="G6208" t="s">
        <v>22444</v>
      </c>
      <c r="H6208" t="s">
        <v>22453</v>
      </c>
      <c r="I6208" t="s">
        <v>2981</v>
      </c>
      <c r="J6208" t="s">
        <v>26654</v>
      </c>
      <c r="K6208" t="s">
        <v>29335</v>
      </c>
      <c r="M6208" t="s">
        <v>31676</v>
      </c>
      <c r="N6208" t="s">
        <v>32524</v>
      </c>
      <c r="O6208" t="s">
        <v>32525</v>
      </c>
      <c r="P6208">
        <v>0</v>
      </c>
      <c r="Q6208">
        <v>3</v>
      </c>
      <c r="R6208" t="s">
        <v>32532</v>
      </c>
      <c r="S6208" t="s">
        <v>32616</v>
      </c>
      <c r="T6208" t="s">
        <v>33253</v>
      </c>
      <c r="U6208" t="s">
        <v>38802</v>
      </c>
      <c r="V6208" t="s">
        <v>43114</v>
      </c>
      <c r="W6208" t="s">
        <v>31676</v>
      </c>
      <c r="X6208" t="s">
        <v>32533</v>
      </c>
    </row>
    <row r="6209" spans="1:24">
      <c r="A6209">
        <f>HYPERLINK("https://www.philgeps.gov.ph/GEPSNONPILOT/Tender/SplashBidNoticeAbstractUI.aspx?menuIndex=3&amp;refID=7035677&amp;Result=3","7035677")</f>
        <v>0</v>
      </c>
      <c r="B6209" t="s">
        <v>874</v>
      </c>
      <c r="C6209" t="s">
        <v>8622</v>
      </c>
      <c r="E6209" t="s">
        <v>18589</v>
      </c>
      <c r="F6209" t="s">
        <v>22436</v>
      </c>
      <c r="G6209" t="s">
        <v>22445</v>
      </c>
      <c r="H6209" t="s">
        <v>22452</v>
      </c>
      <c r="I6209" t="s">
        <v>22460</v>
      </c>
      <c r="J6209" t="s">
        <v>26655</v>
      </c>
      <c r="K6209" t="s">
        <v>29338</v>
      </c>
      <c r="M6209" t="s">
        <v>30482</v>
      </c>
      <c r="N6209" t="s">
        <v>32524</v>
      </c>
      <c r="O6209" t="s">
        <v>32525</v>
      </c>
      <c r="P6209">
        <v>0</v>
      </c>
      <c r="Q6209">
        <v>4</v>
      </c>
      <c r="R6209" t="s">
        <v>32532</v>
      </c>
      <c r="S6209" t="s">
        <v>32616</v>
      </c>
      <c r="T6209" t="s">
        <v>33327</v>
      </c>
      <c r="U6209" t="s">
        <v>38853</v>
      </c>
      <c r="W6209" t="s">
        <v>30482</v>
      </c>
      <c r="X6209" t="s">
        <v>32533</v>
      </c>
    </row>
    <row r="6210" spans="1:24">
      <c r="A6210">
        <f>HYPERLINK("https://www.philgeps.gov.ph/GEPSNONPILOT/Tender/SplashBidNoticeAbstractUI.aspx?menuIndex=3&amp;refID=7035671&amp;Result=3","7035671")</f>
        <v>0</v>
      </c>
      <c r="B6210" t="s">
        <v>1967</v>
      </c>
      <c r="C6210" t="s">
        <v>8623</v>
      </c>
      <c r="D6210" t="s">
        <v>13007</v>
      </c>
      <c r="E6210" t="s">
        <v>18590</v>
      </c>
      <c r="F6210" t="s">
        <v>22436</v>
      </c>
      <c r="G6210" t="s">
        <v>22444</v>
      </c>
      <c r="H6210" t="s">
        <v>22452</v>
      </c>
      <c r="I6210" t="s">
        <v>2981</v>
      </c>
      <c r="J6210" t="s">
        <v>23306</v>
      </c>
      <c r="K6210" t="s">
        <v>29338</v>
      </c>
      <c r="M6210" t="s">
        <v>31698</v>
      </c>
      <c r="N6210" t="s">
        <v>32524</v>
      </c>
      <c r="O6210" t="s">
        <v>32525</v>
      </c>
      <c r="P6210">
        <v>0</v>
      </c>
      <c r="Q6210">
        <v>0</v>
      </c>
      <c r="R6210" t="s">
        <v>32532</v>
      </c>
      <c r="S6210" t="s">
        <v>32616</v>
      </c>
      <c r="T6210" t="s">
        <v>33416</v>
      </c>
      <c r="U6210" t="s">
        <v>38859</v>
      </c>
      <c r="V6210" t="s">
        <v>43116</v>
      </c>
      <c r="W6210" t="s">
        <v>31698</v>
      </c>
      <c r="X6210" t="s">
        <v>32533</v>
      </c>
    </row>
    <row r="6211" spans="1:24">
      <c r="A6211">
        <f>HYPERLINK("https://www.philgeps.gov.ph/GEPSNONPILOT/Tender/SplashBidNoticeAbstractUI.aspx?menuIndex=3&amp;refID=7035707&amp;Result=3","7035707")</f>
        <v>0</v>
      </c>
      <c r="B6211" t="s">
        <v>1968</v>
      </c>
      <c r="C6211" t="s">
        <v>8624</v>
      </c>
      <c r="E6211" t="s">
        <v>18591</v>
      </c>
      <c r="F6211" t="s">
        <v>22436</v>
      </c>
      <c r="G6211" t="s">
        <v>22444</v>
      </c>
      <c r="H6211" t="s">
        <v>22452</v>
      </c>
      <c r="I6211" t="s">
        <v>22504</v>
      </c>
      <c r="J6211" t="s">
        <v>26656</v>
      </c>
      <c r="K6211" t="s">
        <v>29338</v>
      </c>
      <c r="M6211" t="s">
        <v>31699</v>
      </c>
      <c r="N6211" t="s">
        <v>32524</v>
      </c>
      <c r="O6211" t="s">
        <v>32525</v>
      </c>
      <c r="P6211">
        <v>0</v>
      </c>
      <c r="Q6211">
        <v>1</v>
      </c>
      <c r="R6211" t="s">
        <v>32532</v>
      </c>
      <c r="S6211" t="s">
        <v>32616</v>
      </c>
      <c r="T6211" t="s">
        <v>33296</v>
      </c>
      <c r="U6211" t="s">
        <v>38860</v>
      </c>
      <c r="W6211" t="s">
        <v>31699</v>
      </c>
      <c r="X6211" t="s">
        <v>32533</v>
      </c>
    </row>
    <row r="6212" spans="1:24">
      <c r="A6212">
        <f>HYPERLINK("https://www.philgeps.gov.ph/GEPSNONPILOT/Tender/SplashBidNoticeAbstractUI.aspx?menuIndex=3&amp;refID=7035666&amp;Result=3","7035666")</f>
        <v>0</v>
      </c>
      <c r="B6212" t="s">
        <v>711</v>
      </c>
      <c r="C6212" t="s">
        <v>8625</v>
      </c>
      <c r="D6212" t="s">
        <v>13020</v>
      </c>
      <c r="E6212" t="s">
        <v>18592</v>
      </c>
      <c r="F6212" t="s">
        <v>22436</v>
      </c>
      <c r="G6212" t="s">
        <v>22444</v>
      </c>
      <c r="H6212" t="s">
        <v>22452</v>
      </c>
      <c r="I6212" t="s">
        <v>22492</v>
      </c>
      <c r="J6212" t="s">
        <v>24482</v>
      </c>
      <c r="K6212" t="s">
        <v>29335</v>
      </c>
      <c r="M6212" t="s">
        <v>30308</v>
      </c>
      <c r="N6212" t="s">
        <v>32524</v>
      </c>
      <c r="O6212" t="s">
        <v>32525</v>
      </c>
      <c r="P6212">
        <v>0</v>
      </c>
      <c r="Q6212">
        <v>3</v>
      </c>
      <c r="R6212" t="s">
        <v>32532</v>
      </c>
      <c r="S6212" t="s">
        <v>32616</v>
      </c>
      <c r="T6212" t="s">
        <v>33371</v>
      </c>
      <c r="U6212" t="s">
        <v>38861</v>
      </c>
      <c r="W6212" t="s">
        <v>30308</v>
      </c>
      <c r="X6212" t="s">
        <v>32533</v>
      </c>
    </row>
    <row r="6213" spans="1:24">
      <c r="A6213">
        <f>HYPERLINK("https://www.philgeps.gov.ph/GEPSNONPILOT/Tender/SplashBidNoticeAbstractUI.aspx?menuIndex=3&amp;refID=7035673&amp;Result=3","7035673")</f>
        <v>0</v>
      </c>
      <c r="B6213" t="s">
        <v>1726</v>
      </c>
      <c r="C6213" t="s">
        <v>8626</v>
      </c>
      <c r="D6213" t="s">
        <v>12988</v>
      </c>
      <c r="E6213" t="s">
        <v>18593</v>
      </c>
      <c r="F6213" t="s">
        <v>22436</v>
      </c>
      <c r="G6213" t="s">
        <v>22444</v>
      </c>
      <c r="H6213" t="s">
        <v>22453</v>
      </c>
      <c r="I6213" t="s">
        <v>22456</v>
      </c>
      <c r="J6213" t="s">
        <v>26657</v>
      </c>
      <c r="K6213" t="s">
        <v>29336</v>
      </c>
      <c r="M6213" t="s">
        <v>31644</v>
      </c>
      <c r="N6213" t="s">
        <v>32524</v>
      </c>
      <c r="O6213" t="s">
        <v>32525</v>
      </c>
      <c r="P6213">
        <v>0</v>
      </c>
      <c r="Q6213">
        <v>0</v>
      </c>
      <c r="R6213" t="s">
        <v>32532</v>
      </c>
      <c r="S6213" t="s">
        <v>32616</v>
      </c>
      <c r="T6213" t="s">
        <v>33259</v>
      </c>
      <c r="U6213" t="s">
        <v>38839</v>
      </c>
      <c r="W6213" t="s">
        <v>31644</v>
      </c>
      <c r="X6213" t="s">
        <v>32533</v>
      </c>
    </row>
    <row r="6214" spans="1:24">
      <c r="A6214">
        <f>HYPERLINK("https://www.philgeps.gov.ph/GEPSNONPILOT/Tender/SplashBidNoticeAbstractUI.aspx?menuIndex=3&amp;refID=7035715&amp;Result=3","7035715")</f>
        <v>0</v>
      </c>
      <c r="B6214" t="s">
        <v>1969</v>
      </c>
      <c r="C6214" t="s">
        <v>8627</v>
      </c>
      <c r="D6214" t="s">
        <v>13073</v>
      </c>
      <c r="E6214" t="s">
        <v>14863</v>
      </c>
      <c r="F6214" t="s">
        <v>22436</v>
      </c>
      <c r="G6214" t="s">
        <v>22444</v>
      </c>
      <c r="H6214" t="s">
        <v>22454</v>
      </c>
      <c r="I6214" t="s">
        <v>3529</v>
      </c>
      <c r="J6214" t="s">
        <v>26658</v>
      </c>
      <c r="K6214" t="s">
        <v>29341</v>
      </c>
      <c r="M6214" t="s">
        <v>31700</v>
      </c>
      <c r="N6214" t="s">
        <v>32524</v>
      </c>
      <c r="O6214" t="s">
        <v>32525</v>
      </c>
      <c r="P6214">
        <v>0</v>
      </c>
      <c r="Q6214">
        <v>0</v>
      </c>
      <c r="R6214" t="s">
        <v>32532</v>
      </c>
      <c r="S6214" t="s">
        <v>32616</v>
      </c>
      <c r="T6214" t="s">
        <v>33168</v>
      </c>
      <c r="U6214" t="s">
        <v>38862</v>
      </c>
      <c r="V6214" t="s">
        <v>43117</v>
      </c>
      <c r="W6214" t="s">
        <v>31700</v>
      </c>
      <c r="X6214" t="s">
        <v>32533</v>
      </c>
    </row>
    <row r="6215" spans="1:24">
      <c r="A6215">
        <f>HYPERLINK("https://www.philgeps.gov.ph/GEPSNONPILOT/Tender/SplashBidNoticeAbstractUI.aspx?menuIndex=3&amp;refID=7035729&amp;Result=3","7035729")</f>
        <v>0</v>
      </c>
      <c r="B6215" t="s">
        <v>874</v>
      </c>
      <c r="C6215" t="s">
        <v>8628</v>
      </c>
      <c r="E6215" t="s">
        <v>18594</v>
      </c>
      <c r="F6215" t="s">
        <v>22436</v>
      </c>
      <c r="G6215" t="s">
        <v>22443</v>
      </c>
      <c r="H6215" t="s">
        <v>22452</v>
      </c>
      <c r="I6215" t="s">
        <v>22519</v>
      </c>
      <c r="J6215" t="s">
        <v>23036</v>
      </c>
      <c r="K6215" t="s">
        <v>29338</v>
      </c>
      <c r="M6215" t="s">
        <v>30482</v>
      </c>
      <c r="N6215" t="s">
        <v>32524</v>
      </c>
      <c r="O6215" t="s">
        <v>32525</v>
      </c>
      <c r="P6215">
        <v>0</v>
      </c>
      <c r="Q6215">
        <v>0</v>
      </c>
      <c r="R6215" t="s">
        <v>32532</v>
      </c>
      <c r="S6215" t="s">
        <v>32616</v>
      </c>
      <c r="T6215" t="s">
        <v>33327</v>
      </c>
      <c r="U6215" t="s">
        <v>38853</v>
      </c>
      <c r="W6215" t="s">
        <v>30482</v>
      </c>
      <c r="X6215" t="s">
        <v>32533</v>
      </c>
    </row>
    <row r="6216" spans="1:24">
      <c r="A6216">
        <f>HYPERLINK("https://www.philgeps.gov.ph/GEPSNONPILOT/Tender/SplashBidNoticeAbstractUI.aspx?menuIndex=3&amp;refID=7035737&amp;Result=3","7035737")</f>
        <v>0</v>
      </c>
      <c r="B6216" t="s">
        <v>1968</v>
      </c>
      <c r="C6216" t="s">
        <v>8624</v>
      </c>
      <c r="E6216" t="s">
        <v>18595</v>
      </c>
      <c r="F6216" t="s">
        <v>22436</v>
      </c>
      <c r="G6216" t="s">
        <v>22444</v>
      </c>
      <c r="H6216" t="s">
        <v>22452</v>
      </c>
      <c r="I6216" t="s">
        <v>2981</v>
      </c>
      <c r="J6216" t="s">
        <v>22605</v>
      </c>
      <c r="K6216" t="s">
        <v>29338</v>
      </c>
      <c r="M6216" t="s">
        <v>31699</v>
      </c>
      <c r="N6216" t="s">
        <v>32524</v>
      </c>
      <c r="O6216" t="s">
        <v>32525</v>
      </c>
      <c r="P6216">
        <v>0</v>
      </c>
      <c r="Q6216">
        <v>0</v>
      </c>
      <c r="R6216" t="s">
        <v>32532</v>
      </c>
      <c r="S6216" t="s">
        <v>32616</v>
      </c>
      <c r="T6216" t="s">
        <v>33296</v>
      </c>
      <c r="U6216" t="s">
        <v>38863</v>
      </c>
      <c r="W6216" t="s">
        <v>31699</v>
      </c>
      <c r="X6216" t="s">
        <v>32533</v>
      </c>
    </row>
    <row r="6217" spans="1:24">
      <c r="A6217">
        <f>HYPERLINK("https://www.philgeps.gov.ph/GEPSNONPILOT/Tender/SplashBidNoticeAbstractUI.aspx?menuIndex=3&amp;refID=7035743&amp;Result=3","7035743")</f>
        <v>0</v>
      </c>
      <c r="B6217" t="s">
        <v>1726</v>
      </c>
      <c r="C6217" t="s">
        <v>8629</v>
      </c>
      <c r="D6217" t="s">
        <v>12988</v>
      </c>
      <c r="E6217" t="s">
        <v>18596</v>
      </c>
      <c r="F6217" t="s">
        <v>22436</v>
      </c>
      <c r="G6217" t="s">
        <v>22444</v>
      </c>
      <c r="H6217" t="s">
        <v>22453</v>
      </c>
      <c r="I6217" t="s">
        <v>22493</v>
      </c>
      <c r="J6217" t="s">
        <v>26659</v>
      </c>
      <c r="K6217" t="s">
        <v>29336</v>
      </c>
      <c r="M6217" t="s">
        <v>31644</v>
      </c>
      <c r="N6217" t="s">
        <v>32524</v>
      </c>
      <c r="O6217" t="s">
        <v>32525</v>
      </c>
      <c r="P6217">
        <v>0</v>
      </c>
      <c r="Q6217">
        <v>0</v>
      </c>
      <c r="R6217" t="s">
        <v>32532</v>
      </c>
      <c r="S6217" t="s">
        <v>32616</v>
      </c>
      <c r="T6217" t="s">
        <v>33259</v>
      </c>
      <c r="U6217" t="s">
        <v>38815</v>
      </c>
      <c r="W6217" t="s">
        <v>31644</v>
      </c>
      <c r="X6217" t="s">
        <v>32533</v>
      </c>
    </row>
    <row r="6218" spans="1:24">
      <c r="A6218">
        <f>HYPERLINK("https://www.philgeps.gov.ph/GEPSNONPILOT/Tender/SplashBidNoticeAbstractUI.aspx?menuIndex=3&amp;refID=7035716&amp;Result=3","7035716")</f>
        <v>0</v>
      </c>
      <c r="B6218" t="s">
        <v>874</v>
      </c>
      <c r="C6218" t="s">
        <v>8630</v>
      </c>
      <c r="E6218" t="s">
        <v>18597</v>
      </c>
      <c r="F6218" t="s">
        <v>22436</v>
      </c>
      <c r="G6218" t="s">
        <v>22443</v>
      </c>
      <c r="H6218" t="s">
        <v>22452</v>
      </c>
      <c r="I6218" t="s">
        <v>22502</v>
      </c>
      <c r="J6218" t="s">
        <v>23036</v>
      </c>
      <c r="K6218" t="s">
        <v>29338</v>
      </c>
      <c r="M6218" t="s">
        <v>30482</v>
      </c>
      <c r="N6218" t="s">
        <v>32524</v>
      </c>
      <c r="O6218" t="s">
        <v>32525</v>
      </c>
      <c r="P6218">
        <v>0</v>
      </c>
      <c r="Q6218">
        <v>4</v>
      </c>
      <c r="R6218" t="s">
        <v>32532</v>
      </c>
      <c r="S6218" t="s">
        <v>32616</v>
      </c>
      <c r="T6218" t="s">
        <v>33327</v>
      </c>
      <c r="U6218" t="s">
        <v>38853</v>
      </c>
      <c r="W6218" t="s">
        <v>30482</v>
      </c>
      <c r="X6218" t="s">
        <v>32533</v>
      </c>
    </row>
    <row r="6219" spans="1:24">
      <c r="A6219">
        <f>HYPERLINK("https://www.philgeps.gov.ph/GEPSNONPILOT/Tender/SplashBidNoticeAbstractUI.aspx?menuIndex=3&amp;refID=7035727&amp;Result=3","7035727")</f>
        <v>0</v>
      </c>
      <c r="B6219" t="s">
        <v>1726</v>
      </c>
      <c r="C6219" t="s">
        <v>8631</v>
      </c>
      <c r="D6219" t="s">
        <v>12988</v>
      </c>
      <c r="E6219" t="s">
        <v>18598</v>
      </c>
      <c r="F6219" t="s">
        <v>22436</v>
      </c>
      <c r="G6219" t="s">
        <v>22444</v>
      </c>
      <c r="H6219" t="s">
        <v>22453</v>
      </c>
      <c r="I6219" t="s">
        <v>22456</v>
      </c>
      <c r="J6219" t="s">
        <v>26660</v>
      </c>
      <c r="K6219" t="s">
        <v>29336</v>
      </c>
      <c r="M6219" t="s">
        <v>31644</v>
      </c>
      <c r="N6219" t="s">
        <v>32524</v>
      </c>
      <c r="O6219" t="s">
        <v>32525</v>
      </c>
      <c r="P6219">
        <v>0</v>
      </c>
      <c r="Q6219">
        <v>0</v>
      </c>
      <c r="R6219" t="s">
        <v>32532</v>
      </c>
      <c r="S6219" t="s">
        <v>32616</v>
      </c>
      <c r="T6219" t="s">
        <v>33259</v>
      </c>
      <c r="U6219" t="s">
        <v>38839</v>
      </c>
      <c r="W6219" t="s">
        <v>31644</v>
      </c>
      <c r="X6219" t="s">
        <v>32533</v>
      </c>
    </row>
    <row r="6220" spans="1:24">
      <c r="A6220">
        <f>HYPERLINK("https://www.philgeps.gov.ph/GEPSNONPILOT/Tender/SplashBidNoticeAbstractUI.aspx?menuIndex=3&amp;refID=7035735&amp;Result=3","7035735")</f>
        <v>0</v>
      </c>
      <c r="B6220" t="s">
        <v>1967</v>
      </c>
      <c r="C6220" t="s">
        <v>8632</v>
      </c>
      <c r="D6220" t="s">
        <v>13007</v>
      </c>
      <c r="E6220" t="s">
        <v>18599</v>
      </c>
      <c r="F6220" t="s">
        <v>22436</v>
      </c>
      <c r="G6220" t="s">
        <v>22444</v>
      </c>
      <c r="H6220" t="s">
        <v>22452</v>
      </c>
      <c r="I6220" t="s">
        <v>22469</v>
      </c>
      <c r="J6220" t="s">
        <v>26661</v>
      </c>
      <c r="K6220" t="s">
        <v>29338</v>
      </c>
      <c r="M6220" t="s">
        <v>31698</v>
      </c>
      <c r="N6220" t="s">
        <v>32524</v>
      </c>
      <c r="O6220" t="s">
        <v>32525</v>
      </c>
      <c r="P6220">
        <v>0</v>
      </c>
      <c r="Q6220">
        <v>1</v>
      </c>
      <c r="R6220" t="s">
        <v>32532</v>
      </c>
      <c r="S6220" t="s">
        <v>32616</v>
      </c>
      <c r="T6220" t="s">
        <v>33416</v>
      </c>
      <c r="U6220" t="s">
        <v>38864</v>
      </c>
      <c r="V6220" t="s">
        <v>43116</v>
      </c>
      <c r="W6220" t="s">
        <v>31698</v>
      </c>
      <c r="X6220" t="s">
        <v>32533</v>
      </c>
    </row>
    <row r="6221" spans="1:24">
      <c r="A6221">
        <f>HYPERLINK("https://www.philgeps.gov.ph/GEPSNONPILOT/Tender/SplashBidNoticeAbstractUI.aspx?menuIndex=3&amp;refID=7035731&amp;Result=3","7035731")</f>
        <v>0</v>
      </c>
      <c r="B6221" t="s">
        <v>1358</v>
      </c>
      <c r="C6221" t="s">
        <v>8633</v>
      </c>
      <c r="D6221" t="s">
        <v>13041</v>
      </c>
      <c r="E6221" t="s">
        <v>18600</v>
      </c>
      <c r="F6221" t="s">
        <v>22436</v>
      </c>
      <c r="G6221" t="s">
        <v>22444</v>
      </c>
      <c r="H6221" t="s">
        <v>22454</v>
      </c>
      <c r="I6221" t="s">
        <v>7738</v>
      </c>
      <c r="J6221" t="s">
        <v>22911</v>
      </c>
      <c r="K6221" t="s">
        <v>29338</v>
      </c>
      <c r="M6221" t="s">
        <v>31014</v>
      </c>
      <c r="N6221" t="s">
        <v>32524</v>
      </c>
      <c r="O6221" t="s">
        <v>32525</v>
      </c>
      <c r="Q6221">
        <v>0</v>
      </c>
      <c r="R6221" t="s">
        <v>32532</v>
      </c>
      <c r="S6221" t="s">
        <v>32626</v>
      </c>
      <c r="T6221" t="s">
        <v>33175</v>
      </c>
      <c r="U6221" t="s">
        <v>38865</v>
      </c>
      <c r="W6221" t="s">
        <v>31014</v>
      </c>
      <c r="X6221" t="s">
        <v>32533</v>
      </c>
    </row>
    <row r="6222" spans="1:24">
      <c r="A6222">
        <f>HYPERLINK("https://www.philgeps.gov.ph/GEPSNONPILOT/Tender/SplashBidNoticeAbstractUI.aspx?menuIndex=3&amp;refID=7035720&amp;Result=3","7035720")</f>
        <v>0</v>
      </c>
      <c r="B6222" t="s">
        <v>1958</v>
      </c>
      <c r="C6222" t="s">
        <v>8634</v>
      </c>
      <c r="D6222" t="s">
        <v>13015</v>
      </c>
      <c r="E6222" t="s">
        <v>18148</v>
      </c>
      <c r="F6222" t="s">
        <v>22436</v>
      </c>
      <c r="G6222" t="s">
        <v>22444</v>
      </c>
      <c r="H6222" t="s">
        <v>22452</v>
      </c>
      <c r="I6222" t="s">
        <v>22482</v>
      </c>
      <c r="J6222" t="s">
        <v>26662</v>
      </c>
      <c r="K6222" t="s">
        <v>29336</v>
      </c>
      <c r="M6222" t="s">
        <v>31688</v>
      </c>
      <c r="N6222" t="s">
        <v>32524</v>
      </c>
      <c r="O6222" t="s">
        <v>32525</v>
      </c>
      <c r="P6222">
        <v>0</v>
      </c>
      <c r="Q6222">
        <v>2</v>
      </c>
      <c r="R6222" t="s">
        <v>32532</v>
      </c>
      <c r="S6222" t="s">
        <v>32616</v>
      </c>
      <c r="T6222" t="s">
        <v>33296</v>
      </c>
      <c r="U6222" t="s">
        <v>38866</v>
      </c>
      <c r="V6222" t="s">
        <v>43115</v>
      </c>
      <c r="W6222" t="s">
        <v>31688</v>
      </c>
      <c r="X6222" t="s">
        <v>32533</v>
      </c>
    </row>
    <row r="6223" spans="1:24">
      <c r="A6223">
        <f>HYPERLINK("https://www.philgeps.gov.ph/GEPSNONPILOT/Tender/SplashBidNoticeAbstractUI.aspx?menuIndex=3&amp;refID=7035760&amp;Result=3","7035760")</f>
        <v>0</v>
      </c>
      <c r="B6223" t="s">
        <v>1968</v>
      </c>
      <c r="C6223" t="s">
        <v>8635</v>
      </c>
      <c r="E6223" t="s">
        <v>18601</v>
      </c>
      <c r="F6223" t="s">
        <v>22436</v>
      </c>
      <c r="G6223" t="s">
        <v>22446</v>
      </c>
      <c r="H6223" t="s">
        <v>22452</v>
      </c>
      <c r="I6223" t="s">
        <v>6421</v>
      </c>
      <c r="J6223" t="s">
        <v>22692</v>
      </c>
      <c r="K6223" t="s">
        <v>29338</v>
      </c>
      <c r="M6223" t="s">
        <v>31699</v>
      </c>
      <c r="N6223" t="s">
        <v>32524</v>
      </c>
      <c r="O6223" t="s">
        <v>32525</v>
      </c>
      <c r="P6223">
        <v>0</v>
      </c>
      <c r="Q6223">
        <v>2</v>
      </c>
      <c r="R6223" t="s">
        <v>32532</v>
      </c>
      <c r="S6223" t="s">
        <v>32616</v>
      </c>
      <c r="T6223" t="s">
        <v>33296</v>
      </c>
      <c r="U6223" t="s">
        <v>38867</v>
      </c>
      <c r="W6223" t="s">
        <v>31699</v>
      </c>
      <c r="X6223" t="s">
        <v>32533</v>
      </c>
    </row>
    <row r="6224" spans="1:24">
      <c r="A6224">
        <f>HYPERLINK("https://www.philgeps.gov.ph/GEPSNONPILOT/Tender/SplashBidNoticeAbstractUI.aspx?menuIndex=3&amp;refID=7035669&amp;Result=3","7035669")</f>
        <v>0</v>
      </c>
      <c r="B6224" t="s">
        <v>106</v>
      </c>
      <c r="C6224" t="s">
        <v>8636</v>
      </c>
      <c r="D6224" t="s">
        <v>13000</v>
      </c>
      <c r="E6224" t="s">
        <v>18602</v>
      </c>
      <c r="F6224" t="s">
        <v>22436</v>
      </c>
      <c r="G6224" t="s">
        <v>22444</v>
      </c>
      <c r="H6224" t="s">
        <v>22452</v>
      </c>
      <c r="I6224" t="s">
        <v>22474</v>
      </c>
      <c r="J6224" t="s">
        <v>22877</v>
      </c>
      <c r="K6224" t="s">
        <v>29335</v>
      </c>
      <c r="M6224" t="s">
        <v>29678</v>
      </c>
      <c r="N6224" t="s">
        <v>32524</v>
      </c>
      <c r="O6224" t="s">
        <v>32525</v>
      </c>
      <c r="P6224">
        <v>0</v>
      </c>
      <c r="Q6224">
        <v>3</v>
      </c>
      <c r="R6224" t="s">
        <v>32532</v>
      </c>
      <c r="S6224" t="s">
        <v>32616</v>
      </c>
      <c r="T6224" t="s">
        <v>33227</v>
      </c>
      <c r="U6224" t="s">
        <v>38868</v>
      </c>
      <c r="V6224" t="s">
        <v>42863</v>
      </c>
      <c r="W6224" t="s">
        <v>29678</v>
      </c>
      <c r="X6224" t="s">
        <v>32533</v>
      </c>
    </row>
    <row r="6225" spans="1:24">
      <c r="A6225">
        <f>HYPERLINK("https://www.philgeps.gov.ph/GEPSNONPILOT/Tender/SplashBidNoticeAbstractUI.aspx?menuIndex=3&amp;refID=7035771&amp;Result=3","7035771")</f>
        <v>0</v>
      </c>
      <c r="B6225" t="s">
        <v>1967</v>
      </c>
      <c r="C6225" t="s">
        <v>8637</v>
      </c>
      <c r="D6225" t="s">
        <v>13007</v>
      </c>
      <c r="E6225" t="s">
        <v>18603</v>
      </c>
      <c r="F6225" t="s">
        <v>22436</v>
      </c>
      <c r="G6225" t="s">
        <v>22444</v>
      </c>
      <c r="H6225" t="s">
        <v>22452</v>
      </c>
      <c r="I6225" t="s">
        <v>22467</v>
      </c>
      <c r="J6225" t="s">
        <v>22624</v>
      </c>
      <c r="K6225" t="s">
        <v>29338</v>
      </c>
      <c r="M6225" t="s">
        <v>31698</v>
      </c>
      <c r="N6225" t="s">
        <v>32524</v>
      </c>
      <c r="O6225" t="s">
        <v>32525</v>
      </c>
      <c r="P6225">
        <v>0</v>
      </c>
      <c r="Q6225">
        <v>1</v>
      </c>
      <c r="R6225" t="s">
        <v>32532</v>
      </c>
      <c r="S6225" t="s">
        <v>32616</v>
      </c>
      <c r="T6225" t="s">
        <v>33416</v>
      </c>
      <c r="U6225" t="s">
        <v>38869</v>
      </c>
      <c r="V6225" t="s">
        <v>43116</v>
      </c>
      <c r="W6225" t="s">
        <v>31698</v>
      </c>
      <c r="X6225" t="s">
        <v>32533</v>
      </c>
    </row>
    <row r="6226" spans="1:24">
      <c r="A6226">
        <f>HYPERLINK("https://www.philgeps.gov.ph/GEPSNONPILOT/Tender/SplashBidNoticeAbstractUI.aspx?menuIndex=3&amp;refID=7035730&amp;Result=3","7035730")</f>
        <v>0</v>
      </c>
      <c r="B6226" t="s">
        <v>1687</v>
      </c>
      <c r="C6226" t="s">
        <v>8638</v>
      </c>
      <c r="D6226" t="s">
        <v>13004</v>
      </c>
      <c r="E6226" t="s">
        <v>13182</v>
      </c>
      <c r="F6226" t="s">
        <v>22436</v>
      </c>
      <c r="G6226" t="s">
        <v>22444</v>
      </c>
      <c r="H6226" t="s">
        <v>22452</v>
      </c>
      <c r="I6226" t="s">
        <v>3529</v>
      </c>
      <c r="J6226" t="s">
        <v>26663</v>
      </c>
      <c r="K6226" t="s">
        <v>29335</v>
      </c>
      <c r="M6226" t="s">
        <v>31387</v>
      </c>
      <c r="N6226" t="s">
        <v>32524</v>
      </c>
      <c r="O6226" t="s">
        <v>32525</v>
      </c>
      <c r="P6226">
        <v>0</v>
      </c>
      <c r="Q6226">
        <v>1</v>
      </c>
      <c r="R6226" t="s">
        <v>32532</v>
      </c>
      <c r="S6226" t="s">
        <v>32616</v>
      </c>
      <c r="T6226" t="s">
        <v>33372</v>
      </c>
      <c r="U6226" t="s">
        <v>38870</v>
      </c>
      <c r="W6226" t="s">
        <v>31387</v>
      </c>
      <c r="X6226" t="s">
        <v>32533</v>
      </c>
    </row>
    <row r="6227" spans="1:24">
      <c r="A6227">
        <f>HYPERLINK("https://www.philgeps.gov.ph/GEPSNONPILOT/Tender/SplashBidNoticeAbstractUI.aspx?menuIndex=3&amp;refID=7035767&amp;Result=3","7035767")</f>
        <v>0</v>
      </c>
      <c r="B6227" t="s">
        <v>1949</v>
      </c>
      <c r="C6227" t="s">
        <v>8639</v>
      </c>
      <c r="D6227" t="s">
        <v>13019</v>
      </c>
      <c r="E6227" t="s">
        <v>18604</v>
      </c>
      <c r="F6227" t="s">
        <v>22436</v>
      </c>
      <c r="G6227" t="s">
        <v>22444</v>
      </c>
      <c r="H6227" t="s">
        <v>22452</v>
      </c>
      <c r="I6227" t="s">
        <v>22482</v>
      </c>
      <c r="J6227" t="s">
        <v>22673</v>
      </c>
      <c r="K6227" t="s">
        <v>29335</v>
      </c>
      <c r="M6227" t="s">
        <v>31679</v>
      </c>
      <c r="N6227" t="s">
        <v>32524</v>
      </c>
      <c r="O6227" t="s">
        <v>32525</v>
      </c>
      <c r="P6227">
        <v>0</v>
      </c>
      <c r="Q6227">
        <v>7</v>
      </c>
      <c r="R6227" t="s">
        <v>32532</v>
      </c>
      <c r="S6227" t="s">
        <v>32616</v>
      </c>
      <c r="T6227" t="s">
        <v>33409</v>
      </c>
      <c r="U6227" t="s">
        <v>38871</v>
      </c>
      <c r="V6227" t="s">
        <v>43111</v>
      </c>
      <c r="W6227" t="s">
        <v>31679</v>
      </c>
      <c r="X6227" t="s">
        <v>32533</v>
      </c>
    </row>
    <row r="6228" spans="1:24">
      <c r="A6228">
        <f>HYPERLINK("https://www.philgeps.gov.ph/GEPSNONPILOT/Tender/SplashBidNoticeAbstractUI.aspx?menuIndex=3&amp;refID=7035792&amp;Result=3","7035792")</f>
        <v>0</v>
      </c>
      <c r="B6228" t="s">
        <v>1967</v>
      </c>
      <c r="C6228" t="s">
        <v>8640</v>
      </c>
      <c r="D6228" t="s">
        <v>13007</v>
      </c>
      <c r="E6228" t="s">
        <v>18605</v>
      </c>
      <c r="F6228" t="s">
        <v>22436</v>
      </c>
      <c r="G6228" t="s">
        <v>22444</v>
      </c>
      <c r="H6228" t="s">
        <v>22452</v>
      </c>
      <c r="I6228" t="s">
        <v>22460</v>
      </c>
      <c r="J6228" t="s">
        <v>26664</v>
      </c>
      <c r="K6228" t="s">
        <v>29338</v>
      </c>
      <c r="M6228" t="s">
        <v>31698</v>
      </c>
      <c r="N6228" t="s">
        <v>32524</v>
      </c>
      <c r="O6228" t="s">
        <v>32525</v>
      </c>
      <c r="P6228">
        <v>0</v>
      </c>
      <c r="Q6228">
        <v>2</v>
      </c>
      <c r="R6228" t="s">
        <v>32532</v>
      </c>
      <c r="S6228" t="s">
        <v>32616</v>
      </c>
      <c r="T6228" t="s">
        <v>33416</v>
      </c>
      <c r="U6228" t="s">
        <v>38872</v>
      </c>
      <c r="V6228" t="s">
        <v>43116</v>
      </c>
      <c r="W6228" t="s">
        <v>31698</v>
      </c>
      <c r="X6228" t="s">
        <v>32533</v>
      </c>
    </row>
    <row r="6229" spans="1:24">
      <c r="A6229">
        <f>HYPERLINK("https://www.philgeps.gov.ph/GEPSNONPILOT/Tender/SplashBidNoticeAbstractUI.aspx?menuIndex=3&amp;refID=7035779&amp;Result=3","7035779")</f>
        <v>0</v>
      </c>
      <c r="B6229" t="s">
        <v>874</v>
      </c>
      <c r="C6229" t="s">
        <v>8641</v>
      </c>
      <c r="E6229" t="s">
        <v>18606</v>
      </c>
      <c r="F6229" t="s">
        <v>22436</v>
      </c>
      <c r="G6229" t="s">
        <v>22443</v>
      </c>
      <c r="H6229" t="s">
        <v>22452</v>
      </c>
      <c r="I6229" t="s">
        <v>22527</v>
      </c>
      <c r="J6229" t="s">
        <v>26665</v>
      </c>
      <c r="K6229" t="s">
        <v>29338</v>
      </c>
      <c r="M6229" t="s">
        <v>30482</v>
      </c>
      <c r="N6229" t="s">
        <v>32524</v>
      </c>
      <c r="O6229" t="s">
        <v>32525</v>
      </c>
      <c r="P6229">
        <v>0</v>
      </c>
      <c r="Q6229">
        <v>0</v>
      </c>
      <c r="R6229" t="s">
        <v>32532</v>
      </c>
      <c r="S6229" t="s">
        <v>32616</v>
      </c>
      <c r="T6229" t="s">
        <v>33327</v>
      </c>
      <c r="U6229" t="s">
        <v>38853</v>
      </c>
      <c r="W6229" t="s">
        <v>30482</v>
      </c>
      <c r="X6229" t="s">
        <v>32533</v>
      </c>
    </row>
    <row r="6230" spans="1:24">
      <c r="A6230">
        <f>HYPERLINK("https://www.philgeps.gov.ph/GEPSNONPILOT/Tender/SplashBidNoticeAbstractUI.aspx?menuIndex=3&amp;refID=7035777&amp;Result=3","7035777")</f>
        <v>0</v>
      </c>
      <c r="B6230" t="s">
        <v>1592</v>
      </c>
      <c r="C6230" t="s">
        <v>8642</v>
      </c>
      <c r="D6230" t="s">
        <v>13004</v>
      </c>
      <c r="E6230" t="s">
        <v>18607</v>
      </c>
      <c r="F6230" t="s">
        <v>22436</v>
      </c>
      <c r="G6230" t="s">
        <v>22444</v>
      </c>
      <c r="H6230" t="s">
        <v>22454</v>
      </c>
      <c r="I6230" t="s">
        <v>22526</v>
      </c>
      <c r="J6230" t="s">
        <v>26666</v>
      </c>
      <c r="K6230" t="s">
        <v>29414</v>
      </c>
      <c r="M6230" t="s">
        <v>31275</v>
      </c>
      <c r="N6230" t="s">
        <v>32524</v>
      </c>
      <c r="O6230" t="s">
        <v>32525</v>
      </c>
      <c r="P6230">
        <v>0</v>
      </c>
      <c r="Q6230">
        <v>0</v>
      </c>
      <c r="R6230" t="s">
        <v>32532</v>
      </c>
      <c r="S6230" t="s">
        <v>32616</v>
      </c>
      <c r="T6230" t="s">
        <v>33242</v>
      </c>
      <c r="U6230" t="s">
        <v>38873</v>
      </c>
      <c r="W6230" t="s">
        <v>31275</v>
      </c>
      <c r="X6230" t="s">
        <v>32533</v>
      </c>
    </row>
    <row r="6231" spans="1:24">
      <c r="A6231">
        <f>HYPERLINK("https://www.philgeps.gov.ph/GEPSNONPILOT/Tender/SplashBidNoticeAbstractUI.aspx?menuIndex=3&amp;refID=7035787&amp;Result=3","7035787")</f>
        <v>0</v>
      </c>
      <c r="B6231" t="s">
        <v>196</v>
      </c>
      <c r="C6231" t="s">
        <v>4514</v>
      </c>
      <c r="D6231" t="s">
        <v>13002</v>
      </c>
      <c r="E6231" t="s">
        <v>18608</v>
      </c>
      <c r="F6231" t="s">
        <v>22436</v>
      </c>
      <c r="G6231" t="s">
        <v>22443</v>
      </c>
      <c r="H6231" t="s">
        <v>22452</v>
      </c>
      <c r="I6231" t="s">
        <v>22463</v>
      </c>
      <c r="J6231" t="s">
        <v>22807</v>
      </c>
      <c r="K6231" t="s">
        <v>29331</v>
      </c>
      <c r="M6231" t="s">
        <v>31297</v>
      </c>
      <c r="N6231" t="s">
        <v>32524</v>
      </c>
      <c r="O6231" t="s">
        <v>32525</v>
      </c>
      <c r="P6231">
        <v>0</v>
      </c>
      <c r="Q6231">
        <v>11</v>
      </c>
      <c r="R6231" t="s">
        <v>32532</v>
      </c>
      <c r="S6231" t="s">
        <v>32616</v>
      </c>
      <c r="T6231" t="s">
        <v>33296</v>
      </c>
      <c r="U6231" t="s">
        <v>38874</v>
      </c>
      <c r="W6231" t="s">
        <v>31297</v>
      </c>
      <c r="X6231" t="s">
        <v>32533</v>
      </c>
    </row>
    <row r="6232" spans="1:24">
      <c r="A6232">
        <f>HYPERLINK("https://www.philgeps.gov.ph/GEPSNONPILOT/Tender/SplashBidNoticeAbstractUI.aspx?menuIndex=3&amp;refID=7035776&amp;Result=3","7035776")</f>
        <v>0</v>
      </c>
      <c r="B6232" t="s">
        <v>1406</v>
      </c>
      <c r="C6232" t="s">
        <v>8643</v>
      </c>
      <c r="D6232" t="s">
        <v>12988</v>
      </c>
      <c r="E6232" t="s">
        <v>18609</v>
      </c>
      <c r="F6232" t="s">
        <v>22436</v>
      </c>
      <c r="G6232" t="s">
        <v>22443</v>
      </c>
      <c r="H6232" t="s">
        <v>22454</v>
      </c>
      <c r="I6232" t="s">
        <v>7738</v>
      </c>
      <c r="J6232" t="s">
        <v>22704</v>
      </c>
      <c r="K6232" t="s">
        <v>29335</v>
      </c>
      <c r="M6232" t="s">
        <v>31701</v>
      </c>
      <c r="N6232" t="s">
        <v>32524</v>
      </c>
      <c r="O6232" t="s">
        <v>32525</v>
      </c>
      <c r="P6232">
        <v>0</v>
      </c>
      <c r="Q6232">
        <v>1</v>
      </c>
      <c r="R6232" t="s">
        <v>32532</v>
      </c>
      <c r="S6232" t="s">
        <v>32616</v>
      </c>
      <c r="T6232" t="s">
        <v>33238</v>
      </c>
      <c r="U6232" t="s">
        <v>38875</v>
      </c>
      <c r="W6232" t="s">
        <v>31701</v>
      </c>
      <c r="X6232" t="s">
        <v>32533</v>
      </c>
    </row>
    <row r="6233" spans="1:24">
      <c r="A6233">
        <f>HYPERLINK("https://www.philgeps.gov.ph/GEPSNONPILOT/Tender/SplashBidNoticeAbstractUI.aspx?menuIndex=3&amp;refID=7035749&amp;Result=3","7035749")</f>
        <v>0</v>
      </c>
      <c r="B6233" t="s">
        <v>1970</v>
      </c>
      <c r="C6233" t="s">
        <v>8644</v>
      </c>
      <c r="D6233" t="s">
        <v>12988</v>
      </c>
      <c r="E6233" t="s">
        <v>18610</v>
      </c>
      <c r="F6233" t="s">
        <v>22436</v>
      </c>
      <c r="G6233" t="s">
        <v>22445</v>
      </c>
      <c r="H6233" t="s">
        <v>22452</v>
      </c>
      <c r="I6233" t="s">
        <v>22463</v>
      </c>
      <c r="J6233" t="s">
        <v>26667</v>
      </c>
      <c r="K6233" t="s">
        <v>29357</v>
      </c>
      <c r="M6233" t="s">
        <v>31702</v>
      </c>
      <c r="N6233" t="s">
        <v>32524</v>
      </c>
      <c r="O6233" t="s">
        <v>32525</v>
      </c>
      <c r="Q6233">
        <v>7</v>
      </c>
      <c r="R6233" t="s">
        <v>32532</v>
      </c>
      <c r="S6233" t="s">
        <v>32627</v>
      </c>
      <c r="T6233" t="s">
        <v>33209</v>
      </c>
      <c r="U6233" t="s">
        <v>38876</v>
      </c>
      <c r="W6233" t="s">
        <v>31702</v>
      </c>
      <c r="X6233" t="s">
        <v>32533</v>
      </c>
    </row>
    <row r="6234" spans="1:24">
      <c r="A6234">
        <f>HYPERLINK("https://www.philgeps.gov.ph/GEPSNONPILOT/Tender/SplashBidNoticeAbstractUI.aspx?menuIndex=3&amp;refID=7035800&amp;Result=3","7035800")</f>
        <v>0</v>
      </c>
      <c r="B6234" t="s">
        <v>198</v>
      </c>
      <c r="C6234" t="s">
        <v>8645</v>
      </c>
      <c r="D6234" t="s">
        <v>13002</v>
      </c>
      <c r="E6234" t="s">
        <v>18611</v>
      </c>
      <c r="F6234" t="s">
        <v>22436</v>
      </c>
      <c r="G6234" t="s">
        <v>22443</v>
      </c>
      <c r="H6234" t="s">
        <v>22452</v>
      </c>
      <c r="I6234" t="s">
        <v>22471</v>
      </c>
      <c r="J6234" t="s">
        <v>26668</v>
      </c>
      <c r="K6234" t="s">
        <v>29335</v>
      </c>
      <c r="M6234" t="s">
        <v>29771</v>
      </c>
      <c r="N6234" t="s">
        <v>32524</v>
      </c>
      <c r="O6234" t="s">
        <v>32525</v>
      </c>
      <c r="P6234">
        <v>0</v>
      </c>
      <c r="Q6234">
        <v>6</v>
      </c>
      <c r="R6234" t="s">
        <v>32532</v>
      </c>
      <c r="S6234" t="s">
        <v>32616</v>
      </c>
      <c r="T6234" t="s">
        <v>33371</v>
      </c>
      <c r="U6234" t="s">
        <v>38877</v>
      </c>
      <c r="W6234" t="s">
        <v>29771</v>
      </c>
      <c r="X6234" t="s">
        <v>32533</v>
      </c>
    </row>
    <row r="6235" spans="1:24">
      <c r="A6235">
        <f>HYPERLINK("https://www.philgeps.gov.ph/GEPSNONPILOT/Tender/SplashBidNoticeAbstractUI.aspx?menuIndex=3&amp;refID=7035770&amp;Result=3","7035770")</f>
        <v>0</v>
      </c>
      <c r="B6235" t="s">
        <v>1846</v>
      </c>
      <c r="C6235" t="s">
        <v>8646</v>
      </c>
      <c r="D6235" t="s">
        <v>13011</v>
      </c>
      <c r="E6235" t="s">
        <v>18612</v>
      </c>
      <c r="F6235" t="s">
        <v>22436</v>
      </c>
      <c r="G6235" t="s">
        <v>22444</v>
      </c>
      <c r="H6235" t="s">
        <v>22454</v>
      </c>
      <c r="I6235" t="s">
        <v>7738</v>
      </c>
      <c r="J6235" t="s">
        <v>22809</v>
      </c>
      <c r="K6235" t="s">
        <v>29383</v>
      </c>
      <c r="M6235" t="s">
        <v>31562</v>
      </c>
      <c r="N6235" t="s">
        <v>32524</v>
      </c>
      <c r="O6235" t="s">
        <v>32525</v>
      </c>
      <c r="P6235">
        <v>0</v>
      </c>
      <c r="Q6235">
        <v>0</v>
      </c>
      <c r="R6235" t="s">
        <v>32532</v>
      </c>
      <c r="S6235" t="s">
        <v>32616</v>
      </c>
      <c r="T6235" t="s">
        <v>33203</v>
      </c>
      <c r="U6235" t="s">
        <v>38878</v>
      </c>
      <c r="W6235" t="s">
        <v>31562</v>
      </c>
      <c r="X6235" t="s">
        <v>32533</v>
      </c>
    </row>
    <row r="6236" spans="1:24">
      <c r="A6236">
        <f>HYPERLINK("https://www.philgeps.gov.ph/GEPSNONPILOT/Tender/SplashBidNoticeAbstractUI.aspx?menuIndex=3&amp;refID=7035817&amp;Result=3","7035817")</f>
        <v>0</v>
      </c>
      <c r="B6236" t="s">
        <v>1358</v>
      </c>
      <c r="C6236" t="s">
        <v>8647</v>
      </c>
      <c r="D6236" t="s">
        <v>13041</v>
      </c>
      <c r="E6236" t="s">
        <v>18613</v>
      </c>
      <c r="F6236" t="s">
        <v>22436</v>
      </c>
      <c r="G6236" t="s">
        <v>22444</v>
      </c>
      <c r="H6236" t="s">
        <v>22454</v>
      </c>
      <c r="I6236" t="s">
        <v>7738</v>
      </c>
      <c r="J6236" t="s">
        <v>23093</v>
      </c>
      <c r="K6236" t="s">
        <v>29338</v>
      </c>
      <c r="M6236" t="s">
        <v>31014</v>
      </c>
      <c r="N6236" t="s">
        <v>32524</v>
      </c>
      <c r="O6236" t="s">
        <v>32525</v>
      </c>
      <c r="Q6236">
        <v>0</v>
      </c>
      <c r="R6236" t="s">
        <v>32532</v>
      </c>
      <c r="S6236" t="s">
        <v>32628</v>
      </c>
      <c r="T6236" t="s">
        <v>33175</v>
      </c>
      <c r="U6236" t="s">
        <v>38879</v>
      </c>
      <c r="W6236" t="s">
        <v>31014</v>
      </c>
      <c r="X6236" t="s">
        <v>32533</v>
      </c>
    </row>
    <row r="6237" spans="1:24">
      <c r="A6237">
        <f>HYPERLINK("https://www.philgeps.gov.ph/GEPSNONPILOT/Tender/SplashBidNoticeAbstractUI.aspx?menuIndex=3&amp;refID=7035745&amp;Result=3","7035745")</f>
        <v>0</v>
      </c>
      <c r="B6237" t="s">
        <v>1493</v>
      </c>
      <c r="C6237" t="s">
        <v>8648</v>
      </c>
      <c r="D6237" t="s">
        <v>13010</v>
      </c>
      <c r="E6237" t="s">
        <v>18614</v>
      </c>
      <c r="F6237" t="s">
        <v>22436</v>
      </c>
      <c r="G6237" t="s">
        <v>22444</v>
      </c>
      <c r="H6237" t="s">
        <v>22452</v>
      </c>
      <c r="I6237" t="s">
        <v>22479</v>
      </c>
      <c r="J6237" t="s">
        <v>26359</v>
      </c>
      <c r="K6237" t="s">
        <v>29341</v>
      </c>
      <c r="M6237" t="s">
        <v>31167</v>
      </c>
      <c r="N6237" t="s">
        <v>32524</v>
      </c>
      <c r="O6237" t="s">
        <v>32525</v>
      </c>
      <c r="P6237">
        <v>0</v>
      </c>
      <c r="Q6237">
        <v>5</v>
      </c>
      <c r="R6237" t="s">
        <v>32532</v>
      </c>
      <c r="S6237" t="s">
        <v>32616</v>
      </c>
      <c r="T6237" t="s">
        <v>33167</v>
      </c>
      <c r="U6237" t="s">
        <v>38880</v>
      </c>
      <c r="V6237" t="s">
        <v>43118</v>
      </c>
      <c r="W6237" t="s">
        <v>31167</v>
      </c>
      <c r="X6237" t="s">
        <v>32533</v>
      </c>
    </row>
    <row r="6238" spans="1:24">
      <c r="A6238">
        <f>HYPERLINK("https://www.philgeps.gov.ph/GEPSNONPILOT/Tender/SplashBidNoticeAbstractUI.aspx?menuIndex=3&amp;refID=7035773&amp;Result=3","7035773")</f>
        <v>0</v>
      </c>
      <c r="B6238" t="s">
        <v>1297</v>
      </c>
      <c r="C6238" t="s">
        <v>8649</v>
      </c>
      <c r="E6238" t="s">
        <v>18615</v>
      </c>
      <c r="F6238" t="s">
        <v>22436</v>
      </c>
      <c r="G6238" t="s">
        <v>22444</v>
      </c>
      <c r="H6238" t="s">
        <v>22452</v>
      </c>
      <c r="I6238" t="s">
        <v>5194</v>
      </c>
      <c r="J6238" t="s">
        <v>26669</v>
      </c>
      <c r="K6238" t="s">
        <v>29338</v>
      </c>
      <c r="M6238" t="s">
        <v>30951</v>
      </c>
      <c r="N6238" t="s">
        <v>32524</v>
      </c>
      <c r="O6238" t="s">
        <v>32525</v>
      </c>
      <c r="P6238">
        <v>0</v>
      </c>
      <c r="Q6238">
        <v>3</v>
      </c>
      <c r="R6238" t="s">
        <v>32532</v>
      </c>
      <c r="S6238" t="s">
        <v>32616</v>
      </c>
      <c r="T6238" t="s">
        <v>33521</v>
      </c>
      <c r="U6238" t="s">
        <v>38881</v>
      </c>
      <c r="W6238" t="s">
        <v>30951</v>
      </c>
      <c r="X6238" t="s">
        <v>32533</v>
      </c>
    </row>
    <row r="6239" spans="1:24">
      <c r="A6239">
        <f>HYPERLINK("https://www.philgeps.gov.ph/GEPSNONPILOT/Tender/SplashBidNoticeAbstractUI.aspx?menuIndex=3&amp;refID=7035806&amp;Result=3","7035806")</f>
        <v>0</v>
      </c>
      <c r="B6239" t="s">
        <v>1297</v>
      </c>
      <c r="C6239" t="s">
        <v>8650</v>
      </c>
      <c r="E6239" t="s">
        <v>18616</v>
      </c>
      <c r="F6239" t="s">
        <v>22436</v>
      </c>
      <c r="G6239" t="s">
        <v>22444</v>
      </c>
      <c r="H6239" t="s">
        <v>22452</v>
      </c>
      <c r="I6239" t="s">
        <v>5194</v>
      </c>
      <c r="J6239" t="s">
        <v>26670</v>
      </c>
      <c r="K6239" t="s">
        <v>29338</v>
      </c>
      <c r="M6239" t="s">
        <v>30951</v>
      </c>
      <c r="N6239" t="s">
        <v>32524</v>
      </c>
      <c r="O6239" t="s">
        <v>32525</v>
      </c>
      <c r="P6239">
        <v>0</v>
      </c>
      <c r="Q6239">
        <v>3</v>
      </c>
      <c r="R6239" t="s">
        <v>32532</v>
      </c>
      <c r="S6239" t="s">
        <v>32616</v>
      </c>
      <c r="T6239" t="s">
        <v>33296</v>
      </c>
      <c r="U6239" t="s">
        <v>38882</v>
      </c>
      <c r="W6239" t="s">
        <v>30951</v>
      </c>
      <c r="X6239" t="s">
        <v>32533</v>
      </c>
    </row>
    <row r="6240" spans="1:24">
      <c r="A6240">
        <f>HYPERLINK("https://www.philgeps.gov.ph/GEPSNONPILOT/Tender/SplashBidNoticeAbstractUI.aspx?menuIndex=3&amp;refID=7035865&amp;Result=3","7035865")</f>
        <v>0</v>
      </c>
      <c r="B6240" t="s">
        <v>1971</v>
      </c>
      <c r="C6240" t="s">
        <v>8651</v>
      </c>
      <c r="D6240" t="s">
        <v>12991</v>
      </c>
      <c r="E6240" t="s">
        <v>18617</v>
      </c>
      <c r="F6240" t="s">
        <v>22436</v>
      </c>
      <c r="G6240" t="s">
        <v>22444</v>
      </c>
      <c r="H6240" t="s">
        <v>22452</v>
      </c>
      <c r="I6240" t="s">
        <v>7738</v>
      </c>
      <c r="J6240" t="s">
        <v>26671</v>
      </c>
      <c r="K6240" t="s">
        <v>29338</v>
      </c>
      <c r="M6240" t="s">
        <v>31703</v>
      </c>
      <c r="N6240" t="s">
        <v>32524</v>
      </c>
      <c r="O6240" t="s">
        <v>32525</v>
      </c>
      <c r="P6240">
        <v>0</v>
      </c>
      <c r="Q6240">
        <v>0</v>
      </c>
      <c r="R6240" t="s">
        <v>32532</v>
      </c>
      <c r="S6240" t="s">
        <v>32616</v>
      </c>
      <c r="T6240" t="s">
        <v>33238</v>
      </c>
      <c r="U6240" t="s">
        <v>38883</v>
      </c>
      <c r="W6240" t="s">
        <v>31703</v>
      </c>
      <c r="X6240" t="s">
        <v>32533</v>
      </c>
    </row>
    <row r="6241" spans="1:24">
      <c r="A6241">
        <f>HYPERLINK("https://www.philgeps.gov.ph/GEPSNONPILOT/Tender/SplashBidNoticeAbstractUI.aspx?menuIndex=3&amp;refID=7035813&amp;Result=3","7035813")</f>
        <v>0</v>
      </c>
      <c r="B6241" t="s">
        <v>1972</v>
      </c>
      <c r="C6241" t="s">
        <v>8652</v>
      </c>
      <c r="D6241" t="s">
        <v>13015</v>
      </c>
      <c r="E6241" t="s">
        <v>18618</v>
      </c>
      <c r="F6241" t="s">
        <v>22436</v>
      </c>
      <c r="G6241" t="s">
        <v>22444</v>
      </c>
      <c r="H6241" t="s">
        <v>22453</v>
      </c>
      <c r="I6241" t="s">
        <v>22467</v>
      </c>
      <c r="J6241" t="s">
        <v>26672</v>
      </c>
      <c r="K6241" t="s">
        <v>29335</v>
      </c>
      <c r="M6241" t="s">
        <v>31704</v>
      </c>
      <c r="N6241" t="s">
        <v>32524</v>
      </c>
      <c r="O6241" t="s">
        <v>32525</v>
      </c>
      <c r="P6241">
        <v>0</v>
      </c>
      <c r="Q6241">
        <v>0</v>
      </c>
      <c r="R6241" t="s">
        <v>32532</v>
      </c>
      <c r="S6241" t="s">
        <v>32616</v>
      </c>
      <c r="T6241" t="s">
        <v>33529</v>
      </c>
      <c r="U6241" t="s">
        <v>38884</v>
      </c>
      <c r="V6241" t="s">
        <v>43119</v>
      </c>
      <c r="W6241" t="s">
        <v>31704</v>
      </c>
      <c r="X6241" t="s">
        <v>32533</v>
      </c>
    </row>
    <row r="6242" spans="1:24">
      <c r="A6242">
        <f>HYPERLINK("https://www.philgeps.gov.ph/GEPSNONPILOT/Tender/SplashBidNoticeAbstractUI.aspx?menuIndex=3&amp;refID=7035859&amp;Result=3","7035859")</f>
        <v>0</v>
      </c>
      <c r="B6242" t="s">
        <v>296</v>
      </c>
      <c r="C6242" t="s">
        <v>8653</v>
      </c>
      <c r="D6242" t="s">
        <v>12988</v>
      </c>
      <c r="E6242" t="s">
        <v>18619</v>
      </c>
      <c r="F6242" t="s">
        <v>22436</v>
      </c>
      <c r="G6242" t="s">
        <v>22444</v>
      </c>
      <c r="H6242" t="s">
        <v>22452</v>
      </c>
      <c r="I6242" t="s">
        <v>3529</v>
      </c>
      <c r="J6242" t="s">
        <v>26673</v>
      </c>
      <c r="K6242" t="s">
        <v>29329</v>
      </c>
      <c r="M6242" t="s">
        <v>29870</v>
      </c>
      <c r="N6242" t="s">
        <v>32524</v>
      </c>
      <c r="O6242" t="s">
        <v>32525</v>
      </c>
      <c r="P6242">
        <v>0</v>
      </c>
      <c r="Q6242">
        <v>3</v>
      </c>
      <c r="R6242" t="s">
        <v>32532</v>
      </c>
      <c r="S6242" t="s">
        <v>32616</v>
      </c>
      <c r="T6242" t="s">
        <v>33253</v>
      </c>
      <c r="U6242" t="s">
        <v>38885</v>
      </c>
      <c r="W6242" t="s">
        <v>29870</v>
      </c>
      <c r="X6242" t="s">
        <v>32533</v>
      </c>
    </row>
    <row r="6243" spans="1:24">
      <c r="A6243">
        <f>HYPERLINK("https://www.philgeps.gov.ph/GEPSNONPILOT/Tender/SplashBidNoticeAbstractUI.aspx?menuIndex=3&amp;refID=7035863&amp;Result=3","7035863")</f>
        <v>0</v>
      </c>
      <c r="B6243" t="s">
        <v>1541</v>
      </c>
      <c r="C6243" t="s">
        <v>8654</v>
      </c>
      <c r="D6243" t="s">
        <v>13002</v>
      </c>
      <c r="E6243" t="s">
        <v>18620</v>
      </c>
      <c r="F6243" t="s">
        <v>22436</v>
      </c>
      <c r="G6243" t="s">
        <v>22444</v>
      </c>
      <c r="H6243" t="s">
        <v>22455</v>
      </c>
      <c r="I6243" t="s">
        <v>22455</v>
      </c>
      <c r="J6243" t="s">
        <v>26674</v>
      </c>
      <c r="K6243" t="s">
        <v>29427</v>
      </c>
      <c r="L6243" t="s">
        <v>1541</v>
      </c>
      <c r="M6243" t="s">
        <v>31219</v>
      </c>
      <c r="N6243" t="s">
        <v>32524</v>
      </c>
      <c r="O6243" t="s">
        <v>32525</v>
      </c>
      <c r="P6243">
        <v>0</v>
      </c>
      <c r="Q6243">
        <v>1</v>
      </c>
      <c r="R6243" t="s">
        <v>32532</v>
      </c>
      <c r="S6243" t="s">
        <v>32616</v>
      </c>
      <c r="T6243" t="s">
        <v>33220</v>
      </c>
      <c r="U6243" t="s">
        <v>38886</v>
      </c>
      <c r="W6243" t="s">
        <v>31219</v>
      </c>
      <c r="X6243" t="s">
        <v>32533</v>
      </c>
    </row>
    <row r="6244" spans="1:24">
      <c r="A6244">
        <f>HYPERLINK("https://www.philgeps.gov.ph/GEPSNONPILOT/Tender/SplashBidNoticeAbstractUI.aspx?menuIndex=3&amp;refID=7035808&amp;Result=3","7035808")</f>
        <v>0</v>
      </c>
      <c r="B6244" t="s">
        <v>1964</v>
      </c>
      <c r="C6244" t="s">
        <v>8655</v>
      </c>
      <c r="D6244" t="s">
        <v>13039</v>
      </c>
      <c r="E6244" t="s">
        <v>18621</v>
      </c>
      <c r="F6244" t="s">
        <v>22436</v>
      </c>
      <c r="G6244" t="s">
        <v>22443</v>
      </c>
      <c r="H6244" t="s">
        <v>22452</v>
      </c>
      <c r="I6244" t="s">
        <v>22460</v>
      </c>
      <c r="J6244" t="s">
        <v>26675</v>
      </c>
      <c r="K6244" t="s">
        <v>29338</v>
      </c>
      <c r="M6244" t="s">
        <v>31695</v>
      </c>
      <c r="N6244" t="s">
        <v>32524</v>
      </c>
      <c r="O6244" t="s">
        <v>32525</v>
      </c>
      <c r="P6244">
        <v>0</v>
      </c>
      <c r="Q6244">
        <v>2</v>
      </c>
      <c r="R6244" t="s">
        <v>32532</v>
      </c>
      <c r="S6244" t="s">
        <v>32616</v>
      </c>
      <c r="T6244" t="s">
        <v>33521</v>
      </c>
      <c r="U6244" t="s">
        <v>38887</v>
      </c>
      <c r="W6244" t="s">
        <v>31695</v>
      </c>
      <c r="X6244" t="s">
        <v>32533</v>
      </c>
    </row>
    <row r="6245" spans="1:24">
      <c r="A6245">
        <f>HYPERLINK("https://www.philgeps.gov.ph/GEPSNONPILOT/Tender/SplashBidNoticeAbstractUI.aspx?menuIndex=3&amp;refID=7035846&amp;Result=3","7035846")</f>
        <v>0</v>
      </c>
      <c r="B6245" t="s">
        <v>1973</v>
      </c>
      <c r="C6245" t="s">
        <v>8656</v>
      </c>
      <c r="D6245" t="s">
        <v>12990</v>
      </c>
      <c r="E6245" t="s">
        <v>18622</v>
      </c>
      <c r="F6245" t="s">
        <v>22436</v>
      </c>
      <c r="G6245" t="s">
        <v>22444</v>
      </c>
      <c r="H6245" t="s">
        <v>22454</v>
      </c>
      <c r="I6245" t="s">
        <v>7738</v>
      </c>
      <c r="J6245" t="s">
        <v>26676</v>
      </c>
      <c r="K6245" t="s">
        <v>29333</v>
      </c>
      <c r="M6245" t="s">
        <v>31705</v>
      </c>
      <c r="N6245" t="s">
        <v>32524</v>
      </c>
      <c r="O6245" t="s">
        <v>32525</v>
      </c>
      <c r="P6245">
        <v>0</v>
      </c>
      <c r="Q6245">
        <v>0</v>
      </c>
      <c r="R6245" t="s">
        <v>32532</v>
      </c>
      <c r="S6245" t="s">
        <v>32616</v>
      </c>
      <c r="T6245" t="s">
        <v>33328</v>
      </c>
      <c r="U6245" t="s">
        <v>38888</v>
      </c>
      <c r="W6245" t="s">
        <v>31705</v>
      </c>
      <c r="X6245" t="s">
        <v>32533</v>
      </c>
    </row>
    <row r="6246" spans="1:24">
      <c r="A6246">
        <f>HYPERLINK("https://www.philgeps.gov.ph/GEPSNONPILOT/Tender/SplashBidNoticeAbstractUI.aspx?menuIndex=3&amp;refID=7035857&amp;Result=3","7035857")</f>
        <v>0</v>
      </c>
      <c r="B6246" t="s">
        <v>196</v>
      </c>
      <c r="C6246" t="s">
        <v>8657</v>
      </c>
      <c r="D6246" t="s">
        <v>13002</v>
      </c>
      <c r="E6246" t="s">
        <v>18623</v>
      </c>
      <c r="F6246" t="s">
        <v>22436</v>
      </c>
      <c r="G6246" t="s">
        <v>22443</v>
      </c>
      <c r="H6246" t="s">
        <v>22452</v>
      </c>
      <c r="I6246" t="s">
        <v>22476</v>
      </c>
      <c r="J6246" t="s">
        <v>22704</v>
      </c>
      <c r="K6246" t="s">
        <v>29335</v>
      </c>
      <c r="M6246" t="s">
        <v>29769</v>
      </c>
      <c r="N6246" t="s">
        <v>32524</v>
      </c>
      <c r="O6246" t="s">
        <v>32525</v>
      </c>
      <c r="P6246">
        <v>0</v>
      </c>
      <c r="Q6246">
        <v>0</v>
      </c>
      <c r="R6246" t="s">
        <v>32532</v>
      </c>
      <c r="S6246" t="s">
        <v>32616</v>
      </c>
      <c r="T6246" t="s">
        <v>33296</v>
      </c>
      <c r="U6246" t="s">
        <v>38889</v>
      </c>
      <c r="W6246" t="s">
        <v>29769</v>
      </c>
      <c r="X6246" t="s">
        <v>32533</v>
      </c>
    </row>
    <row r="6247" spans="1:24">
      <c r="A6247">
        <f>HYPERLINK("https://www.philgeps.gov.ph/GEPSNONPILOT/Tender/SplashBidNoticeAbstractUI.aspx?menuIndex=3&amp;refID=7035809&amp;Result=3","7035809")</f>
        <v>0</v>
      </c>
      <c r="B6247" t="s">
        <v>874</v>
      </c>
      <c r="C6247" t="s">
        <v>8658</v>
      </c>
      <c r="E6247" t="s">
        <v>18624</v>
      </c>
      <c r="F6247" t="s">
        <v>22436</v>
      </c>
      <c r="G6247" t="s">
        <v>22443</v>
      </c>
      <c r="H6247" t="s">
        <v>22452</v>
      </c>
      <c r="I6247" t="s">
        <v>22502</v>
      </c>
      <c r="J6247" t="s">
        <v>23229</v>
      </c>
      <c r="K6247" t="s">
        <v>29338</v>
      </c>
      <c r="M6247" t="s">
        <v>30482</v>
      </c>
      <c r="N6247" t="s">
        <v>32524</v>
      </c>
      <c r="O6247" t="s">
        <v>32525</v>
      </c>
      <c r="P6247">
        <v>0</v>
      </c>
      <c r="Q6247">
        <v>2</v>
      </c>
      <c r="R6247" t="s">
        <v>32532</v>
      </c>
      <c r="S6247" t="s">
        <v>32616</v>
      </c>
      <c r="T6247" t="s">
        <v>33327</v>
      </c>
      <c r="U6247" t="s">
        <v>38853</v>
      </c>
      <c r="W6247" t="s">
        <v>30482</v>
      </c>
      <c r="X6247" t="s">
        <v>32533</v>
      </c>
    </row>
    <row r="6248" spans="1:24">
      <c r="A6248">
        <f>HYPERLINK("https://www.philgeps.gov.ph/GEPSNONPILOT/Tender/SplashBidNoticeAbstractUI.aspx?menuIndex=3&amp;refID=7035843&amp;Result=3","7035843")</f>
        <v>0</v>
      </c>
      <c r="B6248" t="s">
        <v>1974</v>
      </c>
      <c r="C6248" t="s">
        <v>8659</v>
      </c>
      <c r="D6248" t="s">
        <v>13039</v>
      </c>
      <c r="E6248" t="s">
        <v>18625</v>
      </c>
      <c r="F6248" t="s">
        <v>22436</v>
      </c>
      <c r="G6248" t="s">
        <v>22444</v>
      </c>
      <c r="H6248" t="s">
        <v>22454</v>
      </c>
      <c r="I6248" t="s">
        <v>7738</v>
      </c>
      <c r="J6248" t="s">
        <v>22674</v>
      </c>
      <c r="K6248" t="s">
        <v>29338</v>
      </c>
      <c r="M6248" t="s">
        <v>31706</v>
      </c>
      <c r="N6248" t="s">
        <v>32524</v>
      </c>
      <c r="O6248" t="s">
        <v>32525</v>
      </c>
      <c r="P6248">
        <v>0</v>
      </c>
      <c r="Q6248">
        <v>0</v>
      </c>
      <c r="R6248" t="s">
        <v>32532</v>
      </c>
      <c r="S6248" t="s">
        <v>32616</v>
      </c>
      <c r="T6248" t="s">
        <v>33249</v>
      </c>
      <c r="U6248" t="s">
        <v>38890</v>
      </c>
      <c r="W6248" t="s">
        <v>31706</v>
      </c>
      <c r="X6248" t="s">
        <v>32533</v>
      </c>
    </row>
    <row r="6249" spans="1:24">
      <c r="A6249">
        <f>HYPERLINK("https://www.philgeps.gov.ph/GEPSNONPILOT/Tender/SplashBidNoticeAbstractUI.aspx?menuIndex=3&amp;refID=7035838&amp;Result=3","7035838")</f>
        <v>0</v>
      </c>
      <c r="B6249" t="s">
        <v>874</v>
      </c>
      <c r="C6249" t="s">
        <v>8660</v>
      </c>
      <c r="E6249" t="s">
        <v>18626</v>
      </c>
      <c r="F6249" t="s">
        <v>22436</v>
      </c>
      <c r="G6249" t="s">
        <v>22443</v>
      </c>
      <c r="H6249" t="s">
        <v>22452</v>
      </c>
      <c r="I6249" t="s">
        <v>22489</v>
      </c>
      <c r="J6249" t="s">
        <v>23234</v>
      </c>
      <c r="K6249" t="s">
        <v>29338</v>
      </c>
      <c r="M6249" t="s">
        <v>30482</v>
      </c>
      <c r="N6249" t="s">
        <v>32524</v>
      </c>
      <c r="O6249" t="s">
        <v>32525</v>
      </c>
      <c r="P6249">
        <v>0</v>
      </c>
      <c r="Q6249">
        <v>1</v>
      </c>
      <c r="R6249" t="s">
        <v>32532</v>
      </c>
      <c r="S6249" t="s">
        <v>32616</v>
      </c>
      <c r="T6249" t="s">
        <v>33327</v>
      </c>
      <c r="U6249" t="s">
        <v>38853</v>
      </c>
      <c r="W6249" t="s">
        <v>30482</v>
      </c>
      <c r="X6249" t="s">
        <v>32533</v>
      </c>
    </row>
    <row r="6250" spans="1:24">
      <c r="A6250">
        <f>HYPERLINK("https://www.philgeps.gov.ph/GEPSNONPILOT/Tender/SplashBidNoticeAbstractUI.aspx?menuIndex=3&amp;refID=7035824&amp;Result=3","7035824")</f>
        <v>0</v>
      </c>
      <c r="B6250" t="s">
        <v>874</v>
      </c>
      <c r="C6250" t="s">
        <v>8661</v>
      </c>
      <c r="E6250" t="s">
        <v>18627</v>
      </c>
      <c r="F6250" t="s">
        <v>22436</v>
      </c>
      <c r="G6250" t="s">
        <v>22443</v>
      </c>
      <c r="H6250" t="s">
        <v>22452</v>
      </c>
      <c r="I6250" t="s">
        <v>22502</v>
      </c>
      <c r="J6250" t="s">
        <v>26677</v>
      </c>
      <c r="K6250" t="s">
        <v>29338</v>
      </c>
      <c r="M6250" t="s">
        <v>30482</v>
      </c>
      <c r="N6250" t="s">
        <v>32524</v>
      </c>
      <c r="O6250" t="s">
        <v>32525</v>
      </c>
      <c r="P6250">
        <v>0</v>
      </c>
      <c r="Q6250">
        <v>3</v>
      </c>
      <c r="R6250" t="s">
        <v>32532</v>
      </c>
      <c r="S6250" t="s">
        <v>32616</v>
      </c>
      <c r="T6250" t="s">
        <v>33327</v>
      </c>
      <c r="U6250" t="s">
        <v>38853</v>
      </c>
      <c r="W6250" t="s">
        <v>30482</v>
      </c>
      <c r="X6250" t="s">
        <v>32533</v>
      </c>
    </row>
    <row r="6251" spans="1:24">
      <c r="A6251">
        <f>HYPERLINK("https://www.philgeps.gov.ph/GEPSNONPILOT/Tender/SplashBidNoticeAbstractUI.aspx?menuIndex=3&amp;refID=7035836&amp;Result=3","7035836")</f>
        <v>0</v>
      </c>
      <c r="B6251" t="s">
        <v>1493</v>
      </c>
      <c r="C6251" t="s">
        <v>8662</v>
      </c>
      <c r="D6251" t="s">
        <v>13010</v>
      </c>
      <c r="E6251" t="s">
        <v>18628</v>
      </c>
      <c r="F6251" t="s">
        <v>22436</v>
      </c>
      <c r="G6251" t="s">
        <v>22447</v>
      </c>
      <c r="H6251" t="s">
        <v>22454</v>
      </c>
      <c r="I6251" t="s">
        <v>7738</v>
      </c>
      <c r="J6251" t="s">
        <v>22877</v>
      </c>
      <c r="K6251" t="s">
        <v>29344</v>
      </c>
      <c r="M6251" t="s">
        <v>31167</v>
      </c>
      <c r="N6251" t="s">
        <v>32524</v>
      </c>
      <c r="O6251" t="s">
        <v>32525</v>
      </c>
      <c r="P6251">
        <v>0</v>
      </c>
      <c r="Q6251">
        <v>1</v>
      </c>
      <c r="R6251" t="s">
        <v>32532</v>
      </c>
      <c r="S6251" t="s">
        <v>32616</v>
      </c>
      <c r="T6251" t="s">
        <v>33167</v>
      </c>
      <c r="U6251" t="s">
        <v>38891</v>
      </c>
      <c r="V6251" t="s">
        <v>42891</v>
      </c>
      <c r="W6251" t="s">
        <v>31167</v>
      </c>
      <c r="X6251" t="s">
        <v>32533</v>
      </c>
    </row>
    <row r="6252" spans="1:24">
      <c r="A6252">
        <f>HYPERLINK("https://www.philgeps.gov.ph/GEPSNONPILOT/Tender/SplashBidNoticeAbstractUI.aspx?menuIndex=3&amp;refID=7035820&amp;Result=3","7035820")</f>
        <v>0</v>
      </c>
      <c r="B6252" t="s">
        <v>1951</v>
      </c>
      <c r="C6252" t="s">
        <v>8663</v>
      </c>
      <c r="D6252" t="s">
        <v>13065</v>
      </c>
      <c r="E6252" t="s">
        <v>14074</v>
      </c>
      <c r="F6252" t="s">
        <v>22436</v>
      </c>
      <c r="G6252" t="s">
        <v>22444</v>
      </c>
      <c r="H6252" t="s">
        <v>22454</v>
      </c>
      <c r="I6252" t="s">
        <v>7738</v>
      </c>
      <c r="J6252" t="s">
        <v>26678</v>
      </c>
      <c r="K6252" t="s">
        <v>29378</v>
      </c>
      <c r="M6252" t="s">
        <v>31681</v>
      </c>
      <c r="N6252" t="s">
        <v>32524</v>
      </c>
      <c r="O6252" t="s">
        <v>32525</v>
      </c>
      <c r="P6252">
        <v>0</v>
      </c>
      <c r="Q6252">
        <v>0</v>
      </c>
      <c r="R6252" t="s">
        <v>32532</v>
      </c>
      <c r="S6252" t="s">
        <v>32616</v>
      </c>
      <c r="T6252" t="s">
        <v>33522</v>
      </c>
      <c r="U6252" t="s">
        <v>38892</v>
      </c>
      <c r="W6252" t="s">
        <v>31681</v>
      </c>
      <c r="X6252" t="s">
        <v>32533</v>
      </c>
    </row>
    <row r="6253" spans="1:24">
      <c r="A6253">
        <f>HYPERLINK("https://www.philgeps.gov.ph/GEPSNONPILOT/Tender/SplashBidNoticeAbstractUI.aspx?menuIndex=3&amp;refID=7035869&amp;Result=3","7035869")</f>
        <v>0</v>
      </c>
      <c r="B6253" t="s">
        <v>874</v>
      </c>
      <c r="C6253" t="s">
        <v>8664</v>
      </c>
      <c r="E6253" t="s">
        <v>18629</v>
      </c>
      <c r="F6253" t="s">
        <v>22436</v>
      </c>
      <c r="G6253" t="s">
        <v>22443</v>
      </c>
      <c r="H6253" t="s">
        <v>22452</v>
      </c>
      <c r="I6253" t="s">
        <v>22466</v>
      </c>
      <c r="J6253" t="s">
        <v>22986</v>
      </c>
      <c r="K6253" t="s">
        <v>29338</v>
      </c>
      <c r="M6253" t="s">
        <v>30482</v>
      </c>
      <c r="N6253" t="s">
        <v>32524</v>
      </c>
      <c r="O6253" t="s">
        <v>32525</v>
      </c>
      <c r="P6253">
        <v>0</v>
      </c>
      <c r="Q6253">
        <v>5</v>
      </c>
      <c r="R6253" t="s">
        <v>32532</v>
      </c>
      <c r="S6253" t="s">
        <v>32616</v>
      </c>
      <c r="T6253" t="s">
        <v>33327</v>
      </c>
      <c r="U6253" t="s">
        <v>38853</v>
      </c>
      <c r="W6253" t="s">
        <v>30482</v>
      </c>
      <c r="X6253" t="s">
        <v>32533</v>
      </c>
    </row>
    <row r="6254" spans="1:24">
      <c r="A6254">
        <f>HYPERLINK("https://www.philgeps.gov.ph/GEPSNONPILOT/Tender/SplashBidNoticeAbstractUI.aspx?menuIndex=3&amp;refID=7035867&amp;Result=3","7035867")</f>
        <v>0</v>
      </c>
      <c r="B6254" t="s">
        <v>515</v>
      </c>
      <c r="C6254" t="s">
        <v>7472</v>
      </c>
      <c r="D6254" t="s">
        <v>13020</v>
      </c>
      <c r="E6254" t="s">
        <v>18630</v>
      </c>
      <c r="F6254" t="s">
        <v>22436</v>
      </c>
      <c r="G6254" t="s">
        <v>22443</v>
      </c>
      <c r="H6254" t="s">
        <v>22452</v>
      </c>
      <c r="I6254" t="s">
        <v>22463</v>
      </c>
      <c r="J6254" t="s">
        <v>23880</v>
      </c>
      <c r="K6254" t="s">
        <v>29357</v>
      </c>
      <c r="M6254" t="s">
        <v>30099</v>
      </c>
      <c r="N6254" t="s">
        <v>32524</v>
      </c>
      <c r="O6254" t="s">
        <v>32525</v>
      </c>
      <c r="P6254">
        <v>0</v>
      </c>
      <c r="Q6254">
        <v>8</v>
      </c>
      <c r="R6254" t="s">
        <v>32532</v>
      </c>
      <c r="S6254" t="s">
        <v>32616</v>
      </c>
      <c r="T6254" t="s">
        <v>33296</v>
      </c>
      <c r="U6254" t="s">
        <v>38893</v>
      </c>
      <c r="V6254" t="s">
        <v>42963</v>
      </c>
      <c r="W6254" t="s">
        <v>30099</v>
      </c>
      <c r="X6254" t="s">
        <v>32533</v>
      </c>
    </row>
    <row r="6255" spans="1:24">
      <c r="A6255">
        <f>HYPERLINK("https://www.philgeps.gov.ph/GEPSNONPILOT/Tender/SplashBidNoticeAbstractUI.aspx?menuIndex=3&amp;refID=7035870&amp;Result=3","7035870")</f>
        <v>0</v>
      </c>
      <c r="B6255" t="s">
        <v>1975</v>
      </c>
      <c r="C6255" t="s">
        <v>8665</v>
      </c>
      <c r="D6255" t="s">
        <v>13029</v>
      </c>
      <c r="E6255" t="s">
        <v>18631</v>
      </c>
      <c r="F6255" t="s">
        <v>22436</v>
      </c>
      <c r="G6255" t="s">
        <v>22444</v>
      </c>
      <c r="H6255" t="s">
        <v>22454</v>
      </c>
      <c r="I6255" t="s">
        <v>7738</v>
      </c>
      <c r="J6255" t="s">
        <v>24006</v>
      </c>
      <c r="K6255" t="s">
        <v>29345</v>
      </c>
      <c r="M6255" t="s">
        <v>31707</v>
      </c>
      <c r="N6255" t="s">
        <v>32524</v>
      </c>
      <c r="O6255" t="s">
        <v>32525</v>
      </c>
      <c r="P6255">
        <v>0</v>
      </c>
      <c r="Q6255">
        <v>11</v>
      </c>
      <c r="R6255" t="s">
        <v>32532</v>
      </c>
      <c r="S6255" t="s">
        <v>32616</v>
      </c>
      <c r="T6255" t="s">
        <v>33440</v>
      </c>
      <c r="U6255" t="s">
        <v>38894</v>
      </c>
      <c r="W6255" t="s">
        <v>31707</v>
      </c>
      <c r="X6255" t="s">
        <v>32533</v>
      </c>
    </row>
    <row r="6256" spans="1:24">
      <c r="A6256">
        <f>HYPERLINK("https://www.philgeps.gov.ph/GEPSNONPILOT/Tender/SplashBidNoticeAbstractUI.aspx?menuIndex=3&amp;refID=7035879&amp;Result=3","7035879")</f>
        <v>0</v>
      </c>
      <c r="B6256" t="s">
        <v>1976</v>
      </c>
      <c r="C6256" t="s">
        <v>8666</v>
      </c>
      <c r="D6256" t="s">
        <v>13006</v>
      </c>
      <c r="E6256" t="s">
        <v>13148</v>
      </c>
      <c r="F6256" t="s">
        <v>22436</v>
      </c>
      <c r="G6256" t="s">
        <v>22444</v>
      </c>
      <c r="H6256" t="s">
        <v>22454</v>
      </c>
      <c r="I6256" t="s">
        <v>7738</v>
      </c>
      <c r="J6256" t="s">
        <v>22809</v>
      </c>
      <c r="K6256" t="s">
        <v>29335</v>
      </c>
      <c r="M6256" t="s">
        <v>31708</v>
      </c>
      <c r="N6256" t="s">
        <v>32524</v>
      </c>
      <c r="O6256" t="s">
        <v>32525</v>
      </c>
      <c r="P6256">
        <v>0</v>
      </c>
      <c r="Q6256">
        <v>0</v>
      </c>
      <c r="R6256" t="s">
        <v>32532</v>
      </c>
      <c r="S6256" t="s">
        <v>32616</v>
      </c>
      <c r="T6256" t="s">
        <v>33375</v>
      </c>
      <c r="U6256" t="s">
        <v>38895</v>
      </c>
      <c r="W6256" t="s">
        <v>31708</v>
      </c>
      <c r="X6256" t="s">
        <v>32533</v>
      </c>
    </row>
    <row r="6257" spans="1:24">
      <c r="A6257">
        <f>HYPERLINK("https://www.philgeps.gov.ph/GEPSNONPILOT/Tender/SplashBidNoticeAbstractUI.aspx?menuIndex=3&amp;refID=7035871&amp;Result=3","7035871")</f>
        <v>0</v>
      </c>
      <c r="B6257" t="s">
        <v>1977</v>
      </c>
      <c r="C6257" t="s">
        <v>8667</v>
      </c>
      <c r="D6257" t="s">
        <v>13011</v>
      </c>
      <c r="E6257" t="s">
        <v>14434</v>
      </c>
      <c r="F6257" t="s">
        <v>22441</v>
      </c>
      <c r="G6257" t="s">
        <v>22445</v>
      </c>
      <c r="H6257" t="s">
        <v>22452</v>
      </c>
      <c r="I6257" t="s">
        <v>2981</v>
      </c>
      <c r="J6257" t="s">
        <v>22657</v>
      </c>
      <c r="K6257" t="s">
        <v>29358</v>
      </c>
      <c r="M6257" t="s">
        <v>31709</v>
      </c>
      <c r="N6257" t="s">
        <v>32524</v>
      </c>
      <c r="O6257" t="s">
        <v>32525</v>
      </c>
      <c r="P6257">
        <v>0</v>
      </c>
      <c r="Q6257">
        <v>0</v>
      </c>
      <c r="R6257" t="s">
        <v>32532</v>
      </c>
      <c r="S6257" t="s">
        <v>32616</v>
      </c>
      <c r="T6257" t="s">
        <v>33154</v>
      </c>
      <c r="U6257" t="s">
        <v>38896</v>
      </c>
      <c r="W6257" t="s">
        <v>31709</v>
      </c>
      <c r="X6257" t="s">
        <v>32533</v>
      </c>
    </row>
    <row r="6258" spans="1:24">
      <c r="A6258">
        <f>HYPERLINK("https://www.philgeps.gov.ph/GEPSNONPILOT/Tender/SplashBidNoticeAbstractUI.aspx?menuIndex=3&amp;refID=7035901&amp;Result=3","7035901")</f>
        <v>0</v>
      </c>
      <c r="B6258" t="s">
        <v>325</v>
      </c>
      <c r="C6258" t="s">
        <v>8668</v>
      </c>
      <c r="D6258" t="s">
        <v>13000</v>
      </c>
      <c r="E6258" t="s">
        <v>13368</v>
      </c>
      <c r="F6258" t="s">
        <v>22436</v>
      </c>
      <c r="G6258" t="s">
        <v>22444</v>
      </c>
      <c r="H6258" t="s">
        <v>22455</v>
      </c>
      <c r="I6258" t="s">
        <v>7738</v>
      </c>
      <c r="J6258" t="s">
        <v>22605</v>
      </c>
      <c r="K6258" t="s">
        <v>29336</v>
      </c>
      <c r="M6258" t="s">
        <v>29901</v>
      </c>
      <c r="N6258" t="s">
        <v>32524</v>
      </c>
      <c r="O6258" t="s">
        <v>32525</v>
      </c>
      <c r="P6258">
        <v>0</v>
      </c>
      <c r="Q6258">
        <v>1</v>
      </c>
      <c r="R6258" t="s">
        <v>32532</v>
      </c>
      <c r="S6258" t="s">
        <v>32616</v>
      </c>
      <c r="T6258" t="s">
        <v>33220</v>
      </c>
      <c r="U6258" t="s">
        <v>38897</v>
      </c>
      <c r="W6258" t="s">
        <v>29901</v>
      </c>
      <c r="X6258" t="s">
        <v>32533</v>
      </c>
    </row>
    <row r="6259" spans="1:24">
      <c r="A6259">
        <f>HYPERLINK("https://www.philgeps.gov.ph/GEPSNONPILOT/Tender/SplashBidNoticeAbstractUI.aspx?menuIndex=3&amp;refID=7035842&amp;Result=3","7035842")</f>
        <v>0</v>
      </c>
      <c r="B6259" t="s">
        <v>1687</v>
      </c>
      <c r="C6259" t="s">
        <v>8669</v>
      </c>
      <c r="D6259" t="s">
        <v>13004</v>
      </c>
      <c r="E6259" t="s">
        <v>13318</v>
      </c>
      <c r="F6259" t="s">
        <v>22436</v>
      </c>
      <c r="G6259" t="s">
        <v>22444</v>
      </c>
      <c r="H6259" t="s">
        <v>22452</v>
      </c>
      <c r="I6259" t="s">
        <v>3529</v>
      </c>
      <c r="J6259" t="s">
        <v>26679</v>
      </c>
      <c r="K6259" t="s">
        <v>29335</v>
      </c>
      <c r="M6259" t="s">
        <v>31387</v>
      </c>
      <c r="N6259" t="s">
        <v>32524</v>
      </c>
      <c r="O6259" t="s">
        <v>32525</v>
      </c>
      <c r="P6259">
        <v>0</v>
      </c>
      <c r="Q6259">
        <v>1</v>
      </c>
      <c r="R6259" t="s">
        <v>32532</v>
      </c>
      <c r="S6259" t="s">
        <v>32616</v>
      </c>
      <c r="T6259" t="s">
        <v>33372</v>
      </c>
      <c r="U6259" t="s">
        <v>38898</v>
      </c>
      <c r="W6259" t="s">
        <v>31387</v>
      </c>
      <c r="X6259" t="s">
        <v>32533</v>
      </c>
    </row>
    <row r="6260" spans="1:24">
      <c r="A6260">
        <f>HYPERLINK("https://www.philgeps.gov.ph/GEPSNONPILOT/Tender/SplashBidNoticeAbstractUI.aspx?menuIndex=3&amp;refID=7035907&amp;Result=3","7035907")</f>
        <v>0</v>
      </c>
      <c r="B6260" t="s">
        <v>1208</v>
      </c>
      <c r="C6260" t="s">
        <v>8670</v>
      </c>
      <c r="D6260" t="s">
        <v>13044</v>
      </c>
      <c r="E6260" t="s">
        <v>18298</v>
      </c>
      <c r="F6260" t="s">
        <v>22436</v>
      </c>
      <c r="G6260" t="s">
        <v>22444</v>
      </c>
      <c r="H6260" t="s">
        <v>22454</v>
      </c>
      <c r="I6260" t="s">
        <v>7738</v>
      </c>
      <c r="J6260" t="s">
        <v>23350</v>
      </c>
      <c r="K6260" t="s">
        <v>29333</v>
      </c>
      <c r="M6260" t="s">
        <v>30857</v>
      </c>
      <c r="N6260" t="s">
        <v>32524</v>
      </c>
      <c r="O6260" t="s">
        <v>32525</v>
      </c>
      <c r="P6260">
        <v>0</v>
      </c>
      <c r="Q6260">
        <v>2</v>
      </c>
      <c r="R6260" t="s">
        <v>32532</v>
      </c>
      <c r="S6260" t="s">
        <v>32616</v>
      </c>
      <c r="T6260" t="s">
        <v>33259</v>
      </c>
      <c r="U6260" t="s">
        <v>38899</v>
      </c>
      <c r="W6260" t="s">
        <v>30857</v>
      </c>
      <c r="X6260" t="s">
        <v>32533</v>
      </c>
    </row>
    <row r="6261" spans="1:24">
      <c r="A6261">
        <f>HYPERLINK("https://www.philgeps.gov.ph/GEPSNONPILOT/Tender/SplashBidNoticeAbstractUI.aspx?menuIndex=3&amp;refID=7035890&amp;Result=3","7035890")</f>
        <v>0</v>
      </c>
      <c r="B6261" t="s">
        <v>1978</v>
      </c>
      <c r="C6261" t="s">
        <v>8671</v>
      </c>
      <c r="D6261" t="s">
        <v>13033</v>
      </c>
      <c r="E6261" t="s">
        <v>13137</v>
      </c>
      <c r="F6261" t="s">
        <v>22436</v>
      </c>
      <c r="G6261" t="s">
        <v>22444</v>
      </c>
      <c r="H6261" t="s">
        <v>22454</v>
      </c>
      <c r="I6261" t="s">
        <v>7738</v>
      </c>
      <c r="J6261" t="s">
        <v>22605</v>
      </c>
      <c r="K6261" t="s">
        <v>29335</v>
      </c>
      <c r="M6261" t="s">
        <v>31710</v>
      </c>
      <c r="N6261" t="s">
        <v>32524</v>
      </c>
      <c r="O6261" t="s">
        <v>32525</v>
      </c>
      <c r="P6261">
        <v>0</v>
      </c>
      <c r="Q6261">
        <v>0</v>
      </c>
      <c r="R6261" t="s">
        <v>32532</v>
      </c>
      <c r="S6261" t="s">
        <v>32616</v>
      </c>
      <c r="T6261" t="s">
        <v>33403</v>
      </c>
      <c r="U6261" t="s">
        <v>38900</v>
      </c>
      <c r="W6261" t="s">
        <v>31710</v>
      </c>
      <c r="X6261" t="s">
        <v>32533</v>
      </c>
    </row>
    <row r="6262" spans="1:24">
      <c r="A6262">
        <f>HYPERLINK("https://www.philgeps.gov.ph/GEPSNONPILOT/Tender/SplashBidNoticeAbstractUI.aspx?menuIndex=3&amp;refID=7035897&amp;Result=3","7035897")</f>
        <v>0</v>
      </c>
      <c r="B6262" t="s">
        <v>874</v>
      </c>
      <c r="C6262" t="s">
        <v>8672</v>
      </c>
      <c r="E6262" t="s">
        <v>18632</v>
      </c>
      <c r="F6262" t="s">
        <v>22436</v>
      </c>
      <c r="G6262" t="s">
        <v>22443</v>
      </c>
      <c r="H6262" t="s">
        <v>22452</v>
      </c>
      <c r="I6262" t="s">
        <v>22482</v>
      </c>
      <c r="J6262" t="s">
        <v>22695</v>
      </c>
      <c r="K6262" t="s">
        <v>29338</v>
      </c>
      <c r="M6262" t="s">
        <v>30482</v>
      </c>
      <c r="N6262" t="s">
        <v>32524</v>
      </c>
      <c r="O6262" t="s">
        <v>32525</v>
      </c>
      <c r="P6262">
        <v>0</v>
      </c>
      <c r="Q6262">
        <v>8</v>
      </c>
      <c r="R6262" t="s">
        <v>32532</v>
      </c>
      <c r="S6262" t="s">
        <v>32616</v>
      </c>
      <c r="T6262" t="s">
        <v>33327</v>
      </c>
      <c r="U6262" t="s">
        <v>38853</v>
      </c>
      <c r="W6262" t="s">
        <v>30482</v>
      </c>
      <c r="X6262" t="s">
        <v>32533</v>
      </c>
    </row>
    <row r="6263" spans="1:24">
      <c r="A6263">
        <f>HYPERLINK("https://www.philgeps.gov.ph/GEPSNONPILOT/Tender/SplashBidNoticeAbstractUI.aspx?menuIndex=3&amp;refID=7035768&amp;Result=3","7035768")</f>
        <v>0</v>
      </c>
      <c r="B6263" t="s">
        <v>296</v>
      </c>
      <c r="C6263" t="s">
        <v>8673</v>
      </c>
      <c r="D6263" t="s">
        <v>12988</v>
      </c>
      <c r="E6263" t="s">
        <v>18619</v>
      </c>
      <c r="F6263" t="s">
        <v>22436</v>
      </c>
      <c r="G6263" t="s">
        <v>22444</v>
      </c>
      <c r="H6263" t="s">
        <v>22452</v>
      </c>
      <c r="I6263" t="s">
        <v>22494</v>
      </c>
      <c r="J6263" t="s">
        <v>26680</v>
      </c>
      <c r="K6263" t="s">
        <v>29331</v>
      </c>
      <c r="M6263" t="s">
        <v>29870</v>
      </c>
      <c r="N6263" t="s">
        <v>32524</v>
      </c>
      <c r="O6263" t="s">
        <v>32525</v>
      </c>
      <c r="P6263">
        <v>0</v>
      </c>
      <c r="Q6263">
        <v>1</v>
      </c>
      <c r="R6263" t="s">
        <v>32532</v>
      </c>
      <c r="S6263" t="s">
        <v>32616</v>
      </c>
      <c r="T6263" t="s">
        <v>33253</v>
      </c>
      <c r="U6263" t="s">
        <v>38885</v>
      </c>
      <c r="W6263" t="s">
        <v>29870</v>
      </c>
      <c r="X6263" t="s">
        <v>32533</v>
      </c>
    </row>
    <row r="6264" spans="1:24">
      <c r="A6264">
        <f>HYPERLINK("https://www.philgeps.gov.ph/GEPSNONPILOT/Tender/SplashBidNoticeAbstractUI.aspx?menuIndex=3&amp;refID=7035905&amp;Result=3","7035905")</f>
        <v>0</v>
      </c>
      <c r="B6264" t="s">
        <v>296</v>
      </c>
      <c r="C6264" t="s">
        <v>8674</v>
      </c>
      <c r="D6264" t="s">
        <v>12988</v>
      </c>
      <c r="E6264" t="s">
        <v>18619</v>
      </c>
      <c r="F6264" t="s">
        <v>22436</v>
      </c>
      <c r="G6264" t="s">
        <v>22444</v>
      </c>
      <c r="H6264" t="s">
        <v>22452</v>
      </c>
      <c r="I6264" t="s">
        <v>22494</v>
      </c>
      <c r="J6264" t="s">
        <v>26681</v>
      </c>
      <c r="K6264" t="s">
        <v>29331</v>
      </c>
      <c r="M6264" t="s">
        <v>29870</v>
      </c>
      <c r="N6264" t="s">
        <v>32524</v>
      </c>
      <c r="O6264" t="s">
        <v>32525</v>
      </c>
      <c r="P6264">
        <v>0</v>
      </c>
      <c r="Q6264">
        <v>2</v>
      </c>
      <c r="R6264" t="s">
        <v>32532</v>
      </c>
      <c r="S6264" t="s">
        <v>32616</v>
      </c>
      <c r="T6264" t="s">
        <v>33253</v>
      </c>
      <c r="U6264" t="s">
        <v>38885</v>
      </c>
      <c r="W6264" t="s">
        <v>29870</v>
      </c>
      <c r="X6264" t="s">
        <v>32533</v>
      </c>
    </row>
    <row r="6265" spans="1:24">
      <c r="A6265">
        <f>HYPERLINK("https://www.philgeps.gov.ph/GEPSNONPILOT/Tender/SplashBidNoticeAbstractUI.aspx?menuIndex=3&amp;refID=7035892&amp;Result=3","7035892")</f>
        <v>0</v>
      </c>
      <c r="B6265" t="s">
        <v>1979</v>
      </c>
      <c r="C6265" t="s">
        <v>8675</v>
      </c>
      <c r="D6265" t="s">
        <v>13012</v>
      </c>
      <c r="E6265" t="s">
        <v>18633</v>
      </c>
      <c r="F6265" t="s">
        <v>22436</v>
      </c>
      <c r="G6265" t="s">
        <v>22444</v>
      </c>
      <c r="H6265" t="s">
        <v>22452</v>
      </c>
      <c r="I6265" t="s">
        <v>3529</v>
      </c>
      <c r="J6265" t="s">
        <v>26682</v>
      </c>
      <c r="K6265" t="s">
        <v>29338</v>
      </c>
      <c r="M6265" t="s">
        <v>31711</v>
      </c>
      <c r="N6265" t="s">
        <v>32524</v>
      </c>
      <c r="O6265" t="s">
        <v>32525</v>
      </c>
      <c r="P6265">
        <v>0</v>
      </c>
      <c r="Q6265">
        <v>1</v>
      </c>
      <c r="R6265" t="s">
        <v>32532</v>
      </c>
      <c r="S6265" t="s">
        <v>32616</v>
      </c>
      <c r="T6265" t="s">
        <v>33167</v>
      </c>
      <c r="U6265" t="s">
        <v>38901</v>
      </c>
      <c r="W6265" t="s">
        <v>31711</v>
      </c>
      <c r="X6265" t="s">
        <v>32533</v>
      </c>
    </row>
    <row r="6266" spans="1:24">
      <c r="A6266">
        <f>HYPERLINK("https://www.philgeps.gov.ph/GEPSNONPILOT/Tender/SplashBidNoticeAbstractUI.aspx?menuIndex=3&amp;refID=7035906&amp;Result=3","7035906")</f>
        <v>0</v>
      </c>
      <c r="B6266" t="s">
        <v>1967</v>
      </c>
      <c r="C6266" t="s">
        <v>8676</v>
      </c>
      <c r="D6266" t="s">
        <v>13007</v>
      </c>
      <c r="E6266" t="s">
        <v>18634</v>
      </c>
      <c r="F6266" t="s">
        <v>22436</v>
      </c>
      <c r="G6266" t="s">
        <v>22444</v>
      </c>
      <c r="H6266" t="s">
        <v>22452</v>
      </c>
      <c r="I6266" t="s">
        <v>3529</v>
      </c>
      <c r="J6266" t="s">
        <v>26683</v>
      </c>
      <c r="K6266" t="s">
        <v>29338</v>
      </c>
      <c r="M6266" t="s">
        <v>31698</v>
      </c>
      <c r="N6266" t="s">
        <v>32524</v>
      </c>
      <c r="O6266" t="s">
        <v>32525</v>
      </c>
      <c r="P6266">
        <v>0</v>
      </c>
      <c r="Q6266">
        <v>0</v>
      </c>
      <c r="R6266" t="s">
        <v>32532</v>
      </c>
      <c r="S6266" t="s">
        <v>32616</v>
      </c>
      <c r="T6266" t="s">
        <v>33416</v>
      </c>
      <c r="U6266" t="s">
        <v>38902</v>
      </c>
      <c r="V6266" t="s">
        <v>43116</v>
      </c>
      <c r="W6266" t="s">
        <v>31698</v>
      </c>
      <c r="X6266" t="s">
        <v>32533</v>
      </c>
    </row>
    <row r="6267" spans="1:24">
      <c r="A6267">
        <f>HYPERLINK("https://www.philgeps.gov.ph/GEPSNONPILOT/Tender/SplashBidNoticeAbstractUI.aspx?menuIndex=3&amp;refID=7035894&amp;Result=3","7035894")</f>
        <v>0</v>
      </c>
      <c r="B6267" t="s">
        <v>1687</v>
      </c>
      <c r="C6267" t="s">
        <v>8677</v>
      </c>
      <c r="D6267" t="s">
        <v>13004</v>
      </c>
      <c r="E6267" t="s">
        <v>13321</v>
      </c>
      <c r="F6267" t="s">
        <v>22436</v>
      </c>
      <c r="G6267" t="s">
        <v>22444</v>
      </c>
      <c r="H6267" t="s">
        <v>22452</v>
      </c>
      <c r="I6267" t="s">
        <v>3529</v>
      </c>
      <c r="J6267" t="s">
        <v>23881</v>
      </c>
      <c r="K6267" t="s">
        <v>29335</v>
      </c>
      <c r="M6267" t="s">
        <v>31387</v>
      </c>
      <c r="N6267" t="s">
        <v>32524</v>
      </c>
      <c r="O6267" t="s">
        <v>32525</v>
      </c>
      <c r="P6267">
        <v>0</v>
      </c>
      <c r="Q6267">
        <v>0</v>
      </c>
      <c r="R6267" t="s">
        <v>32532</v>
      </c>
      <c r="S6267" t="s">
        <v>32616</v>
      </c>
      <c r="T6267" t="s">
        <v>33372</v>
      </c>
      <c r="U6267" t="s">
        <v>38903</v>
      </c>
      <c r="W6267" t="s">
        <v>31387</v>
      </c>
      <c r="X6267" t="s">
        <v>32533</v>
      </c>
    </row>
    <row r="6268" spans="1:24">
      <c r="A6268">
        <f>HYPERLINK("https://www.philgeps.gov.ph/GEPSNONPILOT/Tender/SplashBidNoticeAbstractUI.aspx?menuIndex=3&amp;refID=7035889&amp;Result=3","7035889")</f>
        <v>0</v>
      </c>
      <c r="B6268" t="s">
        <v>1980</v>
      </c>
      <c r="C6268" t="s">
        <v>8678</v>
      </c>
      <c r="D6268" t="s">
        <v>13001</v>
      </c>
      <c r="E6268" t="s">
        <v>18635</v>
      </c>
      <c r="F6268" t="s">
        <v>22436</v>
      </c>
      <c r="G6268" t="s">
        <v>22444</v>
      </c>
      <c r="H6268" t="s">
        <v>22452</v>
      </c>
      <c r="I6268" t="s">
        <v>22540</v>
      </c>
      <c r="J6268" t="s">
        <v>26684</v>
      </c>
      <c r="K6268" t="s">
        <v>29338</v>
      </c>
      <c r="M6268" t="s">
        <v>31712</v>
      </c>
      <c r="N6268" t="s">
        <v>32524</v>
      </c>
      <c r="O6268" t="s">
        <v>32525</v>
      </c>
      <c r="P6268">
        <v>0</v>
      </c>
      <c r="Q6268">
        <v>1</v>
      </c>
      <c r="R6268" t="s">
        <v>32532</v>
      </c>
      <c r="S6268" t="s">
        <v>32616</v>
      </c>
      <c r="T6268" t="s">
        <v>33372</v>
      </c>
      <c r="U6268" t="s">
        <v>38904</v>
      </c>
      <c r="V6268" t="s">
        <v>43120</v>
      </c>
      <c r="W6268" t="s">
        <v>31712</v>
      </c>
      <c r="X6268" t="s">
        <v>32533</v>
      </c>
    </row>
    <row r="6269" spans="1:24">
      <c r="A6269">
        <f>HYPERLINK("https://www.philgeps.gov.ph/GEPSNONPILOT/Tender/SplashBidNoticeAbstractUI.aspx?menuIndex=3&amp;refID=7035880&amp;Result=3","7035880")</f>
        <v>0</v>
      </c>
      <c r="B6269" t="s">
        <v>140</v>
      </c>
      <c r="C6269" t="s">
        <v>8679</v>
      </c>
      <c r="E6269" t="s">
        <v>18636</v>
      </c>
      <c r="F6269" t="s">
        <v>22436</v>
      </c>
      <c r="G6269" t="s">
        <v>22443</v>
      </c>
      <c r="H6269" t="s">
        <v>22452</v>
      </c>
      <c r="I6269" t="s">
        <v>2981</v>
      </c>
      <c r="J6269" t="s">
        <v>26685</v>
      </c>
      <c r="K6269" t="s">
        <v>29338</v>
      </c>
      <c r="M6269" t="s">
        <v>29712</v>
      </c>
      <c r="N6269" t="s">
        <v>32524</v>
      </c>
      <c r="O6269" t="s">
        <v>32525</v>
      </c>
      <c r="P6269">
        <v>0</v>
      </c>
      <c r="Q6269">
        <v>0</v>
      </c>
      <c r="R6269" t="s">
        <v>32532</v>
      </c>
      <c r="S6269" t="s">
        <v>32616</v>
      </c>
      <c r="T6269" t="s">
        <v>33238</v>
      </c>
      <c r="U6269" t="s">
        <v>38905</v>
      </c>
      <c r="W6269" t="s">
        <v>29712</v>
      </c>
      <c r="X6269" t="s">
        <v>32533</v>
      </c>
    </row>
    <row r="6270" spans="1:24">
      <c r="A6270">
        <f>HYPERLINK("https://www.philgeps.gov.ph/GEPSNONPILOT/Tender/SplashBidNoticeAbstractUI.aspx?menuIndex=3&amp;refID=7035918&amp;Result=3","7035918")</f>
        <v>0</v>
      </c>
      <c r="B6270" t="s">
        <v>474</v>
      </c>
      <c r="C6270" t="s">
        <v>8680</v>
      </c>
      <c r="D6270" t="s">
        <v>13018</v>
      </c>
      <c r="E6270" t="s">
        <v>14752</v>
      </c>
      <c r="F6270" t="s">
        <v>22436</v>
      </c>
      <c r="G6270" t="s">
        <v>22444</v>
      </c>
      <c r="H6270" t="s">
        <v>22452</v>
      </c>
      <c r="I6270" t="s">
        <v>3529</v>
      </c>
      <c r="J6270" t="s">
        <v>26686</v>
      </c>
      <c r="K6270" t="s">
        <v>29334</v>
      </c>
      <c r="M6270" t="s">
        <v>30058</v>
      </c>
      <c r="N6270" t="s">
        <v>32524</v>
      </c>
      <c r="O6270" t="s">
        <v>32525</v>
      </c>
      <c r="P6270">
        <v>0</v>
      </c>
      <c r="Q6270">
        <v>0</v>
      </c>
      <c r="R6270" t="s">
        <v>32532</v>
      </c>
      <c r="S6270" t="s">
        <v>32616</v>
      </c>
      <c r="T6270" t="s">
        <v>33528</v>
      </c>
      <c r="U6270" t="s">
        <v>38906</v>
      </c>
      <c r="W6270" t="s">
        <v>30058</v>
      </c>
      <c r="X6270" t="s">
        <v>32533</v>
      </c>
    </row>
    <row r="6271" spans="1:24">
      <c r="A6271">
        <f>HYPERLINK("https://www.philgeps.gov.ph/GEPSNONPILOT/Tender/SplashBidNoticeAbstractUI.aspx?menuIndex=3&amp;refID=7035912&amp;Result=3","7035912")</f>
        <v>0</v>
      </c>
      <c r="B6271" t="s">
        <v>568</v>
      </c>
      <c r="C6271" t="s">
        <v>8681</v>
      </c>
      <c r="D6271" t="s">
        <v>13065</v>
      </c>
      <c r="E6271" t="s">
        <v>18637</v>
      </c>
      <c r="F6271" t="s">
        <v>22436</v>
      </c>
      <c r="G6271" t="s">
        <v>22444</v>
      </c>
      <c r="H6271" t="s">
        <v>22452</v>
      </c>
      <c r="I6271" t="s">
        <v>22474</v>
      </c>
      <c r="J6271" t="s">
        <v>26195</v>
      </c>
      <c r="K6271" t="s">
        <v>29331</v>
      </c>
      <c r="M6271" t="s">
        <v>30156</v>
      </c>
      <c r="N6271" t="s">
        <v>32524</v>
      </c>
      <c r="O6271" t="s">
        <v>32525</v>
      </c>
      <c r="P6271">
        <v>0</v>
      </c>
      <c r="Q6271">
        <v>4</v>
      </c>
      <c r="R6271" t="s">
        <v>32532</v>
      </c>
      <c r="S6271" t="s">
        <v>32616</v>
      </c>
      <c r="T6271" t="s">
        <v>33188</v>
      </c>
      <c r="U6271" t="s">
        <v>38907</v>
      </c>
      <c r="W6271" t="s">
        <v>30156</v>
      </c>
      <c r="X6271" t="s">
        <v>32533</v>
      </c>
    </row>
    <row r="6272" spans="1:24">
      <c r="A6272">
        <f>HYPERLINK("https://www.philgeps.gov.ph/GEPSNONPILOT/Tender/SplashBidNoticeAbstractUI.aspx?menuIndex=3&amp;refID=7035884&amp;Result=3","7035884")</f>
        <v>0</v>
      </c>
      <c r="B6272" t="s">
        <v>1981</v>
      </c>
      <c r="C6272" t="s">
        <v>8682</v>
      </c>
      <c r="D6272" t="s">
        <v>13007</v>
      </c>
      <c r="E6272" t="s">
        <v>13137</v>
      </c>
      <c r="F6272" t="s">
        <v>22437</v>
      </c>
      <c r="G6272" t="s">
        <v>22443</v>
      </c>
      <c r="H6272" t="s">
        <v>22452</v>
      </c>
      <c r="I6272" t="s">
        <v>22482</v>
      </c>
      <c r="J6272" t="s">
        <v>22692</v>
      </c>
      <c r="K6272" t="s">
        <v>29337</v>
      </c>
      <c r="M6272" t="s">
        <v>31713</v>
      </c>
      <c r="N6272" t="s">
        <v>32524</v>
      </c>
      <c r="O6272" t="s">
        <v>32525</v>
      </c>
      <c r="P6272">
        <v>0</v>
      </c>
      <c r="Q6272">
        <v>1</v>
      </c>
      <c r="R6272" t="s">
        <v>32532</v>
      </c>
      <c r="S6272" t="s">
        <v>32616</v>
      </c>
      <c r="T6272" t="s">
        <v>33371</v>
      </c>
      <c r="U6272" t="s">
        <v>38908</v>
      </c>
      <c r="W6272" t="s">
        <v>31713</v>
      </c>
      <c r="X6272" t="s">
        <v>32533</v>
      </c>
    </row>
    <row r="6273" spans="1:24">
      <c r="A6273">
        <f>HYPERLINK("https://www.philgeps.gov.ph/GEPSNONPILOT/Tender/SplashBidNoticeAbstractUI.aspx?menuIndex=3&amp;refID=7035882&amp;Result=3","7035882")</f>
        <v>0</v>
      </c>
      <c r="B6273" t="s">
        <v>1592</v>
      </c>
      <c r="C6273" t="s">
        <v>8683</v>
      </c>
      <c r="D6273" t="s">
        <v>13004</v>
      </c>
      <c r="E6273" t="s">
        <v>18638</v>
      </c>
      <c r="F6273" t="s">
        <v>22436</v>
      </c>
      <c r="G6273" t="s">
        <v>22444</v>
      </c>
      <c r="H6273" t="s">
        <v>22454</v>
      </c>
      <c r="I6273" t="s">
        <v>7738</v>
      </c>
      <c r="J6273" t="s">
        <v>26687</v>
      </c>
      <c r="K6273" t="s">
        <v>29390</v>
      </c>
      <c r="M6273" t="s">
        <v>31275</v>
      </c>
      <c r="N6273" t="s">
        <v>32524</v>
      </c>
      <c r="O6273" t="s">
        <v>32525</v>
      </c>
      <c r="P6273">
        <v>0</v>
      </c>
      <c r="Q6273">
        <v>0</v>
      </c>
      <c r="R6273" t="s">
        <v>32532</v>
      </c>
      <c r="S6273" t="s">
        <v>32616</v>
      </c>
      <c r="T6273" t="s">
        <v>33220</v>
      </c>
      <c r="U6273" t="s">
        <v>38909</v>
      </c>
      <c r="W6273" t="s">
        <v>31275</v>
      </c>
      <c r="X6273" t="s">
        <v>32533</v>
      </c>
    </row>
    <row r="6274" spans="1:24">
      <c r="A6274">
        <f>HYPERLINK("https://www.philgeps.gov.ph/GEPSNONPILOT/Tender/SplashBidNoticeAbstractUI.aspx?menuIndex=3&amp;refID=7035911&amp;Result=3","7035911")</f>
        <v>0</v>
      </c>
      <c r="B6274" t="s">
        <v>1805</v>
      </c>
      <c r="C6274" t="s">
        <v>8684</v>
      </c>
      <c r="D6274" t="s">
        <v>13069</v>
      </c>
      <c r="E6274" t="s">
        <v>18639</v>
      </c>
      <c r="F6274" t="s">
        <v>22436</v>
      </c>
      <c r="G6274" t="s">
        <v>22444</v>
      </c>
      <c r="H6274" t="s">
        <v>22454</v>
      </c>
      <c r="I6274" t="s">
        <v>7738</v>
      </c>
      <c r="J6274" t="s">
        <v>26688</v>
      </c>
      <c r="K6274" t="s">
        <v>29344</v>
      </c>
      <c r="M6274" t="s">
        <v>31518</v>
      </c>
      <c r="N6274" t="s">
        <v>32524</v>
      </c>
      <c r="O6274" t="s">
        <v>32525</v>
      </c>
      <c r="P6274">
        <v>0</v>
      </c>
      <c r="Q6274">
        <v>1</v>
      </c>
      <c r="R6274" t="s">
        <v>32532</v>
      </c>
      <c r="S6274" t="s">
        <v>32616</v>
      </c>
      <c r="T6274" t="s">
        <v>33177</v>
      </c>
      <c r="U6274" t="s">
        <v>38910</v>
      </c>
      <c r="W6274" t="s">
        <v>31518</v>
      </c>
      <c r="X6274" t="s">
        <v>32533</v>
      </c>
    </row>
    <row r="6275" spans="1:24">
      <c r="A6275">
        <f>HYPERLINK("https://www.philgeps.gov.ph/GEPSNONPILOT/Tender/SplashBidNoticeAbstractUI.aspx?menuIndex=3&amp;refID=7035923&amp;Result=3","7035923")</f>
        <v>0</v>
      </c>
      <c r="B6275" t="s">
        <v>1982</v>
      </c>
      <c r="C6275" t="s">
        <v>8685</v>
      </c>
      <c r="D6275" t="s">
        <v>13003</v>
      </c>
      <c r="E6275" t="s">
        <v>18640</v>
      </c>
      <c r="F6275" t="s">
        <v>22436</v>
      </c>
      <c r="G6275" t="s">
        <v>22444</v>
      </c>
      <c r="H6275" t="s">
        <v>22454</v>
      </c>
      <c r="I6275" t="s">
        <v>7738</v>
      </c>
      <c r="J6275" t="s">
        <v>23384</v>
      </c>
      <c r="K6275" t="s">
        <v>29333</v>
      </c>
      <c r="M6275" t="s">
        <v>31714</v>
      </c>
      <c r="N6275" t="s">
        <v>32524</v>
      </c>
      <c r="O6275" t="s">
        <v>32525</v>
      </c>
      <c r="P6275">
        <v>0</v>
      </c>
      <c r="Q6275">
        <v>0</v>
      </c>
      <c r="R6275" t="s">
        <v>32532</v>
      </c>
      <c r="S6275" t="s">
        <v>32616</v>
      </c>
      <c r="T6275" t="s">
        <v>33227</v>
      </c>
      <c r="U6275" t="s">
        <v>38911</v>
      </c>
      <c r="V6275" t="s">
        <v>43121</v>
      </c>
      <c r="W6275" t="s">
        <v>31714</v>
      </c>
      <c r="X6275" t="s">
        <v>32533</v>
      </c>
    </row>
    <row r="6276" spans="1:24">
      <c r="A6276">
        <f>HYPERLINK("https://www.philgeps.gov.ph/GEPSNONPILOT/Tender/SplashBidNoticeAbstractUI.aspx?menuIndex=3&amp;refID=7035924&amp;Result=3","7035924")</f>
        <v>0</v>
      </c>
      <c r="B6276" t="s">
        <v>1971</v>
      </c>
      <c r="C6276" t="s">
        <v>8686</v>
      </c>
      <c r="D6276" t="s">
        <v>12991</v>
      </c>
      <c r="E6276" t="s">
        <v>18641</v>
      </c>
      <c r="F6276" t="s">
        <v>22436</v>
      </c>
      <c r="G6276" t="s">
        <v>22444</v>
      </c>
      <c r="H6276" t="s">
        <v>22452</v>
      </c>
      <c r="I6276" t="s">
        <v>7738</v>
      </c>
      <c r="J6276" t="s">
        <v>26689</v>
      </c>
      <c r="K6276" t="s">
        <v>29338</v>
      </c>
      <c r="M6276" t="s">
        <v>31703</v>
      </c>
      <c r="N6276" t="s">
        <v>32524</v>
      </c>
      <c r="O6276" t="s">
        <v>32525</v>
      </c>
      <c r="P6276">
        <v>0</v>
      </c>
      <c r="Q6276">
        <v>0</v>
      </c>
      <c r="R6276" t="s">
        <v>32532</v>
      </c>
      <c r="S6276" t="s">
        <v>32616</v>
      </c>
      <c r="T6276" t="s">
        <v>33238</v>
      </c>
      <c r="U6276" t="s">
        <v>38912</v>
      </c>
      <c r="W6276" t="s">
        <v>31703</v>
      </c>
      <c r="X6276" t="s">
        <v>32533</v>
      </c>
    </row>
    <row r="6277" spans="1:24">
      <c r="A6277">
        <f>HYPERLINK("https://www.philgeps.gov.ph/GEPSNONPILOT/Tender/SplashBidNoticeAbstractUI.aspx?menuIndex=3&amp;refID=7035909&amp;Result=3","7035909")</f>
        <v>0</v>
      </c>
      <c r="B6277" t="s">
        <v>1493</v>
      </c>
      <c r="C6277" t="s">
        <v>8687</v>
      </c>
      <c r="D6277" t="s">
        <v>13010</v>
      </c>
      <c r="E6277" t="s">
        <v>18642</v>
      </c>
      <c r="F6277" t="s">
        <v>22436</v>
      </c>
      <c r="G6277" t="s">
        <v>22444</v>
      </c>
      <c r="H6277" t="s">
        <v>22452</v>
      </c>
      <c r="I6277" t="s">
        <v>22479</v>
      </c>
      <c r="J6277" t="s">
        <v>23149</v>
      </c>
      <c r="K6277" t="s">
        <v>29341</v>
      </c>
      <c r="M6277" t="s">
        <v>31167</v>
      </c>
      <c r="N6277" t="s">
        <v>32524</v>
      </c>
      <c r="O6277" t="s">
        <v>32525</v>
      </c>
      <c r="P6277">
        <v>0</v>
      </c>
      <c r="Q6277">
        <v>3</v>
      </c>
      <c r="R6277" t="s">
        <v>32532</v>
      </c>
      <c r="S6277" t="s">
        <v>32616</v>
      </c>
      <c r="T6277" t="s">
        <v>33167</v>
      </c>
      <c r="U6277" t="s">
        <v>38913</v>
      </c>
      <c r="V6277" t="s">
        <v>43122</v>
      </c>
      <c r="W6277" t="s">
        <v>31167</v>
      </c>
      <c r="X6277" t="s">
        <v>32533</v>
      </c>
    </row>
    <row r="6278" spans="1:24">
      <c r="A6278">
        <f>HYPERLINK("https://www.philgeps.gov.ph/GEPSNONPILOT/Tender/SplashBidNoticeAbstractUI.aspx?menuIndex=3&amp;refID=7035920&amp;Result=3","7035920")</f>
        <v>0</v>
      </c>
      <c r="B6278" t="s">
        <v>1983</v>
      </c>
      <c r="C6278" t="s">
        <v>8688</v>
      </c>
      <c r="D6278" t="s">
        <v>13022</v>
      </c>
      <c r="E6278" t="s">
        <v>18643</v>
      </c>
      <c r="F6278" t="s">
        <v>22436</v>
      </c>
      <c r="G6278" t="s">
        <v>22444</v>
      </c>
      <c r="H6278" t="s">
        <v>22452</v>
      </c>
      <c r="I6278" t="s">
        <v>22467</v>
      </c>
      <c r="J6278" t="s">
        <v>26690</v>
      </c>
      <c r="K6278" t="s">
        <v>29386</v>
      </c>
      <c r="M6278" t="s">
        <v>31715</v>
      </c>
      <c r="N6278" t="s">
        <v>32524</v>
      </c>
      <c r="O6278" t="s">
        <v>32525</v>
      </c>
      <c r="P6278">
        <v>0</v>
      </c>
      <c r="Q6278">
        <v>0</v>
      </c>
      <c r="R6278" t="s">
        <v>32532</v>
      </c>
      <c r="S6278" t="s">
        <v>32616</v>
      </c>
      <c r="T6278" t="s">
        <v>33218</v>
      </c>
      <c r="U6278" t="s">
        <v>38914</v>
      </c>
      <c r="W6278" t="s">
        <v>31715</v>
      </c>
      <c r="X6278" t="s">
        <v>32533</v>
      </c>
    </row>
    <row r="6279" spans="1:24">
      <c r="A6279">
        <f>HYPERLINK("https://www.philgeps.gov.ph/GEPSNONPILOT/Tender/SplashBidNoticeAbstractUI.aspx?menuIndex=3&amp;refID=7035943&amp;Result=3","7035943")</f>
        <v>0</v>
      </c>
      <c r="B6279" t="s">
        <v>874</v>
      </c>
      <c r="C6279" t="s">
        <v>8689</v>
      </c>
      <c r="E6279" t="s">
        <v>18644</v>
      </c>
      <c r="F6279" t="s">
        <v>22436</v>
      </c>
      <c r="G6279" t="s">
        <v>22443</v>
      </c>
      <c r="H6279" t="s">
        <v>22452</v>
      </c>
      <c r="I6279" t="s">
        <v>22502</v>
      </c>
      <c r="J6279" t="s">
        <v>22740</v>
      </c>
      <c r="K6279" t="s">
        <v>29338</v>
      </c>
      <c r="M6279" t="s">
        <v>30482</v>
      </c>
      <c r="N6279" t="s">
        <v>32524</v>
      </c>
      <c r="O6279" t="s">
        <v>32525</v>
      </c>
      <c r="P6279">
        <v>0</v>
      </c>
      <c r="Q6279">
        <v>3</v>
      </c>
      <c r="R6279" t="s">
        <v>32532</v>
      </c>
      <c r="S6279" t="s">
        <v>32616</v>
      </c>
      <c r="T6279" t="s">
        <v>33327</v>
      </c>
      <c r="U6279" t="s">
        <v>38853</v>
      </c>
      <c r="W6279" t="s">
        <v>30482</v>
      </c>
      <c r="X6279" t="s">
        <v>32533</v>
      </c>
    </row>
    <row r="6280" spans="1:24">
      <c r="A6280">
        <f>HYPERLINK("https://www.philgeps.gov.ph/GEPSNONPILOT/Tender/SplashBidNoticeAbstractUI.aspx?menuIndex=3&amp;refID=7035955&amp;Result=3","7035955")</f>
        <v>0</v>
      </c>
      <c r="B6280" t="s">
        <v>1984</v>
      </c>
      <c r="C6280" t="s">
        <v>8690</v>
      </c>
      <c r="E6280" t="s">
        <v>14496</v>
      </c>
      <c r="F6280" t="s">
        <v>22436</v>
      </c>
      <c r="G6280" t="s">
        <v>22444</v>
      </c>
      <c r="H6280" t="s">
        <v>22454</v>
      </c>
      <c r="I6280" t="s">
        <v>7738</v>
      </c>
      <c r="J6280" t="s">
        <v>23093</v>
      </c>
      <c r="K6280" t="s">
        <v>29338</v>
      </c>
      <c r="M6280" t="s">
        <v>31716</v>
      </c>
      <c r="N6280" t="s">
        <v>32524</v>
      </c>
      <c r="O6280" t="s">
        <v>32525</v>
      </c>
      <c r="P6280">
        <v>0</v>
      </c>
      <c r="Q6280">
        <v>1</v>
      </c>
      <c r="R6280" t="s">
        <v>32532</v>
      </c>
      <c r="S6280" t="s">
        <v>32616</v>
      </c>
      <c r="T6280" t="s">
        <v>33218</v>
      </c>
      <c r="U6280" t="s">
        <v>38915</v>
      </c>
      <c r="W6280" t="s">
        <v>31716</v>
      </c>
      <c r="X6280" t="s">
        <v>32533</v>
      </c>
    </row>
    <row r="6281" spans="1:24">
      <c r="A6281">
        <f>HYPERLINK("https://www.philgeps.gov.ph/GEPSNONPILOT/Tender/SplashBidNoticeAbstractUI.aspx?menuIndex=3&amp;refID=7035948&amp;Result=3","7035948")</f>
        <v>0</v>
      </c>
      <c r="B6281" t="s">
        <v>1985</v>
      </c>
      <c r="C6281" t="s">
        <v>8691</v>
      </c>
      <c r="D6281" t="s">
        <v>12994</v>
      </c>
      <c r="E6281" t="s">
        <v>18645</v>
      </c>
      <c r="F6281" t="s">
        <v>22436</v>
      </c>
      <c r="G6281" t="s">
        <v>22446</v>
      </c>
      <c r="H6281" t="s">
        <v>22452</v>
      </c>
      <c r="I6281" t="s">
        <v>3827</v>
      </c>
      <c r="J6281" t="s">
        <v>26691</v>
      </c>
      <c r="K6281" t="s">
        <v>29336</v>
      </c>
      <c r="M6281" t="s">
        <v>31717</v>
      </c>
      <c r="N6281" t="s">
        <v>32524</v>
      </c>
      <c r="O6281" t="s">
        <v>32525</v>
      </c>
      <c r="P6281">
        <v>0</v>
      </c>
      <c r="Q6281">
        <v>6</v>
      </c>
      <c r="R6281" t="s">
        <v>32532</v>
      </c>
      <c r="S6281" t="s">
        <v>32616</v>
      </c>
      <c r="T6281" t="s">
        <v>33304</v>
      </c>
      <c r="U6281" t="s">
        <v>38916</v>
      </c>
      <c r="W6281" t="s">
        <v>31717</v>
      </c>
      <c r="X6281" t="s">
        <v>32533</v>
      </c>
    </row>
    <row r="6282" spans="1:24">
      <c r="A6282">
        <f>HYPERLINK("https://www.philgeps.gov.ph/GEPSNONPILOT/Tender/SplashBidNoticeAbstractUI.aspx?menuIndex=3&amp;refID=7035936&amp;Result=3","7035936")</f>
        <v>0</v>
      </c>
      <c r="B6282" t="s">
        <v>1279</v>
      </c>
      <c r="C6282" t="s">
        <v>8692</v>
      </c>
      <c r="D6282" t="s">
        <v>13014</v>
      </c>
      <c r="E6282" t="s">
        <v>18646</v>
      </c>
      <c r="F6282" t="s">
        <v>22436</v>
      </c>
      <c r="G6282" t="s">
        <v>22444</v>
      </c>
      <c r="H6282" t="s">
        <v>22452</v>
      </c>
      <c r="I6282" t="s">
        <v>22474</v>
      </c>
      <c r="J6282" t="s">
        <v>26692</v>
      </c>
      <c r="K6282" t="s">
        <v>29341</v>
      </c>
      <c r="M6282" t="s">
        <v>30932</v>
      </c>
      <c r="N6282" t="s">
        <v>32524</v>
      </c>
      <c r="O6282" t="s">
        <v>32525</v>
      </c>
      <c r="P6282">
        <v>0</v>
      </c>
      <c r="Q6282">
        <v>5</v>
      </c>
      <c r="R6282" t="s">
        <v>32532</v>
      </c>
      <c r="S6282" t="s">
        <v>32616</v>
      </c>
      <c r="T6282" t="s">
        <v>33234</v>
      </c>
      <c r="U6282" t="s">
        <v>38917</v>
      </c>
      <c r="W6282" t="s">
        <v>30932</v>
      </c>
      <c r="X6282" t="s">
        <v>32533</v>
      </c>
    </row>
    <row r="6283" spans="1:24">
      <c r="A6283">
        <f>HYPERLINK("https://www.philgeps.gov.ph/GEPSNONPILOT/Tender/SplashBidNoticeAbstractUI.aspx?menuIndex=3&amp;refID=7035926&amp;Result=3","7035926")</f>
        <v>0</v>
      </c>
      <c r="B6283" t="s">
        <v>151</v>
      </c>
      <c r="C6283" t="s">
        <v>8693</v>
      </c>
      <c r="D6283" t="s">
        <v>13039</v>
      </c>
      <c r="E6283" t="s">
        <v>13381</v>
      </c>
      <c r="F6283" t="s">
        <v>22436</v>
      </c>
      <c r="G6283" t="s">
        <v>22444</v>
      </c>
      <c r="H6283" t="s">
        <v>22452</v>
      </c>
      <c r="I6283" t="s">
        <v>22479</v>
      </c>
      <c r="J6283" t="s">
        <v>26195</v>
      </c>
      <c r="K6283" t="s">
        <v>29331</v>
      </c>
      <c r="M6283" t="s">
        <v>29723</v>
      </c>
      <c r="N6283" t="s">
        <v>32524</v>
      </c>
      <c r="O6283" t="s">
        <v>32525</v>
      </c>
      <c r="P6283">
        <v>0</v>
      </c>
      <c r="Q6283">
        <v>1</v>
      </c>
      <c r="R6283" t="s">
        <v>32532</v>
      </c>
      <c r="S6283" t="s">
        <v>32616</v>
      </c>
      <c r="T6283" t="s">
        <v>33171</v>
      </c>
      <c r="U6283" t="s">
        <v>38918</v>
      </c>
      <c r="W6283" t="s">
        <v>29723</v>
      </c>
      <c r="X6283" t="s">
        <v>32533</v>
      </c>
    </row>
    <row r="6284" spans="1:24">
      <c r="A6284">
        <f>HYPERLINK("https://www.philgeps.gov.ph/GEPSNONPILOT/Tender/SplashBidNoticeAbstractUI.aspx?menuIndex=3&amp;refID=7035952&amp;Result=3","7035952")</f>
        <v>0</v>
      </c>
      <c r="B6284" t="s">
        <v>296</v>
      </c>
      <c r="C6284" t="s">
        <v>8694</v>
      </c>
      <c r="D6284" t="s">
        <v>12988</v>
      </c>
      <c r="E6284" t="s">
        <v>18619</v>
      </c>
      <c r="F6284" t="s">
        <v>22436</v>
      </c>
      <c r="G6284" t="s">
        <v>22444</v>
      </c>
      <c r="H6284" t="s">
        <v>22452</v>
      </c>
      <c r="I6284" t="s">
        <v>22478</v>
      </c>
      <c r="J6284" t="s">
        <v>26693</v>
      </c>
      <c r="K6284" t="s">
        <v>29331</v>
      </c>
      <c r="M6284" t="s">
        <v>29870</v>
      </c>
      <c r="N6284" t="s">
        <v>32524</v>
      </c>
      <c r="O6284" t="s">
        <v>32525</v>
      </c>
      <c r="P6284">
        <v>0</v>
      </c>
      <c r="Q6284">
        <v>11</v>
      </c>
      <c r="R6284" t="s">
        <v>32532</v>
      </c>
      <c r="S6284" t="s">
        <v>32616</v>
      </c>
      <c r="T6284" t="s">
        <v>33253</v>
      </c>
      <c r="U6284" t="s">
        <v>38885</v>
      </c>
      <c r="W6284" t="s">
        <v>29870</v>
      </c>
      <c r="X6284" t="s">
        <v>32533</v>
      </c>
    </row>
    <row r="6285" spans="1:24">
      <c r="A6285">
        <f>HYPERLINK("https://www.philgeps.gov.ph/GEPSNONPILOT/Tender/SplashBidNoticeAbstractUI.aspx?menuIndex=3&amp;refID=7035933&amp;Result=3","7035933")</f>
        <v>0</v>
      </c>
      <c r="B6285" t="s">
        <v>1980</v>
      </c>
      <c r="C6285" t="s">
        <v>8695</v>
      </c>
      <c r="D6285" t="s">
        <v>13001</v>
      </c>
      <c r="E6285" t="s">
        <v>18647</v>
      </c>
      <c r="F6285" t="s">
        <v>22436</v>
      </c>
      <c r="G6285" t="s">
        <v>22444</v>
      </c>
      <c r="H6285" t="s">
        <v>22452</v>
      </c>
      <c r="I6285" t="s">
        <v>22474</v>
      </c>
      <c r="J6285" t="s">
        <v>22605</v>
      </c>
      <c r="K6285" t="s">
        <v>29338</v>
      </c>
      <c r="M6285" t="s">
        <v>31712</v>
      </c>
      <c r="N6285" t="s">
        <v>32524</v>
      </c>
      <c r="O6285" t="s">
        <v>32525</v>
      </c>
      <c r="P6285">
        <v>0</v>
      </c>
      <c r="Q6285">
        <v>0</v>
      </c>
      <c r="R6285" t="s">
        <v>32532</v>
      </c>
      <c r="S6285" t="s">
        <v>32616</v>
      </c>
      <c r="T6285" t="s">
        <v>33372</v>
      </c>
      <c r="U6285" t="s">
        <v>38919</v>
      </c>
      <c r="V6285" t="s">
        <v>43123</v>
      </c>
      <c r="W6285" t="s">
        <v>31712</v>
      </c>
      <c r="X6285" t="s">
        <v>32533</v>
      </c>
    </row>
    <row r="6286" spans="1:24">
      <c r="A6286">
        <f>HYPERLINK("https://www.philgeps.gov.ph/GEPSNONPILOT/Tender/SplashBidNoticeAbstractUI.aspx?menuIndex=3&amp;refID=7035977&amp;Result=3","7035977")</f>
        <v>0</v>
      </c>
      <c r="B6286" t="s">
        <v>1358</v>
      </c>
      <c r="C6286" t="s">
        <v>8696</v>
      </c>
      <c r="D6286" t="s">
        <v>13041</v>
      </c>
      <c r="E6286" t="s">
        <v>18648</v>
      </c>
      <c r="F6286" t="s">
        <v>22436</v>
      </c>
      <c r="G6286" t="s">
        <v>22444</v>
      </c>
      <c r="H6286" t="s">
        <v>22454</v>
      </c>
      <c r="I6286" t="s">
        <v>7738</v>
      </c>
      <c r="J6286" t="s">
        <v>26694</v>
      </c>
      <c r="K6286" t="s">
        <v>29338</v>
      </c>
      <c r="M6286" t="s">
        <v>31014</v>
      </c>
      <c r="N6286" t="s">
        <v>32524</v>
      </c>
      <c r="O6286" t="s">
        <v>32525</v>
      </c>
      <c r="P6286">
        <v>0</v>
      </c>
      <c r="Q6286">
        <v>0</v>
      </c>
      <c r="R6286" t="s">
        <v>32532</v>
      </c>
      <c r="S6286" t="s">
        <v>32616</v>
      </c>
      <c r="T6286" t="s">
        <v>33175</v>
      </c>
      <c r="U6286" t="s">
        <v>38920</v>
      </c>
      <c r="W6286" t="s">
        <v>31014</v>
      </c>
      <c r="X6286" t="s">
        <v>32533</v>
      </c>
    </row>
    <row r="6287" spans="1:24">
      <c r="A6287">
        <f>HYPERLINK("https://www.philgeps.gov.ph/GEPSNONPILOT/Tender/SplashBidNoticeAbstractUI.aspx?menuIndex=3&amp;refID=7035956&amp;Result=3","7035956")</f>
        <v>0</v>
      </c>
      <c r="B6287" t="s">
        <v>874</v>
      </c>
      <c r="C6287" t="s">
        <v>8697</v>
      </c>
      <c r="E6287" t="s">
        <v>18649</v>
      </c>
      <c r="F6287" t="s">
        <v>22436</v>
      </c>
      <c r="G6287" t="s">
        <v>22443</v>
      </c>
      <c r="H6287" t="s">
        <v>22452</v>
      </c>
      <c r="I6287" t="s">
        <v>22482</v>
      </c>
      <c r="J6287" t="s">
        <v>22692</v>
      </c>
      <c r="K6287" t="s">
        <v>29338</v>
      </c>
      <c r="M6287" t="s">
        <v>30482</v>
      </c>
      <c r="N6287" t="s">
        <v>32524</v>
      </c>
      <c r="O6287" t="s">
        <v>32525</v>
      </c>
      <c r="P6287">
        <v>0</v>
      </c>
      <c r="Q6287">
        <v>10</v>
      </c>
      <c r="R6287" t="s">
        <v>32532</v>
      </c>
      <c r="S6287" t="s">
        <v>32616</v>
      </c>
      <c r="T6287" t="s">
        <v>33327</v>
      </c>
      <c r="U6287" t="s">
        <v>38853</v>
      </c>
      <c r="W6287" t="s">
        <v>30482</v>
      </c>
      <c r="X6287" t="s">
        <v>32533</v>
      </c>
    </row>
    <row r="6288" spans="1:24">
      <c r="A6288">
        <f>HYPERLINK("https://www.philgeps.gov.ph/GEPSNONPILOT/Tender/SplashBidNoticeAbstractUI.aspx?menuIndex=3&amp;refID=7035971&amp;Result=3","7035971")</f>
        <v>0</v>
      </c>
      <c r="B6288" t="s">
        <v>1986</v>
      </c>
      <c r="C6288" t="s">
        <v>8698</v>
      </c>
      <c r="D6288" t="s">
        <v>13003</v>
      </c>
      <c r="E6288" t="s">
        <v>13589</v>
      </c>
      <c r="F6288" t="s">
        <v>22436</v>
      </c>
      <c r="G6288" t="s">
        <v>22443</v>
      </c>
      <c r="H6288" t="s">
        <v>22452</v>
      </c>
      <c r="I6288" t="s">
        <v>5194</v>
      </c>
      <c r="J6288" t="s">
        <v>26695</v>
      </c>
      <c r="K6288" t="s">
        <v>29337</v>
      </c>
      <c r="M6288" t="s">
        <v>31718</v>
      </c>
      <c r="N6288" t="s">
        <v>32524</v>
      </c>
      <c r="O6288" t="s">
        <v>32525</v>
      </c>
      <c r="P6288">
        <v>0</v>
      </c>
      <c r="Q6288">
        <v>5</v>
      </c>
      <c r="R6288" t="s">
        <v>32532</v>
      </c>
      <c r="S6288" t="s">
        <v>32616</v>
      </c>
      <c r="T6288" t="s">
        <v>33190</v>
      </c>
      <c r="U6288" t="s">
        <v>38921</v>
      </c>
      <c r="V6288" t="s">
        <v>43124</v>
      </c>
      <c r="W6288" t="s">
        <v>31718</v>
      </c>
      <c r="X6288" t="s">
        <v>32533</v>
      </c>
    </row>
    <row r="6289" spans="1:24">
      <c r="A6289">
        <f>HYPERLINK("https://www.philgeps.gov.ph/GEPSNONPILOT/Tender/SplashBidNoticeAbstractUI.aspx?menuIndex=3&amp;refID=7035930&amp;Result=3","7035930")</f>
        <v>0</v>
      </c>
      <c r="B6289" t="s">
        <v>196</v>
      </c>
      <c r="C6289" t="s">
        <v>8699</v>
      </c>
      <c r="D6289" t="s">
        <v>13002</v>
      </c>
      <c r="E6289" t="s">
        <v>18650</v>
      </c>
      <c r="F6289" t="s">
        <v>22436</v>
      </c>
      <c r="G6289" t="s">
        <v>22443</v>
      </c>
      <c r="H6289" t="s">
        <v>22452</v>
      </c>
      <c r="I6289" t="s">
        <v>22456</v>
      </c>
      <c r="J6289" t="s">
        <v>22654</v>
      </c>
      <c r="K6289" t="s">
        <v>29335</v>
      </c>
      <c r="M6289" t="s">
        <v>29769</v>
      </c>
      <c r="N6289" t="s">
        <v>32524</v>
      </c>
      <c r="O6289" t="s">
        <v>32525</v>
      </c>
      <c r="P6289">
        <v>0</v>
      </c>
      <c r="Q6289">
        <v>3</v>
      </c>
      <c r="R6289" t="s">
        <v>32532</v>
      </c>
      <c r="S6289" t="s">
        <v>32616</v>
      </c>
      <c r="T6289" t="s">
        <v>33296</v>
      </c>
      <c r="U6289" t="s">
        <v>38922</v>
      </c>
      <c r="W6289" t="s">
        <v>29769</v>
      </c>
      <c r="X6289" t="s">
        <v>32533</v>
      </c>
    </row>
    <row r="6290" spans="1:24">
      <c r="A6290">
        <f>HYPERLINK("https://www.philgeps.gov.ph/GEPSNONPILOT/Tender/SplashBidNoticeAbstractUI.aspx?menuIndex=3&amp;refID=7035941&amp;Result=3","7035941")</f>
        <v>0</v>
      </c>
      <c r="B6290" t="s">
        <v>944</v>
      </c>
      <c r="C6290" t="s">
        <v>8700</v>
      </c>
      <c r="D6290" t="s">
        <v>13035</v>
      </c>
      <c r="E6290" t="s">
        <v>18651</v>
      </c>
      <c r="F6290" t="s">
        <v>22436</v>
      </c>
      <c r="G6290" t="s">
        <v>22444</v>
      </c>
      <c r="H6290" t="s">
        <v>22452</v>
      </c>
      <c r="I6290" t="s">
        <v>22482</v>
      </c>
      <c r="J6290" t="s">
        <v>26696</v>
      </c>
      <c r="K6290" t="s">
        <v>29333</v>
      </c>
      <c r="M6290" t="s">
        <v>30558</v>
      </c>
      <c r="N6290" t="s">
        <v>32524</v>
      </c>
      <c r="O6290" t="s">
        <v>32525</v>
      </c>
      <c r="P6290">
        <v>0</v>
      </c>
      <c r="Q6290">
        <v>10</v>
      </c>
      <c r="R6290" t="s">
        <v>32532</v>
      </c>
      <c r="S6290" t="s">
        <v>32616</v>
      </c>
      <c r="T6290" t="s">
        <v>33361</v>
      </c>
      <c r="U6290" t="s">
        <v>38923</v>
      </c>
      <c r="V6290" t="s">
        <v>42652</v>
      </c>
      <c r="W6290" t="s">
        <v>30558</v>
      </c>
      <c r="X6290" t="s">
        <v>32533</v>
      </c>
    </row>
    <row r="6291" spans="1:24">
      <c r="A6291">
        <f>HYPERLINK("https://www.philgeps.gov.ph/GEPSNONPILOT/Tender/SplashBidNoticeAbstractUI.aspx?menuIndex=3&amp;refID=7035962&amp;Result=3","7035962")</f>
        <v>0</v>
      </c>
      <c r="B6291" t="s">
        <v>1981</v>
      </c>
      <c r="C6291" t="s">
        <v>8701</v>
      </c>
      <c r="D6291" t="s">
        <v>13007</v>
      </c>
      <c r="E6291" t="s">
        <v>13165</v>
      </c>
      <c r="F6291" t="s">
        <v>22437</v>
      </c>
      <c r="G6291" t="s">
        <v>22443</v>
      </c>
      <c r="H6291" t="s">
        <v>22452</v>
      </c>
      <c r="I6291" t="s">
        <v>3827</v>
      </c>
      <c r="J6291" t="s">
        <v>22692</v>
      </c>
      <c r="K6291" t="s">
        <v>29337</v>
      </c>
      <c r="M6291" t="s">
        <v>31713</v>
      </c>
      <c r="N6291" t="s">
        <v>32524</v>
      </c>
      <c r="O6291" t="s">
        <v>32525</v>
      </c>
      <c r="P6291">
        <v>0</v>
      </c>
      <c r="Q6291">
        <v>5</v>
      </c>
      <c r="R6291" t="s">
        <v>32532</v>
      </c>
      <c r="S6291" t="s">
        <v>32616</v>
      </c>
      <c r="T6291" t="s">
        <v>33371</v>
      </c>
      <c r="U6291" t="s">
        <v>38924</v>
      </c>
      <c r="W6291" t="s">
        <v>31713</v>
      </c>
      <c r="X6291" t="s">
        <v>32533</v>
      </c>
    </row>
    <row r="6292" spans="1:24">
      <c r="A6292">
        <f>HYPERLINK("https://www.philgeps.gov.ph/GEPSNONPILOT/Tender/SplashBidNoticeAbstractUI.aspx?menuIndex=3&amp;refID=7035967&amp;Result=3","7035967")</f>
        <v>0</v>
      </c>
      <c r="B6292" t="s">
        <v>1987</v>
      </c>
      <c r="C6292" t="s">
        <v>8702</v>
      </c>
      <c r="D6292" t="s">
        <v>13001</v>
      </c>
      <c r="E6292" t="s">
        <v>18652</v>
      </c>
      <c r="F6292" t="s">
        <v>22436</v>
      </c>
      <c r="G6292" t="s">
        <v>22444</v>
      </c>
      <c r="H6292" t="s">
        <v>22454</v>
      </c>
      <c r="I6292" t="s">
        <v>22558</v>
      </c>
      <c r="J6292" t="s">
        <v>26697</v>
      </c>
      <c r="K6292" t="s">
        <v>29334</v>
      </c>
      <c r="M6292" t="s">
        <v>31719</v>
      </c>
      <c r="N6292" t="s">
        <v>32524</v>
      </c>
      <c r="O6292" t="s">
        <v>32525</v>
      </c>
      <c r="P6292">
        <v>0</v>
      </c>
      <c r="Q6292">
        <v>0</v>
      </c>
      <c r="R6292" t="s">
        <v>32532</v>
      </c>
      <c r="S6292" t="s">
        <v>32616</v>
      </c>
      <c r="T6292" t="s">
        <v>33322</v>
      </c>
      <c r="U6292" t="s">
        <v>38925</v>
      </c>
      <c r="W6292" t="s">
        <v>31719</v>
      </c>
      <c r="X6292" t="s">
        <v>32533</v>
      </c>
    </row>
    <row r="6293" spans="1:24">
      <c r="A6293">
        <f>HYPERLINK("https://www.philgeps.gov.ph/GEPSNONPILOT/Tender/SplashBidNoticeAbstractUI.aspx?menuIndex=3&amp;refID=7035961&amp;Result=3","7035961")</f>
        <v>0</v>
      </c>
      <c r="B6293" t="s">
        <v>1967</v>
      </c>
      <c r="C6293" t="s">
        <v>8703</v>
      </c>
      <c r="D6293" t="s">
        <v>13007</v>
      </c>
      <c r="E6293" t="s">
        <v>18653</v>
      </c>
      <c r="F6293" t="s">
        <v>22436</v>
      </c>
      <c r="G6293" t="s">
        <v>22444</v>
      </c>
      <c r="H6293" t="s">
        <v>22452</v>
      </c>
      <c r="I6293" t="s">
        <v>3529</v>
      </c>
      <c r="J6293" t="s">
        <v>26698</v>
      </c>
      <c r="K6293" t="s">
        <v>29338</v>
      </c>
      <c r="M6293" t="s">
        <v>31698</v>
      </c>
      <c r="N6293" t="s">
        <v>32524</v>
      </c>
      <c r="O6293" t="s">
        <v>32525</v>
      </c>
      <c r="P6293">
        <v>0</v>
      </c>
      <c r="Q6293">
        <v>0</v>
      </c>
      <c r="R6293" t="s">
        <v>32532</v>
      </c>
      <c r="S6293" t="s">
        <v>32616</v>
      </c>
      <c r="T6293" t="s">
        <v>33416</v>
      </c>
      <c r="U6293" t="s">
        <v>38902</v>
      </c>
      <c r="V6293" t="s">
        <v>43116</v>
      </c>
      <c r="W6293" t="s">
        <v>31698</v>
      </c>
      <c r="X6293" t="s">
        <v>32533</v>
      </c>
    </row>
    <row r="6294" spans="1:24">
      <c r="A6294">
        <f>HYPERLINK("https://www.philgeps.gov.ph/GEPSNONPILOT/Tender/SplashBidNoticeAbstractUI.aspx?menuIndex=3&amp;refID=7035944&amp;Result=3","7035944")</f>
        <v>0</v>
      </c>
      <c r="B6294" t="s">
        <v>1403</v>
      </c>
      <c r="C6294" t="s">
        <v>8704</v>
      </c>
      <c r="D6294" t="s">
        <v>13007</v>
      </c>
      <c r="E6294" t="s">
        <v>18654</v>
      </c>
      <c r="F6294" t="s">
        <v>22436</v>
      </c>
      <c r="G6294" t="s">
        <v>22443</v>
      </c>
      <c r="H6294" t="s">
        <v>22452</v>
      </c>
      <c r="I6294" t="s">
        <v>22460</v>
      </c>
      <c r="J6294" t="s">
        <v>26699</v>
      </c>
      <c r="K6294" t="s">
        <v>29341</v>
      </c>
      <c r="M6294" t="s">
        <v>31062</v>
      </c>
      <c r="N6294" t="s">
        <v>32524</v>
      </c>
      <c r="O6294" t="s">
        <v>32525</v>
      </c>
      <c r="P6294">
        <v>0</v>
      </c>
      <c r="Q6294">
        <v>1</v>
      </c>
      <c r="R6294" t="s">
        <v>32532</v>
      </c>
      <c r="S6294" t="s">
        <v>32616</v>
      </c>
      <c r="T6294" t="s">
        <v>33459</v>
      </c>
      <c r="U6294" t="s">
        <v>38926</v>
      </c>
      <c r="W6294" t="s">
        <v>31062</v>
      </c>
      <c r="X6294" t="s">
        <v>32533</v>
      </c>
    </row>
    <row r="6295" spans="1:24">
      <c r="A6295">
        <f>HYPERLINK("https://www.philgeps.gov.ph/GEPSNONPILOT/Tender/SplashBidNoticeAbstractUI.aspx?menuIndex=3&amp;refID=7035969&amp;Result=3","7035969")</f>
        <v>0</v>
      </c>
      <c r="B6295" t="s">
        <v>1988</v>
      </c>
      <c r="C6295" t="s">
        <v>8705</v>
      </c>
      <c r="D6295" t="s">
        <v>13024</v>
      </c>
      <c r="E6295" t="s">
        <v>18655</v>
      </c>
      <c r="F6295" t="s">
        <v>22436</v>
      </c>
      <c r="G6295" t="s">
        <v>22444</v>
      </c>
      <c r="H6295" t="s">
        <v>22452</v>
      </c>
      <c r="I6295" t="s">
        <v>6421</v>
      </c>
      <c r="J6295" t="s">
        <v>26700</v>
      </c>
      <c r="K6295" t="s">
        <v>29341</v>
      </c>
      <c r="M6295" t="s">
        <v>31720</v>
      </c>
      <c r="N6295" t="s">
        <v>32524</v>
      </c>
      <c r="O6295" t="s">
        <v>32525</v>
      </c>
      <c r="P6295">
        <v>0</v>
      </c>
      <c r="Q6295">
        <v>1</v>
      </c>
      <c r="R6295" t="s">
        <v>32532</v>
      </c>
      <c r="S6295" t="s">
        <v>32616</v>
      </c>
      <c r="T6295" t="s">
        <v>33322</v>
      </c>
      <c r="U6295" t="s">
        <v>38927</v>
      </c>
      <c r="V6295" t="s">
        <v>43125</v>
      </c>
      <c r="W6295" t="s">
        <v>31720</v>
      </c>
      <c r="X6295" t="s">
        <v>32533</v>
      </c>
    </row>
    <row r="6296" spans="1:24">
      <c r="A6296">
        <f>HYPERLINK("https://www.philgeps.gov.ph/GEPSNONPILOT/Tender/SplashBidNoticeAbstractUI.aspx?menuIndex=3&amp;refID=7035942&amp;Result=3","7035942")</f>
        <v>0</v>
      </c>
      <c r="B6296" t="s">
        <v>1967</v>
      </c>
      <c r="C6296" t="s">
        <v>8706</v>
      </c>
      <c r="D6296" t="s">
        <v>13007</v>
      </c>
      <c r="E6296" t="s">
        <v>18656</v>
      </c>
      <c r="F6296" t="s">
        <v>22436</v>
      </c>
      <c r="G6296" t="s">
        <v>22444</v>
      </c>
      <c r="H6296" t="s">
        <v>22452</v>
      </c>
      <c r="I6296" t="s">
        <v>3529</v>
      </c>
      <c r="J6296" t="s">
        <v>26701</v>
      </c>
      <c r="K6296" t="s">
        <v>29338</v>
      </c>
      <c r="M6296" t="s">
        <v>31698</v>
      </c>
      <c r="N6296" t="s">
        <v>32524</v>
      </c>
      <c r="O6296" t="s">
        <v>32525</v>
      </c>
      <c r="P6296">
        <v>0</v>
      </c>
      <c r="Q6296">
        <v>0</v>
      </c>
      <c r="R6296" t="s">
        <v>32532</v>
      </c>
      <c r="S6296" t="s">
        <v>32616</v>
      </c>
      <c r="T6296" t="s">
        <v>33416</v>
      </c>
      <c r="U6296" t="s">
        <v>38928</v>
      </c>
      <c r="V6296" t="s">
        <v>43116</v>
      </c>
      <c r="W6296" t="s">
        <v>31698</v>
      </c>
      <c r="X6296" t="s">
        <v>32533</v>
      </c>
    </row>
    <row r="6297" spans="1:24">
      <c r="A6297">
        <f>HYPERLINK("https://www.philgeps.gov.ph/GEPSNONPILOT/Tender/SplashBidNoticeAbstractUI.aspx?menuIndex=3&amp;refID=7035958&amp;Result=3","7035958")</f>
        <v>0</v>
      </c>
      <c r="B6297" t="s">
        <v>1805</v>
      </c>
      <c r="C6297" t="s">
        <v>8707</v>
      </c>
      <c r="D6297" t="s">
        <v>13069</v>
      </c>
      <c r="E6297" t="s">
        <v>18657</v>
      </c>
      <c r="F6297" t="s">
        <v>22436</v>
      </c>
      <c r="G6297" t="s">
        <v>22444</v>
      </c>
      <c r="H6297" t="s">
        <v>22454</v>
      </c>
      <c r="I6297" t="s">
        <v>7738</v>
      </c>
      <c r="J6297" t="s">
        <v>26702</v>
      </c>
      <c r="K6297" t="s">
        <v>29344</v>
      </c>
      <c r="M6297" t="s">
        <v>31518</v>
      </c>
      <c r="N6297" t="s">
        <v>32524</v>
      </c>
      <c r="O6297" t="s">
        <v>32525</v>
      </c>
      <c r="P6297">
        <v>0</v>
      </c>
      <c r="Q6297">
        <v>0</v>
      </c>
      <c r="R6297" t="s">
        <v>32532</v>
      </c>
      <c r="S6297" t="s">
        <v>32616</v>
      </c>
      <c r="T6297" t="s">
        <v>33177</v>
      </c>
      <c r="U6297" t="s">
        <v>38929</v>
      </c>
      <c r="W6297" t="s">
        <v>31518</v>
      </c>
      <c r="X6297" t="s">
        <v>32533</v>
      </c>
    </row>
    <row r="6298" spans="1:24">
      <c r="A6298">
        <f>HYPERLINK("https://www.philgeps.gov.ph/GEPSNONPILOT/Tender/SplashBidNoticeAbstractUI.aspx?menuIndex=3&amp;refID=7035978&amp;Result=3","7035978")</f>
        <v>0</v>
      </c>
      <c r="B6298" t="s">
        <v>1981</v>
      </c>
      <c r="C6298" t="s">
        <v>8708</v>
      </c>
      <c r="D6298" t="s">
        <v>13007</v>
      </c>
      <c r="E6298" t="s">
        <v>13127</v>
      </c>
      <c r="F6298" t="s">
        <v>22437</v>
      </c>
      <c r="G6298" t="s">
        <v>22443</v>
      </c>
      <c r="H6298" t="s">
        <v>22452</v>
      </c>
      <c r="I6298" t="s">
        <v>22468</v>
      </c>
      <c r="J6298" t="s">
        <v>26703</v>
      </c>
      <c r="K6298" t="s">
        <v>29337</v>
      </c>
      <c r="M6298" t="s">
        <v>31713</v>
      </c>
      <c r="N6298" t="s">
        <v>32524</v>
      </c>
      <c r="O6298" t="s">
        <v>32525</v>
      </c>
      <c r="P6298">
        <v>0</v>
      </c>
      <c r="Q6298">
        <v>0</v>
      </c>
      <c r="R6298" t="s">
        <v>32532</v>
      </c>
      <c r="S6298" t="s">
        <v>32616</v>
      </c>
      <c r="T6298" t="s">
        <v>33371</v>
      </c>
      <c r="U6298" t="s">
        <v>38908</v>
      </c>
      <c r="W6298" t="s">
        <v>31713</v>
      </c>
      <c r="X6298" t="s">
        <v>32533</v>
      </c>
    </row>
    <row r="6299" spans="1:24">
      <c r="A6299">
        <f>HYPERLINK("https://www.philgeps.gov.ph/GEPSNONPILOT/Tender/SplashBidNoticeAbstractUI.aspx?menuIndex=3&amp;refID=7036000&amp;Result=3","7036000")</f>
        <v>0</v>
      </c>
      <c r="B6299" t="s">
        <v>778</v>
      </c>
      <c r="C6299" t="s">
        <v>8709</v>
      </c>
      <c r="D6299" t="s">
        <v>13021</v>
      </c>
      <c r="E6299" t="s">
        <v>18658</v>
      </c>
      <c r="F6299" t="s">
        <v>22436</v>
      </c>
      <c r="G6299" t="s">
        <v>22444</v>
      </c>
      <c r="H6299" t="s">
        <v>22452</v>
      </c>
      <c r="I6299" t="s">
        <v>22460</v>
      </c>
      <c r="J6299" t="s">
        <v>23215</v>
      </c>
      <c r="K6299" t="s">
        <v>29341</v>
      </c>
      <c r="M6299" t="s">
        <v>30379</v>
      </c>
      <c r="N6299" t="s">
        <v>32524</v>
      </c>
      <c r="O6299" t="s">
        <v>32525</v>
      </c>
      <c r="P6299">
        <v>0</v>
      </c>
      <c r="Q6299">
        <v>2</v>
      </c>
      <c r="R6299" t="s">
        <v>32532</v>
      </c>
      <c r="S6299" t="s">
        <v>32616</v>
      </c>
      <c r="T6299" t="s">
        <v>33213</v>
      </c>
      <c r="U6299" t="s">
        <v>38930</v>
      </c>
      <c r="W6299" t="s">
        <v>30379</v>
      </c>
      <c r="X6299" t="s">
        <v>32533</v>
      </c>
    </row>
    <row r="6300" spans="1:24">
      <c r="A6300">
        <f>HYPERLINK("https://www.philgeps.gov.ph/GEPSNONPILOT/Tender/SplashBidNoticeAbstractUI.aspx?menuIndex=3&amp;refID=7036005&amp;Result=3","7036005")</f>
        <v>0</v>
      </c>
      <c r="B6300" t="s">
        <v>1989</v>
      </c>
      <c r="C6300" t="s">
        <v>7894</v>
      </c>
      <c r="D6300" t="s">
        <v>13001</v>
      </c>
      <c r="E6300" t="s">
        <v>18659</v>
      </c>
      <c r="F6300" t="s">
        <v>22436</v>
      </c>
      <c r="G6300" t="s">
        <v>22444</v>
      </c>
      <c r="H6300" t="s">
        <v>22452</v>
      </c>
      <c r="I6300" t="s">
        <v>7738</v>
      </c>
      <c r="J6300" t="s">
        <v>23093</v>
      </c>
      <c r="K6300" t="s">
        <v>29338</v>
      </c>
      <c r="M6300" t="s">
        <v>31721</v>
      </c>
      <c r="N6300" t="s">
        <v>32524</v>
      </c>
      <c r="O6300" t="s">
        <v>32525</v>
      </c>
      <c r="P6300">
        <v>0</v>
      </c>
      <c r="Q6300">
        <v>1</v>
      </c>
      <c r="R6300" t="s">
        <v>32532</v>
      </c>
      <c r="S6300" t="s">
        <v>32616</v>
      </c>
      <c r="T6300" t="s">
        <v>33372</v>
      </c>
      <c r="U6300" t="s">
        <v>38931</v>
      </c>
      <c r="V6300" t="s">
        <v>43126</v>
      </c>
      <c r="W6300" t="s">
        <v>31721</v>
      </c>
      <c r="X6300" t="s">
        <v>32533</v>
      </c>
    </row>
    <row r="6301" spans="1:24">
      <c r="A6301">
        <f>HYPERLINK("https://www.philgeps.gov.ph/GEPSNONPILOT/Tender/SplashBidNoticeAbstractUI.aspx?menuIndex=3&amp;refID=7035993&amp;Result=3","7035993")</f>
        <v>0</v>
      </c>
      <c r="B6301" t="s">
        <v>1990</v>
      </c>
      <c r="C6301" t="s">
        <v>8710</v>
      </c>
      <c r="E6301" t="s">
        <v>18660</v>
      </c>
      <c r="F6301" t="s">
        <v>22436</v>
      </c>
      <c r="G6301" t="s">
        <v>22444</v>
      </c>
      <c r="H6301" t="s">
        <v>22454</v>
      </c>
      <c r="I6301" t="s">
        <v>7738</v>
      </c>
      <c r="J6301" t="s">
        <v>22779</v>
      </c>
      <c r="K6301" t="s">
        <v>29333</v>
      </c>
      <c r="M6301" t="s">
        <v>31722</v>
      </c>
      <c r="N6301" t="s">
        <v>32524</v>
      </c>
      <c r="O6301" t="s">
        <v>32525</v>
      </c>
      <c r="P6301">
        <v>0</v>
      </c>
      <c r="Q6301">
        <v>0</v>
      </c>
      <c r="R6301" t="s">
        <v>32532</v>
      </c>
      <c r="S6301" t="s">
        <v>32616</v>
      </c>
      <c r="T6301" t="s">
        <v>33242</v>
      </c>
      <c r="U6301" t="s">
        <v>38932</v>
      </c>
      <c r="V6301" t="s">
        <v>43127</v>
      </c>
      <c r="W6301" t="s">
        <v>31722</v>
      </c>
      <c r="X6301" t="s">
        <v>32533</v>
      </c>
    </row>
    <row r="6302" spans="1:24">
      <c r="A6302">
        <f>HYPERLINK("https://www.philgeps.gov.ph/GEPSNONPILOT/Tender/SplashBidNoticeAbstractUI.aspx?menuIndex=3&amp;refID=7036006&amp;Result=3","7036006")</f>
        <v>0</v>
      </c>
      <c r="B6302" t="s">
        <v>1991</v>
      </c>
      <c r="C6302" t="s">
        <v>8711</v>
      </c>
      <c r="D6302" t="s">
        <v>13058</v>
      </c>
      <c r="E6302" t="s">
        <v>18661</v>
      </c>
      <c r="F6302" t="s">
        <v>22436</v>
      </c>
      <c r="G6302" t="s">
        <v>22444</v>
      </c>
      <c r="H6302" t="s">
        <v>22454</v>
      </c>
      <c r="I6302" t="s">
        <v>7738</v>
      </c>
      <c r="J6302" t="s">
        <v>23488</v>
      </c>
      <c r="K6302" t="s">
        <v>29384</v>
      </c>
      <c r="M6302" t="s">
        <v>31723</v>
      </c>
      <c r="N6302" t="s">
        <v>32524</v>
      </c>
      <c r="O6302" t="s">
        <v>32525</v>
      </c>
      <c r="P6302">
        <v>0</v>
      </c>
      <c r="Q6302">
        <v>0</v>
      </c>
      <c r="R6302" t="s">
        <v>32532</v>
      </c>
      <c r="S6302" t="s">
        <v>32616</v>
      </c>
      <c r="T6302" t="s">
        <v>33405</v>
      </c>
      <c r="U6302" t="s">
        <v>38933</v>
      </c>
      <c r="W6302" t="s">
        <v>31723</v>
      </c>
      <c r="X6302" t="s">
        <v>32533</v>
      </c>
    </row>
    <row r="6303" spans="1:24">
      <c r="A6303">
        <f>HYPERLINK("https://www.philgeps.gov.ph/GEPSNONPILOT/Tender/SplashBidNoticeAbstractUI.aspx?menuIndex=3&amp;refID=7035985&amp;Result=3","7035985")</f>
        <v>0</v>
      </c>
      <c r="B6303" t="s">
        <v>1279</v>
      </c>
      <c r="C6303" t="s">
        <v>8712</v>
      </c>
      <c r="D6303" t="s">
        <v>13014</v>
      </c>
      <c r="E6303" t="s">
        <v>8712</v>
      </c>
      <c r="F6303" t="s">
        <v>22436</v>
      </c>
      <c r="G6303" t="s">
        <v>22444</v>
      </c>
      <c r="H6303" t="s">
        <v>22452</v>
      </c>
      <c r="I6303" t="s">
        <v>22474</v>
      </c>
      <c r="J6303" t="s">
        <v>26704</v>
      </c>
      <c r="K6303" t="s">
        <v>29341</v>
      </c>
      <c r="M6303" t="s">
        <v>30932</v>
      </c>
      <c r="N6303" t="s">
        <v>32524</v>
      </c>
      <c r="O6303" t="s">
        <v>32525</v>
      </c>
      <c r="P6303">
        <v>0</v>
      </c>
      <c r="Q6303">
        <v>4</v>
      </c>
      <c r="R6303" t="s">
        <v>32532</v>
      </c>
      <c r="S6303" t="s">
        <v>32616</v>
      </c>
      <c r="T6303" t="s">
        <v>33234</v>
      </c>
      <c r="U6303" t="s">
        <v>38934</v>
      </c>
      <c r="W6303" t="s">
        <v>30932</v>
      </c>
      <c r="X6303" t="s">
        <v>32533</v>
      </c>
    </row>
    <row r="6304" spans="1:24">
      <c r="A6304">
        <f>HYPERLINK("https://www.philgeps.gov.ph/GEPSNONPILOT/Tender/SplashBidNoticeAbstractUI.aspx?menuIndex=3&amp;refID=7035995&amp;Result=3","7035995")</f>
        <v>0</v>
      </c>
      <c r="B6304" t="s">
        <v>1992</v>
      </c>
      <c r="C6304" t="s">
        <v>8713</v>
      </c>
      <c r="D6304" t="s">
        <v>13037</v>
      </c>
      <c r="E6304" t="s">
        <v>18662</v>
      </c>
      <c r="F6304" t="s">
        <v>22436</v>
      </c>
      <c r="G6304" t="s">
        <v>22443</v>
      </c>
      <c r="H6304" t="s">
        <v>22453</v>
      </c>
      <c r="I6304" t="s">
        <v>22501</v>
      </c>
      <c r="J6304" t="s">
        <v>26705</v>
      </c>
      <c r="K6304" t="s">
        <v>29331</v>
      </c>
      <c r="M6304" t="s">
        <v>31724</v>
      </c>
      <c r="N6304" t="s">
        <v>32524</v>
      </c>
      <c r="O6304" t="s">
        <v>32525</v>
      </c>
      <c r="P6304">
        <v>0</v>
      </c>
      <c r="Q6304">
        <v>0</v>
      </c>
      <c r="R6304" t="s">
        <v>32532</v>
      </c>
      <c r="S6304" t="s">
        <v>32616</v>
      </c>
      <c r="T6304" t="s">
        <v>33372</v>
      </c>
      <c r="U6304" t="s">
        <v>38935</v>
      </c>
      <c r="W6304" t="s">
        <v>31724</v>
      </c>
      <c r="X6304" t="s">
        <v>32533</v>
      </c>
    </row>
    <row r="6305" spans="1:24">
      <c r="A6305">
        <f>HYPERLINK("https://www.philgeps.gov.ph/GEPSNONPILOT/Tender/SplashBidNoticeAbstractUI.aspx?menuIndex=3&amp;refID=7035990&amp;Result=3","7035990")</f>
        <v>0</v>
      </c>
      <c r="B6305" t="s">
        <v>1951</v>
      </c>
      <c r="C6305" t="s">
        <v>8714</v>
      </c>
      <c r="D6305" t="s">
        <v>13065</v>
      </c>
      <c r="E6305" t="s">
        <v>14741</v>
      </c>
      <c r="F6305" t="s">
        <v>22436</v>
      </c>
      <c r="G6305" t="s">
        <v>22444</v>
      </c>
      <c r="H6305" t="s">
        <v>22454</v>
      </c>
      <c r="I6305" t="s">
        <v>7738</v>
      </c>
      <c r="J6305" t="s">
        <v>26706</v>
      </c>
      <c r="K6305" t="s">
        <v>29489</v>
      </c>
      <c r="M6305" t="s">
        <v>31681</v>
      </c>
      <c r="N6305" t="s">
        <v>32524</v>
      </c>
      <c r="O6305" t="s">
        <v>32525</v>
      </c>
      <c r="P6305">
        <v>0</v>
      </c>
      <c r="Q6305">
        <v>0</v>
      </c>
      <c r="R6305" t="s">
        <v>32532</v>
      </c>
      <c r="S6305" t="s">
        <v>32616</v>
      </c>
      <c r="T6305" t="s">
        <v>33522</v>
      </c>
      <c r="U6305" t="s">
        <v>38936</v>
      </c>
      <c r="W6305" t="s">
        <v>31681</v>
      </c>
      <c r="X6305" t="s">
        <v>32533</v>
      </c>
    </row>
    <row r="6306" spans="1:24">
      <c r="A6306">
        <f>HYPERLINK("https://www.philgeps.gov.ph/GEPSNONPILOT/Tender/SplashBidNoticeAbstractUI.aspx?menuIndex=3&amp;refID=7035988&amp;Result=3","7035988")</f>
        <v>0</v>
      </c>
      <c r="B6306" t="s">
        <v>623</v>
      </c>
      <c r="C6306" t="s">
        <v>8715</v>
      </c>
      <c r="E6306" t="s">
        <v>18663</v>
      </c>
      <c r="F6306" t="s">
        <v>22436</v>
      </c>
      <c r="G6306" t="s">
        <v>22444</v>
      </c>
      <c r="H6306" t="s">
        <v>22454</v>
      </c>
      <c r="I6306" t="s">
        <v>7738</v>
      </c>
      <c r="J6306" t="s">
        <v>23835</v>
      </c>
      <c r="K6306" t="s">
        <v>29345</v>
      </c>
      <c r="M6306" t="s">
        <v>31091</v>
      </c>
      <c r="N6306" t="s">
        <v>32524</v>
      </c>
      <c r="O6306" t="s">
        <v>32525</v>
      </c>
      <c r="P6306">
        <v>0</v>
      </c>
      <c r="Q6306">
        <v>1</v>
      </c>
      <c r="R6306" t="s">
        <v>32532</v>
      </c>
      <c r="S6306" t="s">
        <v>32616</v>
      </c>
      <c r="T6306" t="s">
        <v>33227</v>
      </c>
      <c r="U6306" t="s">
        <v>38937</v>
      </c>
      <c r="W6306" t="s">
        <v>30214</v>
      </c>
      <c r="X6306" t="s">
        <v>32533</v>
      </c>
    </row>
    <row r="6307" spans="1:24">
      <c r="A6307">
        <f>HYPERLINK("https://www.philgeps.gov.ph/GEPSNONPILOT/Tender/SplashBidNoticeAbstractUI.aspx?menuIndex=3&amp;refID=7036024&amp;Result=3","7036024")</f>
        <v>0</v>
      </c>
      <c r="B6307" t="s">
        <v>1993</v>
      </c>
      <c r="C6307" t="s">
        <v>8716</v>
      </c>
      <c r="D6307" t="s">
        <v>12992</v>
      </c>
      <c r="E6307" t="s">
        <v>18664</v>
      </c>
      <c r="F6307" t="s">
        <v>22436</v>
      </c>
      <c r="G6307" t="s">
        <v>22444</v>
      </c>
      <c r="H6307" t="s">
        <v>22452</v>
      </c>
      <c r="I6307" t="s">
        <v>3827</v>
      </c>
      <c r="J6307" t="s">
        <v>22589</v>
      </c>
      <c r="K6307" t="s">
        <v>29338</v>
      </c>
      <c r="M6307" t="s">
        <v>31725</v>
      </c>
      <c r="N6307" t="s">
        <v>32524</v>
      </c>
      <c r="O6307" t="s">
        <v>32525</v>
      </c>
      <c r="P6307">
        <v>0</v>
      </c>
      <c r="Q6307">
        <v>0</v>
      </c>
      <c r="R6307" t="s">
        <v>32532</v>
      </c>
      <c r="S6307" t="s">
        <v>32616</v>
      </c>
      <c r="T6307" t="s">
        <v>33304</v>
      </c>
      <c r="U6307" t="s">
        <v>38938</v>
      </c>
      <c r="W6307" t="s">
        <v>31725</v>
      </c>
      <c r="X6307" t="s">
        <v>32533</v>
      </c>
    </row>
    <row r="6308" spans="1:24">
      <c r="A6308">
        <f>HYPERLINK("https://www.philgeps.gov.ph/GEPSNONPILOT/Tender/SplashBidNoticeAbstractUI.aspx?menuIndex=3&amp;refID=7035994&amp;Result=3","7035994")</f>
        <v>0</v>
      </c>
      <c r="B6308" t="s">
        <v>133</v>
      </c>
      <c r="C6308" t="s">
        <v>8717</v>
      </c>
      <c r="D6308" t="s">
        <v>13011</v>
      </c>
      <c r="E6308" t="s">
        <v>18507</v>
      </c>
      <c r="F6308" t="s">
        <v>22436</v>
      </c>
      <c r="G6308" t="s">
        <v>22444</v>
      </c>
      <c r="H6308" t="s">
        <v>22454</v>
      </c>
      <c r="I6308" t="s">
        <v>7738</v>
      </c>
      <c r="J6308" t="s">
        <v>26707</v>
      </c>
      <c r="K6308" t="s">
        <v>29333</v>
      </c>
      <c r="M6308" t="s">
        <v>29705</v>
      </c>
      <c r="N6308" t="s">
        <v>32524</v>
      </c>
      <c r="O6308" t="s">
        <v>32525</v>
      </c>
      <c r="P6308">
        <v>0</v>
      </c>
      <c r="Q6308">
        <v>4</v>
      </c>
      <c r="R6308" t="s">
        <v>32532</v>
      </c>
      <c r="S6308" t="s">
        <v>32616</v>
      </c>
      <c r="T6308" t="s">
        <v>33372</v>
      </c>
      <c r="U6308" t="s">
        <v>38939</v>
      </c>
      <c r="W6308" t="s">
        <v>29705</v>
      </c>
      <c r="X6308" t="s">
        <v>32533</v>
      </c>
    </row>
    <row r="6309" spans="1:24">
      <c r="A6309">
        <f>HYPERLINK("https://www.philgeps.gov.ph/GEPSNONPILOT/Tender/SplashBidNoticeAbstractUI.aspx?menuIndex=3&amp;refID=7036001&amp;Result=3","7036001")</f>
        <v>0</v>
      </c>
      <c r="B6309" t="s">
        <v>196</v>
      </c>
      <c r="C6309" t="s">
        <v>8718</v>
      </c>
      <c r="D6309" t="s">
        <v>13002</v>
      </c>
      <c r="E6309" t="s">
        <v>18665</v>
      </c>
      <c r="F6309" t="s">
        <v>22436</v>
      </c>
      <c r="G6309" t="s">
        <v>22443</v>
      </c>
      <c r="H6309" t="s">
        <v>22452</v>
      </c>
      <c r="I6309" t="s">
        <v>22458</v>
      </c>
      <c r="J6309" t="s">
        <v>23182</v>
      </c>
      <c r="K6309" t="s">
        <v>29335</v>
      </c>
      <c r="M6309" t="s">
        <v>31297</v>
      </c>
      <c r="N6309" t="s">
        <v>32524</v>
      </c>
      <c r="O6309" t="s">
        <v>32525</v>
      </c>
      <c r="P6309">
        <v>0</v>
      </c>
      <c r="Q6309">
        <v>4</v>
      </c>
      <c r="R6309" t="s">
        <v>32532</v>
      </c>
      <c r="S6309" t="s">
        <v>32616</v>
      </c>
      <c r="T6309" t="s">
        <v>33296</v>
      </c>
      <c r="U6309" t="s">
        <v>38940</v>
      </c>
      <c r="W6309" t="s">
        <v>31297</v>
      </c>
      <c r="X6309" t="s">
        <v>32533</v>
      </c>
    </row>
    <row r="6310" spans="1:24">
      <c r="A6310">
        <f>HYPERLINK("https://www.philgeps.gov.ph/GEPSNONPILOT/Tender/SplashBidNoticeAbstractUI.aspx?menuIndex=3&amp;refID=7036012&amp;Result=3","7036012")</f>
        <v>0</v>
      </c>
      <c r="B6310" t="s">
        <v>1726</v>
      </c>
      <c r="C6310" t="s">
        <v>8719</v>
      </c>
      <c r="D6310" t="s">
        <v>12988</v>
      </c>
      <c r="E6310" t="s">
        <v>18666</v>
      </c>
      <c r="F6310" t="s">
        <v>22436</v>
      </c>
      <c r="G6310" t="s">
        <v>22444</v>
      </c>
      <c r="H6310" t="s">
        <v>22452</v>
      </c>
      <c r="I6310" t="s">
        <v>3122</v>
      </c>
      <c r="J6310" t="s">
        <v>26708</v>
      </c>
      <c r="K6310" t="s">
        <v>29336</v>
      </c>
      <c r="M6310" t="s">
        <v>31644</v>
      </c>
      <c r="N6310" t="s">
        <v>32524</v>
      </c>
      <c r="O6310" t="s">
        <v>32525</v>
      </c>
      <c r="P6310">
        <v>0</v>
      </c>
      <c r="Q6310">
        <v>0</v>
      </c>
      <c r="R6310" t="s">
        <v>32532</v>
      </c>
      <c r="S6310" t="s">
        <v>32616</v>
      </c>
      <c r="T6310" t="s">
        <v>33259</v>
      </c>
      <c r="U6310" t="s">
        <v>37987</v>
      </c>
      <c r="W6310" t="s">
        <v>31644</v>
      </c>
      <c r="X6310" t="s">
        <v>32533</v>
      </c>
    </row>
    <row r="6311" spans="1:24">
      <c r="A6311">
        <f>HYPERLINK("https://www.philgeps.gov.ph/GEPSNONPILOT/Tender/SplashBidNoticeAbstractUI.aspx?menuIndex=3&amp;refID=7036023&amp;Result=3","7036023")</f>
        <v>0</v>
      </c>
      <c r="B6311" t="s">
        <v>568</v>
      </c>
      <c r="C6311" t="s">
        <v>8720</v>
      </c>
      <c r="D6311" t="s">
        <v>13065</v>
      </c>
      <c r="E6311" t="s">
        <v>18667</v>
      </c>
      <c r="F6311" t="s">
        <v>22436</v>
      </c>
      <c r="G6311" t="s">
        <v>22444</v>
      </c>
      <c r="H6311" t="s">
        <v>22452</v>
      </c>
      <c r="I6311" t="s">
        <v>22464</v>
      </c>
      <c r="J6311" t="s">
        <v>24887</v>
      </c>
      <c r="K6311" t="s">
        <v>29331</v>
      </c>
      <c r="M6311" t="s">
        <v>30156</v>
      </c>
      <c r="N6311" t="s">
        <v>32524</v>
      </c>
      <c r="O6311" t="s">
        <v>32525</v>
      </c>
      <c r="P6311">
        <v>0</v>
      </c>
      <c r="Q6311">
        <v>7</v>
      </c>
      <c r="R6311" t="s">
        <v>32532</v>
      </c>
      <c r="S6311" t="s">
        <v>32616</v>
      </c>
      <c r="T6311" t="s">
        <v>33188</v>
      </c>
      <c r="U6311" t="s">
        <v>38941</v>
      </c>
      <c r="W6311" t="s">
        <v>30156</v>
      </c>
      <c r="X6311" t="s">
        <v>32533</v>
      </c>
    </row>
    <row r="6312" spans="1:24">
      <c r="A6312">
        <f>HYPERLINK("https://www.philgeps.gov.ph/GEPSNONPILOT/Tender/SplashBidNoticeAbstractUI.aspx?menuIndex=3&amp;refID=7036011&amp;Result=3","7036011")</f>
        <v>0</v>
      </c>
      <c r="B6312" t="s">
        <v>1873</v>
      </c>
      <c r="C6312" t="s">
        <v>8721</v>
      </c>
      <c r="D6312" t="s">
        <v>12988</v>
      </c>
      <c r="E6312" t="s">
        <v>18668</v>
      </c>
      <c r="F6312" t="s">
        <v>22436</v>
      </c>
      <c r="G6312" t="s">
        <v>22444</v>
      </c>
      <c r="H6312" t="s">
        <v>22452</v>
      </c>
      <c r="I6312" t="s">
        <v>22465</v>
      </c>
      <c r="J6312" t="s">
        <v>26709</v>
      </c>
      <c r="K6312" t="s">
        <v>29330</v>
      </c>
      <c r="M6312" t="s">
        <v>31726</v>
      </c>
      <c r="N6312" t="s">
        <v>32524</v>
      </c>
      <c r="O6312" t="s">
        <v>32525</v>
      </c>
      <c r="P6312">
        <v>0</v>
      </c>
      <c r="Q6312">
        <v>4</v>
      </c>
      <c r="R6312" t="s">
        <v>32532</v>
      </c>
      <c r="S6312" t="s">
        <v>32616</v>
      </c>
      <c r="T6312" t="s">
        <v>33230</v>
      </c>
      <c r="U6312" t="s">
        <v>38942</v>
      </c>
      <c r="W6312" t="s">
        <v>31726</v>
      </c>
      <c r="X6312" t="s">
        <v>32533</v>
      </c>
    </row>
    <row r="6313" spans="1:24">
      <c r="A6313">
        <f>HYPERLINK("https://www.philgeps.gov.ph/GEPSNONPILOT/Tender/SplashBidNoticeAbstractUI.aspx?menuIndex=3&amp;refID=7036003&amp;Result=3","7036003")</f>
        <v>0</v>
      </c>
      <c r="B6313" t="s">
        <v>1967</v>
      </c>
      <c r="C6313" t="s">
        <v>8722</v>
      </c>
      <c r="D6313" t="s">
        <v>13007</v>
      </c>
      <c r="E6313" t="s">
        <v>18669</v>
      </c>
      <c r="F6313" t="s">
        <v>22436</v>
      </c>
      <c r="G6313" t="s">
        <v>22444</v>
      </c>
      <c r="H6313" t="s">
        <v>22452</v>
      </c>
      <c r="I6313" t="s">
        <v>3529</v>
      </c>
      <c r="J6313" t="s">
        <v>26710</v>
      </c>
      <c r="K6313" t="s">
        <v>29338</v>
      </c>
      <c r="M6313" t="s">
        <v>31698</v>
      </c>
      <c r="N6313" t="s">
        <v>32524</v>
      </c>
      <c r="O6313" t="s">
        <v>32525</v>
      </c>
      <c r="P6313">
        <v>0</v>
      </c>
      <c r="Q6313">
        <v>0</v>
      </c>
      <c r="R6313" t="s">
        <v>32532</v>
      </c>
      <c r="S6313" t="s">
        <v>32616</v>
      </c>
      <c r="T6313" t="s">
        <v>33416</v>
      </c>
      <c r="U6313" t="s">
        <v>38902</v>
      </c>
      <c r="V6313" t="s">
        <v>43116</v>
      </c>
      <c r="W6313" t="s">
        <v>31698</v>
      </c>
      <c r="X6313" t="s">
        <v>32533</v>
      </c>
    </row>
    <row r="6314" spans="1:24">
      <c r="A6314">
        <f>HYPERLINK("https://www.philgeps.gov.ph/GEPSNONPILOT/Tender/SplashBidNoticeAbstractUI.aspx?menuIndex=3&amp;refID=7036018&amp;Result=3","7036018")</f>
        <v>0</v>
      </c>
      <c r="B6314" t="s">
        <v>1975</v>
      </c>
      <c r="C6314" t="s">
        <v>8723</v>
      </c>
      <c r="D6314" t="s">
        <v>13023</v>
      </c>
      <c r="E6314" t="s">
        <v>18670</v>
      </c>
      <c r="F6314" t="s">
        <v>22436</v>
      </c>
      <c r="G6314" t="s">
        <v>22444</v>
      </c>
      <c r="H6314" t="s">
        <v>22454</v>
      </c>
      <c r="I6314" t="s">
        <v>7738</v>
      </c>
      <c r="J6314" t="s">
        <v>24006</v>
      </c>
      <c r="K6314" t="s">
        <v>29345</v>
      </c>
      <c r="M6314" t="s">
        <v>31707</v>
      </c>
      <c r="N6314" t="s">
        <v>32524</v>
      </c>
      <c r="O6314" t="s">
        <v>32525</v>
      </c>
      <c r="P6314">
        <v>0</v>
      </c>
      <c r="Q6314">
        <v>16</v>
      </c>
      <c r="R6314" t="s">
        <v>32532</v>
      </c>
      <c r="S6314" t="s">
        <v>32616</v>
      </c>
      <c r="T6314" t="s">
        <v>33440</v>
      </c>
      <c r="U6314" t="s">
        <v>38894</v>
      </c>
      <c r="W6314" t="s">
        <v>31707</v>
      </c>
      <c r="X6314" t="s">
        <v>32533</v>
      </c>
    </row>
    <row r="6315" spans="1:24">
      <c r="A6315">
        <f>HYPERLINK("https://www.philgeps.gov.ph/GEPSNONPILOT/Tender/SplashBidNoticeAbstractUI.aspx?menuIndex=3&amp;refID=7036059&amp;Result=3","7036059")</f>
        <v>0</v>
      </c>
      <c r="B6315" t="s">
        <v>1967</v>
      </c>
      <c r="C6315" t="s">
        <v>8724</v>
      </c>
      <c r="D6315" t="s">
        <v>13007</v>
      </c>
      <c r="E6315" t="s">
        <v>18671</v>
      </c>
      <c r="F6315" t="s">
        <v>22436</v>
      </c>
      <c r="G6315" t="s">
        <v>22444</v>
      </c>
      <c r="H6315" t="s">
        <v>22452</v>
      </c>
      <c r="I6315" t="s">
        <v>3529</v>
      </c>
      <c r="J6315" t="s">
        <v>26711</v>
      </c>
      <c r="K6315" t="s">
        <v>29338</v>
      </c>
      <c r="M6315" t="s">
        <v>31698</v>
      </c>
      <c r="N6315" t="s">
        <v>32524</v>
      </c>
      <c r="O6315" t="s">
        <v>32525</v>
      </c>
      <c r="P6315">
        <v>0</v>
      </c>
      <c r="Q6315">
        <v>0</v>
      </c>
      <c r="R6315" t="s">
        <v>32532</v>
      </c>
      <c r="S6315" t="s">
        <v>32616</v>
      </c>
      <c r="T6315" t="s">
        <v>33416</v>
      </c>
      <c r="U6315" t="s">
        <v>38943</v>
      </c>
      <c r="V6315" t="s">
        <v>43116</v>
      </c>
      <c r="W6315" t="s">
        <v>31698</v>
      </c>
      <c r="X6315" t="s">
        <v>32533</v>
      </c>
    </row>
    <row r="6316" spans="1:24">
      <c r="A6316">
        <f>HYPERLINK("https://www.philgeps.gov.ph/GEPSNONPILOT/Tender/SplashBidNoticeAbstractUI.aspx?menuIndex=3&amp;refID=7035981&amp;Result=3","7035981")</f>
        <v>0</v>
      </c>
      <c r="B6316" t="s">
        <v>1993</v>
      </c>
      <c r="C6316" t="s">
        <v>8725</v>
      </c>
      <c r="D6316" t="s">
        <v>12992</v>
      </c>
      <c r="E6316" t="s">
        <v>18672</v>
      </c>
      <c r="F6316" t="s">
        <v>22436</v>
      </c>
      <c r="G6316" t="s">
        <v>22444</v>
      </c>
      <c r="H6316" t="s">
        <v>22452</v>
      </c>
      <c r="I6316" t="s">
        <v>7738</v>
      </c>
      <c r="J6316" t="s">
        <v>25144</v>
      </c>
      <c r="K6316" t="s">
        <v>29338</v>
      </c>
      <c r="M6316" t="s">
        <v>31725</v>
      </c>
      <c r="N6316" t="s">
        <v>32524</v>
      </c>
      <c r="O6316" t="s">
        <v>32525</v>
      </c>
      <c r="P6316">
        <v>0</v>
      </c>
      <c r="Q6316">
        <v>0</v>
      </c>
      <c r="R6316" t="s">
        <v>32532</v>
      </c>
      <c r="S6316" t="s">
        <v>32616</v>
      </c>
      <c r="T6316" t="s">
        <v>33304</v>
      </c>
      <c r="U6316" t="s">
        <v>38944</v>
      </c>
      <c r="W6316" t="s">
        <v>31725</v>
      </c>
      <c r="X6316" t="s">
        <v>32533</v>
      </c>
    </row>
    <row r="6317" spans="1:24">
      <c r="A6317">
        <f>HYPERLINK("https://www.philgeps.gov.ph/GEPSNONPILOT/Tender/SplashBidNoticeAbstractUI.aspx?menuIndex=3&amp;refID=7036025&amp;Result=3","7036025")</f>
        <v>0</v>
      </c>
      <c r="B6317" t="s">
        <v>315</v>
      </c>
      <c r="C6317" t="s">
        <v>8726</v>
      </c>
      <c r="D6317" t="s">
        <v>13045</v>
      </c>
      <c r="E6317" t="s">
        <v>18673</v>
      </c>
      <c r="F6317" t="s">
        <v>22436</v>
      </c>
      <c r="G6317" t="s">
        <v>22443</v>
      </c>
      <c r="H6317" t="s">
        <v>22452</v>
      </c>
      <c r="I6317" t="s">
        <v>3840</v>
      </c>
      <c r="J6317" t="s">
        <v>22874</v>
      </c>
      <c r="K6317" t="s">
        <v>29341</v>
      </c>
      <c r="M6317" t="s">
        <v>29891</v>
      </c>
      <c r="N6317" t="s">
        <v>32524</v>
      </c>
      <c r="O6317" t="s">
        <v>32525</v>
      </c>
      <c r="P6317">
        <v>0</v>
      </c>
      <c r="Q6317">
        <v>5</v>
      </c>
      <c r="R6317" t="s">
        <v>32532</v>
      </c>
      <c r="S6317" t="s">
        <v>32616</v>
      </c>
      <c r="T6317" t="s">
        <v>33372</v>
      </c>
      <c r="U6317" t="s">
        <v>38945</v>
      </c>
      <c r="W6317" t="s">
        <v>29891</v>
      </c>
      <c r="X6317" t="s">
        <v>32533</v>
      </c>
    </row>
    <row r="6318" spans="1:24">
      <c r="A6318">
        <f>HYPERLINK("https://www.philgeps.gov.ph/GEPSNONPILOT/Tender/SplashBidNoticeAbstractUI.aspx?menuIndex=3&amp;refID=7036057&amp;Result=3","7036057")</f>
        <v>0</v>
      </c>
      <c r="B6318" t="s">
        <v>133</v>
      </c>
      <c r="C6318" t="s">
        <v>8727</v>
      </c>
      <c r="D6318" t="s">
        <v>13011</v>
      </c>
      <c r="E6318" t="s">
        <v>18507</v>
      </c>
      <c r="F6318" t="s">
        <v>22436</v>
      </c>
      <c r="G6318" t="s">
        <v>22444</v>
      </c>
      <c r="H6318" t="s">
        <v>22454</v>
      </c>
      <c r="I6318" t="s">
        <v>7738</v>
      </c>
      <c r="J6318" t="s">
        <v>26712</v>
      </c>
      <c r="K6318" t="s">
        <v>29333</v>
      </c>
      <c r="M6318" t="s">
        <v>29705</v>
      </c>
      <c r="N6318" t="s">
        <v>32524</v>
      </c>
      <c r="O6318" t="s">
        <v>32525</v>
      </c>
      <c r="P6318">
        <v>0</v>
      </c>
      <c r="Q6318">
        <v>4</v>
      </c>
      <c r="R6318" t="s">
        <v>32532</v>
      </c>
      <c r="S6318" t="s">
        <v>32616</v>
      </c>
      <c r="T6318" t="s">
        <v>33372</v>
      </c>
      <c r="U6318" t="s">
        <v>38946</v>
      </c>
      <c r="W6318" t="s">
        <v>29705</v>
      </c>
      <c r="X6318" t="s">
        <v>32533</v>
      </c>
    </row>
    <row r="6319" spans="1:24">
      <c r="A6319">
        <f>HYPERLINK("https://www.philgeps.gov.ph/GEPSNONPILOT/Tender/SplashBidNoticeAbstractUI.aspx?menuIndex=3&amp;refID=7036055&amp;Result=3","7036055")</f>
        <v>0</v>
      </c>
      <c r="B6319" t="s">
        <v>1991</v>
      </c>
      <c r="C6319" t="s">
        <v>8728</v>
      </c>
      <c r="D6319" t="s">
        <v>13058</v>
      </c>
      <c r="E6319" t="s">
        <v>18674</v>
      </c>
      <c r="F6319" t="s">
        <v>22436</v>
      </c>
      <c r="G6319" t="s">
        <v>22444</v>
      </c>
      <c r="H6319" t="s">
        <v>22454</v>
      </c>
      <c r="I6319" t="s">
        <v>7738</v>
      </c>
      <c r="J6319" t="s">
        <v>22634</v>
      </c>
      <c r="K6319" t="s">
        <v>29409</v>
      </c>
      <c r="M6319" t="s">
        <v>31723</v>
      </c>
      <c r="N6319" t="s">
        <v>32524</v>
      </c>
      <c r="O6319" t="s">
        <v>32525</v>
      </c>
      <c r="P6319">
        <v>0</v>
      </c>
      <c r="Q6319">
        <v>0</v>
      </c>
      <c r="R6319" t="s">
        <v>32532</v>
      </c>
      <c r="S6319" t="s">
        <v>32616</v>
      </c>
      <c r="T6319" t="s">
        <v>33405</v>
      </c>
      <c r="U6319" t="s">
        <v>38947</v>
      </c>
      <c r="W6319" t="s">
        <v>31723</v>
      </c>
      <c r="X6319" t="s">
        <v>32533</v>
      </c>
    </row>
    <row r="6320" spans="1:24">
      <c r="A6320">
        <f>HYPERLINK("https://www.philgeps.gov.ph/GEPSNONPILOT/Tender/SplashBidNoticeAbstractUI.aspx?menuIndex=3&amp;refID=7036013&amp;Result=3","7036013")</f>
        <v>0</v>
      </c>
      <c r="B6320" t="s">
        <v>1981</v>
      </c>
      <c r="C6320" t="s">
        <v>8729</v>
      </c>
      <c r="D6320" t="s">
        <v>13007</v>
      </c>
      <c r="E6320" t="s">
        <v>13396</v>
      </c>
      <c r="F6320" t="s">
        <v>22437</v>
      </c>
      <c r="G6320" t="s">
        <v>22443</v>
      </c>
      <c r="H6320" t="s">
        <v>22452</v>
      </c>
      <c r="I6320" t="s">
        <v>3529</v>
      </c>
      <c r="J6320" t="s">
        <v>26713</v>
      </c>
      <c r="K6320" t="s">
        <v>29337</v>
      </c>
      <c r="M6320" t="s">
        <v>31713</v>
      </c>
      <c r="N6320" t="s">
        <v>32524</v>
      </c>
      <c r="O6320" t="s">
        <v>32525</v>
      </c>
      <c r="P6320">
        <v>0</v>
      </c>
      <c r="Q6320">
        <v>0</v>
      </c>
      <c r="R6320" t="s">
        <v>32532</v>
      </c>
      <c r="S6320" t="s">
        <v>32616</v>
      </c>
      <c r="T6320" t="s">
        <v>33371</v>
      </c>
      <c r="U6320" t="s">
        <v>38948</v>
      </c>
      <c r="W6320" t="s">
        <v>31713</v>
      </c>
      <c r="X6320" t="s">
        <v>32533</v>
      </c>
    </row>
    <row r="6321" spans="1:24">
      <c r="A6321">
        <f>HYPERLINK("https://www.philgeps.gov.ph/GEPSNONPILOT/Tender/SplashBidNoticeAbstractUI.aspx?menuIndex=3&amp;refID=7036022&amp;Result=3","7036022")</f>
        <v>0</v>
      </c>
      <c r="B6321" t="s">
        <v>1726</v>
      </c>
      <c r="C6321" t="s">
        <v>8730</v>
      </c>
      <c r="D6321" t="s">
        <v>12988</v>
      </c>
      <c r="E6321" t="s">
        <v>18675</v>
      </c>
      <c r="F6321" t="s">
        <v>22436</v>
      </c>
      <c r="G6321" t="s">
        <v>22444</v>
      </c>
      <c r="H6321" t="s">
        <v>22453</v>
      </c>
      <c r="I6321" t="s">
        <v>22475</v>
      </c>
      <c r="J6321" t="s">
        <v>26714</v>
      </c>
      <c r="K6321" t="s">
        <v>29336</v>
      </c>
      <c r="M6321" t="s">
        <v>31644</v>
      </c>
      <c r="N6321" t="s">
        <v>32524</v>
      </c>
      <c r="O6321" t="s">
        <v>32525</v>
      </c>
      <c r="P6321">
        <v>0</v>
      </c>
      <c r="Q6321">
        <v>0</v>
      </c>
      <c r="R6321" t="s">
        <v>32532</v>
      </c>
      <c r="S6321" t="s">
        <v>32616</v>
      </c>
      <c r="T6321" t="s">
        <v>33259</v>
      </c>
      <c r="U6321" t="s">
        <v>38776</v>
      </c>
      <c r="W6321" t="s">
        <v>31644</v>
      </c>
      <c r="X6321" t="s">
        <v>32533</v>
      </c>
    </row>
    <row r="6322" spans="1:24">
      <c r="A6322">
        <f>HYPERLINK("https://www.philgeps.gov.ph/GEPSNONPILOT/Tender/SplashBidNoticeAbstractUI.aspx?menuIndex=3&amp;refID=7036056&amp;Result=3","7036056")</f>
        <v>0</v>
      </c>
      <c r="B6322" t="s">
        <v>1994</v>
      </c>
      <c r="C6322" t="s">
        <v>8731</v>
      </c>
      <c r="D6322" t="s">
        <v>12999</v>
      </c>
      <c r="E6322" t="s">
        <v>17357</v>
      </c>
      <c r="F6322" t="s">
        <v>22436</v>
      </c>
      <c r="G6322" t="s">
        <v>22444</v>
      </c>
      <c r="H6322" t="s">
        <v>22452</v>
      </c>
      <c r="I6322" t="s">
        <v>22456</v>
      </c>
      <c r="J6322" t="s">
        <v>22605</v>
      </c>
      <c r="K6322" t="s">
        <v>29341</v>
      </c>
      <c r="M6322" t="s">
        <v>31727</v>
      </c>
      <c r="N6322" t="s">
        <v>32524</v>
      </c>
      <c r="O6322" t="s">
        <v>32525</v>
      </c>
      <c r="P6322">
        <v>0</v>
      </c>
      <c r="Q6322">
        <v>0</v>
      </c>
      <c r="R6322" t="s">
        <v>32532</v>
      </c>
      <c r="S6322" t="s">
        <v>32616</v>
      </c>
      <c r="T6322" t="s">
        <v>33171</v>
      </c>
      <c r="U6322" t="s">
        <v>38949</v>
      </c>
      <c r="W6322" t="s">
        <v>31727</v>
      </c>
      <c r="X6322" t="s">
        <v>32533</v>
      </c>
    </row>
    <row r="6323" spans="1:24">
      <c r="A6323">
        <f>HYPERLINK("https://www.philgeps.gov.ph/GEPSNONPILOT/Tender/SplashBidNoticeAbstractUI.aspx?menuIndex=3&amp;refID=7036053&amp;Result=3","7036053")</f>
        <v>0</v>
      </c>
      <c r="B6323" t="s">
        <v>1263</v>
      </c>
      <c r="C6323" t="s">
        <v>8732</v>
      </c>
      <c r="D6323" t="s">
        <v>13057</v>
      </c>
      <c r="E6323" t="s">
        <v>18676</v>
      </c>
      <c r="F6323" t="s">
        <v>22436</v>
      </c>
      <c r="G6323" t="s">
        <v>22444</v>
      </c>
      <c r="H6323" t="s">
        <v>22452</v>
      </c>
      <c r="I6323" t="s">
        <v>3529</v>
      </c>
      <c r="J6323" t="s">
        <v>24364</v>
      </c>
      <c r="K6323" t="s">
        <v>29335</v>
      </c>
      <c r="M6323" t="s">
        <v>30916</v>
      </c>
      <c r="N6323" t="s">
        <v>32524</v>
      </c>
      <c r="O6323" t="s">
        <v>32525</v>
      </c>
      <c r="P6323">
        <v>0</v>
      </c>
      <c r="Q6323">
        <v>1</v>
      </c>
      <c r="R6323" t="s">
        <v>32532</v>
      </c>
      <c r="S6323" t="s">
        <v>32616</v>
      </c>
      <c r="T6323" t="s">
        <v>33234</v>
      </c>
      <c r="U6323" t="s">
        <v>38950</v>
      </c>
      <c r="V6323" t="s">
        <v>43128</v>
      </c>
      <c r="W6323" t="s">
        <v>30916</v>
      </c>
      <c r="X6323" t="s">
        <v>32533</v>
      </c>
    </row>
    <row r="6324" spans="1:24">
      <c r="A6324">
        <f>HYPERLINK("https://www.philgeps.gov.ph/GEPSNONPILOT/Tender/SplashBidNoticeAbstractUI.aspx?menuIndex=3&amp;refID=7036047&amp;Result=3","7036047")</f>
        <v>0</v>
      </c>
      <c r="B6324" t="s">
        <v>198</v>
      </c>
      <c r="C6324" t="s">
        <v>8645</v>
      </c>
      <c r="D6324" t="s">
        <v>13002</v>
      </c>
      <c r="E6324" t="s">
        <v>18677</v>
      </c>
      <c r="F6324" t="s">
        <v>22436</v>
      </c>
      <c r="G6324" t="s">
        <v>22443</v>
      </c>
      <c r="H6324" t="s">
        <v>22452</v>
      </c>
      <c r="I6324" t="s">
        <v>22471</v>
      </c>
      <c r="J6324" t="s">
        <v>26715</v>
      </c>
      <c r="K6324" t="s">
        <v>29335</v>
      </c>
      <c r="M6324" t="s">
        <v>29771</v>
      </c>
      <c r="N6324" t="s">
        <v>32524</v>
      </c>
      <c r="O6324" t="s">
        <v>32525</v>
      </c>
      <c r="P6324">
        <v>0</v>
      </c>
      <c r="Q6324">
        <v>3</v>
      </c>
      <c r="R6324" t="s">
        <v>32532</v>
      </c>
      <c r="S6324" t="s">
        <v>32616</v>
      </c>
      <c r="T6324" t="s">
        <v>33371</v>
      </c>
      <c r="U6324" t="s">
        <v>38951</v>
      </c>
      <c r="W6324" t="s">
        <v>29771</v>
      </c>
      <c r="X6324" t="s">
        <v>32533</v>
      </c>
    </row>
    <row r="6325" spans="1:24">
      <c r="A6325">
        <f>HYPERLINK("https://www.philgeps.gov.ph/GEPSNONPILOT/Tender/SplashBidNoticeAbstractUI.aspx?menuIndex=3&amp;refID=7036064&amp;Result=3","7036064")</f>
        <v>0</v>
      </c>
      <c r="B6325" t="s">
        <v>1995</v>
      </c>
      <c r="C6325" t="s">
        <v>8733</v>
      </c>
      <c r="D6325" t="s">
        <v>13001</v>
      </c>
      <c r="E6325" t="s">
        <v>18678</v>
      </c>
      <c r="F6325" t="s">
        <v>22436</v>
      </c>
      <c r="G6325" t="s">
        <v>22444</v>
      </c>
      <c r="H6325" t="s">
        <v>22454</v>
      </c>
      <c r="I6325" t="s">
        <v>7738</v>
      </c>
      <c r="J6325" t="s">
        <v>26716</v>
      </c>
      <c r="K6325" t="s">
        <v>29338</v>
      </c>
      <c r="M6325" t="s">
        <v>31728</v>
      </c>
      <c r="N6325" t="s">
        <v>32524</v>
      </c>
      <c r="O6325" t="s">
        <v>32525</v>
      </c>
      <c r="P6325">
        <v>0</v>
      </c>
      <c r="Q6325">
        <v>1</v>
      </c>
      <c r="R6325" t="s">
        <v>32532</v>
      </c>
      <c r="S6325" t="s">
        <v>32616</v>
      </c>
      <c r="T6325" t="s">
        <v>33372</v>
      </c>
      <c r="U6325" t="s">
        <v>38952</v>
      </c>
      <c r="V6325" t="s">
        <v>42961</v>
      </c>
      <c r="W6325" t="s">
        <v>31728</v>
      </c>
      <c r="X6325" t="s">
        <v>32533</v>
      </c>
    </row>
    <row r="6326" spans="1:24">
      <c r="A6326">
        <f>HYPERLINK("https://www.philgeps.gov.ph/GEPSNONPILOT/Tender/SplashBidNoticeAbstractUI.aspx?menuIndex=3&amp;refID=7036050&amp;Result=3","7036050")</f>
        <v>0</v>
      </c>
      <c r="B6326" t="s">
        <v>874</v>
      </c>
      <c r="C6326" t="s">
        <v>8734</v>
      </c>
      <c r="E6326" t="s">
        <v>18679</v>
      </c>
      <c r="F6326" t="s">
        <v>22436</v>
      </c>
      <c r="G6326" t="s">
        <v>22443</v>
      </c>
      <c r="H6326" t="s">
        <v>22452</v>
      </c>
      <c r="I6326" t="s">
        <v>22489</v>
      </c>
      <c r="J6326" t="s">
        <v>22695</v>
      </c>
      <c r="K6326" t="s">
        <v>29338</v>
      </c>
      <c r="M6326" t="s">
        <v>30482</v>
      </c>
      <c r="N6326" t="s">
        <v>32524</v>
      </c>
      <c r="O6326" t="s">
        <v>32525</v>
      </c>
      <c r="P6326">
        <v>0</v>
      </c>
      <c r="Q6326">
        <v>5</v>
      </c>
      <c r="R6326" t="s">
        <v>32532</v>
      </c>
      <c r="S6326" t="s">
        <v>32616</v>
      </c>
      <c r="T6326" t="s">
        <v>33327</v>
      </c>
      <c r="U6326" t="s">
        <v>38853</v>
      </c>
      <c r="W6326" t="s">
        <v>30482</v>
      </c>
      <c r="X6326" t="s">
        <v>32533</v>
      </c>
    </row>
    <row r="6327" spans="1:24">
      <c r="A6327">
        <f>HYPERLINK("https://www.philgeps.gov.ph/GEPSNONPILOT/Tender/SplashBidNoticeAbstractUI.aspx?menuIndex=3&amp;refID=7036067&amp;Result=3","7036067")</f>
        <v>0</v>
      </c>
      <c r="B6327" t="s">
        <v>1462</v>
      </c>
      <c r="C6327" t="s">
        <v>8735</v>
      </c>
      <c r="D6327" t="s">
        <v>13041</v>
      </c>
      <c r="E6327" t="s">
        <v>18680</v>
      </c>
      <c r="F6327" t="s">
        <v>22436</v>
      </c>
      <c r="G6327" t="s">
        <v>22444</v>
      </c>
      <c r="H6327" t="s">
        <v>22452</v>
      </c>
      <c r="I6327" t="s">
        <v>22489</v>
      </c>
      <c r="J6327" t="s">
        <v>24159</v>
      </c>
      <c r="K6327" t="s">
        <v>29335</v>
      </c>
      <c r="M6327" t="s">
        <v>31130</v>
      </c>
      <c r="N6327" t="s">
        <v>32524</v>
      </c>
      <c r="O6327" t="s">
        <v>32525</v>
      </c>
      <c r="Q6327">
        <v>0</v>
      </c>
      <c r="R6327" t="s">
        <v>32532</v>
      </c>
      <c r="S6327" t="s">
        <v>32629</v>
      </c>
      <c r="T6327" t="s">
        <v>33530</v>
      </c>
      <c r="U6327" t="s">
        <v>38953</v>
      </c>
      <c r="W6327" t="s">
        <v>31130</v>
      </c>
      <c r="X6327" t="s">
        <v>32533</v>
      </c>
    </row>
    <row r="6328" spans="1:24">
      <c r="A6328">
        <f>HYPERLINK("https://www.philgeps.gov.ph/GEPSNONPILOT/Tender/SplashBidNoticeAbstractUI.aspx?menuIndex=3&amp;refID=7036063&amp;Result=3","7036063")</f>
        <v>0</v>
      </c>
      <c r="B6328" t="s">
        <v>1987</v>
      </c>
      <c r="C6328" t="s">
        <v>8736</v>
      </c>
      <c r="D6328" t="s">
        <v>13001</v>
      </c>
      <c r="E6328" t="s">
        <v>18681</v>
      </c>
      <c r="F6328" t="s">
        <v>22436</v>
      </c>
      <c r="G6328" t="s">
        <v>22444</v>
      </c>
      <c r="H6328" t="s">
        <v>22452</v>
      </c>
      <c r="I6328" t="s">
        <v>22538</v>
      </c>
      <c r="J6328" t="s">
        <v>26717</v>
      </c>
      <c r="K6328" t="s">
        <v>29336</v>
      </c>
      <c r="M6328" t="s">
        <v>31719</v>
      </c>
      <c r="N6328" t="s">
        <v>32524</v>
      </c>
      <c r="O6328" t="s">
        <v>32525</v>
      </c>
      <c r="P6328">
        <v>0</v>
      </c>
      <c r="Q6328">
        <v>1</v>
      </c>
      <c r="R6328" t="s">
        <v>32532</v>
      </c>
      <c r="S6328" t="s">
        <v>32616</v>
      </c>
      <c r="T6328" t="s">
        <v>33322</v>
      </c>
      <c r="U6328" t="s">
        <v>38954</v>
      </c>
      <c r="W6328" t="s">
        <v>31719</v>
      </c>
      <c r="X6328" t="s">
        <v>32533</v>
      </c>
    </row>
    <row r="6329" spans="1:24">
      <c r="A6329">
        <f>HYPERLINK("https://www.philgeps.gov.ph/GEPSNONPILOT/Tender/SplashBidNoticeAbstractUI.aspx?menuIndex=3&amp;refID=7036060&amp;Result=3","7036060")</f>
        <v>0</v>
      </c>
      <c r="B6329" t="s">
        <v>1996</v>
      </c>
      <c r="C6329" t="s">
        <v>8737</v>
      </c>
      <c r="D6329" t="s">
        <v>13006</v>
      </c>
      <c r="E6329" t="s">
        <v>13368</v>
      </c>
      <c r="F6329" t="s">
        <v>22436</v>
      </c>
      <c r="G6329" t="s">
        <v>22444</v>
      </c>
      <c r="H6329" t="s">
        <v>22452</v>
      </c>
      <c r="I6329" t="s">
        <v>3529</v>
      </c>
      <c r="J6329" t="s">
        <v>26718</v>
      </c>
      <c r="K6329" t="s">
        <v>29335</v>
      </c>
      <c r="M6329" t="s">
        <v>31729</v>
      </c>
      <c r="N6329" t="s">
        <v>32524</v>
      </c>
      <c r="O6329" t="s">
        <v>32525</v>
      </c>
      <c r="P6329">
        <v>0</v>
      </c>
      <c r="Q6329">
        <v>0</v>
      </c>
      <c r="R6329" t="s">
        <v>32532</v>
      </c>
      <c r="S6329" t="s">
        <v>32616</v>
      </c>
      <c r="T6329" t="s">
        <v>33234</v>
      </c>
      <c r="U6329" t="s">
        <v>38955</v>
      </c>
      <c r="W6329" t="s">
        <v>31729</v>
      </c>
      <c r="X6329" t="s">
        <v>32533</v>
      </c>
    </row>
    <row r="6330" spans="1:24">
      <c r="A6330">
        <f>HYPERLINK("https://www.philgeps.gov.ph/GEPSNONPILOT/Tender/SplashBidNoticeAbstractUI.aspx?menuIndex=3&amp;refID=7036037&amp;Result=3","7036037")</f>
        <v>0</v>
      </c>
      <c r="B6330" t="s">
        <v>1997</v>
      </c>
      <c r="C6330" t="s">
        <v>8738</v>
      </c>
      <c r="D6330" t="s">
        <v>13069</v>
      </c>
      <c r="E6330" t="s">
        <v>18682</v>
      </c>
      <c r="F6330" t="s">
        <v>22436</v>
      </c>
      <c r="G6330" t="s">
        <v>22444</v>
      </c>
      <c r="H6330" t="s">
        <v>22452</v>
      </c>
      <c r="I6330" t="s">
        <v>3529</v>
      </c>
      <c r="J6330" t="s">
        <v>26719</v>
      </c>
      <c r="K6330" t="s">
        <v>29335</v>
      </c>
      <c r="M6330" t="s">
        <v>31730</v>
      </c>
      <c r="N6330" t="s">
        <v>32524</v>
      </c>
      <c r="O6330" t="s">
        <v>32525</v>
      </c>
      <c r="P6330">
        <v>0</v>
      </c>
      <c r="Q6330">
        <v>2</v>
      </c>
      <c r="R6330" t="s">
        <v>32532</v>
      </c>
      <c r="S6330" t="s">
        <v>32616</v>
      </c>
      <c r="T6330" t="s">
        <v>33304</v>
      </c>
      <c r="U6330" t="s">
        <v>38956</v>
      </c>
      <c r="V6330" t="s">
        <v>43129</v>
      </c>
      <c r="W6330" t="s">
        <v>31730</v>
      </c>
      <c r="X6330" t="s">
        <v>32533</v>
      </c>
    </row>
    <row r="6331" spans="1:24">
      <c r="A6331">
        <f>HYPERLINK("https://www.philgeps.gov.ph/GEPSNONPILOT/Tender/SplashBidNoticeAbstractUI.aspx?menuIndex=3&amp;refID=7036065&amp;Result=3","7036065")</f>
        <v>0</v>
      </c>
      <c r="B6331" t="s">
        <v>1981</v>
      </c>
      <c r="C6331" t="s">
        <v>8739</v>
      </c>
      <c r="D6331" t="s">
        <v>13007</v>
      </c>
      <c r="E6331" t="s">
        <v>15278</v>
      </c>
      <c r="F6331" t="s">
        <v>22437</v>
      </c>
      <c r="G6331" t="s">
        <v>22443</v>
      </c>
      <c r="H6331" t="s">
        <v>22452</v>
      </c>
      <c r="I6331" t="s">
        <v>22575</v>
      </c>
      <c r="J6331" t="s">
        <v>26720</v>
      </c>
      <c r="K6331" t="s">
        <v>29337</v>
      </c>
      <c r="M6331" t="s">
        <v>31713</v>
      </c>
      <c r="N6331" t="s">
        <v>32524</v>
      </c>
      <c r="O6331" t="s">
        <v>32525</v>
      </c>
      <c r="P6331">
        <v>0</v>
      </c>
      <c r="Q6331">
        <v>0</v>
      </c>
      <c r="R6331" t="s">
        <v>32532</v>
      </c>
      <c r="S6331" t="s">
        <v>32616</v>
      </c>
      <c r="T6331" t="s">
        <v>33371</v>
      </c>
      <c r="U6331" t="s">
        <v>38908</v>
      </c>
      <c r="W6331" t="s">
        <v>31713</v>
      </c>
      <c r="X6331" t="s">
        <v>32533</v>
      </c>
    </row>
    <row r="6332" spans="1:24">
      <c r="A6332">
        <f>HYPERLINK("https://www.philgeps.gov.ph/GEPSNONPILOT/Tender/SplashBidNoticeAbstractUI.aspx?menuIndex=3&amp;refID=7036030&amp;Result=3","7036030")</f>
        <v>0</v>
      </c>
      <c r="B6332" t="s">
        <v>1998</v>
      </c>
      <c r="C6332" t="s">
        <v>8740</v>
      </c>
      <c r="D6332" t="s">
        <v>12992</v>
      </c>
      <c r="E6332" t="s">
        <v>18683</v>
      </c>
      <c r="F6332" t="s">
        <v>22436</v>
      </c>
      <c r="G6332" t="s">
        <v>22446</v>
      </c>
      <c r="H6332" t="s">
        <v>22452</v>
      </c>
      <c r="I6332" t="s">
        <v>22468</v>
      </c>
      <c r="J6332" t="s">
        <v>26721</v>
      </c>
      <c r="K6332" t="s">
        <v>29336</v>
      </c>
      <c r="M6332" t="s">
        <v>31731</v>
      </c>
      <c r="N6332" t="s">
        <v>32524</v>
      </c>
      <c r="O6332" t="s">
        <v>32525</v>
      </c>
      <c r="P6332">
        <v>0</v>
      </c>
      <c r="Q6332">
        <v>6</v>
      </c>
      <c r="R6332" t="s">
        <v>32532</v>
      </c>
      <c r="S6332" t="s">
        <v>32616</v>
      </c>
      <c r="T6332" t="s">
        <v>33220</v>
      </c>
      <c r="U6332" t="s">
        <v>38957</v>
      </c>
      <c r="W6332" t="s">
        <v>31731</v>
      </c>
      <c r="X6332" t="s">
        <v>32533</v>
      </c>
    </row>
    <row r="6333" spans="1:24">
      <c r="A6333">
        <f>HYPERLINK("https://www.philgeps.gov.ph/GEPSNONPILOT/Tender/SplashBidNoticeAbstractUI.aspx?menuIndex=3&amp;refID=7036070&amp;Result=3","7036070")</f>
        <v>0</v>
      </c>
      <c r="B6333" t="s">
        <v>1593</v>
      </c>
      <c r="C6333" t="s">
        <v>8741</v>
      </c>
      <c r="D6333" t="s">
        <v>13015</v>
      </c>
      <c r="E6333" t="s">
        <v>18684</v>
      </c>
      <c r="F6333" t="s">
        <v>22436</v>
      </c>
      <c r="G6333" t="s">
        <v>22444</v>
      </c>
      <c r="H6333" t="s">
        <v>22454</v>
      </c>
      <c r="I6333" t="s">
        <v>7738</v>
      </c>
      <c r="J6333" t="s">
        <v>26722</v>
      </c>
      <c r="K6333" t="s">
        <v>29419</v>
      </c>
      <c r="M6333" t="s">
        <v>31276</v>
      </c>
      <c r="N6333" t="s">
        <v>32524</v>
      </c>
      <c r="O6333" t="s">
        <v>32525</v>
      </c>
      <c r="P6333">
        <v>0</v>
      </c>
      <c r="Q6333">
        <v>3</v>
      </c>
      <c r="R6333" t="s">
        <v>32532</v>
      </c>
      <c r="S6333" t="s">
        <v>32616</v>
      </c>
      <c r="T6333" t="s">
        <v>33164</v>
      </c>
      <c r="U6333" t="s">
        <v>38958</v>
      </c>
      <c r="W6333" t="s">
        <v>31276</v>
      </c>
      <c r="X6333" t="s">
        <v>32533</v>
      </c>
    </row>
    <row r="6334" spans="1:24">
      <c r="A6334">
        <f>HYPERLINK("https://www.philgeps.gov.ph/GEPSNONPILOT/Tender/SplashBidNoticeAbstractUI.aspx?menuIndex=3&amp;refID=7036109&amp;Result=3","7036109")</f>
        <v>0</v>
      </c>
      <c r="B6334" t="s">
        <v>1999</v>
      </c>
      <c r="C6334" t="s">
        <v>6364</v>
      </c>
      <c r="D6334" t="s">
        <v>13007</v>
      </c>
      <c r="E6334" t="s">
        <v>18685</v>
      </c>
      <c r="F6334" t="s">
        <v>22436</v>
      </c>
      <c r="G6334" t="s">
        <v>22444</v>
      </c>
      <c r="H6334" t="s">
        <v>22452</v>
      </c>
      <c r="I6334" t="s">
        <v>22463</v>
      </c>
      <c r="J6334" t="s">
        <v>23038</v>
      </c>
      <c r="K6334" t="s">
        <v>29335</v>
      </c>
      <c r="M6334" t="s">
        <v>31732</v>
      </c>
      <c r="N6334" t="s">
        <v>32524</v>
      </c>
      <c r="O6334" t="s">
        <v>32525</v>
      </c>
      <c r="P6334">
        <v>0</v>
      </c>
      <c r="Q6334">
        <v>0</v>
      </c>
      <c r="R6334" t="s">
        <v>32532</v>
      </c>
      <c r="S6334" t="s">
        <v>32616</v>
      </c>
      <c r="T6334" t="s">
        <v>33323</v>
      </c>
      <c r="U6334" t="s">
        <v>38959</v>
      </c>
      <c r="W6334" t="s">
        <v>31732</v>
      </c>
      <c r="X6334" t="s">
        <v>32533</v>
      </c>
    </row>
    <row r="6335" spans="1:24">
      <c r="A6335">
        <f>HYPERLINK("https://www.philgeps.gov.ph/GEPSNONPILOT/Tender/SplashBidNoticeAbstractUI.aspx?menuIndex=3&amp;refID=7036066&amp;Result=3","7036066")</f>
        <v>0</v>
      </c>
      <c r="B6335" t="s">
        <v>346</v>
      </c>
      <c r="C6335" t="s">
        <v>8742</v>
      </c>
      <c r="D6335" t="s">
        <v>13041</v>
      </c>
      <c r="E6335" t="s">
        <v>13760</v>
      </c>
      <c r="F6335" t="s">
        <v>22436</v>
      </c>
      <c r="G6335" t="s">
        <v>22444</v>
      </c>
      <c r="H6335" t="s">
        <v>22452</v>
      </c>
      <c r="I6335" t="s">
        <v>2981</v>
      </c>
      <c r="J6335" t="s">
        <v>26723</v>
      </c>
      <c r="K6335" t="s">
        <v>29336</v>
      </c>
      <c r="M6335" t="s">
        <v>29922</v>
      </c>
      <c r="N6335" t="s">
        <v>32524</v>
      </c>
      <c r="O6335" t="s">
        <v>32525</v>
      </c>
      <c r="P6335">
        <v>0</v>
      </c>
      <c r="Q6335">
        <v>0</v>
      </c>
      <c r="R6335" t="s">
        <v>32532</v>
      </c>
      <c r="S6335" t="s">
        <v>32616</v>
      </c>
      <c r="T6335" t="s">
        <v>33154</v>
      </c>
      <c r="U6335" t="s">
        <v>38960</v>
      </c>
      <c r="W6335" t="s">
        <v>29922</v>
      </c>
      <c r="X6335" t="s">
        <v>32533</v>
      </c>
    </row>
    <row r="6336" spans="1:24">
      <c r="A6336">
        <f>HYPERLINK("https://www.philgeps.gov.ph/GEPSNONPILOT/Tender/SplashBidNoticeAbstractUI.aspx?menuIndex=3&amp;refID=7036026&amp;Result=3","7036026")</f>
        <v>0</v>
      </c>
      <c r="B6336" t="s">
        <v>1991</v>
      </c>
      <c r="C6336" t="s">
        <v>8743</v>
      </c>
      <c r="D6336" t="s">
        <v>13058</v>
      </c>
      <c r="E6336" t="s">
        <v>18686</v>
      </c>
      <c r="F6336" t="s">
        <v>22436</v>
      </c>
      <c r="G6336" t="s">
        <v>22444</v>
      </c>
      <c r="H6336" t="s">
        <v>22454</v>
      </c>
      <c r="I6336" t="s">
        <v>7738</v>
      </c>
      <c r="J6336" t="s">
        <v>26724</v>
      </c>
      <c r="K6336" t="s">
        <v>29329</v>
      </c>
      <c r="M6336" t="s">
        <v>31723</v>
      </c>
      <c r="N6336" t="s">
        <v>32524</v>
      </c>
      <c r="O6336" t="s">
        <v>32525</v>
      </c>
      <c r="P6336">
        <v>0</v>
      </c>
      <c r="Q6336">
        <v>1</v>
      </c>
      <c r="R6336" t="s">
        <v>32532</v>
      </c>
      <c r="S6336" t="s">
        <v>32616</v>
      </c>
      <c r="T6336" t="s">
        <v>33405</v>
      </c>
      <c r="U6336" t="s">
        <v>38961</v>
      </c>
      <c r="W6336" t="s">
        <v>31723</v>
      </c>
      <c r="X6336" t="s">
        <v>32533</v>
      </c>
    </row>
    <row r="6337" spans="1:24">
      <c r="A6337">
        <f>HYPERLINK("https://www.philgeps.gov.ph/GEPSNONPILOT/Tender/SplashBidNoticeAbstractUI.aspx?menuIndex=3&amp;refID=7036106&amp;Result=3","7036106")</f>
        <v>0</v>
      </c>
      <c r="B6337" t="s">
        <v>1967</v>
      </c>
      <c r="C6337" t="s">
        <v>8744</v>
      </c>
      <c r="D6337" t="s">
        <v>13007</v>
      </c>
      <c r="E6337" t="s">
        <v>18687</v>
      </c>
      <c r="F6337" t="s">
        <v>22436</v>
      </c>
      <c r="G6337" t="s">
        <v>22444</v>
      </c>
      <c r="H6337" t="s">
        <v>22452</v>
      </c>
      <c r="I6337" t="s">
        <v>22461</v>
      </c>
      <c r="J6337" t="s">
        <v>25069</v>
      </c>
      <c r="K6337" t="s">
        <v>29338</v>
      </c>
      <c r="M6337" t="s">
        <v>31698</v>
      </c>
      <c r="N6337" t="s">
        <v>32524</v>
      </c>
      <c r="O6337" t="s">
        <v>32525</v>
      </c>
      <c r="P6337">
        <v>0</v>
      </c>
      <c r="Q6337">
        <v>0</v>
      </c>
      <c r="R6337" t="s">
        <v>32532</v>
      </c>
      <c r="S6337" t="s">
        <v>32616</v>
      </c>
      <c r="T6337" t="s">
        <v>33416</v>
      </c>
      <c r="U6337" t="s">
        <v>38962</v>
      </c>
      <c r="V6337" t="s">
        <v>43116</v>
      </c>
      <c r="W6337" t="s">
        <v>31698</v>
      </c>
      <c r="X6337" t="s">
        <v>32533</v>
      </c>
    </row>
    <row r="6338" spans="1:24">
      <c r="A6338">
        <f>HYPERLINK("https://www.philgeps.gov.ph/GEPSNONPILOT/Tender/SplashBidNoticeAbstractUI.aspx?menuIndex=3&amp;refID=7036043&amp;Result=3","7036043")</f>
        <v>0</v>
      </c>
      <c r="B6338" t="s">
        <v>1981</v>
      </c>
      <c r="C6338" t="s">
        <v>8745</v>
      </c>
      <c r="D6338" t="s">
        <v>13007</v>
      </c>
      <c r="E6338" t="s">
        <v>16006</v>
      </c>
      <c r="F6338" t="s">
        <v>22437</v>
      </c>
      <c r="G6338" t="s">
        <v>22443</v>
      </c>
      <c r="H6338" t="s">
        <v>22452</v>
      </c>
      <c r="I6338" t="s">
        <v>22463</v>
      </c>
      <c r="J6338" t="s">
        <v>24857</v>
      </c>
      <c r="K6338" t="s">
        <v>29337</v>
      </c>
      <c r="M6338" t="s">
        <v>31713</v>
      </c>
      <c r="N6338" t="s">
        <v>32524</v>
      </c>
      <c r="O6338" t="s">
        <v>32525</v>
      </c>
      <c r="P6338">
        <v>0</v>
      </c>
      <c r="Q6338">
        <v>2</v>
      </c>
      <c r="R6338" t="s">
        <v>32532</v>
      </c>
      <c r="S6338" t="s">
        <v>32616</v>
      </c>
      <c r="T6338" t="s">
        <v>33371</v>
      </c>
      <c r="U6338" t="s">
        <v>38924</v>
      </c>
      <c r="W6338" t="s">
        <v>31713</v>
      </c>
      <c r="X6338" t="s">
        <v>32533</v>
      </c>
    </row>
    <row r="6339" spans="1:24">
      <c r="A6339">
        <f>HYPERLINK("https://www.philgeps.gov.ph/GEPSNONPILOT/Tender/SplashBidNoticeAbstractUI.aspx?menuIndex=3&amp;refID=7036027&amp;Result=3","7036027")</f>
        <v>0</v>
      </c>
      <c r="B6339" t="s">
        <v>1981</v>
      </c>
      <c r="C6339" t="s">
        <v>8746</v>
      </c>
      <c r="D6339" t="s">
        <v>13007</v>
      </c>
      <c r="E6339" t="s">
        <v>13416</v>
      </c>
      <c r="F6339" t="s">
        <v>22437</v>
      </c>
      <c r="G6339" t="s">
        <v>22443</v>
      </c>
      <c r="H6339" t="s">
        <v>22452</v>
      </c>
      <c r="I6339" t="s">
        <v>22504</v>
      </c>
      <c r="J6339" t="s">
        <v>24018</v>
      </c>
      <c r="K6339" t="s">
        <v>29337</v>
      </c>
      <c r="M6339" t="s">
        <v>31713</v>
      </c>
      <c r="N6339" t="s">
        <v>32524</v>
      </c>
      <c r="O6339" t="s">
        <v>32525</v>
      </c>
      <c r="P6339">
        <v>0</v>
      </c>
      <c r="Q6339">
        <v>1</v>
      </c>
      <c r="R6339" t="s">
        <v>32532</v>
      </c>
      <c r="S6339" t="s">
        <v>32616</v>
      </c>
      <c r="T6339" t="s">
        <v>33371</v>
      </c>
      <c r="U6339" t="s">
        <v>38908</v>
      </c>
      <c r="W6339" t="s">
        <v>31713</v>
      </c>
      <c r="X6339" t="s">
        <v>32533</v>
      </c>
    </row>
    <row r="6340" spans="1:24">
      <c r="A6340">
        <f>HYPERLINK("https://www.philgeps.gov.ph/GEPSNONPILOT/Tender/SplashBidNoticeAbstractUI.aspx?menuIndex=3&amp;refID=7036031&amp;Result=3","7036031")</f>
        <v>0</v>
      </c>
      <c r="B6340" t="s">
        <v>1967</v>
      </c>
      <c r="C6340" t="s">
        <v>8747</v>
      </c>
      <c r="D6340" t="s">
        <v>13007</v>
      </c>
      <c r="E6340" t="s">
        <v>18688</v>
      </c>
      <c r="F6340" t="s">
        <v>22436</v>
      </c>
      <c r="G6340" t="s">
        <v>22444</v>
      </c>
      <c r="H6340" t="s">
        <v>22452</v>
      </c>
      <c r="I6340" t="s">
        <v>3529</v>
      </c>
      <c r="J6340" t="s">
        <v>26725</v>
      </c>
      <c r="K6340" t="s">
        <v>29338</v>
      </c>
      <c r="M6340" t="s">
        <v>31698</v>
      </c>
      <c r="N6340" t="s">
        <v>32524</v>
      </c>
      <c r="O6340" t="s">
        <v>32525</v>
      </c>
      <c r="P6340">
        <v>0</v>
      </c>
      <c r="Q6340">
        <v>0</v>
      </c>
      <c r="R6340" t="s">
        <v>32532</v>
      </c>
      <c r="S6340" t="s">
        <v>32616</v>
      </c>
      <c r="T6340" t="s">
        <v>33416</v>
      </c>
      <c r="U6340" t="s">
        <v>38963</v>
      </c>
      <c r="V6340" t="s">
        <v>43116</v>
      </c>
      <c r="W6340" t="s">
        <v>31698</v>
      </c>
      <c r="X6340" t="s">
        <v>32533</v>
      </c>
    </row>
    <row r="6341" spans="1:24">
      <c r="A6341">
        <f>HYPERLINK("https://www.philgeps.gov.ph/GEPSNONPILOT/Tender/SplashBidNoticeAbstractUI.aspx?menuIndex=3&amp;refID=7036094&amp;Result=3","7036094")</f>
        <v>0</v>
      </c>
      <c r="B6341" t="s">
        <v>648</v>
      </c>
      <c r="C6341" t="s">
        <v>8748</v>
      </c>
      <c r="D6341" t="s">
        <v>12998</v>
      </c>
      <c r="E6341" t="s">
        <v>18689</v>
      </c>
      <c r="F6341" t="s">
        <v>22436</v>
      </c>
      <c r="G6341" t="s">
        <v>22444</v>
      </c>
      <c r="H6341" t="s">
        <v>22454</v>
      </c>
      <c r="I6341" t="s">
        <v>7738</v>
      </c>
      <c r="J6341" t="s">
        <v>26726</v>
      </c>
      <c r="K6341" t="s">
        <v>29377</v>
      </c>
      <c r="M6341" t="s">
        <v>30239</v>
      </c>
      <c r="N6341" t="s">
        <v>32524</v>
      </c>
      <c r="O6341" t="s">
        <v>32525</v>
      </c>
      <c r="P6341">
        <v>0</v>
      </c>
      <c r="Q6341">
        <v>1</v>
      </c>
      <c r="R6341" t="s">
        <v>32532</v>
      </c>
      <c r="S6341" t="s">
        <v>32616</v>
      </c>
      <c r="T6341" t="s">
        <v>33310</v>
      </c>
      <c r="U6341" t="s">
        <v>34980</v>
      </c>
      <c r="W6341" t="s">
        <v>30239</v>
      </c>
      <c r="X6341" t="s">
        <v>32533</v>
      </c>
    </row>
    <row r="6342" spans="1:24">
      <c r="A6342">
        <f>HYPERLINK("https://www.philgeps.gov.ph/GEPSNONPILOT/Tender/SplashBidNoticeAbstractUI.aspx?menuIndex=3&amp;refID=7036108&amp;Result=3","7036108")</f>
        <v>0</v>
      </c>
      <c r="B6342" t="s">
        <v>874</v>
      </c>
      <c r="C6342" t="s">
        <v>8749</v>
      </c>
      <c r="E6342" t="s">
        <v>18690</v>
      </c>
      <c r="F6342" t="s">
        <v>22436</v>
      </c>
      <c r="G6342" t="s">
        <v>22443</v>
      </c>
      <c r="H6342" t="s">
        <v>22452</v>
      </c>
      <c r="I6342" t="s">
        <v>22502</v>
      </c>
      <c r="J6342" t="s">
        <v>22657</v>
      </c>
      <c r="K6342" t="s">
        <v>29338</v>
      </c>
      <c r="M6342" t="s">
        <v>30482</v>
      </c>
      <c r="N6342" t="s">
        <v>32524</v>
      </c>
      <c r="O6342" t="s">
        <v>32525</v>
      </c>
      <c r="P6342">
        <v>0</v>
      </c>
      <c r="Q6342">
        <v>2</v>
      </c>
      <c r="R6342" t="s">
        <v>32532</v>
      </c>
      <c r="S6342" t="s">
        <v>32616</v>
      </c>
      <c r="T6342" t="s">
        <v>33327</v>
      </c>
      <c r="U6342" t="s">
        <v>38853</v>
      </c>
      <c r="W6342" t="s">
        <v>30482</v>
      </c>
      <c r="X6342" t="s">
        <v>32533</v>
      </c>
    </row>
    <row r="6343" spans="1:24">
      <c r="A6343">
        <f>HYPERLINK("https://www.philgeps.gov.ph/GEPSNONPILOT/Tender/SplashBidNoticeAbstractUI.aspx?menuIndex=3&amp;refID=7036090&amp;Result=3","7036090")</f>
        <v>0</v>
      </c>
      <c r="B6343" t="s">
        <v>1981</v>
      </c>
      <c r="C6343" t="s">
        <v>8750</v>
      </c>
      <c r="D6343" t="s">
        <v>13007</v>
      </c>
      <c r="E6343" t="s">
        <v>18691</v>
      </c>
      <c r="F6343" t="s">
        <v>22437</v>
      </c>
      <c r="G6343" t="s">
        <v>22443</v>
      </c>
      <c r="H6343" t="s">
        <v>22452</v>
      </c>
      <c r="I6343" t="s">
        <v>22460</v>
      </c>
      <c r="J6343" t="s">
        <v>26727</v>
      </c>
      <c r="K6343" t="s">
        <v>29337</v>
      </c>
      <c r="M6343" t="s">
        <v>31713</v>
      </c>
      <c r="N6343" t="s">
        <v>32524</v>
      </c>
      <c r="O6343" t="s">
        <v>32525</v>
      </c>
      <c r="P6343">
        <v>0</v>
      </c>
      <c r="Q6343">
        <v>0</v>
      </c>
      <c r="R6343" t="s">
        <v>32532</v>
      </c>
      <c r="S6343" t="s">
        <v>32616</v>
      </c>
      <c r="T6343" t="s">
        <v>33371</v>
      </c>
      <c r="U6343" t="s">
        <v>38964</v>
      </c>
      <c r="W6343" t="s">
        <v>31713</v>
      </c>
      <c r="X6343" t="s">
        <v>32533</v>
      </c>
    </row>
    <row r="6344" spans="1:24">
      <c r="A6344">
        <f>HYPERLINK("https://www.philgeps.gov.ph/GEPSNONPILOT/Tender/SplashBidNoticeAbstractUI.aspx?menuIndex=3&amp;refID=7036085&amp;Result=3","7036085")</f>
        <v>0</v>
      </c>
      <c r="B6344" t="s">
        <v>1913</v>
      </c>
      <c r="C6344" t="s">
        <v>8751</v>
      </c>
      <c r="D6344" t="s">
        <v>13032</v>
      </c>
      <c r="E6344" t="s">
        <v>18692</v>
      </c>
      <c r="F6344" t="s">
        <v>22436</v>
      </c>
      <c r="G6344" t="s">
        <v>22444</v>
      </c>
      <c r="H6344" t="s">
        <v>22452</v>
      </c>
      <c r="I6344" t="s">
        <v>22474</v>
      </c>
      <c r="J6344" t="s">
        <v>26728</v>
      </c>
      <c r="K6344" t="s">
        <v>29335</v>
      </c>
      <c r="M6344" t="s">
        <v>31637</v>
      </c>
      <c r="N6344" t="s">
        <v>32524</v>
      </c>
      <c r="O6344" t="s">
        <v>32525</v>
      </c>
      <c r="P6344">
        <v>0</v>
      </c>
      <c r="Q6344">
        <v>1</v>
      </c>
      <c r="R6344" t="s">
        <v>32532</v>
      </c>
      <c r="S6344" t="s">
        <v>32616</v>
      </c>
      <c r="T6344" t="s">
        <v>33249</v>
      </c>
      <c r="U6344" t="s">
        <v>38965</v>
      </c>
      <c r="V6344" t="s">
        <v>43130</v>
      </c>
      <c r="W6344" t="s">
        <v>31637</v>
      </c>
      <c r="X6344" t="s">
        <v>32533</v>
      </c>
    </row>
    <row r="6345" spans="1:24">
      <c r="A6345">
        <f>HYPERLINK("https://www.philgeps.gov.ph/GEPSNONPILOT/Tender/SplashBidNoticeAbstractUI.aspx?menuIndex=3&amp;refID=7036092&amp;Result=3","7036092")</f>
        <v>0</v>
      </c>
      <c r="B6345" t="s">
        <v>1991</v>
      </c>
      <c r="C6345" t="s">
        <v>8752</v>
      </c>
      <c r="D6345" t="s">
        <v>13058</v>
      </c>
      <c r="E6345" t="s">
        <v>18693</v>
      </c>
      <c r="F6345" t="s">
        <v>22436</v>
      </c>
      <c r="G6345" t="s">
        <v>22444</v>
      </c>
      <c r="H6345" t="s">
        <v>22454</v>
      </c>
      <c r="I6345" t="s">
        <v>7738</v>
      </c>
      <c r="J6345" t="s">
        <v>22779</v>
      </c>
      <c r="K6345" t="s">
        <v>29334</v>
      </c>
      <c r="M6345" t="s">
        <v>31723</v>
      </c>
      <c r="N6345" t="s">
        <v>32524</v>
      </c>
      <c r="O6345" t="s">
        <v>32525</v>
      </c>
      <c r="P6345">
        <v>0</v>
      </c>
      <c r="Q6345">
        <v>0</v>
      </c>
      <c r="R6345" t="s">
        <v>32532</v>
      </c>
      <c r="S6345" t="s">
        <v>32616</v>
      </c>
      <c r="T6345" t="s">
        <v>33405</v>
      </c>
      <c r="U6345" t="s">
        <v>38966</v>
      </c>
      <c r="W6345" t="s">
        <v>31723</v>
      </c>
      <c r="X6345" t="s">
        <v>32533</v>
      </c>
    </row>
    <row r="6346" spans="1:24">
      <c r="A6346">
        <f>HYPERLINK("https://www.philgeps.gov.ph/GEPSNONPILOT/Tender/SplashBidNoticeAbstractUI.aspx?menuIndex=3&amp;refID=7036117&amp;Result=3","7036117")</f>
        <v>0</v>
      </c>
      <c r="B6346" t="s">
        <v>1997</v>
      </c>
      <c r="C6346" t="s">
        <v>8753</v>
      </c>
      <c r="D6346" t="s">
        <v>13069</v>
      </c>
      <c r="E6346" t="s">
        <v>18694</v>
      </c>
      <c r="F6346" t="s">
        <v>22436</v>
      </c>
      <c r="G6346" t="s">
        <v>22444</v>
      </c>
      <c r="H6346" t="s">
        <v>22452</v>
      </c>
      <c r="I6346" t="s">
        <v>3529</v>
      </c>
      <c r="J6346" t="s">
        <v>26729</v>
      </c>
      <c r="K6346" t="s">
        <v>29335</v>
      </c>
      <c r="M6346" t="s">
        <v>31730</v>
      </c>
      <c r="N6346" t="s">
        <v>32524</v>
      </c>
      <c r="O6346" t="s">
        <v>32525</v>
      </c>
      <c r="P6346">
        <v>0</v>
      </c>
      <c r="Q6346">
        <v>2</v>
      </c>
      <c r="R6346" t="s">
        <v>32532</v>
      </c>
      <c r="S6346" t="s">
        <v>32616</v>
      </c>
      <c r="T6346" t="s">
        <v>33304</v>
      </c>
      <c r="U6346" t="s">
        <v>38967</v>
      </c>
      <c r="V6346" t="s">
        <v>43131</v>
      </c>
      <c r="W6346" t="s">
        <v>31730</v>
      </c>
      <c r="X6346" t="s">
        <v>32533</v>
      </c>
    </row>
    <row r="6347" spans="1:24">
      <c r="A6347">
        <f>HYPERLINK("https://www.philgeps.gov.ph/GEPSNONPILOT/Tender/SplashBidNoticeAbstractUI.aspx?menuIndex=3&amp;refID=7036124&amp;Result=3","7036124")</f>
        <v>0</v>
      </c>
      <c r="B6347" t="s">
        <v>1547</v>
      </c>
      <c r="C6347" t="s">
        <v>8754</v>
      </c>
      <c r="E6347" t="s">
        <v>18695</v>
      </c>
      <c r="F6347" t="s">
        <v>22436</v>
      </c>
      <c r="G6347" t="s">
        <v>22443</v>
      </c>
      <c r="H6347" t="s">
        <v>22452</v>
      </c>
      <c r="I6347" t="s">
        <v>6236</v>
      </c>
      <c r="J6347" t="s">
        <v>24347</v>
      </c>
      <c r="K6347" t="s">
        <v>29335</v>
      </c>
      <c r="M6347" t="s">
        <v>31226</v>
      </c>
      <c r="N6347" t="s">
        <v>32524</v>
      </c>
      <c r="O6347" t="s">
        <v>32525</v>
      </c>
      <c r="P6347">
        <v>0</v>
      </c>
      <c r="Q6347">
        <v>0</v>
      </c>
      <c r="R6347" t="s">
        <v>32532</v>
      </c>
      <c r="S6347" t="s">
        <v>32616</v>
      </c>
      <c r="T6347" t="s">
        <v>33196</v>
      </c>
      <c r="U6347" t="s">
        <v>38968</v>
      </c>
      <c r="W6347" t="s">
        <v>43727</v>
      </c>
      <c r="X6347" t="s">
        <v>32533</v>
      </c>
    </row>
    <row r="6348" spans="1:24">
      <c r="A6348">
        <f>HYPERLINK("https://www.philgeps.gov.ph/GEPSNONPILOT/Tender/SplashBidNoticeAbstractUI.aspx?menuIndex=3&amp;refID=7036076&amp;Result=3","7036076")</f>
        <v>0</v>
      </c>
      <c r="B6348" t="s">
        <v>1981</v>
      </c>
      <c r="C6348" t="s">
        <v>8755</v>
      </c>
      <c r="D6348" t="s">
        <v>13007</v>
      </c>
      <c r="E6348" t="s">
        <v>15278</v>
      </c>
      <c r="F6348" t="s">
        <v>22437</v>
      </c>
      <c r="G6348" t="s">
        <v>22443</v>
      </c>
      <c r="H6348" t="s">
        <v>22452</v>
      </c>
      <c r="I6348" t="s">
        <v>22508</v>
      </c>
      <c r="J6348" t="s">
        <v>23234</v>
      </c>
      <c r="K6348" t="s">
        <v>29337</v>
      </c>
      <c r="M6348" t="s">
        <v>31713</v>
      </c>
      <c r="N6348" t="s">
        <v>32524</v>
      </c>
      <c r="O6348" t="s">
        <v>32525</v>
      </c>
      <c r="P6348">
        <v>0</v>
      </c>
      <c r="Q6348">
        <v>1</v>
      </c>
      <c r="R6348" t="s">
        <v>32532</v>
      </c>
      <c r="S6348" t="s">
        <v>32616</v>
      </c>
      <c r="T6348" t="s">
        <v>33371</v>
      </c>
      <c r="U6348" t="s">
        <v>38924</v>
      </c>
      <c r="W6348" t="s">
        <v>31713</v>
      </c>
      <c r="X6348" t="s">
        <v>32533</v>
      </c>
    </row>
    <row r="6349" spans="1:24">
      <c r="A6349">
        <f>HYPERLINK("https://www.philgeps.gov.ph/GEPSNONPILOT/Tender/SplashBidNoticeAbstractUI.aspx?menuIndex=3&amp;refID=7036080&amp;Result=3","7036080")</f>
        <v>0</v>
      </c>
      <c r="B6349" t="s">
        <v>2000</v>
      </c>
      <c r="C6349" t="s">
        <v>8756</v>
      </c>
      <c r="D6349" t="s">
        <v>13013</v>
      </c>
      <c r="E6349" t="s">
        <v>18696</v>
      </c>
      <c r="F6349" t="s">
        <v>22436</v>
      </c>
      <c r="G6349" t="s">
        <v>22444</v>
      </c>
      <c r="H6349" t="s">
        <v>22454</v>
      </c>
      <c r="I6349" t="s">
        <v>7738</v>
      </c>
      <c r="J6349" t="s">
        <v>26730</v>
      </c>
      <c r="K6349" t="s">
        <v>29344</v>
      </c>
      <c r="M6349" t="s">
        <v>31733</v>
      </c>
      <c r="N6349" t="s">
        <v>32524</v>
      </c>
      <c r="O6349" t="s">
        <v>32525</v>
      </c>
      <c r="P6349">
        <v>0</v>
      </c>
      <c r="Q6349">
        <v>0</v>
      </c>
      <c r="R6349" t="s">
        <v>32532</v>
      </c>
      <c r="S6349" t="s">
        <v>32616</v>
      </c>
      <c r="T6349" t="s">
        <v>33486</v>
      </c>
      <c r="U6349" t="s">
        <v>38969</v>
      </c>
      <c r="W6349" t="s">
        <v>31733</v>
      </c>
      <c r="X6349" t="s">
        <v>32533</v>
      </c>
    </row>
    <row r="6350" spans="1:24">
      <c r="A6350">
        <f>HYPERLINK("https://www.philgeps.gov.ph/GEPSNONPILOT/Tender/SplashBidNoticeAbstractUI.aspx?menuIndex=3&amp;refID=7036122&amp;Result=3","7036122")</f>
        <v>0</v>
      </c>
      <c r="B6350" t="s">
        <v>986</v>
      </c>
      <c r="C6350" t="s">
        <v>8757</v>
      </c>
      <c r="D6350" t="s">
        <v>13016</v>
      </c>
      <c r="E6350" t="s">
        <v>13213</v>
      </c>
      <c r="F6350" t="s">
        <v>22436</v>
      </c>
      <c r="G6350" t="s">
        <v>22443</v>
      </c>
      <c r="H6350" t="s">
        <v>22452</v>
      </c>
      <c r="I6350" t="s">
        <v>3827</v>
      </c>
      <c r="J6350" t="s">
        <v>26731</v>
      </c>
      <c r="K6350" t="s">
        <v>29336</v>
      </c>
      <c r="L6350" t="s">
        <v>986</v>
      </c>
      <c r="M6350" t="s">
        <v>30608</v>
      </c>
      <c r="N6350" t="s">
        <v>32524</v>
      </c>
      <c r="O6350" t="s">
        <v>32525</v>
      </c>
      <c r="P6350">
        <v>0</v>
      </c>
      <c r="Q6350">
        <v>0</v>
      </c>
      <c r="R6350" t="s">
        <v>32532</v>
      </c>
      <c r="S6350" t="s">
        <v>32616</v>
      </c>
      <c r="T6350" t="s">
        <v>33197</v>
      </c>
      <c r="U6350" t="s">
        <v>38970</v>
      </c>
      <c r="V6350" t="s">
        <v>42676</v>
      </c>
      <c r="W6350" t="s">
        <v>30608</v>
      </c>
      <c r="X6350" t="s">
        <v>32533</v>
      </c>
    </row>
    <row r="6351" spans="1:24">
      <c r="A6351">
        <f>HYPERLINK("https://www.philgeps.gov.ph/GEPSNONPILOT/Tender/SplashBidNoticeAbstractUI.aspx?menuIndex=3&amp;refID=7036118&amp;Result=3","7036118")</f>
        <v>0</v>
      </c>
      <c r="B6351" t="s">
        <v>1967</v>
      </c>
      <c r="C6351" t="s">
        <v>8758</v>
      </c>
      <c r="D6351" t="s">
        <v>13007</v>
      </c>
      <c r="E6351" t="s">
        <v>18697</v>
      </c>
      <c r="F6351" t="s">
        <v>22436</v>
      </c>
      <c r="G6351" t="s">
        <v>22444</v>
      </c>
      <c r="H6351" t="s">
        <v>22452</v>
      </c>
      <c r="I6351" t="s">
        <v>22502</v>
      </c>
      <c r="J6351" t="s">
        <v>26732</v>
      </c>
      <c r="K6351" t="s">
        <v>29338</v>
      </c>
      <c r="M6351" t="s">
        <v>31698</v>
      </c>
      <c r="N6351" t="s">
        <v>32524</v>
      </c>
      <c r="O6351" t="s">
        <v>32525</v>
      </c>
      <c r="P6351">
        <v>0</v>
      </c>
      <c r="Q6351">
        <v>6</v>
      </c>
      <c r="R6351" t="s">
        <v>32532</v>
      </c>
      <c r="S6351" t="s">
        <v>32616</v>
      </c>
      <c r="T6351" t="s">
        <v>33416</v>
      </c>
      <c r="U6351" t="s">
        <v>38971</v>
      </c>
      <c r="V6351" t="s">
        <v>43116</v>
      </c>
      <c r="W6351" t="s">
        <v>31698</v>
      </c>
      <c r="X6351" t="s">
        <v>32533</v>
      </c>
    </row>
    <row r="6352" spans="1:24">
      <c r="A6352">
        <f>HYPERLINK("https://www.philgeps.gov.ph/GEPSNONPILOT/Tender/SplashBidNoticeAbstractUI.aspx?menuIndex=3&amp;refID=7036071&amp;Result=3","7036071")</f>
        <v>0</v>
      </c>
      <c r="B6352" t="s">
        <v>1991</v>
      </c>
      <c r="C6352" t="s">
        <v>8759</v>
      </c>
      <c r="D6352" t="s">
        <v>13058</v>
      </c>
      <c r="E6352" t="s">
        <v>18698</v>
      </c>
      <c r="F6352" t="s">
        <v>22436</v>
      </c>
      <c r="G6352" t="s">
        <v>22444</v>
      </c>
      <c r="H6352" t="s">
        <v>22454</v>
      </c>
      <c r="I6352" t="s">
        <v>7738</v>
      </c>
      <c r="J6352" t="s">
        <v>26733</v>
      </c>
      <c r="K6352" t="s">
        <v>29390</v>
      </c>
      <c r="M6352" t="s">
        <v>31723</v>
      </c>
      <c r="N6352" t="s">
        <v>32524</v>
      </c>
      <c r="O6352" t="s">
        <v>32525</v>
      </c>
      <c r="P6352">
        <v>0</v>
      </c>
      <c r="Q6352">
        <v>1</v>
      </c>
      <c r="R6352" t="s">
        <v>32532</v>
      </c>
      <c r="S6352" t="s">
        <v>32616</v>
      </c>
      <c r="T6352" t="s">
        <v>33405</v>
      </c>
      <c r="U6352" t="s">
        <v>38972</v>
      </c>
      <c r="W6352" t="s">
        <v>31723</v>
      </c>
      <c r="X6352" t="s">
        <v>32533</v>
      </c>
    </row>
    <row r="6353" spans="1:24">
      <c r="A6353">
        <f>HYPERLINK("https://www.philgeps.gov.ph/GEPSNONPILOT/Tender/SplashBidNoticeAbstractUI.aspx?menuIndex=3&amp;refID=7036120&amp;Result=3","7036120")</f>
        <v>0</v>
      </c>
      <c r="B6353" t="s">
        <v>356</v>
      </c>
      <c r="C6353" t="s">
        <v>8760</v>
      </c>
      <c r="D6353" t="s">
        <v>12993</v>
      </c>
      <c r="E6353" t="s">
        <v>18699</v>
      </c>
      <c r="F6353" t="s">
        <v>22436</v>
      </c>
      <c r="G6353" t="s">
        <v>22443</v>
      </c>
      <c r="H6353" t="s">
        <v>22452</v>
      </c>
      <c r="I6353" t="s">
        <v>3529</v>
      </c>
      <c r="J6353" t="s">
        <v>26734</v>
      </c>
      <c r="K6353" t="s">
        <v>29336</v>
      </c>
      <c r="M6353" t="s">
        <v>30143</v>
      </c>
      <c r="N6353" t="s">
        <v>32524</v>
      </c>
      <c r="O6353" t="s">
        <v>32525</v>
      </c>
      <c r="P6353">
        <v>0</v>
      </c>
      <c r="Q6353">
        <v>4</v>
      </c>
      <c r="R6353" t="s">
        <v>32532</v>
      </c>
      <c r="S6353" t="s">
        <v>32616</v>
      </c>
      <c r="T6353" t="s">
        <v>33372</v>
      </c>
      <c r="U6353" t="s">
        <v>38973</v>
      </c>
      <c r="W6353" t="s">
        <v>30143</v>
      </c>
      <c r="X6353" t="s">
        <v>32533</v>
      </c>
    </row>
    <row r="6354" spans="1:24">
      <c r="A6354">
        <f>HYPERLINK("https://www.philgeps.gov.ph/GEPSNONPILOT/Tender/SplashBidNoticeAbstractUI.aspx?menuIndex=3&amp;refID=7036077&amp;Result=3","7036077")</f>
        <v>0</v>
      </c>
      <c r="B6354" t="s">
        <v>2001</v>
      </c>
      <c r="C6354" t="s">
        <v>8761</v>
      </c>
      <c r="D6354" t="s">
        <v>13004</v>
      </c>
      <c r="E6354" t="s">
        <v>8761</v>
      </c>
      <c r="F6354" t="s">
        <v>22436</v>
      </c>
      <c r="G6354" t="s">
        <v>22444</v>
      </c>
      <c r="H6354" t="s">
        <v>22452</v>
      </c>
      <c r="I6354" t="s">
        <v>11896</v>
      </c>
      <c r="J6354" t="s">
        <v>26735</v>
      </c>
      <c r="K6354" t="s">
        <v>29333</v>
      </c>
      <c r="M6354" t="s">
        <v>31734</v>
      </c>
      <c r="N6354" t="s">
        <v>32524</v>
      </c>
      <c r="O6354" t="s">
        <v>32525</v>
      </c>
      <c r="P6354">
        <v>0</v>
      </c>
      <c r="Q6354">
        <v>6</v>
      </c>
      <c r="R6354" t="s">
        <v>32532</v>
      </c>
      <c r="S6354" t="s">
        <v>32616</v>
      </c>
      <c r="T6354" t="s">
        <v>33191</v>
      </c>
      <c r="U6354" t="s">
        <v>38974</v>
      </c>
      <c r="V6354" t="s">
        <v>42700</v>
      </c>
      <c r="W6354" t="s">
        <v>31734</v>
      </c>
      <c r="X6354" t="s">
        <v>32533</v>
      </c>
    </row>
    <row r="6355" spans="1:24">
      <c r="A6355">
        <f>HYPERLINK("https://www.philgeps.gov.ph/GEPSNONPILOT/Tender/SplashBidNoticeAbstractUI.aspx?menuIndex=3&amp;refID=7036127&amp;Result=3","7036127")</f>
        <v>0</v>
      </c>
      <c r="B6355" t="s">
        <v>1261</v>
      </c>
      <c r="C6355" t="s">
        <v>8762</v>
      </c>
      <c r="D6355" t="s">
        <v>13042</v>
      </c>
      <c r="E6355" t="s">
        <v>18700</v>
      </c>
      <c r="F6355" t="s">
        <v>22436</v>
      </c>
      <c r="G6355" t="s">
        <v>22444</v>
      </c>
      <c r="H6355" t="s">
        <v>22452</v>
      </c>
      <c r="I6355" t="s">
        <v>22469</v>
      </c>
      <c r="J6355" t="s">
        <v>26736</v>
      </c>
      <c r="K6355" t="s">
        <v>29333</v>
      </c>
      <c r="M6355" t="s">
        <v>30914</v>
      </c>
      <c r="N6355" t="s">
        <v>32524</v>
      </c>
      <c r="O6355" t="s">
        <v>32525</v>
      </c>
      <c r="P6355">
        <v>0</v>
      </c>
      <c r="Q6355">
        <v>4</v>
      </c>
      <c r="R6355" t="s">
        <v>32532</v>
      </c>
      <c r="S6355" t="s">
        <v>32616</v>
      </c>
      <c r="T6355" t="s">
        <v>33186</v>
      </c>
      <c r="U6355" t="s">
        <v>38975</v>
      </c>
      <c r="W6355" t="s">
        <v>30914</v>
      </c>
      <c r="X6355" t="s">
        <v>32533</v>
      </c>
    </row>
    <row r="6356" spans="1:24">
      <c r="A6356">
        <f>HYPERLINK("https://www.philgeps.gov.ph/GEPSNONPILOT/Tender/SplashBidNoticeAbstractUI.aspx?menuIndex=3&amp;refID=7036074&amp;Result=3","7036074")</f>
        <v>0</v>
      </c>
      <c r="B6356" t="s">
        <v>1999</v>
      </c>
      <c r="C6356" t="s">
        <v>8763</v>
      </c>
      <c r="D6356" t="s">
        <v>13007</v>
      </c>
      <c r="E6356" t="s">
        <v>18701</v>
      </c>
      <c r="F6356" t="s">
        <v>22436</v>
      </c>
      <c r="G6356" t="s">
        <v>22444</v>
      </c>
      <c r="H6356" t="s">
        <v>22452</v>
      </c>
      <c r="I6356" t="s">
        <v>22463</v>
      </c>
      <c r="J6356" t="s">
        <v>26737</v>
      </c>
      <c r="K6356" t="s">
        <v>29335</v>
      </c>
      <c r="M6356" t="s">
        <v>31732</v>
      </c>
      <c r="N6356" t="s">
        <v>32524</v>
      </c>
      <c r="O6356" t="s">
        <v>32525</v>
      </c>
      <c r="P6356">
        <v>0</v>
      </c>
      <c r="Q6356">
        <v>0</v>
      </c>
      <c r="R6356" t="s">
        <v>32532</v>
      </c>
      <c r="S6356" t="s">
        <v>32616</v>
      </c>
      <c r="T6356" t="s">
        <v>33323</v>
      </c>
      <c r="U6356" t="s">
        <v>38976</v>
      </c>
      <c r="W6356" t="s">
        <v>31732</v>
      </c>
      <c r="X6356" t="s">
        <v>32533</v>
      </c>
    </row>
    <row r="6357" spans="1:24">
      <c r="A6357">
        <f>HYPERLINK("https://www.philgeps.gov.ph/GEPSNONPILOT/Tender/SplashBidNoticeAbstractUI.aspx?menuIndex=3&amp;refID=7036123&amp;Result=3","7036123")</f>
        <v>0</v>
      </c>
      <c r="B6357" t="s">
        <v>1873</v>
      </c>
      <c r="C6357" t="s">
        <v>8764</v>
      </c>
      <c r="D6357" t="s">
        <v>12988</v>
      </c>
      <c r="E6357" t="s">
        <v>18702</v>
      </c>
      <c r="F6357" t="s">
        <v>22436</v>
      </c>
      <c r="G6357" t="s">
        <v>22444</v>
      </c>
      <c r="H6357" t="s">
        <v>22452</v>
      </c>
      <c r="I6357" t="s">
        <v>2981</v>
      </c>
      <c r="J6357" t="s">
        <v>23713</v>
      </c>
      <c r="K6357" t="s">
        <v>29335</v>
      </c>
      <c r="M6357" t="s">
        <v>31726</v>
      </c>
      <c r="N6357" t="s">
        <v>32524</v>
      </c>
      <c r="O6357" t="s">
        <v>32525</v>
      </c>
      <c r="P6357">
        <v>0</v>
      </c>
      <c r="Q6357">
        <v>2</v>
      </c>
      <c r="R6357" t="s">
        <v>32532</v>
      </c>
      <c r="S6357" t="s">
        <v>32616</v>
      </c>
      <c r="T6357" t="s">
        <v>33230</v>
      </c>
      <c r="U6357" t="s">
        <v>38977</v>
      </c>
      <c r="W6357" t="s">
        <v>31726</v>
      </c>
      <c r="X6357" t="s">
        <v>32533</v>
      </c>
    </row>
    <row r="6358" spans="1:24">
      <c r="A6358">
        <f>HYPERLINK("https://www.philgeps.gov.ph/GEPSNONPILOT/Tender/SplashBidNoticeAbstractUI.aspx?menuIndex=3&amp;refID=7036073&amp;Result=3","7036073")</f>
        <v>0</v>
      </c>
      <c r="B6358" t="s">
        <v>1967</v>
      </c>
      <c r="C6358" t="s">
        <v>8765</v>
      </c>
      <c r="D6358" t="s">
        <v>13007</v>
      </c>
      <c r="E6358" t="s">
        <v>18703</v>
      </c>
      <c r="F6358" t="s">
        <v>22436</v>
      </c>
      <c r="G6358" t="s">
        <v>22444</v>
      </c>
      <c r="H6358" t="s">
        <v>22452</v>
      </c>
      <c r="I6358" t="s">
        <v>3529</v>
      </c>
      <c r="J6358" t="s">
        <v>26738</v>
      </c>
      <c r="K6358" t="s">
        <v>29338</v>
      </c>
      <c r="M6358" t="s">
        <v>31698</v>
      </c>
      <c r="N6358" t="s">
        <v>32524</v>
      </c>
      <c r="O6358" t="s">
        <v>32525</v>
      </c>
      <c r="P6358">
        <v>0</v>
      </c>
      <c r="Q6358">
        <v>0</v>
      </c>
      <c r="R6358" t="s">
        <v>32532</v>
      </c>
      <c r="S6358" t="s">
        <v>32616</v>
      </c>
      <c r="T6358" t="s">
        <v>33416</v>
      </c>
      <c r="U6358" t="s">
        <v>38978</v>
      </c>
      <c r="V6358" t="s">
        <v>43116</v>
      </c>
      <c r="W6358" t="s">
        <v>31698</v>
      </c>
      <c r="X6358" t="s">
        <v>32533</v>
      </c>
    </row>
    <row r="6359" spans="1:24">
      <c r="A6359">
        <f>HYPERLINK("https://www.philgeps.gov.ph/GEPSNONPILOT/Tender/SplashBidNoticeAbstractUI.aspx?menuIndex=3&amp;refID=7036143&amp;Result=3","7036143")</f>
        <v>0</v>
      </c>
      <c r="B6359" t="s">
        <v>1991</v>
      </c>
      <c r="C6359" t="s">
        <v>8766</v>
      </c>
      <c r="D6359" t="s">
        <v>13058</v>
      </c>
      <c r="E6359" t="s">
        <v>18704</v>
      </c>
      <c r="F6359" t="s">
        <v>22436</v>
      </c>
      <c r="G6359" t="s">
        <v>22444</v>
      </c>
      <c r="H6359" t="s">
        <v>22454</v>
      </c>
      <c r="I6359" t="s">
        <v>7738</v>
      </c>
      <c r="J6359" t="s">
        <v>24191</v>
      </c>
      <c r="K6359" t="s">
        <v>29432</v>
      </c>
      <c r="M6359" t="s">
        <v>31723</v>
      </c>
      <c r="N6359" t="s">
        <v>32524</v>
      </c>
      <c r="O6359" t="s">
        <v>32525</v>
      </c>
      <c r="P6359">
        <v>0</v>
      </c>
      <c r="Q6359">
        <v>0</v>
      </c>
      <c r="R6359" t="s">
        <v>32532</v>
      </c>
      <c r="S6359" t="s">
        <v>32616</v>
      </c>
      <c r="T6359" t="s">
        <v>33405</v>
      </c>
      <c r="U6359" t="s">
        <v>38979</v>
      </c>
      <c r="W6359" t="s">
        <v>31723</v>
      </c>
      <c r="X6359" t="s">
        <v>32533</v>
      </c>
    </row>
    <row r="6360" spans="1:24">
      <c r="A6360">
        <f>HYPERLINK("https://www.philgeps.gov.ph/GEPSNONPILOT/Tender/SplashBidNoticeAbstractUI.aspx?menuIndex=3&amp;refID=7036130&amp;Result=3","7036130")</f>
        <v>0</v>
      </c>
      <c r="B6360" t="s">
        <v>1999</v>
      </c>
      <c r="C6360" t="s">
        <v>8767</v>
      </c>
      <c r="D6360" t="s">
        <v>13007</v>
      </c>
      <c r="E6360" t="s">
        <v>18705</v>
      </c>
      <c r="F6360" t="s">
        <v>22436</v>
      </c>
      <c r="G6360" t="s">
        <v>22444</v>
      </c>
      <c r="H6360" t="s">
        <v>22454</v>
      </c>
      <c r="I6360" t="s">
        <v>7738</v>
      </c>
      <c r="J6360" t="s">
        <v>22970</v>
      </c>
      <c r="K6360" t="s">
        <v>29333</v>
      </c>
      <c r="M6360" t="s">
        <v>31732</v>
      </c>
      <c r="N6360" t="s">
        <v>32524</v>
      </c>
      <c r="O6360" t="s">
        <v>32525</v>
      </c>
      <c r="P6360">
        <v>0</v>
      </c>
      <c r="Q6360">
        <v>2</v>
      </c>
      <c r="R6360" t="s">
        <v>32532</v>
      </c>
      <c r="S6360" t="s">
        <v>32616</v>
      </c>
      <c r="T6360" t="s">
        <v>33423</v>
      </c>
      <c r="U6360" t="s">
        <v>38980</v>
      </c>
      <c r="W6360" t="s">
        <v>31732</v>
      </c>
      <c r="X6360" t="s">
        <v>32533</v>
      </c>
    </row>
    <row r="6361" spans="1:24">
      <c r="A6361">
        <f>HYPERLINK("https://www.philgeps.gov.ph/GEPSNONPILOT/Tender/SplashBidNoticeAbstractUI.aspx?menuIndex=3&amp;refID=7036162&amp;Result=3","7036162")</f>
        <v>0</v>
      </c>
      <c r="B6361" t="s">
        <v>1967</v>
      </c>
      <c r="C6361" t="s">
        <v>8768</v>
      </c>
      <c r="D6361" t="s">
        <v>13007</v>
      </c>
      <c r="E6361" t="s">
        <v>18706</v>
      </c>
      <c r="F6361" t="s">
        <v>22436</v>
      </c>
      <c r="G6361" t="s">
        <v>22444</v>
      </c>
      <c r="H6361" t="s">
        <v>22452</v>
      </c>
      <c r="I6361" t="s">
        <v>22463</v>
      </c>
      <c r="J6361" t="s">
        <v>26739</v>
      </c>
      <c r="K6361" t="s">
        <v>29338</v>
      </c>
      <c r="M6361" t="s">
        <v>31698</v>
      </c>
      <c r="N6361" t="s">
        <v>32524</v>
      </c>
      <c r="O6361" t="s">
        <v>32525</v>
      </c>
      <c r="P6361">
        <v>0</v>
      </c>
      <c r="Q6361">
        <v>5</v>
      </c>
      <c r="R6361" t="s">
        <v>32532</v>
      </c>
      <c r="S6361" t="s">
        <v>32616</v>
      </c>
      <c r="T6361" t="s">
        <v>33416</v>
      </c>
      <c r="U6361" t="s">
        <v>38981</v>
      </c>
      <c r="V6361" t="s">
        <v>43116</v>
      </c>
      <c r="W6361" t="s">
        <v>31698</v>
      </c>
      <c r="X6361" t="s">
        <v>32533</v>
      </c>
    </row>
    <row r="6362" spans="1:24">
      <c r="A6362">
        <f>HYPERLINK("https://www.philgeps.gov.ph/GEPSNONPILOT/Tender/SplashBidNoticeAbstractUI.aspx?menuIndex=3&amp;refID=7036136&amp;Result=3","7036136")</f>
        <v>0</v>
      </c>
      <c r="B6362" t="s">
        <v>2002</v>
      </c>
      <c r="C6362" t="s">
        <v>8769</v>
      </c>
      <c r="D6362" t="s">
        <v>13009</v>
      </c>
      <c r="E6362" t="s">
        <v>18707</v>
      </c>
      <c r="F6362" t="s">
        <v>22436</v>
      </c>
      <c r="G6362" t="s">
        <v>22443</v>
      </c>
      <c r="H6362" t="s">
        <v>22452</v>
      </c>
      <c r="I6362" t="s">
        <v>22485</v>
      </c>
      <c r="J6362" t="s">
        <v>25353</v>
      </c>
      <c r="K6362" t="s">
        <v>29335</v>
      </c>
      <c r="M6362" t="s">
        <v>31735</v>
      </c>
      <c r="N6362" t="s">
        <v>32524</v>
      </c>
      <c r="O6362" t="s">
        <v>32525</v>
      </c>
      <c r="P6362">
        <v>0</v>
      </c>
      <c r="Q6362">
        <v>1</v>
      </c>
      <c r="R6362" t="s">
        <v>32532</v>
      </c>
      <c r="S6362" t="s">
        <v>32616</v>
      </c>
      <c r="T6362" t="s">
        <v>33372</v>
      </c>
      <c r="U6362" t="s">
        <v>38982</v>
      </c>
      <c r="W6362" t="s">
        <v>31735</v>
      </c>
      <c r="X6362" t="s">
        <v>32533</v>
      </c>
    </row>
    <row r="6363" spans="1:24">
      <c r="A6363">
        <f>HYPERLINK("https://www.philgeps.gov.ph/GEPSNONPILOT/Tender/SplashBidNoticeAbstractUI.aspx?menuIndex=3&amp;refID=7036157&amp;Result=3","7036157")</f>
        <v>0</v>
      </c>
      <c r="B6363" t="s">
        <v>379</v>
      </c>
      <c r="C6363" t="s">
        <v>8770</v>
      </c>
      <c r="D6363" t="s">
        <v>13042</v>
      </c>
      <c r="E6363" t="s">
        <v>13182</v>
      </c>
      <c r="F6363" t="s">
        <v>22436</v>
      </c>
      <c r="G6363" t="s">
        <v>22444</v>
      </c>
      <c r="H6363" t="s">
        <v>22452</v>
      </c>
      <c r="I6363" t="s">
        <v>12358</v>
      </c>
      <c r="J6363" t="s">
        <v>26740</v>
      </c>
      <c r="K6363" t="s">
        <v>29335</v>
      </c>
      <c r="M6363" t="s">
        <v>29957</v>
      </c>
      <c r="N6363" t="s">
        <v>32524</v>
      </c>
      <c r="O6363" t="s">
        <v>32525</v>
      </c>
      <c r="P6363">
        <v>0</v>
      </c>
      <c r="Q6363">
        <v>2</v>
      </c>
      <c r="R6363" t="s">
        <v>32532</v>
      </c>
      <c r="S6363" t="s">
        <v>32616</v>
      </c>
      <c r="T6363" t="s">
        <v>33269</v>
      </c>
      <c r="U6363" t="s">
        <v>38983</v>
      </c>
      <c r="W6363" t="s">
        <v>29957</v>
      </c>
      <c r="X6363" t="s">
        <v>32533</v>
      </c>
    </row>
    <row r="6364" spans="1:24">
      <c r="A6364">
        <f>HYPERLINK("https://www.philgeps.gov.ph/GEPSNONPILOT/Tender/SplashBidNoticeAbstractUI.aspx?menuIndex=3&amp;refID=7036128&amp;Result=3","7036128")</f>
        <v>0</v>
      </c>
      <c r="B6364" t="s">
        <v>525</v>
      </c>
      <c r="C6364" t="s">
        <v>8771</v>
      </c>
      <c r="D6364" t="s">
        <v>13038</v>
      </c>
      <c r="E6364" t="s">
        <v>18708</v>
      </c>
      <c r="F6364" t="s">
        <v>22436</v>
      </c>
      <c r="G6364" t="s">
        <v>22444</v>
      </c>
      <c r="H6364" t="s">
        <v>22452</v>
      </c>
      <c r="I6364" t="s">
        <v>22467</v>
      </c>
      <c r="J6364" t="s">
        <v>26741</v>
      </c>
      <c r="K6364" t="s">
        <v>29340</v>
      </c>
      <c r="M6364" t="s">
        <v>30109</v>
      </c>
      <c r="N6364" t="s">
        <v>32524</v>
      </c>
      <c r="O6364" t="s">
        <v>32525</v>
      </c>
      <c r="P6364">
        <v>0</v>
      </c>
      <c r="Q6364">
        <v>0</v>
      </c>
      <c r="R6364" t="s">
        <v>32532</v>
      </c>
      <c r="S6364" t="s">
        <v>32616</v>
      </c>
      <c r="T6364" t="s">
        <v>33270</v>
      </c>
      <c r="U6364" t="s">
        <v>38984</v>
      </c>
      <c r="W6364" t="s">
        <v>30109</v>
      </c>
      <c r="X6364" t="s">
        <v>32533</v>
      </c>
    </row>
    <row r="6365" spans="1:24">
      <c r="A6365">
        <f>HYPERLINK("https://www.philgeps.gov.ph/GEPSNONPILOT/Tender/SplashBidNoticeAbstractUI.aspx?menuIndex=3&amp;refID=7036137&amp;Result=3","7036137")</f>
        <v>0</v>
      </c>
      <c r="B6365" t="s">
        <v>1967</v>
      </c>
      <c r="C6365" t="s">
        <v>8772</v>
      </c>
      <c r="D6365" t="s">
        <v>13007</v>
      </c>
      <c r="E6365" t="s">
        <v>18709</v>
      </c>
      <c r="F6365" t="s">
        <v>22436</v>
      </c>
      <c r="G6365" t="s">
        <v>22444</v>
      </c>
      <c r="H6365" t="s">
        <v>22452</v>
      </c>
      <c r="I6365" t="s">
        <v>3529</v>
      </c>
      <c r="J6365" t="s">
        <v>26742</v>
      </c>
      <c r="K6365" t="s">
        <v>29338</v>
      </c>
      <c r="M6365" t="s">
        <v>31698</v>
      </c>
      <c r="N6365" t="s">
        <v>32524</v>
      </c>
      <c r="O6365" t="s">
        <v>32525</v>
      </c>
      <c r="P6365">
        <v>0</v>
      </c>
      <c r="Q6365">
        <v>1</v>
      </c>
      <c r="R6365" t="s">
        <v>32532</v>
      </c>
      <c r="S6365" t="s">
        <v>32616</v>
      </c>
      <c r="T6365" t="s">
        <v>33416</v>
      </c>
      <c r="U6365" t="s">
        <v>38985</v>
      </c>
      <c r="V6365" t="s">
        <v>43116</v>
      </c>
      <c r="W6365" t="s">
        <v>31698</v>
      </c>
      <c r="X6365" t="s">
        <v>32533</v>
      </c>
    </row>
    <row r="6366" spans="1:24">
      <c r="A6366">
        <f>HYPERLINK("https://www.philgeps.gov.ph/GEPSNONPILOT/Tender/SplashBidNoticeAbstractUI.aspx?menuIndex=3&amp;refID=7036161&amp;Result=3","7036161")</f>
        <v>0</v>
      </c>
      <c r="B6366" t="s">
        <v>2003</v>
      </c>
      <c r="C6366" t="s">
        <v>8773</v>
      </c>
      <c r="D6366" t="s">
        <v>13001</v>
      </c>
      <c r="E6366" t="s">
        <v>18710</v>
      </c>
      <c r="F6366" t="s">
        <v>22436</v>
      </c>
      <c r="G6366" t="s">
        <v>22444</v>
      </c>
      <c r="H6366" t="s">
        <v>22454</v>
      </c>
      <c r="I6366" t="s">
        <v>7738</v>
      </c>
      <c r="J6366" t="s">
        <v>26743</v>
      </c>
      <c r="K6366" t="s">
        <v>29338</v>
      </c>
      <c r="M6366" t="s">
        <v>31736</v>
      </c>
      <c r="N6366" t="s">
        <v>32524</v>
      </c>
      <c r="O6366" t="s">
        <v>32525</v>
      </c>
      <c r="P6366">
        <v>0</v>
      </c>
      <c r="Q6366">
        <v>1</v>
      </c>
      <c r="R6366" t="s">
        <v>32532</v>
      </c>
      <c r="S6366" t="s">
        <v>32616</v>
      </c>
      <c r="T6366" t="s">
        <v>33372</v>
      </c>
      <c r="U6366" t="s">
        <v>38986</v>
      </c>
      <c r="V6366" t="s">
        <v>42961</v>
      </c>
      <c r="W6366" t="s">
        <v>31736</v>
      </c>
      <c r="X6366" t="s">
        <v>32533</v>
      </c>
    </row>
    <row r="6367" spans="1:24">
      <c r="A6367">
        <f>HYPERLINK("https://www.philgeps.gov.ph/GEPSNONPILOT/Tender/SplashBidNoticeAbstractUI.aspx?menuIndex=3&amp;refID=7036134&amp;Result=3","7036134")</f>
        <v>0</v>
      </c>
      <c r="B6367" t="s">
        <v>648</v>
      </c>
      <c r="C6367" t="s">
        <v>8774</v>
      </c>
      <c r="D6367" t="s">
        <v>12998</v>
      </c>
      <c r="E6367" t="s">
        <v>18711</v>
      </c>
      <c r="F6367" t="s">
        <v>22436</v>
      </c>
      <c r="G6367" t="s">
        <v>22444</v>
      </c>
      <c r="H6367" t="s">
        <v>22454</v>
      </c>
      <c r="I6367" t="s">
        <v>7738</v>
      </c>
      <c r="J6367" t="s">
        <v>26744</v>
      </c>
      <c r="K6367" t="s">
        <v>29355</v>
      </c>
      <c r="M6367" t="s">
        <v>30239</v>
      </c>
      <c r="N6367" t="s">
        <v>32524</v>
      </c>
      <c r="O6367" t="s">
        <v>32525</v>
      </c>
      <c r="P6367">
        <v>0</v>
      </c>
      <c r="Q6367">
        <v>1</v>
      </c>
      <c r="R6367" t="s">
        <v>32532</v>
      </c>
      <c r="S6367" t="s">
        <v>32616</v>
      </c>
      <c r="T6367" t="s">
        <v>33310</v>
      </c>
      <c r="U6367" t="s">
        <v>34980</v>
      </c>
      <c r="W6367" t="s">
        <v>30239</v>
      </c>
      <c r="X6367" t="s">
        <v>32533</v>
      </c>
    </row>
    <row r="6368" spans="1:24">
      <c r="A6368">
        <f>HYPERLINK("https://www.philgeps.gov.ph/GEPSNONPILOT/Tender/SplashBidNoticeAbstractUI.aspx?menuIndex=3&amp;refID=7036140&amp;Result=3","7036140")</f>
        <v>0</v>
      </c>
      <c r="B6368" t="s">
        <v>2004</v>
      </c>
      <c r="C6368" t="s">
        <v>8775</v>
      </c>
      <c r="D6368" t="s">
        <v>13025</v>
      </c>
      <c r="E6368" t="s">
        <v>18712</v>
      </c>
      <c r="F6368" t="s">
        <v>22436</v>
      </c>
      <c r="G6368" t="s">
        <v>22446</v>
      </c>
      <c r="H6368" t="s">
        <v>22453</v>
      </c>
      <c r="I6368" t="s">
        <v>22486</v>
      </c>
      <c r="J6368" t="s">
        <v>23145</v>
      </c>
      <c r="K6368" t="s">
        <v>29335</v>
      </c>
      <c r="M6368" t="s">
        <v>31737</v>
      </c>
      <c r="N6368" t="s">
        <v>32524</v>
      </c>
      <c r="O6368" t="s">
        <v>32525</v>
      </c>
      <c r="P6368">
        <v>0</v>
      </c>
      <c r="Q6368">
        <v>1</v>
      </c>
      <c r="R6368" t="s">
        <v>32532</v>
      </c>
      <c r="S6368" t="s">
        <v>32616</v>
      </c>
      <c r="T6368" t="s">
        <v>33323</v>
      </c>
      <c r="U6368" t="s">
        <v>38987</v>
      </c>
      <c r="W6368" t="s">
        <v>31737</v>
      </c>
      <c r="X6368" t="s">
        <v>32533</v>
      </c>
    </row>
    <row r="6369" spans="1:24">
      <c r="A6369">
        <f>HYPERLINK("https://www.philgeps.gov.ph/GEPSNONPILOT/Tender/SplashBidNoticeAbstractUI.aspx?menuIndex=3&amp;refID=7036152&amp;Result=3","7036152")</f>
        <v>0</v>
      </c>
      <c r="B6369" t="s">
        <v>1975</v>
      </c>
      <c r="C6369" t="s">
        <v>8776</v>
      </c>
      <c r="D6369" t="s">
        <v>13023</v>
      </c>
      <c r="E6369" t="s">
        <v>18713</v>
      </c>
      <c r="F6369" t="s">
        <v>22436</v>
      </c>
      <c r="G6369" t="s">
        <v>22444</v>
      </c>
      <c r="H6369" t="s">
        <v>22454</v>
      </c>
      <c r="I6369" t="s">
        <v>7738</v>
      </c>
      <c r="J6369" t="s">
        <v>24006</v>
      </c>
      <c r="K6369" t="s">
        <v>29345</v>
      </c>
      <c r="M6369" t="s">
        <v>31707</v>
      </c>
      <c r="N6369" t="s">
        <v>32524</v>
      </c>
      <c r="O6369" t="s">
        <v>32525</v>
      </c>
      <c r="P6369">
        <v>0</v>
      </c>
      <c r="Q6369">
        <v>15</v>
      </c>
      <c r="R6369" t="s">
        <v>32532</v>
      </c>
      <c r="S6369" t="s">
        <v>32616</v>
      </c>
      <c r="T6369" t="s">
        <v>33440</v>
      </c>
      <c r="U6369" t="s">
        <v>38988</v>
      </c>
      <c r="W6369" t="s">
        <v>31707</v>
      </c>
      <c r="X6369" t="s">
        <v>32533</v>
      </c>
    </row>
    <row r="6370" spans="1:24">
      <c r="A6370">
        <f>HYPERLINK("https://www.philgeps.gov.ph/GEPSNONPILOT/Tender/SplashBidNoticeAbstractUI.aspx?menuIndex=3&amp;refID=7036154&amp;Result=3","7036154")</f>
        <v>0</v>
      </c>
      <c r="B6370" t="s">
        <v>207</v>
      </c>
      <c r="C6370" t="s">
        <v>8777</v>
      </c>
      <c r="D6370" t="s">
        <v>13018</v>
      </c>
      <c r="E6370" t="s">
        <v>18714</v>
      </c>
      <c r="F6370" t="s">
        <v>22436</v>
      </c>
      <c r="G6370" t="s">
        <v>22444</v>
      </c>
      <c r="H6370" t="s">
        <v>22452</v>
      </c>
      <c r="I6370" t="s">
        <v>22460</v>
      </c>
      <c r="J6370" t="s">
        <v>26745</v>
      </c>
      <c r="K6370" t="s">
        <v>29329</v>
      </c>
      <c r="M6370" t="s">
        <v>29780</v>
      </c>
      <c r="N6370" t="s">
        <v>32524</v>
      </c>
      <c r="O6370" t="s">
        <v>32525</v>
      </c>
      <c r="P6370">
        <v>0</v>
      </c>
      <c r="Q6370">
        <v>0</v>
      </c>
      <c r="R6370" t="s">
        <v>32532</v>
      </c>
      <c r="S6370" t="s">
        <v>32616</v>
      </c>
      <c r="T6370" t="s">
        <v>33323</v>
      </c>
      <c r="U6370" t="s">
        <v>38989</v>
      </c>
      <c r="W6370" t="s">
        <v>43671</v>
      </c>
      <c r="X6370" t="s">
        <v>32533</v>
      </c>
    </row>
    <row r="6371" spans="1:24">
      <c r="A6371">
        <f>HYPERLINK("https://www.philgeps.gov.ph/GEPSNONPILOT/Tender/SplashBidNoticeAbstractUI.aspx?menuIndex=3&amp;refID=7036155&amp;Result=3","7036155")</f>
        <v>0</v>
      </c>
      <c r="B6371" t="s">
        <v>2005</v>
      </c>
      <c r="C6371" t="s">
        <v>8778</v>
      </c>
      <c r="D6371" t="s">
        <v>13069</v>
      </c>
      <c r="E6371" t="s">
        <v>18682</v>
      </c>
      <c r="F6371" t="s">
        <v>22436</v>
      </c>
      <c r="G6371" t="s">
        <v>22444</v>
      </c>
      <c r="H6371" t="s">
        <v>22452</v>
      </c>
      <c r="I6371" t="s">
        <v>3529</v>
      </c>
      <c r="J6371" t="s">
        <v>26746</v>
      </c>
      <c r="K6371" t="s">
        <v>29335</v>
      </c>
      <c r="M6371" t="s">
        <v>31738</v>
      </c>
      <c r="N6371" t="s">
        <v>32524</v>
      </c>
      <c r="O6371" t="s">
        <v>32525</v>
      </c>
      <c r="P6371">
        <v>0</v>
      </c>
      <c r="Q6371">
        <v>2</v>
      </c>
      <c r="R6371" t="s">
        <v>32532</v>
      </c>
      <c r="S6371" t="s">
        <v>32616</v>
      </c>
      <c r="T6371" t="s">
        <v>33304</v>
      </c>
      <c r="U6371" t="s">
        <v>38990</v>
      </c>
      <c r="V6371" t="s">
        <v>43132</v>
      </c>
      <c r="W6371" t="s">
        <v>31738</v>
      </c>
      <c r="X6371" t="s">
        <v>32533</v>
      </c>
    </row>
    <row r="6372" spans="1:24">
      <c r="A6372">
        <f>HYPERLINK("https://www.philgeps.gov.ph/GEPSNONPILOT/Tender/SplashBidNoticeAbstractUI.aspx?menuIndex=3&amp;refID=7036151&amp;Result=3","7036151")</f>
        <v>0</v>
      </c>
      <c r="B6372" t="s">
        <v>1999</v>
      </c>
      <c r="C6372" t="s">
        <v>8779</v>
      </c>
      <c r="D6372" t="s">
        <v>13007</v>
      </c>
      <c r="E6372" t="s">
        <v>18715</v>
      </c>
      <c r="F6372" t="s">
        <v>22436</v>
      </c>
      <c r="G6372" t="s">
        <v>22444</v>
      </c>
      <c r="H6372" t="s">
        <v>22454</v>
      </c>
      <c r="I6372" t="s">
        <v>7738</v>
      </c>
      <c r="J6372" t="s">
        <v>22779</v>
      </c>
      <c r="K6372" t="s">
        <v>29335</v>
      </c>
      <c r="M6372" t="s">
        <v>31732</v>
      </c>
      <c r="N6372" t="s">
        <v>32524</v>
      </c>
      <c r="O6372" t="s">
        <v>32525</v>
      </c>
      <c r="P6372">
        <v>0</v>
      </c>
      <c r="Q6372">
        <v>1</v>
      </c>
      <c r="R6372" t="s">
        <v>32532</v>
      </c>
      <c r="S6372" t="s">
        <v>32616</v>
      </c>
      <c r="T6372" t="s">
        <v>33423</v>
      </c>
      <c r="U6372" t="s">
        <v>38991</v>
      </c>
      <c r="W6372" t="s">
        <v>31732</v>
      </c>
      <c r="X6372" t="s">
        <v>32533</v>
      </c>
    </row>
    <row r="6373" spans="1:24">
      <c r="A6373">
        <f>HYPERLINK("https://www.philgeps.gov.ph/GEPSNONPILOT/Tender/SplashBidNoticeAbstractUI.aspx?menuIndex=3&amp;refID=7036149&amp;Result=3","7036149")</f>
        <v>0</v>
      </c>
      <c r="B6373" t="s">
        <v>525</v>
      </c>
      <c r="C6373" t="s">
        <v>8780</v>
      </c>
      <c r="D6373" t="s">
        <v>13038</v>
      </c>
      <c r="E6373" t="s">
        <v>8780</v>
      </c>
      <c r="F6373" t="s">
        <v>22436</v>
      </c>
      <c r="G6373" t="s">
        <v>22444</v>
      </c>
      <c r="H6373" t="s">
        <v>22452</v>
      </c>
      <c r="I6373" t="s">
        <v>2962</v>
      </c>
      <c r="J6373" t="s">
        <v>26747</v>
      </c>
      <c r="K6373" t="s">
        <v>29335</v>
      </c>
      <c r="M6373" t="s">
        <v>30109</v>
      </c>
      <c r="N6373" t="s">
        <v>32524</v>
      </c>
      <c r="O6373" t="s">
        <v>32525</v>
      </c>
      <c r="P6373">
        <v>0</v>
      </c>
      <c r="Q6373">
        <v>0</v>
      </c>
      <c r="R6373" t="s">
        <v>32532</v>
      </c>
      <c r="S6373" t="s">
        <v>32616</v>
      </c>
      <c r="T6373" t="s">
        <v>33270</v>
      </c>
      <c r="U6373" t="s">
        <v>38992</v>
      </c>
      <c r="W6373" t="s">
        <v>30109</v>
      </c>
      <c r="X6373" t="s">
        <v>32533</v>
      </c>
    </row>
    <row r="6374" spans="1:24">
      <c r="A6374">
        <f>HYPERLINK("https://www.philgeps.gov.ph/GEPSNONPILOT/Tender/SplashBidNoticeAbstractUI.aspx?menuIndex=3&amp;refID=7036168&amp;Result=3","7036168")</f>
        <v>0</v>
      </c>
      <c r="B6374" t="s">
        <v>2006</v>
      </c>
      <c r="C6374" t="s">
        <v>8781</v>
      </c>
      <c r="E6374" t="s">
        <v>18716</v>
      </c>
      <c r="F6374" t="s">
        <v>22436</v>
      </c>
      <c r="G6374" t="s">
        <v>22444</v>
      </c>
      <c r="H6374" t="s">
        <v>22452</v>
      </c>
      <c r="I6374" t="s">
        <v>22467</v>
      </c>
      <c r="J6374" t="s">
        <v>26748</v>
      </c>
      <c r="K6374" t="s">
        <v>29338</v>
      </c>
      <c r="M6374" t="s">
        <v>31739</v>
      </c>
      <c r="N6374" t="s">
        <v>32524</v>
      </c>
      <c r="O6374" t="s">
        <v>32525</v>
      </c>
      <c r="P6374">
        <v>0</v>
      </c>
      <c r="Q6374">
        <v>1</v>
      </c>
      <c r="R6374" t="s">
        <v>32532</v>
      </c>
      <c r="S6374" t="s">
        <v>32616</v>
      </c>
      <c r="T6374" t="s">
        <v>33188</v>
      </c>
      <c r="U6374" t="s">
        <v>38993</v>
      </c>
      <c r="W6374" t="s">
        <v>31739</v>
      </c>
      <c r="X6374" t="s">
        <v>32533</v>
      </c>
    </row>
    <row r="6375" spans="1:24">
      <c r="A6375">
        <f>HYPERLINK("https://www.philgeps.gov.ph/GEPSNONPILOT/Tender/SplashBidNoticeAbstractUI.aspx?menuIndex=3&amp;refID=7036150&amp;Result=3","7036150")</f>
        <v>0</v>
      </c>
      <c r="B6375" t="s">
        <v>43</v>
      </c>
      <c r="C6375" t="s">
        <v>8782</v>
      </c>
      <c r="D6375" t="s">
        <v>13003</v>
      </c>
      <c r="E6375" t="s">
        <v>18717</v>
      </c>
      <c r="F6375" t="s">
        <v>22436</v>
      </c>
      <c r="G6375" t="s">
        <v>22444</v>
      </c>
      <c r="H6375" t="s">
        <v>22454</v>
      </c>
      <c r="I6375" t="s">
        <v>7738</v>
      </c>
      <c r="J6375" t="s">
        <v>26749</v>
      </c>
      <c r="K6375" t="s">
        <v>29335</v>
      </c>
      <c r="M6375" t="s">
        <v>29614</v>
      </c>
      <c r="N6375" t="s">
        <v>32524</v>
      </c>
      <c r="O6375" t="s">
        <v>32525</v>
      </c>
      <c r="P6375">
        <v>0</v>
      </c>
      <c r="Q6375">
        <v>0</v>
      </c>
      <c r="R6375" t="s">
        <v>32532</v>
      </c>
      <c r="S6375" t="s">
        <v>32616</v>
      </c>
      <c r="T6375" t="s">
        <v>33238</v>
      </c>
      <c r="U6375" t="s">
        <v>38994</v>
      </c>
      <c r="W6375" t="s">
        <v>29614</v>
      </c>
      <c r="X6375" t="s">
        <v>32533</v>
      </c>
    </row>
    <row r="6376" spans="1:24">
      <c r="A6376">
        <f>HYPERLINK("https://www.philgeps.gov.ph/GEPSNONPILOT/Tender/SplashBidNoticeAbstractUI.aspx?menuIndex=3&amp;refID=7036144&amp;Result=3","7036144")</f>
        <v>0</v>
      </c>
      <c r="B6376" t="s">
        <v>1967</v>
      </c>
      <c r="C6376" t="s">
        <v>8783</v>
      </c>
      <c r="D6376" t="s">
        <v>13007</v>
      </c>
      <c r="E6376" t="s">
        <v>18718</v>
      </c>
      <c r="F6376" t="s">
        <v>22436</v>
      </c>
      <c r="G6376" t="s">
        <v>22444</v>
      </c>
      <c r="H6376" t="s">
        <v>22452</v>
      </c>
      <c r="I6376" t="s">
        <v>22461</v>
      </c>
      <c r="J6376" t="s">
        <v>26750</v>
      </c>
      <c r="K6376" t="s">
        <v>29338</v>
      </c>
      <c r="M6376" t="s">
        <v>31698</v>
      </c>
      <c r="N6376" t="s">
        <v>32524</v>
      </c>
      <c r="O6376" t="s">
        <v>32525</v>
      </c>
      <c r="P6376">
        <v>0</v>
      </c>
      <c r="Q6376">
        <v>1</v>
      </c>
      <c r="R6376" t="s">
        <v>32532</v>
      </c>
      <c r="S6376" t="s">
        <v>32616</v>
      </c>
      <c r="T6376" t="s">
        <v>33416</v>
      </c>
      <c r="U6376" t="s">
        <v>38995</v>
      </c>
      <c r="V6376" t="s">
        <v>43116</v>
      </c>
      <c r="W6376" t="s">
        <v>31698</v>
      </c>
      <c r="X6376" t="s">
        <v>32533</v>
      </c>
    </row>
    <row r="6377" spans="1:24">
      <c r="A6377">
        <f>HYPERLINK("https://www.philgeps.gov.ph/GEPSNONPILOT/Tender/SplashBidNoticeAbstractUI.aspx?menuIndex=3&amp;refID=7036153&amp;Result=3","7036153")</f>
        <v>0</v>
      </c>
      <c r="B6377" t="s">
        <v>1967</v>
      </c>
      <c r="C6377" t="s">
        <v>8784</v>
      </c>
      <c r="D6377" t="s">
        <v>13007</v>
      </c>
      <c r="E6377" t="s">
        <v>18719</v>
      </c>
      <c r="F6377" t="s">
        <v>22436</v>
      </c>
      <c r="G6377" t="s">
        <v>22444</v>
      </c>
      <c r="H6377" t="s">
        <v>22452</v>
      </c>
      <c r="I6377" t="s">
        <v>2981</v>
      </c>
      <c r="J6377" t="s">
        <v>26751</v>
      </c>
      <c r="K6377" t="s">
        <v>29338</v>
      </c>
      <c r="M6377" t="s">
        <v>31698</v>
      </c>
      <c r="N6377" t="s">
        <v>32524</v>
      </c>
      <c r="O6377" t="s">
        <v>32525</v>
      </c>
      <c r="P6377">
        <v>0</v>
      </c>
      <c r="Q6377">
        <v>0</v>
      </c>
      <c r="R6377" t="s">
        <v>32532</v>
      </c>
      <c r="S6377" t="s">
        <v>32616</v>
      </c>
      <c r="T6377" t="s">
        <v>33416</v>
      </c>
      <c r="U6377" t="s">
        <v>38996</v>
      </c>
      <c r="V6377" t="s">
        <v>43116</v>
      </c>
      <c r="W6377" t="s">
        <v>31698</v>
      </c>
      <c r="X6377" t="s">
        <v>32533</v>
      </c>
    </row>
    <row r="6378" spans="1:24">
      <c r="A6378">
        <f>HYPERLINK("https://www.philgeps.gov.ph/GEPSNONPILOT/Tender/SplashBidNoticeAbstractUI.aspx?menuIndex=3&amp;refID=7036201&amp;Result=3","7036201")</f>
        <v>0</v>
      </c>
      <c r="B6378" t="s">
        <v>1991</v>
      </c>
      <c r="C6378" t="s">
        <v>8785</v>
      </c>
      <c r="D6378" t="s">
        <v>13058</v>
      </c>
      <c r="E6378" t="s">
        <v>18720</v>
      </c>
      <c r="F6378" t="s">
        <v>22436</v>
      </c>
      <c r="G6378" t="s">
        <v>22444</v>
      </c>
      <c r="H6378" t="s">
        <v>22454</v>
      </c>
      <c r="I6378" t="s">
        <v>7738</v>
      </c>
      <c r="J6378" t="s">
        <v>24191</v>
      </c>
      <c r="K6378" t="s">
        <v>29390</v>
      </c>
      <c r="M6378" t="s">
        <v>31723</v>
      </c>
      <c r="N6378" t="s">
        <v>32524</v>
      </c>
      <c r="O6378" t="s">
        <v>32525</v>
      </c>
      <c r="P6378">
        <v>0</v>
      </c>
      <c r="Q6378">
        <v>0</v>
      </c>
      <c r="R6378" t="s">
        <v>32532</v>
      </c>
      <c r="S6378" t="s">
        <v>32616</v>
      </c>
      <c r="T6378" t="s">
        <v>33405</v>
      </c>
      <c r="U6378" t="s">
        <v>38997</v>
      </c>
      <c r="W6378" t="s">
        <v>31723</v>
      </c>
      <c r="X6378" t="s">
        <v>32533</v>
      </c>
    </row>
    <row r="6379" spans="1:24">
      <c r="A6379">
        <f>HYPERLINK("https://www.philgeps.gov.ph/GEPSNONPILOT/Tender/SplashBidNoticeAbstractUI.aspx?menuIndex=3&amp;refID=7036192&amp;Result=3","7036192")</f>
        <v>0</v>
      </c>
      <c r="B6379" t="s">
        <v>295</v>
      </c>
      <c r="C6379" t="s">
        <v>8786</v>
      </c>
      <c r="D6379" t="s">
        <v>13056</v>
      </c>
      <c r="E6379" t="s">
        <v>18721</v>
      </c>
      <c r="F6379" t="s">
        <v>22436</v>
      </c>
      <c r="G6379" t="s">
        <v>22444</v>
      </c>
      <c r="H6379" t="s">
        <v>22454</v>
      </c>
      <c r="I6379" t="s">
        <v>7738</v>
      </c>
      <c r="J6379" t="s">
        <v>26752</v>
      </c>
      <c r="K6379" t="s">
        <v>29445</v>
      </c>
      <c r="L6379" t="s">
        <v>295</v>
      </c>
      <c r="M6379" t="s">
        <v>29869</v>
      </c>
      <c r="N6379" t="s">
        <v>32524</v>
      </c>
      <c r="O6379" t="s">
        <v>32525</v>
      </c>
      <c r="P6379">
        <v>0</v>
      </c>
      <c r="Q6379">
        <v>0</v>
      </c>
      <c r="R6379" t="s">
        <v>32532</v>
      </c>
      <c r="S6379" t="s">
        <v>32616</v>
      </c>
      <c r="T6379" t="s">
        <v>33296</v>
      </c>
      <c r="U6379" t="s">
        <v>38998</v>
      </c>
      <c r="W6379" t="s">
        <v>29869</v>
      </c>
      <c r="X6379" t="s">
        <v>32533</v>
      </c>
    </row>
    <row r="6380" spans="1:24">
      <c r="A6380">
        <f>HYPERLINK("https://www.philgeps.gov.ph/GEPSNONPILOT/Tender/SplashBidNoticeAbstractUI.aspx?menuIndex=3&amp;refID=7036180&amp;Result=3","7036180")</f>
        <v>0</v>
      </c>
      <c r="B6380" t="s">
        <v>1967</v>
      </c>
      <c r="C6380" t="s">
        <v>8787</v>
      </c>
      <c r="D6380" t="s">
        <v>13007</v>
      </c>
      <c r="E6380" t="s">
        <v>18722</v>
      </c>
      <c r="F6380" t="s">
        <v>22436</v>
      </c>
      <c r="G6380" t="s">
        <v>22444</v>
      </c>
      <c r="H6380" t="s">
        <v>22452</v>
      </c>
      <c r="I6380" t="s">
        <v>3529</v>
      </c>
      <c r="J6380" t="s">
        <v>26753</v>
      </c>
      <c r="K6380" t="s">
        <v>29338</v>
      </c>
      <c r="M6380" t="s">
        <v>31698</v>
      </c>
      <c r="N6380" t="s">
        <v>32524</v>
      </c>
      <c r="O6380" t="s">
        <v>32525</v>
      </c>
      <c r="P6380">
        <v>0</v>
      </c>
      <c r="Q6380">
        <v>0</v>
      </c>
      <c r="R6380" t="s">
        <v>32532</v>
      </c>
      <c r="S6380" t="s">
        <v>32616</v>
      </c>
      <c r="T6380" t="s">
        <v>33416</v>
      </c>
      <c r="U6380" t="s">
        <v>38999</v>
      </c>
      <c r="V6380" t="s">
        <v>43116</v>
      </c>
      <c r="W6380" t="s">
        <v>31698</v>
      </c>
      <c r="X6380" t="s">
        <v>32533</v>
      </c>
    </row>
    <row r="6381" spans="1:24">
      <c r="A6381">
        <f>HYPERLINK("https://www.philgeps.gov.ph/GEPSNONPILOT/Tender/SplashBidNoticeAbstractUI.aspx?menuIndex=3&amp;refID=7036195&amp;Result=3","7036195")</f>
        <v>0</v>
      </c>
      <c r="B6381" t="s">
        <v>43</v>
      </c>
      <c r="C6381" t="s">
        <v>8788</v>
      </c>
      <c r="D6381" t="s">
        <v>13003</v>
      </c>
      <c r="E6381" t="s">
        <v>18723</v>
      </c>
      <c r="F6381" t="s">
        <v>22436</v>
      </c>
      <c r="G6381" t="s">
        <v>22444</v>
      </c>
      <c r="H6381" t="s">
        <v>22454</v>
      </c>
      <c r="I6381" t="s">
        <v>7738</v>
      </c>
      <c r="J6381" t="s">
        <v>26754</v>
      </c>
      <c r="K6381" t="s">
        <v>29342</v>
      </c>
      <c r="M6381" t="s">
        <v>29614</v>
      </c>
      <c r="N6381" t="s">
        <v>32524</v>
      </c>
      <c r="O6381" t="s">
        <v>32525</v>
      </c>
      <c r="P6381">
        <v>0</v>
      </c>
      <c r="Q6381">
        <v>0</v>
      </c>
      <c r="R6381" t="s">
        <v>32532</v>
      </c>
      <c r="S6381" t="s">
        <v>32616</v>
      </c>
      <c r="T6381" t="s">
        <v>33238</v>
      </c>
      <c r="U6381" t="s">
        <v>39000</v>
      </c>
      <c r="W6381" t="s">
        <v>29614</v>
      </c>
      <c r="X6381" t="s">
        <v>32533</v>
      </c>
    </row>
    <row r="6382" spans="1:24">
      <c r="A6382">
        <f>HYPERLINK("https://www.philgeps.gov.ph/GEPSNONPILOT/Tender/SplashBidNoticeAbstractUI.aspx?menuIndex=3&amp;refID=7036193&amp;Result=3","7036193")</f>
        <v>0</v>
      </c>
      <c r="B6382" t="s">
        <v>293</v>
      </c>
      <c r="C6382" t="s">
        <v>8789</v>
      </c>
      <c r="D6382" t="s">
        <v>13046</v>
      </c>
      <c r="E6382" t="s">
        <v>18724</v>
      </c>
      <c r="F6382" t="s">
        <v>22436</v>
      </c>
      <c r="G6382" t="s">
        <v>22444</v>
      </c>
      <c r="H6382" t="s">
        <v>22454</v>
      </c>
      <c r="I6382" t="s">
        <v>7738</v>
      </c>
      <c r="J6382" t="s">
        <v>23762</v>
      </c>
      <c r="K6382" t="s">
        <v>29448</v>
      </c>
      <c r="M6382" t="s">
        <v>29867</v>
      </c>
      <c r="N6382" t="s">
        <v>32524</v>
      </c>
      <c r="O6382" t="s">
        <v>32525</v>
      </c>
      <c r="P6382">
        <v>0</v>
      </c>
      <c r="Q6382">
        <v>0</v>
      </c>
      <c r="R6382" t="s">
        <v>32532</v>
      </c>
      <c r="S6382" t="s">
        <v>32616</v>
      </c>
      <c r="T6382" t="s">
        <v>33218</v>
      </c>
      <c r="U6382" t="s">
        <v>39001</v>
      </c>
      <c r="W6382" t="s">
        <v>29867</v>
      </c>
      <c r="X6382" t="s">
        <v>32533</v>
      </c>
    </row>
    <row r="6383" spans="1:24">
      <c r="A6383">
        <f>HYPERLINK("https://www.philgeps.gov.ph/GEPSNONPILOT/Tender/SplashBidNoticeAbstractUI.aspx?menuIndex=3&amp;refID=7036173&amp;Result=3","7036173")</f>
        <v>0</v>
      </c>
      <c r="B6383" t="s">
        <v>293</v>
      </c>
      <c r="C6383" t="s">
        <v>8790</v>
      </c>
      <c r="D6383" t="s">
        <v>13046</v>
      </c>
      <c r="E6383" t="s">
        <v>18725</v>
      </c>
      <c r="F6383" t="s">
        <v>22436</v>
      </c>
      <c r="G6383" t="s">
        <v>22444</v>
      </c>
      <c r="H6383" t="s">
        <v>22454</v>
      </c>
      <c r="I6383" t="s">
        <v>7738</v>
      </c>
      <c r="J6383" t="s">
        <v>22587</v>
      </c>
      <c r="K6383" t="s">
        <v>29490</v>
      </c>
      <c r="M6383" t="s">
        <v>29867</v>
      </c>
      <c r="N6383" t="s">
        <v>32524</v>
      </c>
      <c r="O6383" t="s">
        <v>32525</v>
      </c>
      <c r="P6383">
        <v>0</v>
      </c>
      <c r="Q6383">
        <v>0</v>
      </c>
      <c r="R6383" t="s">
        <v>32532</v>
      </c>
      <c r="S6383" t="s">
        <v>32616</v>
      </c>
      <c r="T6383" t="s">
        <v>33218</v>
      </c>
      <c r="U6383" t="s">
        <v>39002</v>
      </c>
      <c r="W6383" t="s">
        <v>29867</v>
      </c>
      <c r="X6383" t="s">
        <v>32533</v>
      </c>
    </row>
    <row r="6384" spans="1:24">
      <c r="A6384">
        <f>HYPERLINK("https://www.philgeps.gov.ph/GEPSNONPILOT/Tender/SplashBidNoticeAbstractUI.aspx?menuIndex=3&amp;refID=7036189&amp;Result=3","7036189")</f>
        <v>0</v>
      </c>
      <c r="B6384" t="s">
        <v>988</v>
      </c>
      <c r="C6384" t="s">
        <v>8791</v>
      </c>
      <c r="D6384" t="s">
        <v>13002</v>
      </c>
      <c r="E6384" t="s">
        <v>18726</v>
      </c>
      <c r="F6384" t="s">
        <v>22436</v>
      </c>
      <c r="G6384" t="s">
        <v>22444</v>
      </c>
      <c r="H6384" t="s">
        <v>22452</v>
      </c>
      <c r="I6384" t="s">
        <v>6387</v>
      </c>
      <c r="J6384" t="s">
        <v>26755</v>
      </c>
      <c r="K6384" t="s">
        <v>29334</v>
      </c>
      <c r="M6384" t="s">
        <v>30612</v>
      </c>
      <c r="N6384" t="s">
        <v>32524</v>
      </c>
      <c r="O6384" t="s">
        <v>32525</v>
      </c>
      <c r="P6384">
        <v>0</v>
      </c>
      <c r="Q6384">
        <v>3</v>
      </c>
      <c r="R6384" t="s">
        <v>32532</v>
      </c>
      <c r="S6384" t="s">
        <v>32616</v>
      </c>
      <c r="T6384" t="s">
        <v>33510</v>
      </c>
      <c r="U6384" t="s">
        <v>39003</v>
      </c>
      <c r="W6384" t="s">
        <v>43702</v>
      </c>
      <c r="X6384" t="s">
        <v>32533</v>
      </c>
    </row>
    <row r="6385" spans="1:24">
      <c r="A6385">
        <f>HYPERLINK("https://www.philgeps.gov.ph/GEPSNONPILOT/Tender/SplashBidNoticeAbstractUI.aspx?menuIndex=3&amp;refID=7036187&amp;Result=3","7036187")</f>
        <v>0</v>
      </c>
      <c r="B6385" t="s">
        <v>1913</v>
      </c>
      <c r="C6385" t="s">
        <v>8792</v>
      </c>
      <c r="D6385" t="s">
        <v>13032</v>
      </c>
      <c r="E6385" t="s">
        <v>18727</v>
      </c>
      <c r="F6385" t="s">
        <v>22436</v>
      </c>
      <c r="G6385" t="s">
        <v>22444</v>
      </c>
      <c r="H6385" t="s">
        <v>22452</v>
      </c>
      <c r="I6385" t="s">
        <v>22486</v>
      </c>
      <c r="J6385" t="s">
        <v>26004</v>
      </c>
      <c r="K6385" t="s">
        <v>29335</v>
      </c>
      <c r="M6385" t="s">
        <v>31637</v>
      </c>
      <c r="N6385" t="s">
        <v>32524</v>
      </c>
      <c r="O6385" t="s">
        <v>32525</v>
      </c>
      <c r="P6385">
        <v>0</v>
      </c>
      <c r="Q6385">
        <v>1</v>
      </c>
      <c r="R6385" t="s">
        <v>32532</v>
      </c>
      <c r="S6385" t="s">
        <v>32616</v>
      </c>
      <c r="T6385" t="s">
        <v>33249</v>
      </c>
      <c r="U6385" t="s">
        <v>39004</v>
      </c>
      <c r="V6385" t="s">
        <v>43133</v>
      </c>
      <c r="W6385" t="s">
        <v>31637</v>
      </c>
      <c r="X6385" t="s">
        <v>32533</v>
      </c>
    </row>
    <row r="6386" spans="1:24">
      <c r="A6386">
        <f>HYPERLINK("https://www.philgeps.gov.ph/GEPSNONPILOT/Tender/SplashBidNoticeAbstractUI.aspx?menuIndex=3&amp;refID=7036177&amp;Result=3","7036177")</f>
        <v>0</v>
      </c>
      <c r="B6386" t="s">
        <v>648</v>
      </c>
      <c r="C6386" t="s">
        <v>8793</v>
      </c>
      <c r="D6386" t="s">
        <v>12998</v>
      </c>
      <c r="E6386" t="s">
        <v>18728</v>
      </c>
      <c r="F6386" t="s">
        <v>22436</v>
      </c>
      <c r="G6386" t="s">
        <v>22444</v>
      </c>
      <c r="H6386" t="s">
        <v>22454</v>
      </c>
      <c r="I6386" t="s">
        <v>7738</v>
      </c>
      <c r="J6386" t="s">
        <v>23733</v>
      </c>
      <c r="K6386" t="s">
        <v>29398</v>
      </c>
      <c r="M6386" t="s">
        <v>30239</v>
      </c>
      <c r="N6386" t="s">
        <v>32524</v>
      </c>
      <c r="O6386" t="s">
        <v>32525</v>
      </c>
      <c r="P6386">
        <v>0</v>
      </c>
      <c r="Q6386">
        <v>1</v>
      </c>
      <c r="R6386" t="s">
        <v>32532</v>
      </c>
      <c r="S6386" t="s">
        <v>32616</v>
      </c>
      <c r="T6386" t="s">
        <v>33310</v>
      </c>
      <c r="U6386" t="s">
        <v>34980</v>
      </c>
      <c r="W6386" t="s">
        <v>30239</v>
      </c>
      <c r="X6386" t="s">
        <v>32533</v>
      </c>
    </row>
    <row r="6387" spans="1:24">
      <c r="A6387">
        <f>HYPERLINK("https://www.philgeps.gov.ph/GEPSNONPILOT/Tender/SplashBidNoticeAbstractUI.aspx?menuIndex=3&amp;refID=7036186&amp;Result=3","7036186")</f>
        <v>0</v>
      </c>
      <c r="B6387" t="s">
        <v>1967</v>
      </c>
      <c r="C6387" t="s">
        <v>8794</v>
      </c>
      <c r="D6387" t="s">
        <v>13007</v>
      </c>
      <c r="E6387" t="s">
        <v>18729</v>
      </c>
      <c r="F6387" t="s">
        <v>22436</v>
      </c>
      <c r="G6387" t="s">
        <v>22444</v>
      </c>
      <c r="H6387" t="s">
        <v>22452</v>
      </c>
      <c r="I6387" t="s">
        <v>3529</v>
      </c>
      <c r="J6387" t="s">
        <v>26756</v>
      </c>
      <c r="K6387" t="s">
        <v>29338</v>
      </c>
      <c r="M6387" t="s">
        <v>31698</v>
      </c>
      <c r="N6387" t="s">
        <v>32524</v>
      </c>
      <c r="O6387" t="s">
        <v>32525</v>
      </c>
      <c r="P6387">
        <v>0</v>
      </c>
      <c r="Q6387">
        <v>0</v>
      </c>
      <c r="R6387" t="s">
        <v>32532</v>
      </c>
      <c r="S6387" t="s">
        <v>32616</v>
      </c>
      <c r="T6387" t="s">
        <v>33416</v>
      </c>
      <c r="U6387" t="s">
        <v>39005</v>
      </c>
      <c r="V6387" t="s">
        <v>43116</v>
      </c>
      <c r="W6387" t="s">
        <v>31698</v>
      </c>
      <c r="X6387" t="s">
        <v>32533</v>
      </c>
    </row>
    <row r="6388" spans="1:24">
      <c r="A6388">
        <f>HYPERLINK("https://www.philgeps.gov.ph/GEPSNONPILOT/Tender/SplashBidNoticeAbstractUI.aspx?menuIndex=3&amp;refID=7036210&amp;Result=3","7036210")</f>
        <v>0</v>
      </c>
      <c r="B6388" t="s">
        <v>1757</v>
      </c>
      <c r="C6388" t="s">
        <v>8795</v>
      </c>
      <c r="D6388" t="s">
        <v>12988</v>
      </c>
      <c r="E6388" t="s">
        <v>18730</v>
      </c>
      <c r="F6388" t="s">
        <v>22436</v>
      </c>
      <c r="G6388" t="s">
        <v>22445</v>
      </c>
      <c r="H6388" t="s">
        <v>22452</v>
      </c>
      <c r="I6388" t="s">
        <v>22465</v>
      </c>
      <c r="J6388" t="s">
        <v>26757</v>
      </c>
      <c r="K6388" t="s">
        <v>29341</v>
      </c>
      <c r="M6388" t="s">
        <v>31740</v>
      </c>
      <c r="N6388" t="s">
        <v>32524</v>
      </c>
      <c r="O6388" t="s">
        <v>32525</v>
      </c>
      <c r="P6388">
        <v>0</v>
      </c>
      <c r="Q6388">
        <v>5</v>
      </c>
      <c r="R6388" t="s">
        <v>32532</v>
      </c>
      <c r="S6388" t="s">
        <v>32616</v>
      </c>
      <c r="T6388" t="s">
        <v>33372</v>
      </c>
      <c r="U6388" t="s">
        <v>39006</v>
      </c>
      <c r="W6388" t="s">
        <v>31740</v>
      </c>
      <c r="X6388" t="s">
        <v>32533</v>
      </c>
    </row>
    <row r="6389" spans="1:24">
      <c r="A6389">
        <f>HYPERLINK("https://www.philgeps.gov.ph/GEPSNONPILOT/Tender/SplashBidNoticeAbstractUI.aspx?menuIndex=3&amp;refID=7036185&amp;Result=3","7036185")</f>
        <v>0</v>
      </c>
      <c r="B6389" t="s">
        <v>64</v>
      </c>
      <c r="C6389" t="s">
        <v>8796</v>
      </c>
      <c r="D6389" t="s">
        <v>13016</v>
      </c>
      <c r="E6389" t="s">
        <v>18731</v>
      </c>
      <c r="F6389" t="s">
        <v>22436</v>
      </c>
      <c r="G6389" t="s">
        <v>22443</v>
      </c>
      <c r="H6389" t="s">
        <v>22452</v>
      </c>
      <c r="I6389" t="s">
        <v>22486</v>
      </c>
      <c r="J6389" t="s">
        <v>24874</v>
      </c>
      <c r="K6389" t="s">
        <v>29331</v>
      </c>
      <c r="M6389" t="s">
        <v>31664</v>
      </c>
      <c r="N6389" t="s">
        <v>32524</v>
      </c>
      <c r="O6389" t="s">
        <v>32525</v>
      </c>
      <c r="P6389">
        <v>0</v>
      </c>
      <c r="Q6389">
        <v>0</v>
      </c>
      <c r="R6389" t="s">
        <v>32532</v>
      </c>
      <c r="S6389" t="s">
        <v>32616</v>
      </c>
      <c r="T6389" t="s">
        <v>33167</v>
      </c>
      <c r="U6389" t="s">
        <v>39007</v>
      </c>
      <c r="W6389" t="s">
        <v>31664</v>
      </c>
      <c r="X6389" t="s">
        <v>32533</v>
      </c>
    </row>
    <row r="6390" spans="1:24">
      <c r="A6390">
        <f>HYPERLINK("https://www.philgeps.gov.ph/GEPSNONPILOT/Tender/SplashBidNoticeAbstractUI.aspx?menuIndex=3&amp;refID=7036182&amp;Result=3","7036182")</f>
        <v>0</v>
      </c>
      <c r="B6390" t="s">
        <v>2005</v>
      </c>
      <c r="C6390" t="s">
        <v>8797</v>
      </c>
      <c r="D6390" t="s">
        <v>13069</v>
      </c>
      <c r="E6390" t="s">
        <v>18732</v>
      </c>
      <c r="F6390" t="s">
        <v>22436</v>
      </c>
      <c r="G6390" t="s">
        <v>22444</v>
      </c>
      <c r="H6390" t="s">
        <v>22452</v>
      </c>
      <c r="I6390" t="s">
        <v>3529</v>
      </c>
      <c r="J6390" t="s">
        <v>26758</v>
      </c>
      <c r="K6390" t="s">
        <v>29335</v>
      </c>
      <c r="M6390" t="s">
        <v>31738</v>
      </c>
      <c r="N6390" t="s">
        <v>32524</v>
      </c>
      <c r="O6390" t="s">
        <v>32525</v>
      </c>
      <c r="P6390">
        <v>0</v>
      </c>
      <c r="Q6390">
        <v>2</v>
      </c>
      <c r="R6390" t="s">
        <v>32532</v>
      </c>
      <c r="S6390" t="s">
        <v>32616</v>
      </c>
      <c r="T6390" t="s">
        <v>33304</v>
      </c>
      <c r="U6390" t="s">
        <v>38990</v>
      </c>
      <c r="V6390" t="s">
        <v>43134</v>
      </c>
      <c r="W6390" t="s">
        <v>31738</v>
      </c>
      <c r="X6390" t="s">
        <v>32533</v>
      </c>
    </row>
    <row r="6391" spans="1:24">
      <c r="A6391">
        <f>HYPERLINK("https://www.philgeps.gov.ph/GEPSNONPILOT/Tender/SplashBidNoticeAbstractUI.aspx?menuIndex=3&amp;refID=7036204&amp;Result=3","7036204")</f>
        <v>0</v>
      </c>
      <c r="B6391" t="s">
        <v>2007</v>
      </c>
      <c r="C6391" t="s">
        <v>8798</v>
      </c>
      <c r="D6391" t="s">
        <v>12996</v>
      </c>
      <c r="E6391" t="s">
        <v>18733</v>
      </c>
      <c r="F6391" t="s">
        <v>22436</v>
      </c>
      <c r="G6391" t="s">
        <v>22443</v>
      </c>
      <c r="H6391" t="s">
        <v>22452</v>
      </c>
      <c r="I6391" t="s">
        <v>22500</v>
      </c>
      <c r="J6391" t="s">
        <v>26759</v>
      </c>
      <c r="K6391" t="s">
        <v>29333</v>
      </c>
      <c r="M6391" t="s">
        <v>31741</v>
      </c>
      <c r="N6391" t="s">
        <v>32524</v>
      </c>
      <c r="O6391" t="s">
        <v>32525</v>
      </c>
      <c r="P6391">
        <v>0</v>
      </c>
      <c r="Q6391">
        <v>4</v>
      </c>
      <c r="R6391" t="s">
        <v>32532</v>
      </c>
      <c r="S6391" t="s">
        <v>32616</v>
      </c>
      <c r="T6391" t="s">
        <v>33356</v>
      </c>
      <c r="U6391" t="s">
        <v>39008</v>
      </c>
      <c r="W6391" t="s">
        <v>31741</v>
      </c>
      <c r="X6391" t="s">
        <v>32533</v>
      </c>
    </row>
    <row r="6392" spans="1:24">
      <c r="A6392">
        <f>HYPERLINK("https://www.philgeps.gov.ph/GEPSNONPILOT/Tender/SplashBidNoticeAbstractUI.aspx?menuIndex=3&amp;refID=7036219&amp;Result=3","7036219")</f>
        <v>0</v>
      </c>
      <c r="B6392" t="s">
        <v>293</v>
      </c>
      <c r="C6392" t="s">
        <v>8799</v>
      </c>
      <c r="D6392" t="s">
        <v>13046</v>
      </c>
      <c r="E6392" t="s">
        <v>18734</v>
      </c>
      <c r="F6392" t="s">
        <v>22436</v>
      </c>
      <c r="G6392" t="s">
        <v>22444</v>
      </c>
      <c r="H6392" t="s">
        <v>22454</v>
      </c>
      <c r="I6392" t="s">
        <v>7738</v>
      </c>
      <c r="J6392" t="s">
        <v>24895</v>
      </c>
      <c r="K6392" t="s">
        <v>29419</v>
      </c>
      <c r="M6392" t="s">
        <v>29867</v>
      </c>
      <c r="N6392" t="s">
        <v>32524</v>
      </c>
      <c r="O6392" t="s">
        <v>32525</v>
      </c>
      <c r="P6392">
        <v>0</v>
      </c>
      <c r="Q6392">
        <v>0</v>
      </c>
      <c r="R6392" t="s">
        <v>32532</v>
      </c>
      <c r="S6392" t="s">
        <v>32616</v>
      </c>
      <c r="T6392" t="s">
        <v>33218</v>
      </c>
      <c r="U6392" t="s">
        <v>39009</v>
      </c>
      <c r="W6392" t="s">
        <v>29867</v>
      </c>
      <c r="X6392" t="s">
        <v>32533</v>
      </c>
    </row>
    <row r="6393" spans="1:24">
      <c r="A6393">
        <f>HYPERLINK("https://www.philgeps.gov.ph/GEPSNONPILOT/Tender/SplashBidNoticeAbstractUI.aspx?menuIndex=3&amp;refID=7036196&amp;Result=3","7036196")</f>
        <v>0</v>
      </c>
      <c r="B6393" t="s">
        <v>1967</v>
      </c>
      <c r="C6393" t="s">
        <v>8800</v>
      </c>
      <c r="D6393" t="s">
        <v>13007</v>
      </c>
      <c r="E6393" t="s">
        <v>18735</v>
      </c>
      <c r="F6393" t="s">
        <v>22436</v>
      </c>
      <c r="G6393" t="s">
        <v>22444</v>
      </c>
      <c r="H6393" t="s">
        <v>22452</v>
      </c>
      <c r="I6393" t="s">
        <v>3529</v>
      </c>
      <c r="J6393" t="s">
        <v>26760</v>
      </c>
      <c r="K6393" t="s">
        <v>29338</v>
      </c>
      <c r="M6393" t="s">
        <v>31698</v>
      </c>
      <c r="N6393" t="s">
        <v>32524</v>
      </c>
      <c r="O6393" t="s">
        <v>32525</v>
      </c>
      <c r="P6393">
        <v>0</v>
      </c>
      <c r="Q6393">
        <v>0</v>
      </c>
      <c r="R6393" t="s">
        <v>32532</v>
      </c>
      <c r="S6393" t="s">
        <v>32616</v>
      </c>
      <c r="T6393" t="s">
        <v>33416</v>
      </c>
      <c r="U6393" t="s">
        <v>39010</v>
      </c>
      <c r="V6393" t="s">
        <v>43116</v>
      </c>
      <c r="W6393" t="s">
        <v>31698</v>
      </c>
      <c r="X6393" t="s">
        <v>32533</v>
      </c>
    </row>
    <row r="6394" spans="1:24">
      <c r="A6394">
        <f>HYPERLINK("https://www.philgeps.gov.ph/GEPSNONPILOT/Tender/SplashBidNoticeAbstractUI.aspx?menuIndex=3&amp;refID=7036248&amp;Result=3","7036248")</f>
        <v>0</v>
      </c>
      <c r="B6394" t="s">
        <v>346</v>
      </c>
      <c r="C6394" t="s">
        <v>8742</v>
      </c>
      <c r="D6394" t="s">
        <v>13041</v>
      </c>
      <c r="E6394" t="s">
        <v>18736</v>
      </c>
      <c r="F6394" t="s">
        <v>22436</v>
      </c>
      <c r="G6394" t="s">
        <v>22444</v>
      </c>
      <c r="H6394" t="s">
        <v>22452</v>
      </c>
      <c r="I6394" t="s">
        <v>3840</v>
      </c>
      <c r="J6394" t="s">
        <v>23324</v>
      </c>
      <c r="K6394" t="s">
        <v>29336</v>
      </c>
      <c r="M6394" t="s">
        <v>29922</v>
      </c>
      <c r="N6394" t="s">
        <v>32524</v>
      </c>
      <c r="O6394" t="s">
        <v>32525</v>
      </c>
      <c r="P6394">
        <v>0</v>
      </c>
      <c r="Q6394">
        <v>0</v>
      </c>
      <c r="R6394" t="s">
        <v>32532</v>
      </c>
      <c r="S6394" t="s">
        <v>32616</v>
      </c>
      <c r="T6394" t="s">
        <v>33154</v>
      </c>
      <c r="U6394" t="s">
        <v>39011</v>
      </c>
      <c r="W6394" t="s">
        <v>29922</v>
      </c>
      <c r="X6394" t="s">
        <v>32533</v>
      </c>
    </row>
    <row r="6395" spans="1:24">
      <c r="A6395">
        <f>HYPERLINK("https://www.philgeps.gov.ph/GEPSNONPILOT/Tender/SplashBidNoticeAbstractUI.aspx?menuIndex=3&amp;refID=7036181&amp;Result=3","7036181")</f>
        <v>0</v>
      </c>
      <c r="B6395" t="s">
        <v>1999</v>
      </c>
      <c r="C6395" t="s">
        <v>8801</v>
      </c>
      <c r="D6395" t="s">
        <v>13007</v>
      </c>
      <c r="E6395" t="s">
        <v>18737</v>
      </c>
      <c r="F6395" t="s">
        <v>22436</v>
      </c>
      <c r="G6395" t="s">
        <v>22444</v>
      </c>
      <c r="H6395" t="s">
        <v>22454</v>
      </c>
      <c r="I6395" t="s">
        <v>7738</v>
      </c>
      <c r="J6395" t="s">
        <v>24887</v>
      </c>
      <c r="K6395" t="s">
        <v>29334</v>
      </c>
      <c r="M6395" t="s">
        <v>31732</v>
      </c>
      <c r="N6395" t="s">
        <v>32524</v>
      </c>
      <c r="O6395" t="s">
        <v>32525</v>
      </c>
      <c r="P6395">
        <v>0</v>
      </c>
      <c r="Q6395">
        <v>1</v>
      </c>
      <c r="R6395" t="s">
        <v>32532</v>
      </c>
      <c r="S6395" t="s">
        <v>32616</v>
      </c>
      <c r="T6395" t="s">
        <v>33423</v>
      </c>
      <c r="U6395" t="s">
        <v>39012</v>
      </c>
      <c r="W6395" t="s">
        <v>31732</v>
      </c>
      <c r="X6395" t="s">
        <v>32533</v>
      </c>
    </row>
    <row r="6396" spans="1:24">
      <c r="A6396">
        <f>HYPERLINK("https://www.philgeps.gov.ph/GEPSNONPILOT/Tender/SplashBidNoticeAbstractUI.aspx?menuIndex=3&amp;refID=7036249&amp;Result=3","7036249")</f>
        <v>0</v>
      </c>
      <c r="B6396" t="s">
        <v>2008</v>
      </c>
      <c r="C6396" t="s">
        <v>8802</v>
      </c>
      <c r="E6396" t="s">
        <v>18738</v>
      </c>
      <c r="F6396" t="s">
        <v>22436</v>
      </c>
      <c r="G6396" t="s">
        <v>22444</v>
      </c>
      <c r="H6396" t="s">
        <v>22452</v>
      </c>
      <c r="I6396" t="s">
        <v>22476</v>
      </c>
      <c r="J6396" t="s">
        <v>22605</v>
      </c>
      <c r="K6396" t="s">
        <v>29338</v>
      </c>
      <c r="M6396" t="s">
        <v>31742</v>
      </c>
      <c r="N6396" t="s">
        <v>32524</v>
      </c>
      <c r="O6396" t="s">
        <v>32525</v>
      </c>
      <c r="P6396">
        <v>0</v>
      </c>
      <c r="Q6396">
        <v>1</v>
      </c>
      <c r="R6396" t="s">
        <v>32532</v>
      </c>
      <c r="S6396" t="s">
        <v>32616</v>
      </c>
      <c r="T6396" t="s">
        <v>33238</v>
      </c>
      <c r="U6396" t="s">
        <v>39013</v>
      </c>
      <c r="W6396" t="s">
        <v>31742</v>
      </c>
      <c r="X6396" t="s">
        <v>32533</v>
      </c>
    </row>
    <row r="6397" spans="1:24">
      <c r="A6397">
        <f>HYPERLINK("https://www.philgeps.gov.ph/GEPSNONPILOT/Tender/SplashBidNoticeAbstractUI.aspx?menuIndex=3&amp;refID=7036239&amp;Result=3","7036239")</f>
        <v>0</v>
      </c>
      <c r="B6397" t="s">
        <v>1913</v>
      </c>
      <c r="C6397" t="s">
        <v>8803</v>
      </c>
      <c r="D6397" t="s">
        <v>13032</v>
      </c>
      <c r="E6397" t="s">
        <v>15085</v>
      </c>
      <c r="F6397" t="s">
        <v>22436</v>
      </c>
      <c r="G6397" t="s">
        <v>22444</v>
      </c>
      <c r="H6397" t="s">
        <v>22452</v>
      </c>
      <c r="I6397" t="s">
        <v>3529</v>
      </c>
      <c r="J6397" t="s">
        <v>26761</v>
      </c>
      <c r="K6397" t="s">
        <v>29403</v>
      </c>
      <c r="M6397" t="s">
        <v>31637</v>
      </c>
      <c r="N6397" t="s">
        <v>32524</v>
      </c>
      <c r="O6397" t="s">
        <v>32525</v>
      </c>
      <c r="P6397">
        <v>0</v>
      </c>
      <c r="Q6397">
        <v>0</v>
      </c>
      <c r="R6397" t="s">
        <v>32532</v>
      </c>
      <c r="S6397" t="s">
        <v>32616</v>
      </c>
      <c r="T6397" t="s">
        <v>33249</v>
      </c>
      <c r="U6397" t="s">
        <v>39014</v>
      </c>
      <c r="V6397" t="s">
        <v>43135</v>
      </c>
      <c r="W6397" t="s">
        <v>31637</v>
      </c>
      <c r="X6397" t="s">
        <v>32533</v>
      </c>
    </row>
    <row r="6398" spans="1:24">
      <c r="A6398">
        <f>HYPERLINK("https://www.philgeps.gov.ph/GEPSNONPILOT/Tender/SplashBidNoticeAbstractUI.aspx?menuIndex=3&amp;refID=7036244&amp;Result=3","7036244")</f>
        <v>0</v>
      </c>
      <c r="B6398" t="s">
        <v>1030</v>
      </c>
      <c r="C6398" t="s">
        <v>8804</v>
      </c>
      <c r="D6398" t="s">
        <v>12988</v>
      </c>
      <c r="E6398" t="s">
        <v>18739</v>
      </c>
      <c r="F6398" t="s">
        <v>22437</v>
      </c>
      <c r="G6398" t="s">
        <v>22444</v>
      </c>
      <c r="H6398" t="s">
        <v>22452</v>
      </c>
      <c r="I6398" t="s">
        <v>22494</v>
      </c>
      <c r="J6398" t="s">
        <v>23093</v>
      </c>
      <c r="K6398" t="s">
        <v>29335</v>
      </c>
      <c r="M6398" t="s">
        <v>30660</v>
      </c>
      <c r="N6398" t="s">
        <v>32524</v>
      </c>
      <c r="O6398" t="s">
        <v>32525</v>
      </c>
      <c r="P6398">
        <v>0</v>
      </c>
      <c r="Q6398">
        <v>0</v>
      </c>
      <c r="R6398" t="s">
        <v>32532</v>
      </c>
      <c r="S6398" t="s">
        <v>32616</v>
      </c>
      <c r="T6398" t="s">
        <v>33175</v>
      </c>
      <c r="U6398" t="s">
        <v>39015</v>
      </c>
      <c r="V6398" t="s">
        <v>42693</v>
      </c>
      <c r="W6398" t="s">
        <v>30660</v>
      </c>
      <c r="X6398" t="s">
        <v>32533</v>
      </c>
    </row>
    <row r="6399" spans="1:24">
      <c r="A6399">
        <f>HYPERLINK("https://www.philgeps.gov.ph/GEPSNONPILOT/Tender/SplashBidNoticeAbstractUI.aspx?menuIndex=3&amp;refID=7036207&amp;Result=3","7036207")</f>
        <v>0</v>
      </c>
      <c r="B6399" t="s">
        <v>1999</v>
      </c>
      <c r="C6399" t="s">
        <v>8805</v>
      </c>
      <c r="D6399" t="s">
        <v>13007</v>
      </c>
      <c r="E6399" t="s">
        <v>18740</v>
      </c>
      <c r="F6399" t="s">
        <v>22436</v>
      </c>
      <c r="G6399" t="s">
        <v>22444</v>
      </c>
      <c r="H6399" t="s">
        <v>22454</v>
      </c>
      <c r="I6399" t="s">
        <v>7738</v>
      </c>
      <c r="J6399" t="s">
        <v>23205</v>
      </c>
      <c r="K6399" t="s">
        <v>29335</v>
      </c>
      <c r="M6399" t="s">
        <v>31732</v>
      </c>
      <c r="N6399" t="s">
        <v>32524</v>
      </c>
      <c r="O6399" t="s">
        <v>32525</v>
      </c>
      <c r="P6399">
        <v>0</v>
      </c>
      <c r="Q6399">
        <v>2</v>
      </c>
      <c r="R6399" t="s">
        <v>32532</v>
      </c>
      <c r="S6399" t="s">
        <v>32616</v>
      </c>
      <c r="T6399" t="s">
        <v>33423</v>
      </c>
      <c r="U6399" t="s">
        <v>39016</v>
      </c>
      <c r="W6399" t="s">
        <v>31732</v>
      </c>
      <c r="X6399" t="s">
        <v>32533</v>
      </c>
    </row>
    <row r="6400" spans="1:24">
      <c r="A6400">
        <f>HYPERLINK("https://www.philgeps.gov.ph/GEPSNONPILOT/Tender/SplashBidNoticeAbstractUI.aspx?menuIndex=3&amp;refID=7036231&amp;Result=3","7036231")</f>
        <v>0</v>
      </c>
      <c r="B6400" t="s">
        <v>525</v>
      </c>
      <c r="C6400" t="s">
        <v>8806</v>
      </c>
      <c r="D6400" t="s">
        <v>13038</v>
      </c>
      <c r="E6400" t="s">
        <v>18741</v>
      </c>
      <c r="F6400" t="s">
        <v>22436</v>
      </c>
      <c r="G6400" t="s">
        <v>22444</v>
      </c>
      <c r="H6400" t="s">
        <v>22452</v>
      </c>
      <c r="I6400" t="s">
        <v>22469</v>
      </c>
      <c r="J6400" t="s">
        <v>26762</v>
      </c>
      <c r="K6400" t="s">
        <v>29335</v>
      </c>
      <c r="M6400" t="s">
        <v>30109</v>
      </c>
      <c r="N6400" t="s">
        <v>32524</v>
      </c>
      <c r="O6400" t="s">
        <v>32525</v>
      </c>
      <c r="P6400">
        <v>0</v>
      </c>
      <c r="Q6400">
        <v>3</v>
      </c>
      <c r="R6400" t="s">
        <v>32532</v>
      </c>
      <c r="S6400" t="s">
        <v>32616</v>
      </c>
      <c r="T6400" t="s">
        <v>33367</v>
      </c>
      <c r="U6400" t="s">
        <v>39017</v>
      </c>
      <c r="W6400" t="s">
        <v>30109</v>
      </c>
      <c r="X6400" t="s">
        <v>32533</v>
      </c>
    </row>
    <row r="6401" spans="1:24">
      <c r="A6401">
        <f>HYPERLINK("https://www.philgeps.gov.ph/GEPSNONPILOT/Tender/SplashBidNoticeAbstractUI.aspx?menuIndex=3&amp;refID=7036229&amp;Result=3","7036229")</f>
        <v>0</v>
      </c>
      <c r="B6401" t="s">
        <v>2009</v>
      </c>
      <c r="C6401" t="s">
        <v>8807</v>
      </c>
      <c r="D6401" t="s">
        <v>13006</v>
      </c>
      <c r="E6401" t="s">
        <v>18742</v>
      </c>
      <c r="F6401" t="s">
        <v>22436</v>
      </c>
      <c r="G6401" t="s">
        <v>22444</v>
      </c>
      <c r="H6401" t="s">
        <v>22454</v>
      </c>
      <c r="I6401" t="s">
        <v>7738</v>
      </c>
      <c r="J6401" t="s">
        <v>26763</v>
      </c>
      <c r="K6401" t="s">
        <v>29345</v>
      </c>
      <c r="L6401" t="s">
        <v>2009</v>
      </c>
      <c r="M6401" t="s">
        <v>31743</v>
      </c>
      <c r="N6401" t="s">
        <v>32524</v>
      </c>
      <c r="O6401" t="s">
        <v>32525</v>
      </c>
      <c r="P6401">
        <v>0</v>
      </c>
      <c r="Q6401">
        <v>6</v>
      </c>
      <c r="R6401" t="s">
        <v>32532</v>
      </c>
      <c r="S6401" t="s">
        <v>32616</v>
      </c>
      <c r="T6401" t="s">
        <v>33182</v>
      </c>
      <c r="U6401" t="s">
        <v>39018</v>
      </c>
      <c r="V6401" t="s">
        <v>43136</v>
      </c>
      <c r="W6401" t="s">
        <v>31743</v>
      </c>
      <c r="X6401" t="s">
        <v>32533</v>
      </c>
    </row>
    <row r="6402" spans="1:24">
      <c r="A6402">
        <f>HYPERLINK("https://www.philgeps.gov.ph/GEPSNONPILOT/Tender/SplashBidNoticeAbstractUI.aspx?menuIndex=3&amp;refID=7036233&amp;Result=3","7036233")</f>
        <v>0</v>
      </c>
      <c r="B6402" t="s">
        <v>2010</v>
      </c>
      <c r="C6402" t="s">
        <v>8808</v>
      </c>
      <c r="D6402" t="s">
        <v>13022</v>
      </c>
      <c r="E6402" t="s">
        <v>18743</v>
      </c>
      <c r="F6402" t="s">
        <v>22436</v>
      </c>
      <c r="G6402" t="s">
        <v>22444</v>
      </c>
      <c r="H6402" t="s">
        <v>22454</v>
      </c>
      <c r="I6402" t="s">
        <v>7738</v>
      </c>
      <c r="J6402" t="s">
        <v>22605</v>
      </c>
      <c r="K6402" t="s">
        <v>29338</v>
      </c>
      <c r="M6402" t="s">
        <v>31744</v>
      </c>
      <c r="N6402" t="s">
        <v>32524</v>
      </c>
      <c r="O6402" t="s">
        <v>32525</v>
      </c>
      <c r="P6402">
        <v>0</v>
      </c>
      <c r="Q6402">
        <v>0</v>
      </c>
      <c r="R6402" t="s">
        <v>32532</v>
      </c>
      <c r="S6402" t="s">
        <v>32616</v>
      </c>
      <c r="T6402" t="s">
        <v>33259</v>
      </c>
      <c r="U6402" t="s">
        <v>39019</v>
      </c>
      <c r="W6402" t="s">
        <v>31744</v>
      </c>
      <c r="X6402" t="s">
        <v>32533</v>
      </c>
    </row>
    <row r="6403" spans="1:24">
      <c r="A6403">
        <f>HYPERLINK("https://www.philgeps.gov.ph/GEPSNONPILOT/Tender/SplashBidNoticeAbstractUI.aspx?menuIndex=3&amp;refID=7036183&amp;Result=3","7036183")</f>
        <v>0</v>
      </c>
      <c r="B6403" t="s">
        <v>525</v>
      </c>
      <c r="C6403" t="s">
        <v>8809</v>
      </c>
      <c r="D6403" t="s">
        <v>13038</v>
      </c>
      <c r="E6403" t="s">
        <v>8809</v>
      </c>
      <c r="F6403" t="s">
        <v>22436</v>
      </c>
      <c r="G6403" t="s">
        <v>22444</v>
      </c>
      <c r="H6403" t="s">
        <v>22452</v>
      </c>
      <c r="I6403" t="s">
        <v>3827</v>
      </c>
      <c r="J6403" t="s">
        <v>23079</v>
      </c>
      <c r="K6403" t="s">
        <v>29335</v>
      </c>
      <c r="M6403" t="s">
        <v>30109</v>
      </c>
      <c r="N6403" t="s">
        <v>32524</v>
      </c>
      <c r="O6403" t="s">
        <v>32525</v>
      </c>
      <c r="P6403">
        <v>0</v>
      </c>
      <c r="Q6403">
        <v>0</v>
      </c>
      <c r="R6403" t="s">
        <v>32532</v>
      </c>
      <c r="S6403" t="s">
        <v>32616</v>
      </c>
      <c r="T6403" t="s">
        <v>33270</v>
      </c>
      <c r="U6403" t="s">
        <v>39020</v>
      </c>
      <c r="W6403" t="s">
        <v>30109</v>
      </c>
      <c r="X6403" t="s">
        <v>32533</v>
      </c>
    </row>
    <row r="6404" spans="1:24">
      <c r="A6404">
        <f>HYPERLINK("https://www.philgeps.gov.ph/GEPSNONPILOT/Tender/SplashBidNoticeAbstractUI.aspx?menuIndex=3&amp;refID=7036225&amp;Result=3","7036225")</f>
        <v>0</v>
      </c>
      <c r="B6404" t="s">
        <v>2011</v>
      </c>
      <c r="C6404" t="s">
        <v>8810</v>
      </c>
      <c r="D6404" t="s">
        <v>13015</v>
      </c>
      <c r="E6404" t="s">
        <v>18744</v>
      </c>
      <c r="F6404" t="s">
        <v>22437</v>
      </c>
      <c r="G6404" t="s">
        <v>22443</v>
      </c>
      <c r="H6404" t="s">
        <v>22452</v>
      </c>
      <c r="I6404" t="s">
        <v>22460</v>
      </c>
      <c r="J6404" t="s">
        <v>26764</v>
      </c>
      <c r="K6404" t="s">
        <v>29336</v>
      </c>
      <c r="M6404" t="s">
        <v>31745</v>
      </c>
      <c r="N6404" t="s">
        <v>32524</v>
      </c>
      <c r="O6404" t="s">
        <v>32525</v>
      </c>
      <c r="P6404">
        <v>0</v>
      </c>
      <c r="Q6404">
        <v>4</v>
      </c>
      <c r="R6404" t="s">
        <v>32532</v>
      </c>
      <c r="S6404" t="s">
        <v>32616</v>
      </c>
      <c r="T6404" t="s">
        <v>33155</v>
      </c>
      <c r="U6404" t="s">
        <v>39021</v>
      </c>
      <c r="V6404" t="s">
        <v>43137</v>
      </c>
      <c r="W6404" t="s">
        <v>43738</v>
      </c>
      <c r="X6404" t="s">
        <v>32533</v>
      </c>
    </row>
    <row r="6405" spans="1:24">
      <c r="A6405">
        <f>HYPERLINK("https://www.philgeps.gov.ph/GEPSNONPILOT/Tender/SplashBidNoticeAbstractUI.aspx?menuIndex=3&amp;refID=7036191&amp;Result=3","7036191")</f>
        <v>0</v>
      </c>
      <c r="B6405" t="s">
        <v>648</v>
      </c>
      <c r="C6405" t="s">
        <v>8811</v>
      </c>
      <c r="D6405" t="s">
        <v>12998</v>
      </c>
      <c r="E6405" t="s">
        <v>18745</v>
      </c>
      <c r="F6405" t="s">
        <v>22436</v>
      </c>
      <c r="G6405" t="s">
        <v>22444</v>
      </c>
      <c r="H6405" t="s">
        <v>22454</v>
      </c>
      <c r="I6405" t="s">
        <v>7738</v>
      </c>
      <c r="J6405" t="s">
        <v>26765</v>
      </c>
      <c r="K6405" t="s">
        <v>29418</v>
      </c>
      <c r="M6405" t="s">
        <v>30239</v>
      </c>
      <c r="N6405" t="s">
        <v>32524</v>
      </c>
      <c r="O6405" t="s">
        <v>32525</v>
      </c>
      <c r="P6405">
        <v>0</v>
      </c>
      <c r="Q6405">
        <v>1</v>
      </c>
      <c r="R6405" t="s">
        <v>32532</v>
      </c>
      <c r="S6405" t="s">
        <v>32616</v>
      </c>
      <c r="T6405" t="s">
        <v>33310</v>
      </c>
      <c r="U6405" t="s">
        <v>34980</v>
      </c>
      <c r="W6405" t="s">
        <v>30239</v>
      </c>
      <c r="X6405" t="s">
        <v>32533</v>
      </c>
    </row>
    <row r="6406" spans="1:24">
      <c r="A6406">
        <f>HYPERLINK("https://www.philgeps.gov.ph/GEPSNONPILOT/Tender/SplashBidNoticeAbstractUI.aspx?menuIndex=3&amp;refID=7036269&amp;Result=3","7036269")</f>
        <v>0</v>
      </c>
      <c r="B6406" t="s">
        <v>2012</v>
      </c>
      <c r="C6406" t="s">
        <v>8812</v>
      </c>
      <c r="D6406" t="s">
        <v>12988</v>
      </c>
      <c r="E6406" t="s">
        <v>18746</v>
      </c>
      <c r="F6406" t="s">
        <v>22436</v>
      </c>
      <c r="G6406" t="s">
        <v>22444</v>
      </c>
      <c r="H6406" t="s">
        <v>22452</v>
      </c>
      <c r="I6406" t="s">
        <v>22504</v>
      </c>
      <c r="J6406" t="s">
        <v>22617</v>
      </c>
      <c r="K6406" t="s">
        <v>29357</v>
      </c>
      <c r="M6406" t="s">
        <v>31746</v>
      </c>
      <c r="N6406" t="s">
        <v>32524</v>
      </c>
      <c r="O6406" t="s">
        <v>32525</v>
      </c>
      <c r="P6406">
        <v>0</v>
      </c>
      <c r="Q6406">
        <v>1</v>
      </c>
      <c r="R6406" t="s">
        <v>32532</v>
      </c>
      <c r="S6406" t="s">
        <v>32616</v>
      </c>
      <c r="T6406" t="s">
        <v>33372</v>
      </c>
      <c r="U6406" t="s">
        <v>39022</v>
      </c>
      <c r="W6406" t="s">
        <v>31746</v>
      </c>
      <c r="X6406" t="s">
        <v>32533</v>
      </c>
    </row>
    <row r="6407" spans="1:24">
      <c r="A6407">
        <f>HYPERLINK("https://www.philgeps.gov.ph/GEPSNONPILOT/Tender/SplashBidNoticeAbstractUI.aspx?menuIndex=3&amp;refID=7036273&amp;Result=3","7036273")</f>
        <v>0</v>
      </c>
      <c r="B6407" t="s">
        <v>874</v>
      </c>
      <c r="C6407" t="s">
        <v>8813</v>
      </c>
      <c r="E6407" t="s">
        <v>18747</v>
      </c>
      <c r="F6407" t="s">
        <v>22436</v>
      </c>
      <c r="G6407" t="s">
        <v>22443</v>
      </c>
      <c r="H6407" t="s">
        <v>22452</v>
      </c>
      <c r="I6407" t="s">
        <v>22463</v>
      </c>
      <c r="J6407" t="s">
        <v>26766</v>
      </c>
      <c r="K6407" t="s">
        <v>29338</v>
      </c>
      <c r="M6407" t="s">
        <v>30482</v>
      </c>
      <c r="N6407" t="s">
        <v>32524</v>
      </c>
      <c r="O6407" t="s">
        <v>32525</v>
      </c>
      <c r="P6407">
        <v>0</v>
      </c>
      <c r="Q6407">
        <v>6</v>
      </c>
      <c r="R6407" t="s">
        <v>32532</v>
      </c>
      <c r="S6407" t="s">
        <v>32616</v>
      </c>
      <c r="T6407" t="s">
        <v>33327</v>
      </c>
      <c r="U6407" t="s">
        <v>38853</v>
      </c>
      <c r="W6407" t="s">
        <v>30482</v>
      </c>
      <c r="X6407" t="s">
        <v>32533</v>
      </c>
    </row>
    <row r="6408" spans="1:24">
      <c r="A6408">
        <f>HYPERLINK("https://www.philgeps.gov.ph/GEPSNONPILOT/Tender/SplashBidNoticeAbstractUI.aspx?menuIndex=3&amp;refID=7036261&amp;Result=3","7036261")</f>
        <v>0</v>
      </c>
      <c r="B6408" t="s">
        <v>2013</v>
      </c>
      <c r="C6408" t="s">
        <v>8814</v>
      </c>
      <c r="D6408" t="s">
        <v>13057</v>
      </c>
      <c r="E6408" t="s">
        <v>18748</v>
      </c>
      <c r="F6408" t="s">
        <v>22436</v>
      </c>
      <c r="G6408" t="s">
        <v>22444</v>
      </c>
      <c r="H6408" t="s">
        <v>22452</v>
      </c>
      <c r="I6408" t="s">
        <v>22474</v>
      </c>
      <c r="J6408" t="s">
        <v>26195</v>
      </c>
      <c r="K6408" t="s">
        <v>29333</v>
      </c>
      <c r="M6408" t="s">
        <v>31747</v>
      </c>
      <c r="N6408" t="s">
        <v>32524</v>
      </c>
      <c r="O6408" t="s">
        <v>32525</v>
      </c>
      <c r="P6408">
        <v>0</v>
      </c>
      <c r="Q6408">
        <v>3</v>
      </c>
      <c r="R6408" t="s">
        <v>32532</v>
      </c>
      <c r="S6408" t="s">
        <v>32616</v>
      </c>
      <c r="T6408" t="s">
        <v>33227</v>
      </c>
      <c r="U6408" t="s">
        <v>39023</v>
      </c>
      <c r="W6408" t="s">
        <v>31747</v>
      </c>
      <c r="X6408" t="s">
        <v>32533</v>
      </c>
    </row>
    <row r="6409" spans="1:24">
      <c r="A6409">
        <f>HYPERLINK("https://www.philgeps.gov.ph/GEPSNONPILOT/Tender/SplashBidNoticeAbstractUI.aspx?menuIndex=3&amp;refID=7036267&amp;Result=3","7036267")</f>
        <v>0</v>
      </c>
      <c r="B6409" t="s">
        <v>1547</v>
      </c>
      <c r="C6409" t="s">
        <v>8815</v>
      </c>
      <c r="E6409" t="s">
        <v>18749</v>
      </c>
      <c r="F6409" t="s">
        <v>22436</v>
      </c>
      <c r="G6409" t="s">
        <v>22443</v>
      </c>
      <c r="H6409" t="s">
        <v>22452</v>
      </c>
      <c r="I6409" t="s">
        <v>22460</v>
      </c>
      <c r="J6409" t="s">
        <v>26767</v>
      </c>
      <c r="K6409" t="s">
        <v>29335</v>
      </c>
      <c r="M6409" t="s">
        <v>31226</v>
      </c>
      <c r="N6409" t="s">
        <v>32524</v>
      </c>
      <c r="O6409" t="s">
        <v>32525</v>
      </c>
      <c r="P6409">
        <v>0</v>
      </c>
      <c r="Q6409">
        <v>4</v>
      </c>
      <c r="R6409" t="s">
        <v>32532</v>
      </c>
      <c r="S6409" t="s">
        <v>32616</v>
      </c>
      <c r="T6409" t="s">
        <v>33196</v>
      </c>
      <c r="U6409" t="s">
        <v>39024</v>
      </c>
      <c r="W6409" t="s">
        <v>43727</v>
      </c>
      <c r="X6409" t="s">
        <v>32533</v>
      </c>
    </row>
    <row r="6410" spans="1:24">
      <c r="A6410">
        <f>HYPERLINK("https://www.philgeps.gov.ph/GEPSNONPILOT/Tender/SplashBidNoticeAbstractUI.aspx?menuIndex=3&amp;refID=7036253&amp;Result=3","7036253")</f>
        <v>0</v>
      </c>
      <c r="B6410" t="s">
        <v>2014</v>
      </c>
      <c r="C6410" t="s">
        <v>8812</v>
      </c>
      <c r="D6410" t="s">
        <v>12988</v>
      </c>
      <c r="E6410" t="s">
        <v>18750</v>
      </c>
      <c r="F6410" t="s">
        <v>22436</v>
      </c>
      <c r="G6410" t="s">
        <v>22444</v>
      </c>
      <c r="H6410" t="s">
        <v>22452</v>
      </c>
      <c r="I6410" t="s">
        <v>22504</v>
      </c>
      <c r="J6410" t="s">
        <v>26768</v>
      </c>
      <c r="K6410" t="s">
        <v>29357</v>
      </c>
      <c r="M6410" t="s">
        <v>31748</v>
      </c>
      <c r="N6410" t="s">
        <v>32524</v>
      </c>
      <c r="O6410" t="s">
        <v>32525</v>
      </c>
      <c r="P6410">
        <v>0</v>
      </c>
      <c r="Q6410">
        <v>1</v>
      </c>
      <c r="R6410" t="s">
        <v>32532</v>
      </c>
      <c r="S6410" t="s">
        <v>32616</v>
      </c>
      <c r="T6410" t="s">
        <v>33372</v>
      </c>
      <c r="U6410" t="s">
        <v>39025</v>
      </c>
      <c r="W6410" t="s">
        <v>31748</v>
      </c>
      <c r="X6410" t="s">
        <v>32533</v>
      </c>
    </row>
    <row r="6411" spans="1:24">
      <c r="A6411">
        <f>HYPERLINK("https://www.philgeps.gov.ph/GEPSNONPILOT/Tender/SplashBidNoticeAbstractUI.aspx?menuIndex=3&amp;refID=7036250&amp;Result=3","7036250")</f>
        <v>0</v>
      </c>
      <c r="B6411" t="s">
        <v>2007</v>
      </c>
      <c r="C6411" t="s">
        <v>8816</v>
      </c>
      <c r="D6411" t="s">
        <v>12996</v>
      </c>
      <c r="E6411" t="s">
        <v>18751</v>
      </c>
      <c r="F6411" t="s">
        <v>22436</v>
      </c>
      <c r="G6411" t="s">
        <v>22443</v>
      </c>
      <c r="H6411" t="s">
        <v>22452</v>
      </c>
      <c r="I6411" t="s">
        <v>22500</v>
      </c>
      <c r="J6411" t="s">
        <v>24079</v>
      </c>
      <c r="K6411" t="s">
        <v>29333</v>
      </c>
      <c r="M6411" t="s">
        <v>31741</v>
      </c>
      <c r="N6411" t="s">
        <v>32524</v>
      </c>
      <c r="O6411" t="s">
        <v>32525</v>
      </c>
      <c r="P6411">
        <v>0</v>
      </c>
      <c r="Q6411">
        <v>1</v>
      </c>
      <c r="R6411" t="s">
        <v>32532</v>
      </c>
      <c r="S6411" t="s">
        <v>32616</v>
      </c>
      <c r="T6411" t="s">
        <v>33356</v>
      </c>
      <c r="U6411" t="s">
        <v>39026</v>
      </c>
      <c r="W6411" t="s">
        <v>31741</v>
      </c>
      <c r="X6411" t="s">
        <v>32533</v>
      </c>
    </row>
    <row r="6412" spans="1:24">
      <c r="A6412">
        <f>HYPERLINK("https://www.philgeps.gov.ph/GEPSNONPILOT/Tender/SplashBidNoticeAbstractUI.aspx?menuIndex=3&amp;refID=7036169&amp;Result=3","7036169")</f>
        <v>0</v>
      </c>
      <c r="B6412" t="s">
        <v>874</v>
      </c>
      <c r="C6412" t="s">
        <v>8817</v>
      </c>
      <c r="E6412" t="s">
        <v>18752</v>
      </c>
      <c r="F6412" t="s">
        <v>22436</v>
      </c>
      <c r="G6412" t="s">
        <v>22443</v>
      </c>
      <c r="H6412" t="s">
        <v>22452</v>
      </c>
      <c r="I6412" t="s">
        <v>22502</v>
      </c>
      <c r="J6412" t="s">
        <v>22617</v>
      </c>
      <c r="K6412" t="s">
        <v>29338</v>
      </c>
      <c r="M6412" t="s">
        <v>30482</v>
      </c>
      <c r="N6412" t="s">
        <v>32524</v>
      </c>
      <c r="O6412" t="s">
        <v>32525</v>
      </c>
      <c r="P6412">
        <v>0</v>
      </c>
      <c r="Q6412">
        <v>5</v>
      </c>
      <c r="R6412" t="s">
        <v>32532</v>
      </c>
      <c r="S6412" t="s">
        <v>32616</v>
      </c>
      <c r="T6412" t="s">
        <v>33327</v>
      </c>
      <c r="U6412" t="s">
        <v>38853</v>
      </c>
      <c r="W6412" t="s">
        <v>30482</v>
      </c>
      <c r="X6412" t="s">
        <v>32533</v>
      </c>
    </row>
    <row r="6413" spans="1:24">
      <c r="A6413">
        <f>HYPERLINK("https://www.philgeps.gov.ph/GEPSNONPILOT/Tender/SplashBidNoticeAbstractUI.aspx?menuIndex=3&amp;refID=7036226&amp;Result=3","7036226")</f>
        <v>0</v>
      </c>
      <c r="B6413" t="s">
        <v>1462</v>
      </c>
      <c r="C6413" t="s">
        <v>8818</v>
      </c>
      <c r="D6413" t="s">
        <v>13041</v>
      </c>
      <c r="E6413" t="s">
        <v>18753</v>
      </c>
      <c r="F6413" t="s">
        <v>22436</v>
      </c>
      <c r="G6413" t="s">
        <v>22444</v>
      </c>
      <c r="H6413" t="s">
        <v>22452</v>
      </c>
      <c r="I6413" t="s">
        <v>22471</v>
      </c>
      <c r="J6413" t="s">
        <v>26769</v>
      </c>
      <c r="K6413" t="s">
        <v>29335</v>
      </c>
      <c r="M6413" t="s">
        <v>31130</v>
      </c>
      <c r="N6413" t="s">
        <v>32524</v>
      </c>
      <c r="O6413" t="s">
        <v>32525</v>
      </c>
      <c r="P6413">
        <v>0</v>
      </c>
      <c r="Q6413">
        <v>3</v>
      </c>
      <c r="R6413" t="s">
        <v>32532</v>
      </c>
      <c r="S6413" t="s">
        <v>32616</v>
      </c>
      <c r="T6413" t="s">
        <v>33530</v>
      </c>
      <c r="U6413" t="s">
        <v>39027</v>
      </c>
      <c r="W6413" t="s">
        <v>31130</v>
      </c>
      <c r="X6413" t="s">
        <v>32533</v>
      </c>
    </row>
    <row r="6414" spans="1:24">
      <c r="A6414">
        <f>HYPERLINK("https://www.philgeps.gov.ph/GEPSNONPILOT/Tender/SplashBidNoticeAbstractUI.aspx?menuIndex=3&amp;refID=7036274&amp;Result=3","7036274")</f>
        <v>0</v>
      </c>
      <c r="B6414" t="s">
        <v>2015</v>
      </c>
      <c r="C6414" t="s">
        <v>6036</v>
      </c>
      <c r="D6414" t="s">
        <v>13033</v>
      </c>
      <c r="E6414" t="s">
        <v>18754</v>
      </c>
      <c r="F6414" t="s">
        <v>22436</v>
      </c>
      <c r="G6414" t="s">
        <v>22444</v>
      </c>
      <c r="H6414" t="s">
        <v>22454</v>
      </c>
      <c r="I6414" t="s">
        <v>7738</v>
      </c>
      <c r="J6414" t="s">
        <v>22875</v>
      </c>
      <c r="K6414" t="s">
        <v>29383</v>
      </c>
      <c r="M6414" t="s">
        <v>31749</v>
      </c>
      <c r="N6414" t="s">
        <v>32524</v>
      </c>
      <c r="O6414" t="s">
        <v>32525</v>
      </c>
      <c r="P6414">
        <v>0</v>
      </c>
      <c r="Q6414">
        <v>0</v>
      </c>
      <c r="R6414" t="s">
        <v>32532</v>
      </c>
      <c r="S6414" t="s">
        <v>32616</v>
      </c>
      <c r="T6414" t="s">
        <v>33296</v>
      </c>
      <c r="U6414" t="s">
        <v>39028</v>
      </c>
      <c r="W6414" t="s">
        <v>31749</v>
      </c>
      <c r="X6414" t="s">
        <v>32533</v>
      </c>
    </row>
    <row r="6415" spans="1:24">
      <c r="A6415">
        <f>HYPERLINK("https://www.philgeps.gov.ph/GEPSNONPILOT/Tender/SplashBidNoticeAbstractUI.aspx?menuIndex=3&amp;refID=7036265&amp;Result=3","7036265")</f>
        <v>0</v>
      </c>
      <c r="B6415" t="s">
        <v>874</v>
      </c>
      <c r="C6415" t="s">
        <v>8819</v>
      </c>
      <c r="E6415" t="s">
        <v>18755</v>
      </c>
      <c r="F6415" t="s">
        <v>22436</v>
      </c>
      <c r="G6415" t="s">
        <v>22443</v>
      </c>
      <c r="H6415" t="s">
        <v>22452</v>
      </c>
      <c r="I6415" t="s">
        <v>22489</v>
      </c>
      <c r="J6415" t="s">
        <v>23378</v>
      </c>
      <c r="K6415" t="s">
        <v>29338</v>
      </c>
      <c r="M6415" t="s">
        <v>30482</v>
      </c>
      <c r="N6415" t="s">
        <v>32524</v>
      </c>
      <c r="O6415" t="s">
        <v>32525</v>
      </c>
      <c r="P6415">
        <v>0</v>
      </c>
      <c r="Q6415">
        <v>1</v>
      </c>
      <c r="R6415" t="s">
        <v>32532</v>
      </c>
      <c r="S6415" t="s">
        <v>32616</v>
      </c>
      <c r="T6415" t="s">
        <v>33327</v>
      </c>
      <c r="U6415" t="s">
        <v>38853</v>
      </c>
      <c r="W6415" t="s">
        <v>30482</v>
      </c>
      <c r="X6415" t="s">
        <v>32533</v>
      </c>
    </row>
    <row r="6416" spans="1:24">
      <c r="A6416">
        <f>HYPERLINK("https://www.philgeps.gov.ph/GEPSNONPILOT/Tender/SplashBidNoticeAbstractUI.aspx?menuIndex=3&amp;refID=7036222&amp;Result=3","7036222")</f>
        <v>0</v>
      </c>
      <c r="B6416" t="s">
        <v>1985</v>
      </c>
      <c r="C6416" t="s">
        <v>8820</v>
      </c>
      <c r="D6416" t="s">
        <v>12994</v>
      </c>
      <c r="E6416" t="s">
        <v>18756</v>
      </c>
      <c r="F6416" t="s">
        <v>22436</v>
      </c>
      <c r="G6416" t="s">
        <v>22444</v>
      </c>
      <c r="H6416" t="s">
        <v>22452</v>
      </c>
      <c r="I6416" t="s">
        <v>22502</v>
      </c>
      <c r="J6416" t="s">
        <v>26770</v>
      </c>
      <c r="K6416" t="s">
        <v>29336</v>
      </c>
      <c r="M6416" t="s">
        <v>31717</v>
      </c>
      <c r="N6416" t="s">
        <v>32524</v>
      </c>
      <c r="O6416" t="s">
        <v>32525</v>
      </c>
      <c r="P6416">
        <v>0</v>
      </c>
      <c r="Q6416">
        <v>3</v>
      </c>
      <c r="R6416" t="s">
        <v>32532</v>
      </c>
      <c r="S6416" t="s">
        <v>32616</v>
      </c>
      <c r="T6416" t="s">
        <v>33304</v>
      </c>
      <c r="U6416" t="s">
        <v>39029</v>
      </c>
      <c r="W6416" t="s">
        <v>31717</v>
      </c>
      <c r="X6416" t="s">
        <v>32533</v>
      </c>
    </row>
    <row r="6417" spans="1:24">
      <c r="A6417">
        <f>HYPERLINK("https://www.philgeps.gov.ph/GEPSNONPILOT/Tender/SplashBidNoticeAbstractUI.aspx?menuIndex=3&amp;refID=7036251&amp;Result=3","7036251")</f>
        <v>0</v>
      </c>
      <c r="B6417" t="s">
        <v>648</v>
      </c>
      <c r="C6417" t="s">
        <v>8821</v>
      </c>
      <c r="D6417" t="s">
        <v>12998</v>
      </c>
      <c r="E6417" t="s">
        <v>18757</v>
      </c>
      <c r="F6417" t="s">
        <v>22436</v>
      </c>
      <c r="G6417" t="s">
        <v>22444</v>
      </c>
      <c r="H6417" t="s">
        <v>22454</v>
      </c>
      <c r="I6417" t="s">
        <v>7738</v>
      </c>
      <c r="J6417" t="s">
        <v>26771</v>
      </c>
      <c r="K6417" t="s">
        <v>29421</v>
      </c>
      <c r="M6417" t="s">
        <v>30239</v>
      </c>
      <c r="N6417" t="s">
        <v>32524</v>
      </c>
      <c r="O6417" t="s">
        <v>32525</v>
      </c>
      <c r="P6417">
        <v>0</v>
      </c>
      <c r="Q6417">
        <v>1</v>
      </c>
      <c r="R6417" t="s">
        <v>32532</v>
      </c>
      <c r="S6417" t="s">
        <v>32616</v>
      </c>
      <c r="T6417" t="s">
        <v>33310</v>
      </c>
      <c r="U6417" t="s">
        <v>34980</v>
      </c>
      <c r="W6417" t="s">
        <v>30239</v>
      </c>
      <c r="X6417" t="s">
        <v>32533</v>
      </c>
    </row>
    <row r="6418" spans="1:24">
      <c r="A6418">
        <f>HYPERLINK("https://www.philgeps.gov.ph/GEPSNONPILOT/Tender/SplashBidNoticeAbstractUI.aspx?menuIndex=3&amp;refID=7036271&amp;Result=3","7036271")</f>
        <v>0</v>
      </c>
      <c r="B6418" t="s">
        <v>1949</v>
      </c>
      <c r="C6418" t="s">
        <v>8822</v>
      </c>
      <c r="D6418" t="s">
        <v>13019</v>
      </c>
      <c r="E6418" t="s">
        <v>18758</v>
      </c>
      <c r="F6418" t="s">
        <v>22436</v>
      </c>
      <c r="G6418" t="s">
        <v>22444</v>
      </c>
      <c r="H6418" t="s">
        <v>22452</v>
      </c>
      <c r="I6418" t="s">
        <v>22460</v>
      </c>
      <c r="J6418" t="s">
        <v>26772</v>
      </c>
      <c r="K6418" t="s">
        <v>29335</v>
      </c>
      <c r="M6418" t="s">
        <v>31679</v>
      </c>
      <c r="N6418" t="s">
        <v>32524</v>
      </c>
      <c r="O6418" t="s">
        <v>32525</v>
      </c>
      <c r="P6418">
        <v>0</v>
      </c>
      <c r="Q6418">
        <v>1</v>
      </c>
      <c r="R6418" t="s">
        <v>32532</v>
      </c>
      <c r="S6418" t="s">
        <v>32616</v>
      </c>
      <c r="T6418" t="s">
        <v>33409</v>
      </c>
      <c r="U6418" t="s">
        <v>39030</v>
      </c>
      <c r="V6418" t="s">
        <v>43111</v>
      </c>
      <c r="W6418" t="s">
        <v>31679</v>
      </c>
      <c r="X6418" t="s">
        <v>32533</v>
      </c>
    </row>
    <row r="6419" spans="1:24">
      <c r="A6419">
        <f>HYPERLINK("https://www.philgeps.gov.ph/GEPSNONPILOT/Tender/SplashBidNoticeAbstractUI.aspx?menuIndex=3&amp;refID=7036277&amp;Result=3","7036277")</f>
        <v>0</v>
      </c>
      <c r="B6419" t="s">
        <v>2011</v>
      </c>
      <c r="C6419" t="s">
        <v>8823</v>
      </c>
      <c r="D6419" t="s">
        <v>13015</v>
      </c>
      <c r="E6419" t="s">
        <v>18759</v>
      </c>
      <c r="F6419" t="s">
        <v>22437</v>
      </c>
      <c r="G6419" t="s">
        <v>22444</v>
      </c>
      <c r="H6419" t="s">
        <v>22452</v>
      </c>
      <c r="I6419" t="s">
        <v>22471</v>
      </c>
      <c r="J6419" t="s">
        <v>26773</v>
      </c>
      <c r="K6419" t="s">
        <v>29335</v>
      </c>
      <c r="M6419" t="s">
        <v>31745</v>
      </c>
      <c r="N6419" t="s">
        <v>32524</v>
      </c>
      <c r="O6419" t="s">
        <v>32525</v>
      </c>
      <c r="P6419">
        <v>0</v>
      </c>
      <c r="Q6419">
        <v>9</v>
      </c>
      <c r="R6419" t="s">
        <v>32532</v>
      </c>
      <c r="S6419" t="s">
        <v>32616</v>
      </c>
      <c r="T6419" t="s">
        <v>33187</v>
      </c>
      <c r="U6419" t="s">
        <v>39021</v>
      </c>
      <c r="V6419" t="s">
        <v>43137</v>
      </c>
      <c r="W6419" t="s">
        <v>43738</v>
      </c>
      <c r="X6419" t="s">
        <v>32533</v>
      </c>
    </row>
    <row r="6420" spans="1:24">
      <c r="A6420">
        <f>HYPERLINK("https://www.philgeps.gov.ph/GEPSNONPILOT/Tender/SplashBidNoticeAbstractUI.aspx?menuIndex=3&amp;refID=7036280&amp;Result=3","7036280")</f>
        <v>0</v>
      </c>
      <c r="B6420" t="s">
        <v>874</v>
      </c>
      <c r="C6420" t="s">
        <v>8824</v>
      </c>
      <c r="E6420" t="s">
        <v>18760</v>
      </c>
      <c r="F6420" t="s">
        <v>22436</v>
      </c>
      <c r="G6420" t="s">
        <v>22443</v>
      </c>
      <c r="H6420" t="s">
        <v>22452</v>
      </c>
      <c r="I6420" t="s">
        <v>22502</v>
      </c>
      <c r="J6420" t="s">
        <v>22937</v>
      </c>
      <c r="K6420" t="s">
        <v>29338</v>
      </c>
      <c r="M6420" t="s">
        <v>30482</v>
      </c>
      <c r="N6420" t="s">
        <v>32524</v>
      </c>
      <c r="O6420" t="s">
        <v>32525</v>
      </c>
      <c r="P6420">
        <v>0</v>
      </c>
      <c r="Q6420">
        <v>5</v>
      </c>
      <c r="R6420" t="s">
        <v>32532</v>
      </c>
      <c r="S6420" t="s">
        <v>32616</v>
      </c>
      <c r="T6420" t="s">
        <v>33327</v>
      </c>
      <c r="U6420" t="s">
        <v>38853</v>
      </c>
      <c r="W6420" t="s">
        <v>30482</v>
      </c>
      <c r="X6420" t="s">
        <v>32533</v>
      </c>
    </row>
    <row r="6421" spans="1:24">
      <c r="A6421">
        <f>HYPERLINK("https://www.philgeps.gov.ph/GEPSNONPILOT/Tender/SplashBidNoticeAbstractUI.aspx?menuIndex=3&amp;refID=7036315&amp;Result=3","7036315")</f>
        <v>0</v>
      </c>
      <c r="B6421" t="s">
        <v>346</v>
      </c>
      <c r="C6421" t="s">
        <v>8825</v>
      </c>
      <c r="D6421" t="s">
        <v>13041</v>
      </c>
      <c r="E6421" t="s">
        <v>8835</v>
      </c>
      <c r="F6421" t="s">
        <v>22436</v>
      </c>
      <c r="G6421" t="s">
        <v>22444</v>
      </c>
      <c r="H6421" t="s">
        <v>22452</v>
      </c>
      <c r="I6421" t="s">
        <v>22456</v>
      </c>
      <c r="J6421" t="s">
        <v>25999</v>
      </c>
      <c r="K6421" t="s">
        <v>29336</v>
      </c>
      <c r="M6421" t="s">
        <v>29922</v>
      </c>
      <c r="N6421" t="s">
        <v>32524</v>
      </c>
      <c r="O6421" t="s">
        <v>32525</v>
      </c>
      <c r="P6421">
        <v>0</v>
      </c>
      <c r="Q6421">
        <v>1</v>
      </c>
      <c r="R6421" t="s">
        <v>32532</v>
      </c>
      <c r="S6421" t="s">
        <v>32616</v>
      </c>
      <c r="T6421" t="s">
        <v>33154</v>
      </c>
      <c r="U6421" t="s">
        <v>39031</v>
      </c>
      <c r="W6421" t="s">
        <v>29922</v>
      </c>
      <c r="X6421" t="s">
        <v>32533</v>
      </c>
    </row>
    <row r="6422" spans="1:24">
      <c r="A6422">
        <f>HYPERLINK("https://www.philgeps.gov.ph/GEPSNONPILOT/Tender/SplashBidNoticeAbstractUI.aspx?menuIndex=3&amp;refID=7036276&amp;Result=3","7036276")</f>
        <v>0</v>
      </c>
      <c r="B6422" t="s">
        <v>1951</v>
      </c>
      <c r="C6422" t="s">
        <v>8826</v>
      </c>
      <c r="D6422" t="s">
        <v>13065</v>
      </c>
      <c r="E6422" t="s">
        <v>13278</v>
      </c>
      <c r="F6422" t="s">
        <v>22436</v>
      </c>
      <c r="G6422" t="s">
        <v>22444</v>
      </c>
      <c r="H6422" t="s">
        <v>22454</v>
      </c>
      <c r="I6422" t="s">
        <v>7738</v>
      </c>
      <c r="J6422" t="s">
        <v>26774</v>
      </c>
      <c r="K6422" t="s">
        <v>29440</v>
      </c>
      <c r="M6422" t="s">
        <v>31681</v>
      </c>
      <c r="N6422" t="s">
        <v>32524</v>
      </c>
      <c r="O6422" t="s">
        <v>32525</v>
      </c>
      <c r="P6422">
        <v>0</v>
      </c>
      <c r="Q6422">
        <v>0</v>
      </c>
      <c r="R6422" t="s">
        <v>32532</v>
      </c>
      <c r="S6422" t="s">
        <v>32616</v>
      </c>
      <c r="T6422" t="s">
        <v>33522</v>
      </c>
      <c r="U6422" t="s">
        <v>39032</v>
      </c>
      <c r="W6422" t="s">
        <v>31681</v>
      </c>
      <c r="X6422" t="s">
        <v>32533</v>
      </c>
    </row>
    <row r="6423" spans="1:24">
      <c r="A6423">
        <f>HYPERLINK("https://www.philgeps.gov.ph/GEPSNONPILOT/Tender/SplashBidNoticeAbstractUI.aspx?menuIndex=3&amp;refID=7036278&amp;Result=3","7036278")</f>
        <v>0</v>
      </c>
      <c r="B6423" t="s">
        <v>2016</v>
      </c>
      <c r="C6423" t="s">
        <v>8827</v>
      </c>
      <c r="D6423" t="s">
        <v>12988</v>
      </c>
      <c r="E6423" t="s">
        <v>18761</v>
      </c>
      <c r="F6423" t="s">
        <v>22436</v>
      </c>
      <c r="G6423" t="s">
        <v>22444</v>
      </c>
      <c r="H6423" t="s">
        <v>22452</v>
      </c>
      <c r="I6423" t="s">
        <v>2981</v>
      </c>
      <c r="J6423" t="s">
        <v>26775</v>
      </c>
      <c r="K6423" t="s">
        <v>29357</v>
      </c>
      <c r="M6423" t="s">
        <v>31750</v>
      </c>
      <c r="N6423" t="s">
        <v>32524</v>
      </c>
      <c r="O6423" t="s">
        <v>32525</v>
      </c>
      <c r="P6423">
        <v>0</v>
      </c>
      <c r="Q6423">
        <v>0</v>
      </c>
      <c r="R6423" t="s">
        <v>32532</v>
      </c>
      <c r="S6423" t="s">
        <v>32616</v>
      </c>
      <c r="T6423" t="s">
        <v>33372</v>
      </c>
      <c r="U6423" t="s">
        <v>39033</v>
      </c>
      <c r="W6423" t="s">
        <v>31750</v>
      </c>
      <c r="X6423" t="s">
        <v>32533</v>
      </c>
    </row>
    <row r="6424" spans="1:24">
      <c r="A6424">
        <f>HYPERLINK("https://www.philgeps.gov.ph/GEPSNONPILOT/Tender/SplashBidNoticeAbstractUI.aspx?menuIndex=3&amp;refID=7036312&amp;Result=3","7036312")</f>
        <v>0</v>
      </c>
      <c r="B6424" t="s">
        <v>2017</v>
      </c>
      <c r="C6424" t="s">
        <v>8828</v>
      </c>
      <c r="D6424" t="s">
        <v>13018</v>
      </c>
      <c r="E6424" t="s">
        <v>18762</v>
      </c>
      <c r="F6424" t="s">
        <v>22436</v>
      </c>
      <c r="G6424" t="s">
        <v>22443</v>
      </c>
      <c r="H6424" t="s">
        <v>22452</v>
      </c>
      <c r="I6424" t="s">
        <v>22460</v>
      </c>
      <c r="J6424" t="s">
        <v>26776</v>
      </c>
      <c r="K6424" t="s">
        <v>29338</v>
      </c>
      <c r="M6424" t="s">
        <v>31751</v>
      </c>
      <c r="N6424" t="s">
        <v>32524</v>
      </c>
      <c r="O6424" t="s">
        <v>32525</v>
      </c>
      <c r="P6424">
        <v>0</v>
      </c>
      <c r="Q6424">
        <v>1</v>
      </c>
      <c r="R6424" t="s">
        <v>32532</v>
      </c>
      <c r="S6424" t="s">
        <v>32616</v>
      </c>
      <c r="T6424" t="s">
        <v>33304</v>
      </c>
      <c r="U6424" t="s">
        <v>39034</v>
      </c>
      <c r="W6424" t="s">
        <v>31751</v>
      </c>
      <c r="X6424" t="s">
        <v>32533</v>
      </c>
    </row>
    <row r="6425" spans="1:24">
      <c r="A6425">
        <f>HYPERLINK("https://www.philgeps.gov.ph/GEPSNONPILOT/Tender/SplashBidNoticeAbstractUI.aspx?menuIndex=3&amp;refID=7036281&amp;Result=3","7036281")</f>
        <v>0</v>
      </c>
      <c r="B6425" t="s">
        <v>515</v>
      </c>
      <c r="C6425" t="s">
        <v>7472</v>
      </c>
      <c r="D6425" t="s">
        <v>13020</v>
      </c>
      <c r="E6425" t="s">
        <v>18763</v>
      </c>
      <c r="F6425" t="s">
        <v>22436</v>
      </c>
      <c r="G6425" t="s">
        <v>22443</v>
      </c>
      <c r="H6425" t="s">
        <v>22452</v>
      </c>
      <c r="I6425" t="s">
        <v>22463</v>
      </c>
      <c r="J6425" t="s">
        <v>26777</v>
      </c>
      <c r="K6425" t="s">
        <v>29336</v>
      </c>
      <c r="M6425" t="s">
        <v>30099</v>
      </c>
      <c r="N6425" t="s">
        <v>32524</v>
      </c>
      <c r="O6425" t="s">
        <v>32525</v>
      </c>
      <c r="P6425">
        <v>0</v>
      </c>
      <c r="Q6425">
        <v>3</v>
      </c>
      <c r="R6425" t="s">
        <v>32532</v>
      </c>
      <c r="S6425" t="s">
        <v>32616</v>
      </c>
      <c r="T6425" t="s">
        <v>33296</v>
      </c>
      <c r="U6425" t="s">
        <v>39035</v>
      </c>
      <c r="V6425" t="s">
        <v>42963</v>
      </c>
      <c r="W6425" t="s">
        <v>30099</v>
      </c>
      <c r="X6425" t="s">
        <v>32533</v>
      </c>
    </row>
    <row r="6426" spans="1:24">
      <c r="A6426">
        <f>HYPERLINK("https://www.philgeps.gov.ph/GEPSNONPILOT/Tender/SplashBidNoticeAbstractUI.aspx?menuIndex=3&amp;refID=7036314&amp;Result=3","7036314")</f>
        <v>0</v>
      </c>
      <c r="B6426" t="s">
        <v>874</v>
      </c>
      <c r="C6426" t="s">
        <v>8829</v>
      </c>
      <c r="E6426" t="s">
        <v>18764</v>
      </c>
      <c r="F6426" t="s">
        <v>22436</v>
      </c>
      <c r="G6426" t="s">
        <v>22443</v>
      </c>
      <c r="H6426" t="s">
        <v>22452</v>
      </c>
      <c r="I6426" t="s">
        <v>11896</v>
      </c>
      <c r="J6426" t="s">
        <v>26778</v>
      </c>
      <c r="K6426" t="s">
        <v>29338</v>
      </c>
      <c r="M6426" t="s">
        <v>30482</v>
      </c>
      <c r="N6426" t="s">
        <v>32524</v>
      </c>
      <c r="O6426" t="s">
        <v>32525</v>
      </c>
      <c r="P6426">
        <v>0</v>
      </c>
      <c r="Q6426">
        <v>3</v>
      </c>
      <c r="R6426" t="s">
        <v>32532</v>
      </c>
      <c r="S6426" t="s">
        <v>32616</v>
      </c>
      <c r="T6426" t="s">
        <v>33327</v>
      </c>
      <c r="U6426" t="s">
        <v>38853</v>
      </c>
      <c r="W6426" t="s">
        <v>30482</v>
      </c>
      <c r="X6426" t="s">
        <v>32533</v>
      </c>
    </row>
    <row r="6427" spans="1:24">
      <c r="A6427">
        <f>HYPERLINK("https://www.philgeps.gov.ph/GEPSNONPILOT/Tender/SplashBidNoticeAbstractUI.aspx?menuIndex=3&amp;refID=7036313&amp;Result=3","7036313")</f>
        <v>0</v>
      </c>
      <c r="B6427" t="s">
        <v>653</v>
      </c>
      <c r="C6427" t="s">
        <v>8830</v>
      </c>
      <c r="E6427" t="s">
        <v>18765</v>
      </c>
      <c r="F6427" t="s">
        <v>22436</v>
      </c>
      <c r="G6427" t="s">
        <v>22444</v>
      </c>
      <c r="H6427" t="s">
        <v>22454</v>
      </c>
      <c r="I6427" t="s">
        <v>3529</v>
      </c>
      <c r="J6427" t="s">
        <v>26779</v>
      </c>
      <c r="K6427" t="s">
        <v>29338</v>
      </c>
      <c r="M6427" t="s">
        <v>30245</v>
      </c>
      <c r="N6427" t="s">
        <v>32524</v>
      </c>
      <c r="O6427" t="s">
        <v>32525</v>
      </c>
      <c r="P6427">
        <v>0</v>
      </c>
      <c r="Q6427">
        <v>1</v>
      </c>
      <c r="R6427" t="s">
        <v>32532</v>
      </c>
      <c r="S6427" t="s">
        <v>32616</v>
      </c>
      <c r="T6427" t="s">
        <v>33345</v>
      </c>
      <c r="U6427" t="s">
        <v>39036</v>
      </c>
      <c r="W6427" t="s">
        <v>30245</v>
      </c>
      <c r="X6427" t="s">
        <v>32533</v>
      </c>
    </row>
    <row r="6428" spans="1:24">
      <c r="A6428">
        <f>HYPERLINK("https://www.philgeps.gov.ph/GEPSNONPILOT/Tender/SplashBidNoticeAbstractUI.aspx?menuIndex=3&amp;refID=7036311&amp;Result=3","7036311")</f>
        <v>0</v>
      </c>
      <c r="B6428" t="s">
        <v>1030</v>
      </c>
      <c r="C6428" t="s">
        <v>8831</v>
      </c>
      <c r="D6428" t="s">
        <v>12988</v>
      </c>
      <c r="E6428" t="s">
        <v>18766</v>
      </c>
      <c r="F6428" t="s">
        <v>22437</v>
      </c>
      <c r="G6428" t="s">
        <v>22444</v>
      </c>
      <c r="H6428" t="s">
        <v>22452</v>
      </c>
      <c r="I6428" t="s">
        <v>22494</v>
      </c>
      <c r="J6428" t="s">
        <v>22893</v>
      </c>
      <c r="K6428" t="s">
        <v>29335</v>
      </c>
      <c r="M6428" t="s">
        <v>30660</v>
      </c>
      <c r="N6428" t="s">
        <v>32524</v>
      </c>
      <c r="O6428" t="s">
        <v>32525</v>
      </c>
      <c r="P6428">
        <v>0</v>
      </c>
      <c r="Q6428">
        <v>0</v>
      </c>
      <c r="R6428" t="s">
        <v>32532</v>
      </c>
      <c r="S6428" t="s">
        <v>32616</v>
      </c>
      <c r="T6428" t="s">
        <v>33365</v>
      </c>
      <c r="U6428" t="s">
        <v>39037</v>
      </c>
      <c r="V6428" t="s">
        <v>42693</v>
      </c>
      <c r="W6428" t="s">
        <v>30660</v>
      </c>
      <c r="X6428" t="s">
        <v>32533</v>
      </c>
    </row>
    <row r="6429" spans="1:24">
      <c r="A6429">
        <f>HYPERLINK("https://www.philgeps.gov.ph/GEPSNONPILOT/Tender/SplashBidNoticeAbstractUI.aspx?menuIndex=3&amp;refID=7036309&amp;Result=3","7036309")</f>
        <v>0</v>
      </c>
      <c r="B6429" t="s">
        <v>2018</v>
      </c>
      <c r="C6429" t="s">
        <v>8832</v>
      </c>
      <c r="D6429" t="s">
        <v>12999</v>
      </c>
      <c r="E6429" t="s">
        <v>18767</v>
      </c>
      <c r="F6429" t="s">
        <v>22436</v>
      </c>
      <c r="G6429" t="s">
        <v>22444</v>
      </c>
      <c r="H6429" t="s">
        <v>22454</v>
      </c>
      <c r="I6429" t="s">
        <v>7738</v>
      </c>
      <c r="J6429" t="s">
        <v>26780</v>
      </c>
      <c r="K6429" t="s">
        <v>29334</v>
      </c>
      <c r="M6429" t="s">
        <v>31752</v>
      </c>
      <c r="N6429" t="s">
        <v>32524</v>
      </c>
      <c r="O6429" t="s">
        <v>32525</v>
      </c>
      <c r="P6429">
        <v>0</v>
      </c>
      <c r="Q6429">
        <v>0</v>
      </c>
      <c r="R6429" t="s">
        <v>32532</v>
      </c>
      <c r="S6429" t="s">
        <v>32616</v>
      </c>
      <c r="T6429" t="s">
        <v>33397</v>
      </c>
      <c r="U6429" t="s">
        <v>39038</v>
      </c>
      <c r="W6429" t="s">
        <v>31752</v>
      </c>
      <c r="X6429" t="s">
        <v>32533</v>
      </c>
    </row>
    <row r="6430" spans="1:24">
      <c r="A6430">
        <f>HYPERLINK("https://www.philgeps.gov.ph/GEPSNONPILOT/Tender/SplashBidNoticeAbstractUI.aspx?menuIndex=3&amp;refID=7036321&amp;Result=3","7036321")</f>
        <v>0</v>
      </c>
      <c r="B6430" t="s">
        <v>874</v>
      </c>
      <c r="C6430" t="s">
        <v>8833</v>
      </c>
      <c r="E6430" t="s">
        <v>18768</v>
      </c>
      <c r="F6430" t="s">
        <v>22436</v>
      </c>
      <c r="G6430" t="s">
        <v>22443</v>
      </c>
      <c r="H6430" t="s">
        <v>22452</v>
      </c>
      <c r="I6430" t="s">
        <v>22502</v>
      </c>
      <c r="J6430" t="s">
        <v>26781</v>
      </c>
      <c r="K6430" t="s">
        <v>29338</v>
      </c>
      <c r="M6430" t="s">
        <v>30482</v>
      </c>
      <c r="N6430" t="s">
        <v>32524</v>
      </c>
      <c r="O6430" t="s">
        <v>32525</v>
      </c>
      <c r="P6430">
        <v>0</v>
      </c>
      <c r="Q6430">
        <v>8</v>
      </c>
      <c r="R6430" t="s">
        <v>32532</v>
      </c>
      <c r="S6430" t="s">
        <v>32616</v>
      </c>
      <c r="T6430" t="s">
        <v>33327</v>
      </c>
      <c r="U6430" t="s">
        <v>38853</v>
      </c>
      <c r="W6430" t="s">
        <v>30482</v>
      </c>
      <c r="X6430" t="s">
        <v>32533</v>
      </c>
    </row>
    <row r="6431" spans="1:24">
      <c r="A6431">
        <f>HYPERLINK("https://www.philgeps.gov.ph/GEPSNONPILOT/Tender/SplashBidNoticeAbstractUI.aspx?menuIndex=3&amp;refID=7036300&amp;Result=3","7036300")</f>
        <v>0</v>
      </c>
      <c r="B6431" t="s">
        <v>2019</v>
      </c>
      <c r="C6431" t="s">
        <v>8834</v>
      </c>
      <c r="D6431" t="s">
        <v>13038</v>
      </c>
      <c r="E6431" t="s">
        <v>18769</v>
      </c>
      <c r="F6431" t="s">
        <v>22436</v>
      </c>
      <c r="G6431" t="s">
        <v>22446</v>
      </c>
      <c r="H6431" t="s">
        <v>22452</v>
      </c>
      <c r="I6431" t="s">
        <v>22476</v>
      </c>
      <c r="J6431" t="s">
        <v>24018</v>
      </c>
      <c r="K6431" t="s">
        <v>29341</v>
      </c>
      <c r="M6431" t="s">
        <v>31753</v>
      </c>
      <c r="N6431" t="s">
        <v>32524</v>
      </c>
      <c r="O6431" t="s">
        <v>32525</v>
      </c>
      <c r="P6431">
        <v>0</v>
      </c>
      <c r="Q6431">
        <v>0</v>
      </c>
      <c r="R6431" t="s">
        <v>32532</v>
      </c>
      <c r="S6431" t="s">
        <v>32616</v>
      </c>
      <c r="T6431" t="s">
        <v>33322</v>
      </c>
      <c r="U6431" t="s">
        <v>39039</v>
      </c>
      <c r="W6431" t="s">
        <v>31753</v>
      </c>
      <c r="X6431" t="s">
        <v>32533</v>
      </c>
    </row>
    <row r="6432" spans="1:24">
      <c r="A6432">
        <f>HYPERLINK("https://www.philgeps.gov.ph/GEPSNONPILOT/Tender/SplashBidNoticeAbstractUI.aspx?menuIndex=3&amp;refID=7036284&amp;Result=3","7036284")</f>
        <v>0</v>
      </c>
      <c r="B6432" t="s">
        <v>346</v>
      </c>
      <c r="C6432" t="s">
        <v>8835</v>
      </c>
      <c r="D6432" t="s">
        <v>13041</v>
      </c>
      <c r="E6432" t="s">
        <v>13320</v>
      </c>
      <c r="F6432" t="s">
        <v>22436</v>
      </c>
      <c r="G6432" t="s">
        <v>22444</v>
      </c>
      <c r="H6432" t="s">
        <v>22452</v>
      </c>
      <c r="I6432" t="s">
        <v>22472</v>
      </c>
      <c r="J6432" t="s">
        <v>26782</v>
      </c>
      <c r="K6432" t="s">
        <v>29336</v>
      </c>
      <c r="M6432" t="s">
        <v>29922</v>
      </c>
      <c r="N6432" t="s">
        <v>32524</v>
      </c>
      <c r="O6432" t="s">
        <v>32525</v>
      </c>
      <c r="P6432">
        <v>0</v>
      </c>
      <c r="Q6432">
        <v>1</v>
      </c>
      <c r="R6432" t="s">
        <v>32532</v>
      </c>
      <c r="S6432" t="s">
        <v>32616</v>
      </c>
      <c r="T6432" t="s">
        <v>33154</v>
      </c>
      <c r="U6432" t="s">
        <v>39040</v>
      </c>
      <c r="W6432" t="s">
        <v>29922</v>
      </c>
      <c r="X6432" t="s">
        <v>32533</v>
      </c>
    </row>
    <row r="6433" spans="1:24">
      <c r="A6433">
        <f>HYPERLINK("https://www.philgeps.gov.ph/GEPSNONPILOT/Tender/SplashBidNoticeAbstractUI.aspx?menuIndex=3&amp;refID=7036318&amp;Result=3","7036318")</f>
        <v>0</v>
      </c>
      <c r="B6433" t="s">
        <v>1986</v>
      </c>
      <c r="C6433" t="s">
        <v>8836</v>
      </c>
      <c r="D6433" t="s">
        <v>13003</v>
      </c>
      <c r="E6433" t="s">
        <v>14933</v>
      </c>
      <c r="F6433" t="s">
        <v>22436</v>
      </c>
      <c r="G6433" t="s">
        <v>22443</v>
      </c>
      <c r="H6433" t="s">
        <v>22452</v>
      </c>
      <c r="I6433" t="s">
        <v>22468</v>
      </c>
      <c r="J6433" t="s">
        <v>26783</v>
      </c>
      <c r="K6433" t="s">
        <v>29337</v>
      </c>
      <c r="M6433" t="s">
        <v>31718</v>
      </c>
      <c r="N6433" t="s">
        <v>32524</v>
      </c>
      <c r="O6433" t="s">
        <v>32525</v>
      </c>
      <c r="P6433">
        <v>0</v>
      </c>
      <c r="Q6433">
        <v>0</v>
      </c>
      <c r="R6433" t="s">
        <v>32532</v>
      </c>
      <c r="S6433" t="s">
        <v>32616</v>
      </c>
      <c r="T6433" t="s">
        <v>33190</v>
      </c>
      <c r="U6433" t="s">
        <v>39041</v>
      </c>
      <c r="V6433" t="s">
        <v>43138</v>
      </c>
      <c r="W6433" t="s">
        <v>31718</v>
      </c>
      <c r="X6433" t="s">
        <v>32533</v>
      </c>
    </row>
    <row r="6434" spans="1:24">
      <c r="A6434">
        <f>HYPERLINK("https://www.philgeps.gov.ph/GEPSNONPILOT/Tender/SplashBidNoticeAbstractUI.aspx?menuIndex=3&amp;refID=7036292&amp;Result=3","7036292")</f>
        <v>0</v>
      </c>
      <c r="B6434" t="s">
        <v>2020</v>
      </c>
      <c r="C6434" t="s">
        <v>8837</v>
      </c>
      <c r="D6434" t="s">
        <v>12988</v>
      </c>
      <c r="E6434" t="s">
        <v>18770</v>
      </c>
      <c r="F6434" t="s">
        <v>22436</v>
      </c>
      <c r="G6434" t="s">
        <v>22444</v>
      </c>
      <c r="H6434" t="s">
        <v>22452</v>
      </c>
      <c r="I6434" t="s">
        <v>2981</v>
      </c>
      <c r="J6434" t="s">
        <v>22979</v>
      </c>
      <c r="K6434" t="s">
        <v>29357</v>
      </c>
      <c r="M6434" t="s">
        <v>31754</v>
      </c>
      <c r="N6434" t="s">
        <v>32524</v>
      </c>
      <c r="O6434" t="s">
        <v>32525</v>
      </c>
      <c r="P6434">
        <v>0</v>
      </c>
      <c r="Q6434">
        <v>0</v>
      </c>
      <c r="R6434" t="s">
        <v>32532</v>
      </c>
      <c r="S6434" t="s">
        <v>32616</v>
      </c>
      <c r="T6434" t="s">
        <v>33372</v>
      </c>
      <c r="U6434" t="s">
        <v>39042</v>
      </c>
      <c r="W6434" t="s">
        <v>31754</v>
      </c>
      <c r="X6434" t="s">
        <v>32533</v>
      </c>
    </row>
    <row r="6435" spans="1:24">
      <c r="A6435">
        <f>HYPERLINK("https://www.philgeps.gov.ph/GEPSNONPILOT/Tender/SplashBidNoticeAbstractUI.aspx?menuIndex=3&amp;refID=7036325&amp;Result=3","7036325")</f>
        <v>0</v>
      </c>
      <c r="B6435" t="s">
        <v>346</v>
      </c>
      <c r="C6435" t="s">
        <v>8838</v>
      </c>
      <c r="D6435" t="s">
        <v>13041</v>
      </c>
      <c r="E6435" t="s">
        <v>18771</v>
      </c>
      <c r="F6435" t="s">
        <v>22436</v>
      </c>
      <c r="G6435" t="s">
        <v>22444</v>
      </c>
      <c r="H6435" t="s">
        <v>22452</v>
      </c>
      <c r="I6435" t="s">
        <v>2981</v>
      </c>
      <c r="J6435" t="s">
        <v>26784</v>
      </c>
      <c r="K6435" t="s">
        <v>29336</v>
      </c>
      <c r="M6435" t="s">
        <v>29922</v>
      </c>
      <c r="N6435" t="s">
        <v>32524</v>
      </c>
      <c r="O6435" t="s">
        <v>32525</v>
      </c>
      <c r="P6435">
        <v>0</v>
      </c>
      <c r="Q6435">
        <v>1</v>
      </c>
      <c r="R6435" t="s">
        <v>32532</v>
      </c>
      <c r="S6435" t="s">
        <v>32616</v>
      </c>
      <c r="T6435" t="s">
        <v>33154</v>
      </c>
      <c r="U6435" t="s">
        <v>39043</v>
      </c>
      <c r="W6435" t="s">
        <v>29922</v>
      </c>
      <c r="X6435" t="s">
        <v>32533</v>
      </c>
    </row>
    <row r="6436" spans="1:24">
      <c r="A6436">
        <f>HYPERLINK("https://www.philgeps.gov.ph/GEPSNONPILOT/Tender/SplashBidNoticeAbstractUI.aspx?menuIndex=3&amp;refID=7036288&amp;Result=3","7036288")</f>
        <v>0</v>
      </c>
      <c r="B6436" t="s">
        <v>2021</v>
      </c>
      <c r="C6436" t="s">
        <v>8839</v>
      </c>
      <c r="D6436" t="s">
        <v>13000</v>
      </c>
      <c r="E6436" t="s">
        <v>18772</v>
      </c>
      <c r="F6436" t="s">
        <v>22436</v>
      </c>
      <c r="G6436" t="s">
        <v>22443</v>
      </c>
      <c r="H6436" t="s">
        <v>22452</v>
      </c>
      <c r="I6436" t="s">
        <v>22471</v>
      </c>
      <c r="J6436" t="s">
        <v>26785</v>
      </c>
      <c r="K6436" t="s">
        <v>29336</v>
      </c>
      <c r="M6436" t="s">
        <v>31755</v>
      </c>
      <c r="N6436" t="s">
        <v>32524</v>
      </c>
      <c r="O6436" t="s">
        <v>32525</v>
      </c>
      <c r="P6436">
        <v>0</v>
      </c>
      <c r="Q6436">
        <v>6</v>
      </c>
      <c r="R6436" t="s">
        <v>32532</v>
      </c>
      <c r="S6436" t="s">
        <v>32616</v>
      </c>
      <c r="T6436" t="s">
        <v>33401</v>
      </c>
      <c r="U6436" t="s">
        <v>39044</v>
      </c>
      <c r="W6436" t="s">
        <v>31755</v>
      </c>
      <c r="X6436" t="s">
        <v>32533</v>
      </c>
    </row>
    <row r="6437" spans="1:24">
      <c r="A6437">
        <f>HYPERLINK("https://www.philgeps.gov.ph/GEPSNONPILOT/Tender/SplashBidNoticeAbstractUI.aspx?menuIndex=3&amp;refID=7036324&amp;Result=3","7036324")</f>
        <v>0</v>
      </c>
      <c r="B6437" t="s">
        <v>1985</v>
      </c>
      <c r="C6437" t="s">
        <v>8840</v>
      </c>
      <c r="D6437" t="s">
        <v>12994</v>
      </c>
      <c r="E6437" t="s">
        <v>18773</v>
      </c>
      <c r="F6437" t="s">
        <v>22436</v>
      </c>
      <c r="G6437" t="s">
        <v>22444</v>
      </c>
      <c r="H6437" t="s">
        <v>22454</v>
      </c>
      <c r="I6437" t="s">
        <v>7738</v>
      </c>
      <c r="J6437" t="s">
        <v>26786</v>
      </c>
      <c r="K6437" t="s">
        <v>29329</v>
      </c>
      <c r="M6437" t="s">
        <v>31717</v>
      </c>
      <c r="N6437" t="s">
        <v>32524</v>
      </c>
      <c r="O6437" t="s">
        <v>32525</v>
      </c>
      <c r="P6437">
        <v>0</v>
      </c>
      <c r="Q6437">
        <v>1</v>
      </c>
      <c r="R6437" t="s">
        <v>32532</v>
      </c>
      <c r="S6437" t="s">
        <v>32616</v>
      </c>
      <c r="T6437" t="s">
        <v>33304</v>
      </c>
      <c r="U6437" t="s">
        <v>39045</v>
      </c>
      <c r="W6437" t="s">
        <v>31717</v>
      </c>
      <c r="X6437" t="s">
        <v>32533</v>
      </c>
    </row>
    <row r="6438" spans="1:24">
      <c r="A6438">
        <f>HYPERLINK("https://www.philgeps.gov.ph/GEPSNONPILOT/Tender/SplashBidNoticeAbstractUI.aspx?menuIndex=3&amp;refID=7036348&amp;Result=3","7036348")</f>
        <v>0</v>
      </c>
      <c r="B6438" t="s">
        <v>874</v>
      </c>
      <c r="C6438" t="s">
        <v>8841</v>
      </c>
      <c r="E6438" t="s">
        <v>18774</v>
      </c>
      <c r="F6438" t="s">
        <v>22436</v>
      </c>
      <c r="G6438" t="s">
        <v>22443</v>
      </c>
      <c r="H6438" t="s">
        <v>22452</v>
      </c>
      <c r="I6438" t="s">
        <v>22466</v>
      </c>
      <c r="J6438" t="s">
        <v>22695</v>
      </c>
      <c r="K6438" t="s">
        <v>29338</v>
      </c>
      <c r="M6438" t="s">
        <v>30482</v>
      </c>
      <c r="N6438" t="s">
        <v>32524</v>
      </c>
      <c r="O6438" t="s">
        <v>32525</v>
      </c>
      <c r="P6438">
        <v>0</v>
      </c>
      <c r="Q6438">
        <v>1</v>
      </c>
      <c r="R6438" t="s">
        <v>32532</v>
      </c>
      <c r="S6438" t="s">
        <v>32616</v>
      </c>
      <c r="T6438" t="s">
        <v>33327</v>
      </c>
      <c r="U6438" t="s">
        <v>38853</v>
      </c>
      <c r="W6438" t="s">
        <v>30482</v>
      </c>
      <c r="X6438" t="s">
        <v>32533</v>
      </c>
    </row>
    <row r="6439" spans="1:24">
      <c r="A6439">
        <f>HYPERLINK("https://www.philgeps.gov.ph/GEPSNONPILOT/Tender/SplashBidNoticeAbstractUI.aspx?menuIndex=3&amp;refID=7036323&amp;Result=3","7036323")</f>
        <v>0</v>
      </c>
      <c r="B6439" t="s">
        <v>2022</v>
      </c>
      <c r="C6439" t="s">
        <v>4471</v>
      </c>
      <c r="D6439" t="s">
        <v>12990</v>
      </c>
      <c r="E6439" t="s">
        <v>14777</v>
      </c>
      <c r="F6439" t="s">
        <v>22436</v>
      </c>
      <c r="G6439" t="s">
        <v>22444</v>
      </c>
      <c r="H6439" t="s">
        <v>22452</v>
      </c>
      <c r="I6439" t="s">
        <v>2981</v>
      </c>
      <c r="J6439" t="s">
        <v>22893</v>
      </c>
      <c r="K6439" t="s">
        <v>29338</v>
      </c>
      <c r="M6439" t="s">
        <v>31756</v>
      </c>
      <c r="N6439" t="s">
        <v>32524</v>
      </c>
      <c r="O6439" t="s">
        <v>32525</v>
      </c>
      <c r="P6439">
        <v>0</v>
      </c>
      <c r="Q6439">
        <v>0</v>
      </c>
      <c r="R6439" t="s">
        <v>32532</v>
      </c>
      <c r="S6439" t="s">
        <v>32616</v>
      </c>
      <c r="T6439" t="s">
        <v>33310</v>
      </c>
      <c r="U6439" t="s">
        <v>39046</v>
      </c>
      <c r="W6439" t="s">
        <v>31756</v>
      </c>
      <c r="X6439" t="s">
        <v>32533</v>
      </c>
    </row>
    <row r="6440" spans="1:24">
      <c r="A6440">
        <f>HYPERLINK("https://www.philgeps.gov.ph/GEPSNONPILOT/Tender/SplashBidNoticeAbstractUI.aspx?menuIndex=3&amp;refID=7036341&amp;Result=3","7036341")</f>
        <v>0</v>
      </c>
      <c r="B6440" t="s">
        <v>874</v>
      </c>
      <c r="C6440" t="s">
        <v>8842</v>
      </c>
      <c r="E6440" t="s">
        <v>18775</v>
      </c>
      <c r="F6440" t="s">
        <v>22436</v>
      </c>
      <c r="G6440" t="s">
        <v>22443</v>
      </c>
      <c r="H6440" t="s">
        <v>22452</v>
      </c>
      <c r="I6440" t="s">
        <v>22482</v>
      </c>
      <c r="J6440" t="s">
        <v>23929</v>
      </c>
      <c r="K6440" t="s">
        <v>29338</v>
      </c>
      <c r="M6440" t="s">
        <v>30482</v>
      </c>
      <c r="N6440" t="s">
        <v>32524</v>
      </c>
      <c r="O6440" t="s">
        <v>32525</v>
      </c>
      <c r="P6440">
        <v>0</v>
      </c>
      <c r="Q6440">
        <v>8</v>
      </c>
      <c r="R6440" t="s">
        <v>32532</v>
      </c>
      <c r="S6440" t="s">
        <v>32616</v>
      </c>
      <c r="T6440" t="s">
        <v>33327</v>
      </c>
      <c r="U6440" t="s">
        <v>38853</v>
      </c>
      <c r="W6440" t="s">
        <v>30482</v>
      </c>
      <c r="X6440" t="s">
        <v>32533</v>
      </c>
    </row>
    <row r="6441" spans="1:24">
      <c r="A6441">
        <f>HYPERLINK("https://www.philgeps.gov.ph/GEPSNONPILOT/Tender/SplashBidNoticeAbstractUI.aspx?menuIndex=3&amp;refID=7036302&amp;Result=3","7036302")</f>
        <v>0</v>
      </c>
      <c r="B6441" t="s">
        <v>346</v>
      </c>
      <c r="C6441" t="s">
        <v>8843</v>
      </c>
      <c r="D6441" t="s">
        <v>13041</v>
      </c>
      <c r="E6441" t="s">
        <v>18776</v>
      </c>
      <c r="F6441" t="s">
        <v>22436</v>
      </c>
      <c r="G6441" t="s">
        <v>22444</v>
      </c>
      <c r="H6441" t="s">
        <v>22452</v>
      </c>
      <c r="I6441" t="s">
        <v>6421</v>
      </c>
      <c r="J6441" t="s">
        <v>26787</v>
      </c>
      <c r="K6441" t="s">
        <v>29336</v>
      </c>
      <c r="M6441" t="s">
        <v>29922</v>
      </c>
      <c r="N6441" t="s">
        <v>32524</v>
      </c>
      <c r="O6441" t="s">
        <v>32525</v>
      </c>
      <c r="P6441">
        <v>0</v>
      </c>
      <c r="Q6441">
        <v>0</v>
      </c>
      <c r="R6441" t="s">
        <v>32532</v>
      </c>
      <c r="S6441" t="s">
        <v>32616</v>
      </c>
      <c r="T6441" t="s">
        <v>33154</v>
      </c>
      <c r="U6441" t="s">
        <v>39047</v>
      </c>
      <c r="W6441" t="s">
        <v>29922</v>
      </c>
      <c r="X6441" t="s">
        <v>32533</v>
      </c>
    </row>
    <row r="6442" spans="1:24">
      <c r="A6442">
        <f>HYPERLINK("https://www.philgeps.gov.ph/GEPSNONPILOT/Tender/SplashBidNoticeAbstractUI.aspx?menuIndex=3&amp;refID=7036338&amp;Result=3","7036338")</f>
        <v>0</v>
      </c>
      <c r="B6442" t="s">
        <v>346</v>
      </c>
      <c r="C6442" t="s">
        <v>8844</v>
      </c>
      <c r="D6442" t="s">
        <v>13041</v>
      </c>
      <c r="E6442" t="s">
        <v>18777</v>
      </c>
      <c r="F6442" t="s">
        <v>22436</v>
      </c>
      <c r="G6442" t="s">
        <v>22444</v>
      </c>
      <c r="H6442" t="s">
        <v>22452</v>
      </c>
      <c r="I6442" t="s">
        <v>22472</v>
      </c>
      <c r="J6442" t="s">
        <v>26788</v>
      </c>
      <c r="K6442" t="s">
        <v>29336</v>
      </c>
      <c r="M6442" t="s">
        <v>29922</v>
      </c>
      <c r="N6442" t="s">
        <v>32524</v>
      </c>
      <c r="O6442" t="s">
        <v>32525</v>
      </c>
      <c r="P6442">
        <v>0</v>
      </c>
      <c r="Q6442">
        <v>1</v>
      </c>
      <c r="R6442" t="s">
        <v>32532</v>
      </c>
      <c r="S6442" t="s">
        <v>32616</v>
      </c>
      <c r="T6442" t="s">
        <v>33154</v>
      </c>
      <c r="U6442" t="s">
        <v>39048</v>
      </c>
      <c r="W6442" t="s">
        <v>29922</v>
      </c>
      <c r="X6442" t="s">
        <v>32533</v>
      </c>
    </row>
    <row r="6443" spans="1:24">
      <c r="A6443">
        <f>HYPERLINK("https://www.philgeps.gov.ph/GEPSNONPILOT/Tender/SplashBidNoticeAbstractUI.aspx?menuIndex=3&amp;refID=7036340&amp;Result=3","7036340")</f>
        <v>0</v>
      </c>
      <c r="B6443" t="s">
        <v>2023</v>
      </c>
      <c r="C6443" t="s">
        <v>8845</v>
      </c>
      <c r="D6443" t="s">
        <v>13022</v>
      </c>
      <c r="E6443" t="s">
        <v>18778</v>
      </c>
      <c r="F6443" t="s">
        <v>22436</v>
      </c>
      <c r="G6443" t="s">
        <v>22444</v>
      </c>
      <c r="H6443" t="s">
        <v>22452</v>
      </c>
      <c r="I6443" t="s">
        <v>6421</v>
      </c>
      <c r="J6443" t="s">
        <v>26789</v>
      </c>
      <c r="K6443" t="s">
        <v>29341</v>
      </c>
      <c r="M6443" t="s">
        <v>31757</v>
      </c>
      <c r="N6443" t="s">
        <v>32524</v>
      </c>
      <c r="O6443" t="s">
        <v>32525</v>
      </c>
      <c r="P6443">
        <v>0</v>
      </c>
      <c r="Q6443">
        <v>24</v>
      </c>
      <c r="R6443" t="s">
        <v>32532</v>
      </c>
      <c r="S6443" t="s">
        <v>32616</v>
      </c>
      <c r="T6443" t="s">
        <v>33345</v>
      </c>
      <c r="U6443" t="s">
        <v>39049</v>
      </c>
      <c r="W6443" t="s">
        <v>31757</v>
      </c>
      <c r="X6443" t="s">
        <v>32533</v>
      </c>
    </row>
    <row r="6444" spans="1:24">
      <c r="A6444">
        <f>HYPERLINK("https://www.philgeps.gov.ph/GEPSNONPILOT/Tender/SplashBidNoticeAbstractUI.aspx?menuIndex=3&amp;refID=7036342&amp;Result=3","7036342")</f>
        <v>0</v>
      </c>
      <c r="B6444" t="s">
        <v>1030</v>
      </c>
      <c r="C6444" t="s">
        <v>8846</v>
      </c>
      <c r="D6444" t="s">
        <v>12988</v>
      </c>
      <c r="E6444" t="s">
        <v>18779</v>
      </c>
      <c r="F6444" t="s">
        <v>22437</v>
      </c>
      <c r="G6444" t="s">
        <v>22444</v>
      </c>
      <c r="H6444" t="s">
        <v>22452</v>
      </c>
      <c r="I6444" t="s">
        <v>22494</v>
      </c>
      <c r="J6444" t="s">
        <v>23356</v>
      </c>
      <c r="K6444" t="s">
        <v>29335</v>
      </c>
      <c r="M6444" t="s">
        <v>30660</v>
      </c>
      <c r="N6444" t="s">
        <v>32524</v>
      </c>
      <c r="O6444" t="s">
        <v>32525</v>
      </c>
      <c r="P6444">
        <v>0</v>
      </c>
      <c r="Q6444">
        <v>0</v>
      </c>
      <c r="R6444" t="s">
        <v>32532</v>
      </c>
      <c r="S6444" t="s">
        <v>32616</v>
      </c>
      <c r="T6444" t="s">
        <v>33187</v>
      </c>
      <c r="U6444" t="s">
        <v>39050</v>
      </c>
      <c r="V6444" t="s">
        <v>42693</v>
      </c>
      <c r="W6444" t="s">
        <v>30660</v>
      </c>
      <c r="X6444" t="s">
        <v>32533</v>
      </c>
    </row>
    <row r="6445" spans="1:24">
      <c r="A6445">
        <f>HYPERLINK("https://www.philgeps.gov.ph/GEPSNONPILOT/Tender/SplashBidNoticeAbstractUI.aspx?menuIndex=3&amp;refID=7036344&amp;Result=3","7036344")</f>
        <v>0</v>
      </c>
      <c r="B6445" t="s">
        <v>2019</v>
      </c>
      <c r="C6445" t="s">
        <v>8847</v>
      </c>
      <c r="D6445" t="s">
        <v>13038</v>
      </c>
      <c r="E6445" t="s">
        <v>18780</v>
      </c>
      <c r="F6445" t="s">
        <v>22436</v>
      </c>
      <c r="G6445" t="s">
        <v>22446</v>
      </c>
      <c r="H6445" t="s">
        <v>22452</v>
      </c>
      <c r="I6445" t="s">
        <v>5194</v>
      </c>
      <c r="J6445" t="s">
        <v>26790</v>
      </c>
      <c r="K6445" t="s">
        <v>29341</v>
      </c>
      <c r="M6445" t="s">
        <v>31753</v>
      </c>
      <c r="N6445" t="s">
        <v>32524</v>
      </c>
      <c r="O6445" t="s">
        <v>32525</v>
      </c>
      <c r="P6445">
        <v>0</v>
      </c>
      <c r="Q6445">
        <v>0</v>
      </c>
      <c r="R6445" t="s">
        <v>32532</v>
      </c>
      <c r="S6445" t="s">
        <v>32616</v>
      </c>
      <c r="T6445" t="s">
        <v>33322</v>
      </c>
      <c r="U6445" t="s">
        <v>39051</v>
      </c>
      <c r="W6445" t="s">
        <v>31753</v>
      </c>
      <c r="X6445" t="s">
        <v>32533</v>
      </c>
    </row>
    <row r="6446" spans="1:24">
      <c r="A6446">
        <f>HYPERLINK("https://www.philgeps.gov.ph/GEPSNONPILOT/Tender/SplashBidNoticeAbstractUI.aspx?menuIndex=3&amp;refID=7036333&amp;Result=3","7036333")</f>
        <v>0</v>
      </c>
      <c r="B6446" t="s">
        <v>1761</v>
      </c>
      <c r="C6446" t="s">
        <v>8848</v>
      </c>
      <c r="D6446" t="s">
        <v>12990</v>
      </c>
      <c r="E6446" t="s">
        <v>18781</v>
      </c>
      <c r="F6446" t="s">
        <v>22436</v>
      </c>
      <c r="G6446" t="s">
        <v>22444</v>
      </c>
      <c r="H6446" t="s">
        <v>22452</v>
      </c>
      <c r="I6446" t="s">
        <v>22474</v>
      </c>
      <c r="J6446" t="s">
        <v>26791</v>
      </c>
      <c r="K6446" t="s">
        <v>29341</v>
      </c>
      <c r="M6446" t="s">
        <v>31467</v>
      </c>
      <c r="N6446" t="s">
        <v>32524</v>
      </c>
      <c r="O6446" t="s">
        <v>32525</v>
      </c>
      <c r="P6446">
        <v>0</v>
      </c>
      <c r="Q6446">
        <v>3</v>
      </c>
      <c r="R6446" t="s">
        <v>32532</v>
      </c>
      <c r="S6446" t="s">
        <v>32616</v>
      </c>
      <c r="T6446" t="s">
        <v>33261</v>
      </c>
      <c r="U6446" t="s">
        <v>39052</v>
      </c>
      <c r="W6446" t="s">
        <v>31467</v>
      </c>
      <c r="X6446" t="s">
        <v>32533</v>
      </c>
    </row>
    <row r="6447" spans="1:24">
      <c r="A6447">
        <f>HYPERLINK("https://www.philgeps.gov.ph/GEPSNONPILOT/Tender/SplashBidNoticeAbstractUI.aspx?menuIndex=3&amp;refID=7036294&amp;Result=3","7036294")</f>
        <v>0</v>
      </c>
      <c r="B6447" t="s">
        <v>2024</v>
      </c>
      <c r="C6447" t="s">
        <v>8849</v>
      </c>
      <c r="D6447" t="s">
        <v>12997</v>
      </c>
      <c r="E6447" t="s">
        <v>18782</v>
      </c>
      <c r="F6447" t="s">
        <v>22436</v>
      </c>
      <c r="G6447" t="s">
        <v>22444</v>
      </c>
      <c r="H6447" t="s">
        <v>22453</v>
      </c>
      <c r="I6447" t="s">
        <v>22474</v>
      </c>
      <c r="J6447" t="s">
        <v>23509</v>
      </c>
      <c r="K6447" t="s">
        <v>29335</v>
      </c>
      <c r="M6447" t="s">
        <v>31758</v>
      </c>
      <c r="N6447" t="s">
        <v>32524</v>
      </c>
      <c r="O6447" t="s">
        <v>32525</v>
      </c>
      <c r="P6447">
        <v>0</v>
      </c>
      <c r="Q6447">
        <v>0</v>
      </c>
      <c r="R6447" t="s">
        <v>32532</v>
      </c>
      <c r="S6447" t="s">
        <v>32616</v>
      </c>
      <c r="T6447" t="s">
        <v>33249</v>
      </c>
      <c r="U6447" t="s">
        <v>39053</v>
      </c>
      <c r="W6447" t="s">
        <v>31758</v>
      </c>
      <c r="X6447" t="s">
        <v>32533</v>
      </c>
    </row>
    <row r="6448" spans="1:24">
      <c r="A6448">
        <f>HYPERLINK("https://www.philgeps.gov.ph/GEPSNONPILOT/Tender/SplashBidNoticeAbstractUI.aspx?menuIndex=3&amp;refID=7036345&amp;Result=3","7036345")</f>
        <v>0</v>
      </c>
      <c r="B6448" t="s">
        <v>346</v>
      </c>
      <c r="C6448" t="s">
        <v>8850</v>
      </c>
      <c r="D6448" t="s">
        <v>13041</v>
      </c>
      <c r="E6448" t="s">
        <v>18783</v>
      </c>
      <c r="F6448" t="s">
        <v>22436</v>
      </c>
      <c r="G6448" t="s">
        <v>22444</v>
      </c>
      <c r="H6448" t="s">
        <v>22452</v>
      </c>
      <c r="I6448" t="s">
        <v>3840</v>
      </c>
      <c r="J6448" t="s">
        <v>26792</v>
      </c>
      <c r="K6448" t="s">
        <v>29336</v>
      </c>
      <c r="M6448" t="s">
        <v>29922</v>
      </c>
      <c r="N6448" t="s">
        <v>32524</v>
      </c>
      <c r="O6448" t="s">
        <v>32525</v>
      </c>
      <c r="P6448">
        <v>0</v>
      </c>
      <c r="Q6448">
        <v>1</v>
      </c>
      <c r="R6448" t="s">
        <v>32532</v>
      </c>
      <c r="S6448" t="s">
        <v>32616</v>
      </c>
      <c r="T6448" t="s">
        <v>33154</v>
      </c>
      <c r="U6448" t="s">
        <v>39054</v>
      </c>
      <c r="W6448" t="s">
        <v>29922</v>
      </c>
      <c r="X6448" t="s">
        <v>32533</v>
      </c>
    </row>
    <row r="6449" spans="1:24">
      <c r="A6449">
        <f>HYPERLINK("https://www.philgeps.gov.ph/GEPSNONPILOT/Tender/SplashBidNoticeAbstractUI.aspx?menuIndex=3&amp;refID=7036327&amp;Result=3","7036327")</f>
        <v>0</v>
      </c>
      <c r="B6449" t="s">
        <v>874</v>
      </c>
      <c r="C6449" t="s">
        <v>8851</v>
      </c>
      <c r="E6449" t="s">
        <v>18784</v>
      </c>
      <c r="F6449" t="s">
        <v>22436</v>
      </c>
      <c r="G6449" t="s">
        <v>22443</v>
      </c>
      <c r="H6449" t="s">
        <v>22452</v>
      </c>
      <c r="I6449" t="s">
        <v>22489</v>
      </c>
      <c r="J6449" t="s">
        <v>23929</v>
      </c>
      <c r="K6449" t="s">
        <v>29338</v>
      </c>
      <c r="M6449" t="s">
        <v>30482</v>
      </c>
      <c r="N6449" t="s">
        <v>32524</v>
      </c>
      <c r="O6449" t="s">
        <v>32525</v>
      </c>
      <c r="P6449">
        <v>0</v>
      </c>
      <c r="Q6449">
        <v>2</v>
      </c>
      <c r="R6449" t="s">
        <v>32532</v>
      </c>
      <c r="S6449" t="s">
        <v>32616</v>
      </c>
      <c r="T6449" t="s">
        <v>33327</v>
      </c>
      <c r="U6449" t="s">
        <v>38853</v>
      </c>
      <c r="W6449" t="s">
        <v>30482</v>
      </c>
      <c r="X6449" t="s">
        <v>32533</v>
      </c>
    </row>
    <row r="6450" spans="1:24">
      <c r="A6450">
        <f>HYPERLINK("https://www.philgeps.gov.ph/GEPSNONPILOT/Tender/SplashBidNoticeAbstractUI.aspx?menuIndex=3&amp;refID=7036336&amp;Result=3","7036336")</f>
        <v>0</v>
      </c>
      <c r="B6450" t="s">
        <v>874</v>
      </c>
      <c r="C6450" t="s">
        <v>8852</v>
      </c>
      <c r="E6450" t="s">
        <v>18785</v>
      </c>
      <c r="F6450" t="s">
        <v>22436</v>
      </c>
      <c r="G6450" t="s">
        <v>22445</v>
      </c>
      <c r="H6450" t="s">
        <v>22452</v>
      </c>
      <c r="I6450" t="s">
        <v>22460</v>
      </c>
      <c r="J6450" t="s">
        <v>26793</v>
      </c>
      <c r="K6450" t="s">
        <v>29338</v>
      </c>
      <c r="M6450" t="s">
        <v>30482</v>
      </c>
      <c r="N6450" t="s">
        <v>32524</v>
      </c>
      <c r="O6450" t="s">
        <v>32525</v>
      </c>
      <c r="P6450">
        <v>0</v>
      </c>
      <c r="Q6450">
        <v>4</v>
      </c>
      <c r="R6450" t="s">
        <v>32532</v>
      </c>
      <c r="S6450" t="s">
        <v>32616</v>
      </c>
      <c r="T6450" t="s">
        <v>33327</v>
      </c>
      <c r="U6450" t="s">
        <v>38853</v>
      </c>
      <c r="W6450" t="s">
        <v>30482</v>
      </c>
      <c r="X6450" t="s">
        <v>32533</v>
      </c>
    </row>
    <row r="6451" spans="1:24">
      <c r="A6451">
        <f>HYPERLINK("https://www.philgeps.gov.ph/GEPSNONPILOT/Tender/SplashBidNoticeAbstractUI.aspx?menuIndex=3&amp;refID=7036357&amp;Result=3","7036357")</f>
        <v>0</v>
      </c>
      <c r="B6451" t="s">
        <v>653</v>
      </c>
      <c r="C6451" t="s">
        <v>8853</v>
      </c>
      <c r="E6451" t="s">
        <v>18786</v>
      </c>
      <c r="F6451" t="s">
        <v>22436</v>
      </c>
      <c r="G6451" t="s">
        <v>22443</v>
      </c>
      <c r="H6451" t="s">
        <v>22452</v>
      </c>
      <c r="I6451" t="s">
        <v>22481</v>
      </c>
      <c r="J6451" t="s">
        <v>24386</v>
      </c>
      <c r="K6451" t="s">
        <v>29338</v>
      </c>
      <c r="M6451" t="s">
        <v>30245</v>
      </c>
      <c r="N6451" t="s">
        <v>32524</v>
      </c>
      <c r="O6451" t="s">
        <v>32525</v>
      </c>
      <c r="P6451">
        <v>0</v>
      </c>
      <c r="Q6451">
        <v>0</v>
      </c>
      <c r="R6451" t="s">
        <v>32532</v>
      </c>
      <c r="S6451" t="s">
        <v>32616</v>
      </c>
      <c r="T6451" t="s">
        <v>33296</v>
      </c>
      <c r="U6451" t="s">
        <v>39055</v>
      </c>
      <c r="W6451" t="s">
        <v>30245</v>
      </c>
      <c r="X6451" t="s">
        <v>32533</v>
      </c>
    </row>
    <row r="6452" spans="1:24">
      <c r="A6452">
        <f>HYPERLINK("https://www.philgeps.gov.ph/GEPSNONPILOT/Tender/SplashBidNoticeAbstractUI.aspx?menuIndex=3&amp;refID=7036365&amp;Result=3","7036365")</f>
        <v>0</v>
      </c>
      <c r="B6452" t="s">
        <v>1030</v>
      </c>
      <c r="C6452" t="s">
        <v>8854</v>
      </c>
      <c r="D6452" t="s">
        <v>12988</v>
      </c>
      <c r="E6452" t="s">
        <v>18787</v>
      </c>
      <c r="F6452" t="s">
        <v>22437</v>
      </c>
      <c r="G6452" t="s">
        <v>22444</v>
      </c>
      <c r="H6452" t="s">
        <v>22452</v>
      </c>
      <c r="I6452" t="s">
        <v>22494</v>
      </c>
      <c r="J6452" t="s">
        <v>23093</v>
      </c>
      <c r="K6452" t="s">
        <v>29335</v>
      </c>
      <c r="M6452" t="s">
        <v>30660</v>
      </c>
      <c r="N6452" t="s">
        <v>32524</v>
      </c>
      <c r="O6452" t="s">
        <v>32525</v>
      </c>
      <c r="P6452">
        <v>0</v>
      </c>
      <c r="Q6452">
        <v>0</v>
      </c>
      <c r="R6452" t="s">
        <v>32532</v>
      </c>
      <c r="S6452" t="s">
        <v>32616</v>
      </c>
      <c r="T6452" t="s">
        <v>33244</v>
      </c>
      <c r="U6452" t="s">
        <v>39056</v>
      </c>
      <c r="V6452" t="s">
        <v>42693</v>
      </c>
      <c r="W6452" t="s">
        <v>30660</v>
      </c>
      <c r="X6452" t="s">
        <v>32533</v>
      </c>
    </row>
    <row r="6453" spans="1:24">
      <c r="A6453">
        <f>HYPERLINK("https://www.philgeps.gov.ph/GEPSNONPILOT/Tender/SplashBidNoticeAbstractUI.aspx?menuIndex=3&amp;refID=7036330&amp;Result=3","7036330")</f>
        <v>0</v>
      </c>
      <c r="B6453" t="s">
        <v>2019</v>
      </c>
      <c r="C6453" t="s">
        <v>8855</v>
      </c>
      <c r="D6453" t="s">
        <v>13038</v>
      </c>
      <c r="E6453" t="s">
        <v>18788</v>
      </c>
      <c r="F6453" t="s">
        <v>22436</v>
      </c>
      <c r="G6453" t="s">
        <v>22446</v>
      </c>
      <c r="H6453" t="s">
        <v>22452</v>
      </c>
      <c r="I6453" t="s">
        <v>5194</v>
      </c>
      <c r="J6453" t="s">
        <v>26794</v>
      </c>
      <c r="K6453" t="s">
        <v>29341</v>
      </c>
      <c r="M6453" t="s">
        <v>31753</v>
      </c>
      <c r="N6453" t="s">
        <v>32524</v>
      </c>
      <c r="O6453" t="s">
        <v>32525</v>
      </c>
      <c r="P6453">
        <v>0</v>
      </c>
      <c r="Q6453">
        <v>2</v>
      </c>
      <c r="R6453" t="s">
        <v>32532</v>
      </c>
      <c r="S6453" t="s">
        <v>32616</v>
      </c>
      <c r="T6453" t="s">
        <v>33322</v>
      </c>
      <c r="U6453" t="s">
        <v>39057</v>
      </c>
      <c r="W6453" t="s">
        <v>31753</v>
      </c>
      <c r="X6453" t="s">
        <v>32533</v>
      </c>
    </row>
    <row r="6454" spans="1:24">
      <c r="A6454">
        <f>HYPERLINK("https://www.philgeps.gov.ph/GEPSNONPILOT/Tender/SplashBidNoticeAbstractUI.aspx?menuIndex=3&amp;refID=7036362&amp;Result=3","7036362")</f>
        <v>0</v>
      </c>
      <c r="B6454" t="s">
        <v>2018</v>
      </c>
      <c r="C6454" t="s">
        <v>8856</v>
      </c>
      <c r="D6454" t="s">
        <v>12999</v>
      </c>
      <c r="E6454" t="s">
        <v>18789</v>
      </c>
      <c r="F6454" t="s">
        <v>22436</v>
      </c>
      <c r="G6454" t="s">
        <v>22444</v>
      </c>
      <c r="H6454" t="s">
        <v>22454</v>
      </c>
      <c r="I6454" t="s">
        <v>7738</v>
      </c>
      <c r="J6454" t="s">
        <v>26795</v>
      </c>
      <c r="K6454" t="s">
        <v>29334</v>
      </c>
      <c r="M6454" t="s">
        <v>31752</v>
      </c>
      <c r="N6454" t="s">
        <v>32524</v>
      </c>
      <c r="O6454" t="s">
        <v>32525</v>
      </c>
      <c r="P6454">
        <v>0</v>
      </c>
      <c r="Q6454">
        <v>0</v>
      </c>
      <c r="R6454" t="s">
        <v>32532</v>
      </c>
      <c r="S6454" t="s">
        <v>32616</v>
      </c>
      <c r="T6454" t="s">
        <v>33397</v>
      </c>
      <c r="U6454" t="s">
        <v>39058</v>
      </c>
      <c r="W6454" t="s">
        <v>31752</v>
      </c>
      <c r="X6454" t="s">
        <v>32533</v>
      </c>
    </row>
    <row r="6455" spans="1:24">
      <c r="A6455">
        <f>HYPERLINK("https://www.philgeps.gov.ph/GEPSNONPILOT/Tender/SplashBidNoticeAbstractUI.aspx?menuIndex=3&amp;refID=7036361&amp;Result=3","7036361")</f>
        <v>0</v>
      </c>
      <c r="B6455" t="s">
        <v>2025</v>
      </c>
      <c r="C6455" t="s">
        <v>8857</v>
      </c>
      <c r="D6455" t="s">
        <v>13016</v>
      </c>
      <c r="E6455" t="s">
        <v>18790</v>
      </c>
      <c r="F6455" t="s">
        <v>22441</v>
      </c>
      <c r="G6455" t="s">
        <v>22443</v>
      </c>
      <c r="H6455" t="s">
        <v>22452</v>
      </c>
      <c r="I6455" t="s">
        <v>22471</v>
      </c>
      <c r="J6455" t="s">
        <v>23120</v>
      </c>
      <c r="K6455" t="s">
        <v>29357</v>
      </c>
      <c r="M6455" t="s">
        <v>31759</v>
      </c>
      <c r="N6455" t="s">
        <v>32524</v>
      </c>
      <c r="O6455" t="s">
        <v>32525</v>
      </c>
      <c r="P6455">
        <v>0</v>
      </c>
      <c r="Q6455">
        <v>8</v>
      </c>
      <c r="R6455" t="s">
        <v>32532</v>
      </c>
      <c r="S6455" t="s">
        <v>32616</v>
      </c>
      <c r="T6455" t="s">
        <v>33185</v>
      </c>
      <c r="U6455" t="s">
        <v>39059</v>
      </c>
      <c r="W6455" t="s">
        <v>31759</v>
      </c>
      <c r="X6455" t="s">
        <v>32533</v>
      </c>
    </row>
    <row r="6456" spans="1:24">
      <c r="A6456">
        <f>HYPERLINK("https://www.philgeps.gov.ph/GEPSNONPILOT/Tender/SplashBidNoticeAbstractUI.aspx?menuIndex=3&amp;refID=7036358&amp;Result=3","7036358")</f>
        <v>0</v>
      </c>
      <c r="B6456" t="s">
        <v>1030</v>
      </c>
      <c r="C6456" t="s">
        <v>8858</v>
      </c>
      <c r="D6456" t="s">
        <v>12988</v>
      </c>
      <c r="E6456" t="s">
        <v>18791</v>
      </c>
      <c r="F6456" t="s">
        <v>22437</v>
      </c>
      <c r="G6456" t="s">
        <v>22444</v>
      </c>
      <c r="H6456" t="s">
        <v>22452</v>
      </c>
      <c r="I6456" t="s">
        <v>22494</v>
      </c>
      <c r="J6456" t="s">
        <v>23356</v>
      </c>
      <c r="K6456" t="s">
        <v>29335</v>
      </c>
      <c r="M6456" t="s">
        <v>30660</v>
      </c>
      <c r="N6456" t="s">
        <v>32524</v>
      </c>
      <c r="O6456" t="s">
        <v>32525</v>
      </c>
      <c r="P6456">
        <v>0</v>
      </c>
      <c r="Q6456">
        <v>0</v>
      </c>
      <c r="R6456" t="s">
        <v>32532</v>
      </c>
      <c r="S6456" t="s">
        <v>32616</v>
      </c>
      <c r="T6456" t="s">
        <v>33244</v>
      </c>
      <c r="U6456" t="s">
        <v>39060</v>
      </c>
      <c r="V6456" t="s">
        <v>42693</v>
      </c>
      <c r="W6456" t="s">
        <v>30660</v>
      </c>
      <c r="X6456" t="s">
        <v>32533</v>
      </c>
    </row>
    <row r="6457" spans="1:24">
      <c r="A6457">
        <f>HYPERLINK("https://www.philgeps.gov.ph/GEPSNONPILOT/Tender/SplashBidNoticeAbstractUI.aspx?menuIndex=3&amp;refID=7036367&amp;Result=3","7036367")</f>
        <v>0</v>
      </c>
      <c r="B6457" t="s">
        <v>2026</v>
      </c>
      <c r="C6457" t="s">
        <v>8859</v>
      </c>
      <c r="D6457" t="s">
        <v>13072</v>
      </c>
      <c r="E6457" t="s">
        <v>13487</v>
      </c>
      <c r="F6457" t="s">
        <v>22436</v>
      </c>
      <c r="G6457" t="s">
        <v>22444</v>
      </c>
      <c r="H6457" t="s">
        <v>22452</v>
      </c>
      <c r="I6457" t="s">
        <v>22508</v>
      </c>
      <c r="J6457" t="s">
        <v>26796</v>
      </c>
      <c r="K6457" t="s">
        <v>29336</v>
      </c>
      <c r="M6457" t="s">
        <v>31760</v>
      </c>
      <c r="N6457" t="s">
        <v>32524</v>
      </c>
      <c r="O6457" t="s">
        <v>32525</v>
      </c>
      <c r="P6457">
        <v>0</v>
      </c>
      <c r="Q6457">
        <v>4</v>
      </c>
      <c r="R6457" t="s">
        <v>32532</v>
      </c>
      <c r="S6457" t="s">
        <v>32616</v>
      </c>
      <c r="T6457" t="s">
        <v>33242</v>
      </c>
      <c r="U6457" t="s">
        <v>39061</v>
      </c>
      <c r="W6457" t="s">
        <v>31760</v>
      </c>
      <c r="X6457" t="s">
        <v>32533</v>
      </c>
    </row>
    <row r="6458" spans="1:24">
      <c r="A6458">
        <f>HYPERLINK("https://www.philgeps.gov.ph/GEPSNONPILOT/Tender/SplashBidNoticeAbstractUI.aspx?menuIndex=3&amp;refID=7036360&amp;Result=3","7036360")</f>
        <v>0</v>
      </c>
      <c r="B6458" t="s">
        <v>1754</v>
      </c>
      <c r="C6458" t="s">
        <v>7738</v>
      </c>
      <c r="D6458" t="s">
        <v>13005</v>
      </c>
      <c r="E6458" t="s">
        <v>18792</v>
      </c>
      <c r="F6458" t="s">
        <v>22436</v>
      </c>
      <c r="G6458" t="s">
        <v>22444</v>
      </c>
      <c r="H6458" t="s">
        <v>22454</v>
      </c>
      <c r="I6458" t="s">
        <v>7738</v>
      </c>
      <c r="J6458" t="s">
        <v>22893</v>
      </c>
      <c r="K6458" t="s">
        <v>29338</v>
      </c>
      <c r="M6458" t="s">
        <v>31459</v>
      </c>
      <c r="N6458" t="s">
        <v>32524</v>
      </c>
      <c r="O6458" t="s">
        <v>32525</v>
      </c>
      <c r="P6458">
        <v>0</v>
      </c>
      <c r="Q6458">
        <v>0</v>
      </c>
      <c r="R6458" t="s">
        <v>32532</v>
      </c>
      <c r="S6458" t="s">
        <v>32616</v>
      </c>
      <c r="T6458" t="s">
        <v>33209</v>
      </c>
      <c r="U6458" t="s">
        <v>39062</v>
      </c>
      <c r="W6458" t="s">
        <v>31459</v>
      </c>
      <c r="X6458" t="s">
        <v>32533</v>
      </c>
    </row>
    <row r="6459" spans="1:24">
      <c r="A6459">
        <f>HYPERLINK("https://www.philgeps.gov.ph/GEPSNONPILOT/Tender/SplashBidNoticeAbstractUI.aspx?menuIndex=3&amp;refID=7036386&amp;Result=3","7036386")</f>
        <v>0</v>
      </c>
      <c r="B6459" t="s">
        <v>2027</v>
      </c>
      <c r="C6459" t="s">
        <v>8860</v>
      </c>
      <c r="E6459" t="s">
        <v>18767</v>
      </c>
      <c r="F6459" t="s">
        <v>22436</v>
      </c>
      <c r="G6459" t="s">
        <v>22444</v>
      </c>
      <c r="H6459" t="s">
        <v>22454</v>
      </c>
      <c r="I6459" t="s">
        <v>7738</v>
      </c>
      <c r="J6459" t="s">
        <v>26797</v>
      </c>
      <c r="K6459" t="s">
        <v>29388</v>
      </c>
      <c r="M6459" t="s">
        <v>31761</v>
      </c>
      <c r="N6459" t="s">
        <v>32524</v>
      </c>
      <c r="O6459" t="s">
        <v>32525</v>
      </c>
      <c r="P6459">
        <v>0</v>
      </c>
      <c r="Q6459">
        <v>0</v>
      </c>
      <c r="R6459" t="s">
        <v>32532</v>
      </c>
      <c r="S6459" t="s">
        <v>32616</v>
      </c>
      <c r="T6459" t="s">
        <v>33253</v>
      </c>
      <c r="U6459" t="s">
        <v>39063</v>
      </c>
      <c r="W6459" t="s">
        <v>31761</v>
      </c>
      <c r="X6459" t="s">
        <v>32533</v>
      </c>
    </row>
    <row r="6460" spans="1:24">
      <c r="A6460">
        <f>HYPERLINK("https://www.philgeps.gov.ph/GEPSNONPILOT/Tender/SplashBidNoticeAbstractUI.aspx?menuIndex=3&amp;refID=7036380&amp;Result=3","7036380")</f>
        <v>0</v>
      </c>
      <c r="B6460" t="s">
        <v>2028</v>
      </c>
      <c r="C6460" t="s">
        <v>8861</v>
      </c>
      <c r="D6460" t="s">
        <v>12991</v>
      </c>
      <c r="E6460" t="s">
        <v>18793</v>
      </c>
      <c r="F6460" t="s">
        <v>22436</v>
      </c>
      <c r="G6460" t="s">
        <v>22444</v>
      </c>
      <c r="H6460" t="s">
        <v>22452</v>
      </c>
      <c r="I6460" t="s">
        <v>22483</v>
      </c>
      <c r="J6460" t="s">
        <v>26798</v>
      </c>
      <c r="K6460" t="s">
        <v>29357</v>
      </c>
      <c r="M6460" t="s">
        <v>31762</v>
      </c>
      <c r="N6460" t="s">
        <v>32524</v>
      </c>
      <c r="O6460" t="s">
        <v>32525</v>
      </c>
      <c r="P6460">
        <v>0</v>
      </c>
      <c r="Q6460">
        <v>5</v>
      </c>
      <c r="R6460" t="s">
        <v>32532</v>
      </c>
      <c r="S6460" t="s">
        <v>32616</v>
      </c>
      <c r="T6460" t="s">
        <v>33296</v>
      </c>
      <c r="U6460" t="s">
        <v>39064</v>
      </c>
      <c r="W6460" t="s">
        <v>31762</v>
      </c>
      <c r="X6460" t="s">
        <v>32533</v>
      </c>
    </row>
    <row r="6461" spans="1:24">
      <c r="A6461">
        <f>HYPERLINK("https://www.philgeps.gov.ph/GEPSNONPILOT/Tender/SplashBidNoticeAbstractUI.aspx?menuIndex=3&amp;refID=7036378&amp;Result=3","7036378")</f>
        <v>0</v>
      </c>
      <c r="B6461" t="s">
        <v>2026</v>
      </c>
      <c r="C6461" t="s">
        <v>3829</v>
      </c>
      <c r="D6461" t="s">
        <v>13072</v>
      </c>
      <c r="E6461" t="s">
        <v>13567</v>
      </c>
      <c r="F6461" t="s">
        <v>22436</v>
      </c>
      <c r="G6461" t="s">
        <v>22444</v>
      </c>
      <c r="H6461" t="s">
        <v>22452</v>
      </c>
      <c r="I6461" t="s">
        <v>5194</v>
      </c>
      <c r="J6461" t="s">
        <v>22936</v>
      </c>
      <c r="K6461" t="s">
        <v>29336</v>
      </c>
      <c r="M6461" t="s">
        <v>31760</v>
      </c>
      <c r="N6461" t="s">
        <v>32524</v>
      </c>
      <c r="O6461" t="s">
        <v>32525</v>
      </c>
      <c r="P6461">
        <v>0</v>
      </c>
      <c r="Q6461">
        <v>3</v>
      </c>
      <c r="R6461" t="s">
        <v>32532</v>
      </c>
      <c r="S6461" t="s">
        <v>32616</v>
      </c>
      <c r="T6461" t="s">
        <v>33242</v>
      </c>
      <c r="U6461" t="s">
        <v>34688</v>
      </c>
      <c r="W6461" t="s">
        <v>31760</v>
      </c>
      <c r="X6461" t="s">
        <v>32533</v>
      </c>
    </row>
    <row r="6462" spans="1:24">
      <c r="A6462">
        <f>HYPERLINK("https://www.philgeps.gov.ph/GEPSNONPILOT/Tender/SplashBidNoticeAbstractUI.aspx?menuIndex=3&amp;refID=7036387&amp;Result=3","7036387")</f>
        <v>0</v>
      </c>
      <c r="B6462" t="s">
        <v>1667</v>
      </c>
      <c r="C6462" t="s">
        <v>8862</v>
      </c>
      <c r="D6462" t="s">
        <v>13029</v>
      </c>
      <c r="E6462" t="s">
        <v>18794</v>
      </c>
      <c r="F6462" t="s">
        <v>22436</v>
      </c>
      <c r="G6462" t="s">
        <v>22443</v>
      </c>
      <c r="H6462" t="s">
        <v>22455</v>
      </c>
      <c r="I6462" t="s">
        <v>22486</v>
      </c>
      <c r="J6462" t="s">
        <v>22724</v>
      </c>
      <c r="K6462" t="s">
        <v>29335</v>
      </c>
      <c r="M6462" t="s">
        <v>31364</v>
      </c>
      <c r="N6462" t="s">
        <v>32524</v>
      </c>
      <c r="O6462" t="s">
        <v>32525</v>
      </c>
      <c r="P6462">
        <v>0</v>
      </c>
      <c r="Q6462">
        <v>0</v>
      </c>
      <c r="R6462" t="s">
        <v>32532</v>
      </c>
      <c r="S6462" t="s">
        <v>32616</v>
      </c>
      <c r="T6462" t="s">
        <v>33371</v>
      </c>
      <c r="U6462" t="s">
        <v>39065</v>
      </c>
      <c r="W6462" t="s">
        <v>31364</v>
      </c>
      <c r="X6462" t="s">
        <v>32533</v>
      </c>
    </row>
    <row r="6463" spans="1:24">
      <c r="A6463">
        <f>HYPERLINK("https://www.philgeps.gov.ph/GEPSNONPILOT/Tender/SplashBidNoticeAbstractUI.aspx?menuIndex=3&amp;refID=7036382&amp;Result=3","7036382")</f>
        <v>0</v>
      </c>
      <c r="B6463" t="s">
        <v>2026</v>
      </c>
      <c r="C6463" t="s">
        <v>8863</v>
      </c>
      <c r="D6463" t="s">
        <v>13072</v>
      </c>
      <c r="E6463" t="s">
        <v>15052</v>
      </c>
      <c r="F6463" t="s">
        <v>22436</v>
      </c>
      <c r="G6463" t="s">
        <v>22444</v>
      </c>
      <c r="H6463" t="s">
        <v>22452</v>
      </c>
      <c r="I6463" t="s">
        <v>3840</v>
      </c>
      <c r="J6463" t="s">
        <v>26799</v>
      </c>
      <c r="K6463" t="s">
        <v>29336</v>
      </c>
      <c r="M6463" t="s">
        <v>31760</v>
      </c>
      <c r="N6463" t="s">
        <v>32524</v>
      </c>
      <c r="O6463" t="s">
        <v>32525</v>
      </c>
      <c r="P6463">
        <v>0</v>
      </c>
      <c r="Q6463">
        <v>3</v>
      </c>
      <c r="R6463" t="s">
        <v>32532</v>
      </c>
      <c r="S6463" t="s">
        <v>32616</v>
      </c>
      <c r="T6463" t="s">
        <v>33261</v>
      </c>
      <c r="U6463" t="s">
        <v>39066</v>
      </c>
      <c r="W6463" t="s">
        <v>31760</v>
      </c>
      <c r="X6463" t="s">
        <v>32533</v>
      </c>
    </row>
    <row r="6464" spans="1:24">
      <c r="A6464">
        <f>HYPERLINK("https://www.philgeps.gov.ph/GEPSNONPILOT/Tender/SplashBidNoticeAbstractUI.aspx?menuIndex=3&amp;refID=7036373&amp;Result=3","7036373")</f>
        <v>0</v>
      </c>
      <c r="B6464" t="s">
        <v>2029</v>
      </c>
      <c r="C6464" t="s">
        <v>8864</v>
      </c>
      <c r="D6464" t="s">
        <v>12990</v>
      </c>
      <c r="E6464" t="s">
        <v>13668</v>
      </c>
      <c r="F6464" t="s">
        <v>22436</v>
      </c>
      <c r="G6464" t="s">
        <v>22443</v>
      </c>
      <c r="H6464" t="s">
        <v>22452</v>
      </c>
      <c r="I6464" t="s">
        <v>22546</v>
      </c>
      <c r="J6464" t="s">
        <v>22760</v>
      </c>
      <c r="K6464" t="s">
        <v>29357</v>
      </c>
      <c r="M6464" t="s">
        <v>31763</v>
      </c>
      <c r="N6464" t="s">
        <v>32524</v>
      </c>
      <c r="O6464" t="s">
        <v>32525</v>
      </c>
      <c r="P6464">
        <v>0</v>
      </c>
      <c r="Q6464">
        <v>0</v>
      </c>
      <c r="R6464" t="s">
        <v>32532</v>
      </c>
      <c r="S6464" t="s">
        <v>32616</v>
      </c>
      <c r="T6464" t="s">
        <v>33238</v>
      </c>
      <c r="U6464" t="s">
        <v>39067</v>
      </c>
      <c r="V6464" t="s">
        <v>42462</v>
      </c>
      <c r="W6464" t="s">
        <v>31763</v>
      </c>
      <c r="X6464" t="s">
        <v>32533</v>
      </c>
    </row>
    <row r="6465" spans="1:24">
      <c r="A6465">
        <f>HYPERLINK("https://www.philgeps.gov.ph/GEPSNONPILOT/Tender/SplashBidNoticeAbstractUI.aspx?menuIndex=3&amp;refID=7036384&amp;Result=3","7036384")</f>
        <v>0</v>
      </c>
      <c r="B6465" t="s">
        <v>2030</v>
      </c>
      <c r="C6465" t="s">
        <v>8865</v>
      </c>
      <c r="D6465" t="s">
        <v>12996</v>
      </c>
      <c r="E6465" t="s">
        <v>18795</v>
      </c>
      <c r="F6465" t="s">
        <v>22436</v>
      </c>
      <c r="G6465" t="s">
        <v>22443</v>
      </c>
      <c r="H6465" t="s">
        <v>22452</v>
      </c>
      <c r="I6465" t="s">
        <v>7110</v>
      </c>
      <c r="J6465" t="s">
        <v>26800</v>
      </c>
      <c r="K6465" t="s">
        <v>29341</v>
      </c>
      <c r="M6465" t="s">
        <v>31764</v>
      </c>
      <c r="N6465" t="s">
        <v>32524</v>
      </c>
      <c r="O6465" t="s">
        <v>32525</v>
      </c>
      <c r="P6465">
        <v>0</v>
      </c>
      <c r="Q6465">
        <v>9</v>
      </c>
      <c r="R6465" t="s">
        <v>32532</v>
      </c>
      <c r="S6465" t="s">
        <v>32616</v>
      </c>
      <c r="T6465" t="s">
        <v>33296</v>
      </c>
      <c r="U6465" t="s">
        <v>39068</v>
      </c>
      <c r="W6465" t="s">
        <v>31764</v>
      </c>
      <c r="X6465" t="s">
        <v>32533</v>
      </c>
    </row>
    <row r="6466" spans="1:24">
      <c r="A6466">
        <f>HYPERLINK("https://www.philgeps.gov.ph/GEPSNONPILOT/Tender/SplashBidNoticeAbstractUI.aspx?menuIndex=3&amp;refID=7036377&amp;Result=3","7036377")</f>
        <v>0</v>
      </c>
      <c r="B6466" t="s">
        <v>2031</v>
      </c>
      <c r="C6466" t="s">
        <v>8866</v>
      </c>
      <c r="D6466" t="s">
        <v>13041</v>
      </c>
      <c r="E6466" t="s">
        <v>18796</v>
      </c>
      <c r="F6466" t="s">
        <v>22436</v>
      </c>
      <c r="G6466" t="s">
        <v>22444</v>
      </c>
      <c r="H6466" t="s">
        <v>22454</v>
      </c>
      <c r="I6466" t="s">
        <v>7738</v>
      </c>
      <c r="J6466" t="s">
        <v>26801</v>
      </c>
      <c r="K6466" t="s">
        <v>29334</v>
      </c>
      <c r="M6466" t="s">
        <v>31765</v>
      </c>
      <c r="N6466" t="s">
        <v>32524</v>
      </c>
      <c r="O6466" t="s">
        <v>32525</v>
      </c>
      <c r="P6466">
        <v>0</v>
      </c>
      <c r="Q6466">
        <v>1</v>
      </c>
      <c r="R6466" t="s">
        <v>32532</v>
      </c>
      <c r="S6466" t="s">
        <v>32616</v>
      </c>
      <c r="T6466" t="s">
        <v>33234</v>
      </c>
      <c r="U6466" t="s">
        <v>39069</v>
      </c>
      <c r="W6466" t="s">
        <v>31765</v>
      </c>
      <c r="X6466" t="s">
        <v>32533</v>
      </c>
    </row>
    <row r="6467" spans="1:24">
      <c r="A6467">
        <f>HYPERLINK("https://www.philgeps.gov.ph/GEPSNONPILOT/Tender/SplashBidNoticeAbstractUI.aspx?menuIndex=3&amp;refID=7036410&amp;Result=3","7036410")</f>
        <v>0</v>
      </c>
      <c r="B6467" t="s">
        <v>32</v>
      </c>
      <c r="C6467" t="s">
        <v>8867</v>
      </c>
      <c r="E6467" t="s">
        <v>18797</v>
      </c>
      <c r="F6467" t="s">
        <v>22436</v>
      </c>
      <c r="G6467" t="s">
        <v>22443</v>
      </c>
      <c r="H6467" t="s">
        <v>22452</v>
      </c>
      <c r="I6467" t="s">
        <v>5194</v>
      </c>
      <c r="J6467" t="s">
        <v>26802</v>
      </c>
      <c r="K6467" t="s">
        <v>29338</v>
      </c>
      <c r="M6467" t="s">
        <v>29609</v>
      </c>
      <c r="N6467" t="s">
        <v>32524</v>
      </c>
      <c r="O6467" t="s">
        <v>32525</v>
      </c>
      <c r="P6467">
        <v>0</v>
      </c>
      <c r="Q6467">
        <v>4</v>
      </c>
      <c r="R6467" t="s">
        <v>32532</v>
      </c>
      <c r="S6467" t="s">
        <v>32616</v>
      </c>
      <c r="T6467" t="s">
        <v>33323</v>
      </c>
      <c r="U6467" t="s">
        <v>33629</v>
      </c>
      <c r="W6467" t="s">
        <v>29609</v>
      </c>
      <c r="X6467" t="s">
        <v>32533</v>
      </c>
    </row>
    <row r="6468" spans="1:24">
      <c r="A6468">
        <f>HYPERLINK("https://www.philgeps.gov.ph/GEPSNONPILOT/Tender/SplashBidNoticeAbstractUI.aspx?menuIndex=3&amp;refID=7036371&amp;Result=3","7036371")</f>
        <v>0</v>
      </c>
      <c r="B6468" t="s">
        <v>2018</v>
      </c>
      <c r="C6468" t="s">
        <v>8868</v>
      </c>
      <c r="D6468" t="s">
        <v>12999</v>
      </c>
      <c r="E6468" t="s">
        <v>18798</v>
      </c>
      <c r="F6468" t="s">
        <v>22436</v>
      </c>
      <c r="G6468" t="s">
        <v>22444</v>
      </c>
      <c r="H6468" t="s">
        <v>22454</v>
      </c>
      <c r="I6468" t="s">
        <v>7738</v>
      </c>
      <c r="J6468" t="s">
        <v>26803</v>
      </c>
      <c r="K6468" t="s">
        <v>29334</v>
      </c>
      <c r="M6468" t="s">
        <v>31752</v>
      </c>
      <c r="N6468" t="s">
        <v>32524</v>
      </c>
      <c r="O6468" t="s">
        <v>32525</v>
      </c>
      <c r="P6468">
        <v>0</v>
      </c>
      <c r="Q6468">
        <v>0</v>
      </c>
      <c r="R6468" t="s">
        <v>32532</v>
      </c>
      <c r="S6468" t="s">
        <v>32616</v>
      </c>
      <c r="T6468" t="s">
        <v>33397</v>
      </c>
      <c r="U6468" t="s">
        <v>39070</v>
      </c>
      <c r="W6468" t="s">
        <v>31752</v>
      </c>
      <c r="X6468" t="s">
        <v>32533</v>
      </c>
    </row>
    <row r="6469" spans="1:24">
      <c r="A6469">
        <f>HYPERLINK("https://www.philgeps.gov.ph/GEPSNONPILOT/Tender/SplashBidNoticeAbstractUI.aspx?menuIndex=3&amp;refID=7036402&amp;Result=3","7036402")</f>
        <v>0</v>
      </c>
      <c r="B6469" t="s">
        <v>1902</v>
      </c>
      <c r="C6469" t="s">
        <v>8869</v>
      </c>
      <c r="D6469" t="s">
        <v>13014</v>
      </c>
      <c r="E6469" t="s">
        <v>18799</v>
      </c>
      <c r="F6469" t="s">
        <v>22436</v>
      </c>
      <c r="G6469" t="s">
        <v>22444</v>
      </c>
      <c r="H6469" t="s">
        <v>22454</v>
      </c>
      <c r="I6469" t="s">
        <v>7738</v>
      </c>
      <c r="J6469" t="s">
        <v>25346</v>
      </c>
      <c r="K6469" t="s">
        <v>29491</v>
      </c>
      <c r="M6469" t="s">
        <v>31766</v>
      </c>
      <c r="N6469" t="s">
        <v>32524</v>
      </c>
      <c r="O6469" t="s">
        <v>32525</v>
      </c>
      <c r="P6469">
        <v>0</v>
      </c>
      <c r="Q6469">
        <v>0</v>
      </c>
      <c r="R6469" t="s">
        <v>32532</v>
      </c>
      <c r="S6469" t="s">
        <v>32616</v>
      </c>
      <c r="T6469" t="s">
        <v>33218</v>
      </c>
      <c r="U6469" t="s">
        <v>39071</v>
      </c>
      <c r="W6469" t="s">
        <v>31766</v>
      </c>
      <c r="X6469" t="s">
        <v>32533</v>
      </c>
    </row>
    <row r="6470" spans="1:24">
      <c r="A6470">
        <f>HYPERLINK("https://www.philgeps.gov.ph/GEPSNONPILOT/Tender/SplashBidNoticeAbstractUI.aspx?menuIndex=3&amp;refID=7036403&amp;Result=3","7036403")</f>
        <v>0</v>
      </c>
      <c r="B6470" t="s">
        <v>2028</v>
      </c>
      <c r="C6470" t="s">
        <v>8870</v>
      </c>
      <c r="D6470" t="s">
        <v>12991</v>
      </c>
      <c r="E6470" t="s">
        <v>18800</v>
      </c>
      <c r="F6470" t="s">
        <v>22436</v>
      </c>
      <c r="G6470" t="s">
        <v>22444</v>
      </c>
      <c r="H6470" t="s">
        <v>22454</v>
      </c>
      <c r="I6470" t="s">
        <v>7738</v>
      </c>
      <c r="J6470" t="s">
        <v>22634</v>
      </c>
      <c r="K6470" t="s">
        <v>29333</v>
      </c>
      <c r="M6470" t="s">
        <v>31762</v>
      </c>
      <c r="N6470" t="s">
        <v>32524</v>
      </c>
      <c r="O6470" t="s">
        <v>32525</v>
      </c>
      <c r="P6470">
        <v>0</v>
      </c>
      <c r="Q6470">
        <v>6</v>
      </c>
      <c r="R6470" t="s">
        <v>32532</v>
      </c>
      <c r="S6470" t="s">
        <v>32616</v>
      </c>
      <c r="T6470" t="s">
        <v>33249</v>
      </c>
      <c r="U6470" t="s">
        <v>39072</v>
      </c>
      <c r="V6470" t="s">
        <v>43139</v>
      </c>
      <c r="W6470" t="s">
        <v>31762</v>
      </c>
      <c r="X6470" t="s">
        <v>32533</v>
      </c>
    </row>
    <row r="6471" spans="1:24">
      <c r="A6471">
        <f>HYPERLINK("https://www.philgeps.gov.ph/GEPSNONPILOT/Tender/SplashBidNoticeAbstractUI.aspx?menuIndex=3&amp;refID=7036379&amp;Result=3","7036379")</f>
        <v>0</v>
      </c>
      <c r="B6471" t="s">
        <v>1030</v>
      </c>
      <c r="C6471" t="s">
        <v>8871</v>
      </c>
      <c r="D6471" t="s">
        <v>12988</v>
      </c>
      <c r="E6471" t="s">
        <v>8871</v>
      </c>
      <c r="F6471" t="s">
        <v>22437</v>
      </c>
      <c r="G6471" t="s">
        <v>22444</v>
      </c>
      <c r="H6471" t="s">
        <v>22452</v>
      </c>
      <c r="I6471" t="s">
        <v>2981</v>
      </c>
      <c r="J6471" t="s">
        <v>22893</v>
      </c>
      <c r="K6471" t="s">
        <v>29335</v>
      </c>
      <c r="M6471" t="s">
        <v>30660</v>
      </c>
      <c r="N6471" t="s">
        <v>32524</v>
      </c>
      <c r="O6471" t="s">
        <v>32525</v>
      </c>
      <c r="P6471">
        <v>0</v>
      </c>
      <c r="Q6471">
        <v>0</v>
      </c>
      <c r="R6471" t="s">
        <v>32532</v>
      </c>
      <c r="S6471" t="s">
        <v>32616</v>
      </c>
      <c r="T6471" t="s">
        <v>33241</v>
      </c>
      <c r="U6471" t="s">
        <v>39073</v>
      </c>
      <c r="V6471" t="s">
        <v>42693</v>
      </c>
      <c r="W6471" t="s">
        <v>30660</v>
      </c>
      <c r="X6471" t="s">
        <v>32533</v>
      </c>
    </row>
    <row r="6472" spans="1:24">
      <c r="A6472">
        <f>HYPERLINK("https://www.philgeps.gov.ph/GEPSNONPILOT/Tender/SplashBidNoticeAbstractUI.aspx?menuIndex=3&amp;refID=7036413&amp;Result=3","7036413")</f>
        <v>0</v>
      </c>
      <c r="B6472" t="s">
        <v>2030</v>
      </c>
      <c r="C6472" t="s">
        <v>8872</v>
      </c>
      <c r="D6472" t="s">
        <v>12996</v>
      </c>
      <c r="E6472" t="s">
        <v>18801</v>
      </c>
      <c r="F6472" t="s">
        <v>22436</v>
      </c>
      <c r="G6472" t="s">
        <v>22444</v>
      </c>
      <c r="H6472" t="s">
        <v>22452</v>
      </c>
      <c r="I6472" t="s">
        <v>3529</v>
      </c>
      <c r="J6472" t="s">
        <v>26804</v>
      </c>
      <c r="K6472" t="s">
        <v>29341</v>
      </c>
      <c r="M6472" t="s">
        <v>31764</v>
      </c>
      <c r="N6472" t="s">
        <v>32524</v>
      </c>
      <c r="O6472" t="s">
        <v>32525</v>
      </c>
      <c r="P6472">
        <v>0</v>
      </c>
      <c r="Q6472">
        <v>2</v>
      </c>
      <c r="R6472" t="s">
        <v>32532</v>
      </c>
      <c r="S6472" t="s">
        <v>32616</v>
      </c>
      <c r="T6472" t="s">
        <v>33212</v>
      </c>
      <c r="U6472" t="s">
        <v>39074</v>
      </c>
      <c r="W6472" t="s">
        <v>31764</v>
      </c>
      <c r="X6472" t="s">
        <v>32533</v>
      </c>
    </row>
    <row r="6473" spans="1:24">
      <c r="A6473">
        <f>HYPERLINK("https://www.philgeps.gov.ph/GEPSNONPILOT/Tender/SplashBidNoticeAbstractUI.aspx?menuIndex=3&amp;refID=7036395&amp;Result=3","7036395")</f>
        <v>0</v>
      </c>
      <c r="B6473" t="s">
        <v>2031</v>
      </c>
      <c r="C6473" t="s">
        <v>8873</v>
      </c>
      <c r="D6473" t="s">
        <v>13041</v>
      </c>
      <c r="E6473" t="s">
        <v>18802</v>
      </c>
      <c r="F6473" t="s">
        <v>22436</v>
      </c>
      <c r="G6473" t="s">
        <v>22444</v>
      </c>
      <c r="H6473" t="s">
        <v>22454</v>
      </c>
      <c r="I6473" t="s">
        <v>7738</v>
      </c>
      <c r="J6473" t="s">
        <v>26805</v>
      </c>
      <c r="K6473" t="s">
        <v>29417</v>
      </c>
      <c r="M6473" t="s">
        <v>31765</v>
      </c>
      <c r="N6473" t="s">
        <v>32524</v>
      </c>
      <c r="O6473" t="s">
        <v>32525</v>
      </c>
      <c r="P6473">
        <v>0</v>
      </c>
      <c r="Q6473">
        <v>0</v>
      </c>
      <c r="R6473" t="s">
        <v>32532</v>
      </c>
      <c r="S6473" t="s">
        <v>32616</v>
      </c>
      <c r="T6473" t="s">
        <v>33234</v>
      </c>
      <c r="U6473" t="s">
        <v>39069</v>
      </c>
      <c r="W6473" t="s">
        <v>31765</v>
      </c>
      <c r="X6473" t="s">
        <v>32533</v>
      </c>
    </row>
    <row r="6474" spans="1:24">
      <c r="A6474">
        <f>HYPERLINK("https://www.philgeps.gov.ph/GEPSNONPILOT/Tender/SplashBidNoticeAbstractUI.aspx?menuIndex=3&amp;refID=7036411&amp;Result=3","7036411")</f>
        <v>0</v>
      </c>
      <c r="B6474" t="s">
        <v>627</v>
      </c>
      <c r="C6474" t="s">
        <v>8874</v>
      </c>
      <c r="D6474" t="s">
        <v>13041</v>
      </c>
      <c r="E6474" t="s">
        <v>13438</v>
      </c>
      <c r="F6474" t="s">
        <v>22436</v>
      </c>
      <c r="G6474" t="s">
        <v>22444</v>
      </c>
      <c r="H6474" t="s">
        <v>22454</v>
      </c>
      <c r="I6474" t="s">
        <v>7738</v>
      </c>
      <c r="J6474" t="s">
        <v>22853</v>
      </c>
      <c r="K6474" t="s">
        <v>29391</v>
      </c>
      <c r="M6474" t="s">
        <v>30218</v>
      </c>
      <c r="N6474" t="s">
        <v>32524</v>
      </c>
      <c r="O6474" t="s">
        <v>32525</v>
      </c>
      <c r="P6474">
        <v>0</v>
      </c>
      <c r="Q6474">
        <v>0</v>
      </c>
      <c r="R6474" t="s">
        <v>32532</v>
      </c>
      <c r="S6474" t="s">
        <v>32616</v>
      </c>
      <c r="T6474" t="s">
        <v>33185</v>
      </c>
      <c r="U6474" t="s">
        <v>39075</v>
      </c>
      <c r="W6474" t="s">
        <v>30218</v>
      </c>
      <c r="X6474" t="s">
        <v>32533</v>
      </c>
    </row>
    <row r="6475" spans="1:24">
      <c r="A6475">
        <f>HYPERLINK("https://www.philgeps.gov.ph/GEPSNONPILOT/Tender/SplashBidNoticeAbstractUI.aspx?menuIndex=3&amp;refID=7036404&amp;Result=3","7036404")</f>
        <v>0</v>
      </c>
      <c r="B6475" t="s">
        <v>2031</v>
      </c>
      <c r="C6475" t="s">
        <v>8875</v>
      </c>
      <c r="D6475" t="s">
        <v>13041</v>
      </c>
      <c r="E6475" t="s">
        <v>18803</v>
      </c>
      <c r="F6475" t="s">
        <v>22436</v>
      </c>
      <c r="G6475" t="s">
        <v>22444</v>
      </c>
      <c r="H6475" t="s">
        <v>22454</v>
      </c>
      <c r="I6475" t="s">
        <v>7738</v>
      </c>
      <c r="J6475" t="s">
        <v>26806</v>
      </c>
      <c r="K6475" t="s">
        <v>29373</v>
      </c>
      <c r="M6475" t="s">
        <v>31765</v>
      </c>
      <c r="N6475" t="s">
        <v>32524</v>
      </c>
      <c r="O6475" t="s">
        <v>32525</v>
      </c>
      <c r="P6475">
        <v>0</v>
      </c>
      <c r="Q6475">
        <v>0</v>
      </c>
      <c r="R6475" t="s">
        <v>32532</v>
      </c>
      <c r="S6475" t="s">
        <v>32616</v>
      </c>
      <c r="T6475" t="s">
        <v>33234</v>
      </c>
      <c r="U6475" t="s">
        <v>39069</v>
      </c>
      <c r="W6475" t="s">
        <v>31765</v>
      </c>
      <c r="X6475" t="s">
        <v>32533</v>
      </c>
    </row>
    <row r="6476" spans="1:24">
      <c r="A6476">
        <f>HYPERLINK("https://www.philgeps.gov.ph/GEPSNONPILOT/Tender/SplashBidNoticeAbstractUI.aspx?menuIndex=3&amp;refID=7036415&amp;Result=3","7036415")</f>
        <v>0</v>
      </c>
      <c r="B6476" t="s">
        <v>2031</v>
      </c>
      <c r="C6476" t="s">
        <v>8876</v>
      </c>
      <c r="D6476" t="s">
        <v>13041</v>
      </c>
      <c r="E6476" t="s">
        <v>18804</v>
      </c>
      <c r="F6476" t="s">
        <v>22436</v>
      </c>
      <c r="G6476" t="s">
        <v>22444</v>
      </c>
      <c r="H6476" t="s">
        <v>22452</v>
      </c>
      <c r="I6476" t="s">
        <v>7738</v>
      </c>
      <c r="J6476" t="s">
        <v>26807</v>
      </c>
      <c r="K6476" t="s">
        <v>29473</v>
      </c>
      <c r="M6476" t="s">
        <v>31765</v>
      </c>
      <c r="N6476" t="s">
        <v>32524</v>
      </c>
      <c r="O6476" t="s">
        <v>32525</v>
      </c>
      <c r="P6476">
        <v>0</v>
      </c>
      <c r="Q6476">
        <v>0</v>
      </c>
      <c r="R6476" t="s">
        <v>32532</v>
      </c>
      <c r="S6476" t="s">
        <v>32616</v>
      </c>
      <c r="T6476" t="s">
        <v>33234</v>
      </c>
      <c r="U6476" t="s">
        <v>39069</v>
      </c>
      <c r="W6476" t="s">
        <v>31765</v>
      </c>
      <c r="X6476" t="s">
        <v>32533</v>
      </c>
    </row>
    <row r="6477" spans="1:24">
      <c r="A6477">
        <f>HYPERLINK("https://www.philgeps.gov.ph/GEPSNONPILOT/Tender/SplashBidNoticeAbstractUI.aspx?menuIndex=3&amp;refID=7036416&amp;Result=3","7036416")</f>
        <v>0</v>
      </c>
      <c r="B6477" t="s">
        <v>1261</v>
      </c>
      <c r="C6477" t="s">
        <v>8877</v>
      </c>
      <c r="D6477" t="s">
        <v>13042</v>
      </c>
      <c r="E6477" t="s">
        <v>18805</v>
      </c>
      <c r="F6477" t="s">
        <v>22436</v>
      </c>
      <c r="G6477" t="s">
        <v>22444</v>
      </c>
      <c r="H6477" t="s">
        <v>22452</v>
      </c>
      <c r="I6477" t="s">
        <v>22465</v>
      </c>
      <c r="J6477" t="s">
        <v>26808</v>
      </c>
      <c r="K6477" t="s">
        <v>29341</v>
      </c>
      <c r="M6477" t="s">
        <v>30914</v>
      </c>
      <c r="N6477" t="s">
        <v>32524</v>
      </c>
      <c r="O6477" t="s">
        <v>32525</v>
      </c>
      <c r="P6477">
        <v>0</v>
      </c>
      <c r="Q6477">
        <v>0</v>
      </c>
      <c r="R6477" t="s">
        <v>32532</v>
      </c>
      <c r="S6477" t="s">
        <v>32616</v>
      </c>
      <c r="T6477" t="s">
        <v>33186</v>
      </c>
      <c r="U6477" t="s">
        <v>39076</v>
      </c>
      <c r="W6477" t="s">
        <v>30914</v>
      </c>
      <c r="X6477" t="s">
        <v>32533</v>
      </c>
    </row>
    <row r="6478" spans="1:24">
      <c r="A6478">
        <f>HYPERLINK("https://www.philgeps.gov.ph/GEPSNONPILOT/Tender/SplashBidNoticeAbstractUI.aspx?menuIndex=3&amp;refID=7036421&amp;Result=3","7036421")</f>
        <v>0</v>
      </c>
      <c r="B6478" t="s">
        <v>2032</v>
      </c>
      <c r="C6478" t="s">
        <v>8878</v>
      </c>
      <c r="D6478" t="s">
        <v>13006</v>
      </c>
      <c r="E6478" t="s">
        <v>13368</v>
      </c>
      <c r="F6478" t="s">
        <v>22436</v>
      </c>
      <c r="G6478" t="s">
        <v>22444</v>
      </c>
      <c r="H6478" t="s">
        <v>22452</v>
      </c>
      <c r="I6478" t="s">
        <v>3529</v>
      </c>
      <c r="J6478" t="s">
        <v>26809</v>
      </c>
      <c r="K6478" t="s">
        <v>29341</v>
      </c>
      <c r="M6478" t="s">
        <v>31767</v>
      </c>
      <c r="N6478" t="s">
        <v>32524</v>
      </c>
      <c r="O6478" t="s">
        <v>32525</v>
      </c>
      <c r="P6478">
        <v>0</v>
      </c>
      <c r="Q6478">
        <v>0</v>
      </c>
      <c r="R6478" t="s">
        <v>32532</v>
      </c>
      <c r="S6478" t="s">
        <v>32616</v>
      </c>
      <c r="T6478" t="s">
        <v>33167</v>
      </c>
      <c r="U6478" t="s">
        <v>39077</v>
      </c>
      <c r="W6478" t="s">
        <v>31767</v>
      </c>
      <c r="X6478" t="s">
        <v>32533</v>
      </c>
    </row>
    <row r="6479" spans="1:24">
      <c r="A6479">
        <f>HYPERLINK("https://www.philgeps.gov.ph/GEPSNONPILOT/Tender/SplashBidNoticeAbstractUI.aspx?menuIndex=3&amp;refID=7036425&amp;Result=3","7036425")</f>
        <v>0</v>
      </c>
      <c r="B6479" t="s">
        <v>2033</v>
      </c>
      <c r="C6479" t="s">
        <v>8879</v>
      </c>
      <c r="D6479" t="s">
        <v>13051</v>
      </c>
      <c r="E6479" t="s">
        <v>18806</v>
      </c>
      <c r="F6479" t="s">
        <v>22436</v>
      </c>
      <c r="G6479" t="s">
        <v>22444</v>
      </c>
      <c r="H6479" t="s">
        <v>22454</v>
      </c>
      <c r="I6479" t="s">
        <v>7738</v>
      </c>
      <c r="J6479" t="s">
        <v>26810</v>
      </c>
      <c r="K6479" t="s">
        <v>29333</v>
      </c>
      <c r="M6479" t="s">
        <v>31768</v>
      </c>
      <c r="N6479" t="s">
        <v>32524</v>
      </c>
      <c r="O6479" t="s">
        <v>32525</v>
      </c>
      <c r="P6479">
        <v>0</v>
      </c>
      <c r="Q6479">
        <v>0</v>
      </c>
      <c r="R6479" t="s">
        <v>32532</v>
      </c>
      <c r="S6479" t="s">
        <v>32616</v>
      </c>
      <c r="T6479" t="s">
        <v>33234</v>
      </c>
      <c r="U6479" t="s">
        <v>39078</v>
      </c>
      <c r="W6479" t="s">
        <v>31768</v>
      </c>
      <c r="X6479" t="s">
        <v>32533</v>
      </c>
    </row>
    <row r="6480" spans="1:24">
      <c r="A6480">
        <f>HYPERLINK("https://www.philgeps.gov.ph/GEPSNONPILOT/Tender/SplashBidNoticeAbstractUI.aspx?menuIndex=3&amp;refID=7036422&amp;Result=3","7036422")</f>
        <v>0</v>
      </c>
      <c r="B6480" t="s">
        <v>2031</v>
      </c>
      <c r="C6480" t="s">
        <v>8880</v>
      </c>
      <c r="D6480" t="s">
        <v>13041</v>
      </c>
      <c r="E6480" t="s">
        <v>18807</v>
      </c>
      <c r="F6480" t="s">
        <v>22436</v>
      </c>
      <c r="G6480" t="s">
        <v>22444</v>
      </c>
      <c r="H6480" t="s">
        <v>22454</v>
      </c>
      <c r="I6480" t="s">
        <v>7738</v>
      </c>
      <c r="J6480" t="s">
        <v>26811</v>
      </c>
      <c r="K6480" t="s">
        <v>29392</v>
      </c>
      <c r="M6480" t="s">
        <v>31765</v>
      </c>
      <c r="N6480" t="s">
        <v>32524</v>
      </c>
      <c r="O6480" t="s">
        <v>32525</v>
      </c>
      <c r="P6480">
        <v>0</v>
      </c>
      <c r="Q6480">
        <v>1</v>
      </c>
      <c r="R6480" t="s">
        <v>32532</v>
      </c>
      <c r="S6480" t="s">
        <v>32616</v>
      </c>
      <c r="T6480" t="s">
        <v>33234</v>
      </c>
      <c r="U6480" t="s">
        <v>39069</v>
      </c>
      <c r="W6480" t="s">
        <v>31765</v>
      </c>
      <c r="X6480" t="s">
        <v>32533</v>
      </c>
    </row>
    <row r="6481" spans="1:24">
      <c r="A6481">
        <f>HYPERLINK("https://www.philgeps.gov.ph/GEPSNONPILOT/Tender/SplashBidNoticeAbstractUI.aspx?menuIndex=3&amp;refID=7036423&amp;Result=3","7036423")</f>
        <v>0</v>
      </c>
      <c r="B6481" t="s">
        <v>2034</v>
      </c>
      <c r="C6481" t="s">
        <v>8881</v>
      </c>
      <c r="D6481" t="s">
        <v>13056</v>
      </c>
      <c r="E6481" t="s">
        <v>18507</v>
      </c>
      <c r="F6481" t="s">
        <v>22436</v>
      </c>
      <c r="G6481" t="s">
        <v>22444</v>
      </c>
      <c r="H6481" t="s">
        <v>22452</v>
      </c>
      <c r="I6481" t="s">
        <v>3529</v>
      </c>
      <c r="J6481" t="s">
        <v>26812</v>
      </c>
      <c r="K6481" t="s">
        <v>29338</v>
      </c>
      <c r="M6481" t="s">
        <v>31769</v>
      </c>
      <c r="N6481" t="s">
        <v>32524</v>
      </c>
      <c r="O6481" t="s">
        <v>32525</v>
      </c>
      <c r="P6481">
        <v>0</v>
      </c>
      <c r="Q6481">
        <v>0</v>
      </c>
      <c r="R6481" t="s">
        <v>32532</v>
      </c>
      <c r="S6481" t="s">
        <v>32616</v>
      </c>
      <c r="T6481" t="s">
        <v>33185</v>
      </c>
      <c r="U6481" t="s">
        <v>39079</v>
      </c>
      <c r="W6481" t="s">
        <v>31769</v>
      </c>
      <c r="X6481" t="s">
        <v>32533</v>
      </c>
    </row>
    <row r="6482" spans="1:24">
      <c r="A6482">
        <f>HYPERLINK("https://www.philgeps.gov.ph/GEPSNONPILOT/Tender/SplashBidNoticeAbstractUI.aspx?menuIndex=3&amp;refID=7036446&amp;Result=3","7036446")</f>
        <v>0</v>
      </c>
      <c r="B6482" t="s">
        <v>667</v>
      </c>
      <c r="C6482" t="s">
        <v>8882</v>
      </c>
      <c r="E6482" t="s">
        <v>18808</v>
      </c>
      <c r="F6482" t="s">
        <v>22436</v>
      </c>
      <c r="G6482" t="s">
        <v>22444</v>
      </c>
      <c r="H6482" t="s">
        <v>22452</v>
      </c>
      <c r="I6482" t="s">
        <v>22469</v>
      </c>
      <c r="J6482" t="s">
        <v>22634</v>
      </c>
      <c r="K6482" t="s">
        <v>29338</v>
      </c>
      <c r="M6482" t="s">
        <v>30802</v>
      </c>
      <c r="N6482" t="s">
        <v>32524</v>
      </c>
      <c r="O6482" t="s">
        <v>32525</v>
      </c>
      <c r="P6482">
        <v>0</v>
      </c>
      <c r="Q6482">
        <v>11</v>
      </c>
      <c r="R6482" t="s">
        <v>32532</v>
      </c>
      <c r="S6482" t="s">
        <v>32616</v>
      </c>
      <c r="T6482" t="s">
        <v>33253</v>
      </c>
      <c r="U6482" t="s">
        <v>39080</v>
      </c>
      <c r="W6482" t="s">
        <v>30802</v>
      </c>
      <c r="X6482" t="s">
        <v>32533</v>
      </c>
    </row>
    <row r="6483" spans="1:24">
      <c r="A6483">
        <f>HYPERLINK("https://www.philgeps.gov.ph/GEPSNONPILOT/Tender/SplashBidNoticeAbstractUI.aspx?menuIndex=3&amp;refID=7036438&amp;Result=3","7036438")</f>
        <v>0</v>
      </c>
      <c r="B6483" t="s">
        <v>545</v>
      </c>
      <c r="C6483" t="s">
        <v>8883</v>
      </c>
      <c r="D6483" t="s">
        <v>13000</v>
      </c>
      <c r="E6483" t="s">
        <v>18809</v>
      </c>
      <c r="F6483" t="s">
        <v>22436</v>
      </c>
      <c r="G6483" t="s">
        <v>22444</v>
      </c>
      <c r="H6483" t="s">
        <v>22454</v>
      </c>
      <c r="I6483" t="s">
        <v>7738</v>
      </c>
      <c r="J6483" t="s">
        <v>22779</v>
      </c>
      <c r="K6483" t="s">
        <v>29333</v>
      </c>
      <c r="M6483" t="s">
        <v>30129</v>
      </c>
      <c r="N6483" t="s">
        <v>32524</v>
      </c>
      <c r="O6483" t="s">
        <v>32525</v>
      </c>
      <c r="P6483">
        <v>0</v>
      </c>
      <c r="Q6483">
        <v>0</v>
      </c>
      <c r="R6483" t="s">
        <v>32532</v>
      </c>
      <c r="S6483" t="s">
        <v>32616</v>
      </c>
      <c r="T6483" t="s">
        <v>33191</v>
      </c>
      <c r="U6483" t="s">
        <v>39081</v>
      </c>
      <c r="W6483" t="s">
        <v>30129</v>
      </c>
      <c r="X6483" t="s">
        <v>32533</v>
      </c>
    </row>
    <row r="6484" spans="1:24">
      <c r="A6484">
        <f>HYPERLINK("https://www.philgeps.gov.ph/GEPSNONPILOT/Tender/SplashBidNoticeAbstractUI.aspx?menuIndex=3&amp;refID=7036445&amp;Result=3","7036445")</f>
        <v>0</v>
      </c>
      <c r="B6484" t="s">
        <v>128</v>
      </c>
      <c r="C6484" t="s">
        <v>8884</v>
      </c>
      <c r="D6484" t="s">
        <v>13025</v>
      </c>
      <c r="E6484" t="s">
        <v>18810</v>
      </c>
      <c r="F6484" t="s">
        <v>22436</v>
      </c>
      <c r="G6484" t="s">
        <v>22444</v>
      </c>
      <c r="H6484" t="s">
        <v>22452</v>
      </c>
      <c r="I6484" t="s">
        <v>3529</v>
      </c>
      <c r="J6484" t="s">
        <v>26813</v>
      </c>
      <c r="K6484" t="s">
        <v>29331</v>
      </c>
      <c r="M6484" t="s">
        <v>29700</v>
      </c>
      <c r="N6484" t="s">
        <v>32524</v>
      </c>
      <c r="O6484" t="s">
        <v>32525</v>
      </c>
      <c r="P6484">
        <v>0</v>
      </c>
      <c r="Q6484">
        <v>0</v>
      </c>
      <c r="R6484" t="s">
        <v>32532</v>
      </c>
      <c r="S6484" t="s">
        <v>32616</v>
      </c>
      <c r="T6484" t="s">
        <v>33220</v>
      </c>
      <c r="U6484" t="s">
        <v>39082</v>
      </c>
      <c r="W6484" t="s">
        <v>29700</v>
      </c>
      <c r="X6484" t="s">
        <v>32533</v>
      </c>
    </row>
    <row r="6485" spans="1:24">
      <c r="A6485">
        <f>HYPERLINK("https://www.philgeps.gov.ph/GEPSNONPILOT/Tender/SplashBidNoticeAbstractUI.aspx?menuIndex=3&amp;refID=7036469&amp;Result=3","7036469")</f>
        <v>0</v>
      </c>
      <c r="B6485" t="s">
        <v>545</v>
      </c>
      <c r="C6485" t="s">
        <v>8885</v>
      </c>
      <c r="D6485" t="s">
        <v>13000</v>
      </c>
      <c r="E6485" t="s">
        <v>18811</v>
      </c>
      <c r="F6485" t="s">
        <v>22436</v>
      </c>
      <c r="G6485" t="s">
        <v>22444</v>
      </c>
      <c r="H6485" t="s">
        <v>22454</v>
      </c>
      <c r="I6485" t="s">
        <v>7738</v>
      </c>
      <c r="J6485" t="s">
        <v>22788</v>
      </c>
      <c r="K6485" t="s">
        <v>29335</v>
      </c>
      <c r="M6485" t="s">
        <v>30129</v>
      </c>
      <c r="N6485" t="s">
        <v>32524</v>
      </c>
      <c r="O6485" t="s">
        <v>32525</v>
      </c>
      <c r="P6485">
        <v>0</v>
      </c>
      <c r="Q6485">
        <v>0</v>
      </c>
      <c r="R6485" t="s">
        <v>32532</v>
      </c>
      <c r="S6485" t="s">
        <v>32616</v>
      </c>
      <c r="T6485" t="s">
        <v>33191</v>
      </c>
      <c r="U6485" t="s">
        <v>39081</v>
      </c>
      <c r="W6485" t="s">
        <v>30129</v>
      </c>
      <c r="X6485" t="s">
        <v>32533</v>
      </c>
    </row>
    <row r="6486" spans="1:24">
      <c r="A6486">
        <f>HYPERLINK("https://www.philgeps.gov.ph/GEPSNONPILOT/Tender/SplashBidNoticeAbstractUI.aspx?menuIndex=3&amp;refID=7036443&amp;Result=3","7036443")</f>
        <v>0</v>
      </c>
      <c r="B6486" t="s">
        <v>2033</v>
      </c>
      <c r="C6486" t="s">
        <v>8886</v>
      </c>
      <c r="D6486" t="s">
        <v>13051</v>
      </c>
      <c r="E6486" t="s">
        <v>18812</v>
      </c>
      <c r="F6486" t="s">
        <v>22436</v>
      </c>
      <c r="G6486" t="s">
        <v>22444</v>
      </c>
      <c r="H6486" t="s">
        <v>22454</v>
      </c>
      <c r="I6486" t="s">
        <v>7738</v>
      </c>
      <c r="J6486" t="s">
        <v>26814</v>
      </c>
      <c r="K6486" t="s">
        <v>29335</v>
      </c>
      <c r="M6486" t="s">
        <v>31768</v>
      </c>
      <c r="N6486" t="s">
        <v>32524</v>
      </c>
      <c r="O6486" t="s">
        <v>32525</v>
      </c>
      <c r="P6486">
        <v>0</v>
      </c>
      <c r="Q6486">
        <v>0</v>
      </c>
      <c r="R6486" t="s">
        <v>32532</v>
      </c>
      <c r="S6486" t="s">
        <v>32616</v>
      </c>
      <c r="T6486" t="s">
        <v>33234</v>
      </c>
      <c r="U6486" t="s">
        <v>39078</v>
      </c>
      <c r="W6486" t="s">
        <v>31768</v>
      </c>
      <c r="X6486" t="s">
        <v>32533</v>
      </c>
    </row>
    <row r="6487" spans="1:24">
      <c r="A6487">
        <f>HYPERLINK("https://www.philgeps.gov.ph/GEPSNONPILOT/Tender/SplashBidNoticeAbstractUI.aspx?menuIndex=3&amp;refID=7036454&amp;Result=3","7036454")</f>
        <v>0</v>
      </c>
      <c r="B6487" t="s">
        <v>380</v>
      </c>
      <c r="C6487" t="s">
        <v>8887</v>
      </c>
      <c r="D6487" t="s">
        <v>12996</v>
      </c>
      <c r="E6487" t="s">
        <v>14360</v>
      </c>
      <c r="F6487" t="s">
        <v>22436</v>
      </c>
      <c r="G6487" t="s">
        <v>22446</v>
      </c>
      <c r="H6487" t="s">
        <v>22452</v>
      </c>
      <c r="I6487" t="s">
        <v>6421</v>
      </c>
      <c r="J6487" t="s">
        <v>26815</v>
      </c>
      <c r="K6487" t="s">
        <v>29338</v>
      </c>
      <c r="M6487" t="s">
        <v>29958</v>
      </c>
      <c r="N6487" t="s">
        <v>32524</v>
      </c>
      <c r="O6487" t="s">
        <v>32525</v>
      </c>
      <c r="P6487">
        <v>0</v>
      </c>
      <c r="Q6487">
        <v>3</v>
      </c>
      <c r="R6487" t="s">
        <v>32532</v>
      </c>
      <c r="S6487" t="s">
        <v>32616</v>
      </c>
      <c r="T6487" t="s">
        <v>33228</v>
      </c>
      <c r="U6487" t="s">
        <v>39083</v>
      </c>
      <c r="W6487" t="s">
        <v>29958</v>
      </c>
      <c r="X6487" t="s">
        <v>32533</v>
      </c>
    </row>
    <row r="6488" spans="1:24">
      <c r="A6488">
        <f>HYPERLINK("https://www.philgeps.gov.ph/GEPSNONPILOT/Tender/SplashBidNoticeAbstractUI.aspx?menuIndex=3&amp;refID=7036453&amp;Result=3","7036453")</f>
        <v>0</v>
      </c>
      <c r="B6488" t="s">
        <v>356</v>
      </c>
      <c r="C6488" t="s">
        <v>8888</v>
      </c>
      <c r="D6488" t="s">
        <v>12993</v>
      </c>
      <c r="E6488" t="s">
        <v>14752</v>
      </c>
      <c r="F6488" t="s">
        <v>22436</v>
      </c>
      <c r="G6488" t="s">
        <v>22447</v>
      </c>
      <c r="H6488" t="s">
        <v>22452</v>
      </c>
      <c r="I6488" t="s">
        <v>6421</v>
      </c>
      <c r="J6488" t="s">
        <v>22740</v>
      </c>
      <c r="K6488" t="s">
        <v>29336</v>
      </c>
      <c r="M6488" t="s">
        <v>30657</v>
      </c>
      <c r="N6488" t="s">
        <v>32524</v>
      </c>
      <c r="O6488" t="s">
        <v>32525</v>
      </c>
      <c r="P6488">
        <v>0</v>
      </c>
      <c r="Q6488">
        <v>3</v>
      </c>
      <c r="R6488" t="s">
        <v>32532</v>
      </c>
      <c r="S6488" t="s">
        <v>32616</v>
      </c>
      <c r="T6488" t="s">
        <v>33323</v>
      </c>
      <c r="U6488" t="s">
        <v>39084</v>
      </c>
      <c r="W6488" t="s">
        <v>30657</v>
      </c>
      <c r="X6488" t="s">
        <v>32533</v>
      </c>
    </row>
    <row r="6489" spans="1:24">
      <c r="A6489">
        <f>HYPERLINK("https://www.philgeps.gov.ph/GEPSNONPILOT/Tender/SplashBidNoticeAbstractUI.aspx?menuIndex=3&amp;refID=7036456&amp;Result=3","7036456")</f>
        <v>0</v>
      </c>
      <c r="B6489" t="s">
        <v>525</v>
      </c>
      <c r="C6489" t="s">
        <v>8889</v>
      </c>
      <c r="D6489" t="s">
        <v>13038</v>
      </c>
      <c r="E6489" t="s">
        <v>18813</v>
      </c>
      <c r="F6489" t="s">
        <v>22436</v>
      </c>
      <c r="G6489" t="s">
        <v>22444</v>
      </c>
      <c r="H6489" t="s">
        <v>22452</v>
      </c>
      <c r="I6489" t="s">
        <v>22469</v>
      </c>
      <c r="J6489" t="s">
        <v>26816</v>
      </c>
      <c r="K6489" t="s">
        <v>29335</v>
      </c>
      <c r="M6489" t="s">
        <v>30109</v>
      </c>
      <c r="N6489" t="s">
        <v>32524</v>
      </c>
      <c r="O6489" t="s">
        <v>32525</v>
      </c>
      <c r="P6489">
        <v>0</v>
      </c>
      <c r="Q6489">
        <v>0</v>
      </c>
      <c r="R6489" t="s">
        <v>32532</v>
      </c>
      <c r="S6489" t="s">
        <v>32616</v>
      </c>
      <c r="T6489" t="s">
        <v>33270</v>
      </c>
      <c r="U6489" t="s">
        <v>39085</v>
      </c>
      <c r="W6489" t="s">
        <v>30109</v>
      </c>
      <c r="X6489" t="s">
        <v>32533</v>
      </c>
    </row>
    <row r="6490" spans="1:24">
      <c r="A6490">
        <f>HYPERLINK("https://www.philgeps.gov.ph/GEPSNONPILOT/Tender/SplashBidNoticeAbstractUI.aspx?menuIndex=3&amp;refID=7036460&amp;Result=3","7036460")</f>
        <v>0</v>
      </c>
      <c r="B6490" t="s">
        <v>379</v>
      </c>
      <c r="C6490" t="s">
        <v>8890</v>
      </c>
      <c r="D6490" t="s">
        <v>13042</v>
      </c>
      <c r="E6490" t="s">
        <v>13318</v>
      </c>
      <c r="F6490" t="s">
        <v>22436</v>
      </c>
      <c r="G6490" t="s">
        <v>22444</v>
      </c>
      <c r="H6490" t="s">
        <v>22452</v>
      </c>
      <c r="I6490" t="s">
        <v>2981</v>
      </c>
      <c r="J6490" t="s">
        <v>26817</v>
      </c>
      <c r="K6490" t="s">
        <v>29335</v>
      </c>
      <c r="M6490" t="s">
        <v>29957</v>
      </c>
      <c r="N6490" t="s">
        <v>32524</v>
      </c>
      <c r="O6490" t="s">
        <v>32525</v>
      </c>
      <c r="P6490">
        <v>0</v>
      </c>
      <c r="Q6490">
        <v>1</v>
      </c>
      <c r="R6490" t="s">
        <v>32532</v>
      </c>
      <c r="S6490" t="s">
        <v>32616</v>
      </c>
      <c r="T6490" t="s">
        <v>33269</v>
      </c>
      <c r="U6490" t="s">
        <v>39086</v>
      </c>
      <c r="W6490" t="s">
        <v>29957</v>
      </c>
      <c r="X6490" t="s">
        <v>32533</v>
      </c>
    </row>
    <row r="6491" spans="1:24">
      <c r="A6491">
        <f>HYPERLINK("https://www.philgeps.gov.ph/GEPSNONPILOT/Tender/SplashBidNoticeAbstractUI.aspx?menuIndex=3&amp;refID=7036448&amp;Result=3","7036448")</f>
        <v>0</v>
      </c>
      <c r="B6491" t="s">
        <v>2035</v>
      </c>
      <c r="C6491" t="s">
        <v>4471</v>
      </c>
      <c r="D6491" t="s">
        <v>12990</v>
      </c>
      <c r="E6491" t="s">
        <v>14777</v>
      </c>
      <c r="F6491" t="s">
        <v>22436</v>
      </c>
      <c r="G6491" t="s">
        <v>22444</v>
      </c>
      <c r="H6491" t="s">
        <v>22452</v>
      </c>
      <c r="I6491" t="s">
        <v>2981</v>
      </c>
      <c r="J6491" t="s">
        <v>26818</v>
      </c>
      <c r="K6491" t="s">
        <v>29338</v>
      </c>
      <c r="M6491" t="s">
        <v>31770</v>
      </c>
      <c r="N6491" t="s">
        <v>32524</v>
      </c>
      <c r="O6491" t="s">
        <v>32525</v>
      </c>
      <c r="P6491">
        <v>0</v>
      </c>
      <c r="Q6491">
        <v>0</v>
      </c>
      <c r="R6491" t="s">
        <v>32532</v>
      </c>
      <c r="S6491" t="s">
        <v>32616</v>
      </c>
      <c r="T6491" t="s">
        <v>33356</v>
      </c>
      <c r="U6491" t="s">
        <v>39087</v>
      </c>
      <c r="W6491" t="s">
        <v>31770</v>
      </c>
      <c r="X6491" t="s">
        <v>32533</v>
      </c>
    </row>
    <row r="6492" spans="1:24">
      <c r="A6492">
        <f>HYPERLINK("https://www.philgeps.gov.ph/GEPSNONPILOT/Tender/SplashBidNoticeAbstractUI.aspx?menuIndex=3&amp;refID=7036433&amp;Result=3","7036433")</f>
        <v>0</v>
      </c>
      <c r="B6492" t="s">
        <v>356</v>
      </c>
      <c r="C6492" t="s">
        <v>8891</v>
      </c>
      <c r="D6492" t="s">
        <v>12993</v>
      </c>
      <c r="E6492" t="s">
        <v>14219</v>
      </c>
      <c r="F6492" t="s">
        <v>22436</v>
      </c>
      <c r="G6492" t="s">
        <v>22447</v>
      </c>
      <c r="H6492" t="s">
        <v>22452</v>
      </c>
      <c r="I6492" t="s">
        <v>22463</v>
      </c>
      <c r="J6492" t="s">
        <v>26819</v>
      </c>
      <c r="K6492" t="s">
        <v>29336</v>
      </c>
      <c r="M6492" t="s">
        <v>30657</v>
      </c>
      <c r="N6492" t="s">
        <v>32524</v>
      </c>
      <c r="O6492" t="s">
        <v>32525</v>
      </c>
      <c r="P6492">
        <v>0</v>
      </c>
      <c r="Q6492">
        <v>3</v>
      </c>
      <c r="R6492" t="s">
        <v>32532</v>
      </c>
      <c r="S6492" t="s">
        <v>32616</v>
      </c>
      <c r="T6492" t="s">
        <v>33323</v>
      </c>
      <c r="U6492" t="s">
        <v>39088</v>
      </c>
      <c r="W6492" t="s">
        <v>30657</v>
      </c>
      <c r="X6492" t="s">
        <v>32533</v>
      </c>
    </row>
    <row r="6493" spans="1:24">
      <c r="A6493">
        <f>HYPERLINK("https://www.philgeps.gov.ph/GEPSNONPILOT/Tender/SplashBidNoticeAbstractUI.aspx?menuIndex=3&amp;refID=7036471&amp;Result=3","7036471")</f>
        <v>0</v>
      </c>
      <c r="B6493" t="s">
        <v>380</v>
      </c>
      <c r="C6493" t="s">
        <v>8892</v>
      </c>
      <c r="D6493" t="s">
        <v>12996</v>
      </c>
      <c r="E6493" t="s">
        <v>18814</v>
      </c>
      <c r="F6493" t="s">
        <v>22436</v>
      </c>
      <c r="G6493" t="s">
        <v>22446</v>
      </c>
      <c r="H6493" t="s">
        <v>22452</v>
      </c>
      <c r="I6493" t="s">
        <v>22463</v>
      </c>
      <c r="J6493" t="s">
        <v>22657</v>
      </c>
      <c r="K6493" t="s">
        <v>29338</v>
      </c>
      <c r="M6493" t="s">
        <v>29958</v>
      </c>
      <c r="N6493" t="s">
        <v>32524</v>
      </c>
      <c r="O6493" t="s">
        <v>32525</v>
      </c>
      <c r="P6493">
        <v>0</v>
      </c>
      <c r="Q6493">
        <v>17</v>
      </c>
      <c r="R6493" t="s">
        <v>32532</v>
      </c>
      <c r="S6493" t="s">
        <v>32616</v>
      </c>
      <c r="T6493" t="s">
        <v>33228</v>
      </c>
      <c r="U6493" t="s">
        <v>39089</v>
      </c>
      <c r="W6493" t="s">
        <v>29958</v>
      </c>
      <c r="X6493" t="s">
        <v>32533</v>
      </c>
    </row>
    <row r="6494" spans="1:24">
      <c r="A6494">
        <f>HYPERLINK("https://www.philgeps.gov.ph/GEPSNONPILOT/Tender/SplashBidNoticeAbstractUI.aspx?menuIndex=3&amp;refID=7036447&amp;Result=3","7036447")</f>
        <v>0</v>
      </c>
      <c r="B6494" t="s">
        <v>1404</v>
      </c>
      <c r="C6494" t="s">
        <v>8893</v>
      </c>
      <c r="D6494" t="s">
        <v>13031</v>
      </c>
      <c r="E6494" t="s">
        <v>18815</v>
      </c>
      <c r="F6494" t="s">
        <v>22436</v>
      </c>
      <c r="G6494" t="s">
        <v>22449</v>
      </c>
      <c r="H6494" t="s">
        <v>22452</v>
      </c>
      <c r="I6494" t="s">
        <v>22455</v>
      </c>
      <c r="J6494" t="s">
        <v>22585</v>
      </c>
      <c r="K6494" t="s">
        <v>29371</v>
      </c>
      <c r="M6494" t="s">
        <v>31063</v>
      </c>
      <c r="N6494" t="s">
        <v>32524</v>
      </c>
      <c r="O6494" t="s">
        <v>32525</v>
      </c>
      <c r="P6494">
        <v>0</v>
      </c>
      <c r="Q6494">
        <v>1</v>
      </c>
      <c r="R6494" t="s">
        <v>32532</v>
      </c>
      <c r="S6494" t="s">
        <v>32616</v>
      </c>
      <c r="T6494" t="s">
        <v>33304</v>
      </c>
      <c r="U6494" t="s">
        <v>39090</v>
      </c>
      <c r="W6494" t="s">
        <v>31063</v>
      </c>
      <c r="X6494" t="s">
        <v>32533</v>
      </c>
    </row>
    <row r="6495" spans="1:24">
      <c r="A6495">
        <f>HYPERLINK("https://www.philgeps.gov.ph/GEPSNONPILOT/Tender/SplashBidNoticeAbstractUI.aspx?menuIndex=3&amp;refID=7036512&amp;Result=3","7036512")</f>
        <v>0</v>
      </c>
      <c r="B6495" t="s">
        <v>380</v>
      </c>
      <c r="C6495" t="s">
        <v>8894</v>
      </c>
      <c r="D6495" t="s">
        <v>12996</v>
      </c>
      <c r="E6495" t="s">
        <v>18816</v>
      </c>
      <c r="F6495" t="s">
        <v>22436</v>
      </c>
      <c r="G6495" t="s">
        <v>22446</v>
      </c>
      <c r="H6495" t="s">
        <v>22452</v>
      </c>
      <c r="I6495" t="s">
        <v>22502</v>
      </c>
      <c r="J6495" t="s">
        <v>26820</v>
      </c>
      <c r="K6495" t="s">
        <v>29338</v>
      </c>
      <c r="M6495" t="s">
        <v>29958</v>
      </c>
      <c r="N6495" t="s">
        <v>32524</v>
      </c>
      <c r="O6495" t="s">
        <v>32525</v>
      </c>
      <c r="P6495">
        <v>0</v>
      </c>
      <c r="Q6495">
        <v>12</v>
      </c>
      <c r="R6495" t="s">
        <v>32532</v>
      </c>
      <c r="S6495" t="s">
        <v>32616</v>
      </c>
      <c r="T6495" t="s">
        <v>33206</v>
      </c>
      <c r="U6495" t="s">
        <v>39091</v>
      </c>
      <c r="W6495" t="s">
        <v>29958</v>
      </c>
      <c r="X6495" t="s">
        <v>32533</v>
      </c>
    </row>
    <row r="6496" spans="1:24">
      <c r="A6496">
        <f>HYPERLINK("https://www.philgeps.gov.ph/GEPSNONPILOT/Tender/SplashBidNoticeAbstractUI.aspx?menuIndex=3&amp;refID=7036431&amp;Result=3","7036431")</f>
        <v>0</v>
      </c>
      <c r="B6496" t="s">
        <v>64</v>
      </c>
      <c r="C6496" t="s">
        <v>8895</v>
      </c>
      <c r="D6496" t="s">
        <v>13016</v>
      </c>
      <c r="E6496" t="s">
        <v>18817</v>
      </c>
      <c r="F6496" t="s">
        <v>22436</v>
      </c>
      <c r="G6496" t="s">
        <v>22443</v>
      </c>
      <c r="H6496" t="s">
        <v>22452</v>
      </c>
      <c r="I6496" t="s">
        <v>6387</v>
      </c>
      <c r="J6496" t="s">
        <v>23093</v>
      </c>
      <c r="K6496" t="s">
        <v>29335</v>
      </c>
      <c r="M6496" t="s">
        <v>29636</v>
      </c>
      <c r="N6496" t="s">
        <v>32524</v>
      </c>
      <c r="O6496" t="s">
        <v>32525</v>
      </c>
      <c r="P6496">
        <v>0</v>
      </c>
      <c r="Q6496">
        <v>2</v>
      </c>
      <c r="R6496" t="s">
        <v>32532</v>
      </c>
      <c r="S6496" t="s">
        <v>32616</v>
      </c>
      <c r="T6496" t="s">
        <v>33296</v>
      </c>
      <c r="U6496" t="s">
        <v>39092</v>
      </c>
      <c r="V6496" t="s">
        <v>42432</v>
      </c>
      <c r="W6496" t="s">
        <v>29636</v>
      </c>
      <c r="X6496" t="s">
        <v>32533</v>
      </c>
    </row>
    <row r="6497" spans="1:24">
      <c r="A6497">
        <f>HYPERLINK("https://www.philgeps.gov.ph/GEPSNONPILOT/Tender/SplashBidNoticeAbstractUI.aspx?menuIndex=3&amp;refID=7036511&amp;Result=3","7036511")</f>
        <v>0</v>
      </c>
      <c r="B6497" t="s">
        <v>545</v>
      </c>
      <c r="C6497" t="s">
        <v>8896</v>
      </c>
      <c r="D6497" t="s">
        <v>13000</v>
      </c>
      <c r="E6497" t="s">
        <v>18818</v>
      </c>
      <c r="F6497" t="s">
        <v>22436</v>
      </c>
      <c r="G6497" t="s">
        <v>22444</v>
      </c>
      <c r="H6497" t="s">
        <v>22452</v>
      </c>
      <c r="I6497" t="s">
        <v>5194</v>
      </c>
      <c r="J6497" t="s">
        <v>23066</v>
      </c>
      <c r="K6497" t="s">
        <v>29341</v>
      </c>
      <c r="M6497" t="s">
        <v>30129</v>
      </c>
      <c r="N6497" t="s">
        <v>32524</v>
      </c>
      <c r="O6497" t="s">
        <v>32525</v>
      </c>
      <c r="P6497">
        <v>0</v>
      </c>
      <c r="Q6497">
        <v>0</v>
      </c>
      <c r="R6497" t="s">
        <v>32532</v>
      </c>
      <c r="S6497" t="s">
        <v>32616</v>
      </c>
      <c r="T6497" t="s">
        <v>33191</v>
      </c>
      <c r="U6497" t="s">
        <v>39081</v>
      </c>
      <c r="W6497" t="s">
        <v>30129</v>
      </c>
      <c r="X6497" t="s">
        <v>32533</v>
      </c>
    </row>
    <row r="6498" spans="1:24">
      <c r="A6498">
        <f>HYPERLINK("https://www.philgeps.gov.ph/GEPSNONPILOT/Tender/SplashBidNoticeAbstractUI.aspx?menuIndex=3&amp;refID=7036430&amp;Result=3","7036430")</f>
        <v>0</v>
      </c>
      <c r="B6498" t="s">
        <v>1902</v>
      </c>
      <c r="C6498" t="s">
        <v>8897</v>
      </c>
      <c r="D6498" t="s">
        <v>13014</v>
      </c>
      <c r="E6498" t="s">
        <v>18819</v>
      </c>
      <c r="F6498" t="s">
        <v>22436</v>
      </c>
      <c r="G6498" t="s">
        <v>22444</v>
      </c>
      <c r="H6498" t="s">
        <v>22454</v>
      </c>
      <c r="I6498" t="s">
        <v>7738</v>
      </c>
      <c r="J6498" t="s">
        <v>24431</v>
      </c>
      <c r="K6498" t="s">
        <v>29346</v>
      </c>
      <c r="M6498" t="s">
        <v>31766</v>
      </c>
      <c r="N6498" t="s">
        <v>32524</v>
      </c>
      <c r="O6498" t="s">
        <v>32525</v>
      </c>
      <c r="P6498">
        <v>0</v>
      </c>
      <c r="Q6498">
        <v>0</v>
      </c>
      <c r="R6498" t="s">
        <v>32532</v>
      </c>
      <c r="S6498" t="s">
        <v>32616</v>
      </c>
      <c r="T6498" t="s">
        <v>33218</v>
      </c>
      <c r="U6498" t="s">
        <v>39093</v>
      </c>
      <c r="W6498" t="s">
        <v>31766</v>
      </c>
      <c r="X6498" t="s">
        <v>32533</v>
      </c>
    </row>
    <row r="6499" spans="1:24">
      <c r="A6499">
        <f>HYPERLINK("https://www.philgeps.gov.ph/GEPSNONPILOT/Tender/SplashBidNoticeAbstractUI.aspx?menuIndex=3&amp;refID=7036529&amp;Result=3","7036529")</f>
        <v>0</v>
      </c>
      <c r="B6499" t="s">
        <v>2006</v>
      </c>
      <c r="C6499" t="s">
        <v>8898</v>
      </c>
      <c r="E6499" t="s">
        <v>18820</v>
      </c>
      <c r="F6499" t="s">
        <v>22436</v>
      </c>
      <c r="G6499" t="s">
        <v>22444</v>
      </c>
      <c r="H6499" t="s">
        <v>22452</v>
      </c>
      <c r="I6499" t="s">
        <v>22474</v>
      </c>
      <c r="J6499" t="s">
        <v>26821</v>
      </c>
      <c r="K6499" t="s">
        <v>29338</v>
      </c>
      <c r="M6499" t="s">
        <v>31739</v>
      </c>
      <c r="N6499" t="s">
        <v>32524</v>
      </c>
      <c r="O6499" t="s">
        <v>32525</v>
      </c>
      <c r="P6499">
        <v>0</v>
      </c>
      <c r="Q6499">
        <v>0</v>
      </c>
      <c r="R6499" t="s">
        <v>32532</v>
      </c>
      <c r="S6499" t="s">
        <v>32616</v>
      </c>
      <c r="T6499" t="s">
        <v>33455</v>
      </c>
      <c r="U6499" t="s">
        <v>39094</v>
      </c>
      <c r="W6499" t="s">
        <v>31739</v>
      </c>
      <c r="X6499" t="s">
        <v>32533</v>
      </c>
    </row>
    <row r="6500" spans="1:24">
      <c r="A6500">
        <f>HYPERLINK("https://www.philgeps.gov.ph/GEPSNONPILOT/Tender/SplashBidNoticeAbstractUI.aspx?menuIndex=3&amp;refID=7036523&amp;Result=3","7036523")</f>
        <v>0</v>
      </c>
      <c r="B6500" t="s">
        <v>525</v>
      </c>
      <c r="C6500" t="s">
        <v>8899</v>
      </c>
      <c r="D6500" t="s">
        <v>13038</v>
      </c>
      <c r="E6500" t="s">
        <v>18821</v>
      </c>
      <c r="F6500" t="s">
        <v>22436</v>
      </c>
      <c r="G6500" t="s">
        <v>22444</v>
      </c>
      <c r="H6500" t="s">
        <v>22452</v>
      </c>
      <c r="I6500" t="s">
        <v>6421</v>
      </c>
      <c r="J6500" t="s">
        <v>26822</v>
      </c>
      <c r="K6500" t="s">
        <v>29335</v>
      </c>
      <c r="M6500" t="s">
        <v>30109</v>
      </c>
      <c r="N6500" t="s">
        <v>32524</v>
      </c>
      <c r="O6500" t="s">
        <v>32525</v>
      </c>
      <c r="P6500">
        <v>0</v>
      </c>
      <c r="Q6500">
        <v>1</v>
      </c>
      <c r="R6500" t="s">
        <v>32532</v>
      </c>
      <c r="S6500" t="s">
        <v>32616</v>
      </c>
      <c r="T6500" t="s">
        <v>33270</v>
      </c>
      <c r="U6500" t="s">
        <v>39095</v>
      </c>
      <c r="W6500" t="s">
        <v>30109</v>
      </c>
      <c r="X6500" t="s">
        <v>32533</v>
      </c>
    </row>
    <row r="6501" spans="1:24">
      <c r="A6501">
        <f>HYPERLINK("https://www.philgeps.gov.ph/GEPSNONPILOT/Tender/SplashBidNoticeAbstractUI.aspx?menuIndex=3&amp;refID=7036517&amp;Result=3","7036517")</f>
        <v>0</v>
      </c>
      <c r="B6501" t="s">
        <v>95</v>
      </c>
      <c r="C6501" t="s">
        <v>8900</v>
      </c>
      <c r="D6501" t="s">
        <v>13028</v>
      </c>
      <c r="E6501" t="s">
        <v>18822</v>
      </c>
      <c r="F6501" t="s">
        <v>22436</v>
      </c>
      <c r="G6501" t="s">
        <v>22444</v>
      </c>
      <c r="H6501" t="s">
        <v>22452</v>
      </c>
      <c r="I6501" t="s">
        <v>22458</v>
      </c>
      <c r="J6501" t="s">
        <v>24189</v>
      </c>
      <c r="K6501" t="s">
        <v>29334</v>
      </c>
      <c r="M6501" t="s">
        <v>30024</v>
      </c>
      <c r="N6501" t="s">
        <v>32524</v>
      </c>
      <c r="O6501" t="s">
        <v>32525</v>
      </c>
      <c r="P6501">
        <v>0</v>
      </c>
      <c r="Q6501">
        <v>8</v>
      </c>
      <c r="R6501" t="s">
        <v>32532</v>
      </c>
      <c r="S6501" t="s">
        <v>32616</v>
      </c>
      <c r="T6501" t="s">
        <v>33234</v>
      </c>
      <c r="U6501" t="s">
        <v>39096</v>
      </c>
      <c r="W6501" t="s">
        <v>30024</v>
      </c>
      <c r="X6501" t="s">
        <v>32533</v>
      </c>
    </row>
    <row r="6502" spans="1:24">
      <c r="A6502">
        <f>HYPERLINK("https://www.philgeps.gov.ph/GEPSNONPILOT/Tender/SplashBidNoticeAbstractUI.aspx?menuIndex=3&amp;refID=7036530&amp;Result=3","7036530")</f>
        <v>0</v>
      </c>
      <c r="B6502" t="s">
        <v>2036</v>
      </c>
      <c r="C6502" t="s">
        <v>8901</v>
      </c>
      <c r="D6502" t="s">
        <v>13029</v>
      </c>
      <c r="E6502" t="s">
        <v>14933</v>
      </c>
      <c r="F6502" t="s">
        <v>22436</v>
      </c>
      <c r="G6502" t="s">
        <v>22444</v>
      </c>
      <c r="H6502" t="s">
        <v>22454</v>
      </c>
      <c r="I6502" t="s">
        <v>7738</v>
      </c>
      <c r="J6502" t="s">
        <v>22824</v>
      </c>
      <c r="K6502" t="s">
        <v>29337</v>
      </c>
      <c r="M6502" t="s">
        <v>31771</v>
      </c>
      <c r="N6502" t="s">
        <v>32524</v>
      </c>
      <c r="O6502" t="s">
        <v>32525</v>
      </c>
      <c r="P6502">
        <v>0</v>
      </c>
      <c r="Q6502">
        <v>1</v>
      </c>
      <c r="R6502" t="s">
        <v>32532</v>
      </c>
      <c r="S6502" t="s">
        <v>32616</v>
      </c>
      <c r="T6502" t="s">
        <v>33155</v>
      </c>
      <c r="U6502" t="s">
        <v>39097</v>
      </c>
      <c r="W6502" t="s">
        <v>31771</v>
      </c>
      <c r="X6502" t="s">
        <v>32533</v>
      </c>
    </row>
    <row r="6503" spans="1:24">
      <c r="A6503">
        <f>HYPERLINK("https://www.philgeps.gov.ph/GEPSNONPILOT/Tender/SplashBidNoticeAbstractUI.aspx?menuIndex=3&amp;refID=7036496&amp;Result=3","7036496")</f>
        <v>0</v>
      </c>
      <c r="B6503" t="s">
        <v>2037</v>
      </c>
      <c r="C6503" t="s">
        <v>8902</v>
      </c>
      <c r="D6503" t="s">
        <v>13000</v>
      </c>
      <c r="E6503" t="s">
        <v>13760</v>
      </c>
      <c r="F6503" t="s">
        <v>22436</v>
      </c>
      <c r="G6503" t="s">
        <v>22444</v>
      </c>
      <c r="H6503" t="s">
        <v>22452</v>
      </c>
      <c r="I6503" t="s">
        <v>22509</v>
      </c>
      <c r="J6503" t="s">
        <v>22607</v>
      </c>
      <c r="K6503" t="s">
        <v>29336</v>
      </c>
      <c r="M6503" t="s">
        <v>31772</v>
      </c>
      <c r="N6503" t="s">
        <v>32524</v>
      </c>
      <c r="O6503" t="s">
        <v>32525</v>
      </c>
      <c r="P6503">
        <v>0</v>
      </c>
      <c r="Q6503">
        <v>2</v>
      </c>
      <c r="R6503" t="s">
        <v>32532</v>
      </c>
      <c r="S6503" t="s">
        <v>32616</v>
      </c>
      <c r="T6503" t="s">
        <v>33304</v>
      </c>
      <c r="U6503" t="s">
        <v>39098</v>
      </c>
      <c r="W6503" t="s">
        <v>31772</v>
      </c>
      <c r="X6503" t="s">
        <v>32533</v>
      </c>
    </row>
    <row r="6504" spans="1:24">
      <c r="A6504">
        <f>HYPERLINK("https://www.philgeps.gov.ph/GEPSNONPILOT/Tender/SplashBidNoticeAbstractUI.aspx?menuIndex=3&amp;refID=7036429&amp;Result=3","7036429")</f>
        <v>0</v>
      </c>
      <c r="B6504" t="s">
        <v>2037</v>
      </c>
      <c r="C6504" t="s">
        <v>8903</v>
      </c>
      <c r="D6504" t="s">
        <v>13000</v>
      </c>
      <c r="E6504" t="s">
        <v>13760</v>
      </c>
      <c r="F6504" t="s">
        <v>22436</v>
      </c>
      <c r="G6504" t="s">
        <v>22444</v>
      </c>
      <c r="H6504" t="s">
        <v>22452</v>
      </c>
      <c r="I6504" t="s">
        <v>22466</v>
      </c>
      <c r="J6504" t="s">
        <v>22589</v>
      </c>
      <c r="K6504" t="s">
        <v>29336</v>
      </c>
      <c r="M6504" t="s">
        <v>31772</v>
      </c>
      <c r="N6504" t="s">
        <v>32524</v>
      </c>
      <c r="O6504" t="s">
        <v>32525</v>
      </c>
      <c r="P6504">
        <v>0</v>
      </c>
      <c r="Q6504">
        <v>2</v>
      </c>
      <c r="R6504" t="s">
        <v>32532</v>
      </c>
      <c r="S6504" t="s">
        <v>32616</v>
      </c>
      <c r="T6504" t="s">
        <v>33238</v>
      </c>
      <c r="U6504" t="s">
        <v>39099</v>
      </c>
      <c r="W6504" t="s">
        <v>31772</v>
      </c>
      <c r="X6504" t="s">
        <v>32533</v>
      </c>
    </row>
    <row r="6505" spans="1:24">
      <c r="A6505">
        <f>HYPERLINK("https://www.philgeps.gov.ph/GEPSNONPILOT/Tender/SplashBidNoticeAbstractUI.aspx?menuIndex=3&amp;refID=7036489&amp;Result=3","7036489")</f>
        <v>0</v>
      </c>
      <c r="B6505" t="s">
        <v>525</v>
      </c>
      <c r="C6505" t="s">
        <v>8904</v>
      </c>
      <c r="D6505" t="s">
        <v>13038</v>
      </c>
      <c r="E6505" t="s">
        <v>18823</v>
      </c>
      <c r="F6505" t="s">
        <v>22436</v>
      </c>
      <c r="G6505" t="s">
        <v>22444</v>
      </c>
      <c r="H6505" t="s">
        <v>22452</v>
      </c>
      <c r="I6505" t="s">
        <v>22467</v>
      </c>
      <c r="J6505" t="s">
        <v>26823</v>
      </c>
      <c r="K6505" t="s">
        <v>29340</v>
      </c>
      <c r="M6505" t="s">
        <v>30109</v>
      </c>
      <c r="N6505" t="s">
        <v>32524</v>
      </c>
      <c r="O6505" t="s">
        <v>32525</v>
      </c>
      <c r="P6505">
        <v>0</v>
      </c>
      <c r="Q6505">
        <v>0</v>
      </c>
      <c r="R6505" t="s">
        <v>32532</v>
      </c>
      <c r="S6505" t="s">
        <v>32616</v>
      </c>
      <c r="T6505" t="s">
        <v>33270</v>
      </c>
      <c r="U6505" t="s">
        <v>39100</v>
      </c>
      <c r="W6505" t="s">
        <v>30109</v>
      </c>
      <c r="X6505" t="s">
        <v>32533</v>
      </c>
    </row>
    <row r="6506" spans="1:24">
      <c r="A6506">
        <f>HYPERLINK("https://www.philgeps.gov.ph/GEPSNONPILOT/Tender/SplashBidNoticeAbstractUI.aspx?menuIndex=3&amp;refID=7036501&amp;Result=3","7036501")</f>
        <v>0</v>
      </c>
      <c r="B6506" t="s">
        <v>1757</v>
      </c>
      <c r="C6506" t="s">
        <v>8905</v>
      </c>
      <c r="D6506" t="s">
        <v>12988</v>
      </c>
      <c r="E6506" t="s">
        <v>18824</v>
      </c>
      <c r="F6506" t="s">
        <v>22436</v>
      </c>
      <c r="G6506" t="s">
        <v>22445</v>
      </c>
      <c r="H6506" t="s">
        <v>22452</v>
      </c>
      <c r="I6506" t="s">
        <v>3529</v>
      </c>
      <c r="J6506" t="s">
        <v>26824</v>
      </c>
      <c r="K6506" t="s">
        <v>29341</v>
      </c>
      <c r="M6506" t="s">
        <v>31740</v>
      </c>
      <c r="N6506" t="s">
        <v>32524</v>
      </c>
      <c r="O6506" t="s">
        <v>32525</v>
      </c>
      <c r="P6506">
        <v>0</v>
      </c>
      <c r="Q6506">
        <v>4</v>
      </c>
      <c r="R6506" t="s">
        <v>32532</v>
      </c>
      <c r="S6506" t="s">
        <v>32616</v>
      </c>
      <c r="T6506" t="s">
        <v>33372</v>
      </c>
      <c r="U6506" t="s">
        <v>39101</v>
      </c>
      <c r="W6506" t="s">
        <v>31740</v>
      </c>
      <c r="X6506" t="s">
        <v>32533</v>
      </c>
    </row>
    <row r="6507" spans="1:24">
      <c r="A6507">
        <f>HYPERLINK("https://www.philgeps.gov.ph/GEPSNONPILOT/Tender/SplashBidNoticeAbstractUI.aspx?menuIndex=3&amp;refID=7036522&amp;Result=3","7036522")</f>
        <v>0</v>
      </c>
      <c r="B6507" t="s">
        <v>2038</v>
      </c>
      <c r="C6507" t="s">
        <v>8906</v>
      </c>
      <c r="D6507" t="s">
        <v>13051</v>
      </c>
      <c r="E6507" t="s">
        <v>18825</v>
      </c>
      <c r="F6507" t="s">
        <v>22436</v>
      </c>
      <c r="G6507" t="s">
        <v>22444</v>
      </c>
      <c r="H6507" t="s">
        <v>22452</v>
      </c>
      <c r="I6507" t="s">
        <v>3529</v>
      </c>
      <c r="J6507" t="s">
        <v>26825</v>
      </c>
      <c r="K6507" t="s">
        <v>29331</v>
      </c>
      <c r="M6507" t="s">
        <v>31773</v>
      </c>
      <c r="N6507" t="s">
        <v>32524</v>
      </c>
      <c r="O6507" t="s">
        <v>32525</v>
      </c>
      <c r="P6507">
        <v>0</v>
      </c>
      <c r="Q6507">
        <v>0</v>
      </c>
      <c r="R6507" t="s">
        <v>32532</v>
      </c>
      <c r="S6507" t="s">
        <v>32616</v>
      </c>
      <c r="T6507" t="s">
        <v>33323</v>
      </c>
      <c r="U6507" t="s">
        <v>39102</v>
      </c>
      <c r="W6507" t="s">
        <v>31773</v>
      </c>
      <c r="X6507" t="s">
        <v>32533</v>
      </c>
    </row>
    <row r="6508" spans="1:24">
      <c r="A6508">
        <f>HYPERLINK("https://www.philgeps.gov.ph/GEPSNONPILOT/Tender/SplashBidNoticeAbstractUI.aspx?menuIndex=3&amp;refID=7036441&amp;Result=3","7036441")</f>
        <v>0</v>
      </c>
      <c r="B6508" t="s">
        <v>1757</v>
      </c>
      <c r="C6508" t="s">
        <v>8907</v>
      </c>
      <c r="D6508" t="s">
        <v>12988</v>
      </c>
      <c r="E6508" t="s">
        <v>18826</v>
      </c>
      <c r="F6508" t="s">
        <v>22436</v>
      </c>
      <c r="G6508" t="s">
        <v>22443</v>
      </c>
      <c r="H6508" t="s">
        <v>22452</v>
      </c>
      <c r="I6508" t="s">
        <v>22461</v>
      </c>
      <c r="J6508" t="s">
        <v>26826</v>
      </c>
      <c r="K6508" t="s">
        <v>29341</v>
      </c>
      <c r="M6508" t="s">
        <v>31740</v>
      </c>
      <c r="N6508" t="s">
        <v>32524</v>
      </c>
      <c r="O6508" t="s">
        <v>32525</v>
      </c>
      <c r="P6508">
        <v>0</v>
      </c>
      <c r="Q6508">
        <v>3</v>
      </c>
      <c r="R6508" t="s">
        <v>32532</v>
      </c>
      <c r="S6508" t="s">
        <v>32616</v>
      </c>
      <c r="T6508" t="s">
        <v>33372</v>
      </c>
      <c r="U6508" t="s">
        <v>39103</v>
      </c>
      <c r="W6508" t="s">
        <v>31740</v>
      </c>
      <c r="X6508" t="s">
        <v>32533</v>
      </c>
    </row>
    <row r="6509" spans="1:24">
      <c r="A6509">
        <f>HYPERLINK("https://www.philgeps.gov.ph/GEPSNONPILOT/Tender/SplashBidNoticeAbstractUI.aspx?menuIndex=3&amp;refID=7036484&amp;Result=3","7036484")</f>
        <v>0</v>
      </c>
      <c r="B6509" t="s">
        <v>128</v>
      </c>
      <c r="C6509" t="s">
        <v>8908</v>
      </c>
      <c r="D6509" t="s">
        <v>13025</v>
      </c>
      <c r="E6509" t="s">
        <v>18827</v>
      </c>
      <c r="F6509" t="s">
        <v>22436</v>
      </c>
      <c r="G6509" t="s">
        <v>22444</v>
      </c>
      <c r="H6509" t="s">
        <v>22452</v>
      </c>
      <c r="I6509" t="s">
        <v>3529</v>
      </c>
      <c r="J6509" t="s">
        <v>25765</v>
      </c>
      <c r="K6509" t="s">
        <v>29331</v>
      </c>
      <c r="M6509" t="s">
        <v>29700</v>
      </c>
      <c r="N6509" t="s">
        <v>32524</v>
      </c>
      <c r="O6509" t="s">
        <v>32525</v>
      </c>
      <c r="P6509">
        <v>0</v>
      </c>
      <c r="Q6509">
        <v>0</v>
      </c>
      <c r="R6509" t="s">
        <v>32532</v>
      </c>
      <c r="S6509" t="s">
        <v>32616</v>
      </c>
      <c r="T6509" t="s">
        <v>33220</v>
      </c>
      <c r="U6509" t="s">
        <v>37699</v>
      </c>
      <c r="W6509" t="s">
        <v>29700</v>
      </c>
      <c r="X6509" t="s">
        <v>32533</v>
      </c>
    </row>
    <row r="6510" spans="1:24">
      <c r="A6510">
        <f>HYPERLINK("https://www.philgeps.gov.ph/GEPSNONPILOT/Tender/SplashBidNoticeAbstractUI.aspx?menuIndex=3&amp;refID=7036488&amp;Result=3","7036488")</f>
        <v>0</v>
      </c>
      <c r="B6510" t="s">
        <v>1702</v>
      </c>
      <c r="C6510" t="s">
        <v>8909</v>
      </c>
      <c r="D6510" t="s">
        <v>13065</v>
      </c>
      <c r="E6510" t="s">
        <v>18828</v>
      </c>
      <c r="F6510" t="s">
        <v>22436</v>
      </c>
      <c r="G6510" t="s">
        <v>22444</v>
      </c>
      <c r="H6510" t="s">
        <v>22454</v>
      </c>
      <c r="I6510" t="s">
        <v>7738</v>
      </c>
      <c r="J6510" t="s">
        <v>22936</v>
      </c>
      <c r="K6510" t="s">
        <v>29396</v>
      </c>
      <c r="M6510" t="s">
        <v>31404</v>
      </c>
      <c r="N6510" t="s">
        <v>32524</v>
      </c>
      <c r="O6510" t="s">
        <v>32525</v>
      </c>
      <c r="P6510">
        <v>0</v>
      </c>
      <c r="Q6510">
        <v>0</v>
      </c>
      <c r="R6510" t="s">
        <v>32532</v>
      </c>
      <c r="S6510" t="s">
        <v>32616</v>
      </c>
      <c r="T6510" t="s">
        <v>33187</v>
      </c>
      <c r="U6510" t="s">
        <v>37883</v>
      </c>
      <c r="W6510" t="s">
        <v>31404</v>
      </c>
      <c r="X6510" t="s">
        <v>32533</v>
      </c>
    </row>
    <row r="6511" spans="1:24">
      <c r="A6511">
        <f>HYPERLINK("https://www.philgeps.gov.ph/GEPSNONPILOT/Tender/SplashBidNoticeAbstractUI.aspx?menuIndex=3&amp;refID=7036490&amp;Result=3","7036490")</f>
        <v>0</v>
      </c>
      <c r="B6511" t="s">
        <v>1951</v>
      </c>
      <c r="C6511" t="s">
        <v>8910</v>
      </c>
      <c r="D6511" t="s">
        <v>13065</v>
      </c>
      <c r="E6511" t="s">
        <v>15063</v>
      </c>
      <c r="F6511" t="s">
        <v>22436</v>
      </c>
      <c r="G6511" t="s">
        <v>22444</v>
      </c>
      <c r="H6511" t="s">
        <v>22454</v>
      </c>
      <c r="I6511" t="s">
        <v>7738</v>
      </c>
      <c r="J6511" t="s">
        <v>26827</v>
      </c>
      <c r="K6511" t="s">
        <v>29470</v>
      </c>
      <c r="M6511" t="s">
        <v>31681</v>
      </c>
      <c r="N6511" t="s">
        <v>32524</v>
      </c>
      <c r="O6511" t="s">
        <v>32525</v>
      </c>
      <c r="P6511">
        <v>0</v>
      </c>
      <c r="Q6511">
        <v>0</v>
      </c>
      <c r="R6511" t="s">
        <v>32532</v>
      </c>
      <c r="S6511" t="s">
        <v>32616</v>
      </c>
      <c r="T6511" t="s">
        <v>33522</v>
      </c>
      <c r="U6511" t="s">
        <v>39104</v>
      </c>
      <c r="W6511" t="s">
        <v>31681</v>
      </c>
      <c r="X6511" t="s">
        <v>32533</v>
      </c>
    </row>
    <row r="6512" spans="1:24">
      <c r="A6512">
        <f>HYPERLINK("https://www.philgeps.gov.ph/GEPSNONPILOT/Tender/SplashBidNoticeAbstractUI.aspx?menuIndex=3&amp;refID=7036502&amp;Result=3","7036502")</f>
        <v>0</v>
      </c>
      <c r="B6512" t="s">
        <v>2006</v>
      </c>
      <c r="C6512" t="s">
        <v>8911</v>
      </c>
      <c r="E6512" t="s">
        <v>18829</v>
      </c>
      <c r="F6512" t="s">
        <v>22436</v>
      </c>
      <c r="G6512" t="s">
        <v>22444</v>
      </c>
      <c r="H6512" t="s">
        <v>22452</v>
      </c>
      <c r="I6512" t="s">
        <v>3529</v>
      </c>
      <c r="J6512" t="s">
        <v>26828</v>
      </c>
      <c r="K6512" t="s">
        <v>29337</v>
      </c>
      <c r="M6512" t="s">
        <v>31739</v>
      </c>
      <c r="N6512" t="s">
        <v>32524</v>
      </c>
      <c r="O6512" t="s">
        <v>32525</v>
      </c>
      <c r="P6512">
        <v>0</v>
      </c>
      <c r="Q6512">
        <v>0</v>
      </c>
      <c r="R6512" t="s">
        <v>32532</v>
      </c>
      <c r="S6512" t="s">
        <v>32616</v>
      </c>
      <c r="T6512" t="s">
        <v>33455</v>
      </c>
      <c r="U6512" t="s">
        <v>39094</v>
      </c>
      <c r="W6512" t="s">
        <v>31739</v>
      </c>
      <c r="X6512" t="s">
        <v>32533</v>
      </c>
    </row>
    <row r="6513" spans="1:24">
      <c r="A6513">
        <f>HYPERLINK("https://www.philgeps.gov.ph/GEPSNONPILOT/Tender/SplashBidNoticeAbstractUI.aspx?menuIndex=3&amp;refID=7036482&amp;Result=3","7036482")</f>
        <v>0</v>
      </c>
      <c r="B6513" t="s">
        <v>627</v>
      </c>
      <c r="C6513" t="s">
        <v>8912</v>
      </c>
      <c r="D6513" t="s">
        <v>13041</v>
      </c>
      <c r="E6513" t="s">
        <v>13417</v>
      </c>
      <c r="F6513" t="s">
        <v>22436</v>
      </c>
      <c r="G6513" t="s">
        <v>22444</v>
      </c>
      <c r="H6513" t="s">
        <v>22454</v>
      </c>
      <c r="I6513" t="s">
        <v>7738</v>
      </c>
      <c r="J6513" t="s">
        <v>22747</v>
      </c>
      <c r="K6513" t="s">
        <v>29421</v>
      </c>
      <c r="M6513" t="s">
        <v>30218</v>
      </c>
      <c r="N6513" t="s">
        <v>32524</v>
      </c>
      <c r="O6513" t="s">
        <v>32525</v>
      </c>
      <c r="P6513">
        <v>0</v>
      </c>
      <c r="Q6513">
        <v>0</v>
      </c>
      <c r="R6513" t="s">
        <v>32532</v>
      </c>
      <c r="S6513" t="s">
        <v>32616</v>
      </c>
      <c r="T6513" t="s">
        <v>33402</v>
      </c>
      <c r="U6513" t="s">
        <v>39075</v>
      </c>
      <c r="W6513" t="s">
        <v>30218</v>
      </c>
      <c r="X6513" t="s">
        <v>32533</v>
      </c>
    </row>
    <row r="6514" spans="1:24">
      <c r="A6514">
        <f>HYPERLINK("https://www.philgeps.gov.ph/GEPSNONPILOT/Tender/SplashBidNoticeAbstractUI.aspx?menuIndex=3&amp;refID=7036475&amp;Result=3","7036475")</f>
        <v>0</v>
      </c>
      <c r="B6514" t="s">
        <v>525</v>
      </c>
      <c r="C6514" t="s">
        <v>8913</v>
      </c>
      <c r="D6514" t="s">
        <v>13038</v>
      </c>
      <c r="E6514" t="s">
        <v>8913</v>
      </c>
      <c r="F6514" t="s">
        <v>22436</v>
      </c>
      <c r="G6514" t="s">
        <v>22444</v>
      </c>
      <c r="H6514" t="s">
        <v>22452</v>
      </c>
      <c r="I6514" t="s">
        <v>3827</v>
      </c>
      <c r="J6514" t="s">
        <v>26829</v>
      </c>
      <c r="K6514" t="s">
        <v>29335</v>
      </c>
      <c r="M6514" t="s">
        <v>30109</v>
      </c>
      <c r="N6514" t="s">
        <v>32524</v>
      </c>
      <c r="O6514" t="s">
        <v>32525</v>
      </c>
      <c r="P6514">
        <v>0</v>
      </c>
      <c r="Q6514">
        <v>0</v>
      </c>
      <c r="R6514" t="s">
        <v>32532</v>
      </c>
      <c r="S6514" t="s">
        <v>32616</v>
      </c>
      <c r="T6514" t="s">
        <v>33270</v>
      </c>
      <c r="U6514" t="s">
        <v>39105</v>
      </c>
      <c r="W6514" t="s">
        <v>30109</v>
      </c>
      <c r="X6514" t="s">
        <v>32533</v>
      </c>
    </row>
    <row r="6515" spans="1:24">
      <c r="A6515">
        <f>HYPERLINK("https://www.philgeps.gov.ph/GEPSNONPILOT/Tender/SplashBidNoticeAbstractUI.aspx?menuIndex=3&amp;refID=7036472&amp;Result=3","7036472")</f>
        <v>0</v>
      </c>
      <c r="B6515" t="s">
        <v>2035</v>
      </c>
      <c r="C6515" t="s">
        <v>5265</v>
      </c>
      <c r="D6515" t="s">
        <v>12990</v>
      </c>
      <c r="E6515" t="s">
        <v>15499</v>
      </c>
      <c r="F6515" t="s">
        <v>22436</v>
      </c>
      <c r="G6515" t="s">
        <v>22444</v>
      </c>
      <c r="H6515" t="s">
        <v>22452</v>
      </c>
      <c r="I6515" t="s">
        <v>2981</v>
      </c>
      <c r="J6515" t="s">
        <v>25858</v>
      </c>
      <c r="K6515" t="s">
        <v>29338</v>
      </c>
      <c r="M6515" t="s">
        <v>31770</v>
      </c>
      <c r="N6515" t="s">
        <v>32524</v>
      </c>
      <c r="O6515" t="s">
        <v>32525</v>
      </c>
      <c r="P6515">
        <v>0</v>
      </c>
      <c r="Q6515">
        <v>1</v>
      </c>
      <c r="R6515" t="s">
        <v>32532</v>
      </c>
      <c r="S6515" t="s">
        <v>32616</v>
      </c>
      <c r="T6515" t="s">
        <v>33356</v>
      </c>
      <c r="U6515" t="s">
        <v>39106</v>
      </c>
      <c r="W6515" t="s">
        <v>31770</v>
      </c>
      <c r="X6515" t="s">
        <v>32533</v>
      </c>
    </row>
    <row r="6516" spans="1:24">
      <c r="A6516">
        <f>HYPERLINK("https://www.philgeps.gov.ph/GEPSNONPILOT/Tender/SplashBidNoticeAbstractUI.aspx?menuIndex=3&amp;refID=7036487&amp;Result=3","7036487")</f>
        <v>0</v>
      </c>
      <c r="B6516" t="s">
        <v>380</v>
      </c>
      <c r="C6516" t="s">
        <v>8914</v>
      </c>
      <c r="D6516" t="s">
        <v>12996</v>
      </c>
      <c r="E6516" t="s">
        <v>18830</v>
      </c>
      <c r="F6516" t="s">
        <v>22436</v>
      </c>
      <c r="G6516" t="s">
        <v>22446</v>
      </c>
      <c r="H6516" t="s">
        <v>22452</v>
      </c>
      <c r="I6516" t="s">
        <v>22463</v>
      </c>
      <c r="J6516" t="s">
        <v>23880</v>
      </c>
      <c r="K6516" t="s">
        <v>29338</v>
      </c>
      <c r="M6516" t="s">
        <v>29958</v>
      </c>
      <c r="N6516" t="s">
        <v>32524</v>
      </c>
      <c r="O6516" t="s">
        <v>32525</v>
      </c>
      <c r="P6516">
        <v>0</v>
      </c>
      <c r="Q6516">
        <v>6</v>
      </c>
      <c r="R6516" t="s">
        <v>32532</v>
      </c>
      <c r="S6516" t="s">
        <v>32616</v>
      </c>
      <c r="T6516" t="s">
        <v>33228</v>
      </c>
      <c r="U6516" t="s">
        <v>39107</v>
      </c>
      <c r="W6516" t="s">
        <v>29958</v>
      </c>
      <c r="X6516" t="s">
        <v>32533</v>
      </c>
    </row>
    <row r="6517" spans="1:24">
      <c r="A6517">
        <f>HYPERLINK("https://www.philgeps.gov.ph/GEPSNONPILOT/Tender/SplashBidNoticeAbstractUI.aspx?menuIndex=3&amp;refID=7036559&amp;Result=3","7036559")</f>
        <v>0</v>
      </c>
      <c r="B6517" t="s">
        <v>626</v>
      </c>
      <c r="C6517" t="s">
        <v>8915</v>
      </c>
      <c r="D6517" t="s">
        <v>13051</v>
      </c>
      <c r="E6517" t="s">
        <v>18831</v>
      </c>
      <c r="F6517" t="s">
        <v>22436</v>
      </c>
      <c r="G6517" t="s">
        <v>22447</v>
      </c>
      <c r="H6517" t="s">
        <v>22452</v>
      </c>
      <c r="I6517" t="s">
        <v>22488</v>
      </c>
      <c r="J6517" t="s">
        <v>26830</v>
      </c>
      <c r="K6517" t="s">
        <v>29342</v>
      </c>
      <c r="M6517" t="s">
        <v>30217</v>
      </c>
      <c r="N6517" t="s">
        <v>32524</v>
      </c>
      <c r="O6517" t="s">
        <v>32525</v>
      </c>
      <c r="P6517">
        <v>0</v>
      </c>
      <c r="Q6517">
        <v>1</v>
      </c>
      <c r="R6517" t="s">
        <v>32532</v>
      </c>
      <c r="S6517" t="s">
        <v>32616</v>
      </c>
      <c r="T6517" t="s">
        <v>33314</v>
      </c>
      <c r="U6517" t="s">
        <v>39108</v>
      </c>
      <c r="W6517" t="s">
        <v>30217</v>
      </c>
      <c r="X6517" t="s">
        <v>32533</v>
      </c>
    </row>
    <row r="6518" spans="1:24">
      <c r="A6518">
        <f>HYPERLINK("https://www.philgeps.gov.ph/GEPSNONPILOT/Tender/SplashBidNoticeAbstractUI.aspx?menuIndex=3&amp;refID=7036479&amp;Result=3","7036479")</f>
        <v>0</v>
      </c>
      <c r="B6518" t="s">
        <v>356</v>
      </c>
      <c r="C6518" t="s">
        <v>8916</v>
      </c>
      <c r="D6518" t="s">
        <v>12993</v>
      </c>
      <c r="E6518" t="s">
        <v>14791</v>
      </c>
      <c r="F6518" t="s">
        <v>22436</v>
      </c>
      <c r="G6518" t="s">
        <v>22447</v>
      </c>
      <c r="H6518" t="s">
        <v>22452</v>
      </c>
      <c r="I6518" t="s">
        <v>22463</v>
      </c>
      <c r="J6518" t="s">
        <v>26831</v>
      </c>
      <c r="K6518" t="s">
        <v>29336</v>
      </c>
      <c r="M6518" t="s">
        <v>30657</v>
      </c>
      <c r="N6518" t="s">
        <v>32524</v>
      </c>
      <c r="O6518" t="s">
        <v>32525</v>
      </c>
      <c r="P6518">
        <v>0</v>
      </c>
      <c r="Q6518">
        <v>2</v>
      </c>
      <c r="R6518" t="s">
        <v>32532</v>
      </c>
      <c r="S6518" t="s">
        <v>32616</v>
      </c>
      <c r="T6518" t="s">
        <v>33323</v>
      </c>
      <c r="U6518" t="s">
        <v>39109</v>
      </c>
      <c r="W6518" t="s">
        <v>30657</v>
      </c>
      <c r="X6518" t="s">
        <v>32533</v>
      </c>
    </row>
    <row r="6519" spans="1:24">
      <c r="A6519">
        <f>HYPERLINK("https://www.philgeps.gov.ph/GEPSNONPILOT/Tender/SplashBidNoticeAbstractUI.aspx?menuIndex=3&amp;refID=7036537&amp;Result=3","7036537")</f>
        <v>0</v>
      </c>
      <c r="B6519" t="s">
        <v>2037</v>
      </c>
      <c r="C6519" t="s">
        <v>8917</v>
      </c>
      <c r="D6519" t="s">
        <v>13000</v>
      </c>
      <c r="E6519" t="s">
        <v>13760</v>
      </c>
      <c r="F6519" t="s">
        <v>22436</v>
      </c>
      <c r="G6519" t="s">
        <v>22444</v>
      </c>
      <c r="H6519" t="s">
        <v>22452</v>
      </c>
      <c r="I6519" t="s">
        <v>22468</v>
      </c>
      <c r="J6519" t="s">
        <v>22620</v>
      </c>
      <c r="K6519" t="s">
        <v>29336</v>
      </c>
      <c r="M6519" t="s">
        <v>31772</v>
      </c>
      <c r="N6519" t="s">
        <v>32524</v>
      </c>
      <c r="O6519" t="s">
        <v>32525</v>
      </c>
      <c r="P6519">
        <v>0</v>
      </c>
      <c r="Q6519">
        <v>2</v>
      </c>
      <c r="R6519" t="s">
        <v>32532</v>
      </c>
      <c r="S6519" t="s">
        <v>32616</v>
      </c>
      <c r="T6519" t="s">
        <v>33304</v>
      </c>
      <c r="U6519" t="s">
        <v>39110</v>
      </c>
      <c r="W6519" t="s">
        <v>31772</v>
      </c>
      <c r="X6519" t="s">
        <v>32533</v>
      </c>
    </row>
    <row r="6520" spans="1:24">
      <c r="A6520">
        <f>HYPERLINK("https://www.philgeps.gov.ph/GEPSNONPILOT/Tender/SplashBidNoticeAbstractUI.aspx?menuIndex=3&amp;refID=7036576&amp;Result=3","7036576")</f>
        <v>0</v>
      </c>
      <c r="B6520" t="s">
        <v>1702</v>
      </c>
      <c r="C6520" t="s">
        <v>8918</v>
      </c>
      <c r="D6520" t="s">
        <v>13065</v>
      </c>
      <c r="E6520" t="s">
        <v>18832</v>
      </c>
      <c r="F6520" t="s">
        <v>22436</v>
      </c>
      <c r="G6520" t="s">
        <v>22444</v>
      </c>
      <c r="H6520" t="s">
        <v>22454</v>
      </c>
      <c r="I6520" t="s">
        <v>22490</v>
      </c>
      <c r="J6520" t="s">
        <v>22788</v>
      </c>
      <c r="K6520" t="s">
        <v>29433</v>
      </c>
      <c r="M6520" t="s">
        <v>31404</v>
      </c>
      <c r="N6520" t="s">
        <v>32524</v>
      </c>
      <c r="O6520" t="s">
        <v>32525</v>
      </c>
      <c r="P6520">
        <v>0</v>
      </c>
      <c r="Q6520">
        <v>0</v>
      </c>
      <c r="R6520" t="s">
        <v>32532</v>
      </c>
      <c r="S6520" t="s">
        <v>32616</v>
      </c>
      <c r="T6520" t="s">
        <v>33187</v>
      </c>
      <c r="U6520" t="s">
        <v>37883</v>
      </c>
      <c r="W6520" t="s">
        <v>31404</v>
      </c>
      <c r="X6520" t="s">
        <v>32533</v>
      </c>
    </row>
    <row r="6521" spans="1:24">
      <c r="A6521">
        <f>HYPERLINK("https://www.philgeps.gov.ph/GEPSNONPILOT/Tender/SplashBidNoticeAbstractUI.aspx?menuIndex=3&amp;refID=7036580&amp;Result=3","7036580")</f>
        <v>0</v>
      </c>
      <c r="B6521" t="s">
        <v>2039</v>
      </c>
      <c r="C6521" t="s">
        <v>8919</v>
      </c>
      <c r="D6521" t="s">
        <v>13003</v>
      </c>
      <c r="E6521" t="s">
        <v>18833</v>
      </c>
      <c r="F6521" t="s">
        <v>22436</v>
      </c>
      <c r="G6521" t="s">
        <v>22444</v>
      </c>
      <c r="H6521" t="s">
        <v>22454</v>
      </c>
      <c r="I6521" t="s">
        <v>7738</v>
      </c>
      <c r="J6521" t="s">
        <v>26832</v>
      </c>
      <c r="K6521" t="s">
        <v>29446</v>
      </c>
      <c r="M6521" t="s">
        <v>31774</v>
      </c>
      <c r="N6521" t="s">
        <v>32524</v>
      </c>
      <c r="O6521" t="s">
        <v>32525</v>
      </c>
      <c r="P6521">
        <v>0</v>
      </c>
      <c r="Q6521">
        <v>0</v>
      </c>
      <c r="R6521" t="s">
        <v>32532</v>
      </c>
      <c r="S6521" t="s">
        <v>32616</v>
      </c>
      <c r="T6521" t="s">
        <v>33238</v>
      </c>
      <c r="U6521" t="s">
        <v>39111</v>
      </c>
      <c r="W6521" t="s">
        <v>31774</v>
      </c>
      <c r="X6521" t="s">
        <v>32533</v>
      </c>
    </row>
    <row r="6522" spans="1:24">
      <c r="A6522">
        <f>HYPERLINK("https://www.philgeps.gov.ph/GEPSNONPILOT/Tender/SplashBidNoticeAbstractUI.aspx?menuIndex=3&amp;refID=7036571&amp;Result=3","7036571")</f>
        <v>0</v>
      </c>
      <c r="B6522" t="s">
        <v>437</v>
      </c>
      <c r="C6522" t="s">
        <v>8920</v>
      </c>
      <c r="D6522" t="s">
        <v>13023</v>
      </c>
      <c r="E6522" t="s">
        <v>18834</v>
      </c>
      <c r="F6522" t="s">
        <v>22437</v>
      </c>
      <c r="G6522" t="s">
        <v>22446</v>
      </c>
      <c r="H6522" t="s">
        <v>22453</v>
      </c>
      <c r="I6522" t="s">
        <v>22502</v>
      </c>
      <c r="J6522" t="s">
        <v>26833</v>
      </c>
      <c r="K6522" t="s">
        <v>29336</v>
      </c>
      <c r="M6522" t="s">
        <v>30018</v>
      </c>
      <c r="N6522" t="s">
        <v>32524</v>
      </c>
      <c r="O6522" t="s">
        <v>32525</v>
      </c>
      <c r="P6522">
        <v>0</v>
      </c>
      <c r="Q6522">
        <v>4</v>
      </c>
      <c r="R6522" t="s">
        <v>32532</v>
      </c>
      <c r="S6522" t="s">
        <v>32616</v>
      </c>
      <c r="T6522" t="s">
        <v>33531</v>
      </c>
      <c r="U6522" t="s">
        <v>39112</v>
      </c>
      <c r="W6522" t="s">
        <v>30018</v>
      </c>
      <c r="X6522" t="s">
        <v>32533</v>
      </c>
    </row>
    <row r="6523" spans="1:24">
      <c r="A6523">
        <f>HYPERLINK("https://www.philgeps.gov.ph/GEPSNONPILOT/Tender/SplashBidNoticeAbstractUI.aspx?menuIndex=3&amp;refID=7036565&amp;Result=3","7036565")</f>
        <v>0</v>
      </c>
      <c r="B6523" t="s">
        <v>2040</v>
      </c>
      <c r="C6523" t="s">
        <v>8921</v>
      </c>
      <c r="D6523" t="s">
        <v>12988</v>
      </c>
      <c r="E6523" t="s">
        <v>18835</v>
      </c>
      <c r="F6523" t="s">
        <v>22441</v>
      </c>
      <c r="G6523" t="s">
        <v>22444</v>
      </c>
      <c r="H6523" t="s">
        <v>22452</v>
      </c>
      <c r="I6523" t="s">
        <v>2981</v>
      </c>
      <c r="J6523" t="s">
        <v>26834</v>
      </c>
      <c r="K6523" t="s">
        <v>29336</v>
      </c>
      <c r="M6523" t="s">
        <v>31775</v>
      </c>
      <c r="N6523" t="s">
        <v>32524</v>
      </c>
      <c r="O6523" t="s">
        <v>32525</v>
      </c>
      <c r="P6523">
        <v>0</v>
      </c>
      <c r="Q6523">
        <v>0</v>
      </c>
      <c r="R6523" t="s">
        <v>32532</v>
      </c>
      <c r="S6523" t="s">
        <v>32616</v>
      </c>
      <c r="T6523" t="s">
        <v>33172</v>
      </c>
      <c r="U6523" t="s">
        <v>39113</v>
      </c>
      <c r="W6523" t="s">
        <v>31775</v>
      </c>
      <c r="X6523" t="s">
        <v>32533</v>
      </c>
    </row>
    <row r="6524" spans="1:24">
      <c r="A6524">
        <f>HYPERLINK("https://www.philgeps.gov.ph/GEPSNONPILOT/Tender/SplashBidNoticeAbstractUI.aspx?menuIndex=3&amp;refID=7036557&amp;Result=3","7036557")</f>
        <v>0</v>
      </c>
      <c r="B6524" t="s">
        <v>2037</v>
      </c>
      <c r="C6524" t="s">
        <v>8922</v>
      </c>
      <c r="D6524" t="s">
        <v>13000</v>
      </c>
      <c r="E6524" t="s">
        <v>13760</v>
      </c>
      <c r="F6524" t="s">
        <v>22436</v>
      </c>
      <c r="G6524" t="s">
        <v>22444</v>
      </c>
      <c r="H6524" t="s">
        <v>22454</v>
      </c>
      <c r="I6524" t="s">
        <v>6387</v>
      </c>
      <c r="J6524" t="s">
        <v>22824</v>
      </c>
      <c r="K6524" t="s">
        <v>29336</v>
      </c>
      <c r="M6524" t="s">
        <v>31772</v>
      </c>
      <c r="N6524" t="s">
        <v>32524</v>
      </c>
      <c r="O6524" t="s">
        <v>32525</v>
      </c>
      <c r="P6524">
        <v>0</v>
      </c>
      <c r="Q6524">
        <v>2</v>
      </c>
      <c r="R6524" t="s">
        <v>32532</v>
      </c>
      <c r="S6524" t="s">
        <v>32616</v>
      </c>
      <c r="T6524" t="s">
        <v>33304</v>
      </c>
      <c r="U6524" t="s">
        <v>39114</v>
      </c>
      <c r="W6524" t="s">
        <v>31772</v>
      </c>
      <c r="X6524" t="s">
        <v>32533</v>
      </c>
    </row>
    <row r="6525" spans="1:24">
      <c r="A6525">
        <f>HYPERLINK("https://www.philgeps.gov.ph/GEPSNONPILOT/Tender/SplashBidNoticeAbstractUI.aspx?menuIndex=3&amp;refID=7036586&amp;Result=3","7036586")</f>
        <v>0</v>
      </c>
      <c r="B6525" t="s">
        <v>279</v>
      </c>
      <c r="C6525" t="s">
        <v>8923</v>
      </c>
      <c r="D6525" t="s">
        <v>13010</v>
      </c>
      <c r="E6525" t="s">
        <v>17582</v>
      </c>
      <c r="F6525" t="s">
        <v>22436</v>
      </c>
      <c r="G6525" t="s">
        <v>22444</v>
      </c>
      <c r="H6525" t="s">
        <v>22452</v>
      </c>
      <c r="I6525" t="s">
        <v>22487</v>
      </c>
      <c r="J6525" t="s">
        <v>26835</v>
      </c>
      <c r="K6525" t="s">
        <v>29336</v>
      </c>
      <c r="M6525" t="s">
        <v>31776</v>
      </c>
      <c r="N6525" t="s">
        <v>32524</v>
      </c>
      <c r="O6525" t="s">
        <v>32525</v>
      </c>
      <c r="P6525">
        <v>0</v>
      </c>
      <c r="Q6525">
        <v>10</v>
      </c>
      <c r="R6525" t="s">
        <v>32532</v>
      </c>
      <c r="S6525" t="s">
        <v>32616</v>
      </c>
      <c r="T6525" t="s">
        <v>33177</v>
      </c>
      <c r="U6525" t="s">
        <v>39115</v>
      </c>
      <c r="W6525" t="s">
        <v>31776</v>
      </c>
      <c r="X6525" t="s">
        <v>32533</v>
      </c>
    </row>
    <row r="6526" spans="1:24">
      <c r="A6526">
        <f>HYPERLINK("https://www.philgeps.gov.ph/GEPSNONPILOT/Tender/SplashBidNoticeAbstractUI.aspx?menuIndex=3&amp;refID=7036558&amp;Result=3","7036558")</f>
        <v>0</v>
      </c>
      <c r="B6526" t="s">
        <v>375</v>
      </c>
      <c r="C6526" t="s">
        <v>8924</v>
      </c>
      <c r="D6526" t="s">
        <v>13020</v>
      </c>
      <c r="E6526" t="s">
        <v>18836</v>
      </c>
      <c r="F6526" t="s">
        <v>22436</v>
      </c>
      <c r="G6526" t="s">
        <v>22443</v>
      </c>
      <c r="H6526" t="s">
        <v>22452</v>
      </c>
      <c r="I6526" t="s">
        <v>22463</v>
      </c>
      <c r="J6526" t="s">
        <v>26836</v>
      </c>
      <c r="K6526" t="s">
        <v>29336</v>
      </c>
      <c r="M6526" t="s">
        <v>29953</v>
      </c>
      <c r="N6526" t="s">
        <v>32524</v>
      </c>
      <c r="O6526" t="s">
        <v>32525</v>
      </c>
      <c r="P6526">
        <v>0</v>
      </c>
      <c r="Q6526">
        <v>0</v>
      </c>
      <c r="R6526" t="s">
        <v>32532</v>
      </c>
      <c r="S6526" t="s">
        <v>32616</v>
      </c>
      <c r="T6526" t="s">
        <v>33238</v>
      </c>
      <c r="U6526" t="s">
        <v>39116</v>
      </c>
      <c r="V6526" t="s">
        <v>43140</v>
      </c>
      <c r="W6526" t="s">
        <v>29953</v>
      </c>
      <c r="X6526" t="s">
        <v>32533</v>
      </c>
    </row>
    <row r="6527" spans="1:24">
      <c r="A6527">
        <f>HYPERLINK("https://www.philgeps.gov.ph/GEPSNONPILOT/Tender/SplashBidNoticeAbstractUI.aspx?menuIndex=3&amp;refID=7036590&amp;Result=3","7036590")</f>
        <v>0</v>
      </c>
      <c r="B6527" t="s">
        <v>635</v>
      </c>
      <c r="C6527" t="s">
        <v>8925</v>
      </c>
      <c r="D6527" t="s">
        <v>13029</v>
      </c>
      <c r="E6527" t="s">
        <v>18837</v>
      </c>
      <c r="F6527" t="s">
        <v>22436</v>
      </c>
      <c r="G6527" t="s">
        <v>22443</v>
      </c>
      <c r="H6527" t="s">
        <v>22452</v>
      </c>
      <c r="I6527" t="s">
        <v>22502</v>
      </c>
      <c r="J6527" t="s">
        <v>26837</v>
      </c>
      <c r="K6527" t="s">
        <v>29335</v>
      </c>
      <c r="M6527" t="s">
        <v>31777</v>
      </c>
      <c r="N6527" t="s">
        <v>32524</v>
      </c>
      <c r="O6527" t="s">
        <v>32525</v>
      </c>
      <c r="Q6527">
        <v>10</v>
      </c>
      <c r="R6527" t="s">
        <v>32532</v>
      </c>
      <c r="S6527" t="s">
        <v>32630</v>
      </c>
      <c r="T6527" t="s">
        <v>33209</v>
      </c>
      <c r="U6527" t="s">
        <v>39117</v>
      </c>
      <c r="W6527" t="s">
        <v>31777</v>
      </c>
      <c r="X6527" t="s">
        <v>32533</v>
      </c>
    </row>
    <row r="6528" spans="1:24">
      <c r="A6528">
        <f>HYPERLINK("https://www.philgeps.gov.ph/GEPSNONPILOT/Tender/SplashBidNoticeAbstractUI.aspx?menuIndex=3&amp;refID=7036546&amp;Result=3","7036546")</f>
        <v>0</v>
      </c>
      <c r="B6528" t="s">
        <v>1702</v>
      </c>
      <c r="C6528" t="s">
        <v>8926</v>
      </c>
      <c r="D6528" t="s">
        <v>13065</v>
      </c>
      <c r="E6528" t="s">
        <v>18838</v>
      </c>
      <c r="F6528" t="s">
        <v>22436</v>
      </c>
      <c r="G6528" t="s">
        <v>22444</v>
      </c>
      <c r="H6528" t="s">
        <v>22454</v>
      </c>
      <c r="I6528" t="s">
        <v>7738</v>
      </c>
      <c r="J6528" t="s">
        <v>22616</v>
      </c>
      <c r="K6528" t="s">
        <v>29433</v>
      </c>
      <c r="M6528" t="s">
        <v>31404</v>
      </c>
      <c r="N6528" t="s">
        <v>32524</v>
      </c>
      <c r="O6528" t="s">
        <v>32525</v>
      </c>
      <c r="P6528">
        <v>0</v>
      </c>
      <c r="Q6528">
        <v>0</v>
      </c>
      <c r="R6528" t="s">
        <v>32532</v>
      </c>
      <c r="S6528" t="s">
        <v>32616</v>
      </c>
      <c r="T6528" t="s">
        <v>33187</v>
      </c>
      <c r="U6528" t="s">
        <v>37883</v>
      </c>
      <c r="W6528" t="s">
        <v>31404</v>
      </c>
      <c r="X6528" t="s">
        <v>32533</v>
      </c>
    </row>
    <row r="6529" spans="1:24">
      <c r="A6529">
        <f>HYPERLINK("https://www.philgeps.gov.ph/GEPSNONPILOT/Tender/SplashBidNoticeAbstractUI.aspx?menuIndex=3&amp;refID=7036579&amp;Result=3","7036579")</f>
        <v>0</v>
      </c>
      <c r="B6529" t="s">
        <v>2041</v>
      </c>
      <c r="C6529" t="s">
        <v>8927</v>
      </c>
      <c r="D6529" t="s">
        <v>13045</v>
      </c>
      <c r="E6529" t="s">
        <v>18839</v>
      </c>
      <c r="F6529" t="s">
        <v>22436</v>
      </c>
      <c r="G6529" t="s">
        <v>22446</v>
      </c>
      <c r="H6529" t="s">
        <v>22452</v>
      </c>
      <c r="I6529" t="s">
        <v>5194</v>
      </c>
      <c r="J6529" t="s">
        <v>26838</v>
      </c>
      <c r="K6529" t="s">
        <v>29331</v>
      </c>
      <c r="M6529" t="s">
        <v>31778</v>
      </c>
      <c r="N6529" t="s">
        <v>32524</v>
      </c>
      <c r="O6529" t="s">
        <v>32525</v>
      </c>
      <c r="Q6529">
        <v>11</v>
      </c>
      <c r="R6529" t="s">
        <v>32532</v>
      </c>
      <c r="S6529" t="s">
        <v>32572</v>
      </c>
      <c r="T6529" t="s">
        <v>33153</v>
      </c>
      <c r="U6529" t="s">
        <v>39118</v>
      </c>
      <c r="V6529" t="s">
        <v>43141</v>
      </c>
      <c r="W6529" t="s">
        <v>43739</v>
      </c>
      <c r="X6529" t="s">
        <v>32533</v>
      </c>
    </row>
    <row r="6530" spans="1:24">
      <c r="A6530">
        <f>HYPERLINK("https://www.philgeps.gov.ph/GEPSNONPILOT/Tender/SplashBidNoticeAbstractUI.aspx?menuIndex=3&amp;refID=7036545&amp;Result=3","7036545")</f>
        <v>0</v>
      </c>
      <c r="B6530" t="s">
        <v>627</v>
      </c>
      <c r="C6530" t="s">
        <v>8928</v>
      </c>
      <c r="D6530" t="s">
        <v>13041</v>
      </c>
      <c r="E6530" t="s">
        <v>13156</v>
      </c>
      <c r="F6530" t="s">
        <v>22436</v>
      </c>
      <c r="G6530" t="s">
        <v>22444</v>
      </c>
      <c r="H6530" t="s">
        <v>22452</v>
      </c>
      <c r="I6530" t="s">
        <v>7738</v>
      </c>
      <c r="J6530" t="s">
        <v>26839</v>
      </c>
      <c r="K6530" t="s">
        <v>29350</v>
      </c>
      <c r="M6530" t="s">
        <v>30218</v>
      </c>
      <c r="N6530" t="s">
        <v>32524</v>
      </c>
      <c r="O6530" t="s">
        <v>32525</v>
      </c>
      <c r="P6530">
        <v>0</v>
      </c>
      <c r="Q6530">
        <v>1</v>
      </c>
      <c r="R6530" t="s">
        <v>32532</v>
      </c>
      <c r="S6530" t="s">
        <v>32616</v>
      </c>
      <c r="T6530" t="s">
        <v>33532</v>
      </c>
      <c r="U6530" t="s">
        <v>39075</v>
      </c>
      <c r="W6530" t="s">
        <v>30218</v>
      </c>
      <c r="X6530" t="s">
        <v>32533</v>
      </c>
    </row>
    <row r="6531" spans="1:24">
      <c r="A6531">
        <f>HYPERLINK("https://www.philgeps.gov.ph/GEPSNONPILOT/Tender/SplashBidNoticeAbstractUI.aspx?menuIndex=3&amp;refID=7036540&amp;Result=3","7036540")</f>
        <v>0</v>
      </c>
      <c r="B6531" t="s">
        <v>279</v>
      </c>
      <c r="C6531" t="s">
        <v>8929</v>
      </c>
      <c r="D6531" t="s">
        <v>13010</v>
      </c>
      <c r="E6531" t="s">
        <v>18840</v>
      </c>
      <c r="F6531" t="s">
        <v>22436</v>
      </c>
      <c r="G6531" t="s">
        <v>22444</v>
      </c>
      <c r="H6531" t="s">
        <v>22452</v>
      </c>
      <c r="I6531" t="s">
        <v>22460</v>
      </c>
      <c r="J6531" t="s">
        <v>26840</v>
      </c>
      <c r="K6531" t="s">
        <v>29336</v>
      </c>
      <c r="M6531" t="s">
        <v>31776</v>
      </c>
      <c r="N6531" t="s">
        <v>32524</v>
      </c>
      <c r="O6531" t="s">
        <v>32525</v>
      </c>
      <c r="P6531">
        <v>0</v>
      </c>
      <c r="Q6531">
        <v>3</v>
      </c>
      <c r="R6531" t="s">
        <v>32532</v>
      </c>
      <c r="S6531" t="s">
        <v>32616</v>
      </c>
      <c r="T6531" t="s">
        <v>33177</v>
      </c>
      <c r="U6531" t="s">
        <v>39119</v>
      </c>
      <c r="W6531" t="s">
        <v>31776</v>
      </c>
      <c r="X6531" t="s">
        <v>32533</v>
      </c>
    </row>
    <row r="6532" spans="1:24">
      <c r="A6532">
        <f>HYPERLINK("https://www.philgeps.gov.ph/GEPSNONPILOT/Tender/SplashBidNoticeAbstractUI.aspx?menuIndex=3&amp;refID=7036556&amp;Result=3","7036556")</f>
        <v>0</v>
      </c>
      <c r="B6532" t="s">
        <v>1951</v>
      </c>
      <c r="C6532" t="s">
        <v>8930</v>
      </c>
      <c r="D6532" t="s">
        <v>13065</v>
      </c>
      <c r="E6532" t="s">
        <v>13589</v>
      </c>
      <c r="F6532" t="s">
        <v>22436</v>
      </c>
      <c r="G6532" t="s">
        <v>22444</v>
      </c>
      <c r="H6532" t="s">
        <v>22454</v>
      </c>
      <c r="I6532" t="s">
        <v>7738</v>
      </c>
      <c r="J6532" t="s">
        <v>26841</v>
      </c>
      <c r="K6532" t="s">
        <v>29364</v>
      </c>
      <c r="M6532" t="s">
        <v>31681</v>
      </c>
      <c r="N6532" t="s">
        <v>32524</v>
      </c>
      <c r="O6532" t="s">
        <v>32525</v>
      </c>
      <c r="P6532">
        <v>0</v>
      </c>
      <c r="Q6532">
        <v>0</v>
      </c>
      <c r="R6532" t="s">
        <v>32532</v>
      </c>
      <c r="S6532" t="s">
        <v>32616</v>
      </c>
      <c r="T6532" t="s">
        <v>33522</v>
      </c>
      <c r="U6532" t="s">
        <v>39120</v>
      </c>
      <c r="W6532" t="s">
        <v>31681</v>
      </c>
      <c r="X6532" t="s">
        <v>32533</v>
      </c>
    </row>
    <row r="6533" spans="1:24">
      <c r="A6533">
        <f>HYPERLINK("https://www.philgeps.gov.ph/GEPSNONPILOT/Tender/SplashBidNoticeAbstractUI.aspx?menuIndex=3&amp;refID=7036572&amp;Result=3","7036572")</f>
        <v>0</v>
      </c>
      <c r="B6533" t="s">
        <v>2042</v>
      </c>
      <c r="C6533" t="s">
        <v>8931</v>
      </c>
      <c r="E6533" t="s">
        <v>18841</v>
      </c>
      <c r="F6533" t="s">
        <v>22436</v>
      </c>
      <c r="G6533" t="s">
        <v>22444</v>
      </c>
      <c r="H6533" t="s">
        <v>22454</v>
      </c>
      <c r="I6533" t="s">
        <v>7738</v>
      </c>
      <c r="J6533" t="s">
        <v>26842</v>
      </c>
      <c r="K6533" t="s">
        <v>29347</v>
      </c>
      <c r="M6533" t="s">
        <v>31779</v>
      </c>
      <c r="N6533" t="s">
        <v>32524</v>
      </c>
      <c r="O6533" t="s">
        <v>32525</v>
      </c>
      <c r="P6533">
        <v>0</v>
      </c>
      <c r="Q6533">
        <v>19</v>
      </c>
      <c r="R6533" t="s">
        <v>32532</v>
      </c>
      <c r="S6533" t="s">
        <v>32616</v>
      </c>
      <c r="T6533" t="s">
        <v>33259</v>
      </c>
      <c r="U6533" t="s">
        <v>39121</v>
      </c>
      <c r="W6533" t="s">
        <v>31779</v>
      </c>
      <c r="X6533" t="s">
        <v>32533</v>
      </c>
    </row>
    <row r="6534" spans="1:24">
      <c r="A6534">
        <f>HYPERLINK("https://www.philgeps.gov.ph/GEPSNONPILOT/Tender/SplashBidNoticeAbstractUI.aspx?menuIndex=3&amp;refID=7036536&amp;Result=3","7036536")</f>
        <v>0</v>
      </c>
      <c r="B6534" t="s">
        <v>2043</v>
      </c>
      <c r="C6534" t="s">
        <v>8932</v>
      </c>
      <c r="D6534" t="s">
        <v>13051</v>
      </c>
      <c r="E6534" t="s">
        <v>18842</v>
      </c>
      <c r="F6534" t="s">
        <v>22436</v>
      </c>
      <c r="G6534" t="s">
        <v>22447</v>
      </c>
      <c r="H6534" t="s">
        <v>22452</v>
      </c>
      <c r="I6534" t="s">
        <v>7738</v>
      </c>
      <c r="J6534" t="s">
        <v>22605</v>
      </c>
      <c r="K6534" t="s">
        <v>29338</v>
      </c>
      <c r="M6534" t="s">
        <v>31780</v>
      </c>
      <c r="N6534" t="s">
        <v>32524</v>
      </c>
      <c r="O6534" t="s">
        <v>32525</v>
      </c>
      <c r="P6534">
        <v>0</v>
      </c>
      <c r="Q6534">
        <v>0</v>
      </c>
      <c r="R6534" t="s">
        <v>32532</v>
      </c>
      <c r="S6534" t="s">
        <v>32616</v>
      </c>
      <c r="T6534" t="s">
        <v>33371</v>
      </c>
      <c r="U6534" t="s">
        <v>39122</v>
      </c>
      <c r="W6534" t="s">
        <v>31780</v>
      </c>
      <c r="X6534" t="s">
        <v>32533</v>
      </c>
    </row>
    <row r="6535" spans="1:24">
      <c r="A6535">
        <f>HYPERLINK("https://www.philgeps.gov.ph/GEPSNONPILOT/Tender/SplashBidNoticeAbstractUI.aspx?menuIndex=3&amp;refID=7036544&amp;Result=3","7036544")</f>
        <v>0</v>
      </c>
      <c r="B6535" t="s">
        <v>2006</v>
      </c>
      <c r="C6535" t="s">
        <v>8933</v>
      </c>
      <c r="E6535" t="s">
        <v>18843</v>
      </c>
      <c r="F6535" t="s">
        <v>22436</v>
      </c>
      <c r="G6535" t="s">
        <v>22444</v>
      </c>
      <c r="H6535" t="s">
        <v>22452</v>
      </c>
      <c r="I6535" t="s">
        <v>22474</v>
      </c>
      <c r="J6535" t="s">
        <v>22674</v>
      </c>
      <c r="K6535" t="s">
        <v>29338</v>
      </c>
      <c r="M6535" t="s">
        <v>31739</v>
      </c>
      <c r="N6535" t="s">
        <v>32524</v>
      </c>
      <c r="O6535" t="s">
        <v>32525</v>
      </c>
      <c r="P6535">
        <v>0</v>
      </c>
      <c r="Q6535">
        <v>0</v>
      </c>
      <c r="R6535" t="s">
        <v>32532</v>
      </c>
      <c r="S6535" t="s">
        <v>32616</v>
      </c>
      <c r="T6535" t="s">
        <v>33455</v>
      </c>
      <c r="U6535" t="s">
        <v>39094</v>
      </c>
      <c r="W6535" t="s">
        <v>31739</v>
      </c>
      <c r="X6535" t="s">
        <v>32533</v>
      </c>
    </row>
    <row r="6536" spans="1:24">
      <c r="A6536">
        <f>HYPERLINK("https://www.philgeps.gov.ph/GEPSNONPILOT/Tender/SplashBidNoticeAbstractUI.aspx?menuIndex=3&amp;refID=7036591&amp;Result=3","7036591")</f>
        <v>0</v>
      </c>
      <c r="B6536" t="s">
        <v>1270</v>
      </c>
      <c r="C6536" t="s">
        <v>8934</v>
      </c>
      <c r="D6536" t="s">
        <v>13035</v>
      </c>
      <c r="E6536" t="s">
        <v>18844</v>
      </c>
      <c r="F6536" t="s">
        <v>22436</v>
      </c>
      <c r="G6536" t="s">
        <v>22444</v>
      </c>
      <c r="H6536" t="s">
        <v>22452</v>
      </c>
      <c r="I6536" t="s">
        <v>3122</v>
      </c>
      <c r="J6536" t="s">
        <v>22605</v>
      </c>
      <c r="K6536" t="s">
        <v>29331</v>
      </c>
      <c r="M6536" t="s">
        <v>30923</v>
      </c>
      <c r="N6536" t="s">
        <v>32524</v>
      </c>
      <c r="O6536" t="s">
        <v>32525</v>
      </c>
      <c r="P6536">
        <v>0</v>
      </c>
      <c r="Q6536">
        <v>0</v>
      </c>
      <c r="R6536" t="s">
        <v>32532</v>
      </c>
      <c r="S6536" t="s">
        <v>32616</v>
      </c>
      <c r="T6536" t="s">
        <v>33293</v>
      </c>
      <c r="U6536" t="s">
        <v>39123</v>
      </c>
      <c r="W6536" t="s">
        <v>30923</v>
      </c>
      <c r="X6536" t="s">
        <v>32533</v>
      </c>
    </row>
    <row r="6537" spans="1:24">
      <c r="A6537">
        <f>HYPERLINK("https://www.philgeps.gov.ph/GEPSNONPILOT/Tender/SplashBidNoticeAbstractUI.aspx?menuIndex=3&amp;refID=7036539&amp;Result=3","7036539")</f>
        <v>0</v>
      </c>
      <c r="B6537" t="s">
        <v>2044</v>
      </c>
      <c r="C6537" t="s">
        <v>8935</v>
      </c>
      <c r="E6537" t="s">
        <v>18845</v>
      </c>
      <c r="F6537" t="s">
        <v>22436</v>
      </c>
      <c r="G6537" t="s">
        <v>22444</v>
      </c>
      <c r="H6537" t="s">
        <v>22452</v>
      </c>
      <c r="I6537" t="s">
        <v>22525</v>
      </c>
      <c r="J6537" t="s">
        <v>26843</v>
      </c>
      <c r="K6537" t="s">
        <v>29338</v>
      </c>
      <c r="M6537" t="s">
        <v>31781</v>
      </c>
      <c r="N6537" t="s">
        <v>32524</v>
      </c>
      <c r="O6537" t="s">
        <v>32525</v>
      </c>
      <c r="P6537">
        <v>0</v>
      </c>
      <c r="Q6537">
        <v>1</v>
      </c>
      <c r="R6537" t="s">
        <v>32532</v>
      </c>
      <c r="S6537" t="s">
        <v>32616</v>
      </c>
      <c r="T6537" t="s">
        <v>33218</v>
      </c>
      <c r="U6537" t="s">
        <v>39124</v>
      </c>
      <c r="W6537" t="s">
        <v>31781</v>
      </c>
      <c r="X6537" t="s">
        <v>32533</v>
      </c>
    </row>
    <row r="6538" spans="1:24">
      <c r="A6538">
        <f>HYPERLINK("https://www.philgeps.gov.ph/GEPSNONPILOT/Tender/SplashBidNoticeAbstractUI.aspx?menuIndex=3&amp;refID=7036606&amp;Result=3","7036606")</f>
        <v>0</v>
      </c>
      <c r="B6538" t="s">
        <v>294</v>
      </c>
      <c r="C6538" t="s">
        <v>8936</v>
      </c>
      <c r="D6538" t="s">
        <v>12998</v>
      </c>
      <c r="E6538" t="s">
        <v>13102</v>
      </c>
      <c r="F6538" t="s">
        <v>22436</v>
      </c>
      <c r="G6538" t="s">
        <v>22444</v>
      </c>
      <c r="H6538" t="s">
        <v>22452</v>
      </c>
      <c r="I6538" t="s">
        <v>7738</v>
      </c>
      <c r="J6538" t="s">
        <v>22640</v>
      </c>
      <c r="K6538" t="s">
        <v>29335</v>
      </c>
      <c r="M6538" t="s">
        <v>29868</v>
      </c>
      <c r="N6538" t="s">
        <v>32524</v>
      </c>
      <c r="O6538" t="s">
        <v>32525</v>
      </c>
      <c r="P6538">
        <v>0</v>
      </c>
      <c r="Q6538">
        <v>0</v>
      </c>
      <c r="R6538" t="s">
        <v>32532</v>
      </c>
      <c r="S6538" t="s">
        <v>32616</v>
      </c>
      <c r="T6538" t="s">
        <v>33220</v>
      </c>
      <c r="U6538" t="s">
        <v>39125</v>
      </c>
      <c r="W6538" t="s">
        <v>29868</v>
      </c>
      <c r="X6538" t="s">
        <v>32533</v>
      </c>
    </row>
    <row r="6539" spans="1:24">
      <c r="A6539">
        <f>HYPERLINK("https://www.philgeps.gov.ph/GEPSNONPILOT/Tender/SplashBidNoticeAbstractUI.aspx?menuIndex=3&amp;refID=7036535&amp;Result=3","7036535")</f>
        <v>0</v>
      </c>
      <c r="B6539" t="s">
        <v>1702</v>
      </c>
      <c r="C6539" t="s">
        <v>8937</v>
      </c>
      <c r="D6539" t="s">
        <v>13065</v>
      </c>
      <c r="E6539" t="s">
        <v>18846</v>
      </c>
      <c r="F6539" t="s">
        <v>22436</v>
      </c>
      <c r="G6539" t="s">
        <v>22444</v>
      </c>
      <c r="H6539" t="s">
        <v>22454</v>
      </c>
      <c r="I6539" t="s">
        <v>22490</v>
      </c>
      <c r="J6539" t="s">
        <v>26844</v>
      </c>
      <c r="K6539" t="s">
        <v>29333</v>
      </c>
      <c r="M6539" t="s">
        <v>31404</v>
      </c>
      <c r="N6539" t="s">
        <v>32524</v>
      </c>
      <c r="O6539" t="s">
        <v>32525</v>
      </c>
      <c r="P6539">
        <v>0</v>
      </c>
      <c r="Q6539">
        <v>0</v>
      </c>
      <c r="R6539" t="s">
        <v>32532</v>
      </c>
      <c r="S6539" t="s">
        <v>32616</v>
      </c>
      <c r="T6539" t="s">
        <v>33187</v>
      </c>
      <c r="U6539" t="s">
        <v>37883</v>
      </c>
      <c r="W6539" t="s">
        <v>31404</v>
      </c>
      <c r="X6539" t="s">
        <v>32533</v>
      </c>
    </row>
    <row r="6540" spans="1:24">
      <c r="A6540">
        <f>HYPERLINK("https://www.philgeps.gov.ph/GEPSNONPILOT/Tender/SplashBidNoticeAbstractUI.aspx?menuIndex=3&amp;refID=7036607&amp;Result=3","7036607")</f>
        <v>0</v>
      </c>
      <c r="B6540" t="s">
        <v>667</v>
      </c>
      <c r="C6540" t="s">
        <v>8938</v>
      </c>
      <c r="D6540" t="s">
        <v>12988</v>
      </c>
      <c r="E6540" t="s">
        <v>18847</v>
      </c>
      <c r="F6540" t="s">
        <v>22436</v>
      </c>
      <c r="G6540" t="s">
        <v>22444</v>
      </c>
      <c r="H6540" t="s">
        <v>22452</v>
      </c>
      <c r="I6540" t="s">
        <v>22456</v>
      </c>
      <c r="J6540" t="s">
        <v>26845</v>
      </c>
      <c r="K6540" t="s">
        <v>29335</v>
      </c>
      <c r="M6540" t="s">
        <v>31782</v>
      </c>
      <c r="N6540" t="s">
        <v>32524</v>
      </c>
      <c r="O6540" t="s">
        <v>32525</v>
      </c>
      <c r="P6540">
        <v>0</v>
      </c>
      <c r="Q6540">
        <v>20</v>
      </c>
      <c r="R6540" t="s">
        <v>32532</v>
      </c>
      <c r="S6540" t="s">
        <v>32616</v>
      </c>
      <c r="T6540" t="s">
        <v>33262</v>
      </c>
      <c r="U6540" t="s">
        <v>39126</v>
      </c>
      <c r="W6540" t="s">
        <v>31782</v>
      </c>
      <c r="X6540" t="s">
        <v>32533</v>
      </c>
    </row>
    <row r="6541" spans="1:24">
      <c r="A6541">
        <f>HYPERLINK("https://www.philgeps.gov.ph/GEPSNONPILOT/Tender/SplashBidNoticeAbstractUI.aspx?menuIndex=3&amp;refID=7036602&amp;Result=3","7036602")</f>
        <v>0</v>
      </c>
      <c r="B6541" t="s">
        <v>128</v>
      </c>
      <c r="C6541" t="s">
        <v>8939</v>
      </c>
      <c r="D6541" t="s">
        <v>13025</v>
      </c>
      <c r="E6541" t="s">
        <v>18848</v>
      </c>
      <c r="F6541" t="s">
        <v>22436</v>
      </c>
      <c r="G6541" t="s">
        <v>22444</v>
      </c>
      <c r="H6541" t="s">
        <v>22452</v>
      </c>
      <c r="I6541" t="s">
        <v>3529</v>
      </c>
      <c r="J6541" t="s">
        <v>26846</v>
      </c>
      <c r="K6541" t="s">
        <v>29331</v>
      </c>
      <c r="M6541" t="s">
        <v>29700</v>
      </c>
      <c r="N6541" t="s">
        <v>32524</v>
      </c>
      <c r="O6541" t="s">
        <v>32525</v>
      </c>
      <c r="P6541">
        <v>0</v>
      </c>
      <c r="Q6541">
        <v>0</v>
      </c>
      <c r="R6541" t="s">
        <v>32532</v>
      </c>
      <c r="S6541" t="s">
        <v>32616</v>
      </c>
      <c r="T6541" t="s">
        <v>33220</v>
      </c>
      <c r="U6541" t="s">
        <v>39127</v>
      </c>
      <c r="W6541" t="s">
        <v>29700</v>
      </c>
      <c r="X6541" t="s">
        <v>32533</v>
      </c>
    </row>
    <row r="6542" spans="1:24">
      <c r="A6542">
        <f>HYPERLINK("https://www.philgeps.gov.ph/GEPSNONPILOT/Tender/SplashBidNoticeAbstractUI.aspx?menuIndex=3&amp;refID=7036643&amp;Result=3","7036643")</f>
        <v>0</v>
      </c>
      <c r="B6542" t="s">
        <v>128</v>
      </c>
      <c r="C6542" t="s">
        <v>8940</v>
      </c>
      <c r="D6542" t="s">
        <v>13025</v>
      </c>
      <c r="E6542" t="s">
        <v>18849</v>
      </c>
      <c r="F6542" t="s">
        <v>22436</v>
      </c>
      <c r="G6542" t="s">
        <v>22444</v>
      </c>
      <c r="H6542" t="s">
        <v>22452</v>
      </c>
      <c r="I6542" t="s">
        <v>3529</v>
      </c>
      <c r="J6542" t="s">
        <v>26847</v>
      </c>
      <c r="K6542" t="s">
        <v>29331</v>
      </c>
      <c r="M6542" t="s">
        <v>29700</v>
      </c>
      <c r="N6542" t="s">
        <v>32524</v>
      </c>
      <c r="O6542" t="s">
        <v>32525</v>
      </c>
      <c r="P6542">
        <v>0</v>
      </c>
      <c r="Q6542">
        <v>0</v>
      </c>
      <c r="R6542" t="s">
        <v>32532</v>
      </c>
      <c r="S6542" t="s">
        <v>32616</v>
      </c>
      <c r="T6542" t="s">
        <v>33220</v>
      </c>
      <c r="U6542" t="s">
        <v>39128</v>
      </c>
      <c r="W6542" t="s">
        <v>29700</v>
      </c>
      <c r="X6542" t="s">
        <v>32533</v>
      </c>
    </row>
    <row r="6543" spans="1:24">
      <c r="A6543">
        <f>HYPERLINK("https://www.philgeps.gov.ph/GEPSNONPILOT/Tender/SplashBidNoticeAbstractUI.aspx?menuIndex=3&amp;refID=7036608&amp;Result=3","7036608")</f>
        <v>0</v>
      </c>
      <c r="B6543" t="s">
        <v>2036</v>
      </c>
      <c r="C6543" t="s">
        <v>8941</v>
      </c>
      <c r="D6543" t="s">
        <v>13029</v>
      </c>
      <c r="E6543" t="s">
        <v>15038</v>
      </c>
      <c r="F6543" t="s">
        <v>22436</v>
      </c>
      <c r="G6543" t="s">
        <v>22444</v>
      </c>
      <c r="H6543" t="s">
        <v>22454</v>
      </c>
      <c r="I6543" t="s">
        <v>7738</v>
      </c>
      <c r="J6543" t="s">
        <v>22616</v>
      </c>
      <c r="K6543" t="s">
        <v>29337</v>
      </c>
      <c r="M6543" t="s">
        <v>31771</v>
      </c>
      <c r="N6543" t="s">
        <v>32524</v>
      </c>
      <c r="O6543" t="s">
        <v>32525</v>
      </c>
      <c r="P6543">
        <v>0</v>
      </c>
      <c r="Q6543">
        <v>1</v>
      </c>
      <c r="R6543" t="s">
        <v>32532</v>
      </c>
      <c r="S6543" t="s">
        <v>32616</v>
      </c>
      <c r="T6543" t="s">
        <v>33214</v>
      </c>
      <c r="U6543" t="s">
        <v>39097</v>
      </c>
      <c r="W6543" t="s">
        <v>31771</v>
      </c>
      <c r="X6543" t="s">
        <v>32533</v>
      </c>
    </row>
    <row r="6544" spans="1:24">
      <c r="A6544">
        <f>HYPERLINK("https://www.philgeps.gov.ph/GEPSNONPILOT/Tender/SplashBidNoticeAbstractUI.aspx?menuIndex=3&amp;refID=7036613&amp;Result=3","7036613")</f>
        <v>0</v>
      </c>
      <c r="B6544" t="s">
        <v>1702</v>
      </c>
      <c r="C6544" t="s">
        <v>8942</v>
      </c>
      <c r="D6544" t="s">
        <v>13065</v>
      </c>
      <c r="E6544" t="s">
        <v>18850</v>
      </c>
      <c r="F6544" t="s">
        <v>22436</v>
      </c>
      <c r="G6544" t="s">
        <v>22444</v>
      </c>
      <c r="H6544" t="s">
        <v>22454</v>
      </c>
      <c r="I6544" t="s">
        <v>7738</v>
      </c>
      <c r="J6544" t="s">
        <v>23093</v>
      </c>
      <c r="K6544" t="s">
        <v>29333</v>
      </c>
      <c r="M6544" t="s">
        <v>31404</v>
      </c>
      <c r="N6544" t="s">
        <v>32524</v>
      </c>
      <c r="O6544" t="s">
        <v>32525</v>
      </c>
      <c r="P6544">
        <v>0</v>
      </c>
      <c r="Q6544">
        <v>0</v>
      </c>
      <c r="R6544" t="s">
        <v>32532</v>
      </c>
      <c r="S6544" t="s">
        <v>32616</v>
      </c>
      <c r="T6544" t="s">
        <v>33187</v>
      </c>
      <c r="U6544" t="s">
        <v>37883</v>
      </c>
      <c r="W6544" t="s">
        <v>31404</v>
      </c>
      <c r="X6544" t="s">
        <v>32533</v>
      </c>
    </row>
    <row r="6545" spans="1:24">
      <c r="A6545">
        <f>HYPERLINK("https://www.philgeps.gov.ph/GEPSNONPILOT/Tender/SplashBidNoticeAbstractUI.aspx?menuIndex=3&amp;refID=7036604&amp;Result=3","7036604")</f>
        <v>0</v>
      </c>
      <c r="B6545" t="s">
        <v>1947</v>
      </c>
      <c r="C6545" t="s">
        <v>8943</v>
      </c>
      <c r="D6545" t="s">
        <v>12998</v>
      </c>
      <c r="E6545" t="s">
        <v>18851</v>
      </c>
      <c r="F6545" t="s">
        <v>22436</v>
      </c>
      <c r="G6545" t="s">
        <v>22444</v>
      </c>
      <c r="H6545" t="s">
        <v>22453</v>
      </c>
      <c r="I6545" t="s">
        <v>22512</v>
      </c>
      <c r="J6545" t="s">
        <v>26848</v>
      </c>
      <c r="K6545" t="s">
        <v>29334</v>
      </c>
      <c r="M6545" t="s">
        <v>31783</v>
      </c>
      <c r="N6545" t="s">
        <v>32524</v>
      </c>
      <c r="O6545" t="s">
        <v>32525</v>
      </c>
      <c r="P6545">
        <v>0</v>
      </c>
      <c r="Q6545">
        <v>2</v>
      </c>
      <c r="R6545" t="s">
        <v>32532</v>
      </c>
      <c r="S6545" t="s">
        <v>32616</v>
      </c>
      <c r="T6545" t="s">
        <v>33164</v>
      </c>
      <c r="U6545" t="s">
        <v>38802</v>
      </c>
      <c r="V6545" t="s">
        <v>43114</v>
      </c>
      <c r="W6545" t="s">
        <v>31783</v>
      </c>
      <c r="X6545" t="s">
        <v>32533</v>
      </c>
    </row>
    <row r="6546" spans="1:24">
      <c r="A6546">
        <f>HYPERLINK("https://www.philgeps.gov.ph/GEPSNONPILOT/Tender/SplashBidNoticeAbstractUI.aspx?menuIndex=3&amp;refID=7036635&amp;Result=3","7036635")</f>
        <v>0</v>
      </c>
      <c r="B6546" t="s">
        <v>1951</v>
      </c>
      <c r="C6546" t="s">
        <v>8944</v>
      </c>
      <c r="D6546" t="s">
        <v>13065</v>
      </c>
      <c r="E6546" t="s">
        <v>14933</v>
      </c>
      <c r="F6546" t="s">
        <v>22436</v>
      </c>
      <c r="G6546" t="s">
        <v>22444</v>
      </c>
      <c r="H6546" t="s">
        <v>22454</v>
      </c>
      <c r="I6546" t="s">
        <v>7738</v>
      </c>
      <c r="J6546" t="s">
        <v>26849</v>
      </c>
      <c r="K6546" t="s">
        <v>29364</v>
      </c>
      <c r="M6546" t="s">
        <v>31681</v>
      </c>
      <c r="N6546" t="s">
        <v>32524</v>
      </c>
      <c r="O6546" t="s">
        <v>32525</v>
      </c>
      <c r="P6546">
        <v>0</v>
      </c>
      <c r="Q6546">
        <v>0</v>
      </c>
      <c r="R6546" t="s">
        <v>32532</v>
      </c>
      <c r="S6546" t="s">
        <v>32616</v>
      </c>
      <c r="T6546" t="s">
        <v>33522</v>
      </c>
      <c r="U6546" t="s">
        <v>39129</v>
      </c>
      <c r="W6546" t="s">
        <v>31681</v>
      </c>
      <c r="X6546" t="s">
        <v>32533</v>
      </c>
    </row>
    <row r="6547" spans="1:24">
      <c r="A6547">
        <f>HYPERLINK("https://www.philgeps.gov.ph/GEPSNONPILOT/Tender/SplashBidNoticeAbstractUI.aspx?menuIndex=3&amp;refID=7036644&amp;Result=3","7036644")</f>
        <v>0</v>
      </c>
      <c r="B6547" t="s">
        <v>1450</v>
      </c>
      <c r="C6547" t="s">
        <v>8945</v>
      </c>
      <c r="D6547" t="s">
        <v>13011</v>
      </c>
      <c r="E6547" t="s">
        <v>18852</v>
      </c>
      <c r="F6547" t="s">
        <v>22436</v>
      </c>
      <c r="G6547" t="s">
        <v>22444</v>
      </c>
      <c r="H6547" t="s">
        <v>22454</v>
      </c>
      <c r="I6547" t="s">
        <v>7738</v>
      </c>
      <c r="J6547" t="s">
        <v>25312</v>
      </c>
      <c r="K6547" t="s">
        <v>29333</v>
      </c>
      <c r="M6547" t="s">
        <v>31114</v>
      </c>
      <c r="N6547" t="s">
        <v>32524</v>
      </c>
      <c r="O6547" t="s">
        <v>32525</v>
      </c>
      <c r="P6547">
        <v>0</v>
      </c>
      <c r="Q6547">
        <v>0</v>
      </c>
      <c r="R6547" t="s">
        <v>32532</v>
      </c>
      <c r="S6547" t="s">
        <v>32616</v>
      </c>
      <c r="T6547" t="s">
        <v>33249</v>
      </c>
      <c r="U6547" t="s">
        <v>39130</v>
      </c>
      <c r="W6547" t="s">
        <v>31114</v>
      </c>
      <c r="X6547" t="s">
        <v>32533</v>
      </c>
    </row>
    <row r="6548" spans="1:24">
      <c r="A6548">
        <f>HYPERLINK("https://www.philgeps.gov.ph/GEPSNONPILOT/Tender/SplashBidNoticeAbstractUI.aspx?menuIndex=3&amp;refID=7036628&amp;Result=3","7036628")</f>
        <v>0</v>
      </c>
      <c r="B6548" t="s">
        <v>1603</v>
      </c>
      <c r="C6548" t="s">
        <v>8946</v>
      </c>
      <c r="D6548" t="s">
        <v>13019</v>
      </c>
      <c r="E6548" t="s">
        <v>18853</v>
      </c>
      <c r="F6548" t="s">
        <v>22436</v>
      </c>
      <c r="G6548" t="s">
        <v>22444</v>
      </c>
      <c r="H6548" t="s">
        <v>22454</v>
      </c>
      <c r="I6548" t="s">
        <v>7738</v>
      </c>
      <c r="J6548" t="s">
        <v>26850</v>
      </c>
      <c r="K6548" t="s">
        <v>29466</v>
      </c>
      <c r="M6548" t="s">
        <v>31287</v>
      </c>
      <c r="N6548" t="s">
        <v>32524</v>
      </c>
      <c r="O6548" t="s">
        <v>32525</v>
      </c>
      <c r="P6548">
        <v>0</v>
      </c>
      <c r="Q6548">
        <v>0</v>
      </c>
      <c r="R6548" t="s">
        <v>32532</v>
      </c>
      <c r="S6548" t="s">
        <v>32616</v>
      </c>
      <c r="T6548" t="s">
        <v>33227</v>
      </c>
      <c r="U6548" t="s">
        <v>37565</v>
      </c>
      <c r="W6548" t="s">
        <v>31287</v>
      </c>
      <c r="X6548" t="s">
        <v>32533</v>
      </c>
    </row>
    <row r="6549" spans="1:24">
      <c r="A6549">
        <f>HYPERLINK("https://www.philgeps.gov.ph/GEPSNONPILOT/Tender/SplashBidNoticeAbstractUI.aspx?menuIndex=3&amp;refID=7036603&amp;Result=3","7036603")</f>
        <v>0</v>
      </c>
      <c r="B6549" t="s">
        <v>992</v>
      </c>
      <c r="C6549" t="s">
        <v>8947</v>
      </c>
      <c r="D6549" t="s">
        <v>13024</v>
      </c>
      <c r="E6549" t="s">
        <v>18854</v>
      </c>
      <c r="F6549" t="s">
        <v>22436</v>
      </c>
      <c r="G6549" t="s">
        <v>22444</v>
      </c>
      <c r="H6549" t="s">
        <v>22452</v>
      </c>
      <c r="I6549" t="s">
        <v>22468</v>
      </c>
      <c r="J6549" t="s">
        <v>24863</v>
      </c>
      <c r="K6549" t="s">
        <v>29434</v>
      </c>
      <c r="M6549" t="s">
        <v>30616</v>
      </c>
      <c r="N6549" t="s">
        <v>32524</v>
      </c>
      <c r="O6549" t="s">
        <v>32525</v>
      </c>
      <c r="P6549">
        <v>0</v>
      </c>
      <c r="Q6549">
        <v>1</v>
      </c>
      <c r="R6549" t="s">
        <v>32532</v>
      </c>
      <c r="S6549" t="s">
        <v>32616</v>
      </c>
      <c r="T6549" t="s">
        <v>33238</v>
      </c>
      <c r="U6549" t="s">
        <v>39131</v>
      </c>
      <c r="V6549" t="s">
        <v>42679</v>
      </c>
      <c r="W6549" t="s">
        <v>30616</v>
      </c>
      <c r="X6549" t="s">
        <v>32533</v>
      </c>
    </row>
    <row r="6550" spans="1:24">
      <c r="A6550">
        <f>HYPERLINK("https://www.philgeps.gov.ph/GEPSNONPILOT/Tender/SplashBidNoticeAbstractUI.aspx?menuIndex=3&amp;refID=7036618&amp;Result=3","7036618")</f>
        <v>0</v>
      </c>
      <c r="B6550" t="s">
        <v>2039</v>
      </c>
      <c r="C6550" t="s">
        <v>8948</v>
      </c>
      <c r="D6550" t="s">
        <v>13003</v>
      </c>
      <c r="E6550" t="s">
        <v>18855</v>
      </c>
      <c r="F6550" t="s">
        <v>22436</v>
      </c>
      <c r="G6550" t="s">
        <v>22444</v>
      </c>
      <c r="H6550" t="s">
        <v>22454</v>
      </c>
      <c r="I6550" t="s">
        <v>7738</v>
      </c>
      <c r="J6550" t="s">
        <v>26851</v>
      </c>
      <c r="K6550" t="s">
        <v>29331</v>
      </c>
      <c r="M6550" t="s">
        <v>31774</v>
      </c>
      <c r="N6550" t="s">
        <v>32524</v>
      </c>
      <c r="O6550" t="s">
        <v>32525</v>
      </c>
      <c r="P6550">
        <v>0</v>
      </c>
      <c r="Q6550">
        <v>0</v>
      </c>
      <c r="R6550" t="s">
        <v>32532</v>
      </c>
      <c r="S6550" t="s">
        <v>32616</v>
      </c>
      <c r="T6550" t="s">
        <v>33238</v>
      </c>
      <c r="U6550" t="s">
        <v>39111</v>
      </c>
      <c r="W6550" t="s">
        <v>31774</v>
      </c>
      <c r="X6550" t="s">
        <v>32533</v>
      </c>
    </row>
    <row r="6551" spans="1:24">
      <c r="A6551">
        <f>HYPERLINK("https://www.philgeps.gov.ph/GEPSNONPILOT/Tender/SplashBidNoticeAbstractUI.aspx?menuIndex=3&amp;refID=7036629&amp;Result=3","7036629")</f>
        <v>0</v>
      </c>
      <c r="B6551" t="s">
        <v>294</v>
      </c>
      <c r="C6551" t="s">
        <v>8949</v>
      </c>
      <c r="D6551" t="s">
        <v>12998</v>
      </c>
      <c r="E6551" t="s">
        <v>13503</v>
      </c>
      <c r="F6551" t="s">
        <v>22436</v>
      </c>
      <c r="G6551" t="s">
        <v>22444</v>
      </c>
      <c r="H6551" t="s">
        <v>22454</v>
      </c>
      <c r="I6551" t="s">
        <v>7738</v>
      </c>
      <c r="J6551" t="s">
        <v>23093</v>
      </c>
      <c r="K6551" t="s">
        <v>29335</v>
      </c>
      <c r="M6551" t="s">
        <v>29868</v>
      </c>
      <c r="N6551" t="s">
        <v>32524</v>
      </c>
      <c r="O6551" t="s">
        <v>32525</v>
      </c>
      <c r="P6551">
        <v>0</v>
      </c>
      <c r="Q6551">
        <v>0</v>
      </c>
      <c r="R6551" t="s">
        <v>32532</v>
      </c>
      <c r="S6551" t="s">
        <v>32616</v>
      </c>
      <c r="T6551" t="s">
        <v>33220</v>
      </c>
      <c r="U6551" t="s">
        <v>39132</v>
      </c>
      <c r="W6551" t="s">
        <v>29868</v>
      </c>
      <c r="X6551" t="s">
        <v>32533</v>
      </c>
    </row>
    <row r="6552" spans="1:24">
      <c r="A6552">
        <f>HYPERLINK("https://www.philgeps.gov.ph/GEPSNONPILOT/Tender/SplashBidNoticeAbstractUI.aspx?menuIndex=3&amp;refID=7036594&amp;Result=3","7036594")</f>
        <v>0</v>
      </c>
      <c r="B6552" t="s">
        <v>1737</v>
      </c>
      <c r="C6552" t="s">
        <v>8950</v>
      </c>
      <c r="D6552" t="s">
        <v>13018</v>
      </c>
      <c r="E6552" t="s">
        <v>17049</v>
      </c>
      <c r="F6552" t="s">
        <v>22436</v>
      </c>
      <c r="G6552" t="s">
        <v>22444</v>
      </c>
      <c r="H6552" t="s">
        <v>22454</v>
      </c>
      <c r="I6552" t="s">
        <v>2981</v>
      </c>
      <c r="J6552" t="s">
        <v>26852</v>
      </c>
      <c r="K6552" t="s">
        <v>29344</v>
      </c>
      <c r="M6552" t="s">
        <v>31442</v>
      </c>
      <c r="N6552" t="s">
        <v>32524</v>
      </c>
      <c r="O6552" t="s">
        <v>32525</v>
      </c>
      <c r="P6552">
        <v>0</v>
      </c>
      <c r="Q6552">
        <v>0</v>
      </c>
      <c r="R6552" t="s">
        <v>32532</v>
      </c>
      <c r="S6552" t="s">
        <v>32616</v>
      </c>
      <c r="T6552" t="s">
        <v>33213</v>
      </c>
      <c r="U6552" t="s">
        <v>39133</v>
      </c>
      <c r="W6552" t="s">
        <v>31442</v>
      </c>
      <c r="X6552" t="s">
        <v>32533</v>
      </c>
    </row>
    <row r="6553" spans="1:24">
      <c r="A6553">
        <f>HYPERLINK("https://www.philgeps.gov.ph/GEPSNONPILOT/Tender/SplashBidNoticeAbstractUI.aspx?menuIndex=3&amp;refID=7036627&amp;Result=3","7036627")</f>
        <v>0</v>
      </c>
      <c r="B6553" t="s">
        <v>2006</v>
      </c>
      <c r="C6553" t="s">
        <v>8951</v>
      </c>
      <c r="E6553" t="s">
        <v>18856</v>
      </c>
      <c r="F6553" t="s">
        <v>22436</v>
      </c>
      <c r="G6553" t="s">
        <v>22444</v>
      </c>
      <c r="H6553" t="s">
        <v>22452</v>
      </c>
      <c r="I6553" t="s">
        <v>3529</v>
      </c>
      <c r="J6553" t="s">
        <v>26853</v>
      </c>
      <c r="K6553" t="s">
        <v>29338</v>
      </c>
      <c r="M6553" t="s">
        <v>31739</v>
      </c>
      <c r="N6553" t="s">
        <v>32524</v>
      </c>
      <c r="O6553" t="s">
        <v>32525</v>
      </c>
      <c r="P6553">
        <v>0</v>
      </c>
      <c r="Q6553">
        <v>0</v>
      </c>
      <c r="R6553" t="s">
        <v>32532</v>
      </c>
      <c r="S6553" t="s">
        <v>32616</v>
      </c>
      <c r="T6553" t="s">
        <v>33455</v>
      </c>
      <c r="U6553" t="s">
        <v>39134</v>
      </c>
      <c r="W6553" t="s">
        <v>31739</v>
      </c>
      <c r="X6553" t="s">
        <v>32533</v>
      </c>
    </row>
    <row r="6554" spans="1:24">
      <c r="A6554">
        <f>HYPERLINK("https://www.philgeps.gov.ph/GEPSNONPILOT/Tender/SplashBidNoticeAbstractUI.aspx?menuIndex=3&amp;refID=7036645&amp;Result=3","7036645")</f>
        <v>0</v>
      </c>
      <c r="B6554" t="s">
        <v>1603</v>
      </c>
      <c r="C6554" t="s">
        <v>8952</v>
      </c>
      <c r="D6554" t="s">
        <v>13019</v>
      </c>
      <c r="E6554" t="s">
        <v>18857</v>
      </c>
      <c r="F6554" t="s">
        <v>22436</v>
      </c>
      <c r="G6554" t="s">
        <v>22444</v>
      </c>
      <c r="H6554" t="s">
        <v>22454</v>
      </c>
      <c r="I6554" t="s">
        <v>7738</v>
      </c>
      <c r="J6554" t="s">
        <v>26854</v>
      </c>
      <c r="K6554" t="s">
        <v>29411</v>
      </c>
      <c r="M6554" t="s">
        <v>31287</v>
      </c>
      <c r="N6554" t="s">
        <v>32524</v>
      </c>
      <c r="O6554" t="s">
        <v>32525</v>
      </c>
      <c r="P6554">
        <v>0</v>
      </c>
      <c r="Q6554">
        <v>1</v>
      </c>
      <c r="R6554" t="s">
        <v>32532</v>
      </c>
      <c r="S6554" t="s">
        <v>32616</v>
      </c>
      <c r="T6554" t="s">
        <v>33227</v>
      </c>
      <c r="U6554" t="s">
        <v>37565</v>
      </c>
      <c r="W6554" t="s">
        <v>31287</v>
      </c>
      <c r="X6554" t="s">
        <v>32533</v>
      </c>
    </row>
    <row r="6555" spans="1:24">
      <c r="A6555">
        <f>HYPERLINK("https://www.philgeps.gov.ph/GEPSNONPILOT/Tender/SplashBidNoticeAbstractUI.aspx?menuIndex=3&amp;refID=7036670&amp;Result=3","7036670")</f>
        <v>0</v>
      </c>
      <c r="B6555" t="s">
        <v>1737</v>
      </c>
      <c r="C6555" t="s">
        <v>7700</v>
      </c>
      <c r="D6555" t="s">
        <v>13018</v>
      </c>
      <c r="E6555" t="s">
        <v>17080</v>
      </c>
      <c r="F6555" t="s">
        <v>22436</v>
      </c>
      <c r="G6555" t="s">
        <v>22444</v>
      </c>
      <c r="H6555" t="s">
        <v>22452</v>
      </c>
      <c r="I6555" t="s">
        <v>22460</v>
      </c>
      <c r="J6555" t="s">
        <v>26855</v>
      </c>
      <c r="K6555" t="s">
        <v>29341</v>
      </c>
      <c r="M6555" t="s">
        <v>31442</v>
      </c>
      <c r="N6555" t="s">
        <v>32524</v>
      </c>
      <c r="O6555" t="s">
        <v>32525</v>
      </c>
      <c r="P6555">
        <v>0</v>
      </c>
      <c r="Q6555">
        <v>0</v>
      </c>
      <c r="R6555" t="s">
        <v>32532</v>
      </c>
      <c r="S6555" t="s">
        <v>32616</v>
      </c>
      <c r="T6555" t="s">
        <v>33213</v>
      </c>
      <c r="U6555" t="s">
        <v>34688</v>
      </c>
      <c r="W6555" t="s">
        <v>31442</v>
      </c>
      <c r="X6555" t="s">
        <v>32533</v>
      </c>
    </row>
    <row r="6556" spans="1:24">
      <c r="A6556">
        <f>HYPERLINK("https://www.philgeps.gov.ph/GEPSNONPILOT/Tender/SplashBidNoticeAbstractUI.aspx?menuIndex=3&amp;refID=7036592&amp;Result=3","7036592")</f>
        <v>0</v>
      </c>
      <c r="B6556" t="s">
        <v>1702</v>
      </c>
      <c r="C6556" t="s">
        <v>8953</v>
      </c>
      <c r="D6556" t="s">
        <v>13065</v>
      </c>
      <c r="E6556" t="s">
        <v>18858</v>
      </c>
      <c r="F6556" t="s">
        <v>22436</v>
      </c>
      <c r="G6556" t="s">
        <v>22444</v>
      </c>
      <c r="H6556" t="s">
        <v>22454</v>
      </c>
      <c r="I6556" t="s">
        <v>7738</v>
      </c>
      <c r="J6556" t="s">
        <v>22788</v>
      </c>
      <c r="K6556" t="s">
        <v>29329</v>
      </c>
      <c r="M6556" t="s">
        <v>31404</v>
      </c>
      <c r="N6556" t="s">
        <v>32524</v>
      </c>
      <c r="O6556" t="s">
        <v>32525</v>
      </c>
      <c r="P6556">
        <v>0</v>
      </c>
      <c r="Q6556">
        <v>0</v>
      </c>
      <c r="R6556" t="s">
        <v>32532</v>
      </c>
      <c r="S6556" t="s">
        <v>32616</v>
      </c>
      <c r="T6556" t="s">
        <v>33187</v>
      </c>
      <c r="U6556" t="s">
        <v>37883</v>
      </c>
      <c r="W6556" t="s">
        <v>31404</v>
      </c>
      <c r="X6556" t="s">
        <v>32533</v>
      </c>
    </row>
    <row r="6557" spans="1:24">
      <c r="A6557">
        <f>HYPERLINK("https://www.philgeps.gov.ph/GEPSNONPILOT/Tender/SplashBidNoticeAbstractUI.aspx?menuIndex=3&amp;refID=7036667&amp;Result=3","7036667")</f>
        <v>0</v>
      </c>
      <c r="B6557" t="s">
        <v>1603</v>
      </c>
      <c r="C6557" t="s">
        <v>8954</v>
      </c>
      <c r="D6557" t="s">
        <v>13019</v>
      </c>
      <c r="E6557" t="s">
        <v>18859</v>
      </c>
      <c r="F6557" t="s">
        <v>22436</v>
      </c>
      <c r="G6557" t="s">
        <v>22444</v>
      </c>
      <c r="H6557" t="s">
        <v>22454</v>
      </c>
      <c r="I6557" t="s">
        <v>7738</v>
      </c>
      <c r="J6557" t="s">
        <v>26856</v>
      </c>
      <c r="K6557" t="s">
        <v>29335</v>
      </c>
      <c r="M6557" t="s">
        <v>31287</v>
      </c>
      <c r="N6557" t="s">
        <v>32524</v>
      </c>
      <c r="O6557" t="s">
        <v>32525</v>
      </c>
      <c r="P6557">
        <v>0</v>
      </c>
      <c r="Q6557">
        <v>0</v>
      </c>
      <c r="R6557" t="s">
        <v>32532</v>
      </c>
      <c r="S6557" t="s">
        <v>32616</v>
      </c>
      <c r="T6557" t="s">
        <v>33259</v>
      </c>
      <c r="U6557" t="s">
        <v>39135</v>
      </c>
      <c r="W6557" t="s">
        <v>31287</v>
      </c>
      <c r="X6557" t="s">
        <v>32533</v>
      </c>
    </row>
    <row r="6558" spans="1:24">
      <c r="A6558">
        <f>HYPERLINK("https://www.philgeps.gov.ph/GEPSNONPILOT/Tender/SplashBidNoticeAbstractUI.aspx?menuIndex=3&amp;refID=7036660&amp;Result=3","7036660")</f>
        <v>0</v>
      </c>
      <c r="B6558" t="s">
        <v>1270</v>
      </c>
      <c r="C6558" t="s">
        <v>8955</v>
      </c>
      <c r="D6558" t="s">
        <v>13035</v>
      </c>
      <c r="E6558" t="s">
        <v>18860</v>
      </c>
      <c r="F6558" t="s">
        <v>22436</v>
      </c>
      <c r="G6558" t="s">
        <v>22444</v>
      </c>
      <c r="H6558" t="s">
        <v>22452</v>
      </c>
      <c r="I6558" t="s">
        <v>22482</v>
      </c>
      <c r="J6558" t="s">
        <v>23229</v>
      </c>
      <c r="K6558" t="s">
        <v>29331</v>
      </c>
      <c r="M6558" t="s">
        <v>30923</v>
      </c>
      <c r="N6558" t="s">
        <v>32524</v>
      </c>
      <c r="O6558" t="s">
        <v>32525</v>
      </c>
      <c r="P6558">
        <v>0</v>
      </c>
      <c r="Q6558">
        <v>1</v>
      </c>
      <c r="R6558" t="s">
        <v>32532</v>
      </c>
      <c r="S6558" t="s">
        <v>32616</v>
      </c>
      <c r="T6558" t="s">
        <v>33293</v>
      </c>
      <c r="U6558" t="s">
        <v>39136</v>
      </c>
      <c r="W6558" t="s">
        <v>30923</v>
      </c>
      <c r="X6558" t="s">
        <v>32533</v>
      </c>
    </row>
    <row r="6559" spans="1:24">
      <c r="A6559">
        <f>HYPERLINK("https://www.philgeps.gov.ph/GEPSNONPILOT/Tender/SplashBidNoticeAbstractUI.aspx?menuIndex=3&amp;refID=7036595&amp;Result=3","7036595")</f>
        <v>0</v>
      </c>
      <c r="B6559" t="s">
        <v>95</v>
      </c>
      <c r="C6559" t="s">
        <v>8956</v>
      </c>
      <c r="D6559" t="s">
        <v>13028</v>
      </c>
      <c r="E6559" t="s">
        <v>18861</v>
      </c>
      <c r="F6559" t="s">
        <v>22436</v>
      </c>
      <c r="G6559" t="s">
        <v>22444</v>
      </c>
      <c r="H6559" t="s">
        <v>22452</v>
      </c>
      <c r="I6559" t="s">
        <v>22460</v>
      </c>
      <c r="J6559" t="s">
        <v>26857</v>
      </c>
      <c r="K6559" t="s">
        <v>29329</v>
      </c>
      <c r="M6559" t="s">
        <v>30024</v>
      </c>
      <c r="N6559" t="s">
        <v>32524</v>
      </c>
      <c r="O6559" t="s">
        <v>32525</v>
      </c>
      <c r="P6559">
        <v>0</v>
      </c>
      <c r="Q6559">
        <v>4</v>
      </c>
      <c r="R6559" t="s">
        <v>32532</v>
      </c>
      <c r="S6559" t="s">
        <v>32616</v>
      </c>
      <c r="T6559" t="s">
        <v>33234</v>
      </c>
      <c r="U6559" t="s">
        <v>39137</v>
      </c>
      <c r="W6559" t="s">
        <v>30024</v>
      </c>
      <c r="X6559" t="s">
        <v>32533</v>
      </c>
    </row>
    <row r="6560" spans="1:24">
      <c r="A6560">
        <f>HYPERLINK("https://www.philgeps.gov.ph/GEPSNONPILOT/Tender/SplashBidNoticeAbstractUI.aspx?menuIndex=3&amp;refID=7036630&amp;Result=3","7036630")</f>
        <v>0</v>
      </c>
      <c r="B6560" t="s">
        <v>998</v>
      </c>
      <c r="C6560" t="s">
        <v>8957</v>
      </c>
      <c r="D6560" t="s">
        <v>13066</v>
      </c>
      <c r="E6560" t="s">
        <v>18862</v>
      </c>
      <c r="F6560" t="s">
        <v>22436</v>
      </c>
      <c r="G6560" t="s">
        <v>22445</v>
      </c>
      <c r="H6560" t="s">
        <v>22452</v>
      </c>
      <c r="I6560" t="s">
        <v>2981</v>
      </c>
      <c r="J6560" t="s">
        <v>26858</v>
      </c>
      <c r="K6560" t="s">
        <v>29335</v>
      </c>
      <c r="M6560" t="s">
        <v>30624</v>
      </c>
      <c r="N6560" t="s">
        <v>32524</v>
      </c>
      <c r="O6560" t="s">
        <v>32525</v>
      </c>
      <c r="P6560">
        <v>0</v>
      </c>
      <c r="Q6560">
        <v>5</v>
      </c>
      <c r="R6560" t="s">
        <v>32532</v>
      </c>
      <c r="S6560" t="s">
        <v>32616</v>
      </c>
      <c r="T6560" t="s">
        <v>33209</v>
      </c>
      <c r="U6560" t="s">
        <v>39138</v>
      </c>
      <c r="V6560" t="s">
        <v>43142</v>
      </c>
      <c r="W6560" t="s">
        <v>30624</v>
      </c>
      <c r="X6560" t="s">
        <v>32533</v>
      </c>
    </row>
    <row r="6561" spans="1:24">
      <c r="A6561">
        <f>HYPERLINK("https://www.philgeps.gov.ph/GEPSNONPILOT/Tender/SplashBidNoticeAbstractUI.aspx?menuIndex=3&amp;refID=7036657&amp;Result=3","7036657")</f>
        <v>0</v>
      </c>
      <c r="B6561" t="s">
        <v>992</v>
      </c>
      <c r="C6561" t="s">
        <v>5204</v>
      </c>
      <c r="D6561" t="s">
        <v>13024</v>
      </c>
      <c r="E6561" t="s">
        <v>18863</v>
      </c>
      <c r="F6561" t="s">
        <v>22436</v>
      </c>
      <c r="G6561" t="s">
        <v>22444</v>
      </c>
      <c r="H6561" t="s">
        <v>22452</v>
      </c>
      <c r="I6561" t="s">
        <v>22469</v>
      </c>
      <c r="J6561" t="s">
        <v>26859</v>
      </c>
      <c r="K6561" t="s">
        <v>29434</v>
      </c>
      <c r="M6561" t="s">
        <v>30616</v>
      </c>
      <c r="N6561" t="s">
        <v>32524</v>
      </c>
      <c r="O6561" t="s">
        <v>32525</v>
      </c>
      <c r="P6561">
        <v>0</v>
      </c>
      <c r="Q6561">
        <v>1</v>
      </c>
      <c r="R6561" t="s">
        <v>32532</v>
      </c>
      <c r="S6561" t="s">
        <v>32616</v>
      </c>
      <c r="T6561" t="s">
        <v>33238</v>
      </c>
      <c r="U6561" t="s">
        <v>39139</v>
      </c>
      <c r="V6561" t="s">
        <v>42679</v>
      </c>
      <c r="W6561" t="s">
        <v>30616</v>
      </c>
      <c r="X6561" t="s">
        <v>32533</v>
      </c>
    </row>
    <row r="6562" spans="1:24">
      <c r="A6562">
        <f>HYPERLINK("https://www.philgeps.gov.ph/GEPSNONPILOT/Tender/SplashBidNoticeAbstractUI.aspx?menuIndex=3&amp;refID=7036655&amp;Result=3","7036655")</f>
        <v>0</v>
      </c>
      <c r="B6562" t="s">
        <v>627</v>
      </c>
      <c r="C6562" t="s">
        <v>8958</v>
      </c>
      <c r="D6562" t="s">
        <v>13041</v>
      </c>
      <c r="E6562" t="s">
        <v>13151</v>
      </c>
      <c r="F6562" t="s">
        <v>22436</v>
      </c>
      <c r="G6562" t="s">
        <v>22444</v>
      </c>
      <c r="H6562" t="s">
        <v>22454</v>
      </c>
      <c r="I6562" t="s">
        <v>7738</v>
      </c>
      <c r="J6562" t="s">
        <v>22779</v>
      </c>
      <c r="K6562" t="s">
        <v>29330</v>
      </c>
      <c r="M6562" t="s">
        <v>30218</v>
      </c>
      <c r="N6562" t="s">
        <v>32524</v>
      </c>
      <c r="O6562" t="s">
        <v>32525</v>
      </c>
      <c r="P6562">
        <v>0</v>
      </c>
      <c r="Q6562">
        <v>0</v>
      </c>
      <c r="R6562" t="s">
        <v>32532</v>
      </c>
      <c r="S6562" t="s">
        <v>32616</v>
      </c>
      <c r="T6562" t="s">
        <v>33372</v>
      </c>
      <c r="U6562" t="s">
        <v>39075</v>
      </c>
      <c r="W6562" t="s">
        <v>30218</v>
      </c>
      <c r="X6562" t="s">
        <v>32533</v>
      </c>
    </row>
    <row r="6563" spans="1:24">
      <c r="A6563">
        <f>HYPERLINK("https://www.philgeps.gov.ph/GEPSNONPILOT/Tender/SplashBidNoticeAbstractUI.aspx?menuIndex=3&amp;refID=7036631&amp;Result=3","7036631")</f>
        <v>0</v>
      </c>
      <c r="B6563" t="s">
        <v>1702</v>
      </c>
      <c r="C6563" t="s">
        <v>8959</v>
      </c>
      <c r="D6563" t="s">
        <v>13065</v>
      </c>
      <c r="E6563" t="s">
        <v>18864</v>
      </c>
      <c r="F6563" t="s">
        <v>22436</v>
      </c>
      <c r="G6563" t="s">
        <v>22444</v>
      </c>
      <c r="H6563" t="s">
        <v>22454</v>
      </c>
      <c r="I6563" t="s">
        <v>22490</v>
      </c>
      <c r="J6563" t="s">
        <v>22616</v>
      </c>
      <c r="K6563" t="s">
        <v>29403</v>
      </c>
      <c r="M6563" t="s">
        <v>31404</v>
      </c>
      <c r="N6563" t="s">
        <v>32524</v>
      </c>
      <c r="O6563" t="s">
        <v>32525</v>
      </c>
      <c r="P6563">
        <v>0</v>
      </c>
      <c r="Q6563">
        <v>0</v>
      </c>
      <c r="R6563" t="s">
        <v>32532</v>
      </c>
      <c r="S6563" t="s">
        <v>32616</v>
      </c>
      <c r="T6563" t="s">
        <v>33187</v>
      </c>
      <c r="U6563" t="s">
        <v>37883</v>
      </c>
      <c r="W6563" t="s">
        <v>31404</v>
      </c>
      <c r="X6563" t="s">
        <v>32533</v>
      </c>
    </row>
    <row r="6564" spans="1:24">
      <c r="A6564">
        <f>HYPERLINK("https://www.philgeps.gov.ph/GEPSNONPILOT/Tender/SplashBidNoticeAbstractUI.aspx?menuIndex=3&amp;refID=7036651&amp;Result=3","7036651")</f>
        <v>0</v>
      </c>
      <c r="B6564" t="s">
        <v>1702</v>
      </c>
      <c r="C6564" t="s">
        <v>8960</v>
      </c>
      <c r="D6564" t="s">
        <v>13065</v>
      </c>
      <c r="E6564" t="s">
        <v>18865</v>
      </c>
      <c r="F6564" t="s">
        <v>22436</v>
      </c>
      <c r="G6564" t="s">
        <v>22444</v>
      </c>
      <c r="H6564" t="s">
        <v>22454</v>
      </c>
      <c r="I6564" t="s">
        <v>7738</v>
      </c>
      <c r="J6564" t="s">
        <v>23093</v>
      </c>
      <c r="K6564" t="s">
        <v>29362</v>
      </c>
      <c r="M6564" t="s">
        <v>31404</v>
      </c>
      <c r="N6564" t="s">
        <v>32524</v>
      </c>
      <c r="O6564" t="s">
        <v>32525</v>
      </c>
      <c r="P6564">
        <v>0</v>
      </c>
      <c r="Q6564">
        <v>0</v>
      </c>
      <c r="R6564" t="s">
        <v>32532</v>
      </c>
      <c r="S6564" t="s">
        <v>32616</v>
      </c>
      <c r="T6564" t="s">
        <v>33187</v>
      </c>
      <c r="U6564" t="s">
        <v>37883</v>
      </c>
      <c r="W6564" t="s">
        <v>31404</v>
      </c>
      <c r="X6564" t="s">
        <v>32533</v>
      </c>
    </row>
    <row r="6565" spans="1:24">
      <c r="A6565">
        <f>HYPERLINK("https://www.philgeps.gov.ph/GEPSNONPILOT/Tender/SplashBidNoticeAbstractUI.aspx?menuIndex=3&amp;refID=7036689&amp;Result=3","7036689")</f>
        <v>0</v>
      </c>
      <c r="B6565" t="s">
        <v>37</v>
      </c>
      <c r="C6565" t="s">
        <v>8961</v>
      </c>
      <c r="D6565" t="s">
        <v>12999</v>
      </c>
      <c r="E6565" t="s">
        <v>13190</v>
      </c>
      <c r="F6565" t="s">
        <v>22436</v>
      </c>
      <c r="G6565" t="s">
        <v>22444</v>
      </c>
      <c r="H6565" t="s">
        <v>22454</v>
      </c>
      <c r="I6565" t="s">
        <v>7738</v>
      </c>
      <c r="J6565" t="s">
        <v>22587</v>
      </c>
      <c r="K6565" t="s">
        <v>29333</v>
      </c>
      <c r="M6565" t="s">
        <v>29607</v>
      </c>
      <c r="N6565" t="s">
        <v>32524</v>
      </c>
      <c r="O6565" t="s">
        <v>32525</v>
      </c>
      <c r="P6565">
        <v>0</v>
      </c>
      <c r="Q6565">
        <v>2</v>
      </c>
      <c r="R6565" t="s">
        <v>32532</v>
      </c>
      <c r="S6565" t="s">
        <v>32616</v>
      </c>
      <c r="T6565" t="s">
        <v>33533</v>
      </c>
      <c r="U6565" t="s">
        <v>39140</v>
      </c>
      <c r="W6565" t="s">
        <v>29607</v>
      </c>
      <c r="X6565" t="s">
        <v>32533</v>
      </c>
    </row>
    <row r="6566" spans="1:24">
      <c r="A6566">
        <f>HYPERLINK("https://www.philgeps.gov.ph/GEPSNONPILOT/Tender/SplashBidNoticeAbstractUI.aspx?menuIndex=3&amp;refID=7036656&amp;Result=3","7036656")</f>
        <v>0</v>
      </c>
      <c r="B6566" t="s">
        <v>315</v>
      </c>
      <c r="C6566" t="s">
        <v>8962</v>
      </c>
      <c r="D6566" t="s">
        <v>13045</v>
      </c>
      <c r="E6566" t="s">
        <v>18866</v>
      </c>
      <c r="F6566" t="s">
        <v>22436</v>
      </c>
      <c r="G6566" t="s">
        <v>22443</v>
      </c>
      <c r="H6566" t="s">
        <v>22452</v>
      </c>
      <c r="I6566" t="s">
        <v>22566</v>
      </c>
      <c r="J6566" t="s">
        <v>22588</v>
      </c>
      <c r="K6566" t="s">
        <v>29341</v>
      </c>
      <c r="M6566" t="s">
        <v>29891</v>
      </c>
      <c r="N6566" t="s">
        <v>32524</v>
      </c>
      <c r="O6566" t="s">
        <v>32525</v>
      </c>
      <c r="P6566">
        <v>0</v>
      </c>
      <c r="Q6566">
        <v>0</v>
      </c>
      <c r="R6566" t="s">
        <v>32532</v>
      </c>
      <c r="S6566" t="s">
        <v>32616</v>
      </c>
      <c r="T6566" t="s">
        <v>33372</v>
      </c>
      <c r="U6566" t="s">
        <v>39141</v>
      </c>
      <c r="W6566" t="s">
        <v>29891</v>
      </c>
      <c r="X6566" t="s">
        <v>32533</v>
      </c>
    </row>
    <row r="6567" spans="1:24">
      <c r="A6567">
        <f>HYPERLINK("https://www.philgeps.gov.ph/GEPSNONPILOT/Tender/SplashBidNoticeAbstractUI.aspx?menuIndex=3&amp;refID=7036653&amp;Result=3","7036653")</f>
        <v>0</v>
      </c>
      <c r="B6567" t="s">
        <v>2039</v>
      </c>
      <c r="C6567" t="s">
        <v>8963</v>
      </c>
      <c r="D6567" t="s">
        <v>13003</v>
      </c>
      <c r="E6567" t="s">
        <v>18867</v>
      </c>
      <c r="F6567" t="s">
        <v>22436</v>
      </c>
      <c r="G6567" t="s">
        <v>22444</v>
      </c>
      <c r="H6567" t="s">
        <v>22454</v>
      </c>
      <c r="I6567" t="s">
        <v>7738</v>
      </c>
      <c r="J6567" t="s">
        <v>26860</v>
      </c>
      <c r="K6567" t="s">
        <v>29360</v>
      </c>
      <c r="M6567" t="s">
        <v>31774</v>
      </c>
      <c r="N6567" t="s">
        <v>32524</v>
      </c>
      <c r="O6567" t="s">
        <v>32525</v>
      </c>
      <c r="P6567">
        <v>0</v>
      </c>
      <c r="Q6567">
        <v>0</v>
      </c>
      <c r="R6567" t="s">
        <v>32532</v>
      </c>
      <c r="S6567" t="s">
        <v>32616</v>
      </c>
      <c r="T6567" t="s">
        <v>33238</v>
      </c>
      <c r="U6567" t="s">
        <v>39111</v>
      </c>
      <c r="W6567" t="s">
        <v>31774</v>
      </c>
      <c r="X6567" t="s">
        <v>32533</v>
      </c>
    </row>
    <row r="6568" spans="1:24">
      <c r="A6568">
        <f>HYPERLINK("https://www.philgeps.gov.ph/GEPSNONPILOT/Tender/SplashBidNoticeAbstractUI.aspx?menuIndex=3&amp;refID=7036680&amp;Result=3","7036680")</f>
        <v>0</v>
      </c>
      <c r="B6568" t="s">
        <v>294</v>
      </c>
      <c r="C6568" t="s">
        <v>8964</v>
      </c>
      <c r="D6568" t="s">
        <v>12998</v>
      </c>
      <c r="E6568" t="s">
        <v>13371</v>
      </c>
      <c r="F6568" t="s">
        <v>22436</v>
      </c>
      <c r="G6568" t="s">
        <v>22444</v>
      </c>
      <c r="H6568" t="s">
        <v>22454</v>
      </c>
      <c r="I6568" t="s">
        <v>7738</v>
      </c>
      <c r="J6568" t="s">
        <v>23278</v>
      </c>
      <c r="K6568" t="s">
        <v>29333</v>
      </c>
      <c r="M6568" t="s">
        <v>29868</v>
      </c>
      <c r="N6568" t="s">
        <v>32524</v>
      </c>
      <c r="O6568" t="s">
        <v>32525</v>
      </c>
      <c r="P6568">
        <v>0</v>
      </c>
      <c r="Q6568">
        <v>0</v>
      </c>
      <c r="R6568" t="s">
        <v>32532</v>
      </c>
      <c r="S6568" t="s">
        <v>32616</v>
      </c>
      <c r="T6568" t="s">
        <v>33220</v>
      </c>
      <c r="U6568" t="s">
        <v>39142</v>
      </c>
      <c r="W6568" t="s">
        <v>29868</v>
      </c>
      <c r="X6568" t="s">
        <v>32533</v>
      </c>
    </row>
    <row r="6569" spans="1:24">
      <c r="A6569">
        <f>HYPERLINK("https://www.philgeps.gov.ph/GEPSNONPILOT/Tender/SplashBidNoticeAbstractUI.aspx?menuIndex=3&amp;refID=7036649&amp;Result=3","7036649")</f>
        <v>0</v>
      </c>
      <c r="B6569" t="s">
        <v>689</v>
      </c>
      <c r="C6569" t="s">
        <v>8965</v>
      </c>
      <c r="D6569" t="s">
        <v>13006</v>
      </c>
      <c r="E6569" t="s">
        <v>18868</v>
      </c>
      <c r="F6569" t="s">
        <v>22436</v>
      </c>
      <c r="G6569" t="s">
        <v>22446</v>
      </c>
      <c r="H6569" t="s">
        <v>22452</v>
      </c>
      <c r="I6569" t="s">
        <v>22465</v>
      </c>
      <c r="J6569" t="s">
        <v>26861</v>
      </c>
      <c r="K6569" t="s">
        <v>29336</v>
      </c>
      <c r="M6569" t="s">
        <v>30283</v>
      </c>
      <c r="N6569" t="s">
        <v>32524</v>
      </c>
      <c r="O6569" t="s">
        <v>32525</v>
      </c>
      <c r="P6569">
        <v>0</v>
      </c>
      <c r="Q6569">
        <v>0</v>
      </c>
      <c r="R6569" t="s">
        <v>32532</v>
      </c>
      <c r="S6569" t="s">
        <v>32616</v>
      </c>
      <c r="T6569" t="s">
        <v>33169</v>
      </c>
      <c r="U6569" t="s">
        <v>39143</v>
      </c>
      <c r="W6569" t="s">
        <v>30283</v>
      </c>
      <c r="X6569" t="s">
        <v>32533</v>
      </c>
    </row>
    <row r="6570" spans="1:24">
      <c r="A6570">
        <f>HYPERLINK("https://www.philgeps.gov.ph/GEPSNONPILOT/Tender/SplashBidNoticeAbstractUI.aspx?menuIndex=3&amp;refID=7036707&amp;Result=3","7036707")</f>
        <v>0</v>
      </c>
      <c r="B6570" t="s">
        <v>294</v>
      </c>
      <c r="C6570" t="s">
        <v>8966</v>
      </c>
      <c r="D6570" t="s">
        <v>12998</v>
      </c>
      <c r="E6570" t="s">
        <v>16755</v>
      </c>
      <c r="F6570" t="s">
        <v>22436</v>
      </c>
      <c r="G6570" t="s">
        <v>22444</v>
      </c>
      <c r="H6570" t="s">
        <v>22454</v>
      </c>
      <c r="I6570" t="s">
        <v>7738</v>
      </c>
      <c r="J6570" t="s">
        <v>26862</v>
      </c>
      <c r="K6570" t="s">
        <v>29341</v>
      </c>
      <c r="M6570" t="s">
        <v>29868</v>
      </c>
      <c r="N6570" t="s">
        <v>32524</v>
      </c>
      <c r="O6570" t="s">
        <v>32525</v>
      </c>
      <c r="P6570">
        <v>0</v>
      </c>
      <c r="Q6570">
        <v>0</v>
      </c>
      <c r="R6570" t="s">
        <v>32532</v>
      </c>
      <c r="S6570" t="s">
        <v>32616</v>
      </c>
      <c r="T6570" t="s">
        <v>33220</v>
      </c>
      <c r="U6570" t="s">
        <v>39144</v>
      </c>
      <c r="W6570" t="s">
        <v>29868</v>
      </c>
      <c r="X6570" t="s">
        <v>32533</v>
      </c>
    </row>
    <row r="6571" spans="1:24">
      <c r="A6571">
        <f>HYPERLINK("https://www.philgeps.gov.ph/GEPSNONPILOT/Tender/SplashBidNoticeAbstractUI.aspx?menuIndex=3&amp;refID=7036698&amp;Result=3","7036698")</f>
        <v>0</v>
      </c>
      <c r="B6571" t="s">
        <v>1951</v>
      </c>
      <c r="C6571" t="s">
        <v>8967</v>
      </c>
      <c r="D6571" t="s">
        <v>13065</v>
      </c>
      <c r="E6571" t="s">
        <v>15038</v>
      </c>
      <c r="F6571" t="s">
        <v>22436</v>
      </c>
      <c r="G6571" t="s">
        <v>22444</v>
      </c>
      <c r="H6571" t="s">
        <v>22454</v>
      </c>
      <c r="I6571" t="s">
        <v>7738</v>
      </c>
      <c r="J6571" t="s">
        <v>26863</v>
      </c>
      <c r="K6571" t="s">
        <v>29390</v>
      </c>
      <c r="M6571" t="s">
        <v>31681</v>
      </c>
      <c r="N6571" t="s">
        <v>32524</v>
      </c>
      <c r="O6571" t="s">
        <v>32525</v>
      </c>
      <c r="P6571">
        <v>0</v>
      </c>
      <c r="Q6571">
        <v>0</v>
      </c>
      <c r="R6571" t="s">
        <v>32532</v>
      </c>
      <c r="S6571" t="s">
        <v>32616</v>
      </c>
      <c r="T6571" t="s">
        <v>33522</v>
      </c>
      <c r="U6571" t="s">
        <v>39145</v>
      </c>
      <c r="W6571" t="s">
        <v>31681</v>
      </c>
      <c r="X6571" t="s">
        <v>32533</v>
      </c>
    </row>
    <row r="6572" spans="1:24">
      <c r="A6572">
        <f>HYPERLINK("https://www.philgeps.gov.ph/GEPSNONPILOT/Tender/SplashBidNoticeAbstractUI.aspx?menuIndex=3&amp;refID=7036671&amp;Result=3","7036671")</f>
        <v>0</v>
      </c>
      <c r="B6572" t="s">
        <v>2045</v>
      </c>
      <c r="C6572" t="s">
        <v>8968</v>
      </c>
      <c r="E6572" t="s">
        <v>18869</v>
      </c>
      <c r="F6572" t="s">
        <v>22436</v>
      </c>
      <c r="G6572" t="s">
        <v>22444</v>
      </c>
      <c r="H6572" t="s">
        <v>22452</v>
      </c>
      <c r="I6572" t="s">
        <v>22474</v>
      </c>
      <c r="J6572" t="s">
        <v>26864</v>
      </c>
      <c r="K6572" t="s">
        <v>29338</v>
      </c>
      <c r="M6572" t="s">
        <v>31784</v>
      </c>
      <c r="N6572" t="s">
        <v>32524</v>
      </c>
      <c r="O6572" t="s">
        <v>32525</v>
      </c>
      <c r="P6572">
        <v>0</v>
      </c>
      <c r="Q6572">
        <v>1</v>
      </c>
      <c r="R6572" t="s">
        <v>32532</v>
      </c>
      <c r="S6572" t="s">
        <v>32616</v>
      </c>
      <c r="T6572" t="s">
        <v>33534</v>
      </c>
      <c r="U6572" t="s">
        <v>39146</v>
      </c>
      <c r="W6572" t="s">
        <v>31784</v>
      </c>
      <c r="X6572" t="s">
        <v>32533</v>
      </c>
    </row>
    <row r="6573" spans="1:24">
      <c r="A6573">
        <f>HYPERLINK("https://www.philgeps.gov.ph/GEPSNONPILOT/Tender/SplashBidNoticeAbstractUI.aspx?menuIndex=3&amp;refID=7036709&amp;Result=3","7036709")</f>
        <v>0</v>
      </c>
      <c r="B6573" t="s">
        <v>1497</v>
      </c>
      <c r="C6573" t="s">
        <v>8969</v>
      </c>
      <c r="D6573" t="s">
        <v>12988</v>
      </c>
      <c r="E6573" t="s">
        <v>18870</v>
      </c>
      <c r="F6573" t="s">
        <v>22436</v>
      </c>
      <c r="G6573" t="s">
        <v>22444</v>
      </c>
      <c r="H6573" t="s">
        <v>22452</v>
      </c>
      <c r="I6573" t="s">
        <v>22460</v>
      </c>
      <c r="J6573" t="s">
        <v>26865</v>
      </c>
      <c r="K6573" t="s">
        <v>29341</v>
      </c>
      <c r="M6573" t="s">
        <v>31785</v>
      </c>
      <c r="N6573" t="s">
        <v>32524</v>
      </c>
      <c r="O6573" t="s">
        <v>32525</v>
      </c>
      <c r="P6573">
        <v>0</v>
      </c>
      <c r="Q6573">
        <v>0</v>
      </c>
      <c r="R6573" t="s">
        <v>32532</v>
      </c>
      <c r="S6573" t="s">
        <v>32616</v>
      </c>
      <c r="T6573" t="s">
        <v>33238</v>
      </c>
      <c r="U6573" t="s">
        <v>34065</v>
      </c>
      <c r="W6573" t="s">
        <v>31785</v>
      </c>
      <c r="X6573" t="s">
        <v>32533</v>
      </c>
    </row>
    <row r="6574" spans="1:24">
      <c r="A6574">
        <f>HYPERLINK("https://www.philgeps.gov.ph/GEPSNONPILOT/Tender/SplashBidNoticeAbstractUI.aspx?menuIndex=3&amp;refID=7036691&amp;Result=3","7036691")</f>
        <v>0</v>
      </c>
      <c r="B6574" t="s">
        <v>1737</v>
      </c>
      <c r="C6574" t="s">
        <v>8970</v>
      </c>
      <c r="D6574" t="s">
        <v>13018</v>
      </c>
      <c r="E6574" t="s">
        <v>18871</v>
      </c>
      <c r="F6574" t="s">
        <v>22436</v>
      </c>
      <c r="G6574" t="s">
        <v>22444</v>
      </c>
      <c r="H6574" t="s">
        <v>22452</v>
      </c>
      <c r="I6574" t="s">
        <v>22494</v>
      </c>
      <c r="J6574" t="s">
        <v>26866</v>
      </c>
      <c r="K6574" t="s">
        <v>29341</v>
      </c>
      <c r="M6574" t="s">
        <v>31442</v>
      </c>
      <c r="N6574" t="s">
        <v>32524</v>
      </c>
      <c r="O6574" t="s">
        <v>32525</v>
      </c>
      <c r="P6574">
        <v>0</v>
      </c>
      <c r="Q6574">
        <v>0</v>
      </c>
      <c r="R6574" t="s">
        <v>32532</v>
      </c>
      <c r="S6574" t="s">
        <v>32616</v>
      </c>
      <c r="T6574" t="s">
        <v>33213</v>
      </c>
      <c r="U6574" t="s">
        <v>39147</v>
      </c>
      <c r="W6574" t="s">
        <v>31442</v>
      </c>
      <c r="X6574" t="s">
        <v>32533</v>
      </c>
    </row>
    <row r="6575" spans="1:24">
      <c r="A6575">
        <f>HYPERLINK("https://www.philgeps.gov.ph/GEPSNONPILOT/Tender/SplashBidNoticeAbstractUI.aspx?menuIndex=3&amp;refID=7036734&amp;Result=3","7036734")</f>
        <v>0</v>
      </c>
      <c r="B6575" t="s">
        <v>627</v>
      </c>
      <c r="C6575" t="s">
        <v>8971</v>
      </c>
      <c r="D6575" t="s">
        <v>13041</v>
      </c>
      <c r="E6575" t="s">
        <v>13170</v>
      </c>
      <c r="F6575" t="s">
        <v>22436</v>
      </c>
      <c r="G6575" t="s">
        <v>22444</v>
      </c>
      <c r="H6575" t="s">
        <v>22454</v>
      </c>
      <c r="I6575" t="s">
        <v>7738</v>
      </c>
      <c r="J6575" t="s">
        <v>22634</v>
      </c>
      <c r="K6575" t="s">
        <v>29402</v>
      </c>
      <c r="M6575" t="s">
        <v>30218</v>
      </c>
      <c r="N6575" t="s">
        <v>32524</v>
      </c>
      <c r="O6575" t="s">
        <v>32525</v>
      </c>
      <c r="P6575">
        <v>0</v>
      </c>
      <c r="Q6575">
        <v>0</v>
      </c>
      <c r="R6575" t="s">
        <v>32532</v>
      </c>
      <c r="S6575" t="s">
        <v>32616</v>
      </c>
      <c r="T6575" t="s">
        <v>33344</v>
      </c>
      <c r="U6575" t="s">
        <v>39075</v>
      </c>
      <c r="W6575" t="s">
        <v>30218</v>
      </c>
      <c r="X6575" t="s">
        <v>32533</v>
      </c>
    </row>
    <row r="6576" spans="1:24">
      <c r="A6576">
        <f>HYPERLINK("https://www.philgeps.gov.ph/GEPSNONPILOT/Tender/SplashBidNoticeAbstractUI.aspx?menuIndex=3&amp;refID=7036672&amp;Result=3","7036672")</f>
        <v>0</v>
      </c>
      <c r="B6576" t="s">
        <v>2046</v>
      </c>
      <c r="C6576" t="s">
        <v>8972</v>
      </c>
      <c r="D6576" t="s">
        <v>13006</v>
      </c>
      <c r="E6576" t="s">
        <v>18872</v>
      </c>
      <c r="F6576" t="s">
        <v>22436</v>
      </c>
      <c r="G6576" t="s">
        <v>22444</v>
      </c>
      <c r="H6576" t="s">
        <v>22452</v>
      </c>
      <c r="I6576" t="s">
        <v>22474</v>
      </c>
      <c r="J6576" t="s">
        <v>23245</v>
      </c>
      <c r="K6576" t="s">
        <v>29335</v>
      </c>
      <c r="M6576" t="s">
        <v>31786</v>
      </c>
      <c r="N6576" t="s">
        <v>32524</v>
      </c>
      <c r="O6576" t="s">
        <v>32525</v>
      </c>
      <c r="P6576">
        <v>0</v>
      </c>
      <c r="Q6576">
        <v>3</v>
      </c>
      <c r="R6576" t="s">
        <v>32532</v>
      </c>
      <c r="S6576" t="s">
        <v>32616</v>
      </c>
      <c r="T6576" t="s">
        <v>33218</v>
      </c>
      <c r="U6576" t="s">
        <v>39148</v>
      </c>
      <c r="W6576" t="s">
        <v>31786</v>
      </c>
      <c r="X6576" t="s">
        <v>32533</v>
      </c>
    </row>
    <row r="6577" spans="1:24">
      <c r="A6577">
        <f>HYPERLINK("https://www.philgeps.gov.ph/GEPSNONPILOT/Tender/SplashBidNoticeAbstractUI.aspx?menuIndex=3&amp;refID=7036732&amp;Result=3","7036732")</f>
        <v>0</v>
      </c>
      <c r="B6577" t="s">
        <v>2047</v>
      </c>
      <c r="C6577" t="s">
        <v>8973</v>
      </c>
      <c r="D6577" t="s">
        <v>13043</v>
      </c>
      <c r="E6577" t="s">
        <v>18873</v>
      </c>
      <c r="F6577" t="s">
        <v>22436</v>
      </c>
      <c r="G6577" t="s">
        <v>22443</v>
      </c>
      <c r="H6577" t="s">
        <v>22452</v>
      </c>
      <c r="I6577" t="s">
        <v>5194</v>
      </c>
      <c r="J6577" t="s">
        <v>26867</v>
      </c>
      <c r="K6577" t="s">
        <v>29336</v>
      </c>
      <c r="M6577" t="s">
        <v>31787</v>
      </c>
      <c r="N6577" t="s">
        <v>32524</v>
      </c>
      <c r="O6577" t="s">
        <v>32525</v>
      </c>
      <c r="P6577">
        <v>0</v>
      </c>
      <c r="Q6577">
        <v>1</v>
      </c>
      <c r="R6577" t="s">
        <v>32532</v>
      </c>
      <c r="S6577" t="s">
        <v>32616</v>
      </c>
      <c r="T6577" t="s">
        <v>33372</v>
      </c>
      <c r="U6577" t="s">
        <v>39149</v>
      </c>
      <c r="W6577" t="s">
        <v>31787</v>
      </c>
      <c r="X6577" t="s">
        <v>32533</v>
      </c>
    </row>
    <row r="6578" spans="1:24">
      <c r="A6578">
        <f>HYPERLINK("https://www.philgeps.gov.ph/GEPSNONPILOT/Tender/SplashBidNoticeAbstractUI.aspx?menuIndex=3&amp;refID=7036647&amp;Result=3","7036647")</f>
        <v>0</v>
      </c>
      <c r="B6578" t="s">
        <v>2048</v>
      </c>
      <c r="C6578" t="s">
        <v>8974</v>
      </c>
      <c r="D6578" t="s">
        <v>13013</v>
      </c>
      <c r="E6578" t="s">
        <v>13396</v>
      </c>
      <c r="F6578" t="s">
        <v>22436</v>
      </c>
      <c r="G6578" t="s">
        <v>22444</v>
      </c>
      <c r="H6578" t="s">
        <v>22452</v>
      </c>
      <c r="I6578" t="s">
        <v>22474</v>
      </c>
      <c r="J6578" t="s">
        <v>22806</v>
      </c>
      <c r="K6578" t="s">
        <v>29338</v>
      </c>
      <c r="M6578" t="s">
        <v>31788</v>
      </c>
      <c r="N6578" t="s">
        <v>32524</v>
      </c>
      <c r="O6578" t="s">
        <v>32525</v>
      </c>
      <c r="P6578">
        <v>0</v>
      </c>
      <c r="Q6578">
        <v>0</v>
      </c>
      <c r="R6578" t="s">
        <v>32532</v>
      </c>
      <c r="S6578" t="s">
        <v>32616</v>
      </c>
      <c r="T6578" t="s">
        <v>33371</v>
      </c>
      <c r="U6578" t="s">
        <v>39150</v>
      </c>
      <c r="W6578" t="s">
        <v>31788</v>
      </c>
      <c r="X6578" t="s">
        <v>32533</v>
      </c>
    </row>
    <row r="6579" spans="1:24">
      <c r="A6579">
        <f>HYPERLINK("https://www.philgeps.gov.ph/GEPSNONPILOT/Tender/SplashBidNoticeAbstractUI.aspx?menuIndex=3&amp;refID=7036733&amp;Result=3","7036733")</f>
        <v>0</v>
      </c>
      <c r="B6579" t="s">
        <v>717</v>
      </c>
      <c r="C6579" t="s">
        <v>8975</v>
      </c>
      <c r="D6579" t="s">
        <v>13024</v>
      </c>
      <c r="E6579" t="s">
        <v>18874</v>
      </c>
      <c r="F6579" t="s">
        <v>22436</v>
      </c>
      <c r="G6579" t="s">
        <v>22443</v>
      </c>
      <c r="H6579" t="s">
        <v>22452</v>
      </c>
      <c r="I6579" t="s">
        <v>22512</v>
      </c>
      <c r="J6579" t="s">
        <v>22874</v>
      </c>
      <c r="K6579" t="s">
        <v>29335</v>
      </c>
      <c r="M6579" t="s">
        <v>30314</v>
      </c>
      <c r="N6579" t="s">
        <v>32524</v>
      </c>
      <c r="O6579" t="s">
        <v>32525</v>
      </c>
      <c r="P6579">
        <v>0</v>
      </c>
      <c r="Q6579">
        <v>0</v>
      </c>
      <c r="R6579" t="s">
        <v>32532</v>
      </c>
      <c r="S6579" t="s">
        <v>32616</v>
      </c>
      <c r="T6579" t="s">
        <v>33228</v>
      </c>
      <c r="U6579" t="s">
        <v>39151</v>
      </c>
      <c r="W6579" t="s">
        <v>30314</v>
      </c>
      <c r="X6579" t="s">
        <v>32533</v>
      </c>
    </row>
    <row r="6580" spans="1:24">
      <c r="A6580">
        <f>HYPERLINK("https://www.philgeps.gov.ph/GEPSNONPILOT/Tender/SplashBidNoticeAbstractUI.aspx?menuIndex=3&amp;refID=7036727&amp;Result=3","7036727")</f>
        <v>0</v>
      </c>
      <c r="B6580" t="s">
        <v>844</v>
      </c>
      <c r="C6580" t="s">
        <v>8976</v>
      </c>
      <c r="D6580" t="s">
        <v>13009</v>
      </c>
      <c r="E6580" t="s">
        <v>18875</v>
      </c>
      <c r="F6580" t="s">
        <v>22436</v>
      </c>
      <c r="G6580" t="s">
        <v>22444</v>
      </c>
      <c r="H6580" t="s">
        <v>22454</v>
      </c>
      <c r="I6580" t="s">
        <v>7738</v>
      </c>
      <c r="J6580" t="s">
        <v>23350</v>
      </c>
      <c r="K6580" t="s">
        <v>29466</v>
      </c>
      <c r="M6580" t="s">
        <v>30450</v>
      </c>
      <c r="N6580" t="s">
        <v>32524</v>
      </c>
      <c r="O6580" t="s">
        <v>32525</v>
      </c>
      <c r="P6580">
        <v>0</v>
      </c>
      <c r="Q6580">
        <v>1</v>
      </c>
      <c r="R6580" t="s">
        <v>32532</v>
      </c>
      <c r="S6580" t="s">
        <v>32616</v>
      </c>
      <c r="T6580" t="s">
        <v>33385</v>
      </c>
      <c r="U6580" t="s">
        <v>39152</v>
      </c>
      <c r="W6580" t="s">
        <v>30450</v>
      </c>
      <c r="X6580" t="s">
        <v>32533</v>
      </c>
    </row>
    <row r="6581" spans="1:24">
      <c r="A6581">
        <f>HYPERLINK("https://www.philgeps.gov.ph/GEPSNONPILOT/Tender/SplashBidNoticeAbstractUI.aspx?menuIndex=3&amp;refID=7036768&amp;Result=3","7036768")</f>
        <v>0</v>
      </c>
      <c r="B6581" t="s">
        <v>1497</v>
      </c>
      <c r="C6581" t="s">
        <v>8977</v>
      </c>
      <c r="D6581" t="s">
        <v>12988</v>
      </c>
      <c r="E6581" t="s">
        <v>18876</v>
      </c>
      <c r="F6581" t="s">
        <v>22436</v>
      </c>
      <c r="G6581" t="s">
        <v>22444</v>
      </c>
      <c r="H6581" t="s">
        <v>22452</v>
      </c>
      <c r="I6581" t="s">
        <v>22460</v>
      </c>
      <c r="J6581" t="s">
        <v>26868</v>
      </c>
      <c r="K6581" t="s">
        <v>29341</v>
      </c>
      <c r="M6581" t="s">
        <v>31785</v>
      </c>
      <c r="N6581" t="s">
        <v>32524</v>
      </c>
      <c r="O6581" t="s">
        <v>32525</v>
      </c>
      <c r="P6581">
        <v>0</v>
      </c>
      <c r="Q6581">
        <v>0</v>
      </c>
      <c r="R6581" t="s">
        <v>32532</v>
      </c>
      <c r="S6581" t="s">
        <v>32616</v>
      </c>
      <c r="T6581" t="s">
        <v>33238</v>
      </c>
      <c r="U6581" t="s">
        <v>34065</v>
      </c>
      <c r="W6581" t="s">
        <v>31785</v>
      </c>
      <c r="X6581" t="s">
        <v>32533</v>
      </c>
    </row>
    <row r="6582" spans="1:24">
      <c r="A6582">
        <f>HYPERLINK("https://www.philgeps.gov.ph/GEPSNONPILOT/Tender/SplashBidNoticeAbstractUI.aspx?menuIndex=3&amp;refID=7036695&amp;Result=3","7036695")</f>
        <v>0</v>
      </c>
      <c r="B6582" t="s">
        <v>1603</v>
      </c>
      <c r="C6582" t="s">
        <v>8978</v>
      </c>
      <c r="D6582" t="s">
        <v>13019</v>
      </c>
      <c r="E6582" t="s">
        <v>18877</v>
      </c>
      <c r="F6582" t="s">
        <v>22436</v>
      </c>
      <c r="G6582" t="s">
        <v>22444</v>
      </c>
      <c r="H6582" t="s">
        <v>22454</v>
      </c>
      <c r="I6582" t="s">
        <v>7738</v>
      </c>
      <c r="J6582" t="s">
        <v>22605</v>
      </c>
      <c r="K6582" t="s">
        <v>29335</v>
      </c>
      <c r="M6582" t="s">
        <v>31287</v>
      </c>
      <c r="N6582" t="s">
        <v>32524</v>
      </c>
      <c r="O6582" t="s">
        <v>32525</v>
      </c>
      <c r="P6582">
        <v>0</v>
      </c>
      <c r="Q6582">
        <v>0</v>
      </c>
      <c r="R6582" t="s">
        <v>32532</v>
      </c>
      <c r="S6582" t="s">
        <v>32616</v>
      </c>
      <c r="T6582" t="s">
        <v>33259</v>
      </c>
      <c r="U6582" t="s">
        <v>39135</v>
      </c>
      <c r="W6582" t="s">
        <v>31287</v>
      </c>
      <c r="X6582" t="s">
        <v>32533</v>
      </c>
    </row>
    <row r="6583" spans="1:24">
      <c r="A6583">
        <f>HYPERLINK("https://www.philgeps.gov.ph/GEPSNONPILOT/Tender/SplashBidNoticeAbstractUI.aspx?menuIndex=3&amp;refID=7036765&amp;Result=3","7036765")</f>
        <v>0</v>
      </c>
      <c r="B6583" t="s">
        <v>128</v>
      </c>
      <c r="C6583" t="s">
        <v>8979</v>
      </c>
      <c r="D6583" t="s">
        <v>13025</v>
      </c>
      <c r="E6583" t="s">
        <v>18878</v>
      </c>
      <c r="F6583" t="s">
        <v>22436</v>
      </c>
      <c r="G6583" t="s">
        <v>22444</v>
      </c>
      <c r="H6583" t="s">
        <v>22452</v>
      </c>
      <c r="I6583" t="s">
        <v>3529</v>
      </c>
      <c r="J6583" t="s">
        <v>26869</v>
      </c>
      <c r="K6583" t="s">
        <v>29331</v>
      </c>
      <c r="M6583" t="s">
        <v>29700</v>
      </c>
      <c r="N6583" t="s">
        <v>32524</v>
      </c>
      <c r="O6583" t="s">
        <v>32525</v>
      </c>
      <c r="P6583">
        <v>0</v>
      </c>
      <c r="Q6583">
        <v>0</v>
      </c>
      <c r="R6583" t="s">
        <v>32532</v>
      </c>
      <c r="S6583" t="s">
        <v>32616</v>
      </c>
      <c r="T6583" t="s">
        <v>33220</v>
      </c>
      <c r="U6583" t="s">
        <v>39153</v>
      </c>
      <c r="W6583" t="s">
        <v>29700</v>
      </c>
      <c r="X6583" t="s">
        <v>32533</v>
      </c>
    </row>
    <row r="6584" spans="1:24">
      <c r="A6584">
        <f>HYPERLINK("https://www.philgeps.gov.ph/GEPSNONPILOT/Tender/SplashBidNoticeAbstractUI.aspx?menuIndex=3&amp;refID=7036756&amp;Result=3","7036756")</f>
        <v>0</v>
      </c>
      <c r="B6584" t="s">
        <v>95</v>
      </c>
      <c r="C6584" t="s">
        <v>8980</v>
      </c>
      <c r="D6584" t="s">
        <v>13028</v>
      </c>
      <c r="E6584" t="s">
        <v>18879</v>
      </c>
      <c r="F6584" t="s">
        <v>22436</v>
      </c>
      <c r="G6584" t="s">
        <v>22444</v>
      </c>
      <c r="H6584" t="s">
        <v>22452</v>
      </c>
      <c r="I6584" t="s">
        <v>3827</v>
      </c>
      <c r="J6584" t="s">
        <v>24256</v>
      </c>
      <c r="K6584" t="s">
        <v>29333</v>
      </c>
      <c r="M6584" t="s">
        <v>30024</v>
      </c>
      <c r="N6584" t="s">
        <v>32524</v>
      </c>
      <c r="O6584" t="s">
        <v>32525</v>
      </c>
      <c r="P6584">
        <v>0</v>
      </c>
      <c r="Q6584">
        <v>1</v>
      </c>
      <c r="R6584" t="s">
        <v>32532</v>
      </c>
      <c r="S6584" t="s">
        <v>32616</v>
      </c>
      <c r="T6584" t="s">
        <v>33220</v>
      </c>
      <c r="U6584" t="s">
        <v>39154</v>
      </c>
      <c r="W6584" t="s">
        <v>30024</v>
      </c>
      <c r="X6584" t="s">
        <v>32533</v>
      </c>
    </row>
    <row r="6585" spans="1:24">
      <c r="A6585">
        <f>HYPERLINK("https://www.philgeps.gov.ph/GEPSNONPILOT/Tender/SplashBidNoticeAbstractUI.aspx?menuIndex=3&amp;refID=7036764&amp;Result=3","7036764")</f>
        <v>0</v>
      </c>
      <c r="B6585" t="s">
        <v>82</v>
      </c>
      <c r="C6585" t="s">
        <v>8981</v>
      </c>
      <c r="D6585" t="s">
        <v>13024</v>
      </c>
      <c r="E6585" t="s">
        <v>18880</v>
      </c>
      <c r="F6585" t="s">
        <v>22436</v>
      </c>
      <c r="G6585" t="s">
        <v>22443</v>
      </c>
      <c r="H6585" t="s">
        <v>22452</v>
      </c>
      <c r="I6585" t="s">
        <v>3027</v>
      </c>
      <c r="J6585" t="s">
        <v>22640</v>
      </c>
      <c r="K6585" t="s">
        <v>29336</v>
      </c>
      <c r="M6585" t="s">
        <v>29654</v>
      </c>
      <c r="N6585" t="s">
        <v>32524</v>
      </c>
      <c r="O6585" t="s">
        <v>32525</v>
      </c>
      <c r="P6585">
        <v>0</v>
      </c>
      <c r="Q6585">
        <v>0</v>
      </c>
      <c r="R6585" t="s">
        <v>32532</v>
      </c>
      <c r="S6585" t="s">
        <v>32616</v>
      </c>
      <c r="T6585" t="s">
        <v>33521</v>
      </c>
      <c r="U6585" t="s">
        <v>39155</v>
      </c>
      <c r="W6585" t="s">
        <v>29654</v>
      </c>
      <c r="X6585" t="s">
        <v>32533</v>
      </c>
    </row>
    <row r="6586" spans="1:24">
      <c r="A6586">
        <f>HYPERLINK("https://www.philgeps.gov.ph/GEPSNONPILOT/Tender/SplashBidNoticeAbstractUI.aspx?menuIndex=3&amp;refID=7036728&amp;Result=3","7036728")</f>
        <v>0</v>
      </c>
      <c r="B6586" t="s">
        <v>1947</v>
      </c>
      <c r="C6586" t="s">
        <v>8982</v>
      </c>
      <c r="D6586" t="s">
        <v>12998</v>
      </c>
      <c r="E6586" t="s">
        <v>18881</v>
      </c>
      <c r="F6586" t="s">
        <v>22436</v>
      </c>
      <c r="G6586" t="s">
        <v>22444</v>
      </c>
      <c r="H6586" t="s">
        <v>22453</v>
      </c>
      <c r="I6586" t="s">
        <v>22512</v>
      </c>
      <c r="J6586" t="s">
        <v>26870</v>
      </c>
      <c r="K6586" t="s">
        <v>29334</v>
      </c>
      <c r="M6586" t="s">
        <v>31783</v>
      </c>
      <c r="N6586" t="s">
        <v>32524</v>
      </c>
      <c r="O6586" t="s">
        <v>32525</v>
      </c>
      <c r="P6586">
        <v>0</v>
      </c>
      <c r="Q6586">
        <v>4</v>
      </c>
      <c r="R6586" t="s">
        <v>32532</v>
      </c>
      <c r="S6586" t="s">
        <v>32616</v>
      </c>
      <c r="T6586" t="s">
        <v>33164</v>
      </c>
      <c r="U6586" t="s">
        <v>38802</v>
      </c>
      <c r="V6586" t="s">
        <v>43143</v>
      </c>
      <c r="W6586" t="s">
        <v>31783</v>
      </c>
      <c r="X6586" t="s">
        <v>32533</v>
      </c>
    </row>
    <row r="6587" spans="1:24">
      <c r="A6587">
        <f>HYPERLINK("https://www.philgeps.gov.ph/GEPSNONPILOT/Tender/SplashBidNoticeAbstractUI.aspx?menuIndex=3&amp;refID=7036738&amp;Result=3","7036738")</f>
        <v>0</v>
      </c>
      <c r="B6587" t="s">
        <v>1450</v>
      </c>
      <c r="C6587" t="s">
        <v>8983</v>
      </c>
      <c r="D6587" t="s">
        <v>13011</v>
      </c>
      <c r="E6587" t="s">
        <v>18882</v>
      </c>
      <c r="F6587" t="s">
        <v>22436</v>
      </c>
      <c r="G6587" t="s">
        <v>22444</v>
      </c>
      <c r="H6587" t="s">
        <v>22454</v>
      </c>
      <c r="I6587" t="s">
        <v>7738</v>
      </c>
      <c r="J6587" t="s">
        <v>24103</v>
      </c>
      <c r="K6587" t="s">
        <v>29344</v>
      </c>
      <c r="M6587" t="s">
        <v>31114</v>
      </c>
      <c r="N6587" t="s">
        <v>32524</v>
      </c>
      <c r="O6587" t="s">
        <v>32525</v>
      </c>
      <c r="P6587">
        <v>0</v>
      </c>
      <c r="Q6587">
        <v>0</v>
      </c>
      <c r="R6587" t="s">
        <v>32532</v>
      </c>
      <c r="S6587" t="s">
        <v>32616</v>
      </c>
      <c r="T6587" t="s">
        <v>33249</v>
      </c>
      <c r="U6587" t="s">
        <v>39130</v>
      </c>
      <c r="W6587" t="s">
        <v>31114</v>
      </c>
      <c r="X6587" t="s">
        <v>32533</v>
      </c>
    </row>
    <row r="6588" spans="1:24">
      <c r="A6588">
        <f>HYPERLINK("https://www.philgeps.gov.ph/GEPSNONPILOT/Tender/SplashBidNoticeAbstractUI.aspx?menuIndex=3&amp;refID=7036723&amp;Result=3","7036723")</f>
        <v>0</v>
      </c>
      <c r="B6588" t="s">
        <v>1737</v>
      </c>
      <c r="C6588" t="s">
        <v>8984</v>
      </c>
      <c r="D6588" t="s">
        <v>13018</v>
      </c>
      <c r="E6588" t="s">
        <v>18883</v>
      </c>
      <c r="F6588" t="s">
        <v>22436</v>
      </c>
      <c r="G6588" t="s">
        <v>22444</v>
      </c>
      <c r="H6588" t="s">
        <v>22454</v>
      </c>
      <c r="I6588" t="s">
        <v>3529</v>
      </c>
      <c r="J6588" t="s">
        <v>26871</v>
      </c>
      <c r="K6588" t="s">
        <v>29341</v>
      </c>
      <c r="M6588" t="s">
        <v>31442</v>
      </c>
      <c r="N6588" t="s">
        <v>32524</v>
      </c>
      <c r="O6588" t="s">
        <v>32525</v>
      </c>
      <c r="P6588">
        <v>0</v>
      </c>
      <c r="Q6588">
        <v>1</v>
      </c>
      <c r="R6588" t="s">
        <v>32532</v>
      </c>
      <c r="S6588" t="s">
        <v>32616</v>
      </c>
      <c r="T6588" t="s">
        <v>33213</v>
      </c>
      <c r="U6588" t="s">
        <v>39156</v>
      </c>
      <c r="W6588" t="s">
        <v>31442</v>
      </c>
      <c r="X6588" t="s">
        <v>32533</v>
      </c>
    </row>
    <row r="6589" spans="1:24">
      <c r="A6589">
        <f>HYPERLINK("https://www.philgeps.gov.ph/GEPSNONPILOT/Tender/SplashBidNoticeAbstractUI.aspx?menuIndex=3&amp;refID=7036748&amp;Result=3","7036748")</f>
        <v>0</v>
      </c>
      <c r="B6589" t="s">
        <v>1547</v>
      </c>
      <c r="C6589" t="s">
        <v>8985</v>
      </c>
      <c r="E6589" t="s">
        <v>18884</v>
      </c>
      <c r="F6589" t="s">
        <v>22436</v>
      </c>
      <c r="G6589" t="s">
        <v>22443</v>
      </c>
      <c r="H6589" t="s">
        <v>22453</v>
      </c>
      <c r="I6589" t="s">
        <v>11896</v>
      </c>
      <c r="J6589" t="s">
        <v>22873</v>
      </c>
      <c r="K6589" t="s">
        <v>29335</v>
      </c>
      <c r="M6589" t="s">
        <v>31226</v>
      </c>
      <c r="N6589" t="s">
        <v>32524</v>
      </c>
      <c r="O6589" t="s">
        <v>32525</v>
      </c>
      <c r="P6589">
        <v>0</v>
      </c>
      <c r="Q6589">
        <v>2</v>
      </c>
      <c r="R6589" t="s">
        <v>32532</v>
      </c>
      <c r="S6589" t="s">
        <v>32616</v>
      </c>
      <c r="T6589" t="s">
        <v>33304</v>
      </c>
      <c r="U6589" t="s">
        <v>39157</v>
      </c>
      <c r="W6589" t="s">
        <v>43727</v>
      </c>
      <c r="X6589" t="s">
        <v>32533</v>
      </c>
    </row>
    <row r="6590" spans="1:24">
      <c r="A6590">
        <f>HYPERLINK("https://www.philgeps.gov.ph/GEPSNONPILOT/Tender/SplashBidNoticeAbstractUI.aspx?menuIndex=3&amp;refID=7036729&amp;Result=3","7036729")</f>
        <v>0</v>
      </c>
      <c r="B6590" t="s">
        <v>1873</v>
      </c>
      <c r="C6590" t="s">
        <v>8986</v>
      </c>
      <c r="D6590" t="s">
        <v>12988</v>
      </c>
      <c r="E6590" t="s">
        <v>18885</v>
      </c>
      <c r="F6590" t="s">
        <v>22436</v>
      </c>
      <c r="G6590" t="s">
        <v>22444</v>
      </c>
      <c r="H6590" t="s">
        <v>22453</v>
      </c>
      <c r="I6590" t="s">
        <v>22457</v>
      </c>
      <c r="J6590" t="s">
        <v>26872</v>
      </c>
      <c r="K6590" t="s">
        <v>29353</v>
      </c>
      <c r="M6590" t="s">
        <v>31726</v>
      </c>
      <c r="N6590" t="s">
        <v>32524</v>
      </c>
      <c r="O6590" t="s">
        <v>32525</v>
      </c>
      <c r="P6590">
        <v>0</v>
      </c>
      <c r="Q6590">
        <v>2</v>
      </c>
      <c r="R6590" t="s">
        <v>32532</v>
      </c>
      <c r="S6590" t="s">
        <v>32616</v>
      </c>
      <c r="T6590" t="s">
        <v>33230</v>
      </c>
      <c r="U6590" t="s">
        <v>39158</v>
      </c>
      <c r="W6590" t="s">
        <v>31726</v>
      </c>
      <c r="X6590" t="s">
        <v>32533</v>
      </c>
    </row>
    <row r="6591" spans="1:24">
      <c r="A6591">
        <f>HYPERLINK("https://www.philgeps.gov.ph/GEPSNONPILOT/Tender/SplashBidNoticeAbstractUI.aspx?menuIndex=3&amp;refID=7036715&amp;Result=3","7036715")</f>
        <v>0</v>
      </c>
      <c r="B6591" t="s">
        <v>1182</v>
      </c>
      <c r="C6591" t="s">
        <v>8987</v>
      </c>
      <c r="D6591" t="s">
        <v>12993</v>
      </c>
      <c r="E6591" t="s">
        <v>18886</v>
      </c>
      <c r="F6591" t="s">
        <v>22436</v>
      </c>
      <c r="G6591" t="s">
        <v>22444</v>
      </c>
      <c r="H6591" t="s">
        <v>22454</v>
      </c>
      <c r="I6591" t="s">
        <v>7738</v>
      </c>
      <c r="J6591" t="s">
        <v>26873</v>
      </c>
      <c r="K6591" t="s">
        <v>29387</v>
      </c>
      <c r="M6591" t="s">
        <v>31415</v>
      </c>
      <c r="N6591" t="s">
        <v>32524</v>
      </c>
      <c r="O6591" t="s">
        <v>32525</v>
      </c>
      <c r="P6591">
        <v>0</v>
      </c>
      <c r="Q6591">
        <v>0</v>
      </c>
      <c r="R6591" t="s">
        <v>32532</v>
      </c>
      <c r="S6591" t="s">
        <v>32616</v>
      </c>
      <c r="T6591" t="s">
        <v>33237</v>
      </c>
      <c r="U6591" t="s">
        <v>39159</v>
      </c>
      <c r="V6591" t="s">
        <v>43144</v>
      </c>
      <c r="W6591" t="s">
        <v>43731</v>
      </c>
      <c r="X6591" t="s">
        <v>32533</v>
      </c>
    </row>
    <row r="6592" spans="1:24">
      <c r="A6592">
        <f>HYPERLINK("https://www.philgeps.gov.ph/GEPSNONPILOT/Tender/SplashBidNoticeAbstractUI.aspx?menuIndex=3&amp;refID=7036722&amp;Result=3","7036722")</f>
        <v>0</v>
      </c>
      <c r="B6592" t="s">
        <v>1805</v>
      </c>
      <c r="C6592" t="s">
        <v>8988</v>
      </c>
      <c r="D6592" t="s">
        <v>13069</v>
      </c>
      <c r="E6592" t="s">
        <v>18887</v>
      </c>
      <c r="F6592" t="s">
        <v>22436</v>
      </c>
      <c r="G6592" t="s">
        <v>22444</v>
      </c>
      <c r="H6592" t="s">
        <v>22454</v>
      </c>
      <c r="I6592" t="s">
        <v>7738</v>
      </c>
      <c r="J6592" t="s">
        <v>26874</v>
      </c>
      <c r="K6592" t="s">
        <v>29344</v>
      </c>
      <c r="M6592" t="s">
        <v>31518</v>
      </c>
      <c r="N6592" t="s">
        <v>32524</v>
      </c>
      <c r="O6592" t="s">
        <v>32525</v>
      </c>
      <c r="P6592">
        <v>0</v>
      </c>
      <c r="Q6592">
        <v>0</v>
      </c>
      <c r="R6592" t="s">
        <v>32532</v>
      </c>
      <c r="S6592" t="s">
        <v>32616</v>
      </c>
      <c r="T6592" t="s">
        <v>33177</v>
      </c>
      <c r="U6592" t="s">
        <v>39160</v>
      </c>
      <c r="W6592" t="s">
        <v>31518</v>
      </c>
      <c r="X6592" t="s">
        <v>32533</v>
      </c>
    </row>
    <row r="6593" spans="1:24">
      <c r="A6593">
        <f>HYPERLINK("https://www.philgeps.gov.ph/GEPSNONPILOT/Tender/SplashBidNoticeAbstractUI.aspx?menuIndex=3&amp;refID=7036721&amp;Result=3","7036721")</f>
        <v>0</v>
      </c>
      <c r="B6593" t="s">
        <v>128</v>
      </c>
      <c r="C6593" t="s">
        <v>8989</v>
      </c>
      <c r="D6593" t="s">
        <v>13025</v>
      </c>
      <c r="E6593" t="s">
        <v>18888</v>
      </c>
      <c r="F6593" t="s">
        <v>22436</v>
      </c>
      <c r="G6593" t="s">
        <v>22444</v>
      </c>
      <c r="H6593" t="s">
        <v>22452</v>
      </c>
      <c r="I6593" t="s">
        <v>3529</v>
      </c>
      <c r="J6593" t="s">
        <v>26875</v>
      </c>
      <c r="K6593" t="s">
        <v>29331</v>
      </c>
      <c r="M6593" t="s">
        <v>29700</v>
      </c>
      <c r="N6593" t="s">
        <v>32524</v>
      </c>
      <c r="O6593" t="s">
        <v>32525</v>
      </c>
      <c r="P6593">
        <v>0</v>
      </c>
      <c r="Q6593">
        <v>0</v>
      </c>
      <c r="R6593" t="s">
        <v>32532</v>
      </c>
      <c r="S6593" t="s">
        <v>32616</v>
      </c>
      <c r="T6593" t="s">
        <v>33220</v>
      </c>
      <c r="U6593" t="s">
        <v>39161</v>
      </c>
      <c r="W6593" t="s">
        <v>29700</v>
      </c>
      <c r="X6593" t="s">
        <v>32533</v>
      </c>
    </row>
    <row r="6594" spans="1:24">
      <c r="A6594">
        <f>HYPERLINK("https://www.philgeps.gov.ph/GEPSNONPILOT/Tender/SplashBidNoticeAbstractUI.aspx?menuIndex=3&amp;refID=7036773&amp;Result=3","7036773")</f>
        <v>0</v>
      </c>
      <c r="B6594" t="s">
        <v>1428</v>
      </c>
      <c r="C6594" t="s">
        <v>8990</v>
      </c>
      <c r="D6594" t="s">
        <v>13010</v>
      </c>
      <c r="E6594" t="s">
        <v>18889</v>
      </c>
      <c r="F6594" t="s">
        <v>22436</v>
      </c>
      <c r="G6594" t="s">
        <v>22444</v>
      </c>
      <c r="H6594" t="s">
        <v>22454</v>
      </c>
      <c r="I6594" t="s">
        <v>7738</v>
      </c>
      <c r="J6594" t="s">
        <v>22877</v>
      </c>
      <c r="K6594" t="s">
        <v>29344</v>
      </c>
      <c r="M6594" t="s">
        <v>31090</v>
      </c>
      <c r="N6594" t="s">
        <v>32524</v>
      </c>
      <c r="O6594" t="s">
        <v>32525</v>
      </c>
      <c r="P6594">
        <v>0</v>
      </c>
      <c r="Q6594">
        <v>0</v>
      </c>
      <c r="R6594" t="s">
        <v>32532</v>
      </c>
      <c r="S6594" t="s">
        <v>32616</v>
      </c>
      <c r="T6594" t="s">
        <v>33407</v>
      </c>
      <c r="U6594" t="s">
        <v>39162</v>
      </c>
      <c r="W6594" t="s">
        <v>31090</v>
      </c>
      <c r="X6594" t="s">
        <v>32533</v>
      </c>
    </row>
    <row r="6595" spans="1:24">
      <c r="A6595">
        <f>HYPERLINK("https://www.philgeps.gov.ph/GEPSNONPILOT/Tender/SplashBidNoticeAbstractUI.aspx?menuIndex=3&amp;refID=7036677&amp;Result=3","7036677")</f>
        <v>0</v>
      </c>
      <c r="B6595" t="s">
        <v>1702</v>
      </c>
      <c r="C6595" t="s">
        <v>8991</v>
      </c>
      <c r="D6595" t="s">
        <v>13065</v>
      </c>
      <c r="E6595" t="s">
        <v>18890</v>
      </c>
      <c r="F6595" t="s">
        <v>22436</v>
      </c>
      <c r="G6595" t="s">
        <v>22444</v>
      </c>
      <c r="H6595" t="s">
        <v>22454</v>
      </c>
      <c r="I6595" t="s">
        <v>22490</v>
      </c>
      <c r="J6595" t="s">
        <v>22788</v>
      </c>
      <c r="K6595" t="s">
        <v>29329</v>
      </c>
      <c r="M6595" t="s">
        <v>31404</v>
      </c>
      <c r="N6595" t="s">
        <v>32524</v>
      </c>
      <c r="O6595" t="s">
        <v>32525</v>
      </c>
      <c r="P6595">
        <v>0</v>
      </c>
      <c r="Q6595">
        <v>0</v>
      </c>
      <c r="R6595" t="s">
        <v>32532</v>
      </c>
      <c r="S6595" t="s">
        <v>32616</v>
      </c>
      <c r="T6595" t="s">
        <v>33187</v>
      </c>
      <c r="U6595" t="s">
        <v>37883</v>
      </c>
      <c r="W6595" t="s">
        <v>31404</v>
      </c>
      <c r="X6595" t="s">
        <v>32533</v>
      </c>
    </row>
    <row r="6596" spans="1:24">
      <c r="A6596">
        <f>HYPERLINK("https://www.philgeps.gov.ph/GEPSNONPILOT/Tender/SplashBidNoticeAbstractUI.aspx?menuIndex=3&amp;refID=7036769&amp;Result=3","7036769")</f>
        <v>0</v>
      </c>
      <c r="B6596" t="s">
        <v>992</v>
      </c>
      <c r="C6596" t="s">
        <v>8992</v>
      </c>
      <c r="D6596" t="s">
        <v>13024</v>
      </c>
      <c r="E6596" t="s">
        <v>18891</v>
      </c>
      <c r="F6596" t="s">
        <v>22436</v>
      </c>
      <c r="G6596" t="s">
        <v>22444</v>
      </c>
      <c r="H6596" t="s">
        <v>22452</v>
      </c>
      <c r="I6596" t="s">
        <v>22474</v>
      </c>
      <c r="J6596" t="s">
        <v>22624</v>
      </c>
      <c r="K6596" t="s">
        <v>29397</v>
      </c>
      <c r="M6596" t="s">
        <v>30616</v>
      </c>
      <c r="N6596" t="s">
        <v>32524</v>
      </c>
      <c r="O6596" t="s">
        <v>32525</v>
      </c>
      <c r="P6596">
        <v>0</v>
      </c>
      <c r="Q6596">
        <v>3</v>
      </c>
      <c r="R6596" t="s">
        <v>32532</v>
      </c>
      <c r="S6596" t="s">
        <v>32616</v>
      </c>
      <c r="T6596" t="s">
        <v>33242</v>
      </c>
      <c r="U6596" t="s">
        <v>39163</v>
      </c>
      <c r="V6596" t="s">
        <v>42679</v>
      </c>
      <c r="W6596" t="s">
        <v>30616</v>
      </c>
      <c r="X6596" t="s">
        <v>32533</v>
      </c>
    </row>
    <row r="6597" spans="1:24">
      <c r="A6597">
        <f>HYPERLINK("https://www.philgeps.gov.ph/GEPSNONPILOT/Tender/SplashBidNoticeAbstractUI.aspx?menuIndex=3&amp;refID=7036751&amp;Result=3","7036751")</f>
        <v>0</v>
      </c>
      <c r="B6597" t="s">
        <v>1497</v>
      </c>
      <c r="C6597" t="s">
        <v>8993</v>
      </c>
      <c r="D6597" t="s">
        <v>12988</v>
      </c>
      <c r="E6597" t="s">
        <v>18892</v>
      </c>
      <c r="F6597" t="s">
        <v>22436</v>
      </c>
      <c r="G6597" t="s">
        <v>22444</v>
      </c>
      <c r="H6597" t="s">
        <v>22452</v>
      </c>
      <c r="I6597" t="s">
        <v>22460</v>
      </c>
      <c r="J6597" t="s">
        <v>26876</v>
      </c>
      <c r="K6597" t="s">
        <v>29341</v>
      </c>
      <c r="M6597" t="s">
        <v>31785</v>
      </c>
      <c r="N6597" t="s">
        <v>32524</v>
      </c>
      <c r="O6597" t="s">
        <v>32525</v>
      </c>
      <c r="P6597">
        <v>0</v>
      </c>
      <c r="Q6597">
        <v>0</v>
      </c>
      <c r="R6597" t="s">
        <v>32532</v>
      </c>
      <c r="S6597" t="s">
        <v>32616</v>
      </c>
      <c r="T6597" t="s">
        <v>33238</v>
      </c>
      <c r="U6597" t="s">
        <v>34065</v>
      </c>
      <c r="W6597" t="s">
        <v>31785</v>
      </c>
      <c r="X6597" t="s">
        <v>32533</v>
      </c>
    </row>
    <row r="6598" spans="1:24">
      <c r="A6598">
        <f>HYPERLINK("https://www.philgeps.gov.ph/GEPSNONPILOT/Tender/SplashBidNoticeAbstractUI.aspx?menuIndex=3&amp;refID=7036832&amp;Result=3","7036832")</f>
        <v>0</v>
      </c>
      <c r="B6598" t="s">
        <v>1702</v>
      </c>
      <c r="C6598" t="s">
        <v>8994</v>
      </c>
      <c r="D6598" t="s">
        <v>13065</v>
      </c>
      <c r="E6598" t="s">
        <v>18893</v>
      </c>
      <c r="F6598" t="s">
        <v>22436</v>
      </c>
      <c r="G6598" t="s">
        <v>22444</v>
      </c>
      <c r="H6598" t="s">
        <v>22454</v>
      </c>
      <c r="I6598" t="s">
        <v>22490</v>
      </c>
      <c r="J6598" t="s">
        <v>22640</v>
      </c>
      <c r="K6598" t="s">
        <v>29433</v>
      </c>
      <c r="M6598" t="s">
        <v>31404</v>
      </c>
      <c r="N6598" t="s">
        <v>32524</v>
      </c>
      <c r="O6598" t="s">
        <v>32525</v>
      </c>
      <c r="P6598">
        <v>0</v>
      </c>
      <c r="Q6598">
        <v>0</v>
      </c>
      <c r="R6598" t="s">
        <v>32532</v>
      </c>
      <c r="S6598" t="s">
        <v>32616</v>
      </c>
      <c r="T6598" t="s">
        <v>33187</v>
      </c>
      <c r="U6598" t="s">
        <v>37883</v>
      </c>
      <c r="W6598" t="s">
        <v>31404</v>
      </c>
      <c r="X6598" t="s">
        <v>32533</v>
      </c>
    </row>
    <row r="6599" spans="1:24">
      <c r="A6599">
        <f>HYPERLINK("https://www.philgeps.gov.ph/GEPSNONPILOT/Tender/SplashBidNoticeAbstractUI.aspx?menuIndex=3&amp;refID=7036761&amp;Result=3","7036761")</f>
        <v>0</v>
      </c>
      <c r="B6599" t="s">
        <v>952</v>
      </c>
      <c r="C6599" t="s">
        <v>8995</v>
      </c>
      <c r="D6599" t="s">
        <v>13018</v>
      </c>
      <c r="E6599" t="s">
        <v>18894</v>
      </c>
      <c r="F6599" t="s">
        <v>22436</v>
      </c>
      <c r="G6599" t="s">
        <v>22443</v>
      </c>
      <c r="H6599" t="s">
        <v>22452</v>
      </c>
      <c r="I6599" t="s">
        <v>3529</v>
      </c>
      <c r="J6599" t="s">
        <v>26877</v>
      </c>
      <c r="K6599" t="s">
        <v>29340</v>
      </c>
      <c r="M6599" t="s">
        <v>30568</v>
      </c>
      <c r="N6599" t="s">
        <v>32524</v>
      </c>
      <c r="O6599" t="s">
        <v>32525</v>
      </c>
      <c r="P6599">
        <v>0</v>
      </c>
      <c r="Q6599">
        <v>1</v>
      </c>
      <c r="R6599" t="s">
        <v>32532</v>
      </c>
      <c r="S6599" t="s">
        <v>32616</v>
      </c>
      <c r="T6599" t="s">
        <v>33371</v>
      </c>
      <c r="U6599" t="s">
        <v>39164</v>
      </c>
      <c r="W6599" t="s">
        <v>30568</v>
      </c>
      <c r="X6599" t="s">
        <v>32533</v>
      </c>
    </row>
    <row r="6600" spans="1:24">
      <c r="A6600">
        <f>HYPERLINK("https://www.philgeps.gov.ph/GEPSNONPILOT/Tender/SplashBidNoticeAbstractUI.aspx?menuIndex=3&amp;refID=7036804&amp;Result=3","7036804")</f>
        <v>0</v>
      </c>
      <c r="B6600" t="s">
        <v>2049</v>
      </c>
      <c r="C6600" t="s">
        <v>8996</v>
      </c>
      <c r="E6600" t="s">
        <v>18895</v>
      </c>
      <c r="F6600" t="s">
        <v>22436</v>
      </c>
      <c r="G6600" t="s">
        <v>22444</v>
      </c>
      <c r="H6600" t="s">
        <v>22452</v>
      </c>
      <c r="I6600" t="s">
        <v>3122</v>
      </c>
      <c r="J6600" t="s">
        <v>26878</v>
      </c>
      <c r="K6600" t="s">
        <v>29338</v>
      </c>
      <c r="M6600" t="s">
        <v>31789</v>
      </c>
      <c r="N6600" t="s">
        <v>32524</v>
      </c>
      <c r="O6600" t="s">
        <v>32525</v>
      </c>
      <c r="P6600">
        <v>0</v>
      </c>
      <c r="Q6600">
        <v>0</v>
      </c>
      <c r="R6600" t="s">
        <v>32532</v>
      </c>
      <c r="S6600" t="s">
        <v>32616</v>
      </c>
      <c r="T6600" t="s">
        <v>33296</v>
      </c>
      <c r="U6600" t="s">
        <v>39165</v>
      </c>
      <c r="W6600" t="s">
        <v>31789</v>
      </c>
      <c r="X6600" t="s">
        <v>32533</v>
      </c>
    </row>
    <row r="6601" spans="1:24">
      <c r="A6601">
        <f>HYPERLINK("https://www.philgeps.gov.ph/GEPSNONPILOT/Tender/SplashBidNoticeAbstractUI.aspx?menuIndex=3&amp;refID=7036810&amp;Result=3","7036810")</f>
        <v>0</v>
      </c>
      <c r="B6601" t="s">
        <v>635</v>
      </c>
      <c r="C6601" t="s">
        <v>8997</v>
      </c>
      <c r="D6601" t="s">
        <v>13029</v>
      </c>
      <c r="E6601" t="s">
        <v>18896</v>
      </c>
      <c r="F6601" t="s">
        <v>22436</v>
      </c>
      <c r="G6601" t="s">
        <v>22443</v>
      </c>
      <c r="H6601" t="s">
        <v>22452</v>
      </c>
      <c r="I6601" t="s">
        <v>2981</v>
      </c>
      <c r="J6601" t="s">
        <v>26879</v>
      </c>
      <c r="K6601" t="s">
        <v>29341</v>
      </c>
      <c r="M6601" t="s">
        <v>31777</v>
      </c>
      <c r="N6601" t="s">
        <v>32524</v>
      </c>
      <c r="O6601" t="s">
        <v>32525</v>
      </c>
      <c r="Q6601">
        <v>1</v>
      </c>
      <c r="R6601" t="s">
        <v>32532</v>
      </c>
      <c r="S6601" t="s">
        <v>32631</v>
      </c>
      <c r="T6601" t="s">
        <v>33209</v>
      </c>
      <c r="U6601" t="s">
        <v>39166</v>
      </c>
      <c r="W6601" t="s">
        <v>31777</v>
      </c>
      <c r="X6601" t="s">
        <v>32533</v>
      </c>
    </row>
    <row r="6602" spans="1:24">
      <c r="A6602">
        <f>HYPERLINK("https://www.philgeps.gov.ph/GEPSNONPILOT/Tender/SplashBidNoticeAbstractUI.aspx?menuIndex=3&amp;refID=7036730&amp;Result=3","7036730")</f>
        <v>0</v>
      </c>
      <c r="B6602" t="s">
        <v>1702</v>
      </c>
      <c r="C6602" t="s">
        <v>8998</v>
      </c>
      <c r="D6602" t="s">
        <v>13065</v>
      </c>
      <c r="E6602" t="s">
        <v>18897</v>
      </c>
      <c r="F6602" t="s">
        <v>22436</v>
      </c>
      <c r="G6602" t="s">
        <v>22444</v>
      </c>
      <c r="H6602" t="s">
        <v>22454</v>
      </c>
      <c r="I6602" t="s">
        <v>7738</v>
      </c>
      <c r="J6602" t="s">
        <v>22788</v>
      </c>
      <c r="K6602" t="s">
        <v>29433</v>
      </c>
      <c r="M6602" t="s">
        <v>31404</v>
      </c>
      <c r="N6602" t="s">
        <v>32524</v>
      </c>
      <c r="O6602" t="s">
        <v>32525</v>
      </c>
      <c r="P6602">
        <v>0</v>
      </c>
      <c r="Q6602">
        <v>0</v>
      </c>
      <c r="R6602" t="s">
        <v>32532</v>
      </c>
      <c r="S6602" t="s">
        <v>32616</v>
      </c>
      <c r="T6602" t="s">
        <v>33187</v>
      </c>
      <c r="U6602" t="s">
        <v>37883</v>
      </c>
      <c r="W6602" t="s">
        <v>31404</v>
      </c>
      <c r="X6602" t="s">
        <v>32533</v>
      </c>
    </row>
    <row r="6603" spans="1:24">
      <c r="A6603">
        <f>HYPERLINK("https://www.philgeps.gov.ph/GEPSNONPILOT/Tender/SplashBidNoticeAbstractUI.aspx?menuIndex=3&amp;refID=7036828&amp;Result=3","7036828")</f>
        <v>0</v>
      </c>
      <c r="B6603" t="s">
        <v>2050</v>
      </c>
      <c r="C6603" t="s">
        <v>8999</v>
      </c>
      <c r="D6603" t="s">
        <v>13040</v>
      </c>
      <c r="E6603" t="s">
        <v>18898</v>
      </c>
      <c r="F6603" t="s">
        <v>22436</v>
      </c>
      <c r="G6603" t="s">
        <v>22444</v>
      </c>
      <c r="H6603" t="s">
        <v>22454</v>
      </c>
      <c r="I6603" t="s">
        <v>7738</v>
      </c>
      <c r="J6603" t="s">
        <v>25242</v>
      </c>
      <c r="K6603" t="s">
        <v>29436</v>
      </c>
      <c r="M6603" t="s">
        <v>31790</v>
      </c>
      <c r="N6603" t="s">
        <v>32524</v>
      </c>
      <c r="O6603" t="s">
        <v>32525</v>
      </c>
      <c r="P6603">
        <v>0</v>
      </c>
      <c r="Q6603">
        <v>3</v>
      </c>
      <c r="R6603" t="s">
        <v>32532</v>
      </c>
      <c r="S6603" t="s">
        <v>32616</v>
      </c>
      <c r="T6603" t="s">
        <v>33242</v>
      </c>
      <c r="U6603" t="s">
        <v>39167</v>
      </c>
      <c r="W6603" t="s">
        <v>31790</v>
      </c>
      <c r="X6603" t="s">
        <v>32533</v>
      </c>
    </row>
    <row r="6604" spans="1:24">
      <c r="A6604">
        <f>HYPERLINK("https://www.philgeps.gov.ph/GEPSNONPILOT/Tender/SplashBidNoticeAbstractUI.aspx?menuIndex=3&amp;refID=7036826&amp;Result=3","7036826")</f>
        <v>0</v>
      </c>
      <c r="B6604" t="s">
        <v>1462</v>
      </c>
      <c r="C6604" t="s">
        <v>9000</v>
      </c>
      <c r="D6604" t="s">
        <v>13041</v>
      </c>
      <c r="E6604" t="s">
        <v>18899</v>
      </c>
      <c r="F6604" t="s">
        <v>22436</v>
      </c>
      <c r="G6604" t="s">
        <v>22444</v>
      </c>
      <c r="H6604" t="s">
        <v>22452</v>
      </c>
      <c r="I6604" t="s">
        <v>22524</v>
      </c>
      <c r="J6604" t="s">
        <v>26880</v>
      </c>
      <c r="K6604" t="s">
        <v>29335</v>
      </c>
      <c r="M6604" t="s">
        <v>31130</v>
      </c>
      <c r="N6604" t="s">
        <v>32524</v>
      </c>
      <c r="O6604" t="s">
        <v>32525</v>
      </c>
      <c r="P6604">
        <v>0</v>
      </c>
      <c r="Q6604">
        <v>3</v>
      </c>
      <c r="R6604" t="s">
        <v>32532</v>
      </c>
      <c r="S6604" t="s">
        <v>32616</v>
      </c>
      <c r="T6604" t="s">
        <v>33530</v>
      </c>
      <c r="U6604" t="s">
        <v>39168</v>
      </c>
      <c r="W6604" t="s">
        <v>31130</v>
      </c>
      <c r="X6604" t="s">
        <v>32533</v>
      </c>
    </row>
    <row r="6605" spans="1:24">
      <c r="A6605">
        <f>HYPERLINK("https://www.philgeps.gov.ph/GEPSNONPILOT/Tender/SplashBidNoticeAbstractUI.aspx?menuIndex=3&amp;refID=7036802&amp;Result=3","7036802")</f>
        <v>0</v>
      </c>
      <c r="B6605" t="s">
        <v>2051</v>
      </c>
      <c r="C6605" t="s">
        <v>9001</v>
      </c>
      <c r="D6605" t="s">
        <v>13049</v>
      </c>
      <c r="E6605" t="s">
        <v>18900</v>
      </c>
      <c r="F6605" t="s">
        <v>22436</v>
      </c>
      <c r="G6605" t="s">
        <v>22444</v>
      </c>
      <c r="H6605" t="s">
        <v>22454</v>
      </c>
      <c r="I6605" t="s">
        <v>7738</v>
      </c>
      <c r="J6605" t="s">
        <v>22911</v>
      </c>
      <c r="K6605" t="s">
        <v>29336</v>
      </c>
      <c r="M6605" t="s">
        <v>31791</v>
      </c>
      <c r="N6605" t="s">
        <v>32524</v>
      </c>
      <c r="O6605" t="s">
        <v>32525</v>
      </c>
      <c r="P6605">
        <v>0</v>
      </c>
      <c r="Q6605">
        <v>0</v>
      </c>
      <c r="R6605" t="s">
        <v>32532</v>
      </c>
      <c r="S6605" t="s">
        <v>32616</v>
      </c>
      <c r="T6605" t="s">
        <v>33535</v>
      </c>
      <c r="U6605" t="s">
        <v>39169</v>
      </c>
      <c r="V6605" t="s">
        <v>43145</v>
      </c>
      <c r="W6605" t="s">
        <v>31791</v>
      </c>
      <c r="X6605" t="s">
        <v>32533</v>
      </c>
    </row>
    <row r="6606" spans="1:24">
      <c r="A6606">
        <f>HYPERLINK("https://www.philgeps.gov.ph/GEPSNONPILOT/Tender/SplashBidNoticeAbstractUI.aspx?menuIndex=3&amp;refID=7036800&amp;Result=3","7036800")</f>
        <v>0</v>
      </c>
      <c r="B6606" t="s">
        <v>587</v>
      </c>
      <c r="C6606" t="s">
        <v>9002</v>
      </c>
      <c r="D6606" t="s">
        <v>13072</v>
      </c>
      <c r="E6606" t="s">
        <v>18901</v>
      </c>
      <c r="F6606" t="s">
        <v>22436</v>
      </c>
      <c r="G6606" t="s">
        <v>22444</v>
      </c>
      <c r="H6606" t="s">
        <v>22452</v>
      </c>
      <c r="I6606" t="s">
        <v>22474</v>
      </c>
      <c r="J6606" t="s">
        <v>23397</v>
      </c>
      <c r="K6606" t="s">
        <v>29333</v>
      </c>
      <c r="M6606" t="s">
        <v>31792</v>
      </c>
      <c r="N6606" t="s">
        <v>32524</v>
      </c>
      <c r="O6606" t="s">
        <v>32525</v>
      </c>
      <c r="P6606">
        <v>0</v>
      </c>
      <c r="Q6606">
        <v>5</v>
      </c>
      <c r="R6606" t="s">
        <v>32532</v>
      </c>
      <c r="S6606" t="s">
        <v>32616</v>
      </c>
      <c r="T6606" t="s">
        <v>33455</v>
      </c>
      <c r="U6606" t="s">
        <v>39170</v>
      </c>
      <c r="W6606" t="s">
        <v>31792</v>
      </c>
      <c r="X6606" t="s">
        <v>32533</v>
      </c>
    </row>
    <row r="6607" spans="1:24">
      <c r="A6607">
        <f>HYPERLINK("https://www.philgeps.gov.ph/GEPSNONPILOT/Tender/SplashBidNoticeAbstractUI.aspx?menuIndex=3&amp;refID=7036790&amp;Result=3","7036790")</f>
        <v>0</v>
      </c>
      <c r="B6607" t="s">
        <v>2052</v>
      </c>
      <c r="C6607" t="s">
        <v>9003</v>
      </c>
      <c r="D6607" t="s">
        <v>13018</v>
      </c>
      <c r="E6607" t="s">
        <v>18902</v>
      </c>
      <c r="F6607" t="s">
        <v>22436</v>
      </c>
      <c r="G6607" t="s">
        <v>22444</v>
      </c>
      <c r="H6607" t="s">
        <v>22454</v>
      </c>
      <c r="I6607" t="s">
        <v>7738</v>
      </c>
      <c r="J6607" t="s">
        <v>24130</v>
      </c>
      <c r="K6607" t="s">
        <v>29479</v>
      </c>
      <c r="M6607" t="s">
        <v>31793</v>
      </c>
      <c r="N6607" t="s">
        <v>32524</v>
      </c>
      <c r="O6607" t="s">
        <v>32525</v>
      </c>
      <c r="P6607">
        <v>0</v>
      </c>
      <c r="Q6607">
        <v>2</v>
      </c>
      <c r="R6607" t="s">
        <v>32532</v>
      </c>
      <c r="S6607" t="s">
        <v>32616</v>
      </c>
      <c r="T6607" t="s">
        <v>33249</v>
      </c>
      <c r="U6607" t="s">
        <v>39171</v>
      </c>
      <c r="V6607" t="s">
        <v>43146</v>
      </c>
      <c r="W6607" t="s">
        <v>31793</v>
      </c>
      <c r="X6607" t="s">
        <v>32533</v>
      </c>
    </row>
    <row r="6608" spans="1:24">
      <c r="A6608">
        <f>HYPERLINK("https://www.philgeps.gov.ph/GEPSNONPILOT/Tender/SplashBidNoticeAbstractUI.aspx?menuIndex=3&amp;refID=7036784&amp;Result=3","7036784")</f>
        <v>0</v>
      </c>
      <c r="B6608" t="s">
        <v>1182</v>
      </c>
      <c r="C6608" t="s">
        <v>9004</v>
      </c>
      <c r="D6608" t="s">
        <v>12993</v>
      </c>
      <c r="E6608" t="s">
        <v>18903</v>
      </c>
      <c r="F6608" t="s">
        <v>22436</v>
      </c>
      <c r="G6608" t="s">
        <v>22444</v>
      </c>
      <c r="H6608" t="s">
        <v>22454</v>
      </c>
      <c r="I6608" t="s">
        <v>7738</v>
      </c>
      <c r="J6608" t="s">
        <v>23111</v>
      </c>
      <c r="K6608" t="s">
        <v>29412</v>
      </c>
      <c r="M6608" t="s">
        <v>31415</v>
      </c>
      <c r="N6608" t="s">
        <v>32524</v>
      </c>
      <c r="O6608" t="s">
        <v>32525</v>
      </c>
      <c r="P6608">
        <v>0</v>
      </c>
      <c r="Q6608">
        <v>0</v>
      </c>
      <c r="R6608" t="s">
        <v>32532</v>
      </c>
      <c r="S6608" t="s">
        <v>32616</v>
      </c>
      <c r="T6608" t="s">
        <v>33237</v>
      </c>
      <c r="U6608" t="s">
        <v>39159</v>
      </c>
      <c r="V6608" t="s">
        <v>43144</v>
      </c>
      <c r="W6608" t="s">
        <v>43731</v>
      </c>
      <c r="X6608" t="s">
        <v>32533</v>
      </c>
    </row>
    <row r="6609" spans="1:24">
      <c r="A6609">
        <f>HYPERLINK("https://www.philgeps.gov.ph/GEPSNONPILOT/Tender/SplashBidNoticeAbstractUI.aspx?menuIndex=3&amp;refID=7036815&amp;Result=3","7036815")</f>
        <v>0</v>
      </c>
      <c r="B6609" t="s">
        <v>978</v>
      </c>
      <c r="C6609" t="s">
        <v>2962</v>
      </c>
      <c r="D6609" t="s">
        <v>13032</v>
      </c>
      <c r="E6609" t="s">
        <v>18904</v>
      </c>
      <c r="F6609" t="s">
        <v>22441</v>
      </c>
      <c r="G6609" t="s">
        <v>22443</v>
      </c>
      <c r="H6609" t="s">
        <v>22452</v>
      </c>
      <c r="I6609" t="s">
        <v>2962</v>
      </c>
      <c r="J6609" t="s">
        <v>26881</v>
      </c>
      <c r="K6609" t="s">
        <v>29336</v>
      </c>
      <c r="M6609" t="s">
        <v>30599</v>
      </c>
      <c r="N6609" t="s">
        <v>32524</v>
      </c>
      <c r="O6609" t="s">
        <v>32525</v>
      </c>
      <c r="P6609">
        <v>0</v>
      </c>
      <c r="Q6609">
        <v>0</v>
      </c>
      <c r="R6609" t="s">
        <v>32532</v>
      </c>
      <c r="S6609" t="s">
        <v>32616</v>
      </c>
      <c r="T6609" t="s">
        <v>33220</v>
      </c>
      <c r="U6609" t="s">
        <v>39172</v>
      </c>
      <c r="W6609" t="s">
        <v>30599</v>
      </c>
      <c r="X6609" t="s">
        <v>32533</v>
      </c>
    </row>
    <row r="6610" spans="1:24">
      <c r="A6610">
        <f>HYPERLINK("https://www.philgeps.gov.ph/GEPSNONPILOT/Tender/SplashBidNoticeAbstractUI.aspx?menuIndex=3&amp;refID=7036783&amp;Result=3","7036783")</f>
        <v>0</v>
      </c>
      <c r="B6610" t="s">
        <v>1497</v>
      </c>
      <c r="C6610" t="s">
        <v>9005</v>
      </c>
      <c r="D6610" t="s">
        <v>12988</v>
      </c>
      <c r="E6610" t="s">
        <v>18905</v>
      </c>
      <c r="F6610" t="s">
        <v>22436</v>
      </c>
      <c r="G6610" t="s">
        <v>22444</v>
      </c>
      <c r="H6610" t="s">
        <v>22452</v>
      </c>
      <c r="I6610" t="s">
        <v>22460</v>
      </c>
      <c r="J6610" t="s">
        <v>26882</v>
      </c>
      <c r="K6610" t="s">
        <v>29341</v>
      </c>
      <c r="M6610" t="s">
        <v>31785</v>
      </c>
      <c r="N6610" t="s">
        <v>32524</v>
      </c>
      <c r="O6610" t="s">
        <v>32525</v>
      </c>
      <c r="P6610">
        <v>0</v>
      </c>
      <c r="Q6610">
        <v>0</v>
      </c>
      <c r="R6610" t="s">
        <v>32532</v>
      </c>
      <c r="S6610" t="s">
        <v>32616</v>
      </c>
      <c r="T6610" t="s">
        <v>33238</v>
      </c>
      <c r="U6610" t="s">
        <v>34065</v>
      </c>
      <c r="W6610" t="s">
        <v>31785</v>
      </c>
      <c r="X6610" t="s">
        <v>32533</v>
      </c>
    </row>
    <row r="6611" spans="1:24">
      <c r="A6611">
        <f>HYPERLINK("https://www.philgeps.gov.ph/GEPSNONPILOT/Tender/SplashBidNoticeAbstractUI.aspx?menuIndex=3&amp;refID=7036798&amp;Result=3","7036798")</f>
        <v>0</v>
      </c>
      <c r="B6611" t="s">
        <v>1873</v>
      </c>
      <c r="C6611" t="s">
        <v>9006</v>
      </c>
      <c r="D6611" t="s">
        <v>12988</v>
      </c>
      <c r="E6611" t="s">
        <v>17059</v>
      </c>
      <c r="F6611" t="s">
        <v>22436</v>
      </c>
      <c r="G6611" t="s">
        <v>22444</v>
      </c>
      <c r="H6611" t="s">
        <v>22453</v>
      </c>
      <c r="I6611" t="s">
        <v>4170</v>
      </c>
      <c r="J6611" t="s">
        <v>26883</v>
      </c>
      <c r="K6611" t="s">
        <v>29353</v>
      </c>
      <c r="M6611" t="s">
        <v>31726</v>
      </c>
      <c r="N6611" t="s">
        <v>32524</v>
      </c>
      <c r="O6611" t="s">
        <v>32525</v>
      </c>
      <c r="P6611">
        <v>0</v>
      </c>
      <c r="Q6611">
        <v>2</v>
      </c>
      <c r="R6611" t="s">
        <v>32532</v>
      </c>
      <c r="S6611" t="s">
        <v>32616</v>
      </c>
      <c r="T6611" t="s">
        <v>33230</v>
      </c>
      <c r="U6611" t="s">
        <v>39173</v>
      </c>
      <c r="W6611" t="s">
        <v>31726</v>
      </c>
      <c r="X6611" t="s">
        <v>32533</v>
      </c>
    </row>
    <row r="6612" spans="1:24">
      <c r="A6612">
        <f>HYPERLINK("https://www.philgeps.gov.ph/GEPSNONPILOT/Tender/SplashBidNoticeAbstractUI.aspx?menuIndex=3&amp;refID=7036824&amp;Result=3","7036824")</f>
        <v>0</v>
      </c>
      <c r="B6612" t="s">
        <v>1497</v>
      </c>
      <c r="C6612" t="s">
        <v>9007</v>
      </c>
      <c r="D6612" t="s">
        <v>12988</v>
      </c>
      <c r="E6612" t="s">
        <v>18906</v>
      </c>
      <c r="F6612" t="s">
        <v>22436</v>
      </c>
      <c r="G6612" t="s">
        <v>22444</v>
      </c>
      <c r="H6612" t="s">
        <v>22452</v>
      </c>
      <c r="I6612" t="s">
        <v>22460</v>
      </c>
      <c r="J6612" t="s">
        <v>22747</v>
      </c>
      <c r="K6612" t="s">
        <v>29341</v>
      </c>
      <c r="M6612" t="s">
        <v>31785</v>
      </c>
      <c r="N6612" t="s">
        <v>32524</v>
      </c>
      <c r="O6612" t="s">
        <v>32525</v>
      </c>
      <c r="P6612">
        <v>0</v>
      </c>
      <c r="Q6612">
        <v>1</v>
      </c>
      <c r="R6612" t="s">
        <v>32532</v>
      </c>
      <c r="S6612" t="s">
        <v>32616</v>
      </c>
      <c r="T6612" t="s">
        <v>33238</v>
      </c>
      <c r="U6612" t="s">
        <v>34065</v>
      </c>
      <c r="W6612" t="s">
        <v>31785</v>
      </c>
      <c r="X6612" t="s">
        <v>32533</v>
      </c>
    </row>
    <row r="6613" spans="1:24">
      <c r="A6613">
        <f>HYPERLINK("https://www.philgeps.gov.ph/GEPSNONPILOT/Tender/SplashBidNoticeAbstractUI.aspx?menuIndex=3&amp;refID=7036864&amp;Result=3","7036864")</f>
        <v>0</v>
      </c>
      <c r="B6613" t="s">
        <v>1932</v>
      </c>
      <c r="C6613" t="s">
        <v>9008</v>
      </c>
      <c r="D6613" t="s">
        <v>13040</v>
      </c>
      <c r="E6613" t="s">
        <v>18907</v>
      </c>
      <c r="F6613" t="s">
        <v>22436</v>
      </c>
      <c r="G6613" t="s">
        <v>22444</v>
      </c>
      <c r="H6613" t="s">
        <v>22454</v>
      </c>
      <c r="I6613" t="s">
        <v>7738</v>
      </c>
      <c r="J6613" t="s">
        <v>22779</v>
      </c>
      <c r="K6613" t="s">
        <v>29373</v>
      </c>
      <c r="M6613" t="s">
        <v>31660</v>
      </c>
      <c r="N6613" t="s">
        <v>32524</v>
      </c>
      <c r="O6613" t="s">
        <v>32525</v>
      </c>
      <c r="P6613">
        <v>0</v>
      </c>
      <c r="Q6613">
        <v>0</v>
      </c>
      <c r="R6613" t="s">
        <v>32532</v>
      </c>
      <c r="S6613" t="s">
        <v>32616</v>
      </c>
      <c r="T6613" t="s">
        <v>33486</v>
      </c>
      <c r="U6613" t="s">
        <v>39174</v>
      </c>
      <c r="W6613" t="s">
        <v>43737</v>
      </c>
      <c r="X6613" t="s">
        <v>32533</v>
      </c>
    </row>
    <row r="6614" spans="1:24">
      <c r="A6614">
        <f>HYPERLINK("https://www.philgeps.gov.ph/GEPSNONPILOT/Tender/SplashBidNoticeAbstractUI.aspx?menuIndex=3&amp;refID=7036782&amp;Result=3","7036782")</f>
        <v>0</v>
      </c>
      <c r="B6614" t="s">
        <v>1450</v>
      </c>
      <c r="C6614" t="s">
        <v>9009</v>
      </c>
      <c r="D6614" t="s">
        <v>13011</v>
      </c>
      <c r="E6614" t="s">
        <v>18908</v>
      </c>
      <c r="F6614" t="s">
        <v>22436</v>
      </c>
      <c r="G6614" t="s">
        <v>22444</v>
      </c>
      <c r="H6614" t="s">
        <v>22454</v>
      </c>
      <c r="I6614" t="s">
        <v>7738</v>
      </c>
      <c r="J6614" t="s">
        <v>24103</v>
      </c>
      <c r="K6614" t="s">
        <v>29344</v>
      </c>
      <c r="M6614" t="s">
        <v>31114</v>
      </c>
      <c r="N6614" t="s">
        <v>32524</v>
      </c>
      <c r="O6614" t="s">
        <v>32525</v>
      </c>
      <c r="P6614">
        <v>0</v>
      </c>
      <c r="Q6614">
        <v>1</v>
      </c>
      <c r="R6614" t="s">
        <v>32532</v>
      </c>
      <c r="S6614" t="s">
        <v>32616</v>
      </c>
      <c r="T6614" t="s">
        <v>33249</v>
      </c>
      <c r="U6614" t="s">
        <v>39130</v>
      </c>
      <c r="W6614" t="s">
        <v>31114</v>
      </c>
      <c r="X6614" t="s">
        <v>32533</v>
      </c>
    </row>
    <row r="6615" spans="1:24">
      <c r="A6615">
        <f>HYPERLINK("https://www.philgeps.gov.ph/GEPSNONPILOT/Tender/SplashBidNoticeAbstractUI.aspx?menuIndex=3&amp;refID=7036793&amp;Result=3","7036793")</f>
        <v>0</v>
      </c>
      <c r="B6615" t="s">
        <v>1702</v>
      </c>
      <c r="C6615" t="s">
        <v>9010</v>
      </c>
      <c r="D6615" t="s">
        <v>13065</v>
      </c>
      <c r="E6615" t="s">
        <v>18909</v>
      </c>
      <c r="F6615" t="s">
        <v>22436</v>
      </c>
      <c r="G6615" t="s">
        <v>22444</v>
      </c>
      <c r="H6615" t="s">
        <v>22454</v>
      </c>
      <c r="I6615" t="s">
        <v>7738</v>
      </c>
      <c r="J6615" t="s">
        <v>22605</v>
      </c>
      <c r="K6615" t="s">
        <v>29362</v>
      </c>
      <c r="M6615" t="s">
        <v>31404</v>
      </c>
      <c r="N6615" t="s">
        <v>32524</v>
      </c>
      <c r="O6615" t="s">
        <v>32525</v>
      </c>
      <c r="P6615">
        <v>0</v>
      </c>
      <c r="Q6615">
        <v>0</v>
      </c>
      <c r="R6615" t="s">
        <v>32532</v>
      </c>
      <c r="S6615" t="s">
        <v>32616</v>
      </c>
      <c r="T6615" t="s">
        <v>33187</v>
      </c>
      <c r="U6615" t="s">
        <v>37883</v>
      </c>
      <c r="W6615" t="s">
        <v>31404</v>
      </c>
      <c r="X6615" t="s">
        <v>32533</v>
      </c>
    </row>
    <row r="6616" spans="1:24">
      <c r="A6616">
        <f>HYPERLINK("https://www.philgeps.gov.ph/GEPSNONPILOT/Tender/SplashBidNoticeAbstractUI.aspx?menuIndex=3&amp;refID=7036778&amp;Result=3","7036778")</f>
        <v>0</v>
      </c>
      <c r="B6616" t="s">
        <v>1511</v>
      </c>
      <c r="C6616" t="s">
        <v>9011</v>
      </c>
      <c r="D6616" t="s">
        <v>12988</v>
      </c>
      <c r="E6616" t="s">
        <v>18910</v>
      </c>
      <c r="F6616" t="s">
        <v>22441</v>
      </c>
      <c r="G6616" t="s">
        <v>22444</v>
      </c>
      <c r="H6616" t="s">
        <v>22452</v>
      </c>
      <c r="I6616" t="s">
        <v>2981</v>
      </c>
      <c r="J6616" t="s">
        <v>22836</v>
      </c>
      <c r="K6616" t="s">
        <v>29336</v>
      </c>
      <c r="M6616" t="s">
        <v>31186</v>
      </c>
      <c r="N6616" t="s">
        <v>32524</v>
      </c>
      <c r="O6616" t="s">
        <v>32525</v>
      </c>
      <c r="P6616">
        <v>0</v>
      </c>
      <c r="Q6616">
        <v>0</v>
      </c>
      <c r="R6616" t="s">
        <v>32532</v>
      </c>
      <c r="S6616" t="s">
        <v>32616</v>
      </c>
      <c r="T6616" t="s">
        <v>33171</v>
      </c>
      <c r="U6616" t="s">
        <v>39175</v>
      </c>
      <c r="W6616" t="s">
        <v>31186</v>
      </c>
      <c r="X6616" t="s">
        <v>32533</v>
      </c>
    </row>
    <row r="6617" spans="1:24">
      <c r="A6617">
        <f>HYPERLINK("https://www.philgeps.gov.ph/GEPSNONPILOT/Tender/SplashBidNoticeAbstractUI.aspx?menuIndex=3&amp;refID=7036775&amp;Result=3","7036775")</f>
        <v>0</v>
      </c>
      <c r="B6617" t="s">
        <v>717</v>
      </c>
      <c r="C6617" t="s">
        <v>9012</v>
      </c>
      <c r="D6617" t="s">
        <v>13024</v>
      </c>
      <c r="E6617" t="s">
        <v>18911</v>
      </c>
      <c r="F6617" t="s">
        <v>22436</v>
      </c>
      <c r="G6617" t="s">
        <v>22443</v>
      </c>
      <c r="H6617" t="s">
        <v>22452</v>
      </c>
      <c r="I6617" t="s">
        <v>12358</v>
      </c>
      <c r="J6617" t="s">
        <v>26884</v>
      </c>
      <c r="K6617" t="s">
        <v>29335</v>
      </c>
      <c r="M6617" t="s">
        <v>30314</v>
      </c>
      <c r="N6617" t="s">
        <v>32524</v>
      </c>
      <c r="O6617" t="s">
        <v>32525</v>
      </c>
      <c r="P6617">
        <v>0</v>
      </c>
      <c r="Q6617">
        <v>0</v>
      </c>
      <c r="R6617" t="s">
        <v>32532</v>
      </c>
      <c r="S6617" t="s">
        <v>32616</v>
      </c>
      <c r="T6617" t="s">
        <v>33228</v>
      </c>
      <c r="U6617" t="s">
        <v>39176</v>
      </c>
      <c r="W6617" t="s">
        <v>30314</v>
      </c>
      <c r="X6617" t="s">
        <v>32533</v>
      </c>
    </row>
    <row r="6618" spans="1:24">
      <c r="A6618">
        <f>HYPERLINK("https://www.philgeps.gov.ph/GEPSNONPILOT/Tender/SplashBidNoticeAbstractUI.aspx?menuIndex=3&amp;refID=7036835&amp;Result=3","7036835")</f>
        <v>0</v>
      </c>
      <c r="B6618" t="s">
        <v>1497</v>
      </c>
      <c r="C6618" t="s">
        <v>9013</v>
      </c>
      <c r="D6618" t="s">
        <v>12988</v>
      </c>
      <c r="E6618" t="s">
        <v>18912</v>
      </c>
      <c r="F6618" t="s">
        <v>22436</v>
      </c>
      <c r="G6618" t="s">
        <v>22444</v>
      </c>
      <c r="H6618" t="s">
        <v>22452</v>
      </c>
      <c r="I6618" t="s">
        <v>22460</v>
      </c>
      <c r="J6618" t="s">
        <v>26885</v>
      </c>
      <c r="K6618" t="s">
        <v>29341</v>
      </c>
      <c r="M6618" t="s">
        <v>31785</v>
      </c>
      <c r="N6618" t="s">
        <v>32524</v>
      </c>
      <c r="O6618" t="s">
        <v>32525</v>
      </c>
      <c r="P6618">
        <v>0</v>
      </c>
      <c r="Q6618">
        <v>0</v>
      </c>
      <c r="R6618" t="s">
        <v>32532</v>
      </c>
      <c r="S6618" t="s">
        <v>32616</v>
      </c>
      <c r="T6618" t="s">
        <v>33238</v>
      </c>
      <c r="U6618" t="s">
        <v>34065</v>
      </c>
      <c r="W6618" t="s">
        <v>31785</v>
      </c>
      <c r="X6618" t="s">
        <v>32533</v>
      </c>
    </row>
    <row r="6619" spans="1:24">
      <c r="A6619">
        <f>HYPERLINK("https://www.philgeps.gov.ph/GEPSNONPILOT/Tender/SplashBidNoticeAbstractUI.aspx?menuIndex=3&amp;refID=7036880&amp;Result=3","7036880")</f>
        <v>0</v>
      </c>
      <c r="B6619" t="s">
        <v>511</v>
      </c>
      <c r="C6619" t="s">
        <v>9014</v>
      </c>
      <c r="D6619" t="s">
        <v>13060</v>
      </c>
      <c r="E6619" t="s">
        <v>18913</v>
      </c>
      <c r="F6619" t="s">
        <v>22436</v>
      </c>
      <c r="G6619" t="s">
        <v>22444</v>
      </c>
      <c r="H6619" t="s">
        <v>22452</v>
      </c>
      <c r="I6619" t="s">
        <v>3840</v>
      </c>
      <c r="J6619" t="s">
        <v>26886</v>
      </c>
      <c r="K6619" t="s">
        <v>29335</v>
      </c>
      <c r="M6619" t="s">
        <v>31794</v>
      </c>
      <c r="N6619" t="s">
        <v>32524</v>
      </c>
      <c r="O6619" t="s">
        <v>32525</v>
      </c>
      <c r="P6619">
        <v>0</v>
      </c>
      <c r="Q6619">
        <v>1</v>
      </c>
      <c r="R6619" t="s">
        <v>32532</v>
      </c>
      <c r="S6619" t="s">
        <v>32616</v>
      </c>
      <c r="T6619" t="s">
        <v>33249</v>
      </c>
      <c r="U6619" t="s">
        <v>39177</v>
      </c>
      <c r="W6619" t="s">
        <v>31794</v>
      </c>
      <c r="X6619" t="s">
        <v>32533</v>
      </c>
    </row>
    <row r="6620" spans="1:24">
      <c r="A6620">
        <f>HYPERLINK("https://www.philgeps.gov.ph/GEPSNONPILOT/Tender/SplashBidNoticeAbstractUI.aspx?menuIndex=3&amp;refID=7036868&amp;Result=3","7036868")</f>
        <v>0</v>
      </c>
      <c r="B6620" t="s">
        <v>2050</v>
      </c>
      <c r="C6620" t="s">
        <v>9015</v>
      </c>
      <c r="D6620" t="s">
        <v>13040</v>
      </c>
      <c r="E6620" t="s">
        <v>18914</v>
      </c>
      <c r="F6620" t="s">
        <v>22436</v>
      </c>
      <c r="G6620" t="s">
        <v>22444</v>
      </c>
      <c r="H6620" t="s">
        <v>22454</v>
      </c>
      <c r="I6620" t="s">
        <v>7738</v>
      </c>
      <c r="J6620" t="s">
        <v>23066</v>
      </c>
      <c r="K6620" t="s">
        <v>29427</v>
      </c>
      <c r="M6620" t="s">
        <v>31790</v>
      </c>
      <c r="N6620" t="s">
        <v>32524</v>
      </c>
      <c r="O6620" t="s">
        <v>32525</v>
      </c>
      <c r="P6620">
        <v>0</v>
      </c>
      <c r="Q6620">
        <v>3</v>
      </c>
      <c r="R6620" t="s">
        <v>32532</v>
      </c>
      <c r="S6620" t="s">
        <v>32616</v>
      </c>
      <c r="T6620" t="s">
        <v>33242</v>
      </c>
      <c r="U6620" t="s">
        <v>39178</v>
      </c>
      <c r="W6620" t="s">
        <v>31790</v>
      </c>
      <c r="X6620" t="s">
        <v>32533</v>
      </c>
    </row>
    <row r="6621" spans="1:24">
      <c r="A6621">
        <f>HYPERLINK("https://www.philgeps.gov.ph/GEPSNONPILOT/Tender/SplashBidNoticeAbstractUI.aspx?menuIndex=3&amp;refID=7036774&amp;Result=3","7036774")</f>
        <v>0</v>
      </c>
      <c r="B6621" t="s">
        <v>1702</v>
      </c>
      <c r="C6621" t="s">
        <v>9016</v>
      </c>
      <c r="D6621" t="s">
        <v>13065</v>
      </c>
      <c r="E6621" t="s">
        <v>18915</v>
      </c>
      <c r="F6621" t="s">
        <v>22436</v>
      </c>
      <c r="G6621" t="s">
        <v>22444</v>
      </c>
      <c r="H6621" t="s">
        <v>22454</v>
      </c>
      <c r="I6621" t="s">
        <v>7738</v>
      </c>
      <c r="J6621" t="s">
        <v>22616</v>
      </c>
      <c r="K6621" t="s">
        <v>29334</v>
      </c>
      <c r="M6621" t="s">
        <v>31404</v>
      </c>
      <c r="N6621" t="s">
        <v>32524</v>
      </c>
      <c r="O6621" t="s">
        <v>32525</v>
      </c>
      <c r="P6621">
        <v>0</v>
      </c>
      <c r="Q6621">
        <v>0</v>
      </c>
      <c r="R6621" t="s">
        <v>32532</v>
      </c>
      <c r="S6621" t="s">
        <v>32616</v>
      </c>
      <c r="T6621" t="s">
        <v>33187</v>
      </c>
      <c r="U6621" t="s">
        <v>37883</v>
      </c>
      <c r="W6621" t="s">
        <v>31404</v>
      </c>
      <c r="X6621" t="s">
        <v>32533</v>
      </c>
    </row>
    <row r="6622" spans="1:24">
      <c r="A6622">
        <f>HYPERLINK("https://www.philgeps.gov.ph/GEPSNONPILOT/Tender/SplashBidNoticeAbstractUI.aspx?menuIndex=3&amp;refID=7036856&amp;Result=3","7036856")</f>
        <v>0</v>
      </c>
      <c r="B6622" t="s">
        <v>717</v>
      </c>
      <c r="C6622" t="s">
        <v>9017</v>
      </c>
      <c r="D6622" t="s">
        <v>13024</v>
      </c>
      <c r="E6622" t="s">
        <v>18916</v>
      </c>
      <c r="F6622" t="s">
        <v>22436</v>
      </c>
      <c r="G6622" t="s">
        <v>22446</v>
      </c>
      <c r="H6622" t="s">
        <v>22452</v>
      </c>
      <c r="I6622" t="s">
        <v>22468</v>
      </c>
      <c r="J6622" t="s">
        <v>26887</v>
      </c>
      <c r="K6622" t="s">
        <v>29335</v>
      </c>
      <c r="M6622" t="s">
        <v>30314</v>
      </c>
      <c r="N6622" t="s">
        <v>32524</v>
      </c>
      <c r="O6622" t="s">
        <v>32525</v>
      </c>
      <c r="P6622">
        <v>0</v>
      </c>
      <c r="Q6622">
        <v>3</v>
      </c>
      <c r="R6622" t="s">
        <v>32532</v>
      </c>
      <c r="S6622" t="s">
        <v>32616</v>
      </c>
      <c r="T6622" t="s">
        <v>33228</v>
      </c>
      <c r="U6622" t="s">
        <v>39179</v>
      </c>
      <c r="W6622" t="s">
        <v>30314</v>
      </c>
      <c r="X6622" t="s">
        <v>32533</v>
      </c>
    </row>
    <row r="6623" spans="1:24">
      <c r="A6623">
        <f>HYPERLINK("https://www.philgeps.gov.ph/GEPSNONPILOT/Tender/SplashBidNoticeAbstractUI.aspx?menuIndex=3&amp;refID=7036863&amp;Result=3","7036863")</f>
        <v>0</v>
      </c>
      <c r="B6623" t="s">
        <v>1965</v>
      </c>
      <c r="C6623" t="s">
        <v>9018</v>
      </c>
      <c r="D6623" t="s">
        <v>13068</v>
      </c>
      <c r="E6623" t="s">
        <v>14219</v>
      </c>
      <c r="F6623" t="s">
        <v>22437</v>
      </c>
      <c r="G6623" t="s">
        <v>22444</v>
      </c>
      <c r="H6623" t="s">
        <v>22452</v>
      </c>
      <c r="I6623" t="s">
        <v>22456</v>
      </c>
      <c r="J6623" t="s">
        <v>26888</v>
      </c>
      <c r="K6623" t="s">
        <v>29329</v>
      </c>
      <c r="M6623" t="s">
        <v>31696</v>
      </c>
      <c r="N6623" t="s">
        <v>32524</v>
      </c>
      <c r="O6623" t="s">
        <v>32525</v>
      </c>
      <c r="P6623">
        <v>0</v>
      </c>
      <c r="Q6623">
        <v>8</v>
      </c>
      <c r="R6623" t="s">
        <v>32532</v>
      </c>
      <c r="S6623" t="s">
        <v>32616</v>
      </c>
      <c r="T6623" t="s">
        <v>33423</v>
      </c>
      <c r="U6623" t="s">
        <v>38851</v>
      </c>
      <c r="W6623" t="s">
        <v>31696</v>
      </c>
      <c r="X6623" t="s">
        <v>32533</v>
      </c>
    </row>
    <row r="6624" spans="1:24">
      <c r="A6624">
        <f>HYPERLINK("https://www.philgeps.gov.ph/GEPSNONPILOT/Tender/SplashBidNoticeAbstractUI.aspx?menuIndex=3&amp;refID=7036855&amp;Result=3","7036855")</f>
        <v>0</v>
      </c>
      <c r="B6624" t="s">
        <v>992</v>
      </c>
      <c r="C6624" t="s">
        <v>3931</v>
      </c>
      <c r="D6624" t="s">
        <v>13024</v>
      </c>
      <c r="E6624" t="s">
        <v>18917</v>
      </c>
      <c r="F6624" t="s">
        <v>22436</v>
      </c>
      <c r="G6624" t="s">
        <v>22444</v>
      </c>
      <c r="H6624" t="s">
        <v>22452</v>
      </c>
      <c r="I6624" t="s">
        <v>3529</v>
      </c>
      <c r="J6624" t="s">
        <v>26889</v>
      </c>
      <c r="K6624" t="s">
        <v>29434</v>
      </c>
      <c r="M6624" t="s">
        <v>30616</v>
      </c>
      <c r="N6624" t="s">
        <v>32524</v>
      </c>
      <c r="O6624" t="s">
        <v>32525</v>
      </c>
      <c r="P6624">
        <v>0</v>
      </c>
      <c r="Q6624">
        <v>0</v>
      </c>
      <c r="R6624" t="s">
        <v>32532</v>
      </c>
      <c r="S6624" t="s">
        <v>32616</v>
      </c>
      <c r="T6624" t="s">
        <v>33242</v>
      </c>
      <c r="U6624" t="s">
        <v>39180</v>
      </c>
      <c r="V6624" t="s">
        <v>42679</v>
      </c>
      <c r="W6624" t="s">
        <v>30616</v>
      </c>
      <c r="X6624" t="s">
        <v>32533</v>
      </c>
    </row>
    <row r="6625" spans="1:24">
      <c r="A6625">
        <f>HYPERLINK("https://www.philgeps.gov.ph/GEPSNONPILOT/Tender/SplashBidNoticeAbstractUI.aspx?menuIndex=3&amp;refID=7036849&amp;Result=3","7036849")</f>
        <v>0</v>
      </c>
      <c r="B6625" t="s">
        <v>1702</v>
      </c>
      <c r="C6625" t="s">
        <v>9019</v>
      </c>
      <c r="D6625" t="s">
        <v>13065</v>
      </c>
      <c r="E6625" t="s">
        <v>18918</v>
      </c>
      <c r="F6625" t="s">
        <v>22436</v>
      </c>
      <c r="G6625" t="s">
        <v>22444</v>
      </c>
      <c r="H6625" t="s">
        <v>22454</v>
      </c>
      <c r="I6625" t="s">
        <v>22490</v>
      </c>
      <c r="J6625" t="s">
        <v>22640</v>
      </c>
      <c r="K6625" t="s">
        <v>29433</v>
      </c>
      <c r="M6625" t="s">
        <v>31404</v>
      </c>
      <c r="N6625" t="s">
        <v>32524</v>
      </c>
      <c r="O6625" t="s">
        <v>32525</v>
      </c>
      <c r="P6625">
        <v>0</v>
      </c>
      <c r="Q6625">
        <v>0</v>
      </c>
      <c r="R6625" t="s">
        <v>32532</v>
      </c>
      <c r="S6625" t="s">
        <v>32616</v>
      </c>
      <c r="T6625" t="s">
        <v>33187</v>
      </c>
      <c r="U6625" t="s">
        <v>39181</v>
      </c>
      <c r="W6625" t="s">
        <v>31404</v>
      </c>
      <c r="X6625" t="s">
        <v>32533</v>
      </c>
    </row>
    <row r="6626" spans="1:24">
      <c r="A6626">
        <f>HYPERLINK("https://www.philgeps.gov.ph/GEPSNONPILOT/Tender/SplashBidNoticeAbstractUI.aspx?menuIndex=3&amp;refID=7036845&amp;Result=3","7036845")</f>
        <v>0</v>
      </c>
      <c r="B6626" t="s">
        <v>2053</v>
      </c>
      <c r="C6626" t="s">
        <v>9020</v>
      </c>
      <c r="D6626" t="s">
        <v>12988</v>
      </c>
      <c r="E6626" t="s">
        <v>18919</v>
      </c>
      <c r="F6626" t="s">
        <v>22436</v>
      </c>
      <c r="G6626" t="s">
        <v>22445</v>
      </c>
      <c r="H6626" t="s">
        <v>22452</v>
      </c>
      <c r="I6626" t="s">
        <v>22460</v>
      </c>
      <c r="J6626" t="s">
        <v>26890</v>
      </c>
      <c r="K6626" t="s">
        <v>29338</v>
      </c>
      <c r="M6626" t="s">
        <v>31795</v>
      </c>
      <c r="N6626" t="s">
        <v>32524</v>
      </c>
      <c r="O6626" t="s">
        <v>32525</v>
      </c>
      <c r="P6626">
        <v>0</v>
      </c>
      <c r="Q6626">
        <v>15</v>
      </c>
      <c r="R6626" t="s">
        <v>32532</v>
      </c>
      <c r="S6626" t="s">
        <v>32616</v>
      </c>
      <c r="T6626" t="s">
        <v>33372</v>
      </c>
      <c r="U6626" t="s">
        <v>39182</v>
      </c>
      <c r="W6626" t="s">
        <v>31795</v>
      </c>
      <c r="X6626" t="s">
        <v>32533</v>
      </c>
    </row>
    <row r="6627" spans="1:24">
      <c r="A6627">
        <f>HYPERLINK("https://www.philgeps.gov.ph/GEPSNONPILOT/Tender/SplashBidNoticeAbstractUI.aspx?menuIndex=3&amp;refID=7036852&amp;Result=3","7036852")</f>
        <v>0</v>
      </c>
      <c r="B6627" t="s">
        <v>2054</v>
      </c>
      <c r="C6627" t="s">
        <v>9021</v>
      </c>
      <c r="D6627" t="s">
        <v>13045</v>
      </c>
      <c r="E6627" t="s">
        <v>18920</v>
      </c>
      <c r="F6627" t="s">
        <v>22436</v>
      </c>
      <c r="G6627" t="s">
        <v>22444</v>
      </c>
      <c r="H6627" t="s">
        <v>22454</v>
      </c>
      <c r="I6627" t="s">
        <v>7738</v>
      </c>
      <c r="J6627" t="s">
        <v>26891</v>
      </c>
      <c r="K6627" t="s">
        <v>29344</v>
      </c>
      <c r="L6627" t="s">
        <v>2054</v>
      </c>
      <c r="M6627" t="s">
        <v>31796</v>
      </c>
      <c r="N6627" t="s">
        <v>32524</v>
      </c>
      <c r="O6627" t="s">
        <v>32525</v>
      </c>
      <c r="Q6627">
        <v>2</v>
      </c>
      <c r="R6627" t="s">
        <v>32532</v>
      </c>
      <c r="S6627" t="s">
        <v>32632</v>
      </c>
      <c r="T6627" t="s">
        <v>33249</v>
      </c>
      <c r="U6627" t="s">
        <v>39183</v>
      </c>
      <c r="W6627" t="s">
        <v>31796</v>
      </c>
      <c r="X6627" t="s">
        <v>32533</v>
      </c>
    </row>
    <row r="6628" spans="1:24">
      <c r="A6628">
        <f>HYPERLINK("https://www.philgeps.gov.ph/GEPSNONPILOT/Tender/SplashBidNoticeAbstractUI.aspx?menuIndex=3&amp;refID=7036851&amp;Result=3","7036851")</f>
        <v>0</v>
      </c>
      <c r="B6628" t="s">
        <v>2050</v>
      </c>
      <c r="C6628" t="s">
        <v>9022</v>
      </c>
      <c r="D6628" t="s">
        <v>13040</v>
      </c>
      <c r="E6628" t="s">
        <v>18921</v>
      </c>
      <c r="F6628" t="s">
        <v>22436</v>
      </c>
      <c r="G6628" t="s">
        <v>22444</v>
      </c>
      <c r="H6628" t="s">
        <v>22454</v>
      </c>
      <c r="I6628" t="s">
        <v>7738</v>
      </c>
      <c r="J6628" t="s">
        <v>23066</v>
      </c>
      <c r="K6628" t="s">
        <v>29427</v>
      </c>
      <c r="M6628" t="s">
        <v>31790</v>
      </c>
      <c r="N6628" t="s">
        <v>32524</v>
      </c>
      <c r="O6628" t="s">
        <v>32525</v>
      </c>
      <c r="P6628">
        <v>0</v>
      </c>
      <c r="Q6628">
        <v>3</v>
      </c>
      <c r="R6628" t="s">
        <v>32532</v>
      </c>
      <c r="S6628" t="s">
        <v>32616</v>
      </c>
      <c r="T6628" t="s">
        <v>33242</v>
      </c>
      <c r="U6628" t="s">
        <v>39184</v>
      </c>
      <c r="W6628" t="s">
        <v>31790</v>
      </c>
      <c r="X6628" t="s">
        <v>32533</v>
      </c>
    </row>
    <row r="6629" spans="1:24">
      <c r="A6629">
        <f>HYPERLINK("https://www.philgeps.gov.ph/GEPSNONPILOT/Tender/SplashBidNoticeAbstractUI.aspx?menuIndex=3&amp;refID=7036844&amp;Result=3","7036844")</f>
        <v>0</v>
      </c>
      <c r="B6629" t="s">
        <v>2055</v>
      </c>
      <c r="C6629" t="s">
        <v>6088</v>
      </c>
      <c r="D6629" t="s">
        <v>13001</v>
      </c>
      <c r="E6629" t="s">
        <v>18922</v>
      </c>
      <c r="F6629" t="s">
        <v>22436</v>
      </c>
      <c r="G6629" t="s">
        <v>22444</v>
      </c>
      <c r="H6629" t="s">
        <v>22454</v>
      </c>
      <c r="I6629" t="s">
        <v>7738</v>
      </c>
      <c r="J6629" t="s">
        <v>26892</v>
      </c>
      <c r="K6629" t="s">
        <v>29338</v>
      </c>
      <c r="M6629" t="s">
        <v>31797</v>
      </c>
      <c r="N6629" t="s">
        <v>32524</v>
      </c>
      <c r="O6629" t="s">
        <v>32525</v>
      </c>
      <c r="P6629">
        <v>0</v>
      </c>
      <c r="Q6629">
        <v>1</v>
      </c>
      <c r="R6629" t="s">
        <v>32532</v>
      </c>
      <c r="S6629" t="s">
        <v>32616</v>
      </c>
      <c r="T6629" t="s">
        <v>33372</v>
      </c>
      <c r="U6629" t="s">
        <v>39185</v>
      </c>
      <c r="V6629" t="s">
        <v>42961</v>
      </c>
      <c r="W6629" t="s">
        <v>31797</v>
      </c>
      <c r="X6629" t="s">
        <v>32533</v>
      </c>
    </row>
    <row r="6630" spans="1:24">
      <c r="A6630">
        <f>HYPERLINK("https://www.philgeps.gov.ph/GEPSNONPILOT/Tender/SplashBidNoticeAbstractUI.aspx?menuIndex=3&amp;refID=7036884&amp;Result=3","7036884")</f>
        <v>0</v>
      </c>
      <c r="B6630" t="s">
        <v>2050</v>
      </c>
      <c r="C6630" t="s">
        <v>9023</v>
      </c>
      <c r="D6630" t="s">
        <v>13040</v>
      </c>
      <c r="E6630" t="s">
        <v>18923</v>
      </c>
      <c r="F6630" t="s">
        <v>22436</v>
      </c>
      <c r="G6630" t="s">
        <v>22444</v>
      </c>
      <c r="H6630" t="s">
        <v>22454</v>
      </c>
      <c r="I6630" t="s">
        <v>7738</v>
      </c>
      <c r="J6630" t="s">
        <v>26571</v>
      </c>
      <c r="K6630" t="s">
        <v>29446</v>
      </c>
      <c r="M6630" t="s">
        <v>31790</v>
      </c>
      <c r="N6630" t="s">
        <v>32524</v>
      </c>
      <c r="O6630" t="s">
        <v>32525</v>
      </c>
      <c r="P6630">
        <v>0</v>
      </c>
      <c r="Q6630">
        <v>3</v>
      </c>
      <c r="R6630" t="s">
        <v>32532</v>
      </c>
      <c r="S6630" t="s">
        <v>32616</v>
      </c>
      <c r="T6630" t="s">
        <v>33242</v>
      </c>
      <c r="U6630" t="s">
        <v>39186</v>
      </c>
      <c r="W6630" t="s">
        <v>31790</v>
      </c>
      <c r="X6630" t="s">
        <v>32533</v>
      </c>
    </row>
    <row r="6631" spans="1:24">
      <c r="A6631">
        <f>HYPERLINK("https://www.philgeps.gov.ph/GEPSNONPILOT/Tender/SplashBidNoticeAbstractUI.aspx?menuIndex=3&amp;refID=7036861&amp;Result=3","7036861")</f>
        <v>0</v>
      </c>
      <c r="B6631" t="s">
        <v>2051</v>
      </c>
      <c r="C6631" t="s">
        <v>9024</v>
      </c>
      <c r="D6631" t="s">
        <v>13049</v>
      </c>
      <c r="E6631" t="s">
        <v>16213</v>
      </c>
      <c r="F6631" t="s">
        <v>22436</v>
      </c>
      <c r="G6631" t="s">
        <v>22444</v>
      </c>
      <c r="H6631" t="s">
        <v>22454</v>
      </c>
      <c r="I6631" t="s">
        <v>7738</v>
      </c>
      <c r="J6631" t="s">
        <v>22788</v>
      </c>
      <c r="K6631" t="s">
        <v>29336</v>
      </c>
      <c r="M6631" t="s">
        <v>31791</v>
      </c>
      <c r="N6631" t="s">
        <v>32524</v>
      </c>
      <c r="O6631" t="s">
        <v>32525</v>
      </c>
      <c r="P6631">
        <v>0</v>
      </c>
      <c r="Q6631">
        <v>0</v>
      </c>
      <c r="R6631" t="s">
        <v>32532</v>
      </c>
      <c r="S6631" t="s">
        <v>32616</v>
      </c>
      <c r="T6631" t="s">
        <v>33249</v>
      </c>
      <c r="U6631" t="s">
        <v>39187</v>
      </c>
      <c r="V6631" t="s">
        <v>43147</v>
      </c>
      <c r="W6631" t="s">
        <v>31791</v>
      </c>
      <c r="X6631" t="s">
        <v>32533</v>
      </c>
    </row>
    <row r="6632" spans="1:24">
      <c r="A6632">
        <f>HYPERLINK("https://www.philgeps.gov.ph/GEPSNONPILOT/Tender/SplashBidNoticeAbstractUI.aspx?menuIndex=3&amp;refID=7036842&amp;Result=3","7036842")</f>
        <v>0</v>
      </c>
      <c r="B6632" t="s">
        <v>1497</v>
      </c>
      <c r="C6632" t="s">
        <v>9025</v>
      </c>
      <c r="D6632" t="s">
        <v>12988</v>
      </c>
      <c r="E6632" t="s">
        <v>18924</v>
      </c>
      <c r="F6632" t="s">
        <v>22436</v>
      </c>
      <c r="G6632" t="s">
        <v>22444</v>
      </c>
      <c r="H6632" t="s">
        <v>22452</v>
      </c>
      <c r="I6632" t="s">
        <v>2981</v>
      </c>
      <c r="J6632" t="s">
        <v>23356</v>
      </c>
      <c r="K6632" t="s">
        <v>29341</v>
      </c>
      <c r="M6632" t="s">
        <v>31785</v>
      </c>
      <c r="N6632" t="s">
        <v>32524</v>
      </c>
      <c r="O6632" t="s">
        <v>32525</v>
      </c>
      <c r="P6632">
        <v>0</v>
      </c>
      <c r="Q6632">
        <v>0</v>
      </c>
      <c r="R6632" t="s">
        <v>32532</v>
      </c>
      <c r="S6632" t="s">
        <v>32616</v>
      </c>
      <c r="T6632" t="s">
        <v>33238</v>
      </c>
      <c r="U6632" t="s">
        <v>37299</v>
      </c>
      <c r="W6632" t="s">
        <v>31785</v>
      </c>
      <c r="X6632" t="s">
        <v>32533</v>
      </c>
    </row>
    <row r="6633" spans="1:24">
      <c r="A6633">
        <f>HYPERLINK("https://www.philgeps.gov.ph/GEPSNONPILOT/Tender/SplashBidNoticeAbstractUI.aspx?menuIndex=3&amp;refID=7036834&amp;Result=3","7036834")</f>
        <v>0</v>
      </c>
      <c r="B6633" t="s">
        <v>978</v>
      </c>
      <c r="C6633" t="s">
        <v>2962</v>
      </c>
      <c r="D6633" t="s">
        <v>13032</v>
      </c>
      <c r="E6633" t="s">
        <v>18925</v>
      </c>
      <c r="F6633" t="s">
        <v>22441</v>
      </c>
      <c r="G6633" t="s">
        <v>22443</v>
      </c>
      <c r="H6633" t="s">
        <v>22452</v>
      </c>
      <c r="I6633" t="s">
        <v>2962</v>
      </c>
      <c r="J6633" t="s">
        <v>26893</v>
      </c>
      <c r="K6633" t="s">
        <v>29336</v>
      </c>
      <c r="M6633" t="s">
        <v>30599</v>
      </c>
      <c r="N6633" t="s">
        <v>32524</v>
      </c>
      <c r="O6633" t="s">
        <v>32525</v>
      </c>
      <c r="P6633">
        <v>0</v>
      </c>
      <c r="Q6633">
        <v>0</v>
      </c>
      <c r="R6633" t="s">
        <v>32532</v>
      </c>
      <c r="S6633" t="s">
        <v>32616</v>
      </c>
      <c r="T6633" t="s">
        <v>33220</v>
      </c>
      <c r="U6633" t="s">
        <v>39188</v>
      </c>
      <c r="W6633" t="s">
        <v>30599</v>
      </c>
      <c r="X6633" t="s">
        <v>32533</v>
      </c>
    </row>
    <row r="6634" spans="1:24">
      <c r="A6634">
        <f>HYPERLINK("https://www.philgeps.gov.ph/GEPSNONPILOT/Tender/SplashBidNoticeAbstractUI.aspx?menuIndex=3&amp;refID=7036876&amp;Result=3","7036876")</f>
        <v>0</v>
      </c>
      <c r="B6634" t="s">
        <v>998</v>
      </c>
      <c r="C6634" t="s">
        <v>9026</v>
      </c>
      <c r="D6634" t="s">
        <v>12992</v>
      </c>
      <c r="E6634" t="s">
        <v>18926</v>
      </c>
      <c r="F6634" t="s">
        <v>22436</v>
      </c>
      <c r="G6634" t="s">
        <v>22445</v>
      </c>
      <c r="H6634" t="s">
        <v>22452</v>
      </c>
      <c r="I6634" t="s">
        <v>22465</v>
      </c>
      <c r="J6634" t="s">
        <v>26894</v>
      </c>
      <c r="K6634" t="s">
        <v>29335</v>
      </c>
      <c r="M6634" t="s">
        <v>30624</v>
      </c>
      <c r="N6634" t="s">
        <v>32524</v>
      </c>
      <c r="O6634" t="s">
        <v>32525</v>
      </c>
      <c r="P6634">
        <v>0</v>
      </c>
      <c r="Q6634">
        <v>0</v>
      </c>
      <c r="R6634" t="s">
        <v>32532</v>
      </c>
      <c r="S6634" t="s">
        <v>32616</v>
      </c>
      <c r="T6634" t="s">
        <v>33209</v>
      </c>
      <c r="U6634" t="s">
        <v>39189</v>
      </c>
      <c r="V6634" t="s">
        <v>43148</v>
      </c>
      <c r="W6634" t="s">
        <v>30624</v>
      </c>
      <c r="X6634" t="s">
        <v>32533</v>
      </c>
    </row>
    <row r="6635" spans="1:24">
      <c r="A6635">
        <f>HYPERLINK("https://www.philgeps.gov.ph/GEPSNONPILOT/Tender/SplashBidNoticeAbstractUI.aspx?menuIndex=3&amp;refID=7036874&amp;Result=3","7036874")</f>
        <v>0</v>
      </c>
      <c r="B6635" t="s">
        <v>169</v>
      </c>
      <c r="C6635" t="s">
        <v>9027</v>
      </c>
      <c r="D6635" t="s">
        <v>13044</v>
      </c>
      <c r="E6635" t="s">
        <v>18927</v>
      </c>
      <c r="F6635" t="s">
        <v>22436</v>
      </c>
      <c r="G6635" t="s">
        <v>22444</v>
      </c>
      <c r="H6635" t="s">
        <v>22454</v>
      </c>
      <c r="I6635" t="s">
        <v>7738</v>
      </c>
      <c r="J6635" t="s">
        <v>26895</v>
      </c>
      <c r="K6635" t="s">
        <v>29380</v>
      </c>
      <c r="M6635" t="s">
        <v>29741</v>
      </c>
      <c r="N6635" t="s">
        <v>32524</v>
      </c>
      <c r="O6635" t="s">
        <v>32525</v>
      </c>
      <c r="P6635">
        <v>0</v>
      </c>
      <c r="Q6635">
        <v>12</v>
      </c>
      <c r="R6635" t="s">
        <v>32532</v>
      </c>
      <c r="S6635" t="s">
        <v>32616</v>
      </c>
      <c r="T6635" t="s">
        <v>33242</v>
      </c>
      <c r="U6635" t="s">
        <v>39190</v>
      </c>
      <c r="V6635" t="s">
        <v>43149</v>
      </c>
      <c r="W6635" t="s">
        <v>29741</v>
      </c>
      <c r="X6635" t="s">
        <v>32533</v>
      </c>
    </row>
    <row r="6636" spans="1:24">
      <c r="A6636">
        <f>HYPERLINK("https://www.philgeps.gov.ph/GEPSNONPILOT/Tender/SplashBidNoticeAbstractUI.aspx?menuIndex=3&amp;refID=7036931&amp;Result=3","7036931")</f>
        <v>0</v>
      </c>
      <c r="B6636" t="s">
        <v>83</v>
      </c>
      <c r="C6636" t="s">
        <v>9028</v>
      </c>
      <c r="D6636" t="s">
        <v>12988</v>
      </c>
      <c r="E6636" t="s">
        <v>18928</v>
      </c>
      <c r="F6636" t="s">
        <v>22436</v>
      </c>
      <c r="G6636" t="s">
        <v>22443</v>
      </c>
      <c r="H6636" t="s">
        <v>22452</v>
      </c>
      <c r="I6636" t="s">
        <v>12358</v>
      </c>
      <c r="J6636" t="s">
        <v>26896</v>
      </c>
      <c r="K6636" t="s">
        <v>29336</v>
      </c>
      <c r="M6636" t="s">
        <v>29655</v>
      </c>
      <c r="N6636" t="s">
        <v>32524</v>
      </c>
      <c r="O6636" t="s">
        <v>32525</v>
      </c>
      <c r="P6636">
        <v>0</v>
      </c>
      <c r="Q6636">
        <v>0</v>
      </c>
      <c r="R6636" t="s">
        <v>32532</v>
      </c>
      <c r="S6636" t="s">
        <v>32616</v>
      </c>
      <c r="T6636" t="s">
        <v>33220</v>
      </c>
      <c r="U6636" t="s">
        <v>39191</v>
      </c>
      <c r="W6636" t="s">
        <v>29655</v>
      </c>
      <c r="X6636" t="s">
        <v>32533</v>
      </c>
    </row>
    <row r="6637" spans="1:24">
      <c r="A6637">
        <f>HYPERLINK("https://www.philgeps.gov.ph/GEPSNONPILOT/Tender/SplashBidNoticeAbstractUI.aspx?menuIndex=3&amp;refID=7036946&amp;Result=3","7036946")</f>
        <v>0</v>
      </c>
      <c r="B6637" t="s">
        <v>1737</v>
      </c>
      <c r="C6637" t="s">
        <v>9029</v>
      </c>
      <c r="D6637" t="s">
        <v>13018</v>
      </c>
      <c r="E6637" t="s">
        <v>18929</v>
      </c>
      <c r="F6637" t="s">
        <v>22436</v>
      </c>
      <c r="G6637" t="s">
        <v>22444</v>
      </c>
      <c r="H6637" t="s">
        <v>22452</v>
      </c>
      <c r="I6637" t="s">
        <v>3827</v>
      </c>
      <c r="J6637" t="s">
        <v>26243</v>
      </c>
      <c r="K6637" t="s">
        <v>29341</v>
      </c>
      <c r="M6637" t="s">
        <v>31442</v>
      </c>
      <c r="N6637" t="s">
        <v>32524</v>
      </c>
      <c r="O6637" t="s">
        <v>32525</v>
      </c>
      <c r="P6637">
        <v>0</v>
      </c>
      <c r="Q6637">
        <v>0</v>
      </c>
      <c r="R6637" t="s">
        <v>32532</v>
      </c>
      <c r="S6637" t="s">
        <v>32616</v>
      </c>
      <c r="T6637" t="s">
        <v>33213</v>
      </c>
      <c r="U6637" t="s">
        <v>39192</v>
      </c>
      <c r="W6637" t="s">
        <v>31442</v>
      </c>
      <c r="X6637" t="s">
        <v>32533</v>
      </c>
    </row>
    <row r="6638" spans="1:24">
      <c r="A6638">
        <f>HYPERLINK("https://www.philgeps.gov.ph/GEPSNONPILOT/Tender/SplashBidNoticeAbstractUI.aspx?menuIndex=3&amp;refID=7036921&amp;Result=3","7036921")</f>
        <v>0</v>
      </c>
      <c r="B6638" t="s">
        <v>2056</v>
      </c>
      <c r="C6638" t="s">
        <v>9030</v>
      </c>
      <c r="D6638" t="s">
        <v>12988</v>
      </c>
      <c r="E6638" t="s">
        <v>18930</v>
      </c>
      <c r="F6638" t="s">
        <v>22436</v>
      </c>
      <c r="G6638" t="s">
        <v>22444</v>
      </c>
      <c r="H6638" t="s">
        <v>22452</v>
      </c>
      <c r="I6638" t="s">
        <v>22456</v>
      </c>
      <c r="J6638" t="s">
        <v>22605</v>
      </c>
      <c r="K6638" t="s">
        <v>29331</v>
      </c>
      <c r="M6638" t="s">
        <v>31798</v>
      </c>
      <c r="N6638" t="s">
        <v>32524</v>
      </c>
      <c r="O6638" t="s">
        <v>32525</v>
      </c>
      <c r="P6638">
        <v>0</v>
      </c>
      <c r="Q6638">
        <v>6</v>
      </c>
      <c r="R6638" t="s">
        <v>32532</v>
      </c>
      <c r="S6638" t="s">
        <v>32616</v>
      </c>
      <c r="T6638" t="s">
        <v>33238</v>
      </c>
      <c r="U6638" t="s">
        <v>39193</v>
      </c>
      <c r="W6638" t="s">
        <v>31798</v>
      </c>
      <c r="X6638" t="s">
        <v>32533</v>
      </c>
    </row>
    <row r="6639" spans="1:24">
      <c r="A6639">
        <f>HYPERLINK("https://www.philgeps.gov.ph/GEPSNONPILOT/Tender/SplashBidNoticeAbstractUI.aspx?menuIndex=3&amp;refID=7036924&amp;Result=3","7036924")</f>
        <v>0</v>
      </c>
      <c r="B6639" t="s">
        <v>2057</v>
      </c>
      <c r="C6639" t="s">
        <v>9031</v>
      </c>
      <c r="D6639" t="s">
        <v>13008</v>
      </c>
      <c r="E6639" t="s">
        <v>18931</v>
      </c>
      <c r="F6639" t="s">
        <v>22436</v>
      </c>
      <c r="G6639" t="s">
        <v>22444</v>
      </c>
      <c r="H6639" t="s">
        <v>22452</v>
      </c>
      <c r="I6639" t="s">
        <v>22467</v>
      </c>
      <c r="J6639" t="s">
        <v>22640</v>
      </c>
      <c r="K6639" t="s">
        <v>29336</v>
      </c>
      <c r="M6639" t="s">
        <v>31799</v>
      </c>
      <c r="N6639" t="s">
        <v>32524</v>
      </c>
      <c r="O6639" t="s">
        <v>32525</v>
      </c>
      <c r="P6639">
        <v>0</v>
      </c>
      <c r="Q6639">
        <v>0</v>
      </c>
      <c r="R6639" t="s">
        <v>32532</v>
      </c>
      <c r="S6639" t="s">
        <v>32616</v>
      </c>
      <c r="T6639" t="s">
        <v>33419</v>
      </c>
      <c r="U6639" t="s">
        <v>39194</v>
      </c>
      <c r="W6639" t="s">
        <v>31799</v>
      </c>
      <c r="X6639" t="s">
        <v>32533</v>
      </c>
    </row>
    <row r="6640" spans="1:24">
      <c r="A6640">
        <f>HYPERLINK("https://www.philgeps.gov.ph/GEPSNONPILOT/Tender/SplashBidNoticeAbstractUI.aspx?menuIndex=3&amp;refID=7036918&amp;Result=3","7036918")</f>
        <v>0</v>
      </c>
      <c r="B6640" t="s">
        <v>1816</v>
      </c>
      <c r="C6640" t="s">
        <v>9032</v>
      </c>
      <c r="D6640" t="s">
        <v>12993</v>
      </c>
      <c r="E6640" t="s">
        <v>18932</v>
      </c>
      <c r="F6640" t="s">
        <v>22436</v>
      </c>
      <c r="G6640" t="s">
        <v>22444</v>
      </c>
      <c r="H6640" t="s">
        <v>22452</v>
      </c>
      <c r="I6640" t="s">
        <v>3529</v>
      </c>
      <c r="J6640" t="s">
        <v>26897</v>
      </c>
      <c r="K6640" t="s">
        <v>29335</v>
      </c>
      <c r="M6640" t="s">
        <v>31530</v>
      </c>
      <c r="N6640" t="s">
        <v>32524</v>
      </c>
      <c r="O6640" t="s">
        <v>32525</v>
      </c>
      <c r="P6640">
        <v>0</v>
      </c>
      <c r="Q6640">
        <v>2</v>
      </c>
      <c r="R6640" t="s">
        <v>32532</v>
      </c>
      <c r="S6640" t="s">
        <v>32616</v>
      </c>
      <c r="T6640" t="s">
        <v>33238</v>
      </c>
      <c r="U6640" t="s">
        <v>39195</v>
      </c>
      <c r="W6640" t="s">
        <v>31530</v>
      </c>
      <c r="X6640" t="s">
        <v>32533</v>
      </c>
    </row>
    <row r="6641" spans="1:24">
      <c r="A6641">
        <f>HYPERLINK("https://www.philgeps.gov.ph/GEPSNONPILOT/Tender/SplashBidNoticeAbstractUI.aspx?menuIndex=3&amp;refID=7036938&amp;Result=3","7036938")</f>
        <v>0</v>
      </c>
      <c r="B6641" t="s">
        <v>763</v>
      </c>
      <c r="C6641" t="s">
        <v>9033</v>
      </c>
      <c r="D6641" t="s">
        <v>13013</v>
      </c>
      <c r="E6641" t="s">
        <v>13452</v>
      </c>
      <c r="F6641" t="s">
        <v>22436</v>
      </c>
      <c r="G6641" t="s">
        <v>22443</v>
      </c>
      <c r="H6641" t="s">
        <v>22452</v>
      </c>
      <c r="I6641" t="s">
        <v>22456</v>
      </c>
      <c r="J6641" t="s">
        <v>26898</v>
      </c>
      <c r="K6641" t="s">
        <v>29341</v>
      </c>
      <c r="M6641" t="s">
        <v>30364</v>
      </c>
      <c r="N6641" t="s">
        <v>32524</v>
      </c>
      <c r="O6641" t="s">
        <v>32525</v>
      </c>
      <c r="P6641">
        <v>0</v>
      </c>
      <c r="Q6641">
        <v>1</v>
      </c>
      <c r="R6641" t="s">
        <v>32532</v>
      </c>
      <c r="S6641" t="s">
        <v>32616</v>
      </c>
      <c r="T6641" t="s">
        <v>33323</v>
      </c>
      <c r="U6641" t="s">
        <v>39196</v>
      </c>
      <c r="W6641" t="s">
        <v>30364</v>
      </c>
      <c r="X6641" t="s">
        <v>32533</v>
      </c>
    </row>
    <row r="6642" spans="1:24">
      <c r="A6642">
        <f>HYPERLINK("https://www.philgeps.gov.ph/GEPSNONPILOT/Tender/SplashBidNoticeAbstractUI.aspx?menuIndex=3&amp;refID=7036920&amp;Result=3","7036920")</f>
        <v>0</v>
      </c>
      <c r="B6642" t="s">
        <v>2058</v>
      </c>
      <c r="C6642" t="s">
        <v>9034</v>
      </c>
      <c r="D6642" t="s">
        <v>13043</v>
      </c>
      <c r="E6642" t="s">
        <v>18933</v>
      </c>
      <c r="F6642" t="s">
        <v>22436</v>
      </c>
      <c r="G6642" t="s">
        <v>22444</v>
      </c>
      <c r="H6642" t="s">
        <v>22454</v>
      </c>
      <c r="I6642" t="s">
        <v>7738</v>
      </c>
      <c r="J6642" t="s">
        <v>26899</v>
      </c>
      <c r="K6642" t="s">
        <v>29344</v>
      </c>
      <c r="M6642" t="s">
        <v>31800</v>
      </c>
      <c r="N6642" t="s">
        <v>32524</v>
      </c>
      <c r="O6642" t="s">
        <v>32525</v>
      </c>
      <c r="P6642">
        <v>0</v>
      </c>
      <c r="Q6642">
        <v>0</v>
      </c>
      <c r="R6642" t="s">
        <v>32532</v>
      </c>
      <c r="S6642" t="s">
        <v>32616</v>
      </c>
      <c r="T6642" t="s">
        <v>33249</v>
      </c>
      <c r="U6642" t="s">
        <v>39197</v>
      </c>
      <c r="W6642" t="s">
        <v>31800</v>
      </c>
      <c r="X6642" t="s">
        <v>32533</v>
      </c>
    </row>
    <row r="6643" spans="1:24">
      <c r="A6643">
        <f>HYPERLINK("https://www.philgeps.gov.ph/GEPSNONPILOT/Tender/SplashBidNoticeAbstractUI.aspx?menuIndex=3&amp;refID=7036906&amp;Result=3","7036906")</f>
        <v>0</v>
      </c>
      <c r="B6643" t="s">
        <v>2055</v>
      </c>
      <c r="C6643" t="s">
        <v>9035</v>
      </c>
      <c r="D6643" t="s">
        <v>13001</v>
      </c>
      <c r="E6643" t="s">
        <v>18934</v>
      </c>
      <c r="F6643" t="s">
        <v>22436</v>
      </c>
      <c r="G6643" t="s">
        <v>22444</v>
      </c>
      <c r="H6643" t="s">
        <v>22454</v>
      </c>
      <c r="I6643" t="s">
        <v>7738</v>
      </c>
      <c r="J6643" t="s">
        <v>26892</v>
      </c>
      <c r="K6643" t="s">
        <v>29338</v>
      </c>
      <c r="M6643" t="s">
        <v>31797</v>
      </c>
      <c r="N6643" t="s">
        <v>32524</v>
      </c>
      <c r="O6643" t="s">
        <v>32525</v>
      </c>
      <c r="P6643">
        <v>0</v>
      </c>
      <c r="Q6643">
        <v>1</v>
      </c>
      <c r="R6643" t="s">
        <v>32532</v>
      </c>
      <c r="S6643" t="s">
        <v>32616</v>
      </c>
      <c r="T6643" t="s">
        <v>33372</v>
      </c>
      <c r="U6643" t="s">
        <v>39198</v>
      </c>
      <c r="V6643" t="s">
        <v>42961</v>
      </c>
      <c r="W6643" t="s">
        <v>31797</v>
      </c>
      <c r="X6643" t="s">
        <v>32533</v>
      </c>
    </row>
    <row r="6644" spans="1:24">
      <c r="A6644">
        <f>HYPERLINK("https://www.philgeps.gov.ph/GEPSNONPILOT/Tender/SplashBidNoticeAbstractUI.aspx?menuIndex=3&amp;refID=7036916&amp;Result=3","7036916")</f>
        <v>0</v>
      </c>
      <c r="B6644" t="s">
        <v>2050</v>
      </c>
      <c r="C6644" t="s">
        <v>9036</v>
      </c>
      <c r="D6644" t="s">
        <v>13040</v>
      </c>
      <c r="E6644" t="s">
        <v>18935</v>
      </c>
      <c r="F6644" t="s">
        <v>22436</v>
      </c>
      <c r="G6644" t="s">
        <v>22444</v>
      </c>
      <c r="H6644" t="s">
        <v>22454</v>
      </c>
      <c r="I6644" t="s">
        <v>7738</v>
      </c>
      <c r="J6644" t="s">
        <v>26900</v>
      </c>
      <c r="K6644" t="s">
        <v>29364</v>
      </c>
      <c r="M6644" t="s">
        <v>31790</v>
      </c>
      <c r="N6644" t="s">
        <v>32524</v>
      </c>
      <c r="O6644" t="s">
        <v>32525</v>
      </c>
      <c r="P6644">
        <v>0</v>
      </c>
      <c r="Q6644">
        <v>3</v>
      </c>
      <c r="R6644" t="s">
        <v>32532</v>
      </c>
      <c r="S6644" t="s">
        <v>32616</v>
      </c>
      <c r="T6644" t="s">
        <v>33242</v>
      </c>
      <c r="U6644" t="s">
        <v>39199</v>
      </c>
      <c r="W6644" t="s">
        <v>31790</v>
      </c>
      <c r="X6644" t="s">
        <v>32533</v>
      </c>
    </row>
    <row r="6645" spans="1:24">
      <c r="A6645">
        <f>HYPERLINK("https://www.philgeps.gov.ph/GEPSNONPILOT/Tender/SplashBidNoticeAbstractUI.aspx?menuIndex=3&amp;refID=7036941&amp;Result=3","7036941")</f>
        <v>0</v>
      </c>
      <c r="B6645" t="s">
        <v>2059</v>
      </c>
      <c r="C6645" t="s">
        <v>9037</v>
      </c>
      <c r="D6645" t="s">
        <v>13039</v>
      </c>
      <c r="E6645" t="s">
        <v>18936</v>
      </c>
      <c r="F6645" t="s">
        <v>22436</v>
      </c>
      <c r="G6645" t="s">
        <v>22443</v>
      </c>
      <c r="H6645" t="s">
        <v>22452</v>
      </c>
      <c r="I6645" t="s">
        <v>22461</v>
      </c>
      <c r="J6645" t="s">
        <v>26901</v>
      </c>
      <c r="K6645" t="s">
        <v>29340</v>
      </c>
      <c r="M6645" t="s">
        <v>31801</v>
      </c>
      <c r="N6645" t="s">
        <v>32524</v>
      </c>
      <c r="O6645" t="s">
        <v>32525</v>
      </c>
      <c r="Q6645">
        <v>1</v>
      </c>
      <c r="R6645" t="s">
        <v>32532</v>
      </c>
      <c r="S6645" t="s">
        <v>32633</v>
      </c>
      <c r="T6645" t="s">
        <v>33169</v>
      </c>
      <c r="U6645" t="s">
        <v>39200</v>
      </c>
      <c r="W6645" t="s">
        <v>31801</v>
      </c>
      <c r="X6645" t="s">
        <v>32533</v>
      </c>
    </row>
    <row r="6646" spans="1:24">
      <c r="A6646">
        <f>HYPERLINK("https://www.philgeps.gov.ph/GEPSNONPILOT/Tender/SplashBidNoticeAbstractUI.aspx?menuIndex=3&amp;refID=7036905&amp;Result=3","7036905")</f>
        <v>0</v>
      </c>
      <c r="B6646" t="s">
        <v>1497</v>
      </c>
      <c r="C6646" t="s">
        <v>9038</v>
      </c>
      <c r="D6646" t="s">
        <v>12988</v>
      </c>
      <c r="E6646" t="s">
        <v>18937</v>
      </c>
      <c r="F6646" t="s">
        <v>22436</v>
      </c>
      <c r="G6646" t="s">
        <v>22444</v>
      </c>
      <c r="H6646" t="s">
        <v>22452</v>
      </c>
      <c r="I6646" t="s">
        <v>2981</v>
      </c>
      <c r="J6646" t="s">
        <v>26902</v>
      </c>
      <c r="K6646" t="s">
        <v>29341</v>
      </c>
      <c r="M6646" t="s">
        <v>31785</v>
      </c>
      <c r="N6646" t="s">
        <v>32524</v>
      </c>
      <c r="O6646" t="s">
        <v>32525</v>
      </c>
      <c r="P6646">
        <v>0</v>
      </c>
      <c r="Q6646">
        <v>0</v>
      </c>
      <c r="R6646" t="s">
        <v>32532</v>
      </c>
      <c r="S6646" t="s">
        <v>32616</v>
      </c>
      <c r="T6646" t="s">
        <v>33238</v>
      </c>
      <c r="U6646" t="s">
        <v>37299</v>
      </c>
      <c r="W6646" t="s">
        <v>31785</v>
      </c>
      <c r="X6646" t="s">
        <v>32533</v>
      </c>
    </row>
    <row r="6647" spans="1:24">
      <c r="A6647">
        <f>HYPERLINK("https://www.philgeps.gov.ph/GEPSNONPILOT/Tender/SplashBidNoticeAbstractUI.aspx?menuIndex=3&amp;refID=7036934&amp;Result=3","7036934")</f>
        <v>0</v>
      </c>
      <c r="B6647" t="s">
        <v>2050</v>
      </c>
      <c r="C6647" t="s">
        <v>9039</v>
      </c>
      <c r="D6647" t="s">
        <v>13040</v>
      </c>
      <c r="E6647" t="s">
        <v>18938</v>
      </c>
      <c r="F6647" t="s">
        <v>22436</v>
      </c>
      <c r="G6647" t="s">
        <v>22444</v>
      </c>
      <c r="H6647" t="s">
        <v>22454</v>
      </c>
      <c r="I6647" t="s">
        <v>7738</v>
      </c>
      <c r="J6647" t="s">
        <v>26186</v>
      </c>
      <c r="K6647" t="s">
        <v>29446</v>
      </c>
      <c r="M6647" t="s">
        <v>31790</v>
      </c>
      <c r="N6647" t="s">
        <v>32524</v>
      </c>
      <c r="O6647" t="s">
        <v>32525</v>
      </c>
      <c r="P6647">
        <v>0</v>
      </c>
      <c r="Q6647">
        <v>3</v>
      </c>
      <c r="R6647" t="s">
        <v>32532</v>
      </c>
      <c r="S6647" t="s">
        <v>32616</v>
      </c>
      <c r="T6647" t="s">
        <v>33242</v>
      </c>
      <c r="U6647" t="s">
        <v>39201</v>
      </c>
      <c r="W6647" t="s">
        <v>31790</v>
      </c>
      <c r="X6647" t="s">
        <v>32533</v>
      </c>
    </row>
    <row r="6648" spans="1:24">
      <c r="A6648">
        <f>HYPERLINK("https://www.philgeps.gov.ph/GEPSNONPILOT/Tender/SplashBidNoticeAbstractUI.aspx?menuIndex=3&amp;refID=7036943&amp;Result=3","7036943")</f>
        <v>0</v>
      </c>
      <c r="B6648" t="s">
        <v>98</v>
      </c>
      <c r="C6648" t="s">
        <v>9040</v>
      </c>
      <c r="D6648" t="s">
        <v>13011</v>
      </c>
      <c r="E6648" t="s">
        <v>18939</v>
      </c>
      <c r="F6648" t="s">
        <v>22436</v>
      </c>
      <c r="G6648" t="s">
        <v>22444</v>
      </c>
      <c r="H6648" t="s">
        <v>22454</v>
      </c>
      <c r="I6648" t="s">
        <v>6387</v>
      </c>
      <c r="J6648" t="s">
        <v>26903</v>
      </c>
      <c r="K6648" t="s">
        <v>29334</v>
      </c>
      <c r="M6648" t="s">
        <v>29670</v>
      </c>
      <c r="N6648" t="s">
        <v>32524</v>
      </c>
      <c r="O6648" t="s">
        <v>32525</v>
      </c>
      <c r="P6648">
        <v>0</v>
      </c>
      <c r="Q6648">
        <v>2</v>
      </c>
      <c r="R6648" t="s">
        <v>32532</v>
      </c>
      <c r="S6648" t="s">
        <v>32616</v>
      </c>
      <c r="T6648" t="s">
        <v>33234</v>
      </c>
      <c r="U6648" t="s">
        <v>33733</v>
      </c>
      <c r="W6648" t="s">
        <v>29670</v>
      </c>
      <c r="X6648" t="s">
        <v>32533</v>
      </c>
    </row>
    <row r="6649" spans="1:24">
      <c r="A6649">
        <f>HYPERLINK("https://www.philgeps.gov.ph/GEPSNONPILOT/Tender/SplashBidNoticeAbstractUI.aspx?menuIndex=3&amp;refID=7036914&amp;Result=3","7036914")</f>
        <v>0</v>
      </c>
      <c r="B6649" t="s">
        <v>82</v>
      </c>
      <c r="C6649" t="s">
        <v>9041</v>
      </c>
      <c r="D6649" t="s">
        <v>13024</v>
      </c>
      <c r="E6649" t="s">
        <v>18940</v>
      </c>
      <c r="F6649" t="s">
        <v>22436</v>
      </c>
      <c r="G6649" t="s">
        <v>22443</v>
      </c>
      <c r="H6649" t="s">
        <v>22452</v>
      </c>
      <c r="I6649" t="s">
        <v>22467</v>
      </c>
      <c r="J6649" t="s">
        <v>26904</v>
      </c>
      <c r="K6649" t="s">
        <v>29336</v>
      </c>
      <c r="M6649" t="s">
        <v>29654</v>
      </c>
      <c r="N6649" t="s">
        <v>32524</v>
      </c>
      <c r="O6649" t="s">
        <v>32525</v>
      </c>
      <c r="P6649">
        <v>0</v>
      </c>
      <c r="Q6649">
        <v>0</v>
      </c>
      <c r="R6649" t="s">
        <v>32532</v>
      </c>
      <c r="S6649" t="s">
        <v>32616</v>
      </c>
      <c r="T6649" t="s">
        <v>33521</v>
      </c>
      <c r="U6649" t="s">
        <v>39155</v>
      </c>
      <c r="W6649" t="s">
        <v>29654</v>
      </c>
      <c r="X6649" t="s">
        <v>32533</v>
      </c>
    </row>
    <row r="6650" spans="1:24">
      <c r="A6650">
        <f>HYPERLINK("https://www.philgeps.gov.ph/GEPSNONPILOT/Tender/SplashBidNoticeAbstractUI.aspx?menuIndex=3&amp;refID=7036894&amp;Result=3","7036894")</f>
        <v>0</v>
      </c>
      <c r="B6650" t="s">
        <v>2039</v>
      </c>
      <c r="C6650" t="s">
        <v>9042</v>
      </c>
      <c r="D6650" t="s">
        <v>13003</v>
      </c>
      <c r="E6650" t="s">
        <v>18941</v>
      </c>
      <c r="F6650" t="s">
        <v>22436</v>
      </c>
      <c r="G6650" t="s">
        <v>22444</v>
      </c>
      <c r="H6650" t="s">
        <v>22452</v>
      </c>
      <c r="I6650" t="s">
        <v>22463</v>
      </c>
      <c r="J6650" t="s">
        <v>26905</v>
      </c>
      <c r="K6650" t="s">
        <v>29336</v>
      </c>
      <c r="M6650" t="s">
        <v>31802</v>
      </c>
      <c r="N6650" t="s">
        <v>32524</v>
      </c>
      <c r="O6650" t="s">
        <v>32525</v>
      </c>
      <c r="P6650">
        <v>0</v>
      </c>
      <c r="Q6650">
        <v>7</v>
      </c>
      <c r="R6650" t="s">
        <v>32532</v>
      </c>
      <c r="S6650" t="s">
        <v>32616</v>
      </c>
      <c r="T6650" t="s">
        <v>33452</v>
      </c>
      <c r="U6650" t="s">
        <v>39202</v>
      </c>
      <c r="W6650" t="s">
        <v>31802</v>
      </c>
      <c r="X6650" t="s">
        <v>32533</v>
      </c>
    </row>
    <row r="6651" spans="1:24">
      <c r="A6651">
        <f>HYPERLINK("https://www.philgeps.gov.ph/GEPSNONPILOT/Tender/SplashBidNoticeAbstractUI.aspx?menuIndex=3&amp;refID=7036872&amp;Result=3","7036872")</f>
        <v>0</v>
      </c>
      <c r="B6651" t="s">
        <v>2049</v>
      </c>
      <c r="C6651" t="s">
        <v>9043</v>
      </c>
      <c r="E6651" t="s">
        <v>17357</v>
      </c>
      <c r="F6651" t="s">
        <v>22436</v>
      </c>
      <c r="G6651" t="s">
        <v>22444</v>
      </c>
      <c r="H6651" t="s">
        <v>22452</v>
      </c>
      <c r="I6651" t="s">
        <v>22460</v>
      </c>
      <c r="J6651" t="s">
        <v>23952</v>
      </c>
      <c r="K6651" t="s">
        <v>29338</v>
      </c>
      <c r="M6651" t="s">
        <v>31789</v>
      </c>
      <c r="N6651" t="s">
        <v>32524</v>
      </c>
      <c r="O6651" t="s">
        <v>32525</v>
      </c>
      <c r="P6651">
        <v>0</v>
      </c>
      <c r="Q6651">
        <v>0</v>
      </c>
      <c r="R6651" t="s">
        <v>32532</v>
      </c>
      <c r="S6651" t="s">
        <v>32616</v>
      </c>
      <c r="T6651" t="s">
        <v>33296</v>
      </c>
      <c r="U6651" t="s">
        <v>39165</v>
      </c>
      <c r="W6651" t="s">
        <v>31789</v>
      </c>
      <c r="X6651" t="s">
        <v>32533</v>
      </c>
    </row>
    <row r="6652" spans="1:24">
      <c r="A6652">
        <f>HYPERLINK("https://www.philgeps.gov.ph/GEPSNONPILOT/Tender/SplashBidNoticeAbstractUI.aspx?menuIndex=3&amp;refID=7036893&amp;Result=3","7036893")</f>
        <v>0</v>
      </c>
      <c r="B6652" t="s">
        <v>992</v>
      </c>
      <c r="C6652" t="s">
        <v>3931</v>
      </c>
      <c r="D6652" t="s">
        <v>13024</v>
      </c>
      <c r="E6652" t="s">
        <v>18942</v>
      </c>
      <c r="F6652" t="s">
        <v>22436</v>
      </c>
      <c r="G6652" t="s">
        <v>22444</v>
      </c>
      <c r="H6652" t="s">
        <v>22452</v>
      </c>
      <c r="I6652" t="s">
        <v>3529</v>
      </c>
      <c r="J6652" t="s">
        <v>26906</v>
      </c>
      <c r="K6652" t="s">
        <v>29434</v>
      </c>
      <c r="M6652" t="s">
        <v>30616</v>
      </c>
      <c r="N6652" t="s">
        <v>32524</v>
      </c>
      <c r="O6652" t="s">
        <v>32525</v>
      </c>
      <c r="P6652">
        <v>0</v>
      </c>
      <c r="Q6652">
        <v>0</v>
      </c>
      <c r="R6652" t="s">
        <v>32532</v>
      </c>
      <c r="S6652" t="s">
        <v>32616</v>
      </c>
      <c r="T6652" t="s">
        <v>33238</v>
      </c>
      <c r="U6652" t="s">
        <v>39180</v>
      </c>
      <c r="V6652" t="s">
        <v>42679</v>
      </c>
      <c r="W6652" t="s">
        <v>30616</v>
      </c>
      <c r="X6652" t="s">
        <v>32533</v>
      </c>
    </row>
    <row r="6653" spans="1:24">
      <c r="A6653">
        <f>HYPERLINK("https://www.philgeps.gov.ph/GEPSNONPILOT/Tender/SplashBidNoticeAbstractUI.aspx?menuIndex=3&amp;refID=7036900&amp;Result=3","7036900")</f>
        <v>0</v>
      </c>
      <c r="B6653" t="s">
        <v>2051</v>
      </c>
      <c r="C6653" t="s">
        <v>9044</v>
      </c>
      <c r="D6653" t="s">
        <v>13049</v>
      </c>
      <c r="E6653" t="s">
        <v>18943</v>
      </c>
      <c r="F6653" t="s">
        <v>22436</v>
      </c>
      <c r="G6653" t="s">
        <v>22444</v>
      </c>
      <c r="H6653" t="s">
        <v>22454</v>
      </c>
      <c r="I6653" t="s">
        <v>7738</v>
      </c>
      <c r="J6653" t="s">
        <v>22788</v>
      </c>
      <c r="K6653" t="s">
        <v>29336</v>
      </c>
      <c r="M6653" t="s">
        <v>31791</v>
      </c>
      <c r="N6653" t="s">
        <v>32524</v>
      </c>
      <c r="O6653" t="s">
        <v>32525</v>
      </c>
      <c r="P6653">
        <v>0</v>
      </c>
      <c r="Q6653">
        <v>0</v>
      </c>
      <c r="R6653" t="s">
        <v>32532</v>
      </c>
      <c r="S6653" t="s">
        <v>32616</v>
      </c>
      <c r="T6653" t="s">
        <v>33536</v>
      </c>
      <c r="U6653" t="s">
        <v>39203</v>
      </c>
      <c r="V6653" t="s">
        <v>43150</v>
      </c>
      <c r="W6653" t="s">
        <v>31791</v>
      </c>
      <c r="X6653" t="s">
        <v>32533</v>
      </c>
    </row>
    <row r="6654" spans="1:24">
      <c r="A6654">
        <f>HYPERLINK("https://www.philgeps.gov.ph/GEPSNONPILOT/Tender/SplashBidNoticeAbstractUI.aspx?menuIndex=3&amp;refID=7036976&amp;Result=3","7036976")</f>
        <v>0</v>
      </c>
      <c r="B6654" t="s">
        <v>1428</v>
      </c>
      <c r="C6654" t="s">
        <v>9045</v>
      </c>
      <c r="D6654" t="s">
        <v>13010</v>
      </c>
      <c r="E6654" t="s">
        <v>18944</v>
      </c>
      <c r="F6654" t="s">
        <v>22436</v>
      </c>
      <c r="G6654" t="s">
        <v>22444</v>
      </c>
      <c r="H6654" t="s">
        <v>22452</v>
      </c>
      <c r="I6654" t="s">
        <v>22474</v>
      </c>
      <c r="J6654" t="s">
        <v>26907</v>
      </c>
      <c r="K6654" t="s">
        <v>29341</v>
      </c>
      <c r="M6654" t="s">
        <v>31090</v>
      </c>
      <c r="N6654" t="s">
        <v>32524</v>
      </c>
      <c r="O6654" t="s">
        <v>32525</v>
      </c>
      <c r="P6654">
        <v>0</v>
      </c>
      <c r="Q6654">
        <v>3</v>
      </c>
      <c r="R6654" t="s">
        <v>32532</v>
      </c>
      <c r="S6654" t="s">
        <v>32616</v>
      </c>
      <c r="T6654" t="s">
        <v>33407</v>
      </c>
      <c r="U6654" t="s">
        <v>39204</v>
      </c>
      <c r="W6654" t="s">
        <v>31090</v>
      </c>
      <c r="X6654" t="s">
        <v>32533</v>
      </c>
    </row>
    <row r="6655" spans="1:24">
      <c r="A6655">
        <f>HYPERLINK("https://www.philgeps.gov.ph/GEPSNONPILOT/Tender/SplashBidNoticeAbstractUI.aspx?menuIndex=3&amp;refID=7036991&amp;Result=3","7036991")</f>
        <v>0</v>
      </c>
      <c r="B6655" t="s">
        <v>1497</v>
      </c>
      <c r="C6655" t="s">
        <v>9046</v>
      </c>
      <c r="D6655" t="s">
        <v>12988</v>
      </c>
      <c r="E6655" t="s">
        <v>18945</v>
      </c>
      <c r="F6655" t="s">
        <v>22436</v>
      </c>
      <c r="G6655" t="s">
        <v>22444</v>
      </c>
      <c r="H6655" t="s">
        <v>22452</v>
      </c>
      <c r="I6655" t="s">
        <v>2981</v>
      </c>
      <c r="J6655" t="s">
        <v>26908</v>
      </c>
      <c r="K6655" t="s">
        <v>29341</v>
      </c>
      <c r="M6655" t="s">
        <v>31785</v>
      </c>
      <c r="N6655" t="s">
        <v>32524</v>
      </c>
      <c r="O6655" t="s">
        <v>32525</v>
      </c>
      <c r="P6655">
        <v>0</v>
      </c>
      <c r="Q6655">
        <v>0</v>
      </c>
      <c r="R6655" t="s">
        <v>32532</v>
      </c>
      <c r="S6655" t="s">
        <v>32616</v>
      </c>
      <c r="T6655" t="s">
        <v>33238</v>
      </c>
      <c r="U6655" t="s">
        <v>37299</v>
      </c>
      <c r="W6655" t="s">
        <v>31785</v>
      </c>
      <c r="X6655" t="s">
        <v>32533</v>
      </c>
    </row>
    <row r="6656" spans="1:24">
      <c r="A6656">
        <f>HYPERLINK("https://www.philgeps.gov.ph/GEPSNONPILOT/Tender/SplashBidNoticeAbstractUI.aspx?menuIndex=3&amp;refID=7036987&amp;Result=3","7036987")</f>
        <v>0</v>
      </c>
      <c r="B6656" t="s">
        <v>2060</v>
      </c>
      <c r="C6656" t="s">
        <v>9047</v>
      </c>
      <c r="D6656" t="s">
        <v>13062</v>
      </c>
      <c r="E6656" t="s">
        <v>18507</v>
      </c>
      <c r="F6656" t="s">
        <v>22437</v>
      </c>
      <c r="G6656" t="s">
        <v>22444</v>
      </c>
      <c r="H6656" t="s">
        <v>22452</v>
      </c>
      <c r="I6656" t="s">
        <v>22483</v>
      </c>
      <c r="J6656" t="s">
        <v>26909</v>
      </c>
      <c r="K6656" t="s">
        <v>29338</v>
      </c>
      <c r="M6656" t="s">
        <v>31803</v>
      </c>
      <c r="N6656" t="s">
        <v>32524</v>
      </c>
      <c r="O6656" t="s">
        <v>32525</v>
      </c>
      <c r="P6656">
        <v>0</v>
      </c>
      <c r="Q6656">
        <v>1</v>
      </c>
      <c r="R6656" t="s">
        <v>32532</v>
      </c>
      <c r="S6656" t="s">
        <v>32616</v>
      </c>
      <c r="T6656" t="s">
        <v>33172</v>
      </c>
      <c r="U6656" t="s">
        <v>39205</v>
      </c>
      <c r="W6656" t="s">
        <v>31803</v>
      </c>
      <c r="X6656" t="s">
        <v>32533</v>
      </c>
    </row>
    <row r="6657" spans="1:24">
      <c r="A6657">
        <f>HYPERLINK("https://www.philgeps.gov.ph/GEPSNONPILOT/Tender/SplashBidNoticeAbstractUI.aspx?menuIndex=3&amp;refID=7036999&amp;Result=3","7036999")</f>
        <v>0</v>
      </c>
      <c r="B6657" t="s">
        <v>2061</v>
      </c>
      <c r="C6657" t="s">
        <v>6385</v>
      </c>
      <c r="D6657" t="s">
        <v>12990</v>
      </c>
      <c r="E6657" t="s">
        <v>18946</v>
      </c>
      <c r="F6657" t="s">
        <v>22436</v>
      </c>
      <c r="G6657" t="s">
        <v>22444</v>
      </c>
      <c r="H6657" t="s">
        <v>22452</v>
      </c>
      <c r="I6657" t="s">
        <v>6421</v>
      </c>
      <c r="J6657" t="s">
        <v>22706</v>
      </c>
      <c r="K6657" t="s">
        <v>29331</v>
      </c>
      <c r="M6657" t="s">
        <v>31804</v>
      </c>
      <c r="N6657" t="s">
        <v>32524</v>
      </c>
      <c r="O6657" t="s">
        <v>32525</v>
      </c>
      <c r="P6657">
        <v>0</v>
      </c>
      <c r="Q6657">
        <v>2</v>
      </c>
      <c r="R6657" t="s">
        <v>32532</v>
      </c>
      <c r="S6657" t="s">
        <v>32616</v>
      </c>
      <c r="T6657" t="s">
        <v>33310</v>
      </c>
      <c r="U6657" t="s">
        <v>39206</v>
      </c>
      <c r="W6657" t="s">
        <v>31804</v>
      </c>
      <c r="X6657" t="s">
        <v>32533</v>
      </c>
    </row>
    <row r="6658" spans="1:24">
      <c r="A6658">
        <f>HYPERLINK("https://www.philgeps.gov.ph/GEPSNONPILOT/Tender/SplashBidNoticeAbstractUI.aspx?menuIndex=3&amp;refID=7036977&amp;Result=3","7036977")</f>
        <v>0</v>
      </c>
      <c r="B6658" t="s">
        <v>1737</v>
      </c>
      <c r="C6658" t="s">
        <v>9048</v>
      </c>
      <c r="D6658" t="s">
        <v>13018</v>
      </c>
      <c r="E6658" t="s">
        <v>18947</v>
      </c>
      <c r="F6658" t="s">
        <v>22436</v>
      </c>
      <c r="G6658" t="s">
        <v>22444</v>
      </c>
      <c r="H6658" t="s">
        <v>22452</v>
      </c>
      <c r="I6658" t="s">
        <v>22495</v>
      </c>
      <c r="J6658" t="s">
        <v>23724</v>
      </c>
      <c r="K6658" t="s">
        <v>29341</v>
      </c>
      <c r="M6658" t="s">
        <v>31442</v>
      </c>
      <c r="N6658" t="s">
        <v>32524</v>
      </c>
      <c r="O6658" t="s">
        <v>32525</v>
      </c>
      <c r="P6658">
        <v>0</v>
      </c>
      <c r="Q6658">
        <v>0</v>
      </c>
      <c r="R6658" t="s">
        <v>32532</v>
      </c>
      <c r="S6658" t="s">
        <v>32616</v>
      </c>
      <c r="T6658" t="s">
        <v>33213</v>
      </c>
      <c r="U6658" t="s">
        <v>39207</v>
      </c>
      <c r="W6658" t="s">
        <v>31442</v>
      </c>
      <c r="X6658" t="s">
        <v>32533</v>
      </c>
    </row>
    <row r="6659" spans="1:24">
      <c r="A6659">
        <f>HYPERLINK("https://www.philgeps.gov.ph/GEPSNONPILOT/Tender/SplashBidNoticeAbstractUI.aspx?menuIndex=3&amp;refID=7036973&amp;Result=3","7036973")</f>
        <v>0</v>
      </c>
      <c r="B6659" t="s">
        <v>82</v>
      </c>
      <c r="C6659" t="s">
        <v>9049</v>
      </c>
      <c r="D6659" t="s">
        <v>13024</v>
      </c>
      <c r="E6659" t="s">
        <v>18948</v>
      </c>
      <c r="F6659" t="s">
        <v>22436</v>
      </c>
      <c r="G6659" t="s">
        <v>22443</v>
      </c>
      <c r="H6659" t="s">
        <v>22452</v>
      </c>
      <c r="I6659" t="s">
        <v>22456</v>
      </c>
      <c r="J6659" t="s">
        <v>22806</v>
      </c>
      <c r="K6659" t="s">
        <v>29336</v>
      </c>
      <c r="M6659" t="s">
        <v>29654</v>
      </c>
      <c r="N6659" t="s">
        <v>32524</v>
      </c>
      <c r="O6659" t="s">
        <v>32525</v>
      </c>
      <c r="P6659">
        <v>0</v>
      </c>
      <c r="Q6659">
        <v>0</v>
      </c>
      <c r="R6659" t="s">
        <v>32532</v>
      </c>
      <c r="S6659" t="s">
        <v>32616</v>
      </c>
      <c r="T6659" t="s">
        <v>33521</v>
      </c>
      <c r="U6659" t="s">
        <v>39155</v>
      </c>
      <c r="W6659" t="s">
        <v>29654</v>
      </c>
      <c r="X6659" t="s">
        <v>32533</v>
      </c>
    </row>
    <row r="6660" spans="1:24">
      <c r="A6660">
        <f>HYPERLINK("https://www.philgeps.gov.ph/GEPSNONPILOT/Tender/SplashBidNoticeAbstractUI.aspx?menuIndex=3&amp;refID=7037001&amp;Result=3","7037001")</f>
        <v>0</v>
      </c>
      <c r="B6660" t="s">
        <v>1182</v>
      </c>
      <c r="C6660" t="s">
        <v>9050</v>
      </c>
      <c r="D6660" t="s">
        <v>12993</v>
      </c>
      <c r="E6660" t="s">
        <v>18949</v>
      </c>
      <c r="F6660" t="s">
        <v>22436</v>
      </c>
      <c r="G6660" t="s">
        <v>22444</v>
      </c>
      <c r="H6660" t="s">
        <v>22454</v>
      </c>
      <c r="I6660" t="s">
        <v>7738</v>
      </c>
      <c r="J6660" t="s">
        <v>23111</v>
      </c>
      <c r="K6660" t="s">
        <v>29412</v>
      </c>
      <c r="M6660" t="s">
        <v>31415</v>
      </c>
      <c r="N6660" t="s">
        <v>32524</v>
      </c>
      <c r="O6660" t="s">
        <v>32525</v>
      </c>
      <c r="P6660">
        <v>0</v>
      </c>
      <c r="Q6660">
        <v>1</v>
      </c>
      <c r="R6660" t="s">
        <v>32532</v>
      </c>
      <c r="S6660" t="s">
        <v>32616</v>
      </c>
      <c r="T6660" t="s">
        <v>33237</v>
      </c>
      <c r="U6660" t="s">
        <v>39159</v>
      </c>
      <c r="V6660" t="s">
        <v>43144</v>
      </c>
      <c r="W6660" t="s">
        <v>43731</v>
      </c>
      <c r="X6660" t="s">
        <v>32533</v>
      </c>
    </row>
    <row r="6661" spans="1:24">
      <c r="A6661">
        <f>HYPERLINK("https://www.philgeps.gov.ph/GEPSNONPILOT/Tender/SplashBidNoticeAbstractUI.aspx?menuIndex=3&amp;refID=7036979&amp;Result=3","7036979")</f>
        <v>0</v>
      </c>
      <c r="B6661" t="s">
        <v>337</v>
      </c>
      <c r="C6661" t="s">
        <v>9051</v>
      </c>
      <c r="D6661" t="s">
        <v>13022</v>
      </c>
      <c r="E6661" t="s">
        <v>13106</v>
      </c>
      <c r="F6661" t="s">
        <v>22436</v>
      </c>
      <c r="G6661" t="s">
        <v>22444</v>
      </c>
      <c r="H6661" t="s">
        <v>22452</v>
      </c>
      <c r="I6661" t="s">
        <v>22474</v>
      </c>
      <c r="J6661" t="s">
        <v>26910</v>
      </c>
      <c r="K6661" t="s">
        <v>29335</v>
      </c>
      <c r="M6661" t="s">
        <v>29913</v>
      </c>
      <c r="N6661" t="s">
        <v>32524</v>
      </c>
      <c r="O6661" t="s">
        <v>32525</v>
      </c>
      <c r="P6661">
        <v>0</v>
      </c>
      <c r="Q6661">
        <v>1</v>
      </c>
      <c r="R6661" t="s">
        <v>32532</v>
      </c>
      <c r="S6661" t="s">
        <v>32616</v>
      </c>
      <c r="T6661" t="s">
        <v>33249</v>
      </c>
      <c r="U6661" t="s">
        <v>39208</v>
      </c>
      <c r="W6661" t="s">
        <v>29913</v>
      </c>
      <c r="X6661" t="s">
        <v>32533</v>
      </c>
    </row>
    <row r="6662" spans="1:24">
      <c r="A6662">
        <f>HYPERLINK("https://www.philgeps.gov.ph/GEPSNONPILOT/Tender/SplashBidNoticeAbstractUI.aspx?menuIndex=3&amp;refID=7036989&amp;Result=3","7036989")</f>
        <v>0</v>
      </c>
      <c r="B6662" t="s">
        <v>2050</v>
      </c>
      <c r="C6662" t="s">
        <v>9052</v>
      </c>
      <c r="D6662" t="s">
        <v>13040</v>
      </c>
      <c r="E6662" t="s">
        <v>18950</v>
      </c>
      <c r="F6662" t="s">
        <v>22436</v>
      </c>
      <c r="G6662" t="s">
        <v>22444</v>
      </c>
      <c r="H6662" t="s">
        <v>22454</v>
      </c>
      <c r="I6662" t="s">
        <v>7738</v>
      </c>
      <c r="J6662" t="s">
        <v>26911</v>
      </c>
      <c r="K6662" t="s">
        <v>29446</v>
      </c>
      <c r="M6662" t="s">
        <v>31790</v>
      </c>
      <c r="N6662" t="s">
        <v>32524</v>
      </c>
      <c r="O6662" t="s">
        <v>32525</v>
      </c>
      <c r="P6662">
        <v>0</v>
      </c>
      <c r="Q6662">
        <v>3</v>
      </c>
      <c r="R6662" t="s">
        <v>32532</v>
      </c>
      <c r="S6662" t="s">
        <v>32616</v>
      </c>
      <c r="T6662" t="s">
        <v>33242</v>
      </c>
      <c r="U6662" t="s">
        <v>39209</v>
      </c>
      <c r="W6662" t="s">
        <v>31790</v>
      </c>
      <c r="X6662" t="s">
        <v>32533</v>
      </c>
    </row>
    <row r="6663" spans="1:24">
      <c r="A6663">
        <f>HYPERLINK("https://www.philgeps.gov.ph/GEPSNONPILOT/Tender/SplashBidNoticeAbstractUI.aspx?menuIndex=3&amp;refID=7036971&amp;Result=3","7036971")</f>
        <v>0</v>
      </c>
      <c r="B6663" t="s">
        <v>2062</v>
      </c>
      <c r="C6663" t="s">
        <v>9053</v>
      </c>
      <c r="D6663" t="s">
        <v>13011</v>
      </c>
      <c r="E6663" t="s">
        <v>13743</v>
      </c>
      <c r="F6663" t="s">
        <v>22436</v>
      </c>
      <c r="G6663" t="s">
        <v>22444</v>
      </c>
      <c r="H6663" t="s">
        <v>22454</v>
      </c>
      <c r="I6663" t="s">
        <v>7738</v>
      </c>
      <c r="J6663" t="s">
        <v>26912</v>
      </c>
      <c r="K6663" t="s">
        <v>29335</v>
      </c>
      <c r="M6663" t="s">
        <v>31805</v>
      </c>
      <c r="N6663" t="s">
        <v>32524</v>
      </c>
      <c r="O6663" t="s">
        <v>32525</v>
      </c>
      <c r="P6663">
        <v>0</v>
      </c>
      <c r="Q6663">
        <v>0</v>
      </c>
      <c r="R6663" t="s">
        <v>32532</v>
      </c>
      <c r="S6663" t="s">
        <v>32616</v>
      </c>
      <c r="T6663" t="s">
        <v>33218</v>
      </c>
      <c r="U6663" t="s">
        <v>39210</v>
      </c>
      <c r="W6663" t="s">
        <v>31805</v>
      </c>
      <c r="X6663" t="s">
        <v>32533</v>
      </c>
    </row>
    <row r="6664" spans="1:24">
      <c r="A6664">
        <f>HYPERLINK("https://www.philgeps.gov.ph/GEPSNONPILOT/Tender/SplashBidNoticeAbstractUI.aspx?menuIndex=3&amp;refID=7036974&amp;Result=3","7036974")</f>
        <v>0</v>
      </c>
      <c r="B6664" t="s">
        <v>1450</v>
      </c>
      <c r="C6664" t="s">
        <v>9054</v>
      </c>
      <c r="D6664" t="s">
        <v>13011</v>
      </c>
      <c r="E6664" t="s">
        <v>18951</v>
      </c>
      <c r="F6664" t="s">
        <v>22436</v>
      </c>
      <c r="G6664" t="s">
        <v>22444</v>
      </c>
      <c r="H6664" t="s">
        <v>22454</v>
      </c>
      <c r="I6664" t="s">
        <v>7738</v>
      </c>
      <c r="J6664" t="s">
        <v>25899</v>
      </c>
      <c r="K6664" t="s">
        <v>29492</v>
      </c>
      <c r="M6664" t="s">
        <v>31114</v>
      </c>
      <c r="N6664" t="s">
        <v>32524</v>
      </c>
      <c r="O6664" t="s">
        <v>32525</v>
      </c>
      <c r="P6664">
        <v>0</v>
      </c>
      <c r="Q6664">
        <v>3</v>
      </c>
      <c r="R6664" t="s">
        <v>32532</v>
      </c>
      <c r="S6664" t="s">
        <v>32616</v>
      </c>
      <c r="T6664" t="s">
        <v>33340</v>
      </c>
      <c r="U6664" t="s">
        <v>39130</v>
      </c>
      <c r="W6664" t="s">
        <v>31114</v>
      </c>
      <c r="X6664" t="s">
        <v>32533</v>
      </c>
    </row>
    <row r="6665" spans="1:24">
      <c r="A6665">
        <f>HYPERLINK("https://www.philgeps.gov.ph/GEPSNONPILOT/Tender/SplashBidNoticeAbstractUI.aspx?menuIndex=3&amp;refID=7036993&amp;Result=3","7036993")</f>
        <v>0</v>
      </c>
      <c r="B6665" t="s">
        <v>1932</v>
      </c>
      <c r="C6665" t="s">
        <v>9055</v>
      </c>
      <c r="D6665" t="s">
        <v>13040</v>
      </c>
      <c r="E6665" t="s">
        <v>18952</v>
      </c>
      <c r="F6665" t="s">
        <v>22436</v>
      </c>
      <c r="G6665" t="s">
        <v>22444</v>
      </c>
      <c r="H6665" t="s">
        <v>22454</v>
      </c>
      <c r="I6665" t="s">
        <v>7738</v>
      </c>
      <c r="J6665" t="s">
        <v>22779</v>
      </c>
      <c r="K6665" t="s">
        <v>29373</v>
      </c>
      <c r="M6665" t="s">
        <v>31660</v>
      </c>
      <c r="N6665" t="s">
        <v>32524</v>
      </c>
      <c r="O6665" t="s">
        <v>32525</v>
      </c>
      <c r="P6665">
        <v>0</v>
      </c>
      <c r="Q6665">
        <v>0</v>
      </c>
      <c r="R6665" t="s">
        <v>32532</v>
      </c>
      <c r="S6665" t="s">
        <v>32616</v>
      </c>
      <c r="T6665" t="s">
        <v>33486</v>
      </c>
      <c r="U6665" t="s">
        <v>39211</v>
      </c>
      <c r="W6665" t="s">
        <v>43737</v>
      </c>
      <c r="X6665" t="s">
        <v>32533</v>
      </c>
    </row>
    <row r="6666" spans="1:24">
      <c r="A6666">
        <f>HYPERLINK("https://www.philgeps.gov.ph/GEPSNONPILOT/Tender/SplashBidNoticeAbstractUI.aspx?menuIndex=3&amp;refID=7036961&amp;Result=3","7036961")</f>
        <v>0</v>
      </c>
      <c r="B6666" t="s">
        <v>1571</v>
      </c>
      <c r="C6666" t="s">
        <v>9056</v>
      </c>
      <c r="D6666" t="s">
        <v>13022</v>
      </c>
      <c r="E6666" t="s">
        <v>18953</v>
      </c>
      <c r="F6666" t="s">
        <v>22436</v>
      </c>
      <c r="G6666" t="s">
        <v>22444</v>
      </c>
      <c r="H6666" t="s">
        <v>22454</v>
      </c>
      <c r="I6666" t="s">
        <v>7738</v>
      </c>
      <c r="J6666" t="s">
        <v>22634</v>
      </c>
      <c r="K6666" t="s">
        <v>29333</v>
      </c>
      <c r="M6666" t="s">
        <v>31253</v>
      </c>
      <c r="N6666" t="s">
        <v>32524</v>
      </c>
      <c r="O6666" t="s">
        <v>32525</v>
      </c>
      <c r="P6666">
        <v>0</v>
      </c>
      <c r="Q6666">
        <v>1</v>
      </c>
      <c r="R6666" t="s">
        <v>32532</v>
      </c>
      <c r="S6666" t="s">
        <v>32616</v>
      </c>
      <c r="T6666" t="s">
        <v>33234</v>
      </c>
      <c r="U6666" t="s">
        <v>39212</v>
      </c>
      <c r="W6666" t="s">
        <v>31253</v>
      </c>
      <c r="X6666" t="s">
        <v>32533</v>
      </c>
    </row>
    <row r="6667" spans="1:24">
      <c r="A6667">
        <f>HYPERLINK("https://www.philgeps.gov.ph/GEPSNONPILOT/Tender/SplashBidNoticeAbstractUI.aspx?menuIndex=3&amp;refID=7036966&amp;Result=3","7036966")</f>
        <v>0</v>
      </c>
      <c r="B6667" t="s">
        <v>2063</v>
      </c>
      <c r="C6667" t="s">
        <v>9057</v>
      </c>
      <c r="D6667" t="s">
        <v>13050</v>
      </c>
      <c r="E6667" t="s">
        <v>13700</v>
      </c>
      <c r="F6667" t="s">
        <v>22436</v>
      </c>
      <c r="G6667" t="s">
        <v>22446</v>
      </c>
      <c r="H6667" t="s">
        <v>22454</v>
      </c>
      <c r="I6667" t="s">
        <v>7738</v>
      </c>
      <c r="J6667" t="s">
        <v>24113</v>
      </c>
      <c r="K6667" t="s">
        <v>29336</v>
      </c>
      <c r="M6667" t="s">
        <v>31806</v>
      </c>
      <c r="N6667" t="s">
        <v>32524</v>
      </c>
      <c r="O6667" t="s">
        <v>32525</v>
      </c>
      <c r="P6667">
        <v>0</v>
      </c>
      <c r="Q6667">
        <v>0</v>
      </c>
      <c r="R6667" t="s">
        <v>32532</v>
      </c>
      <c r="S6667" t="s">
        <v>32616</v>
      </c>
      <c r="T6667" t="s">
        <v>33197</v>
      </c>
      <c r="U6667" t="s">
        <v>39213</v>
      </c>
      <c r="W6667" t="s">
        <v>31806</v>
      </c>
      <c r="X6667" t="s">
        <v>32533</v>
      </c>
    </row>
    <row r="6668" spans="1:24">
      <c r="A6668">
        <f>HYPERLINK("https://www.philgeps.gov.ph/GEPSNONPILOT/Tender/SplashBidNoticeAbstractUI.aspx?menuIndex=3&amp;refID=7036959&amp;Result=3","7036959")</f>
        <v>0</v>
      </c>
      <c r="B6668" t="s">
        <v>2050</v>
      </c>
      <c r="C6668" t="s">
        <v>9058</v>
      </c>
      <c r="D6668" t="s">
        <v>13040</v>
      </c>
      <c r="E6668" t="s">
        <v>18954</v>
      </c>
      <c r="F6668" t="s">
        <v>22436</v>
      </c>
      <c r="G6668" t="s">
        <v>22444</v>
      </c>
      <c r="H6668" t="s">
        <v>22454</v>
      </c>
      <c r="I6668" t="s">
        <v>7738</v>
      </c>
      <c r="J6668" t="s">
        <v>26911</v>
      </c>
      <c r="K6668" t="s">
        <v>29446</v>
      </c>
      <c r="M6668" t="s">
        <v>31790</v>
      </c>
      <c r="N6668" t="s">
        <v>32524</v>
      </c>
      <c r="O6668" t="s">
        <v>32525</v>
      </c>
      <c r="P6668">
        <v>0</v>
      </c>
      <c r="Q6668">
        <v>3</v>
      </c>
      <c r="R6668" t="s">
        <v>32532</v>
      </c>
      <c r="S6668" t="s">
        <v>32616</v>
      </c>
      <c r="T6668" t="s">
        <v>33242</v>
      </c>
      <c r="U6668" t="s">
        <v>39214</v>
      </c>
      <c r="W6668" t="s">
        <v>31790</v>
      </c>
      <c r="X6668" t="s">
        <v>32533</v>
      </c>
    </row>
    <row r="6669" spans="1:24">
      <c r="A6669">
        <f>HYPERLINK("https://www.philgeps.gov.ph/GEPSNONPILOT/Tender/SplashBidNoticeAbstractUI.aspx?menuIndex=3&amp;refID=7036998&amp;Result=3","7036998")</f>
        <v>0</v>
      </c>
      <c r="B6669" t="s">
        <v>82</v>
      </c>
      <c r="C6669" t="s">
        <v>9059</v>
      </c>
      <c r="D6669" t="s">
        <v>13024</v>
      </c>
      <c r="E6669" t="s">
        <v>18955</v>
      </c>
      <c r="F6669" t="s">
        <v>22436</v>
      </c>
      <c r="G6669" t="s">
        <v>22447</v>
      </c>
      <c r="H6669" t="s">
        <v>22452</v>
      </c>
      <c r="I6669" t="s">
        <v>22565</v>
      </c>
      <c r="J6669" t="s">
        <v>22616</v>
      </c>
      <c r="K6669" t="s">
        <v>29336</v>
      </c>
      <c r="M6669" t="s">
        <v>29654</v>
      </c>
      <c r="N6669" t="s">
        <v>32524</v>
      </c>
      <c r="O6669" t="s">
        <v>32525</v>
      </c>
      <c r="P6669">
        <v>0</v>
      </c>
      <c r="Q6669">
        <v>0</v>
      </c>
      <c r="R6669" t="s">
        <v>32532</v>
      </c>
      <c r="S6669" t="s">
        <v>32616</v>
      </c>
      <c r="T6669" t="s">
        <v>33521</v>
      </c>
      <c r="U6669" t="s">
        <v>39215</v>
      </c>
      <c r="W6669" t="s">
        <v>29654</v>
      </c>
      <c r="X6669" t="s">
        <v>32533</v>
      </c>
    </row>
    <row r="6670" spans="1:24">
      <c r="A6670">
        <f>HYPERLINK("https://www.philgeps.gov.ph/GEPSNONPILOT/Tender/SplashBidNoticeAbstractUI.aspx?menuIndex=3&amp;refID=7036956&amp;Result=3","7036956")</f>
        <v>0</v>
      </c>
      <c r="B6670" t="s">
        <v>2039</v>
      </c>
      <c r="C6670" t="s">
        <v>9060</v>
      </c>
      <c r="D6670" t="s">
        <v>13003</v>
      </c>
      <c r="E6670" t="s">
        <v>18956</v>
      </c>
      <c r="F6670" t="s">
        <v>22436</v>
      </c>
      <c r="G6670" t="s">
        <v>22444</v>
      </c>
      <c r="H6670" t="s">
        <v>22452</v>
      </c>
      <c r="I6670" t="s">
        <v>6421</v>
      </c>
      <c r="J6670" t="s">
        <v>26913</v>
      </c>
      <c r="K6670" t="s">
        <v>29336</v>
      </c>
      <c r="M6670" t="s">
        <v>31802</v>
      </c>
      <c r="N6670" t="s">
        <v>32524</v>
      </c>
      <c r="O6670" t="s">
        <v>32525</v>
      </c>
      <c r="P6670">
        <v>0</v>
      </c>
      <c r="Q6670">
        <v>1</v>
      </c>
      <c r="R6670" t="s">
        <v>32532</v>
      </c>
      <c r="S6670" t="s">
        <v>32616</v>
      </c>
      <c r="T6670" t="s">
        <v>33270</v>
      </c>
      <c r="U6670" t="s">
        <v>39216</v>
      </c>
      <c r="W6670" t="s">
        <v>31802</v>
      </c>
      <c r="X6670" t="s">
        <v>32533</v>
      </c>
    </row>
    <row r="6671" spans="1:24">
      <c r="A6671">
        <f>HYPERLINK("https://www.philgeps.gov.ph/GEPSNONPILOT/Tender/SplashBidNoticeAbstractUI.aspx?menuIndex=3&amp;refID=7036960&amp;Result=3","7036960")</f>
        <v>0</v>
      </c>
      <c r="B6671" t="s">
        <v>332</v>
      </c>
      <c r="C6671" t="s">
        <v>9061</v>
      </c>
      <c r="D6671" t="s">
        <v>13013</v>
      </c>
      <c r="E6671" t="s">
        <v>18957</v>
      </c>
      <c r="F6671" t="s">
        <v>22436</v>
      </c>
      <c r="G6671" t="s">
        <v>22443</v>
      </c>
      <c r="H6671" t="s">
        <v>22452</v>
      </c>
      <c r="I6671" t="s">
        <v>22456</v>
      </c>
      <c r="J6671" t="s">
        <v>26914</v>
      </c>
      <c r="K6671" t="s">
        <v>29344</v>
      </c>
      <c r="M6671" t="s">
        <v>29908</v>
      </c>
      <c r="N6671" t="s">
        <v>32524</v>
      </c>
      <c r="O6671" t="s">
        <v>32525</v>
      </c>
      <c r="P6671">
        <v>0</v>
      </c>
      <c r="Q6671">
        <v>7</v>
      </c>
      <c r="R6671" t="s">
        <v>32532</v>
      </c>
      <c r="S6671" t="s">
        <v>32616</v>
      </c>
      <c r="T6671" t="s">
        <v>33185</v>
      </c>
      <c r="U6671" t="s">
        <v>39217</v>
      </c>
      <c r="W6671" t="s">
        <v>43678</v>
      </c>
      <c r="X6671" t="s">
        <v>32533</v>
      </c>
    </row>
    <row r="6672" spans="1:24">
      <c r="A6672">
        <f>HYPERLINK("https://www.philgeps.gov.ph/GEPSNONPILOT/Tender/SplashBidNoticeAbstractUI.aspx?menuIndex=3&amp;refID=7037011&amp;Result=3","7037011")</f>
        <v>0</v>
      </c>
      <c r="B6672" t="s">
        <v>2050</v>
      </c>
      <c r="C6672" t="s">
        <v>9062</v>
      </c>
      <c r="D6672" t="s">
        <v>13040</v>
      </c>
      <c r="E6672" t="s">
        <v>18958</v>
      </c>
      <c r="F6672" t="s">
        <v>22436</v>
      </c>
      <c r="G6672" t="s">
        <v>22444</v>
      </c>
      <c r="H6672" t="s">
        <v>22454</v>
      </c>
      <c r="I6672" t="s">
        <v>7738</v>
      </c>
      <c r="J6672" t="s">
        <v>23365</v>
      </c>
      <c r="K6672" t="s">
        <v>29360</v>
      </c>
      <c r="M6672" t="s">
        <v>31790</v>
      </c>
      <c r="N6672" t="s">
        <v>32524</v>
      </c>
      <c r="O6672" t="s">
        <v>32525</v>
      </c>
      <c r="P6672">
        <v>0</v>
      </c>
      <c r="Q6672">
        <v>3</v>
      </c>
      <c r="R6672" t="s">
        <v>32532</v>
      </c>
      <c r="S6672" t="s">
        <v>32616</v>
      </c>
      <c r="T6672" t="s">
        <v>33242</v>
      </c>
      <c r="U6672" t="s">
        <v>39218</v>
      </c>
      <c r="W6672" t="s">
        <v>31790</v>
      </c>
      <c r="X6672" t="s">
        <v>32533</v>
      </c>
    </row>
    <row r="6673" spans="1:24">
      <c r="A6673">
        <f>HYPERLINK("https://www.philgeps.gov.ph/GEPSNONPILOT/Tender/SplashBidNoticeAbstractUI.aspx?menuIndex=3&amp;refID=7036949&amp;Result=3","7036949")</f>
        <v>0</v>
      </c>
      <c r="B6673" t="s">
        <v>82</v>
      </c>
      <c r="C6673" t="s">
        <v>9063</v>
      </c>
      <c r="D6673" t="s">
        <v>13024</v>
      </c>
      <c r="E6673" t="s">
        <v>18959</v>
      </c>
      <c r="F6673" t="s">
        <v>22436</v>
      </c>
      <c r="G6673" t="s">
        <v>22443</v>
      </c>
      <c r="H6673" t="s">
        <v>22452</v>
      </c>
      <c r="I6673" t="s">
        <v>12358</v>
      </c>
      <c r="J6673" t="s">
        <v>22588</v>
      </c>
      <c r="K6673" t="s">
        <v>29336</v>
      </c>
      <c r="M6673" t="s">
        <v>29654</v>
      </c>
      <c r="N6673" t="s">
        <v>32524</v>
      </c>
      <c r="O6673" t="s">
        <v>32525</v>
      </c>
      <c r="P6673">
        <v>0</v>
      </c>
      <c r="Q6673">
        <v>1</v>
      </c>
      <c r="R6673" t="s">
        <v>32532</v>
      </c>
      <c r="S6673" t="s">
        <v>32616</v>
      </c>
      <c r="T6673" t="s">
        <v>33521</v>
      </c>
      <c r="U6673" t="s">
        <v>39219</v>
      </c>
      <c r="W6673" t="s">
        <v>29654</v>
      </c>
      <c r="X6673" t="s">
        <v>32533</v>
      </c>
    </row>
    <row r="6674" spans="1:24">
      <c r="A6674">
        <f>HYPERLINK("https://www.philgeps.gov.ph/GEPSNONPILOT/Tender/SplashBidNoticeAbstractUI.aspx?menuIndex=3&amp;refID=7037007&amp;Result=3","7037007")</f>
        <v>0</v>
      </c>
      <c r="B6674" t="s">
        <v>1737</v>
      </c>
      <c r="C6674" t="s">
        <v>9064</v>
      </c>
      <c r="D6674" t="s">
        <v>13018</v>
      </c>
      <c r="E6674" t="s">
        <v>18960</v>
      </c>
      <c r="F6674" t="s">
        <v>22436</v>
      </c>
      <c r="G6674" t="s">
        <v>22444</v>
      </c>
      <c r="H6674" t="s">
        <v>22452</v>
      </c>
      <c r="I6674" t="s">
        <v>3827</v>
      </c>
      <c r="J6674" t="s">
        <v>24694</v>
      </c>
      <c r="K6674" t="s">
        <v>29341</v>
      </c>
      <c r="M6674" t="s">
        <v>31442</v>
      </c>
      <c r="N6674" t="s">
        <v>32524</v>
      </c>
      <c r="O6674" t="s">
        <v>32525</v>
      </c>
      <c r="P6674">
        <v>0</v>
      </c>
      <c r="Q6674">
        <v>0</v>
      </c>
      <c r="R6674" t="s">
        <v>32532</v>
      </c>
      <c r="S6674" t="s">
        <v>32616</v>
      </c>
      <c r="T6674" t="s">
        <v>33213</v>
      </c>
      <c r="U6674" t="s">
        <v>39220</v>
      </c>
      <c r="W6674" t="s">
        <v>31442</v>
      </c>
      <c r="X6674" t="s">
        <v>32533</v>
      </c>
    </row>
    <row r="6675" spans="1:24">
      <c r="A6675">
        <f>HYPERLINK("https://www.philgeps.gov.ph/GEPSNONPILOT/Tender/SplashBidNoticeAbstractUI.aspx?menuIndex=3&amp;refID=7037033&amp;Result=3","7037033")</f>
        <v>0</v>
      </c>
      <c r="B6675" t="s">
        <v>1737</v>
      </c>
      <c r="C6675" t="s">
        <v>9065</v>
      </c>
      <c r="D6675" t="s">
        <v>13018</v>
      </c>
      <c r="E6675" t="s">
        <v>18961</v>
      </c>
      <c r="F6675" t="s">
        <v>22436</v>
      </c>
      <c r="G6675" t="s">
        <v>22444</v>
      </c>
      <c r="H6675" t="s">
        <v>22452</v>
      </c>
      <c r="I6675" t="s">
        <v>22460</v>
      </c>
      <c r="J6675" t="s">
        <v>26915</v>
      </c>
      <c r="K6675" t="s">
        <v>29341</v>
      </c>
      <c r="M6675" t="s">
        <v>31442</v>
      </c>
      <c r="N6675" t="s">
        <v>32524</v>
      </c>
      <c r="O6675" t="s">
        <v>32525</v>
      </c>
      <c r="P6675">
        <v>0</v>
      </c>
      <c r="Q6675">
        <v>0</v>
      </c>
      <c r="R6675" t="s">
        <v>32532</v>
      </c>
      <c r="S6675" t="s">
        <v>32616</v>
      </c>
      <c r="T6675" t="s">
        <v>33213</v>
      </c>
      <c r="U6675" t="s">
        <v>39221</v>
      </c>
      <c r="W6675" t="s">
        <v>31442</v>
      </c>
      <c r="X6675" t="s">
        <v>32533</v>
      </c>
    </row>
    <row r="6676" spans="1:24">
      <c r="A6676">
        <f>HYPERLINK("https://www.philgeps.gov.ph/GEPSNONPILOT/Tender/SplashBidNoticeAbstractUI.aspx?menuIndex=3&amp;refID=7037005&amp;Result=3","7037005")</f>
        <v>0</v>
      </c>
      <c r="B6676" t="s">
        <v>83</v>
      </c>
      <c r="C6676" t="s">
        <v>9066</v>
      </c>
      <c r="D6676" t="s">
        <v>12988</v>
      </c>
      <c r="E6676" t="s">
        <v>18962</v>
      </c>
      <c r="F6676" t="s">
        <v>22436</v>
      </c>
      <c r="G6676" t="s">
        <v>22443</v>
      </c>
      <c r="H6676" t="s">
        <v>22452</v>
      </c>
      <c r="I6676" t="s">
        <v>22512</v>
      </c>
      <c r="J6676" t="s">
        <v>26916</v>
      </c>
      <c r="K6676" t="s">
        <v>29336</v>
      </c>
      <c r="M6676" t="s">
        <v>29655</v>
      </c>
      <c r="N6676" t="s">
        <v>32524</v>
      </c>
      <c r="O6676" t="s">
        <v>32525</v>
      </c>
      <c r="P6676">
        <v>0</v>
      </c>
      <c r="Q6676">
        <v>0</v>
      </c>
      <c r="R6676" t="s">
        <v>32532</v>
      </c>
      <c r="S6676" t="s">
        <v>32616</v>
      </c>
      <c r="T6676" t="s">
        <v>33220</v>
      </c>
      <c r="U6676" t="s">
        <v>39222</v>
      </c>
      <c r="W6676" t="s">
        <v>29655</v>
      </c>
      <c r="X6676" t="s">
        <v>32533</v>
      </c>
    </row>
    <row r="6677" spans="1:24">
      <c r="A6677">
        <f>HYPERLINK("https://www.philgeps.gov.ph/GEPSNONPILOT/Tender/SplashBidNoticeAbstractUI.aspx?menuIndex=3&amp;refID=7037035&amp;Result=3","7037035")</f>
        <v>0</v>
      </c>
      <c r="B6677" t="s">
        <v>941</v>
      </c>
      <c r="C6677" t="s">
        <v>9067</v>
      </c>
      <c r="D6677" t="s">
        <v>13006</v>
      </c>
      <c r="E6677" t="s">
        <v>18963</v>
      </c>
      <c r="F6677" t="s">
        <v>22436</v>
      </c>
      <c r="G6677" t="s">
        <v>22444</v>
      </c>
      <c r="H6677" t="s">
        <v>22452</v>
      </c>
      <c r="I6677" t="s">
        <v>22502</v>
      </c>
      <c r="J6677" t="s">
        <v>26917</v>
      </c>
      <c r="K6677" t="s">
        <v>29335</v>
      </c>
      <c r="M6677" t="s">
        <v>31639</v>
      </c>
      <c r="N6677" t="s">
        <v>32524</v>
      </c>
      <c r="O6677" t="s">
        <v>32525</v>
      </c>
      <c r="P6677">
        <v>0</v>
      </c>
      <c r="Q6677">
        <v>13</v>
      </c>
      <c r="R6677" t="s">
        <v>32532</v>
      </c>
      <c r="S6677" t="s">
        <v>32616</v>
      </c>
      <c r="T6677" t="s">
        <v>33242</v>
      </c>
      <c r="U6677" t="s">
        <v>39223</v>
      </c>
      <c r="V6677" t="s">
        <v>43151</v>
      </c>
      <c r="W6677" t="s">
        <v>31639</v>
      </c>
      <c r="X6677" t="s">
        <v>32533</v>
      </c>
    </row>
    <row r="6678" spans="1:24">
      <c r="A6678">
        <f>HYPERLINK("https://www.philgeps.gov.ph/GEPSNONPILOT/Tender/SplashBidNoticeAbstractUI.aspx?menuIndex=3&amp;refID=7036952&amp;Result=3","7036952")</f>
        <v>0</v>
      </c>
      <c r="B6678" t="s">
        <v>2060</v>
      </c>
      <c r="C6678" t="s">
        <v>9068</v>
      </c>
      <c r="D6678" t="s">
        <v>13062</v>
      </c>
      <c r="E6678" t="s">
        <v>18507</v>
      </c>
      <c r="F6678" t="s">
        <v>22437</v>
      </c>
      <c r="G6678" t="s">
        <v>22444</v>
      </c>
      <c r="H6678" t="s">
        <v>22452</v>
      </c>
      <c r="I6678" t="s">
        <v>22488</v>
      </c>
      <c r="J6678" t="s">
        <v>26918</v>
      </c>
      <c r="K6678" t="s">
        <v>29338</v>
      </c>
      <c r="M6678" t="s">
        <v>31803</v>
      </c>
      <c r="N6678" t="s">
        <v>32524</v>
      </c>
      <c r="O6678" t="s">
        <v>32525</v>
      </c>
      <c r="P6678">
        <v>0</v>
      </c>
      <c r="Q6678">
        <v>0</v>
      </c>
      <c r="R6678" t="s">
        <v>32532</v>
      </c>
      <c r="S6678" t="s">
        <v>32616</v>
      </c>
      <c r="T6678" t="s">
        <v>33172</v>
      </c>
      <c r="U6678" t="s">
        <v>39224</v>
      </c>
      <c r="W6678" t="s">
        <v>31803</v>
      </c>
      <c r="X6678" t="s">
        <v>32533</v>
      </c>
    </row>
    <row r="6679" spans="1:24">
      <c r="A6679">
        <f>HYPERLINK("https://www.philgeps.gov.ph/GEPSNONPILOT/Tender/SplashBidNoticeAbstractUI.aspx?menuIndex=3&amp;refID=7037010&amp;Result=3","7037010")</f>
        <v>0</v>
      </c>
      <c r="B6679" t="s">
        <v>2064</v>
      </c>
      <c r="C6679" t="s">
        <v>9069</v>
      </c>
      <c r="D6679" t="s">
        <v>12988</v>
      </c>
      <c r="E6679" t="s">
        <v>18964</v>
      </c>
      <c r="F6679" t="s">
        <v>22436</v>
      </c>
      <c r="G6679" t="s">
        <v>22444</v>
      </c>
      <c r="H6679" t="s">
        <v>22452</v>
      </c>
      <c r="I6679" t="s">
        <v>22502</v>
      </c>
      <c r="J6679" t="s">
        <v>24189</v>
      </c>
      <c r="K6679" t="s">
        <v>29333</v>
      </c>
      <c r="M6679" t="s">
        <v>31807</v>
      </c>
      <c r="N6679" t="s">
        <v>32524</v>
      </c>
      <c r="O6679" t="s">
        <v>32525</v>
      </c>
      <c r="P6679">
        <v>0</v>
      </c>
      <c r="Q6679">
        <v>8</v>
      </c>
      <c r="R6679" t="s">
        <v>32532</v>
      </c>
      <c r="S6679" t="s">
        <v>32616</v>
      </c>
      <c r="T6679" t="s">
        <v>33419</v>
      </c>
      <c r="U6679" t="s">
        <v>39225</v>
      </c>
      <c r="W6679" t="s">
        <v>31807</v>
      </c>
      <c r="X6679" t="s">
        <v>32533</v>
      </c>
    </row>
    <row r="6680" spans="1:24">
      <c r="A6680">
        <f>HYPERLINK("https://www.philgeps.gov.ph/GEPSNONPILOT/Tender/SplashBidNoticeAbstractUI.aspx?menuIndex=3&amp;refID=7037043&amp;Result=3","7037043")</f>
        <v>0</v>
      </c>
      <c r="B6680" t="s">
        <v>87</v>
      </c>
      <c r="C6680" t="s">
        <v>9070</v>
      </c>
      <c r="E6680" t="s">
        <v>18965</v>
      </c>
      <c r="F6680" t="s">
        <v>22436</v>
      </c>
      <c r="G6680" t="s">
        <v>22444</v>
      </c>
      <c r="H6680" t="s">
        <v>22454</v>
      </c>
      <c r="I6680" t="s">
        <v>7738</v>
      </c>
      <c r="J6680" t="s">
        <v>26919</v>
      </c>
      <c r="K6680" t="s">
        <v>29338</v>
      </c>
      <c r="M6680" t="s">
        <v>29659</v>
      </c>
      <c r="N6680" t="s">
        <v>32524</v>
      </c>
      <c r="O6680" t="s">
        <v>32525</v>
      </c>
      <c r="Q6680">
        <v>2</v>
      </c>
      <c r="R6680" t="s">
        <v>32532</v>
      </c>
      <c r="S6680" t="s">
        <v>32634</v>
      </c>
      <c r="T6680" t="s">
        <v>33242</v>
      </c>
      <c r="U6680" t="s">
        <v>39226</v>
      </c>
      <c r="W6680" t="s">
        <v>29659</v>
      </c>
      <c r="X6680" t="s">
        <v>32533</v>
      </c>
    </row>
    <row r="6681" spans="1:24">
      <c r="A6681">
        <f>HYPERLINK("https://www.philgeps.gov.ph/GEPSNONPILOT/Tender/SplashBidNoticeAbstractUI.aspx?menuIndex=3&amp;refID=7037030&amp;Result=3","7037030")</f>
        <v>0</v>
      </c>
      <c r="B6681" t="s">
        <v>2050</v>
      </c>
      <c r="C6681" t="s">
        <v>9071</v>
      </c>
      <c r="D6681" t="s">
        <v>13040</v>
      </c>
      <c r="E6681" t="s">
        <v>18966</v>
      </c>
      <c r="F6681" t="s">
        <v>22436</v>
      </c>
      <c r="G6681" t="s">
        <v>22444</v>
      </c>
      <c r="H6681" t="s">
        <v>22454</v>
      </c>
      <c r="I6681" t="s">
        <v>7738</v>
      </c>
      <c r="J6681" t="s">
        <v>23365</v>
      </c>
      <c r="K6681" t="s">
        <v>29360</v>
      </c>
      <c r="M6681" t="s">
        <v>31790</v>
      </c>
      <c r="N6681" t="s">
        <v>32524</v>
      </c>
      <c r="O6681" t="s">
        <v>32525</v>
      </c>
      <c r="P6681">
        <v>0</v>
      </c>
      <c r="Q6681">
        <v>3</v>
      </c>
      <c r="R6681" t="s">
        <v>32532</v>
      </c>
      <c r="S6681" t="s">
        <v>32616</v>
      </c>
      <c r="T6681" t="s">
        <v>33242</v>
      </c>
      <c r="U6681" t="s">
        <v>39227</v>
      </c>
      <c r="W6681" t="s">
        <v>31790</v>
      </c>
      <c r="X6681" t="s">
        <v>32533</v>
      </c>
    </row>
    <row r="6682" spans="1:24">
      <c r="A6682">
        <f>HYPERLINK("https://www.philgeps.gov.ph/GEPSNONPILOT/Tender/SplashBidNoticeAbstractUI.aspx?menuIndex=3&amp;refID=7037009&amp;Result=3","7037009")</f>
        <v>0</v>
      </c>
      <c r="B6682" t="s">
        <v>2065</v>
      </c>
      <c r="C6682" t="s">
        <v>9072</v>
      </c>
      <c r="D6682" t="s">
        <v>13000</v>
      </c>
      <c r="E6682" t="s">
        <v>18967</v>
      </c>
      <c r="F6682" t="s">
        <v>22436</v>
      </c>
      <c r="G6682" t="s">
        <v>22444</v>
      </c>
      <c r="H6682" t="s">
        <v>22455</v>
      </c>
      <c r="I6682" t="s">
        <v>22455</v>
      </c>
      <c r="J6682" t="s">
        <v>26920</v>
      </c>
      <c r="K6682" t="s">
        <v>29430</v>
      </c>
      <c r="M6682" t="s">
        <v>31808</v>
      </c>
      <c r="N6682" t="s">
        <v>32524</v>
      </c>
      <c r="O6682" t="s">
        <v>32525</v>
      </c>
      <c r="P6682">
        <v>0</v>
      </c>
      <c r="Q6682">
        <v>2</v>
      </c>
      <c r="R6682" t="s">
        <v>32532</v>
      </c>
      <c r="S6682" t="s">
        <v>32616</v>
      </c>
      <c r="T6682" t="s">
        <v>33181</v>
      </c>
      <c r="U6682" t="s">
        <v>39228</v>
      </c>
      <c r="W6682" t="s">
        <v>31808</v>
      </c>
      <c r="X6682" t="s">
        <v>32533</v>
      </c>
    </row>
    <row r="6683" spans="1:24">
      <c r="A6683">
        <f>HYPERLINK("https://www.philgeps.gov.ph/GEPSNONPILOT/Tender/SplashBidNoticeAbstractUI.aspx?menuIndex=3&amp;refID=7037037&amp;Result=3","7037037")</f>
        <v>0</v>
      </c>
      <c r="B6683" t="s">
        <v>2066</v>
      </c>
      <c r="C6683" t="s">
        <v>9073</v>
      </c>
      <c r="D6683" t="s">
        <v>13073</v>
      </c>
      <c r="E6683" t="s">
        <v>18968</v>
      </c>
      <c r="F6683" t="s">
        <v>22436</v>
      </c>
      <c r="G6683" t="s">
        <v>22444</v>
      </c>
      <c r="H6683" t="s">
        <v>22454</v>
      </c>
      <c r="I6683" t="s">
        <v>7738</v>
      </c>
      <c r="J6683" t="s">
        <v>26921</v>
      </c>
      <c r="K6683" t="s">
        <v>29333</v>
      </c>
      <c r="M6683" t="s">
        <v>31809</v>
      </c>
      <c r="N6683" t="s">
        <v>32524</v>
      </c>
      <c r="O6683" t="s">
        <v>32525</v>
      </c>
      <c r="P6683">
        <v>0</v>
      </c>
      <c r="Q6683">
        <v>0</v>
      </c>
      <c r="R6683" t="s">
        <v>32532</v>
      </c>
      <c r="S6683" t="s">
        <v>32616</v>
      </c>
      <c r="T6683" t="s">
        <v>33237</v>
      </c>
      <c r="U6683" t="s">
        <v>39229</v>
      </c>
      <c r="V6683" t="s">
        <v>43152</v>
      </c>
      <c r="W6683" t="s">
        <v>31809</v>
      </c>
      <c r="X6683" t="s">
        <v>32533</v>
      </c>
    </row>
    <row r="6684" spans="1:24">
      <c r="A6684">
        <f>HYPERLINK("https://www.philgeps.gov.ph/GEPSNONPILOT/Tender/SplashBidNoticeAbstractUI.aspx?menuIndex=3&amp;refID=7037029&amp;Result=3","7037029")</f>
        <v>0</v>
      </c>
      <c r="B6684" t="s">
        <v>2060</v>
      </c>
      <c r="C6684" t="s">
        <v>9074</v>
      </c>
      <c r="D6684" t="s">
        <v>13062</v>
      </c>
      <c r="E6684" t="s">
        <v>18507</v>
      </c>
      <c r="F6684" t="s">
        <v>22437</v>
      </c>
      <c r="G6684" t="s">
        <v>22444</v>
      </c>
      <c r="H6684" t="s">
        <v>22452</v>
      </c>
      <c r="I6684" t="s">
        <v>22488</v>
      </c>
      <c r="J6684" t="s">
        <v>26918</v>
      </c>
      <c r="K6684" t="s">
        <v>29338</v>
      </c>
      <c r="M6684" t="s">
        <v>31803</v>
      </c>
      <c r="N6684" t="s">
        <v>32524</v>
      </c>
      <c r="O6684" t="s">
        <v>32525</v>
      </c>
      <c r="P6684">
        <v>0</v>
      </c>
      <c r="Q6684">
        <v>0</v>
      </c>
      <c r="R6684" t="s">
        <v>32532</v>
      </c>
      <c r="S6684" t="s">
        <v>32616</v>
      </c>
      <c r="T6684" t="s">
        <v>33172</v>
      </c>
      <c r="U6684" t="s">
        <v>39224</v>
      </c>
      <c r="W6684" t="s">
        <v>31803</v>
      </c>
      <c r="X6684" t="s">
        <v>32533</v>
      </c>
    </row>
    <row r="6685" spans="1:24">
      <c r="A6685">
        <f>HYPERLINK("https://www.philgeps.gov.ph/GEPSNONPILOT/Tender/SplashBidNoticeAbstractUI.aspx?menuIndex=3&amp;refID=7037025&amp;Result=3","7037025")</f>
        <v>0</v>
      </c>
      <c r="B6685" t="s">
        <v>1497</v>
      </c>
      <c r="C6685" t="s">
        <v>9075</v>
      </c>
      <c r="D6685" t="s">
        <v>12988</v>
      </c>
      <c r="E6685" t="s">
        <v>18969</v>
      </c>
      <c r="F6685" t="s">
        <v>22436</v>
      </c>
      <c r="G6685" t="s">
        <v>22444</v>
      </c>
      <c r="H6685" t="s">
        <v>22452</v>
      </c>
      <c r="I6685" t="s">
        <v>2981</v>
      </c>
      <c r="J6685" t="s">
        <v>26922</v>
      </c>
      <c r="K6685" t="s">
        <v>29341</v>
      </c>
      <c r="M6685" t="s">
        <v>31785</v>
      </c>
      <c r="N6685" t="s">
        <v>32524</v>
      </c>
      <c r="O6685" t="s">
        <v>32525</v>
      </c>
      <c r="P6685">
        <v>0</v>
      </c>
      <c r="Q6685">
        <v>0</v>
      </c>
      <c r="R6685" t="s">
        <v>32532</v>
      </c>
      <c r="S6685" t="s">
        <v>32616</v>
      </c>
      <c r="T6685" t="s">
        <v>33238</v>
      </c>
      <c r="U6685" t="s">
        <v>37299</v>
      </c>
      <c r="W6685" t="s">
        <v>31785</v>
      </c>
      <c r="X6685" t="s">
        <v>32533</v>
      </c>
    </row>
    <row r="6686" spans="1:24">
      <c r="A6686">
        <f>HYPERLINK("https://www.philgeps.gov.ph/GEPSNONPILOT/Tender/SplashBidNoticeAbstractUI.aspx?menuIndex=3&amp;refID=7037023&amp;Result=3","7037023")</f>
        <v>0</v>
      </c>
      <c r="B6686" t="s">
        <v>2067</v>
      </c>
      <c r="C6686" t="s">
        <v>9076</v>
      </c>
      <c r="D6686" t="s">
        <v>12994</v>
      </c>
      <c r="E6686" t="s">
        <v>18970</v>
      </c>
      <c r="F6686" t="s">
        <v>22436</v>
      </c>
      <c r="G6686" t="s">
        <v>22443</v>
      </c>
      <c r="H6686" t="s">
        <v>22452</v>
      </c>
      <c r="I6686" t="s">
        <v>2962</v>
      </c>
      <c r="J6686" t="s">
        <v>26923</v>
      </c>
      <c r="K6686" t="s">
        <v>29336</v>
      </c>
      <c r="M6686" t="s">
        <v>31810</v>
      </c>
      <c r="N6686" t="s">
        <v>32524</v>
      </c>
      <c r="O6686" t="s">
        <v>32525</v>
      </c>
      <c r="P6686">
        <v>0</v>
      </c>
      <c r="Q6686">
        <v>0</v>
      </c>
      <c r="R6686" t="s">
        <v>32532</v>
      </c>
      <c r="S6686" t="s">
        <v>32616</v>
      </c>
      <c r="T6686" t="s">
        <v>33238</v>
      </c>
      <c r="U6686" t="s">
        <v>39230</v>
      </c>
      <c r="W6686" t="s">
        <v>31810</v>
      </c>
      <c r="X6686" t="s">
        <v>32533</v>
      </c>
    </row>
    <row r="6687" spans="1:24">
      <c r="A6687">
        <f>HYPERLINK("https://www.philgeps.gov.ph/GEPSNONPILOT/Tender/SplashBidNoticeAbstractUI.aspx?menuIndex=3&amp;refID=7037028&amp;Result=3","7037028")</f>
        <v>0</v>
      </c>
      <c r="B6687" t="s">
        <v>2068</v>
      </c>
      <c r="C6687" t="s">
        <v>9077</v>
      </c>
      <c r="D6687" t="s">
        <v>13006</v>
      </c>
      <c r="E6687" t="s">
        <v>18971</v>
      </c>
      <c r="F6687" t="s">
        <v>22436</v>
      </c>
      <c r="G6687" t="s">
        <v>22444</v>
      </c>
      <c r="H6687" t="s">
        <v>22452</v>
      </c>
      <c r="I6687" t="s">
        <v>12358</v>
      </c>
      <c r="J6687" t="s">
        <v>26924</v>
      </c>
      <c r="K6687" t="s">
        <v>29331</v>
      </c>
      <c r="M6687" t="s">
        <v>31811</v>
      </c>
      <c r="N6687" t="s">
        <v>32524</v>
      </c>
      <c r="O6687" t="s">
        <v>32525</v>
      </c>
      <c r="P6687">
        <v>0</v>
      </c>
      <c r="Q6687">
        <v>0</v>
      </c>
      <c r="R6687" t="s">
        <v>32532</v>
      </c>
      <c r="S6687" t="s">
        <v>32616</v>
      </c>
      <c r="T6687" t="s">
        <v>33296</v>
      </c>
      <c r="U6687" t="s">
        <v>39231</v>
      </c>
      <c r="W6687" t="s">
        <v>31811</v>
      </c>
      <c r="X6687" t="s">
        <v>32533</v>
      </c>
    </row>
    <row r="6688" spans="1:24">
      <c r="A6688">
        <f>HYPERLINK("https://www.philgeps.gov.ph/GEPSNONPILOT/Tender/SplashBidNoticeAbstractUI.aspx?menuIndex=3&amp;refID=7037015&amp;Result=3","7037015")</f>
        <v>0</v>
      </c>
      <c r="B6688" t="s">
        <v>1497</v>
      </c>
      <c r="C6688" t="s">
        <v>9078</v>
      </c>
      <c r="D6688" t="s">
        <v>12988</v>
      </c>
      <c r="E6688" t="s">
        <v>18972</v>
      </c>
      <c r="F6688" t="s">
        <v>22436</v>
      </c>
      <c r="G6688" t="s">
        <v>22444</v>
      </c>
      <c r="H6688" t="s">
        <v>22452</v>
      </c>
      <c r="I6688" t="s">
        <v>2981</v>
      </c>
      <c r="J6688" t="s">
        <v>22674</v>
      </c>
      <c r="K6688" t="s">
        <v>29341</v>
      </c>
      <c r="M6688" t="s">
        <v>31785</v>
      </c>
      <c r="N6688" t="s">
        <v>32524</v>
      </c>
      <c r="O6688" t="s">
        <v>32525</v>
      </c>
      <c r="P6688">
        <v>0</v>
      </c>
      <c r="Q6688">
        <v>0</v>
      </c>
      <c r="R6688" t="s">
        <v>32532</v>
      </c>
      <c r="S6688" t="s">
        <v>32616</v>
      </c>
      <c r="T6688" t="s">
        <v>33238</v>
      </c>
      <c r="U6688" t="s">
        <v>37299</v>
      </c>
      <c r="W6688" t="s">
        <v>31785</v>
      </c>
      <c r="X6688" t="s">
        <v>32533</v>
      </c>
    </row>
    <row r="6689" spans="1:24">
      <c r="A6689">
        <f>HYPERLINK("https://www.philgeps.gov.ph/GEPSNONPILOT/Tender/SplashBidNoticeAbstractUI.aspx?menuIndex=3&amp;refID=7037020&amp;Result=3","7037020")</f>
        <v>0</v>
      </c>
      <c r="B6689" t="s">
        <v>2069</v>
      </c>
      <c r="C6689" t="s">
        <v>9079</v>
      </c>
      <c r="E6689" t="s">
        <v>18973</v>
      </c>
      <c r="F6689" t="s">
        <v>22436</v>
      </c>
      <c r="G6689" t="s">
        <v>22444</v>
      </c>
      <c r="H6689" t="s">
        <v>22452</v>
      </c>
      <c r="I6689" t="s">
        <v>3529</v>
      </c>
      <c r="J6689" t="s">
        <v>26925</v>
      </c>
      <c r="K6689" t="s">
        <v>29335</v>
      </c>
      <c r="M6689" t="s">
        <v>31812</v>
      </c>
      <c r="N6689" t="s">
        <v>32524</v>
      </c>
      <c r="O6689" t="s">
        <v>32525</v>
      </c>
      <c r="P6689">
        <v>0</v>
      </c>
      <c r="Q6689">
        <v>0</v>
      </c>
      <c r="R6689" t="s">
        <v>32532</v>
      </c>
      <c r="S6689" t="s">
        <v>32616</v>
      </c>
      <c r="T6689" t="s">
        <v>33242</v>
      </c>
      <c r="U6689" t="s">
        <v>39232</v>
      </c>
      <c r="W6689" t="s">
        <v>31812</v>
      </c>
      <c r="X6689" t="s">
        <v>32533</v>
      </c>
    </row>
    <row r="6690" spans="1:24">
      <c r="A6690">
        <f>HYPERLINK("https://www.philgeps.gov.ph/GEPSNONPILOT/Tender/SplashBidNoticeAbstractUI.aspx?menuIndex=3&amp;refID=7036886&amp;Result=3","7036886")</f>
        <v>0</v>
      </c>
      <c r="B6690" t="s">
        <v>899</v>
      </c>
      <c r="C6690" t="s">
        <v>9080</v>
      </c>
      <c r="D6690" t="s">
        <v>13032</v>
      </c>
      <c r="E6690" t="s">
        <v>17600</v>
      </c>
      <c r="F6690" t="s">
        <v>22436</v>
      </c>
      <c r="G6690" t="s">
        <v>22444</v>
      </c>
      <c r="H6690" t="s">
        <v>22452</v>
      </c>
      <c r="I6690" t="s">
        <v>6421</v>
      </c>
      <c r="J6690" t="s">
        <v>23093</v>
      </c>
      <c r="K6690" t="s">
        <v>29336</v>
      </c>
      <c r="M6690" t="s">
        <v>30514</v>
      </c>
      <c r="N6690" t="s">
        <v>32524</v>
      </c>
      <c r="O6690" t="s">
        <v>32525</v>
      </c>
      <c r="P6690">
        <v>0</v>
      </c>
      <c r="Q6690">
        <v>2</v>
      </c>
      <c r="R6690" t="s">
        <v>32532</v>
      </c>
      <c r="S6690" t="s">
        <v>32616</v>
      </c>
      <c r="T6690" t="s">
        <v>33238</v>
      </c>
      <c r="U6690" t="s">
        <v>39233</v>
      </c>
      <c r="W6690" t="s">
        <v>30514</v>
      </c>
      <c r="X6690" t="s">
        <v>32533</v>
      </c>
    </row>
    <row r="6691" spans="1:24">
      <c r="A6691">
        <f>HYPERLINK("https://www.philgeps.gov.ph/GEPSNONPILOT/Tender/SplashBidNoticeAbstractUI.aspx?menuIndex=3&amp;refID=7037021&amp;Result=3","7037021")</f>
        <v>0</v>
      </c>
      <c r="B6691" t="s">
        <v>2070</v>
      </c>
      <c r="C6691" t="s">
        <v>9081</v>
      </c>
      <c r="D6691" t="s">
        <v>13050</v>
      </c>
      <c r="E6691" t="s">
        <v>18974</v>
      </c>
      <c r="F6691" t="s">
        <v>22436</v>
      </c>
      <c r="G6691" t="s">
        <v>22444</v>
      </c>
      <c r="H6691" t="s">
        <v>22452</v>
      </c>
      <c r="I6691" t="s">
        <v>3827</v>
      </c>
      <c r="J6691" t="s">
        <v>26926</v>
      </c>
      <c r="K6691" t="s">
        <v>29335</v>
      </c>
      <c r="M6691" t="s">
        <v>31813</v>
      </c>
      <c r="N6691" t="s">
        <v>32524</v>
      </c>
      <c r="O6691" t="s">
        <v>32525</v>
      </c>
      <c r="P6691">
        <v>0</v>
      </c>
      <c r="Q6691">
        <v>7</v>
      </c>
      <c r="R6691" t="s">
        <v>32532</v>
      </c>
      <c r="S6691" t="s">
        <v>32616</v>
      </c>
      <c r="T6691" t="s">
        <v>33340</v>
      </c>
      <c r="U6691" t="s">
        <v>39234</v>
      </c>
      <c r="W6691" t="s">
        <v>31813</v>
      </c>
      <c r="X6691" t="s">
        <v>32533</v>
      </c>
    </row>
    <row r="6692" spans="1:24">
      <c r="A6692">
        <f>HYPERLINK("https://www.philgeps.gov.ph/GEPSNONPILOT/Tender/SplashBidNoticeAbstractUI.aspx?menuIndex=3&amp;refID=7037014&amp;Result=3","7037014")</f>
        <v>0</v>
      </c>
      <c r="B6692" t="s">
        <v>526</v>
      </c>
      <c r="C6692" t="s">
        <v>9082</v>
      </c>
      <c r="D6692" t="s">
        <v>13006</v>
      </c>
      <c r="E6692" t="s">
        <v>18975</v>
      </c>
      <c r="F6692" t="s">
        <v>22436</v>
      </c>
      <c r="G6692" t="s">
        <v>22444</v>
      </c>
      <c r="H6692" t="s">
        <v>22454</v>
      </c>
      <c r="I6692" t="s">
        <v>7738</v>
      </c>
      <c r="J6692" t="s">
        <v>26927</v>
      </c>
      <c r="K6692" t="s">
        <v>29401</v>
      </c>
      <c r="M6692" t="s">
        <v>30110</v>
      </c>
      <c r="N6692" t="s">
        <v>32524</v>
      </c>
      <c r="O6692" t="s">
        <v>32525</v>
      </c>
      <c r="P6692">
        <v>0</v>
      </c>
      <c r="Q6692">
        <v>5</v>
      </c>
      <c r="R6692" t="s">
        <v>32532</v>
      </c>
      <c r="S6692" t="s">
        <v>32616</v>
      </c>
      <c r="T6692" t="s">
        <v>33242</v>
      </c>
      <c r="U6692" t="s">
        <v>39235</v>
      </c>
      <c r="W6692" t="s">
        <v>30110</v>
      </c>
      <c r="X6692" t="s">
        <v>32533</v>
      </c>
    </row>
    <row r="6693" spans="1:24">
      <c r="A6693">
        <f>HYPERLINK("https://www.philgeps.gov.ph/GEPSNONPILOT/Tender/SplashBidNoticeAbstractUI.aspx?menuIndex=3&amp;refID=7036833&amp;Result=3","7036833")</f>
        <v>0</v>
      </c>
      <c r="B6693" t="s">
        <v>1450</v>
      </c>
      <c r="C6693" t="s">
        <v>9083</v>
      </c>
      <c r="D6693" t="s">
        <v>13011</v>
      </c>
      <c r="E6693" t="s">
        <v>18976</v>
      </c>
      <c r="F6693" t="s">
        <v>22436</v>
      </c>
      <c r="G6693" t="s">
        <v>22444</v>
      </c>
      <c r="H6693" t="s">
        <v>22454</v>
      </c>
      <c r="I6693" t="s">
        <v>7738</v>
      </c>
      <c r="J6693" t="s">
        <v>25909</v>
      </c>
      <c r="K6693" t="s">
        <v>29344</v>
      </c>
      <c r="M6693" t="s">
        <v>31114</v>
      </c>
      <c r="N6693" t="s">
        <v>32524</v>
      </c>
      <c r="O6693" t="s">
        <v>32525</v>
      </c>
      <c r="P6693">
        <v>0</v>
      </c>
      <c r="Q6693">
        <v>0</v>
      </c>
      <c r="R6693" t="s">
        <v>32532</v>
      </c>
      <c r="S6693" t="s">
        <v>32616</v>
      </c>
      <c r="T6693" t="s">
        <v>33249</v>
      </c>
      <c r="U6693" t="s">
        <v>39130</v>
      </c>
      <c r="W6693" t="s">
        <v>31114</v>
      </c>
      <c r="X6693" t="s">
        <v>32533</v>
      </c>
    </row>
    <row r="6694" spans="1:24">
      <c r="A6694">
        <f>HYPERLINK("https://www.philgeps.gov.ph/GEPSNONPILOT/Tender/SplashBidNoticeAbstractUI.aspx?menuIndex=3&amp;refID=7037045&amp;Result=3","7037045")</f>
        <v>0</v>
      </c>
      <c r="B6694" t="s">
        <v>1244</v>
      </c>
      <c r="C6694" t="s">
        <v>9084</v>
      </c>
      <c r="E6694" t="s">
        <v>18977</v>
      </c>
      <c r="F6694" t="s">
        <v>22436</v>
      </c>
      <c r="G6694" t="s">
        <v>22444</v>
      </c>
      <c r="H6694" t="s">
        <v>22455</v>
      </c>
      <c r="I6694" t="s">
        <v>22455</v>
      </c>
      <c r="J6694" t="s">
        <v>26928</v>
      </c>
      <c r="K6694" t="s">
        <v>29338</v>
      </c>
      <c r="M6694" t="s">
        <v>30896</v>
      </c>
      <c r="N6694" t="s">
        <v>32524</v>
      </c>
      <c r="O6694" t="s">
        <v>32525</v>
      </c>
      <c r="P6694">
        <v>0</v>
      </c>
      <c r="Q6694">
        <v>1</v>
      </c>
      <c r="R6694" t="s">
        <v>32532</v>
      </c>
      <c r="S6694" t="s">
        <v>32616</v>
      </c>
      <c r="T6694" t="s">
        <v>33249</v>
      </c>
      <c r="U6694" t="s">
        <v>39236</v>
      </c>
      <c r="V6694" t="s">
        <v>43153</v>
      </c>
      <c r="W6694" t="s">
        <v>30896</v>
      </c>
      <c r="X6694" t="s">
        <v>32533</v>
      </c>
    </row>
    <row r="6695" spans="1:24">
      <c r="A6695">
        <f>HYPERLINK("https://www.philgeps.gov.ph/GEPSNONPILOT/Tender/SplashBidNoticeAbstractUI.aspx?menuIndex=3&amp;refID=7037012&amp;Result=3","7037012")</f>
        <v>0</v>
      </c>
      <c r="B6695" t="s">
        <v>2071</v>
      </c>
      <c r="C6695" t="s">
        <v>9085</v>
      </c>
      <c r="D6695" t="s">
        <v>13007</v>
      </c>
      <c r="E6695" t="s">
        <v>18978</v>
      </c>
      <c r="F6695" t="s">
        <v>22436</v>
      </c>
      <c r="G6695" t="s">
        <v>22444</v>
      </c>
      <c r="H6695" t="s">
        <v>22452</v>
      </c>
      <c r="I6695" t="s">
        <v>22465</v>
      </c>
      <c r="J6695" t="s">
        <v>26929</v>
      </c>
      <c r="K6695" t="s">
        <v>29337</v>
      </c>
      <c r="M6695" t="s">
        <v>31814</v>
      </c>
      <c r="N6695" t="s">
        <v>32524</v>
      </c>
      <c r="O6695" t="s">
        <v>32525</v>
      </c>
      <c r="P6695">
        <v>0</v>
      </c>
      <c r="Q6695">
        <v>0</v>
      </c>
      <c r="R6695" t="s">
        <v>32532</v>
      </c>
      <c r="S6695" t="s">
        <v>32616</v>
      </c>
      <c r="T6695" t="s">
        <v>33351</v>
      </c>
      <c r="U6695" t="s">
        <v>39237</v>
      </c>
      <c r="W6695" t="s">
        <v>31814</v>
      </c>
      <c r="X6695" t="s">
        <v>32533</v>
      </c>
    </row>
    <row r="6696" spans="1:24">
      <c r="A6696">
        <f>HYPERLINK("https://www.philgeps.gov.ph/GEPSNONPILOT/Tender/SplashBidNoticeAbstractUI.aspx?menuIndex=3&amp;refID=7037013&amp;Result=3","7037013")</f>
        <v>0</v>
      </c>
      <c r="B6696" t="s">
        <v>700</v>
      </c>
      <c r="C6696" t="s">
        <v>9086</v>
      </c>
      <c r="D6696" t="s">
        <v>12988</v>
      </c>
      <c r="E6696" t="s">
        <v>14974</v>
      </c>
      <c r="F6696" t="s">
        <v>22436</v>
      </c>
      <c r="G6696" t="s">
        <v>22444</v>
      </c>
      <c r="H6696" t="s">
        <v>22454</v>
      </c>
      <c r="I6696" t="s">
        <v>7738</v>
      </c>
      <c r="J6696" t="s">
        <v>26930</v>
      </c>
      <c r="K6696" t="s">
        <v>29345</v>
      </c>
      <c r="M6696" t="s">
        <v>31815</v>
      </c>
      <c r="N6696" t="s">
        <v>32524</v>
      </c>
      <c r="O6696" t="s">
        <v>32525</v>
      </c>
      <c r="P6696">
        <v>0</v>
      </c>
      <c r="Q6696">
        <v>5</v>
      </c>
      <c r="R6696" t="s">
        <v>32532</v>
      </c>
      <c r="S6696" t="s">
        <v>32616</v>
      </c>
      <c r="T6696" t="s">
        <v>33405</v>
      </c>
      <c r="U6696" t="s">
        <v>39238</v>
      </c>
      <c r="W6696" t="s">
        <v>31815</v>
      </c>
      <c r="X6696" t="s">
        <v>32533</v>
      </c>
    </row>
    <row r="6697" spans="1:24">
      <c r="A6697">
        <f>HYPERLINK("https://www.philgeps.gov.ph/GEPSNONPILOT/Tender/SplashBidNoticeAbstractUI.aspx?menuIndex=3&amp;refID=7037068&amp;Result=3","7037068")</f>
        <v>0</v>
      </c>
      <c r="B6697" t="s">
        <v>1737</v>
      </c>
      <c r="C6697" t="s">
        <v>9087</v>
      </c>
      <c r="D6697" t="s">
        <v>13018</v>
      </c>
      <c r="E6697" t="s">
        <v>18979</v>
      </c>
      <c r="F6697" t="s">
        <v>22436</v>
      </c>
      <c r="G6697" t="s">
        <v>22444</v>
      </c>
      <c r="H6697" t="s">
        <v>22452</v>
      </c>
      <c r="I6697" t="s">
        <v>2981</v>
      </c>
      <c r="J6697" t="s">
        <v>26931</v>
      </c>
      <c r="K6697" t="s">
        <v>29341</v>
      </c>
      <c r="M6697" t="s">
        <v>31442</v>
      </c>
      <c r="N6697" t="s">
        <v>32524</v>
      </c>
      <c r="O6697" t="s">
        <v>32525</v>
      </c>
      <c r="P6697">
        <v>0</v>
      </c>
      <c r="Q6697">
        <v>0</v>
      </c>
      <c r="R6697" t="s">
        <v>32532</v>
      </c>
      <c r="S6697" t="s">
        <v>32616</v>
      </c>
      <c r="T6697" t="s">
        <v>33213</v>
      </c>
      <c r="U6697" t="s">
        <v>39239</v>
      </c>
      <c r="W6697" t="s">
        <v>31442</v>
      </c>
      <c r="X6697" t="s">
        <v>32533</v>
      </c>
    </row>
    <row r="6698" spans="1:24">
      <c r="A6698">
        <f>HYPERLINK("https://www.philgeps.gov.ph/GEPSNONPILOT/Tender/SplashBidNoticeAbstractUI.aspx?menuIndex=3&amp;refID=7036885&amp;Result=3","7036885")</f>
        <v>0</v>
      </c>
      <c r="B6698" t="s">
        <v>1450</v>
      </c>
      <c r="C6698" t="s">
        <v>9088</v>
      </c>
      <c r="D6698" t="s">
        <v>13011</v>
      </c>
      <c r="E6698" t="s">
        <v>18980</v>
      </c>
      <c r="F6698" t="s">
        <v>22436</v>
      </c>
      <c r="G6698" t="s">
        <v>22444</v>
      </c>
      <c r="H6698" t="s">
        <v>22454</v>
      </c>
      <c r="I6698" t="s">
        <v>7738</v>
      </c>
      <c r="J6698" t="s">
        <v>25355</v>
      </c>
      <c r="K6698" t="s">
        <v>29345</v>
      </c>
      <c r="M6698" t="s">
        <v>31114</v>
      </c>
      <c r="N6698" t="s">
        <v>32524</v>
      </c>
      <c r="O6698" t="s">
        <v>32525</v>
      </c>
      <c r="P6698">
        <v>0</v>
      </c>
      <c r="Q6698">
        <v>3</v>
      </c>
      <c r="R6698" t="s">
        <v>32532</v>
      </c>
      <c r="S6698" t="s">
        <v>32616</v>
      </c>
      <c r="T6698" t="s">
        <v>33249</v>
      </c>
      <c r="U6698" t="s">
        <v>39130</v>
      </c>
      <c r="W6698" t="s">
        <v>31114</v>
      </c>
      <c r="X6698" t="s">
        <v>32533</v>
      </c>
    </row>
    <row r="6699" spans="1:24">
      <c r="A6699">
        <f>HYPERLINK("https://www.philgeps.gov.ph/GEPSNONPILOT/Tender/SplashBidNoticeAbstractUI.aspx?menuIndex=3&amp;refID=7036890&amp;Result=3","7036890")</f>
        <v>0</v>
      </c>
      <c r="B6699" t="s">
        <v>651</v>
      </c>
      <c r="C6699" t="s">
        <v>9089</v>
      </c>
      <c r="D6699" t="s">
        <v>13029</v>
      </c>
      <c r="E6699" t="s">
        <v>18981</v>
      </c>
      <c r="F6699" t="s">
        <v>22436</v>
      </c>
      <c r="G6699" t="s">
        <v>22446</v>
      </c>
      <c r="H6699" t="s">
        <v>22452</v>
      </c>
      <c r="I6699" t="s">
        <v>22535</v>
      </c>
      <c r="J6699" t="s">
        <v>22657</v>
      </c>
      <c r="K6699" t="s">
        <v>29336</v>
      </c>
      <c r="M6699" t="s">
        <v>30243</v>
      </c>
      <c r="N6699" t="s">
        <v>32524</v>
      </c>
      <c r="O6699" t="s">
        <v>32525</v>
      </c>
      <c r="P6699">
        <v>0</v>
      </c>
      <c r="Q6699">
        <v>0</v>
      </c>
      <c r="R6699" t="s">
        <v>32532</v>
      </c>
      <c r="S6699" t="s">
        <v>32616</v>
      </c>
      <c r="T6699" t="s">
        <v>33169</v>
      </c>
      <c r="U6699" t="s">
        <v>39240</v>
      </c>
      <c r="W6699" t="s">
        <v>30243</v>
      </c>
      <c r="X6699" t="s">
        <v>32533</v>
      </c>
    </row>
    <row r="6700" spans="1:24">
      <c r="A6700">
        <f>HYPERLINK("https://www.philgeps.gov.ph/GEPSNONPILOT/Tender/SplashBidNoticeAbstractUI.aspx?menuIndex=3&amp;refID=7037064&amp;Result=3","7037064")</f>
        <v>0</v>
      </c>
      <c r="B6700" t="s">
        <v>635</v>
      </c>
      <c r="C6700" t="s">
        <v>9090</v>
      </c>
      <c r="D6700" t="s">
        <v>13029</v>
      </c>
      <c r="E6700" t="s">
        <v>18982</v>
      </c>
      <c r="F6700" t="s">
        <v>22436</v>
      </c>
      <c r="G6700" t="s">
        <v>22443</v>
      </c>
      <c r="H6700" t="s">
        <v>22452</v>
      </c>
      <c r="I6700" t="s">
        <v>2981</v>
      </c>
      <c r="J6700" t="s">
        <v>26932</v>
      </c>
      <c r="K6700" t="s">
        <v>29341</v>
      </c>
      <c r="M6700" t="s">
        <v>30226</v>
      </c>
      <c r="N6700" t="s">
        <v>32524</v>
      </c>
      <c r="O6700" t="s">
        <v>32525</v>
      </c>
      <c r="Q6700">
        <v>6</v>
      </c>
      <c r="R6700" t="s">
        <v>32532</v>
      </c>
      <c r="S6700" t="s">
        <v>32635</v>
      </c>
      <c r="T6700" t="s">
        <v>33209</v>
      </c>
      <c r="U6700" t="s">
        <v>39241</v>
      </c>
      <c r="V6700" t="s">
        <v>43154</v>
      </c>
      <c r="W6700" t="s">
        <v>30226</v>
      </c>
      <c r="X6700" t="s">
        <v>32533</v>
      </c>
    </row>
    <row r="6701" spans="1:24">
      <c r="A6701">
        <f>HYPERLINK("https://www.philgeps.gov.ph/GEPSNONPILOT/Tender/SplashBidNoticeAbstractUI.aspx?menuIndex=3&amp;refID=7037061&amp;Result=3","7037061")</f>
        <v>0</v>
      </c>
      <c r="B6701" t="s">
        <v>82</v>
      </c>
      <c r="C6701" t="s">
        <v>3444</v>
      </c>
      <c r="D6701" t="s">
        <v>13024</v>
      </c>
      <c r="E6701" t="s">
        <v>18983</v>
      </c>
      <c r="F6701" t="s">
        <v>22436</v>
      </c>
      <c r="G6701" t="s">
        <v>22447</v>
      </c>
      <c r="H6701" t="s">
        <v>22452</v>
      </c>
      <c r="I6701" t="s">
        <v>5194</v>
      </c>
      <c r="J6701" t="s">
        <v>26933</v>
      </c>
      <c r="K6701" t="s">
        <v>29336</v>
      </c>
      <c r="M6701" t="s">
        <v>29654</v>
      </c>
      <c r="N6701" t="s">
        <v>32524</v>
      </c>
      <c r="O6701" t="s">
        <v>32525</v>
      </c>
      <c r="P6701">
        <v>0</v>
      </c>
      <c r="Q6701">
        <v>0</v>
      </c>
      <c r="R6701" t="s">
        <v>32532</v>
      </c>
      <c r="S6701" t="s">
        <v>32616</v>
      </c>
      <c r="T6701" t="s">
        <v>33521</v>
      </c>
      <c r="U6701" t="s">
        <v>39242</v>
      </c>
      <c r="W6701" t="s">
        <v>29654</v>
      </c>
      <c r="X6701" t="s">
        <v>32533</v>
      </c>
    </row>
    <row r="6702" spans="1:24">
      <c r="A6702">
        <f>HYPERLINK("https://www.philgeps.gov.ph/GEPSNONPILOT/Tender/SplashBidNoticeAbstractUI.aspx?menuIndex=3&amp;refID=7037060&amp;Result=3","7037060")</f>
        <v>0</v>
      </c>
      <c r="B6702" t="s">
        <v>1932</v>
      </c>
      <c r="C6702" t="s">
        <v>9091</v>
      </c>
      <c r="D6702" t="s">
        <v>13040</v>
      </c>
      <c r="E6702" t="s">
        <v>18984</v>
      </c>
      <c r="F6702" t="s">
        <v>22436</v>
      </c>
      <c r="G6702" t="s">
        <v>22444</v>
      </c>
      <c r="H6702" t="s">
        <v>22454</v>
      </c>
      <c r="I6702" t="s">
        <v>7738</v>
      </c>
      <c r="J6702" t="s">
        <v>22779</v>
      </c>
      <c r="K6702" t="s">
        <v>29373</v>
      </c>
      <c r="M6702" t="s">
        <v>31660</v>
      </c>
      <c r="N6702" t="s">
        <v>32524</v>
      </c>
      <c r="O6702" t="s">
        <v>32525</v>
      </c>
      <c r="P6702">
        <v>0</v>
      </c>
      <c r="Q6702">
        <v>0</v>
      </c>
      <c r="R6702" t="s">
        <v>32532</v>
      </c>
      <c r="S6702" t="s">
        <v>32616</v>
      </c>
      <c r="T6702" t="s">
        <v>33486</v>
      </c>
      <c r="U6702" t="s">
        <v>39243</v>
      </c>
      <c r="W6702" t="s">
        <v>43737</v>
      </c>
      <c r="X6702" t="s">
        <v>32533</v>
      </c>
    </row>
    <row r="6703" spans="1:24">
      <c r="A6703">
        <f>HYPERLINK("https://www.philgeps.gov.ph/GEPSNONPILOT/Tender/SplashBidNoticeAbstractUI.aspx?menuIndex=3&amp;refID=7037058&amp;Result=3","7037058")</f>
        <v>0</v>
      </c>
      <c r="B6703" t="s">
        <v>1450</v>
      </c>
      <c r="C6703" t="s">
        <v>9092</v>
      </c>
      <c r="D6703" t="s">
        <v>13011</v>
      </c>
      <c r="E6703" t="s">
        <v>18985</v>
      </c>
      <c r="F6703" t="s">
        <v>22436</v>
      </c>
      <c r="G6703" t="s">
        <v>22444</v>
      </c>
      <c r="H6703" t="s">
        <v>22454</v>
      </c>
      <c r="I6703" t="s">
        <v>7738</v>
      </c>
      <c r="J6703" t="s">
        <v>24896</v>
      </c>
      <c r="K6703" t="s">
        <v>29493</v>
      </c>
      <c r="M6703" t="s">
        <v>31114</v>
      </c>
      <c r="N6703" t="s">
        <v>32524</v>
      </c>
      <c r="O6703" t="s">
        <v>32525</v>
      </c>
      <c r="P6703">
        <v>0</v>
      </c>
      <c r="Q6703">
        <v>3</v>
      </c>
      <c r="R6703" t="s">
        <v>32532</v>
      </c>
      <c r="S6703" t="s">
        <v>32616</v>
      </c>
      <c r="T6703" t="s">
        <v>33249</v>
      </c>
      <c r="U6703" t="s">
        <v>39130</v>
      </c>
      <c r="W6703" t="s">
        <v>31114</v>
      </c>
      <c r="X6703" t="s">
        <v>32533</v>
      </c>
    </row>
    <row r="6704" spans="1:24">
      <c r="A6704">
        <f>HYPERLINK("https://www.philgeps.gov.ph/GEPSNONPILOT/Tender/SplashBidNoticeAbstractUI.aspx?menuIndex=3&amp;refID=7037055&amp;Result=3","7037055")</f>
        <v>0</v>
      </c>
      <c r="B6704" t="s">
        <v>1718</v>
      </c>
      <c r="C6704" t="s">
        <v>9093</v>
      </c>
      <c r="D6704" t="s">
        <v>13000</v>
      </c>
      <c r="E6704" t="s">
        <v>18986</v>
      </c>
      <c r="F6704" t="s">
        <v>22436</v>
      </c>
      <c r="G6704" t="s">
        <v>22444</v>
      </c>
      <c r="H6704" t="s">
        <v>22454</v>
      </c>
      <c r="I6704" t="s">
        <v>6387</v>
      </c>
      <c r="J6704" t="s">
        <v>23093</v>
      </c>
      <c r="K6704" t="s">
        <v>29341</v>
      </c>
      <c r="M6704" t="s">
        <v>31422</v>
      </c>
      <c r="N6704" t="s">
        <v>32524</v>
      </c>
      <c r="O6704" t="s">
        <v>32525</v>
      </c>
      <c r="P6704">
        <v>0</v>
      </c>
      <c r="Q6704">
        <v>1</v>
      </c>
      <c r="R6704" t="s">
        <v>32532</v>
      </c>
      <c r="S6704" t="s">
        <v>32616</v>
      </c>
      <c r="T6704" t="s">
        <v>33304</v>
      </c>
      <c r="U6704" t="s">
        <v>39244</v>
      </c>
      <c r="W6704" t="s">
        <v>31422</v>
      </c>
      <c r="X6704" t="s">
        <v>32533</v>
      </c>
    </row>
    <row r="6705" spans="1:24">
      <c r="A6705">
        <f>HYPERLINK("https://www.philgeps.gov.ph/GEPSNONPILOT/Tender/SplashBidNoticeAbstractUI.aspx?menuIndex=3&amp;refID=7037057&amp;Result=3","7037057")</f>
        <v>0</v>
      </c>
      <c r="B6705" t="s">
        <v>87</v>
      </c>
      <c r="C6705" t="s">
        <v>9094</v>
      </c>
      <c r="E6705" t="s">
        <v>18987</v>
      </c>
      <c r="F6705" t="s">
        <v>22436</v>
      </c>
      <c r="G6705" t="s">
        <v>22444</v>
      </c>
      <c r="H6705" t="s">
        <v>22454</v>
      </c>
      <c r="I6705" t="s">
        <v>7738</v>
      </c>
      <c r="J6705" t="s">
        <v>26934</v>
      </c>
      <c r="K6705" t="s">
        <v>29338</v>
      </c>
      <c r="M6705" t="s">
        <v>29659</v>
      </c>
      <c r="N6705" t="s">
        <v>32524</v>
      </c>
      <c r="O6705" t="s">
        <v>32525</v>
      </c>
      <c r="Q6705">
        <v>2</v>
      </c>
      <c r="R6705" t="s">
        <v>32532</v>
      </c>
      <c r="S6705" t="s">
        <v>32636</v>
      </c>
      <c r="T6705" t="s">
        <v>33234</v>
      </c>
      <c r="U6705" t="s">
        <v>39245</v>
      </c>
      <c r="W6705" t="s">
        <v>29659</v>
      </c>
      <c r="X6705" t="s">
        <v>32533</v>
      </c>
    </row>
    <row r="6706" spans="1:24">
      <c r="A6706">
        <f>HYPERLINK("https://www.philgeps.gov.ph/GEPSNONPILOT/Tender/SplashBidNoticeAbstractUI.aspx?menuIndex=3&amp;refID=7037053&amp;Result=3","7037053")</f>
        <v>0</v>
      </c>
      <c r="B6706" t="s">
        <v>1270</v>
      </c>
      <c r="C6706" t="s">
        <v>9095</v>
      </c>
      <c r="D6706" t="s">
        <v>13035</v>
      </c>
      <c r="E6706" t="s">
        <v>18988</v>
      </c>
      <c r="F6706" t="s">
        <v>22436</v>
      </c>
      <c r="G6706" t="s">
        <v>22444</v>
      </c>
      <c r="H6706" t="s">
        <v>22452</v>
      </c>
      <c r="I6706" t="s">
        <v>22460</v>
      </c>
      <c r="J6706" t="s">
        <v>26935</v>
      </c>
      <c r="K6706" t="s">
        <v>29331</v>
      </c>
      <c r="M6706" t="s">
        <v>30923</v>
      </c>
      <c r="N6706" t="s">
        <v>32524</v>
      </c>
      <c r="O6706" t="s">
        <v>32525</v>
      </c>
      <c r="P6706">
        <v>0</v>
      </c>
      <c r="Q6706">
        <v>0</v>
      </c>
      <c r="R6706" t="s">
        <v>32532</v>
      </c>
      <c r="S6706" t="s">
        <v>32616</v>
      </c>
      <c r="T6706" t="s">
        <v>33293</v>
      </c>
      <c r="U6706" t="s">
        <v>39246</v>
      </c>
      <c r="W6706" t="s">
        <v>30923</v>
      </c>
      <c r="X6706" t="s">
        <v>32533</v>
      </c>
    </row>
    <row r="6707" spans="1:24">
      <c r="A6707">
        <f>HYPERLINK("https://www.philgeps.gov.ph/GEPSNONPILOT/Tender/SplashBidNoticeAbstractUI.aspx?menuIndex=3&amp;refID=7037084&amp;Result=3","7037084")</f>
        <v>0</v>
      </c>
      <c r="B6707" t="s">
        <v>2072</v>
      </c>
      <c r="C6707" t="s">
        <v>9096</v>
      </c>
      <c r="D6707" t="s">
        <v>13001</v>
      </c>
      <c r="E6707" t="s">
        <v>18989</v>
      </c>
      <c r="F6707" t="s">
        <v>22436</v>
      </c>
      <c r="G6707" t="s">
        <v>22444</v>
      </c>
      <c r="H6707" t="s">
        <v>22454</v>
      </c>
      <c r="I6707" t="s">
        <v>7738</v>
      </c>
      <c r="J6707" t="s">
        <v>22640</v>
      </c>
      <c r="K6707" t="s">
        <v>29338</v>
      </c>
      <c r="M6707" t="s">
        <v>31816</v>
      </c>
      <c r="N6707" t="s">
        <v>32524</v>
      </c>
      <c r="O6707" t="s">
        <v>32525</v>
      </c>
      <c r="P6707">
        <v>0</v>
      </c>
      <c r="Q6707">
        <v>1</v>
      </c>
      <c r="R6707" t="s">
        <v>32532</v>
      </c>
      <c r="S6707" t="s">
        <v>32616</v>
      </c>
      <c r="T6707" t="s">
        <v>33372</v>
      </c>
      <c r="U6707" t="s">
        <v>39247</v>
      </c>
      <c r="V6707" t="s">
        <v>43155</v>
      </c>
      <c r="W6707" t="s">
        <v>31816</v>
      </c>
      <c r="X6707" t="s">
        <v>32533</v>
      </c>
    </row>
    <row r="6708" spans="1:24">
      <c r="A6708">
        <f>HYPERLINK("https://www.philgeps.gov.ph/GEPSNONPILOT/Tender/SplashBidNoticeAbstractUI.aspx?menuIndex=3&amp;refID=7037075&amp;Result=3","7037075")</f>
        <v>0</v>
      </c>
      <c r="B6708" t="s">
        <v>1450</v>
      </c>
      <c r="C6708" t="s">
        <v>9097</v>
      </c>
      <c r="D6708" t="s">
        <v>13011</v>
      </c>
      <c r="E6708" t="s">
        <v>18990</v>
      </c>
      <c r="F6708" t="s">
        <v>22436</v>
      </c>
      <c r="G6708" t="s">
        <v>22444</v>
      </c>
      <c r="H6708" t="s">
        <v>22454</v>
      </c>
      <c r="I6708" t="s">
        <v>7738</v>
      </c>
      <c r="J6708" t="s">
        <v>24891</v>
      </c>
      <c r="K6708" t="s">
        <v>29494</v>
      </c>
      <c r="M6708" t="s">
        <v>31114</v>
      </c>
      <c r="N6708" t="s">
        <v>32524</v>
      </c>
      <c r="O6708" t="s">
        <v>32525</v>
      </c>
      <c r="P6708">
        <v>0</v>
      </c>
      <c r="Q6708">
        <v>3</v>
      </c>
      <c r="R6708" t="s">
        <v>32532</v>
      </c>
      <c r="S6708" t="s">
        <v>32616</v>
      </c>
      <c r="T6708" t="s">
        <v>33249</v>
      </c>
      <c r="U6708" t="s">
        <v>39130</v>
      </c>
      <c r="W6708" t="s">
        <v>31114</v>
      </c>
      <c r="X6708" t="s">
        <v>32533</v>
      </c>
    </row>
    <row r="6709" spans="1:24">
      <c r="A6709">
        <f>HYPERLINK("https://www.philgeps.gov.ph/GEPSNONPILOT/Tender/SplashBidNoticeAbstractUI.aspx?menuIndex=3&amp;refID=7037052&amp;Result=3","7037052")</f>
        <v>0</v>
      </c>
      <c r="B6709" t="s">
        <v>270</v>
      </c>
      <c r="C6709" t="s">
        <v>9098</v>
      </c>
      <c r="D6709" t="s">
        <v>13038</v>
      </c>
      <c r="E6709" t="s">
        <v>18991</v>
      </c>
      <c r="F6709" t="s">
        <v>22436</v>
      </c>
      <c r="G6709" t="s">
        <v>22444</v>
      </c>
      <c r="H6709" t="s">
        <v>22452</v>
      </c>
      <c r="I6709" t="s">
        <v>3529</v>
      </c>
      <c r="J6709" t="s">
        <v>26936</v>
      </c>
      <c r="K6709" t="s">
        <v>29338</v>
      </c>
      <c r="M6709" t="s">
        <v>29844</v>
      </c>
      <c r="N6709" t="s">
        <v>32524</v>
      </c>
      <c r="O6709" t="s">
        <v>32525</v>
      </c>
      <c r="P6709">
        <v>0</v>
      </c>
      <c r="Q6709">
        <v>0</v>
      </c>
      <c r="R6709" t="s">
        <v>32532</v>
      </c>
      <c r="S6709" t="s">
        <v>32616</v>
      </c>
      <c r="T6709" t="s">
        <v>33213</v>
      </c>
      <c r="U6709" t="s">
        <v>39248</v>
      </c>
      <c r="W6709" t="s">
        <v>43736</v>
      </c>
      <c r="X6709" t="s">
        <v>32533</v>
      </c>
    </row>
    <row r="6710" spans="1:24">
      <c r="A6710">
        <f>HYPERLINK("https://www.philgeps.gov.ph/GEPSNONPILOT/Tender/SplashBidNoticeAbstractUI.aspx?menuIndex=3&amp;refID=7037074&amp;Result=3","7037074")</f>
        <v>0</v>
      </c>
      <c r="B6710" t="s">
        <v>87</v>
      </c>
      <c r="C6710" t="s">
        <v>9099</v>
      </c>
      <c r="E6710" t="s">
        <v>18992</v>
      </c>
      <c r="F6710" t="s">
        <v>22436</v>
      </c>
      <c r="G6710" t="s">
        <v>22444</v>
      </c>
      <c r="H6710" t="s">
        <v>22454</v>
      </c>
      <c r="I6710" t="s">
        <v>7738</v>
      </c>
      <c r="J6710" t="s">
        <v>26937</v>
      </c>
      <c r="K6710" t="s">
        <v>29338</v>
      </c>
      <c r="M6710" t="s">
        <v>29659</v>
      </c>
      <c r="N6710" t="s">
        <v>32524</v>
      </c>
      <c r="O6710" t="s">
        <v>32525</v>
      </c>
      <c r="Q6710">
        <v>2</v>
      </c>
      <c r="R6710" t="s">
        <v>32532</v>
      </c>
      <c r="S6710" t="s">
        <v>32637</v>
      </c>
      <c r="T6710" t="s">
        <v>33248</v>
      </c>
      <c r="U6710" t="s">
        <v>39249</v>
      </c>
      <c r="W6710" t="s">
        <v>29659</v>
      </c>
      <c r="X6710" t="s">
        <v>32533</v>
      </c>
    </row>
    <row r="6711" spans="1:24">
      <c r="A6711">
        <f>HYPERLINK("https://www.philgeps.gov.ph/GEPSNONPILOT/Tender/SplashBidNoticeAbstractUI.aspx?menuIndex=3&amp;refID=7037080&amp;Result=3","7037080")</f>
        <v>0</v>
      </c>
      <c r="B6711" t="s">
        <v>82</v>
      </c>
      <c r="C6711" t="s">
        <v>9100</v>
      </c>
      <c r="D6711" t="s">
        <v>13024</v>
      </c>
      <c r="E6711" t="s">
        <v>18993</v>
      </c>
      <c r="F6711" t="s">
        <v>22436</v>
      </c>
      <c r="G6711" t="s">
        <v>22443</v>
      </c>
      <c r="H6711" t="s">
        <v>22452</v>
      </c>
      <c r="I6711" t="s">
        <v>12358</v>
      </c>
      <c r="J6711" t="s">
        <v>23569</v>
      </c>
      <c r="K6711" t="s">
        <v>29336</v>
      </c>
      <c r="M6711" t="s">
        <v>29654</v>
      </c>
      <c r="N6711" t="s">
        <v>32524</v>
      </c>
      <c r="O6711" t="s">
        <v>32525</v>
      </c>
      <c r="P6711">
        <v>0</v>
      </c>
      <c r="Q6711">
        <v>0</v>
      </c>
      <c r="R6711" t="s">
        <v>32532</v>
      </c>
      <c r="S6711" t="s">
        <v>32616</v>
      </c>
      <c r="T6711" t="s">
        <v>33521</v>
      </c>
      <c r="U6711" t="s">
        <v>39250</v>
      </c>
      <c r="W6711" t="s">
        <v>29654</v>
      </c>
      <c r="X6711" t="s">
        <v>32533</v>
      </c>
    </row>
    <row r="6712" spans="1:24">
      <c r="A6712">
        <f>HYPERLINK("https://www.philgeps.gov.ph/GEPSNONPILOT/Tender/SplashBidNoticeAbstractUI.aspx?menuIndex=3&amp;refID=7037051&amp;Result=3","7037051")</f>
        <v>0</v>
      </c>
      <c r="B6712" t="s">
        <v>2073</v>
      </c>
      <c r="C6712" t="s">
        <v>9101</v>
      </c>
      <c r="D6712" t="s">
        <v>13044</v>
      </c>
      <c r="E6712" t="s">
        <v>18994</v>
      </c>
      <c r="F6712" t="s">
        <v>22436</v>
      </c>
      <c r="G6712" t="s">
        <v>22444</v>
      </c>
      <c r="H6712" t="s">
        <v>22454</v>
      </c>
      <c r="I6712" t="s">
        <v>7738</v>
      </c>
      <c r="J6712" t="s">
        <v>26938</v>
      </c>
      <c r="K6712" t="s">
        <v>29414</v>
      </c>
      <c r="M6712" t="s">
        <v>31817</v>
      </c>
      <c r="N6712" t="s">
        <v>32524</v>
      </c>
      <c r="O6712" t="s">
        <v>32525</v>
      </c>
      <c r="P6712">
        <v>0</v>
      </c>
      <c r="Q6712">
        <v>0</v>
      </c>
      <c r="R6712" t="s">
        <v>32532</v>
      </c>
      <c r="S6712" t="s">
        <v>32616</v>
      </c>
      <c r="T6712" t="s">
        <v>33345</v>
      </c>
      <c r="U6712" t="s">
        <v>39251</v>
      </c>
      <c r="W6712" t="s">
        <v>31817</v>
      </c>
      <c r="X6712" t="s">
        <v>32533</v>
      </c>
    </row>
    <row r="6713" spans="1:24">
      <c r="A6713">
        <f>HYPERLINK("https://www.philgeps.gov.ph/GEPSNONPILOT/Tender/SplashBidNoticeAbstractUI.aspx?menuIndex=3&amp;refID=7037070&amp;Result=3","7037070")</f>
        <v>0</v>
      </c>
      <c r="B6713" t="s">
        <v>941</v>
      </c>
      <c r="C6713" t="s">
        <v>9102</v>
      </c>
      <c r="D6713" t="s">
        <v>13006</v>
      </c>
      <c r="E6713" t="s">
        <v>18995</v>
      </c>
      <c r="F6713" t="s">
        <v>22436</v>
      </c>
      <c r="G6713" t="s">
        <v>22444</v>
      </c>
      <c r="H6713" t="s">
        <v>22452</v>
      </c>
      <c r="I6713" t="s">
        <v>22463</v>
      </c>
      <c r="J6713" t="s">
        <v>26939</v>
      </c>
      <c r="K6713" t="s">
        <v>29335</v>
      </c>
      <c r="M6713" t="s">
        <v>31639</v>
      </c>
      <c r="N6713" t="s">
        <v>32524</v>
      </c>
      <c r="O6713" t="s">
        <v>32525</v>
      </c>
      <c r="P6713">
        <v>0</v>
      </c>
      <c r="Q6713">
        <v>15</v>
      </c>
      <c r="R6713" t="s">
        <v>32532</v>
      </c>
      <c r="S6713" t="s">
        <v>32616</v>
      </c>
      <c r="T6713" t="s">
        <v>33242</v>
      </c>
      <c r="U6713" t="s">
        <v>39252</v>
      </c>
      <c r="V6713" t="s">
        <v>43156</v>
      </c>
      <c r="W6713" t="s">
        <v>31639</v>
      </c>
      <c r="X6713" t="s">
        <v>32533</v>
      </c>
    </row>
    <row r="6714" spans="1:24">
      <c r="A6714">
        <f>HYPERLINK("https://www.philgeps.gov.ph/GEPSNONPILOT/Tender/SplashBidNoticeAbstractUI.aspx?menuIndex=3&amp;refID=7037048&amp;Result=3","7037048")</f>
        <v>0</v>
      </c>
      <c r="B6714" t="s">
        <v>874</v>
      </c>
      <c r="C6714" t="s">
        <v>9103</v>
      </c>
      <c r="E6714" t="s">
        <v>18996</v>
      </c>
      <c r="F6714" t="s">
        <v>22436</v>
      </c>
      <c r="G6714" t="s">
        <v>22443</v>
      </c>
      <c r="H6714" t="s">
        <v>22452</v>
      </c>
      <c r="I6714" t="s">
        <v>22519</v>
      </c>
      <c r="J6714" t="s">
        <v>23226</v>
      </c>
      <c r="K6714" t="s">
        <v>29338</v>
      </c>
      <c r="M6714" t="s">
        <v>30482</v>
      </c>
      <c r="N6714" t="s">
        <v>32524</v>
      </c>
      <c r="O6714" t="s">
        <v>32525</v>
      </c>
      <c r="P6714">
        <v>0</v>
      </c>
      <c r="Q6714">
        <v>3</v>
      </c>
      <c r="R6714" t="s">
        <v>32532</v>
      </c>
      <c r="S6714" t="s">
        <v>32616</v>
      </c>
      <c r="T6714" t="s">
        <v>33327</v>
      </c>
      <c r="U6714" t="s">
        <v>38853</v>
      </c>
      <c r="W6714" t="s">
        <v>30482</v>
      </c>
      <c r="X6714" t="s">
        <v>32533</v>
      </c>
    </row>
    <row r="6715" spans="1:24">
      <c r="A6715">
        <f>HYPERLINK("https://www.philgeps.gov.ph/GEPSNONPILOT/Tender/SplashBidNoticeAbstractUI.aspx?menuIndex=3&amp;refID=7037078&amp;Result=3","7037078")</f>
        <v>0</v>
      </c>
      <c r="B6715" t="s">
        <v>1803</v>
      </c>
      <c r="C6715" t="s">
        <v>9104</v>
      </c>
      <c r="D6715" t="s">
        <v>13029</v>
      </c>
      <c r="E6715" t="s">
        <v>18997</v>
      </c>
      <c r="F6715" t="s">
        <v>22436</v>
      </c>
      <c r="G6715" t="s">
        <v>22447</v>
      </c>
      <c r="H6715" t="s">
        <v>22452</v>
      </c>
      <c r="I6715" t="s">
        <v>6421</v>
      </c>
      <c r="J6715" t="s">
        <v>26940</v>
      </c>
      <c r="K6715" t="s">
        <v>29338</v>
      </c>
      <c r="M6715" t="s">
        <v>31516</v>
      </c>
      <c r="N6715" t="s">
        <v>32524</v>
      </c>
      <c r="O6715" t="s">
        <v>32525</v>
      </c>
      <c r="Q6715">
        <v>18</v>
      </c>
      <c r="R6715" t="s">
        <v>32532</v>
      </c>
      <c r="S6715" t="s">
        <v>32638</v>
      </c>
      <c r="T6715" t="s">
        <v>33242</v>
      </c>
      <c r="U6715" t="s">
        <v>39253</v>
      </c>
      <c r="W6715" t="s">
        <v>31516</v>
      </c>
      <c r="X6715" t="s">
        <v>32533</v>
      </c>
    </row>
    <row r="6716" spans="1:24">
      <c r="A6716">
        <f>HYPERLINK("https://www.philgeps.gov.ph/GEPSNONPILOT/Tender/SplashBidNoticeAbstractUI.aspx?menuIndex=3&amp;refID=7037085&amp;Result=3","7037085")</f>
        <v>0</v>
      </c>
      <c r="B6716" t="s">
        <v>2074</v>
      </c>
      <c r="C6716" t="s">
        <v>9105</v>
      </c>
      <c r="D6716" t="s">
        <v>12994</v>
      </c>
      <c r="E6716" t="s">
        <v>14076</v>
      </c>
      <c r="F6716" t="s">
        <v>22436</v>
      </c>
      <c r="G6716" t="s">
        <v>22444</v>
      </c>
      <c r="H6716" t="s">
        <v>22452</v>
      </c>
      <c r="I6716" t="s">
        <v>3529</v>
      </c>
      <c r="J6716" t="s">
        <v>23090</v>
      </c>
      <c r="K6716" t="s">
        <v>29336</v>
      </c>
      <c r="M6716" t="s">
        <v>31818</v>
      </c>
      <c r="N6716" t="s">
        <v>32524</v>
      </c>
      <c r="O6716" t="s">
        <v>32525</v>
      </c>
      <c r="P6716">
        <v>0</v>
      </c>
      <c r="Q6716">
        <v>0</v>
      </c>
      <c r="R6716" t="s">
        <v>32532</v>
      </c>
      <c r="S6716" t="s">
        <v>32616</v>
      </c>
      <c r="T6716" t="s">
        <v>33304</v>
      </c>
      <c r="U6716" t="s">
        <v>39254</v>
      </c>
      <c r="W6716" t="s">
        <v>31818</v>
      </c>
      <c r="X6716" t="s">
        <v>32533</v>
      </c>
    </row>
    <row r="6717" spans="1:24">
      <c r="A6717">
        <f>HYPERLINK("https://www.philgeps.gov.ph/GEPSNONPILOT/Tender/SplashBidNoticeAbstractUI.aspx?menuIndex=3&amp;refID=7037087&amp;Result=3","7037087")</f>
        <v>0</v>
      </c>
      <c r="B6717" t="s">
        <v>82</v>
      </c>
      <c r="C6717" t="s">
        <v>9106</v>
      </c>
      <c r="D6717" t="s">
        <v>13024</v>
      </c>
      <c r="E6717" t="s">
        <v>18998</v>
      </c>
      <c r="F6717" t="s">
        <v>22436</v>
      </c>
      <c r="G6717" t="s">
        <v>22447</v>
      </c>
      <c r="H6717" t="s">
        <v>22452</v>
      </c>
      <c r="I6717" t="s">
        <v>2981</v>
      </c>
      <c r="J6717" t="s">
        <v>26941</v>
      </c>
      <c r="K6717" t="s">
        <v>29336</v>
      </c>
      <c r="M6717" t="s">
        <v>29654</v>
      </c>
      <c r="N6717" t="s">
        <v>32524</v>
      </c>
      <c r="O6717" t="s">
        <v>32525</v>
      </c>
      <c r="P6717">
        <v>0</v>
      </c>
      <c r="Q6717">
        <v>1</v>
      </c>
      <c r="R6717" t="s">
        <v>32532</v>
      </c>
      <c r="S6717" t="s">
        <v>32616</v>
      </c>
      <c r="T6717" t="s">
        <v>33521</v>
      </c>
      <c r="U6717" t="s">
        <v>39255</v>
      </c>
      <c r="W6717" t="s">
        <v>29654</v>
      </c>
      <c r="X6717" t="s">
        <v>32533</v>
      </c>
    </row>
    <row r="6718" spans="1:24">
      <c r="A6718">
        <f>HYPERLINK("https://www.philgeps.gov.ph/GEPSNONPILOT/Tender/SplashBidNoticeAbstractUI.aspx?menuIndex=3&amp;refID=7037054&amp;Result=3","7037054")</f>
        <v>0</v>
      </c>
      <c r="B6718" t="s">
        <v>2075</v>
      </c>
      <c r="C6718" t="s">
        <v>9107</v>
      </c>
      <c r="D6718" t="s">
        <v>12988</v>
      </c>
      <c r="E6718" t="s">
        <v>18999</v>
      </c>
      <c r="F6718" t="s">
        <v>22436</v>
      </c>
      <c r="G6718" t="s">
        <v>22443</v>
      </c>
      <c r="H6718" t="s">
        <v>22452</v>
      </c>
      <c r="I6718" t="s">
        <v>22501</v>
      </c>
      <c r="J6718" t="s">
        <v>26942</v>
      </c>
      <c r="K6718" t="s">
        <v>29353</v>
      </c>
      <c r="M6718" t="s">
        <v>31819</v>
      </c>
      <c r="N6718" t="s">
        <v>32524</v>
      </c>
      <c r="O6718" t="s">
        <v>32525</v>
      </c>
      <c r="Q6718">
        <v>1</v>
      </c>
      <c r="R6718" t="s">
        <v>32532</v>
      </c>
      <c r="S6718" t="s">
        <v>32639</v>
      </c>
      <c r="T6718" t="s">
        <v>33220</v>
      </c>
      <c r="U6718" t="s">
        <v>39256</v>
      </c>
      <c r="V6718" t="s">
        <v>43157</v>
      </c>
      <c r="W6718" t="s">
        <v>31819</v>
      </c>
      <c r="X6718" t="s">
        <v>32533</v>
      </c>
    </row>
    <row r="6719" spans="1:24">
      <c r="A6719">
        <f>HYPERLINK("https://www.philgeps.gov.ph/GEPSNONPILOT/Tender/SplashBidNoticeAbstractUI.aspx?menuIndex=3&amp;refID=7037101&amp;Result=3","7037101")</f>
        <v>0</v>
      </c>
      <c r="B6719" t="s">
        <v>1816</v>
      </c>
      <c r="C6719" t="s">
        <v>2818</v>
      </c>
      <c r="D6719" t="s">
        <v>12993</v>
      </c>
      <c r="E6719" t="s">
        <v>19000</v>
      </c>
      <c r="F6719" t="s">
        <v>22436</v>
      </c>
      <c r="G6719" t="s">
        <v>22444</v>
      </c>
      <c r="H6719" t="s">
        <v>22452</v>
      </c>
      <c r="I6719" t="s">
        <v>22460</v>
      </c>
      <c r="J6719" t="s">
        <v>26943</v>
      </c>
      <c r="K6719" t="s">
        <v>29335</v>
      </c>
      <c r="M6719" t="s">
        <v>31530</v>
      </c>
      <c r="N6719" t="s">
        <v>32524</v>
      </c>
      <c r="O6719" t="s">
        <v>32525</v>
      </c>
      <c r="P6719">
        <v>0</v>
      </c>
      <c r="Q6719">
        <v>0</v>
      </c>
      <c r="R6719" t="s">
        <v>32532</v>
      </c>
      <c r="S6719" t="s">
        <v>32616</v>
      </c>
      <c r="T6719" t="s">
        <v>33238</v>
      </c>
      <c r="U6719" t="s">
        <v>39257</v>
      </c>
      <c r="W6719" t="s">
        <v>31530</v>
      </c>
      <c r="X6719" t="s">
        <v>32533</v>
      </c>
    </row>
    <row r="6720" spans="1:24">
      <c r="A6720">
        <f>HYPERLINK("https://www.philgeps.gov.ph/GEPSNONPILOT/Tender/SplashBidNoticeAbstractUI.aspx?menuIndex=3&amp;refID=7037103&amp;Result=3","7037103")</f>
        <v>0</v>
      </c>
      <c r="B6720" t="s">
        <v>2062</v>
      </c>
      <c r="C6720" t="s">
        <v>9108</v>
      </c>
      <c r="D6720" t="s">
        <v>13011</v>
      </c>
      <c r="E6720" t="s">
        <v>13278</v>
      </c>
      <c r="F6720" t="s">
        <v>22436</v>
      </c>
      <c r="G6720" t="s">
        <v>22444</v>
      </c>
      <c r="H6720" t="s">
        <v>22454</v>
      </c>
      <c r="I6720" t="s">
        <v>7738</v>
      </c>
      <c r="J6720" t="s">
        <v>26944</v>
      </c>
      <c r="K6720" t="s">
        <v>29335</v>
      </c>
      <c r="M6720" t="s">
        <v>31805</v>
      </c>
      <c r="N6720" t="s">
        <v>32524</v>
      </c>
      <c r="O6720" t="s">
        <v>32525</v>
      </c>
      <c r="P6720">
        <v>0</v>
      </c>
      <c r="Q6720">
        <v>0</v>
      </c>
      <c r="R6720" t="s">
        <v>32532</v>
      </c>
      <c r="S6720" t="s">
        <v>32616</v>
      </c>
      <c r="T6720" t="s">
        <v>33218</v>
      </c>
      <c r="U6720" t="s">
        <v>39258</v>
      </c>
      <c r="W6720" t="s">
        <v>31805</v>
      </c>
      <c r="X6720" t="s">
        <v>32533</v>
      </c>
    </row>
    <row r="6721" spans="1:24">
      <c r="A6721">
        <f>HYPERLINK("https://www.philgeps.gov.ph/GEPSNONPILOT/Tender/SplashBidNoticeAbstractUI.aspx?menuIndex=3&amp;refID=7037089&amp;Result=3","7037089")</f>
        <v>0</v>
      </c>
      <c r="B6721" t="s">
        <v>1932</v>
      </c>
      <c r="C6721" t="s">
        <v>9109</v>
      </c>
      <c r="D6721" t="s">
        <v>13040</v>
      </c>
      <c r="E6721" t="s">
        <v>19001</v>
      </c>
      <c r="F6721" t="s">
        <v>22436</v>
      </c>
      <c r="G6721" t="s">
        <v>22444</v>
      </c>
      <c r="H6721" t="s">
        <v>22454</v>
      </c>
      <c r="I6721" t="s">
        <v>7738</v>
      </c>
      <c r="J6721" t="s">
        <v>23505</v>
      </c>
      <c r="K6721" t="s">
        <v>29388</v>
      </c>
      <c r="M6721" t="s">
        <v>31660</v>
      </c>
      <c r="N6721" t="s">
        <v>32524</v>
      </c>
      <c r="O6721" t="s">
        <v>32525</v>
      </c>
      <c r="P6721">
        <v>0</v>
      </c>
      <c r="Q6721">
        <v>0</v>
      </c>
      <c r="R6721" t="s">
        <v>32532</v>
      </c>
      <c r="S6721" t="s">
        <v>32616</v>
      </c>
      <c r="T6721" t="s">
        <v>33486</v>
      </c>
      <c r="U6721" t="s">
        <v>39259</v>
      </c>
      <c r="W6721" t="s">
        <v>43737</v>
      </c>
      <c r="X6721" t="s">
        <v>32533</v>
      </c>
    </row>
    <row r="6722" spans="1:24">
      <c r="A6722">
        <f>HYPERLINK("https://www.philgeps.gov.ph/GEPSNONPILOT/Tender/SplashBidNoticeAbstractUI.aspx?menuIndex=3&amp;refID=7037133&amp;Result=3","7037133")</f>
        <v>0</v>
      </c>
      <c r="B6722" t="s">
        <v>1571</v>
      </c>
      <c r="C6722" t="s">
        <v>9110</v>
      </c>
      <c r="D6722" t="s">
        <v>13022</v>
      </c>
      <c r="E6722" t="s">
        <v>19002</v>
      </c>
      <c r="F6722" t="s">
        <v>22436</v>
      </c>
      <c r="G6722" t="s">
        <v>22444</v>
      </c>
      <c r="H6722" t="s">
        <v>22454</v>
      </c>
      <c r="I6722" t="s">
        <v>7738</v>
      </c>
      <c r="J6722" t="s">
        <v>24216</v>
      </c>
      <c r="K6722" t="s">
        <v>29335</v>
      </c>
      <c r="M6722" t="s">
        <v>31253</v>
      </c>
      <c r="N6722" t="s">
        <v>32524</v>
      </c>
      <c r="O6722" t="s">
        <v>32525</v>
      </c>
      <c r="P6722">
        <v>0</v>
      </c>
      <c r="Q6722">
        <v>1</v>
      </c>
      <c r="R6722" t="s">
        <v>32532</v>
      </c>
      <c r="S6722" t="s">
        <v>32616</v>
      </c>
      <c r="T6722" t="s">
        <v>33234</v>
      </c>
      <c r="U6722" t="s">
        <v>39260</v>
      </c>
      <c r="W6722" t="s">
        <v>31253</v>
      </c>
      <c r="X6722" t="s">
        <v>32533</v>
      </c>
    </row>
    <row r="6723" spans="1:24">
      <c r="A6723">
        <f>HYPERLINK("https://www.philgeps.gov.ph/GEPSNONPILOT/Tender/SplashBidNoticeAbstractUI.aspx?menuIndex=3&amp;refID=7037100&amp;Result=3","7037100")</f>
        <v>0</v>
      </c>
      <c r="B6723" t="s">
        <v>82</v>
      </c>
      <c r="C6723" t="s">
        <v>9111</v>
      </c>
      <c r="D6723" t="s">
        <v>13024</v>
      </c>
      <c r="E6723" t="s">
        <v>19003</v>
      </c>
      <c r="F6723" t="s">
        <v>22436</v>
      </c>
      <c r="G6723" t="s">
        <v>22443</v>
      </c>
      <c r="H6723" t="s">
        <v>22452</v>
      </c>
      <c r="I6723" t="s">
        <v>2981</v>
      </c>
      <c r="J6723" t="s">
        <v>26945</v>
      </c>
      <c r="K6723" t="s">
        <v>29336</v>
      </c>
      <c r="M6723" t="s">
        <v>29654</v>
      </c>
      <c r="N6723" t="s">
        <v>32524</v>
      </c>
      <c r="O6723" t="s">
        <v>32525</v>
      </c>
      <c r="P6723">
        <v>0</v>
      </c>
      <c r="Q6723">
        <v>0</v>
      </c>
      <c r="R6723" t="s">
        <v>32532</v>
      </c>
      <c r="S6723" t="s">
        <v>32616</v>
      </c>
      <c r="T6723" t="s">
        <v>33521</v>
      </c>
      <c r="U6723" t="s">
        <v>39250</v>
      </c>
      <c r="W6723" t="s">
        <v>29654</v>
      </c>
      <c r="X6723" t="s">
        <v>32533</v>
      </c>
    </row>
    <row r="6724" spans="1:24">
      <c r="A6724">
        <f>HYPERLINK("https://www.philgeps.gov.ph/GEPSNONPILOT/Tender/SplashBidNoticeAbstractUI.aspx?menuIndex=3&amp;refID=7037095&amp;Result=3","7037095")</f>
        <v>0</v>
      </c>
      <c r="B6724" t="s">
        <v>2076</v>
      </c>
      <c r="C6724" t="s">
        <v>9112</v>
      </c>
      <c r="D6724" t="s">
        <v>13000</v>
      </c>
      <c r="E6724" t="s">
        <v>19004</v>
      </c>
      <c r="F6724" t="s">
        <v>22436</v>
      </c>
      <c r="G6724" t="s">
        <v>22450</v>
      </c>
      <c r="H6724" t="s">
        <v>22452</v>
      </c>
      <c r="I6724" t="s">
        <v>22504</v>
      </c>
      <c r="J6724" t="s">
        <v>22706</v>
      </c>
      <c r="K6724" t="s">
        <v>29341</v>
      </c>
      <c r="L6724" t="s">
        <v>2076</v>
      </c>
      <c r="M6724" t="s">
        <v>31820</v>
      </c>
      <c r="N6724" t="s">
        <v>32524</v>
      </c>
      <c r="O6724" t="s">
        <v>32525</v>
      </c>
      <c r="P6724">
        <v>0</v>
      </c>
      <c r="Q6724">
        <v>1</v>
      </c>
      <c r="R6724" t="s">
        <v>32532</v>
      </c>
      <c r="S6724" t="s">
        <v>32616</v>
      </c>
      <c r="T6724" t="s">
        <v>33229</v>
      </c>
      <c r="U6724" t="s">
        <v>39261</v>
      </c>
      <c r="W6724" t="s">
        <v>31820</v>
      </c>
      <c r="X6724" t="s">
        <v>32533</v>
      </c>
    </row>
    <row r="6725" spans="1:24">
      <c r="A6725">
        <f>HYPERLINK("https://www.philgeps.gov.ph/GEPSNONPILOT/Tender/SplashBidNoticeAbstractUI.aspx?menuIndex=3&amp;refID=7037130&amp;Result=3","7037130")</f>
        <v>0</v>
      </c>
      <c r="B6725" t="s">
        <v>740</v>
      </c>
      <c r="C6725" t="s">
        <v>9113</v>
      </c>
      <c r="D6725" t="s">
        <v>13002</v>
      </c>
      <c r="E6725" t="s">
        <v>19005</v>
      </c>
      <c r="F6725" t="s">
        <v>22436</v>
      </c>
      <c r="G6725" t="s">
        <v>22444</v>
      </c>
      <c r="H6725" t="s">
        <v>22454</v>
      </c>
      <c r="I6725" t="s">
        <v>7738</v>
      </c>
      <c r="J6725" t="s">
        <v>26946</v>
      </c>
      <c r="K6725" t="s">
        <v>29347</v>
      </c>
      <c r="M6725" t="s">
        <v>30341</v>
      </c>
      <c r="N6725" t="s">
        <v>32524</v>
      </c>
      <c r="O6725" t="s">
        <v>32525</v>
      </c>
      <c r="Q6725">
        <v>0</v>
      </c>
      <c r="R6725" t="s">
        <v>32532</v>
      </c>
      <c r="S6725" t="s">
        <v>32640</v>
      </c>
      <c r="T6725" t="s">
        <v>33242</v>
      </c>
      <c r="U6725" t="s">
        <v>39262</v>
      </c>
      <c r="W6725" t="s">
        <v>30341</v>
      </c>
      <c r="X6725" t="s">
        <v>32533</v>
      </c>
    </row>
    <row r="6726" spans="1:24">
      <c r="A6726">
        <f>HYPERLINK("https://www.philgeps.gov.ph/GEPSNONPILOT/Tender/SplashBidNoticeAbstractUI.aspx?menuIndex=3&amp;refID=7037111&amp;Result=3","7037111")</f>
        <v>0</v>
      </c>
      <c r="B6726" t="s">
        <v>1737</v>
      </c>
      <c r="C6726" t="s">
        <v>9114</v>
      </c>
      <c r="D6726" t="s">
        <v>13018</v>
      </c>
      <c r="E6726" t="s">
        <v>19006</v>
      </c>
      <c r="F6726" t="s">
        <v>22436</v>
      </c>
      <c r="G6726" t="s">
        <v>22444</v>
      </c>
      <c r="H6726" t="s">
        <v>22452</v>
      </c>
      <c r="I6726" t="s">
        <v>12358</v>
      </c>
      <c r="J6726" t="s">
        <v>26947</v>
      </c>
      <c r="K6726" t="s">
        <v>29341</v>
      </c>
      <c r="M6726" t="s">
        <v>31442</v>
      </c>
      <c r="N6726" t="s">
        <v>32524</v>
      </c>
      <c r="O6726" t="s">
        <v>32525</v>
      </c>
      <c r="P6726">
        <v>0</v>
      </c>
      <c r="Q6726">
        <v>0</v>
      </c>
      <c r="R6726" t="s">
        <v>32532</v>
      </c>
      <c r="S6726" t="s">
        <v>32616</v>
      </c>
      <c r="T6726" t="s">
        <v>33213</v>
      </c>
      <c r="U6726" t="s">
        <v>39263</v>
      </c>
      <c r="W6726" t="s">
        <v>31442</v>
      </c>
      <c r="X6726" t="s">
        <v>32533</v>
      </c>
    </row>
    <row r="6727" spans="1:24">
      <c r="A6727">
        <f>HYPERLINK("https://www.philgeps.gov.ph/GEPSNONPILOT/Tender/SplashBidNoticeAbstractUI.aspx?menuIndex=3&amp;refID=7037122&amp;Result=3","7037122")</f>
        <v>0</v>
      </c>
      <c r="B6727" t="s">
        <v>2077</v>
      </c>
      <c r="C6727" t="s">
        <v>9115</v>
      </c>
      <c r="D6727" t="s">
        <v>13056</v>
      </c>
      <c r="E6727" t="s">
        <v>19007</v>
      </c>
      <c r="F6727" t="s">
        <v>22436</v>
      </c>
      <c r="G6727" t="s">
        <v>22444</v>
      </c>
      <c r="H6727" t="s">
        <v>22452</v>
      </c>
      <c r="I6727" t="s">
        <v>22478</v>
      </c>
      <c r="J6727" t="s">
        <v>23093</v>
      </c>
      <c r="K6727" t="s">
        <v>29335</v>
      </c>
      <c r="M6727" t="s">
        <v>31821</v>
      </c>
      <c r="N6727" t="s">
        <v>32524</v>
      </c>
      <c r="O6727" t="s">
        <v>32525</v>
      </c>
      <c r="P6727">
        <v>0</v>
      </c>
      <c r="Q6727">
        <v>0</v>
      </c>
      <c r="R6727" t="s">
        <v>32532</v>
      </c>
      <c r="S6727" t="s">
        <v>32616</v>
      </c>
      <c r="T6727" t="s">
        <v>33470</v>
      </c>
      <c r="U6727" t="s">
        <v>39264</v>
      </c>
      <c r="W6727" t="s">
        <v>31821</v>
      </c>
      <c r="X6727" t="s">
        <v>32533</v>
      </c>
    </row>
    <row r="6728" spans="1:24">
      <c r="A6728">
        <f>HYPERLINK("https://www.philgeps.gov.ph/GEPSNONPILOT/Tender/SplashBidNoticeAbstractUI.aspx?menuIndex=3&amp;refID=7037128&amp;Result=3","7037128")</f>
        <v>0</v>
      </c>
      <c r="B6728" t="s">
        <v>317</v>
      </c>
      <c r="C6728" t="s">
        <v>9116</v>
      </c>
      <c r="D6728" t="s">
        <v>13031</v>
      </c>
      <c r="E6728" t="s">
        <v>19008</v>
      </c>
      <c r="F6728" t="s">
        <v>22436</v>
      </c>
      <c r="G6728" t="s">
        <v>22444</v>
      </c>
      <c r="H6728" t="s">
        <v>22454</v>
      </c>
      <c r="I6728" t="s">
        <v>7738</v>
      </c>
      <c r="J6728" t="s">
        <v>26948</v>
      </c>
      <c r="K6728" t="s">
        <v>29495</v>
      </c>
      <c r="M6728" t="s">
        <v>31152</v>
      </c>
      <c r="N6728" t="s">
        <v>32524</v>
      </c>
      <c r="O6728" t="s">
        <v>32525</v>
      </c>
      <c r="P6728">
        <v>0</v>
      </c>
      <c r="Q6728">
        <v>1</v>
      </c>
      <c r="R6728" t="s">
        <v>32532</v>
      </c>
      <c r="S6728" t="s">
        <v>32616</v>
      </c>
      <c r="T6728" t="s">
        <v>33234</v>
      </c>
      <c r="U6728" t="s">
        <v>39265</v>
      </c>
      <c r="W6728" t="s">
        <v>31152</v>
      </c>
      <c r="X6728" t="s">
        <v>32533</v>
      </c>
    </row>
    <row r="6729" spans="1:24">
      <c r="A6729">
        <f>HYPERLINK("https://www.philgeps.gov.ph/GEPSNONPILOT/Tender/SplashBidNoticeAbstractUI.aspx?menuIndex=3&amp;refID=7037124&amp;Result=3","7037124")</f>
        <v>0</v>
      </c>
      <c r="B6729" t="s">
        <v>874</v>
      </c>
      <c r="C6729" t="s">
        <v>9117</v>
      </c>
      <c r="E6729" t="s">
        <v>19009</v>
      </c>
      <c r="F6729" t="s">
        <v>22436</v>
      </c>
      <c r="G6729" t="s">
        <v>22443</v>
      </c>
      <c r="H6729" t="s">
        <v>22452</v>
      </c>
      <c r="I6729" t="s">
        <v>22502</v>
      </c>
      <c r="J6729" t="s">
        <v>22605</v>
      </c>
      <c r="K6729" t="s">
        <v>29338</v>
      </c>
      <c r="M6729" t="s">
        <v>30482</v>
      </c>
      <c r="N6729" t="s">
        <v>32524</v>
      </c>
      <c r="O6729" t="s">
        <v>32525</v>
      </c>
      <c r="P6729">
        <v>0</v>
      </c>
      <c r="Q6729">
        <v>18</v>
      </c>
      <c r="R6729" t="s">
        <v>32532</v>
      </c>
      <c r="S6729" t="s">
        <v>32616</v>
      </c>
      <c r="T6729" t="s">
        <v>33327</v>
      </c>
      <c r="U6729" t="s">
        <v>38853</v>
      </c>
      <c r="W6729" t="s">
        <v>30482</v>
      </c>
      <c r="X6729" t="s">
        <v>32533</v>
      </c>
    </row>
    <row r="6730" spans="1:24">
      <c r="A6730">
        <f>HYPERLINK("https://www.philgeps.gov.ph/GEPSNONPILOT/Tender/SplashBidNoticeAbstractUI.aspx?menuIndex=3&amp;refID=7037134&amp;Result=3","7037134")</f>
        <v>0</v>
      </c>
      <c r="B6730" t="s">
        <v>2078</v>
      </c>
      <c r="C6730" t="s">
        <v>9118</v>
      </c>
      <c r="D6730" t="s">
        <v>12998</v>
      </c>
      <c r="E6730" t="s">
        <v>19010</v>
      </c>
      <c r="F6730" t="s">
        <v>22436</v>
      </c>
      <c r="G6730" t="s">
        <v>22444</v>
      </c>
      <c r="H6730" t="s">
        <v>22454</v>
      </c>
      <c r="I6730" t="s">
        <v>7738</v>
      </c>
      <c r="J6730" t="s">
        <v>24941</v>
      </c>
      <c r="K6730" t="s">
        <v>29337</v>
      </c>
      <c r="M6730" t="s">
        <v>31822</v>
      </c>
      <c r="N6730" t="s">
        <v>32524</v>
      </c>
      <c r="O6730" t="s">
        <v>32525</v>
      </c>
      <c r="P6730">
        <v>0</v>
      </c>
      <c r="Q6730">
        <v>1</v>
      </c>
      <c r="R6730" t="s">
        <v>32532</v>
      </c>
      <c r="S6730" t="s">
        <v>32616</v>
      </c>
      <c r="T6730" t="s">
        <v>33234</v>
      </c>
      <c r="U6730" t="s">
        <v>39266</v>
      </c>
      <c r="V6730" t="s">
        <v>43158</v>
      </c>
      <c r="W6730" t="s">
        <v>31822</v>
      </c>
      <c r="X6730" t="s">
        <v>32533</v>
      </c>
    </row>
    <row r="6731" spans="1:24">
      <c r="A6731">
        <f>HYPERLINK("https://www.philgeps.gov.ph/GEPSNONPILOT/Tender/SplashBidNoticeAbstractUI.aspx?menuIndex=3&amp;refID=7037118&amp;Result=3","7037118")</f>
        <v>0</v>
      </c>
      <c r="B6731" t="s">
        <v>1718</v>
      </c>
      <c r="C6731" t="s">
        <v>9119</v>
      </c>
      <c r="D6731" t="s">
        <v>13000</v>
      </c>
      <c r="E6731" t="s">
        <v>19011</v>
      </c>
      <c r="F6731" t="s">
        <v>22436</v>
      </c>
      <c r="G6731" t="s">
        <v>22444</v>
      </c>
      <c r="H6731" t="s">
        <v>22454</v>
      </c>
      <c r="I6731" t="s">
        <v>7738</v>
      </c>
      <c r="J6731" t="s">
        <v>23397</v>
      </c>
      <c r="K6731" t="s">
        <v>29334</v>
      </c>
      <c r="M6731" t="s">
        <v>31422</v>
      </c>
      <c r="N6731" t="s">
        <v>32524</v>
      </c>
      <c r="O6731" t="s">
        <v>32525</v>
      </c>
      <c r="P6731">
        <v>0</v>
      </c>
      <c r="Q6731">
        <v>1</v>
      </c>
      <c r="R6731" t="s">
        <v>32532</v>
      </c>
      <c r="S6731" t="s">
        <v>32616</v>
      </c>
      <c r="T6731" t="s">
        <v>33196</v>
      </c>
      <c r="U6731" t="s">
        <v>39267</v>
      </c>
      <c r="W6731" t="s">
        <v>31422</v>
      </c>
      <c r="X6731" t="s">
        <v>32533</v>
      </c>
    </row>
    <row r="6732" spans="1:24">
      <c r="A6732">
        <f>HYPERLINK("https://www.philgeps.gov.ph/GEPSNONPILOT/Tender/SplashBidNoticeAbstractUI.aspx?menuIndex=3&amp;refID=7037112&amp;Result=3","7037112")</f>
        <v>0</v>
      </c>
      <c r="B6732" t="s">
        <v>87</v>
      </c>
      <c r="C6732" t="s">
        <v>9120</v>
      </c>
      <c r="E6732" t="s">
        <v>19012</v>
      </c>
      <c r="F6732" t="s">
        <v>22436</v>
      </c>
      <c r="G6732" t="s">
        <v>22444</v>
      </c>
      <c r="H6732" t="s">
        <v>22454</v>
      </c>
      <c r="I6732" t="s">
        <v>7738</v>
      </c>
      <c r="J6732" t="s">
        <v>26949</v>
      </c>
      <c r="K6732" t="s">
        <v>29338</v>
      </c>
      <c r="M6732" t="s">
        <v>29659</v>
      </c>
      <c r="N6732" t="s">
        <v>32524</v>
      </c>
      <c r="O6732" t="s">
        <v>32525</v>
      </c>
      <c r="Q6732">
        <v>2</v>
      </c>
      <c r="R6732" t="s">
        <v>32532</v>
      </c>
      <c r="S6732" t="s">
        <v>32641</v>
      </c>
      <c r="T6732" t="s">
        <v>33385</v>
      </c>
      <c r="U6732" t="s">
        <v>39268</v>
      </c>
      <c r="W6732" t="s">
        <v>29659</v>
      </c>
      <c r="X6732" t="s">
        <v>32533</v>
      </c>
    </row>
    <row r="6733" spans="1:24">
      <c r="A6733">
        <f>HYPERLINK("https://www.philgeps.gov.ph/GEPSNONPILOT/Tender/SplashBidNoticeAbstractUI.aspx?menuIndex=3&amp;refID=7037105&amp;Result=3","7037105")</f>
        <v>0</v>
      </c>
      <c r="B6733" t="s">
        <v>874</v>
      </c>
      <c r="C6733" t="s">
        <v>9121</v>
      </c>
      <c r="E6733" t="s">
        <v>19013</v>
      </c>
      <c r="F6733" t="s">
        <v>22436</v>
      </c>
      <c r="G6733" t="s">
        <v>22445</v>
      </c>
      <c r="H6733" t="s">
        <v>22452</v>
      </c>
      <c r="I6733" t="s">
        <v>3827</v>
      </c>
      <c r="J6733" t="s">
        <v>22605</v>
      </c>
      <c r="K6733" t="s">
        <v>29338</v>
      </c>
      <c r="M6733" t="s">
        <v>30482</v>
      </c>
      <c r="N6733" t="s">
        <v>32524</v>
      </c>
      <c r="O6733" t="s">
        <v>32525</v>
      </c>
      <c r="P6733">
        <v>0</v>
      </c>
      <c r="Q6733">
        <v>8</v>
      </c>
      <c r="R6733" t="s">
        <v>32532</v>
      </c>
      <c r="S6733" t="s">
        <v>32616</v>
      </c>
      <c r="T6733" t="s">
        <v>33327</v>
      </c>
      <c r="U6733" t="s">
        <v>38853</v>
      </c>
      <c r="W6733" t="s">
        <v>30482</v>
      </c>
      <c r="X6733" t="s">
        <v>32533</v>
      </c>
    </row>
    <row r="6734" spans="1:24">
      <c r="A6734">
        <f>HYPERLINK("https://www.philgeps.gov.ph/GEPSNONPILOT/Tender/SplashBidNoticeAbstractUI.aspx?menuIndex=3&amp;refID=7037117&amp;Result=3","7037117")</f>
        <v>0</v>
      </c>
      <c r="B6734" t="s">
        <v>46</v>
      </c>
      <c r="C6734" t="s">
        <v>9122</v>
      </c>
      <c r="D6734" t="s">
        <v>13006</v>
      </c>
      <c r="E6734" t="s">
        <v>9122</v>
      </c>
      <c r="F6734" t="s">
        <v>22436</v>
      </c>
      <c r="G6734" t="s">
        <v>22444</v>
      </c>
      <c r="H6734" t="s">
        <v>22452</v>
      </c>
      <c r="I6734" t="s">
        <v>22467</v>
      </c>
      <c r="J6734" t="s">
        <v>26950</v>
      </c>
      <c r="K6734" t="s">
        <v>29330</v>
      </c>
      <c r="M6734" t="s">
        <v>29617</v>
      </c>
      <c r="N6734" t="s">
        <v>32524</v>
      </c>
      <c r="O6734" t="s">
        <v>32525</v>
      </c>
      <c r="P6734">
        <v>0</v>
      </c>
      <c r="Q6734">
        <v>0</v>
      </c>
      <c r="R6734" t="s">
        <v>32532</v>
      </c>
      <c r="S6734" t="s">
        <v>32616</v>
      </c>
      <c r="T6734" t="s">
        <v>33238</v>
      </c>
      <c r="U6734" t="s">
        <v>39269</v>
      </c>
      <c r="V6734" t="s">
        <v>43078</v>
      </c>
      <c r="W6734" t="s">
        <v>29617</v>
      </c>
      <c r="X6734" t="s">
        <v>32533</v>
      </c>
    </row>
    <row r="6735" spans="1:24">
      <c r="A6735">
        <f>HYPERLINK("https://www.philgeps.gov.ph/GEPSNONPILOT/Tender/SplashBidNoticeAbstractUI.aspx?menuIndex=3&amp;refID=7037129&amp;Result=3","7037129")</f>
        <v>0</v>
      </c>
      <c r="B6735" t="s">
        <v>2072</v>
      </c>
      <c r="C6735" t="s">
        <v>9123</v>
      </c>
      <c r="D6735" t="s">
        <v>13001</v>
      </c>
      <c r="E6735" t="s">
        <v>19014</v>
      </c>
      <c r="F6735" t="s">
        <v>22436</v>
      </c>
      <c r="G6735" t="s">
        <v>22444</v>
      </c>
      <c r="H6735" t="s">
        <v>22454</v>
      </c>
      <c r="I6735" t="s">
        <v>7738</v>
      </c>
      <c r="J6735" t="s">
        <v>26951</v>
      </c>
      <c r="K6735" t="s">
        <v>29338</v>
      </c>
      <c r="M6735" t="s">
        <v>31816</v>
      </c>
      <c r="N6735" t="s">
        <v>32524</v>
      </c>
      <c r="O6735" t="s">
        <v>32525</v>
      </c>
      <c r="P6735">
        <v>0</v>
      </c>
      <c r="Q6735">
        <v>1</v>
      </c>
      <c r="R6735" t="s">
        <v>32532</v>
      </c>
      <c r="S6735" t="s">
        <v>32616</v>
      </c>
      <c r="T6735" t="s">
        <v>33372</v>
      </c>
      <c r="U6735" t="s">
        <v>39270</v>
      </c>
      <c r="V6735" t="s">
        <v>43155</v>
      </c>
      <c r="W6735" t="s">
        <v>31816</v>
      </c>
      <c r="X6735" t="s">
        <v>32533</v>
      </c>
    </row>
    <row r="6736" spans="1:24">
      <c r="A6736">
        <f>HYPERLINK("https://www.philgeps.gov.ph/GEPSNONPILOT/Tender/SplashBidNoticeAbstractUI.aspx?menuIndex=3&amp;refID=7037115&amp;Result=3","7037115")</f>
        <v>0</v>
      </c>
      <c r="B6736" t="s">
        <v>2074</v>
      </c>
      <c r="C6736" t="s">
        <v>5522</v>
      </c>
      <c r="D6736" t="s">
        <v>12994</v>
      </c>
      <c r="E6736" t="s">
        <v>15136</v>
      </c>
      <c r="F6736" t="s">
        <v>22436</v>
      </c>
      <c r="G6736" t="s">
        <v>22444</v>
      </c>
      <c r="H6736" t="s">
        <v>22452</v>
      </c>
      <c r="I6736" t="s">
        <v>3529</v>
      </c>
      <c r="J6736" t="s">
        <v>23775</v>
      </c>
      <c r="K6736" t="s">
        <v>29336</v>
      </c>
      <c r="M6736" t="s">
        <v>31818</v>
      </c>
      <c r="N6736" t="s">
        <v>32524</v>
      </c>
      <c r="O6736" t="s">
        <v>32525</v>
      </c>
      <c r="P6736">
        <v>0</v>
      </c>
      <c r="Q6736">
        <v>0</v>
      </c>
      <c r="R6736" t="s">
        <v>32532</v>
      </c>
      <c r="S6736" t="s">
        <v>32616</v>
      </c>
      <c r="T6736" t="s">
        <v>33304</v>
      </c>
      <c r="U6736" t="s">
        <v>39271</v>
      </c>
      <c r="W6736" t="s">
        <v>31818</v>
      </c>
      <c r="X6736" t="s">
        <v>32533</v>
      </c>
    </row>
    <row r="6737" spans="1:24">
      <c r="A6737">
        <f>HYPERLINK("https://www.philgeps.gov.ph/GEPSNONPILOT/Tender/SplashBidNoticeAbstractUI.aspx?menuIndex=3&amp;refID=7037137&amp;Result=3","7037137")</f>
        <v>0</v>
      </c>
      <c r="B6737" t="s">
        <v>2042</v>
      </c>
      <c r="C6737" t="s">
        <v>9124</v>
      </c>
      <c r="D6737" t="s">
        <v>13022</v>
      </c>
      <c r="E6737" t="s">
        <v>19015</v>
      </c>
      <c r="F6737" t="s">
        <v>22436</v>
      </c>
      <c r="G6737" t="s">
        <v>22444</v>
      </c>
      <c r="H6737" t="s">
        <v>22454</v>
      </c>
      <c r="I6737" t="s">
        <v>7738</v>
      </c>
      <c r="J6737" t="s">
        <v>26952</v>
      </c>
      <c r="K6737" t="s">
        <v>29334</v>
      </c>
      <c r="M6737" t="s">
        <v>31779</v>
      </c>
      <c r="N6737" t="s">
        <v>32524</v>
      </c>
      <c r="O6737" t="s">
        <v>32525</v>
      </c>
      <c r="P6737">
        <v>0</v>
      </c>
      <c r="Q6737">
        <v>19</v>
      </c>
      <c r="R6737" t="s">
        <v>32532</v>
      </c>
      <c r="S6737" t="s">
        <v>32616</v>
      </c>
      <c r="T6737" t="s">
        <v>33259</v>
      </c>
      <c r="U6737" t="s">
        <v>39272</v>
      </c>
      <c r="W6737" t="s">
        <v>31779</v>
      </c>
      <c r="X6737" t="s">
        <v>32533</v>
      </c>
    </row>
    <row r="6738" spans="1:24">
      <c r="A6738">
        <f>HYPERLINK("https://www.philgeps.gov.ph/GEPSNONPILOT/Tender/SplashBidNoticeAbstractUI.aspx?menuIndex=3&amp;refID=7037088&amp;Result=3","7037088")</f>
        <v>0</v>
      </c>
      <c r="B6738" t="s">
        <v>1019</v>
      </c>
      <c r="C6738" t="s">
        <v>9125</v>
      </c>
      <c r="D6738" t="s">
        <v>13016</v>
      </c>
      <c r="E6738" t="s">
        <v>19016</v>
      </c>
      <c r="F6738" t="s">
        <v>22436</v>
      </c>
      <c r="G6738" t="s">
        <v>22444</v>
      </c>
      <c r="H6738" t="s">
        <v>22452</v>
      </c>
      <c r="I6738" t="s">
        <v>3529</v>
      </c>
      <c r="J6738" t="s">
        <v>26953</v>
      </c>
      <c r="K6738" t="s">
        <v>29338</v>
      </c>
      <c r="M6738" t="s">
        <v>30647</v>
      </c>
      <c r="N6738" t="s">
        <v>32524</v>
      </c>
      <c r="O6738" t="s">
        <v>32525</v>
      </c>
      <c r="P6738">
        <v>0</v>
      </c>
      <c r="Q6738">
        <v>0</v>
      </c>
      <c r="R6738" t="s">
        <v>32532</v>
      </c>
      <c r="S6738" t="s">
        <v>32616</v>
      </c>
      <c r="T6738" t="s">
        <v>33537</v>
      </c>
      <c r="U6738" t="s">
        <v>38068</v>
      </c>
      <c r="V6738" t="s">
        <v>43159</v>
      </c>
      <c r="W6738" t="s">
        <v>30647</v>
      </c>
      <c r="X6738" t="s">
        <v>32533</v>
      </c>
    </row>
    <row r="6739" spans="1:24">
      <c r="A6739">
        <f>HYPERLINK("https://www.philgeps.gov.ph/GEPSNONPILOT/Tender/SplashBidNoticeAbstractUI.aspx?menuIndex=3&amp;refID=7037151&amp;Result=3","7037151")</f>
        <v>0</v>
      </c>
      <c r="B6739" t="s">
        <v>1793</v>
      </c>
      <c r="C6739" t="s">
        <v>5142</v>
      </c>
      <c r="D6739" t="s">
        <v>13012</v>
      </c>
      <c r="E6739" t="s">
        <v>19017</v>
      </c>
      <c r="F6739" t="s">
        <v>22437</v>
      </c>
      <c r="G6739" t="s">
        <v>22443</v>
      </c>
      <c r="H6739" t="s">
        <v>22452</v>
      </c>
      <c r="I6739" t="s">
        <v>22482</v>
      </c>
      <c r="J6739" t="s">
        <v>26954</v>
      </c>
      <c r="K6739" t="s">
        <v>29336</v>
      </c>
      <c r="M6739" t="s">
        <v>31504</v>
      </c>
      <c r="N6739" t="s">
        <v>32524</v>
      </c>
      <c r="O6739" t="s">
        <v>32525</v>
      </c>
      <c r="P6739">
        <v>0</v>
      </c>
      <c r="Q6739">
        <v>2</v>
      </c>
      <c r="R6739" t="s">
        <v>32532</v>
      </c>
      <c r="S6739" t="s">
        <v>32616</v>
      </c>
      <c r="T6739" t="s">
        <v>33229</v>
      </c>
      <c r="U6739" t="s">
        <v>39273</v>
      </c>
      <c r="V6739" t="s">
        <v>43020</v>
      </c>
      <c r="W6739" t="s">
        <v>31504</v>
      </c>
      <c r="X6739" t="s">
        <v>32533</v>
      </c>
    </row>
    <row r="6740" spans="1:24">
      <c r="A6740">
        <f>HYPERLINK("https://www.philgeps.gov.ph/GEPSNONPILOT/Tender/SplashBidNoticeAbstractUI.aspx?menuIndex=3&amp;refID=7037144&amp;Result=3","7037144")</f>
        <v>0</v>
      </c>
      <c r="B6740" t="s">
        <v>87</v>
      </c>
      <c r="C6740" t="s">
        <v>9126</v>
      </c>
      <c r="E6740" t="s">
        <v>19018</v>
      </c>
      <c r="F6740" t="s">
        <v>22436</v>
      </c>
      <c r="G6740" t="s">
        <v>22444</v>
      </c>
      <c r="H6740" t="s">
        <v>22454</v>
      </c>
      <c r="I6740" t="s">
        <v>7738</v>
      </c>
      <c r="J6740" t="s">
        <v>26955</v>
      </c>
      <c r="K6740" t="s">
        <v>29338</v>
      </c>
      <c r="M6740" t="s">
        <v>29659</v>
      </c>
      <c r="N6740" t="s">
        <v>32524</v>
      </c>
      <c r="O6740" t="s">
        <v>32525</v>
      </c>
      <c r="Q6740">
        <v>2</v>
      </c>
      <c r="R6740" t="s">
        <v>32532</v>
      </c>
      <c r="S6740" t="s">
        <v>32642</v>
      </c>
      <c r="T6740" t="s">
        <v>33218</v>
      </c>
      <c r="U6740" t="s">
        <v>39274</v>
      </c>
      <c r="W6740" t="s">
        <v>29659</v>
      </c>
      <c r="X6740" t="s">
        <v>32533</v>
      </c>
    </row>
    <row r="6741" spans="1:24">
      <c r="A6741">
        <f>HYPERLINK("https://www.philgeps.gov.ph/GEPSNONPILOT/Tender/SplashBidNoticeAbstractUI.aspx?menuIndex=3&amp;refID=7037162&amp;Result=3","7037162")</f>
        <v>0</v>
      </c>
      <c r="B6741" t="s">
        <v>1019</v>
      </c>
      <c r="C6741" t="s">
        <v>9127</v>
      </c>
      <c r="D6741" t="s">
        <v>13016</v>
      </c>
      <c r="E6741" t="s">
        <v>19019</v>
      </c>
      <c r="F6741" t="s">
        <v>22436</v>
      </c>
      <c r="G6741" t="s">
        <v>22444</v>
      </c>
      <c r="H6741" t="s">
        <v>22452</v>
      </c>
      <c r="I6741" t="s">
        <v>7110</v>
      </c>
      <c r="J6741" t="s">
        <v>26956</v>
      </c>
      <c r="K6741" t="s">
        <v>29338</v>
      </c>
      <c r="M6741" t="s">
        <v>30647</v>
      </c>
      <c r="N6741" t="s">
        <v>32524</v>
      </c>
      <c r="O6741" t="s">
        <v>32525</v>
      </c>
      <c r="P6741">
        <v>0</v>
      </c>
      <c r="Q6741">
        <v>4</v>
      </c>
      <c r="R6741" t="s">
        <v>32532</v>
      </c>
      <c r="S6741" t="s">
        <v>32616</v>
      </c>
      <c r="T6741" t="s">
        <v>33537</v>
      </c>
      <c r="U6741" t="s">
        <v>38068</v>
      </c>
      <c r="V6741" t="s">
        <v>43160</v>
      </c>
      <c r="W6741" t="s">
        <v>30647</v>
      </c>
      <c r="X6741" t="s">
        <v>32533</v>
      </c>
    </row>
    <row r="6742" spans="1:24">
      <c r="A6742">
        <f>HYPERLINK("https://www.philgeps.gov.ph/GEPSNONPILOT/Tender/SplashBidNoticeAbstractUI.aspx?menuIndex=3&amp;refID=7037150&amp;Result=3","7037150")</f>
        <v>0</v>
      </c>
      <c r="B6742" t="s">
        <v>874</v>
      </c>
      <c r="C6742" t="s">
        <v>9128</v>
      </c>
      <c r="E6742" t="s">
        <v>19020</v>
      </c>
      <c r="F6742" t="s">
        <v>22436</v>
      </c>
      <c r="G6742" t="s">
        <v>22443</v>
      </c>
      <c r="H6742" t="s">
        <v>22452</v>
      </c>
      <c r="I6742" t="s">
        <v>22502</v>
      </c>
      <c r="J6742" t="s">
        <v>23191</v>
      </c>
      <c r="K6742" t="s">
        <v>29338</v>
      </c>
      <c r="M6742" t="s">
        <v>30482</v>
      </c>
      <c r="N6742" t="s">
        <v>32524</v>
      </c>
      <c r="O6742" t="s">
        <v>32525</v>
      </c>
      <c r="P6742">
        <v>0</v>
      </c>
      <c r="Q6742">
        <v>2</v>
      </c>
      <c r="R6742" t="s">
        <v>32532</v>
      </c>
      <c r="S6742" t="s">
        <v>32616</v>
      </c>
      <c r="T6742" t="s">
        <v>33327</v>
      </c>
      <c r="U6742" t="s">
        <v>38853</v>
      </c>
      <c r="W6742" t="s">
        <v>30482</v>
      </c>
      <c r="X6742" t="s">
        <v>32533</v>
      </c>
    </row>
    <row r="6743" spans="1:24">
      <c r="A6743">
        <f>HYPERLINK("https://www.philgeps.gov.ph/GEPSNONPILOT/Tender/SplashBidNoticeAbstractUI.aspx?menuIndex=3&amp;refID=7037168&amp;Result=3","7037168")</f>
        <v>0</v>
      </c>
      <c r="B6743" t="s">
        <v>168</v>
      </c>
      <c r="C6743" t="s">
        <v>9129</v>
      </c>
      <c r="D6743" t="s">
        <v>13015</v>
      </c>
      <c r="E6743" t="s">
        <v>19021</v>
      </c>
      <c r="F6743" t="s">
        <v>22436</v>
      </c>
      <c r="G6743" t="s">
        <v>22444</v>
      </c>
      <c r="H6743" t="s">
        <v>22452</v>
      </c>
      <c r="I6743" t="s">
        <v>22489</v>
      </c>
      <c r="J6743" t="s">
        <v>25619</v>
      </c>
      <c r="K6743" t="s">
        <v>29335</v>
      </c>
      <c r="M6743" t="s">
        <v>31341</v>
      </c>
      <c r="N6743" t="s">
        <v>32524</v>
      </c>
      <c r="O6743" t="s">
        <v>32525</v>
      </c>
      <c r="P6743">
        <v>0</v>
      </c>
      <c r="Q6743">
        <v>1</v>
      </c>
      <c r="R6743" t="s">
        <v>32532</v>
      </c>
      <c r="S6743" t="s">
        <v>32616</v>
      </c>
      <c r="T6743" t="s">
        <v>33213</v>
      </c>
      <c r="U6743" t="s">
        <v>33937</v>
      </c>
      <c r="V6743" t="s">
        <v>42464</v>
      </c>
      <c r="W6743" t="s">
        <v>31341</v>
      </c>
      <c r="X6743" t="s">
        <v>32533</v>
      </c>
    </row>
    <row r="6744" spans="1:24">
      <c r="A6744">
        <f>HYPERLINK("https://www.philgeps.gov.ph/GEPSNONPILOT/Tender/SplashBidNoticeAbstractUI.aspx?menuIndex=3&amp;refID=7037143&amp;Result=3","7037143")</f>
        <v>0</v>
      </c>
      <c r="B6744" t="s">
        <v>1450</v>
      </c>
      <c r="C6744" t="s">
        <v>9130</v>
      </c>
      <c r="D6744" t="s">
        <v>13011</v>
      </c>
      <c r="E6744" t="s">
        <v>19022</v>
      </c>
      <c r="F6744" t="s">
        <v>22436</v>
      </c>
      <c r="G6744" t="s">
        <v>22444</v>
      </c>
      <c r="H6744" t="s">
        <v>22454</v>
      </c>
      <c r="I6744" t="s">
        <v>7738</v>
      </c>
      <c r="J6744" t="s">
        <v>25584</v>
      </c>
      <c r="K6744" t="s">
        <v>29401</v>
      </c>
      <c r="M6744" t="s">
        <v>31114</v>
      </c>
      <c r="N6744" t="s">
        <v>32524</v>
      </c>
      <c r="O6744" t="s">
        <v>32525</v>
      </c>
      <c r="P6744">
        <v>0</v>
      </c>
      <c r="Q6744">
        <v>4</v>
      </c>
      <c r="R6744" t="s">
        <v>32532</v>
      </c>
      <c r="S6744" t="s">
        <v>32616</v>
      </c>
      <c r="T6744" t="s">
        <v>33249</v>
      </c>
      <c r="U6744" t="s">
        <v>39130</v>
      </c>
      <c r="W6744" t="s">
        <v>31114</v>
      </c>
      <c r="X6744" t="s">
        <v>32533</v>
      </c>
    </row>
    <row r="6745" spans="1:24">
      <c r="A6745">
        <f>HYPERLINK("https://www.philgeps.gov.ph/GEPSNONPILOT/Tender/SplashBidNoticeAbstractUI.aspx?menuIndex=3&amp;refID=7037176&amp;Result=3","7037176")</f>
        <v>0</v>
      </c>
      <c r="B6745" t="s">
        <v>1816</v>
      </c>
      <c r="C6745" t="s">
        <v>2818</v>
      </c>
      <c r="D6745" t="s">
        <v>12993</v>
      </c>
      <c r="E6745" t="s">
        <v>19023</v>
      </c>
      <c r="F6745" t="s">
        <v>22436</v>
      </c>
      <c r="G6745" t="s">
        <v>22444</v>
      </c>
      <c r="H6745" t="s">
        <v>22452</v>
      </c>
      <c r="I6745" t="s">
        <v>22460</v>
      </c>
      <c r="J6745" t="s">
        <v>26957</v>
      </c>
      <c r="K6745" t="s">
        <v>29335</v>
      </c>
      <c r="M6745" t="s">
        <v>31530</v>
      </c>
      <c r="N6745" t="s">
        <v>32524</v>
      </c>
      <c r="O6745" t="s">
        <v>32525</v>
      </c>
      <c r="P6745">
        <v>0</v>
      </c>
      <c r="Q6745">
        <v>0</v>
      </c>
      <c r="R6745" t="s">
        <v>32532</v>
      </c>
      <c r="S6745" t="s">
        <v>32616</v>
      </c>
      <c r="T6745" t="s">
        <v>33238</v>
      </c>
      <c r="U6745" t="s">
        <v>39275</v>
      </c>
      <c r="W6745" t="s">
        <v>31530</v>
      </c>
      <c r="X6745" t="s">
        <v>32533</v>
      </c>
    </row>
    <row r="6746" spans="1:24">
      <c r="A6746">
        <f>HYPERLINK("https://www.philgeps.gov.ph/GEPSNONPILOT/Tender/SplashBidNoticeAbstractUI.aspx?menuIndex=3&amp;refID=7037140&amp;Result=3","7037140")</f>
        <v>0</v>
      </c>
      <c r="B6746" t="s">
        <v>168</v>
      </c>
      <c r="C6746" t="s">
        <v>9131</v>
      </c>
      <c r="D6746" t="s">
        <v>13015</v>
      </c>
      <c r="E6746" t="s">
        <v>19024</v>
      </c>
      <c r="F6746" t="s">
        <v>22436</v>
      </c>
      <c r="G6746" t="s">
        <v>22444</v>
      </c>
      <c r="H6746" t="s">
        <v>22452</v>
      </c>
      <c r="I6746" t="s">
        <v>12358</v>
      </c>
      <c r="J6746" t="s">
        <v>23664</v>
      </c>
      <c r="K6746" t="s">
        <v>29335</v>
      </c>
      <c r="M6746" t="s">
        <v>31341</v>
      </c>
      <c r="N6746" t="s">
        <v>32524</v>
      </c>
      <c r="O6746" t="s">
        <v>32525</v>
      </c>
      <c r="P6746">
        <v>0</v>
      </c>
      <c r="Q6746">
        <v>0</v>
      </c>
      <c r="R6746" t="s">
        <v>32532</v>
      </c>
      <c r="S6746" t="s">
        <v>32616</v>
      </c>
      <c r="T6746" t="s">
        <v>33213</v>
      </c>
      <c r="U6746" t="s">
        <v>33937</v>
      </c>
      <c r="V6746" t="s">
        <v>42464</v>
      </c>
      <c r="W6746" t="s">
        <v>31341</v>
      </c>
      <c r="X6746" t="s">
        <v>32533</v>
      </c>
    </row>
    <row r="6747" spans="1:24">
      <c r="A6747">
        <f>HYPERLINK("https://www.philgeps.gov.ph/GEPSNONPILOT/Tender/SplashBidNoticeAbstractUI.aspx?menuIndex=3&amp;refID=7037154&amp;Result=3","7037154")</f>
        <v>0</v>
      </c>
      <c r="B6747" t="s">
        <v>317</v>
      </c>
      <c r="C6747" t="s">
        <v>9132</v>
      </c>
      <c r="D6747" t="s">
        <v>13031</v>
      </c>
      <c r="E6747" t="s">
        <v>19025</v>
      </c>
      <c r="F6747" t="s">
        <v>22436</v>
      </c>
      <c r="G6747" t="s">
        <v>22444</v>
      </c>
      <c r="H6747" t="s">
        <v>22454</v>
      </c>
      <c r="I6747" t="s">
        <v>7738</v>
      </c>
      <c r="J6747" t="s">
        <v>22960</v>
      </c>
      <c r="K6747" t="s">
        <v>29334</v>
      </c>
      <c r="M6747" t="s">
        <v>31152</v>
      </c>
      <c r="N6747" t="s">
        <v>32524</v>
      </c>
      <c r="O6747" t="s">
        <v>32525</v>
      </c>
      <c r="P6747">
        <v>0</v>
      </c>
      <c r="Q6747">
        <v>0</v>
      </c>
      <c r="R6747" t="s">
        <v>32532</v>
      </c>
      <c r="S6747" t="s">
        <v>32616</v>
      </c>
      <c r="T6747" t="s">
        <v>33234</v>
      </c>
      <c r="U6747" t="s">
        <v>39265</v>
      </c>
      <c r="W6747" t="s">
        <v>31152</v>
      </c>
      <c r="X6747" t="s">
        <v>32533</v>
      </c>
    </row>
    <row r="6748" spans="1:24">
      <c r="A6748">
        <f>HYPERLINK("https://www.philgeps.gov.ph/GEPSNONPILOT/Tender/SplashBidNoticeAbstractUI.aspx?menuIndex=3&amp;refID=7037169&amp;Result=3","7037169")</f>
        <v>0</v>
      </c>
      <c r="B6748" t="s">
        <v>332</v>
      </c>
      <c r="C6748" t="s">
        <v>9133</v>
      </c>
      <c r="D6748" t="s">
        <v>13013</v>
      </c>
      <c r="E6748" t="s">
        <v>19026</v>
      </c>
      <c r="F6748" t="s">
        <v>22436</v>
      </c>
      <c r="G6748" t="s">
        <v>22443</v>
      </c>
      <c r="H6748" t="s">
        <v>22452</v>
      </c>
      <c r="I6748" t="s">
        <v>11896</v>
      </c>
      <c r="J6748" t="s">
        <v>26958</v>
      </c>
      <c r="K6748" t="s">
        <v>29334</v>
      </c>
      <c r="M6748" t="s">
        <v>29908</v>
      </c>
      <c r="N6748" t="s">
        <v>32524</v>
      </c>
      <c r="O6748" t="s">
        <v>32525</v>
      </c>
      <c r="P6748">
        <v>0</v>
      </c>
      <c r="Q6748">
        <v>2</v>
      </c>
      <c r="R6748" t="s">
        <v>32532</v>
      </c>
      <c r="S6748" t="s">
        <v>32616</v>
      </c>
      <c r="T6748" t="s">
        <v>33185</v>
      </c>
      <c r="U6748" t="s">
        <v>39276</v>
      </c>
      <c r="W6748" t="s">
        <v>43678</v>
      </c>
      <c r="X6748" t="s">
        <v>32533</v>
      </c>
    </row>
    <row r="6749" spans="1:24">
      <c r="A6749">
        <f>HYPERLINK("https://www.philgeps.gov.ph/GEPSNONPILOT/Tender/SplashBidNoticeAbstractUI.aspx?menuIndex=3&amp;refID=7037175&amp;Result=3","7037175")</f>
        <v>0</v>
      </c>
      <c r="B6749" t="s">
        <v>2073</v>
      </c>
      <c r="C6749" t="s">
        <v>9134</v>
      </c>
      <c r="D6749" t="s">
        <v>13044</v>
      </c>
      <c r="E6749" t="s">
        <v>19027</v>
      </c>
      <c r="F6749" t="s">
        <v>22436</v>
      </c>
      <c r="G6749" t="s">
        <v>22444</v>
      </c>
      <c r="H6749" t="s">
        <v>22454</v>
      </c>
      <c r="I6749" t="s">
        <v>7738</v>
      </c>
      <c r="J6749" t="s">
        <v>26959</v>
      </c>
      <c r="K6749" t="s">
        <v>29331</v>
      </c>
      <c r="M6749" t="s">
        <v>31817</v>
      </c>
      <c r="N6749" t="s">
        <v>32524</v>
      </c>
      <c r="O6749" t="s">
        <v>32525</v>
      </c>
      <c r="P6749">
        <v>0</v>
      </c>
      <c r="Q6749">
        <v>0</v>
      </c>
      <c r="R6749" t="s">
        <v>32532</v>
      </c>
      <c r="S6749" t="s">
        <v>32616</v>
      </c>
      <c r="T6749" t="s">
        <v>33494</v>
      </c>
      <c r="U6749" t="s">
        <v>39277</v>
      </c>
      <c r="W6749" t="s">
        <v>31817</v>
      </c>
      <c r="X6749" t="s">
        <v>32533</v>
      </c>
    </row>
    <row r="6750" spans="1:24">
      <c r="A6750">
        <f>HYPERLINK("https://www.philgeps.gov.ph/GEPSNONPILOT/Tender/SplashBidNoticeAbstractUI.aspx?menuIndex=3&amp;refID=7037165&amp;Result=3","7037165")</f>
        <v>0</v>
      </c>
      <c r="B6750" t="s">
        <v>128</v>
      </c>
      <c r="C6750" t="s">
        <v>9135</v>
      </c>
      <c r="D6750" t="s">
        <v>13025</v>
      </c>
      <c r="E6750" t="s">
        <v>19028</v>
      </c>
      <c r="F6750" t="s">
        <v>22436</v>
      </c>
      <c r="G6750" t="s">
        <v>22444</v>
      </c>
      <c r="H6750" t="s">
        <v>22452</v>
      </c>
      <c r="I6750" t="s">
        <v>3529</v>
      </c>
      <c r="J6750" t="s">
        <v>26960</v>
      </c>
      <c r="K6750" t="s">
        <v>29331</v>
      </c>
      <c r="M6750" t="s">
        <v>29700</v>
      </c>
      <c r="N6750" t="s">
        <v>32524</v>
      </c>
      <c r="O6750" t="s">
        <v>32525</v>
      </c>
      <c r="P6750">
        <v>0</v>
      </c>
      <c r="Q6750">
        <v>0</v>
      </c>
      <c r="R6750" t="s">
        <v>32532</v>
      </c>
      <c r="S6750" t="s">
        <v>32616</v>
      </c>
      <c r="T6750" t="s">
        <v>33220</v>
      </c>
      <c r="U6750" t="s">
        <v>39278</v>
      </c>
      <c r="W6750" t="s">
        <v>29700</v>
      </c>
      <c r="X6750" t="s">
        <v>32533</v>
      </c>
    </row>
    <row r="6751" spans="1:24">
      <c r="A6751">
        <f>HYPERLINK("https://www.philgeps.gov.ph/GEPSNONPILOT/Tender/SplashBidNoticeAbstractUI.aspx?menuIndex=3&amp;refID=7037174&amp;Result=3","7037174")</f>
        <v>0</v>
      </c>
      <c r="B6751" t="s">
        <v>740</v>
      </c>
      <c r="C6751" t="s">
        <v>9136</v>
      </c>
      <c r="D6751" t="s">
        <v>13002</v>
      </c>
      <c r="E6751" t="s">
        <v>19029</v>
      </c>
      <c r="F6751" t="s">
        <v>22436</v>
      </c>
      <c r="G6751" t="s">
        <v>22444</v>
      </c>
      <c r="H6751" t="s">
        <v>22454</v>
      </c>
      <c r="I6751" t="s">
        <v>7738</v>
      </c>
      <c r="J6751" t="s">
        <v>26961</v>
      </c>
      <c r="K6751" t="s">
        <v>29347</v>
      </c>
      <c r="M6751" t="s">
        <v>30341</v>
      </c>
      <c r="N6751" t="s">
        <v>32524</v>
      </c>
      <c r="O6751" t="s">
        <v>32525</v>
      </c>
      <c r="Q6751">
        <v>0</v>
      </c>
      <c r="R6751" t="s">
        <v>32532</v>
      </c>
      <c r="S6751" t="s">
        <v>32643</v>
      </c>
      <c r="T6751" t="s">
        <v>33242</v>
      </c>
      <c r="U6751" t="s">
        <v>39279</v>
      </c>
      <c r="W6751" t="s">
        <v>30341</v>
      </c>
      <c r="X6751" t="s">
        <v>32533</v>
      </c>
    </row>
    <row r="6752" spans="1:24">
      <c r="A6752">
        <f>HYPERLINK("https://www.philgeps.gov.ph/GEPSNONPILOT/Tender/SplashBidNoticeAbstractUI.aspx?menuIndex=3&amp;refID=7037184&amp;Result=3","7037184")</f>
        <v>0</v>
      </c>
      <c r="B6752" t="s">
        <v>1450</v>
      </c>
      <c r="C6752" t="s">
        <v>9137</v>
      </c>
      <c r="D6752" t="s">
        <v>13011</v>
      </c>
      <c r="E6752" t="s">
        <v>19030</v>
      </c>
      <c r="F6752" t="s">
        <v>22436</v>
      </c>
      <c r="G6752" t="s">
        <v>22444</v>
      </c>
      <c r="H6752" t="s">
        <v>22454</v>
      </c>
      <c r="I6752" t="s">
        <v>7738</v>
      </c>
      <c r="J6752" t="s">
        <v>24904</v>
      </c>
      <c r="K6752" t="s">
        <v>29496</v>
      </c>
      <c r="M6752" t="s">
        <v>31114</v>
      </c>
      <c r="N6752" t="s">
        <v>32524</v>
      </c>
      <c r="O6752" t="s">
        <v>32525</v>
      </c>
      <c r="P6752">
        <v>0</v>
      </c>
      <c r="Q6752">
        <v>3</v>
      </c>
      <c r="R6752" t="s">
        <v>32532</v>
      </c>
      <c r="S6752" t="s">
        <v>32616</v>
      </c>
      <c r="T6752" t="s">
        <v>33249</v>
      </c>
      <c r="U6752" t="s">
        <v>39130</v>
      </c>
      <c r="W6752" t="s">
        <v>31114</v>
      </c>
      <c r="X6752" t="s">
        <v>32533</v>
      </c>
    </row>
    <row r="6753" spans="1:24">
      <c r="A6753">
        <f>HYPERLINK("https://www.philgeps.gov.ph/GEPSNONPILOT/Tender/SplashBidNoticeAbstractUI.aspx?menuIndex=3&amp;refID=7037189&amp;Result=3","7037189")</f>
        <v>0</v>
      </c>
      <c r="B6753" t="s">
        <v>48</v>
      </c>
      <c r="C6753" t="s">
        <v>9138</v>
      </c>
      <c r="D6753" t="s">
        <v>13007</v>
      </c>
      <c r="E6753" t="s">
        <v>19031</v>
      </c>
      <c r="F6753" t="s">
        <v>22436</v>
      </c>
      <c r="G6753" t="s">
        <v>22444</v>
      </c>
      <c r="H6753" t="s">
        <v>22452</v>
      </c>
      <c r="I6753" t="s">
        <v>22492</v>
      </c>
      <c r="J6753" t="s">
        <v>26962</v>
      </c>
      <c r="K6753" t="s">
        <v>29335</v>
      </c>
      <c r="M6753" t="s">
        <v>31634</v>
      </c>
      <c r="N6753" t="s">
        <v>32524</v>
      </c>
      <c r="O6753" t="s">
        <v>32525</v>
      </c>
      <c r="P6753">
        <v>0</v>
      </c>
      <c r="Q6753">
        <v>1</v>
      </c>
      <c r="R6753" t="s">
        <v>32532</v>
      </c>
      <c r="S6753" t="s">
        <v>32616</v>
      </c>
      <c r="T6753" t="s">
        <v>33227</v>
      </c>
      <c r="U6753" t="s">
        <v>39280</v>
      </c>
      <c r="W6753" t="s">
        <v>31634</v>
      </c>
      <c r="X6753" t="s">
        <v>32533</v>
      </c>
    </row>
    <row r="6754" spans="1:24">
      <c r="A6754">
        <f>HYPERLINK("https://www.philgeps.gov.ph/GEPSNONPILOT/Tender/SplashBidNoticeAbstractUI.aspx?menuIndex=3&amp;refID=7037180&amp;Result=3","7037180")</f>
        <v>0</v>
      </c>
      <c r="B6754" t="s">
        <v>874</v>
      </c>
      <c r="C6754" t="s">
        <v>9139</v>
      </c>
      <c r="E6754" t="s">
        <v>19032</v>
      </c>
      <c r="F6754" t="s">
        <v>22436</v>
      </c>
      <c r="G6754" t="s">
        <v>22445</v>
      </c>
      <c r="H6754" t="s">
        <v>22452</v>
      </c>
      <c r="I6754" t="s">
        <v>3827</v>
      </c>
      <c r="J6754" t="s">
        <v>22616</v>
      </c>
      <c r="K6754" t="s">
        <v>29338</v>
      </c>
      <c r="M6754" t="s">
        <v>30482</v>
      </c>
      <c r="N6754" t="s">
        <v>32524</v>
      </c>
      <c r="O6754" t="s">
        <v>32525</v>
      </c>
      <c r="P6754">
        <v>0</v>
      </c>
      <c r="Q6754">
        <v>10</v>
      </c>
      <c r="R6754" t="s">
        <v>32532</v>
      </c>
      <c r="S6754" t="s">
        <v>32616</v>
      </c>
      <c r="T6754" t="s">
        <v>33327</v>
      </c>
      <c r="U6754" t="s">
        <v>38853</v>
      </c>
      <c r="W6754" t="s">
        <v>30482</v>
      </c>
      <c r="X6754" t="s">
        <v>32533</v>
      </c>
    </row>
    <row r="6755" spans="1:24">
      <c r="A6755">
        <f>HYPERLINK("https://www.philgeps.gov.ph/GEPSNONPILOT/Tender/SplashBidNoticeAbstractUI.aspx?menuIndex=3&amp;refID=7037181&amp;Result=3","7037181")</f>
        <v>0</v>
      </c>
      <c r="B6755" t="s">
        <v>998</v>
      </c>
      <c r="C6755" t="s">
        <v>9140</v>
      </c>
      <c r="D6755" t="s">
        <v>12992</v>
      </c>
      <c r="E6755" t="s">
        <v>19033</v>
      </c>
      <c r="F6755" t="s">
        <v>22436</v>
      </c>
      <c r="G6755" t="s">
        <v>22443</v>
      </c>
      <c r="H6755" t="s">
        <v>22452</v>
      </c>
      <c r="I6755" t="s">
        <v>22527</v>
      </c>
      <c r="J6755" t="s">
        <v>23145</v>
      </c>
      <c r="K6755" t="s">
        <v>29335</v>
      </c>
      <c r="M6755" t="s">
        <v>30624</v>
      </c>
      <c r="N6755" t="s">
        <v>32524</v>
      </c>
      <c r="O6755" t="s">
        <v>32525</v>
      </c>
      <c r="P6755">
        <v>0</v>
      </c>
      <c r="Q6755">
        <v>1</v>
      </c>
      <c r="R6755" t="s">
        <v>32532</v>
      </c>
      <c r="S6755" t="s">
        <v>32616</v>
      </c>
      <c r="T6755" t="s">
        <v>33209</v>
      </c>
      <c r="U6755" t="s">
        <v>39281</v>
      </c>
      <c r="V6755" t="s">
        <v>43161</v>
      </c>
      <c r="W6755" t="s">
        <v>30624</v>
      </c>
      <c r="X6755" t="s">
        <v>32533</v>
      </c>
    </row>
    <row r="6756" spans="1:24">
      <c r="A6756">
        <f>HYPERLINK("https://www.philgeps.gov.ph/GEPSNONPILOT/Tender/SplashBidNoticeAbstractUI.aspx?menuIndex=3&amp;refID=7037211&amp;Result=3","7037211")</f>
        <v>0</v>
      </c>
      <c r="B6756" t="s">
        <v>2042</v>
      </c>
      <c r="C6756" t="s">
        <v>9141</v>
      </c>
      <c r="D6756" t="s">
        <v>13022</v>
      </c>
      <c r="E6756" t="s">
        <v>19034</v>
      </c>
      <c r="F6756" t="s">
        <v>22436</v>
      </c>
      <c r="G6756" t="s">
        <v>22444</v>
      </c>
      <c r="H6756" t="s">
        <v>22454</v>
      </c>
      <c r="I6756" t="s">
        <v>7738</v>
      </c>
      <c r="J6756" t="s">
        <v>26963</v>
      </c>
      <c r="K6756" t="s">
        <v>29347</v>
      </c>
      <c r="M6756" t="s">
        <v>31779</v>
      </c>
      <c r="N6756" t="s">
        <v>32524</v>
      </c>
      <c r="O6756" t="s">
        <v>32525</v>
      </c>
      <c r="P6756">
        <v>0</v>
      </c>
      <c r="Q6756">
        <v>22</v>
      </c>
      <c r="R6756" t="s">
        <v>32532</v>
      </c>
      <c r="S6756" t="s">
        <v>32616</v>
      </c>
      <c r="T6756" t="s">
        <v>33259</v>
      </c>
      <c r="U6756" t="s">
        <v>39282</v>
      </c>
      <c r="W6756" t="s">
        <v>31779</v>
      </c>
      <c r="X6756" t="s">
        <v>32533</v>
      </c>
    </row>
    <row r="6757" spans="1:24">
      <c r="A6757">
        <f>HYPERLINK("https://www.philgeps.gov.ph/GEPSNONPILOT/Tender/SplashBidNoticeAbstractUI.aspx?menuIndex=3&amp;refID=7037206&amp;Result=3","7037206")</f>
        <v>0</v>
      </c>
      <c r="B6757" t="s">
        <v>740</v>
      </c>
      <c r="C6757" t="s">
        <v>9142</v>
      </c>
      <c r="D6757" t="s">
        <v>13002</v>
      </c>
      <c r="E6757" t="s">
        <v>19035</v>
      </c>
      <c r="F6757" t="s">
        <v>22436</v>
      </c>
      <c r="G6757" t="s">
        <v>22444</v>
      </c>
      <c r="H6757" t="s">
        <v>22454</v>
      </c>
      <c r="I6757" t="s">
        <v>7738</v>
      </c>
      <c r="J6757" t="s">
        <v>26964</v>
      </c>
      <c r="K6757" t="s">
        <v>29347</v>
      </c>
      <c r="M6757" t="s">
        <v>30341</v>
      </c>
      <c r="N6757" t="s">
        <v>32524</v>
      </c>
      <c r="O6757" t="s">
        <v>32525</v>
      </c>
      <c r="Q6757">
        <v>0</v>
      </c>
      <c r="R6757" t="s">
        <v>32532</v>
      </c>
      <c r="S6757" t="s">
        <v>32644</v>
      </c>
      <c r="T6757" t="s">
        <v>33242</v>
      </c>
      <c r="U6757" t="s">
        <v>39283</v>
      </c>
      <c r="W6757" t="s">
        <v>30341</v>
      </c>
      <c r="X6757" t="s">
        <v>32533</v>
      </c>
    </row>
    <row r="6758" spans="1:24">
      <c r="A6758">
        <f>HYPERLINK("https://www.philgeps.gov.ph/GEPSNONPILOT/Tender/SplashBidNoticeAbstractUI.aspx?menuIndex=3&amp;refID=7037199&amp;Result=3","7037199")</f>
        <v>0</v>
      </c>
      <c r="B6758" t="s">
        <v>229</v>
      </c>
      <c r="C6758" t="s">
        <v>2818</v>
      </c>
      <c r="D6758" t="s">
        <v>13007</v>
      </c>
      <c r="E6758" t="s">
        <v>19036</v>
      </c>
      <c r="F6758" t="s">
        <v>22436</v>
      </c>
      <c r="G6758" t="s">
        <v>22446</v>
      </c>
      <c r="H6758" t="s">
        <v>22452</v>
      </c>
      <c r="I6758" t="s">
        <v>22460</v>
      </c>
      <c r="J6758" t="s">
        <v>26965</v>
      </c>
      <c r="K6758" t="s">
        <v>29338</v>
      </c>
      <c r="M6758" t="s">
        <v>29802</v>
      </c>
      <c r="N6758" t="s">
        <v>32524</v>
      </c>
      <c r="O6758" t="s">
        <v>32525</v>
      </c>
      <c r="P6758">
        <v>0</v>
      </c>
      <c r="Q6758">
        <v>0</v>
      </c>
      <c r="R6758" t="s">
        <v>32532</v>
      </c>
      <c r="S6758" t="s">
        <v>32616</v>
      </c>
      <c r="T6758" t="s">
        <v>33213</v>
      </c>
      <c r="U6758" t="s">
        <v>39284</v>
      </c>
      <c r="W6758" t="s">
        <v>29802</v>
      </c>
      <c r="X6758" t="s">
        <v>32533</v>
      </c>
    </row>
    <row r="6759" spans="1:24">
      <c r="A6759">
        <f>HYPERLINK("https://www.philgeps.gov.ph/GEPSNONPILOT/Tender/SplashBidNoticeAbstractUI.aspx?menuIndex=3&amp;refID=7037209&amp;Result=3","7037209")</f>
        <v>0</v>
      </c>
      <c r="B6759" t="s">
        <v>128</v>
      </c>
      <c r="C6759" t="s">
        <v>9143</v>
      </c>
      <c r="D6759" t="s">
        <v>13025</v>
      </c>
      <c r="E6759" t="s">
        <v>19037</v>
      </c>
      <c r="F6759" t="s">
        <v>22436</v>
      </c>
      <c r="G6759" t="s">
        <v>22444</v>
      </c>
      <c r="H6759" t="s">
        <v>22452</v>
      </c>
      <c r="I6759" t="s">
        <v>3529</v>
      </c>
      <c r="J6759" t="s">
        <v>26966</v>
      </c>
      <c r="K6759" t="s">
        <v>29331</v>
      </c>
      <c r="M6759" t="s">
        <v>29700</v>
      </c>
      <c r="N6759" t="s">
        <v>32524</v>
      </c>
      <c r="O6759" t="s">
        <v>32525</v>
      </c>
      <c r="P6759">
        <v>0</v>
      </c>
      <c r="Q6759">
        <v>0</v>
      </c>
      <c r="R6759" t="s">
        <v>32532</v>
      </c>
      <c r="S6759" t="s">
        <v>32616</v>
      </c>
      <c r="T6759" t="s">
        <v>33220</v>
      </c>
      <c r="U6759" t="s">
        <v>39285</v>
      </c>
      <c r="W6759" t="s">
        <v>29700</v>
      </c>
      <c r="X6759" t="s">
        <v>32533</v>
      </c>
    </row>
    <row r="6760" spans="1:24">
      <c r="A6760">
        <f>HYPERLINK("https://www.philgeps.gov.ph/GEPSNONPILOT/Tender/SplashBidNoticeAbstractUI.aspx?menuIndex=3&amp;refID=7037204&amp;Result=3","7037204")</f>
        <v>0</v>
      </c>
      <c r="B6760" t="s">
        <v>1450</v>
      </c>
      <c r="C6760" t="s">
        <v>9144</v>
      </c>
      <c r="D6760" t="s">
        <v>13011</v>
      </c>
      <c r="E6760" t="s">
        <v>19038</v>
      </c>
      <c r="F6760" t="s">
        <v>22436</v>
      </c>
      <c r="G6760" t="s">
        <v>22444</v>
      </c>
      <c r="H6760" t="s">
        <v>22454</v>
      </c>
      <c r="I6760" t="s">
        <v>7738</v>
      </c>
      <c r="J6760" t="s">
        <v>25263</v>
      </c>
      <c r="K6760" t="s">
        <v>29401</v>
      </c>
      <c r="M6760" t="s">
        <v>31114</v>
      </c>
      <c r="N6760" t="s">
        <v>32524</v>
      </c>
      <c r="O6760" t="s">
        <v>32525</v>
      </c>
      <c r="P6760">
        <v>0</v>
      </c>
      <c r="Q6760">
        <v>3</v>
      </c>
      <c r="R6760" t="s">
        <v>32532</v>
      </c>
      <c r="S6760" t="s">
        <v>32616</v>
      </c>
      <c r="T6760" t="s">
        <v>33249</v>
      </c>
      <c r="U6760" t="s">
        <v>39130</v>
      </c>
      <c r="W6760" t="s">
        <v>31114</v>
      </c>
      <c r="X6760" t="s">
        <v>32533</v>
      </c>
    </row>
    <row r="6761" spans="1:24">
      <c r="A6761">
        <f>HYPERLINK("https://www.philgeps.gov.ph/GEPSNONPILOT/Tender/SplashBidNoticeAbstractUI.aspx?menuIndex=3&amp;refID=7037196&amp;Result=3","7037196")</f>
        <v>0</v>
      </c>
      <c r="B6761" t="s">
        <v>2079</v>
      </c>
      <c r="C6761" t="s">
        <v>9145</v>
      </c>
      <c r="D6761" t="s">
        <v>13022</v>
      </c>
      <c r="E6761" t="s">
        <v>14566</v>
      </c>
      <c r="F6761" t="s">
        <v>22436</v>
      </c>
      <c r="G6761" t="s">
        <v>22444</v>
      </c>
      <c r="H6761" t="s">
        <v>22454</v>
      </c>
      <c r="I6761" t="s">
        <v>7738</v>
      </c>
      <c r="J6761" t="s">
        <v>26967</v>
      </c>
      <c r="K6761" t="s">
        <v>29333</v>
      </c>
      <c r="M6761" t="s">
        <v>31823</v>
      </c>
      <c r="N6761" t="s">
        <v>32524</v>
      </c>
      <c r="O6761" t="s">
        <v>32525</v>
      </c>
      <c r="P6761">
        <v>0</v>
      </c>
      <c r="Q6761">
        <v>1</v>
      </c>
      <c r="R6761" t="s">
        <v>32532</v>
      </c>
      <c r="S6761" t="s">
        <v>32616</v>
      </c>
      <c r="T6761" t="s">
        <v>33234</v>
      </c>
      <c r="U6761" t="s">
        <v>39286</v>
      </c>
      <c r="V6761" t="s">
        <v>43162</v>
      </c>
      <c r="W6761" t="s">
        <v>31823</v>
      </c>
      <c r="X6761" t="s">
        <v>32533</v>
      </c>
    </row>
    <row r="6762" spans="1:24">
      <c r="A6762">
        <f>HYPERLINK("https://www.philgeps.gov.ph/GEPSNONPILOT/Tender/SplashBidNoticeAbstractUI.aspx?menuIndex=3&amp;refID=7037142&amp;Result=3","7037142")</f>
        <v>0</v>
      </c>
      <c r="B6762" t="s">
        <v>2068</v>
      </c>
      <c r="C6762" t="s">
        <v>9146</v>
      </c>
      <c r="D6762" t="s">
        <v>13006</v>
      </c>
      <c r="E6762" t="s">
        <v>19039</v>
      </c>
      <c r="F6762" t="s">
        <v>22436</v>
      </c>
      <c r="G6762" t="s">
        <v>22444</v>
      </c>
      <c r="H6762" t="s">
        <v>22452</v>
      </c>
      <c r="I6762" t="s">
        <v>2962</v>
      </c>
      <c r="J6762" t="s">
        <v>26968</v>
      </c>
      <c r="K6762" t="s">
        <v>29341</v>
      </c>
      <c r="M6762" t="s">
        <v>31811</v>
      </c>
      <c r="N6762" t="s">
        <v>32524</v>
      </c>
      <c r="O6762" t="s">
        <v>32525</v>
      </c>
      <c r="P6762">
        <v>0</v>
      </c>
      <c r="Q6762">
        <v>0</v>
      </c>
      <c r="R6762" t="s">
        <v>32532</v>
      </c>
      <c r="S6762" t="s">
        <v>32616</v>
      </c>
      <c r="T6762" t="s">
        <v>33296</v>
      </c>
      <c r="U6762" t="s">
        <v>39287</v>
      </c>
      <c r="W6762" t="s">
        <v>31811</v>
      </c>
      <c r="X6762" t="s">
        <v>32533</v>
      </c>
    </row>
    <row r="6763" spans="1:24">
      <c r="A6763">
        <f>HYPERLINK("https://www.philgeps.gov.ph/GEPSNONPILOT/Tender/SplashBidNoticeAbstractUI.aspx?menuIndex=3&amp;refID=7037203&amp;Result=3","7037203")</f>
        <v>0</v>
      </c>
      <c r="B6763" t="s">
        <v>1603</v>
      </c>
      <c r="C6763" t="s">
        <v>9147</v>
      </c>
      <c r="D6763" t="s">
        <v>13019</v>
      </c>
      <c r="E6763" t="s">
        <v>19040</v>
      </c>
      <c r="F6763" t="s">
        <v>22436</v>
      </c>
      <c r="G6763" t="s">
        <v>22444</v>
      </c>
      <c r="H6763" t="s">
        <v>22454</v>
      </c>
      <c r="I6763" t="s">
        <v>7738</v>
      </c>
      <c r="J6763" t="s">
        <v>26969</v>
      </c>
      <c r="K6763" t="s">
        <v>29335</v>
      </c>
      <c r="M6763" t="s">
        <v>31287</v>
      </c>
      <c r="N6763" t="s">
        <v>32524</v>
      </c>
      <c r="O6763" t="s">
        <v>32525</v>
      </c>
      <c r="P6763">
        <v>0</v>
      </c>
      <c r="Q6763">
        <v>0</v>
      </c>
      <c r="R6763" t="s">
        <v>32532</v>
      </c>
      <c r="S6763" t="s">
        <v>32616</v>
      </c>
      <c r="T6763" t="s">
        <v>33259</v>
      </c>
      <c r="U6763" t="s">
        <v>39288</v>
      </c>
      <c r="W6763" t="s">
        <v>31287</v>
      </c>
      <c r="X6763" t="s">
        <v>32533</v>
      </c>
    </row>
    <row r="6764" spans="1:24">
      <c r="A6764">
        <f>HYPERLINK("https://www.philgeps.gov.ph/GEPSNONPILOT/Tender/SplashBidNoticeAbstractUI.aspx?menuIndex=3&amp;refID=7037194&amp;Result=3","7037194")</f>
        <v>0</v>
      </c>
      <c r="B6764" t="s">
        <v>2080</v>
      </c>
      <c r="C6764" t="s">
        <v>9148</v>
      </c>
      <c r="D6764" t="s">
        <v>13042</v>
      </c>
      <c r="E6764" t="s">
        <v>19041</v>
      </c>
      <c r="F6764" t="s">
        <v>22436</v>
      </c>
      <c r="G6764" t="s">
        <v>22444</v>
      </c>
      <c r="H6764" t="s">
        <v>22454</v>
      </c>
      <c r="I6764" t="s">
        <v>7738</v>
      </c>
      <c r="J6764" t="s">
        <v>26970</v>
      </c>
      <c r="K6764" t="s">
        <v>29329</v>
      </c>
      <c r="M6764" t="s">
        <v>31824</v>
      </c>
      <c r="N6764" t="s">
        <v>32524</v>
      </c>
      <c r="O6764" t="s">
        <v>32525</v>
      </c>
      <c r="P6764">
        <v>0</v>
      </c>
      <c r="Q6764">
        <v>1</v>
      </c>
      <c r="R6764" t="s">
        <v>32532</v>
      </c>
      <c r="S6764" t="s">
        <v>32616</v>
      </c>
      <c r="T6764" t="s">
        <v>33242</v>
      </c>
      <c r="U6764" t="s">
        <v>39289</v>
      </c>
      <c r="W6764" t="s">
        <v>31824</v>
      </c>
      <c r="X6764" t="s">
        <v>32533</v>
      </c>
    </row>
    <row r="6765" spans="1:24">
      <c r="A6765">
        <f>HYPERLINK("https://www.philgeps.gov.ph/GEPSNONPILOT/Tender/SplashBidNoticeAbstractUI.aspx?menuIndex=3&amp;refID=7037221&amp;Result=3","7037221")</f>
        <v>0</v>
      </c>
      <c r="B6765" t="s">
        <v>1450</v>
      </c>
      <c r="C6765" t="s">
        <v>9149</v>
      </c>
      <c r="D6765" t="s">
        <v>13011</v>
      </c>
      <c r="E6765" t="s">
        <v>19042</v>
      </c>
      <c r="F6765" t="s">
        <v>22436</v>
      </c>
      <c r="G6765" t="s">
        <v>22444</v>
      </c>
      <c r="H6765" t="s">
        <v>22454</v>
      </c>
      <c r="I6765" t="s">
        <v>7738</v>
      </c>
      <c r="J6765" t="s">
        <v>26971</v>
      </c>
      <c r="K6765" t="s">
        <v>29497</v>
      </c>
      <c r="M6765" t="s">
        <v>31114</v>
      </c>
      <c r="N6765" t="s">
        <v>32524</v>
      </c>
      <c r="O6765" t="s">
        <v>32525</v>
      </c>
      <c r="P6765">
        <v>0</v>
      </c>
      <c r="Q6765">
        <v>5</v>
      </c>
      <c r="R6765" t="s">
        <v>32532</v>
      </c>
      <c r="S6765" t="s">
        <v>32616</v>
      </c>
      <c r="T6765" t="s">
        <v>33249</v>
      </c>
      <c r="U6765" t="s">
        <v>39130</v>
      </c>
      <c r="W6765" t="s">
        <v>31114</v>
      </c>
      <c r="X6765" t="s">
        <v>32533</v>
      </c>
    </row>
    <row r="6766" spans="1:24">
      <c r="A6766">
        <f>HYPERLINK("https://www.philgeps.gov.ph/GEPSNONPILOT/Tender/SplashBidNoticeAbstractUI.aspx?menuIndex=3&amp;refID=7037153&amp;Result=3","7037153")</f>
        <v>0</v>
      </c>
      <c r="B6766" t="s">
        <v>2011</v>
      </c>
      <c r="C6766" t="s">
        <v>9150</v>
      </c>
      <c r="D6766" t="s">
        <v>13015</v>
      </c>
      <c r="E6766" t="s">
        <v>19043</v>
      </c>
      <c r="F6766" t="s">
        <v>22437</v>
      </c>
      <c r="G6766" t="s">
        <v>22443</v>
      </c>
      <c r="H6766" t="s">
        <v>22452</v>
      </c>
      <c r="I6766" t="s">
        <v>22471</v>
      </c>
      <c r="J6766" t="s">
        <v>26972</v>
      </c>
      <c r="K6766" t="s">
        <v>29335</v>
      </c>
      <c r="M6766" t="s">
        <v>31745</v>
      </c>
      <c r="N6766" t="s">
        <v>32524</v>
      </c>
      <c r="O6766" t="s">
        <v>32525</v>
      </c>
      <c r="P6766">
        <v>0</v>
      </c>
      <c r="Q6766">
        <v>12</v>
      </c>
      <c r="R6766" t="s">
        <v>32532</v>
      </c>
      <c r="S6766" t="s">
        <v>32616</v>
      </c>
      <c r="T6766" t="s">
        <v>33155</v>
      </c>
      <c r="U6766" t="s">
        <v>39021</v>
      </c>
      <c r="V6766" t="s">
        <v>43137</v>
      </c>
      <c r="W6766" t="s">
        <v>43738</v>
      </c>
      <c r="X6766" t="s">
        <v>32533</v>
      </c>
    </row>
    <row r="6767" spans="1:24">
      <c r="A6767">
        <f>HYPERLINK("https://www.philgeps.gov.ph/GEPSNONPILOT/Tender/SplashBidNoticeAbstractUI.aspx?menuIndex=3&amp;refID=7037190&amp;Result=3","7037190")</f>
        <v>0</v>
      </c>
      <c r="B6767" t="s">
        <v>1494</v>
      </c>
      <c r="C6767" t="s">
        <v>9151</v>
      </c>
      <c r="E6767" t="s">
        <v>19044</v>
      </c>
      <c r="F6767" t="s">
        <v>22436</v>
      </c>
      <c r="G6767" t="s">
        <v>22444</v>
      </c>
      <c r="H6767" t="s">
        <v>22452</v>
      </c>
      <c r="I6767" t="s">
        <v>22460</v>
      </c>
      <c r="J6767" t="s">
        <v>26973</v>
      </c>
      <c r="K6767" t="s">
        <v>29338</v>
      </c>
      <c r="M6767" t="s">
        <v>31168</v>
      </c>
      <c r="N6767" t="s">
        <v>32524</v>
      </c>
      <c r="O6767" t="s">
        <v>32525</v>
      </c>
      <c r="P6767">
        <v>0</v>
      </c>
      <c r="Q6767">
        <v>2</v>
      </c>
      <c r="R6767" t="s">
        <v>32532</v>
      </c>
      <c r="S6767" t="s">
        <v>32616</v>
      </c>
      <c r="T6767" t="s">
        <v>33538</v>
      </c>
      <c r="U6767" t="s">
        <v>39290</v>
      </c>
      <c r="W6767" t="s">
        <v>31168</v>
      </c>
      <c r="X6767" t="s">
        <v>32533</v>
      </c>
    </row>
    <row r="6768" spans="1:24">
      <c r="A6768">
        <f>HYPERLINK("https://www.philgeps.gov.ph/GEPSNONPILOT/Tender/SplashBidNoticeAbstractUI.aspx?menuIndex=3&amp;refID=7037218&amp;Result=3","7037218")</f>
        <v>0</v>
      </c>
      <c r="B6768" t="s">
        <v>791</v>
      </c>
      <c r="C6768" t="s">
        <v>9152</v>
      </c>
      <c r="E6768" t="s">
        <v>19045</v>
      </c>
      <c r="F6768" t="s">
        <v>22436</v>
      </c>
      <c r="G6768" t="s">
        <v>22444</v>
      </c>
      <c r="H6768" t="s">
        <v>22454</v>
      </c>
      <c r="I6768" t="s">
        <v>7738</v>
      </c>
      <c r="J6768" t="s">
        <v>24049</v>
      </c>
      <c r="K6768" t="s">
        <v>29345</v>
      </c>
      <c r="M6768" t="s">
        <v>30420</v>
      </c>
      <c r="N6768" t="s">
        <v>32524</v>
      </c>
      <c r="O6768" t="s">
        <v>32525</v>
      </c>
      <c r="Q6768">
        <v>5</v>
      </c>
      <c r="R6768" t="s">
        <v>32532</v>
      </c>
      <c r="S6768" t="s">
        <v>32645</v>
      </c>
      <c r="T6768" t="s">
        <v>33539</v>
      </c>
      <c r="U6768" t="s">
        <v>39291</v>
      </c>
      <c r="V6768" t="s">
        <v>42622</v>
      </c>
      <c r="W6768" t="s">
        <v>30420</v>
      </c>
      <c r="X6768" t="s">
        <v>32533</v>
      </c>
    </row>
    <row r="6769" spans="1:24">
      <c r="A6769">
        <f>HYPERLINK("https://www.philgeps.gov.ph/GEPSNONPILOT/Tender/SplashBidNoticeAbstractUI.aspx?menuIndex=3&amp;refID=7037201&amp;Result=3","7037201")</f>
        <v>0</v>
      </c>
      <c r="B6769" t="s">
        <v>1019</v>
      </c>
      <c r="C6769" t="s">
        <v>9153</v>
      </c>
      <c r="D6769" t="s">
        <v>13016</v>
      </c>
      <c r="E6769" t="s">
        <v>19046</v>
      </c>
      <c r="F6769" t="s">
        <v>22436</v>
      </c>
      <c r="G6769" t="s">
        <v>22444</v>
      </c>
      <c r="H6769" t="s">
        <v>22452</v>
      </c>
      <c r="I6769" t="s">
        <v>3529</v>
      </c>
      <c r="J6769" t="s">
        <v>26974</v>
      </c>
      <c r="K6769" t="s">
        <v>29338</v>
      </c>
      <c r="M6769" t="s">
        <v>30647</v>
      </c>
      <c r="N6769" t="s">
        <v>32524</v>
      </c>
      <c r="O6769" t="s">
        <v>32525</v>
      </c>
      <c r="P6769">
        <v>0</v>
      </c>
      <c r="Q6769">
        <v>0</v>
      </c>
      <c r="R6769" t="s">
        <v>32532</v>
      </c>
      <c r="S6769" t="s">
        <v>32616</v>
      </c>
      <c r="T6769" t="s">
        <v>33537</v>
      </c>
      <c r="U6769" t="s">
        <v>38068</v>
      </c>
      <c r="V6769" t="s">
        <v>43163</v>
      </c>
      <c r="W6769" t="s">
        <v>30647</v>
      </c>
      <c r="X6769" t="s">
        <v>32533</v>
      </c>
    </row>
    <row r="6770" spans="1:24">
      <c r="A6770">
        <f>HYPERLINK("https://www.philgeps.gov.ph/GEPSNONPILOT/Tender/SplashBidNoticeAbstractUI.aspx?menuIndex=3&amp;refID=7037223&amp;Result=3","7037223")</f>
        <v>0</v>
      </c>
      <c r="B6770" t="s">
        <v>2081</v>
      </c>
      <c r="C6770" t="s">
        <v>9154</v>
      </c>
      <c r="D6770" t="s">
        <v>13022</v>
      </c>
      <c r="E6770" t="s">
        <v>19047</v>
      </c>
      <c r="F6770" t="s">
        <v>22436</v>
      </c>
      <c r="G6770" t="s">
        <v>22444</v>
      </c>
      <c r="H6770" t="s">
        <v>22452</v>
      </c>
      <c r="I6770" t="s">
        <v>3529</v>
      </c>
      <c r="J6770" t="s">
        <v>26975</v>
      </c>
      <c r="K6770" t="s">
        <v>29344</v>
      </c>
      <c r="M6770" t="s">
        <v>31825</v>
      </c>
      <c r="N6770" t="s">
        <v>32524</v>
      </c>
      <c r="O6770" t="s">
        <v>32525</v>
      </c>
      <c r="P6770">
        <v>0</v>
      </c>
      <c r="Q6770">
        <v>0</v>
      </c>
      <c r="R6770" t="s">
        <v>32532</v>
      </c>
      <c r="S6770" t="s">
        <v>32616</v>
      </c>
      <c r="T6770" t="s">
        <v>33296</v>
      </c>
      <c r="U6770" t="s">
        <v>39292</v>
      </c>
      <c r="W6770" t="s">
        <v>31825</v>
      </c>
      <c r="X6770" t="s">
        <v>32533</v>
      </c>
    </row>
    <row r="6771" spans="1:24">
      <c r="A6771">
        <f>HYPERLINK("https://www.philgeps.gov.ph/GEPSNONPILOT/Tender/SplashBidNoticeAbstractUI.aspx?menuIndex=3&amp;refID=7037235&amp;Result=3","7037235")</f>
        <v>0</v>
      </c>
      <c r="B6771" t="s">
        <v>1915</v>
      </c>
      <c r="C6771" t="s">
        <v>9155</v>
      </c>
      <c r="D6771" t="s">
        <v>13004</v>
      </c>
      <c r="E6771" t="s">
        <v>19048</v>
      </c>
      <c r="F6771" t="s">
        <v>22436</v>
      </c>
      <c r="G6771" t="s">
        <v>22443</v>
      </c>
      <c r="H6771" t="s">
        <v>22452</v>
      </c>
      <c r="I6771" t="s">
        <v>3529</v>
      </c>
      <c r="J6771" t="s">
        <v>23920</v>
      </c>
      <c r="K6771" t="s">
        <v>29335</v>
      </c>
      <c r="M6771" t="s">
        <v>31640</v>
      </c>
      <c r="N6771" t="s">
        <v>32524</v>
      </c>
      <c r="O6771" t="s">
        <v>32525</v>
      </c>
      <c r="P6771">
        <v>0</v>
      </c>
      <c r="Q6771">
        <v>0</v>
      </c>
      <c r="R6771" t="s">
        <v>32532</v>
      </c>
      <c r="S6771" t="s">
        <v>32616</v>
      </c>
      <c r="T6771" t="s">
        <v>33296</v>
      </c>
      <c r="U6771" t="s">
        <v>39293</v>
      </c>
      <c r="W6771" t="s">
        <v>31640</v>
      </c>
      <c r="X6771" t="s">
        <v>32533</v>
      </c>
    </row>
    <row r="6772" spans="1:24">
      <c r="A6772">
        <f>HYPERLINK("https://www.philgeps.gov.ph/GEPSNONPILOT/Tender/SplashBidNoticeAbstractUI.aspx?menuIndex=3&amp;refID=7037237&amp;Result=3","7037237")</f>
        <v>0</v>
      </c>
      <c r="B6772" t="s">
        <v>2082</v>
      </c>
      <c r="C6772" t="s">
        <v>8666</v>
      </c>
      <c r="D6772" t="s">
        <v>13006</v>
      </c>
      <c r="E6772" t="s">
        <v>14011</v>
      </c>
      <c r="F6772" t="s">
        <v>22436</v>
      </c>
      <c r="G6772" t="s">
        <v>22444</v>
      </c>
      <c r="H6772" t="s">
        <v>22454</v>
      </c>
      <c r="I6772" t="s">
        <v>7738</v>
      </c>
      <c r="J6772" t="s">
        <v>24155</v>
      </c>
      <c r="K6772" t="s">
        <v>29335</v>
      </c>
      <c r="M6772" t="s">
        <v>31826</v>
      </c>
      <c r="N6772" t="s">
        <v>32524</v>
      </c>
      <c r="O6772" t="s">
        <v>32525</v>
      </c>
      <c r="P6772">
        <v>0</v>
      </c>
      <c r="Q6772">
        <v>0</v>
      </c>
      <c r="R6772" t="s">
        <v>32532</v>
      </c>
      <c r="S6772" t="s">
        <v>32616</v>
      </c>
      <c r="T6772" t="s">
        <v>33301</v>
      </c>
      <c r="U6772" t="s">
        <v>39294</v>
      </c>
      <c r="W6772" t="s">
        <v>31826</v>
      </c>
      <c r="X6772" t="s">
        <v>32533</v>
      </c>
    </row>
    <row r="6773" spans="1:24">
      <c r="A6773">
        <f>HYPERLINK("https://www.philgeps.gov.ph/GEPSNONPILOT/Tender/SplashBidNoticeAbstractUI.aspx?menuIndex=3&amp;refID=7037167&amp;Result=3","7037167")</f>
        <v>0</v>
      </c>
      <c r="B6773" t="s">
        <v>589</v>
      </c>
      <c r="C6773" t="s">
        <v>9156</v>
      </c>
      <c r="D6773" t="s">
        <v>12994</v>
      </c>
      <c r="E6773" t="s">
        <v>13487</v>
      </c>
      <c r="F6773" t="s">
        <v>22436</v>
      </c>
      <c r="G6773" t="s">
        <v>22444</v>
      </c>
      <c r="H6773" t="s">
        <v>22452</v>
      </c>
      <c r="I6773" t="s">
        <v>6387</v>
      </c>
      <c r="J6773" t="s">
        <v>22589</v>
      </c>
      <c r="K6773" t="s">
        <v>29336</v>
      </c>
      <c r="M6773" t="s">
        <v>30179</v>
      </c>
      <c r="N6773" t="s">
        <v>32524</v>
      </c>
      <c r="O6773" t="s">
        <v>32525</v>
      </c>
      <c r="P6773">
        <v>0</v>
      </c>
      <c r="Q6773">
        <v>1</v>
      </c>
      <c r="R6773" t="s">
        <v>32532</v>
      </c>
      <c r="S6773" t="s">
        <v>32616</v>
      </c>
      <c r="T6773" t="s">
        <v>33304</v>
      </c>
      <c r="U6773" t="s">
        <v>39295</v>
      </c>
      <c r="W6773" t="s">
        <v>30179</v>
      </c>
      <c r="X6773" t="s">
        <v>32533</v>
      </c>
    </row>
    <row r="6774" spans="1:24">
      <c r="A6774">
        <f>HYPERLINK("https://www.philgeps.gov.ph/GEPSNONPILOT/Tender/SplashBidNoticeAbstractUI.aspx?menuIndex=3&amp;refID=7037212&amp;Result=3","7037212")</f>
        <v>0</v>
      </c>
      <c r="B6774" t="s">
        <v>2083</v>
      </c>
      <c r="C6774" t="s">
        <v>9157</v>
      </c>
      <c r="D6774" t="s">
        <v>12993</v>
      </c>
      <c r="E6774" t="s">
        <v>19049</v>
      </c>
      <c r="F6774" t="s">
        <v>22436</v>
      </c>
      <c r="G6774" t="s">
        <v>22444</v>
      </c>
      <c r="H6774" t="s">
        <v>22452</v>
      </c>
      <c r="I6774" t="s">
        <v>2962</v>
      </c>
      <c r="J6774" t="s">
        <v>22972</v>
      </c>
      <c r="K6774" t="s">
        <v>29341</v>
      </c>
      <c r="M6774" t="s">
        <v>31827</v>
      </c>
      <c r="N6774" t="s">
        <v>32524</v>
      </c>
      <c r="O6774" t="s">
        <v>32525</v>
      </c>
      <c r="P6774">
        <v>0</v>
      </c>
      <c r="Q6774">
        <v>0</v>
      </c>
      <c r="R6774" t="s">
        <v>32532</v>
      </c>
      <c r="S6774" t="s">
        <v>32616</v>
      </c>
      <c r="T6774" t="s">
        <v>33328</v>
      </c>
      <c r="U6774" t="s">
        <v>39296</v>
      </c>
      <c r="V6774" t="s">
        <v>43164</v>
      </c>
      <c r="W6774" t="s">
        <v>31827</v>
      </c>
      <c r="X6774" t="s">
        <v>32533</v>
      </c>
    </row>
    <row r="6775" spans="1:24">
      <c r="A6775">
        <f>HYPERLINK("https://www.philgeps.gov.ph/GEPSNONPILOT/Tender/SplashBidNoticeAbstractUI.aspx?menuIndex=3&amp;refID=7037233&amp;Result=3","7037233")</f>
        <v>0</v>
      </c>
      <c r="B6775" t="s">
        <v>1816</v>
      </c>
      <c r="C6775" t="s">
        <v>2818</v>
      </c>
      <c r="D6775" t="s">
        <v>12993</v>
      </c>
      <c r="E6775" t="s">
        <v>19050</v>
      </c>
      <c r="F6775" t="s">
        <v>22436</v>
      </c>
      <c r="G6775" t="s">
        <v>22444</v>
      </c>
      <c r="H6775" t="s">
        <v>22452</v>
      </c>
      <c r="I6775" t="s">
        <v>22460</v>
      </c>
      <c r="J6775" t="s">
        <v>23514</v>
      </c>
      <c r="K6775" t="s">
        <v>29335</v>
      </c>
      <c r="M6775" t="s">
        <v>31530</v>
      </c>
      <c r="N6775" t="s">
        <v>32524</v>
      </c>
      <c r="O6775" t="s">
        <v>32525</v>
      </c>
      <c r="P6775">
        <v>0</v>
      </c>
      <c r="Q6775">
        <v>0</v>
      </c>
      <c r="R6775" t="s">
        <v>32532</v>
      </c>
      <c r="S6775" t="s">
        <v>32616</v>
      </c>
      <c r="T6775" t="s">
        <v>33238</v>
      </c>
      <c r="U6775" t="s">
        <v>39297</v>
      </c>
      <c r="W6775" t="s">
        <v>31530</v>
      </c>
      <c r="X6775" t="s">
        <v>32533</v>
      </c>
    </row>
    <row r="6776" spans="1:24">
      <c r="A6776">
        <f>HYPERLINK("https://www.philgeps.gov.ph/GEPSNONPILOT/Tender/SplashBidNoticeAbstractUI.aspx?menuIndex=3&amp;refID=7037239&amp;Result=3","7037239")</f>
        <v>0</v>
      </c>
      <c r="B6776" t="s">
        <v>1603</v>
      </c>
      <c r="C6776" t="s">
        <v>9147</v>
      </c>
      <c r="D6776" t="s">
        <v>13019</v>
      </c>
      <c r="E6776" t="s">
        <v>19051</v>
      </c>
      <c r="F6776" t="s">
        <v>22436</v>
      </c>
      <c r="G6776" t="s">
        <v>22444</v>
      </c>
      <c r="H6776" t="s">
        <v>22454</v>
      </c>
      <c r="I6776" t="s">
        <v>7738</v>
      </c>
      <c r="J6776" t="s">
        <v>26976</v>
      </c>
      <c r="K6776" t="s">
        <v>29335</v>
      </c>
      <c r="M6776" t="s">
        <v>31287</v>
      </c>
      <c r="N6776" t="s">
        <v>32524</v>
      </c>
      <c r="O6776" t="s">
        <v>32525</v>
      </c>
      <c r="P6776">
        <v>0</v>
      </c>
      <c r="Q6776">
        <v>0</v>
      </c>
      <c r="R6776" t="s">
        <v>32532</v>
      </c>
      <c r="S6776" t="s">
        <v>32616</v>
      </c>
      <c r="T6776" t="s">
        <v>33259</v>
      </c>
      <c r="U6776" t="s">
        <v>39288</v>
      </c>
      <c r="W6776" t="s">
        <v>31287</v>
      </c>
      <c r="X6776" t="s">
        <v>32533</v>
      </c>
    </row>
    <row r="6777" spans="1:24">
      <c r="A6777">
        <f>HYPERLINK("https://www.philgeps.gov.ph/GEPSNONPILOT/Tender/SplashBidNoticeAbstractUI.aspx?menuIndex=3&amp;refID=7037228&amp;Result=3","7037228")</f>
        <v>0</v>
      </c>
      <c r="B6777" t="s">
        <v>1793</v>
      </c>
      <c r="C6777" t="s">
        <v>9158</v>
      </c>
      <c r="D6777" t="s">
        <v>13012</v>
      </c>
      <c r="E6777" t="s">
        <v>19052</v>
      </c>
      <c r="F6777" t="s">
        <v>22437</v>
      </c>
      <c r="G6777" t="s">
        <v>22443</v>
      </c>
      <c r="H6777" t="s">
        <v>22452</v>
      </c>
      <c r="I6777" t="s">
        <v>22464</v>
      </c>
      <c r="J6777" t="s">
        <v>23431</v>
      </c>
      <c r="K6777" t="s">
        <v>29336</v>
      </c>
      <c r="M6777" t="s">
        <v>31504</v>
      </c>
      <c r="N6777" t="s">
        <v>32524</v>
      </c>
      <c r="O6777" t="s">
        <v>32525</v>
      </c>
      <c r="P6777">
        <v>0</v>
      </c>
      <c r="Q6777">
        <v>0</v>
      </c>
      <c r="R6777" t="s">
        <v>32532</v>
      </c>
      <c r="S6777" t="s">
        <v>32616</v>
      </c>
      <c r="T6777" t="s">
        <v>33229</v>
      </c>
      <c r="U6777" t="s">
        <v>39298</v>
      </c>
      <c r="V6777" t="s">
        <v>43020</v>
      </c>
      <c r="W6777" t="s">
        <v>31504</v>
      </c>
      <c r="X6777" t="s">
        <v>32533</v>
      </c>
    </row>
    <row r="6778" spans="1:24">
      <c r="A6778">
        <f>HYPERLINK("https://www.philgeps.gov.ph/GEPSNONPILOT/Tender/SplashBidNoticeAbstractUI.aspx?menuIndex=3&amp;refID=7037214&amp;Result=3","7037214")</f>
        <v>0</v>
      </c>
      <c r="B6778" t="s">
        <v>332</v>
      </c>
      <c r="C6778" t="s">
        <v>9159</v>
      </c>
      <c r="D6778" t="s">
        <v>13013</v>
      </c>
      <c r="E6778" t="s">
        <v>19053</v>
      </c>
      <c r="F6778" t="s">
        <v>22436</v>
      </c>
      <c r="G6778" t="s">
        <v>22443</v>
      </c>
      <c r="H6778" t="s">
        <v>22452</v>
      </c>
      <c r="I6778" t="s">
        <v>22456</v>
      </c>
      <c r="J6778" t="s">
        <v>24255</v>
      </c>
      <c r="K6778" t="s">
        <v>29344</v>
      </c>
      <c r="M6778" t="s">
        <v>29908</v>
      </c>
      <c r="N6778" t="s">
        <v>32524</v>
      </c>
      <c r="O6778" t="s">
        <v>32525</v>
      </c>
      <c r="P6778">
        <v>0</v>
      </c>
      <c r="Q6778">
        <v>7</v>
      </c>
      <c r="R6778" t="s">
        <v>32532</v>
      </c>
      <c r="S6778" t="s">
        <v>32616</v>
      </c>
      <c r="T6778" t="s">
        <v>33185</v>
      </c>
      <c r="U6778" t="s">
        <v>39299</v>
      </c>
      <c r="W6778" t="s">
        <v>43678</v>
      </c>
      <c r="X6778" t="s">
        <v>32533</v>
      </c>
    </row>
    <row r="6779" spans="1:24">
      <c r="A6779">
        <f>HYPERLINK("https://www.philgeps.gov.ph/GEPSNONPILOT/Tender/SplashBidNoticeAbstractUI.aspx?menuIndex=3&amp;refID=7037265&amp;Result=3","7037265")</f>
        <v>0</v>
      </c>
      <c r="B6779" t="s">
        <v>1603</v>
      </c>
      <c r="C6779" t="s">
        <v>9160</v>
      </c>
      <c r="D6779" t="s">
        <v>13019</v>
      </c>
      <c r="E6779" t="s">
        <v>19054</v>
      </c>
      <c r="F6779" t="s">
        <v>22436</v>
      </c>
      <c r="G6779" t="s">
        <v>22444</v>
      </c>
      <c r="H6779" t="s">
        <v>22454</v>
      </c>
      <c r="I6779" t="s">
        <v>7738</v>
      </c>
      <c r="J6779" t="s">
        <v>22605</v>
      </c>
      <c r="K6779" t="s">
        <v>29335</v>
      </c>
      <c r="M6779" t="s">
        <v>31287</v>
      </c>
      <c r="N6779" t="s">
        <v>32524</v>
      </c>
      <c r="O6779" t="s">
        <v>32525</v>
      </c>
      <c r="P6779">
        <v>0</v>
      </c>
      <c r="Q6779">
        <v>0</v>
      </c>
      <c r="R6779" t="s">
        <v>32532</v>
      </c>
      <c r="S6779" t="s">
        <v>32616</v>
      </c>
      <c r="T6779" t="s">
        <v>33259</v>
      </c>
      <c r="U6779" t="s">
        <v>39288</v>
      </c>
      <c r="W6779" t="s">
        <v>31287</v>
      </c>
      <c r="X6779" t="s">
        <v>32533</v>
      </c>
    </row>
    <row r="6780" spans="1:24">
      <c r="A6780">
        <f>HYPERLINK("https://www.philgeps.gov.ph/GEPSNONPILOT/Tender/SplashBidNoticeAbstractUI.aspx?menuIndex=3&amp;refID=7037261&amp;Result=3","7037261")</f>
        <v>0</v>
      </c>
      <c r="B6780" t="s">
        <v>2084</v>
      </c>
      <c r="C6780" t="s">
        <v>9161</v>
      </c>
      <c r="D6780" t="s">
        <v>13045</v>
      </c>
      <c r="E6780" t="s">
        <v>19055</v>
      </c>
      <c r="F6780" t="s">
        <v>22436</v>
      </c>
      <c r="G6780" t="s">
        <v>22443</v>
      </c>
      <c r="H6780" t="s">
        <v>22452</v>
      </c>
      <c r="I6780" t="s">
        <v>22456</v>
      </c>
      <c r="J6780" t="s">
        <v>26977</v>
      </c>
      <c r="K6780" t="s">
        <v>29341</v>
      </c>
      <c r="M6780" t="s">
        <v>31828</v>
      </c>
      <c r="N6780" t="s">
        <v>32524</v>
      </c>
      <c r="O6780" t="s">
        <v>32525</v>
      </c>
      <c r="P6780">
        <v>0</v>
      </c>
      <c r="Q6780">
        <v>3</v>
      </c>
      <c r="R6780" t="s">
        <v>32532</v>
      </c>
      <c r="S6780" t="s">
        <v>32616</v>
      </c>
      <c r="T6780" t="s">
        <v>33323</v>
      </c>
      <c r="U6780" t="s">
        <v>39300</v>
      </c>
      <c r="W6780" t="s">
        <v>31828</v>
      </c>
      <c r="X6780" t="s">
        <v>32533</v>
      </c>
    </row>
    <row r="6781" spans="1:24">
      <c r="A6781">
        <f>HYPERLINK("https://www.philgeps.gov.ph/GEPSNONPILOT/Tender/SplashBidNoticeAbstractUI.aspx?menuIndex=3&amp;refID=7037243&amp;Result=3","7037243")</f>
        <v>0</v>
      </c>
      <c r="B6781" t="s">
        <v>1450</v>
      </c>
      <c r="C6781" t="s">
        <v>9162</v>
      </c>
      <c r="D6781" t="s">
        <v>13011</v>
      </c>
      <c r="E6781" t="s">
        <v>19056</v>
      </c>
      <c r="F6781" t="s">
        <v>22436</v>
      </c>
      <c r="G6781" t="s">
        <v>22444</v>
      </c>
      <c r="H6781" t="s">
        <v>22454</v>
      </c>
      <c r="I6781" t="s">
        <v>7738</v>
      </c>
      <c r="J6781" t="s">
        <v>25333</v>
      </c>
      <c r="K6781" t="s">
        <v>29344</v>
      </c>
      <c r="M6781" t="s">
        <v>31114</v>
      </c>
      <c r="N6781" t="s">
        <v>32524</v>
      </c>
      <c r="O6781" t="s">
        <v>32525</v>
      </c>
      <c r="P6781">
        <v>0</v>
      </c>
      <c r="Q6781">
        <v>2</v>
      </c>
      <c r="R6781" t="s">
        <v>32532</v>
      </c>
      <c r="S6781" t="s">
        <v>32616</v>
      </c>
      <c r="T6781" t="s">
        <v>33249</v>
      </c>
      <c r="U6781" t="s">
        <v>39130</v>
      </c>
      <c r="W6781" t="s">
        <v>31114</v>
      </c>
      <c r="X6781" t="s">
        <v>32533</v>
      </c>
    </row>
    <row r="6782" spans="1:24">
      <c r="A6782">
        <f>HYPERLINK("https://www.philgeps.gov.ph/GEPSNONPILOT/Tender/SplashBidNoticeAbstractUI.aspx?menuIndex=3&amp;refID=7037245&amp;Result=3","7037245")</f>
        <v>0</v>
      </c>
      <c r="B6782" t="s">
        <v>717</v>
      </c>
      <c r="C6782" t="s">
        <v>9163</v>
      </c>
      <c r="D6782" t="s">
        <v>13024</v>
      </c>
      <c r="E6782" t="s">
        <v>19057</v>
      </c>
      <c r="F6782" t="s">
        <v>22436</v>
      </c>
      <c r="G6782" t="s">
        <v>22443</v>
      </c>
      <c r="H6782" t="s">
        <v>22452</v>
      </c>
      <c r="I6782" t="s">
        <v>22469</v>
      </c>
      <c r="J6782" t="s">
        <v>22605</v>
      </c>
      <c r="K6782" t="s">
        <v>29335</v>
      </c>
      <c r="M6782" t="s">
        <v>30314</v>
      </c>
      <c r="N6782" t="s">
        <v>32524</v>
      </c>
      <c r="O6782" t="s">
        <v>32525</v>
      </c>
      <c r="P6782">
        <v>0</v>
      </c>
      <c r="Q6782">
        <v>1</v>
      </c>
      <c r="R6782" t="s">
        <v>32532</v>
      </c>
      <c r="S6782" t="s">
        <v>32616</v>
      </c>
      <c r="T6782" t="s">
        <v>33228</v>
      </c>
      <c r="U6782" t="s">
        <v>39301</v>
      </c>
      <c r="W6782" t="s">
        <v>30314</v>
      </c>
      <c r="X6782" t="s">
        <v>32533</v>
      </c>
    </row>
    <row r="6783" spans="1:24">
      <c r="A6783">
        <f>HYPERLINK("https://www.philgeps.gov.ph/GEPSNONPILOT/Tender/SplashBidNoticeAbstractUI.aspx?menuIndex=3&amp;refID=7037262&amp;Result=3","7037262")</f>
        <v>0</v>
      </c>
      <c r="B6783" t="s">
        <v>128</v>
      </c>
      <c r="C6783" t="s">
        <v>9164</v>
      </c>
      <c r="D6783" t="s">
        <v>13025</v>
      </c>
      <c r="E6783" t="s">
        <v>19058</v>
      </c>
      <c r="F6783" t="s">
        <v>22436</v>
      </c>
      <c r="G6783" t="s">
        <v>22444</v>
      </c>
      <c r="H6783" t="s">
        <v>22452</v>
      </c>
      <c r="I6783" t="s">
        <v>3529</v>
      </c>
      <c r="J6783" t="s">
        <v>26978</v>
      </c>
      <c r="K6783" t="s">
        <v>29331</v>
      </c>
      <c r="M6783" t="s">
        <v>29700</v>
      </c>
      <c r="N6783" t="s">
        <v>32524</v>
      </c>
      <c r="O6783" t="s">
        <v>32525</v>
      </c>
      <c r="P6783">
        <v>0</v>
      </c>
      <c r="Q6783">
        <v>0</v>
      </c>
      <c r="R6783" t="s">
        <v>32532</v>
      </c>
      <c r="S6783" t="s">
        <v>32616</v>
      </c>
      <c r="T6783" t="s">
        <v>33220</v>
      </c>
      <c r="U6783" t="s">
        <v>39302</v>
      </c>
      <c r="W6783" t="s">
        <v>29700</v>
      </c>
      <c r="X6783" t="s">
        <v>32533</v>
      </c>
    </row>
    <row r="6784" spans="1:24">
      <c r="A6784">
        <f>HYPERLINK("https://www.philgeps.gov.ph/GEPSNONPILOT/Tender/SplashBidNoticeAbstractUI.aspx?menuIndex=3&amp;refID=7037241&amp;Result=3","7037241")</f>
        <v>0</v>
      </c>
      <c r="B6784" t="s">
        <v>773</v>
      </c>
      <c r="C6784" t="s">
        <v>9165</v>
      </c>
      <c r="D6784" t="s">
        <v>13003</v>
      </c>
      <c r="E6784" t="s">
        <v>19059</v>
      </c>
      <c r="F6784" t="s">
        <v>22436</v>
      </c>
      <c r="G6784" t="s">
        <v>22444</v>
      </c>
      <c r="H6784" t="s">
        <v>22454</v>
      </c>
      <c r="I6784" t="s">
        <v>7738</v>
      </c>
      <c r="J6784" t="s">
        <v>26979</v>
      </c>
      <c r="K6784" t="s">
        <v>29433</v>
      </c>
      <c r="L6784" t="s">
        <v>773</v>
      </c>
      <c r="M6784" t="s">
        <v>30374</v>
      </c>
      <c r="N6784" t="s">
        <v>32524</v>
      </c>
      <c r="O6784" t="s">
        <v>32525</v>
      </c>
      <c r="P6784">
        <v>0</v>
      </c>
      <c r="Q6784">
        <v>0</v>
      </c>
      <c r="R6784" t="s">
        <v>32532</v>
      </c>
      <c r="S6784" t="s">
        <v>32616</v>
      </c>
      <c r="T6784" t="s">
        <v>33249</v>
      </c>
      <c r="U6784" t="s">
        <v>39303</v>
      </c>
      <c r="V6784" t="s">
        <v>43165</v>
      </c>
      <c r="W6784" t="s">
        <v>30374</v>
      </c>
      <c r="X6784" t="s">
        <v>32533</v>
      </c>
    </row>
    <row r="6785" spans="1:24">
      <c r="A6785">
        <f>HYPERLINK("https://www.philgeps.gov.ph/GEPSNONPILOT/Tender/SplashBidNoticeAbstractUI.aspx?menuIndex=3&amp;refID=7037255&amp;Result=3","7037255")</f>
        <v>0</v>
      </c>
      <c r="B6785" t="s">
        <v>1019</v>
      </c>
      <c r="C6785" t="s">
        <v>9166</v>
      </c>
      <c r="D6785" t="s">
        <v>13016</v>
      </c>
      <c r="E6785" t="s">
        <v>19060</v>
      </c>
      <c r="F6785" t="s">
        <v>22436</v>
      </c>
      <c r="G6785" t="s">
        <v>22444</v>
      </c>
      <c r="H6785" t="s">
        <v>22452</v>
      </c>
      <c r="I6785" t="s">
        <v>3529</v>
      </c>
      <c r="J6785" t="s">
        <v>26980</v>
      </c>
      <c r="K6785" t="s">
        <v>29338</v>
      </c>
      <c r="M6785" t="s">
        <v>30647</v>
      </c>
      <c r="N6785" t="s">
        <v>32524</v>
      </c>
      <c r="O6785" t="s">
        <v>32525</v>
      </c>
      <c r="P6785">
        <v>0</v>
      </c>
      <c r="Q6785">
        <v>1</v>
      </c>
      <c r="R6785" t="s">
        <v>32532</v>
      </c>
      <c r="S6785" t="s">
        <v>32616</v>
      </c>
      <c r="T6785" t="s">
        <v>33537</v>
      </c>
      <c r="U6785" t="s">
        <v>38068</v>
      </c>
      <c r="V6785" t="s">
        <v>43166</v>
      </c>
      <c r="W6785" t="s">
        <v>30647</v>
      </c>
      <c r="X6785" t="s">
        <v>32533</v>
      </c>
    </row>
    <row r="6786" spans="1:24">
      <c r="A6786">
        <f>HYPERLINK("https://www.philgeps.gov.ph/GEPSNONPILOT/Tender/SplashBidNoticeAbstractUI.aspx?menuIndex=3&amp;refID=7037250&amp;Result=3","7037250")</f>
        <v>0</v>
      </c>
      <c r="B6786" t="s">
        <v>786</v>
      </c>
      <c r="C6786" t="s">
        <v>9167</v>
      </c>
      <c r="D6786" t="s">
        <v>12990</v>
      </c>
      <c r="E6786" t="s">
        <v>19061</v>
      </c>
      <c r="F6786" t="s">
        <v>22436</v>
      </c>
      <c r="G6786" t="s">
        <v>22444</v>
      </c>
      <c r="H6786" t="s">
        <v>22452</v>
      </c>
      <c r="I6786" t="s">
        <v>22482</v>
      </c>
      <c r="J6786" t="s">
        <v>22616</v>
      </c>
      <c r="K6786" t="s">
        <v>29336</v>
      </c>
      <c r="M6786" t="s">
        <v>30387</v>
      </c>
      <c r="N6786" t="s">
        <v>32524</v>
      </c>
      <c r="O6786" t="s">
        <v>32525</v>
      </c>
      <c r="P6786">
        <v>0</v>
      </c>
      <c r="Q6786">
        <v>3</v>
      </c>
      <c r="R6786" t="s">
        <v>32532</v>
      </c>
      <c r="S6786" t="s">
        <v>32616</v>
      </c>
      <c r="T6786" t="s">
        <v>33371</v>
      </c>
      <c r="U6786" t="s">
        <v>39304</v>
      </c>
      <c r="W6786" t="s">
        <v>30387</v>
      </c>
      <c r="X6786" t="s">
        <v>32533</v>
      </c>
    </row>
    <row r="6787" spans="1:24">
      <c r="A6787">
        <f>HYPERLINK("https://www.philgeps.gov.ph/GEPSNONPILOT/Tender/SplashBidNoticeAbstractUI.aspx?menuIndex=3&amp;refID=7037257&amp;Result=3","7037257")</f>
        <v>0</v>
      </c>
      <c r="B6787" t="s">
        <v>2085</v>
      </c>
      <c r="C6787" t="s">
        <v>9168</v>
      </c>
      <c r="D6787" t="s">
        <v>12988</v>
      </c>
      <c r="E6787" t="s">
        <v>19062</v>
      </c>
      <c r="F6787" t="s">
        <v>22436</v>
      </c>
      <c r="G6787" t="s">
        <v>22444</v>
      </c>
      <c r="H6787" t="s">
        <v>22452</v>
      </c>
      <c r="I6787" t="s">
        <v>22474</v>
      </c>
      <c r="J6787" t="s">
        <v>23387</v>
      </c>
      <c r="K6787" t="s">
        <v>29338</v>
      </c>
      <c r="M6787" t="s">
        <v>31829</v>
      </c>
      <c r="N6787" t="s">
        <v>32524</v>
      </c>
      <c r="O6787" t="s">
        <v>32525</v>
      </c>
      <c r="P6787">
        <v>0</v>
      </c>
      <c r="Q6787">
        <v>5</v>
      </c>
      <c r="R6787" t="s">
        <v>32532</v>
      </c>
      <c r="S6787" t="s">
        <v>32616</v>
      </c>
      <c r="T6787" t="s">
        <v>33540</v>
      </c>
      <c r="U6787" t="s">
        <v>39305</v>
      </c>
      <c r="W6787" t="s">
        <v>31829</v>
      </c>
      <c r="X6787" t="s">
        <v>32533</v>
      </c>
    </row>
    <row r="6788" spans="1:24">
      <c r="A6788">
        <f>HYPERLINK("https://www.philgeps.gov.ph/GEPSNONPILOT/Tender/SplashBidNoticeAbstractUI.aspx?menuIndex=3&amp;refID=7037277&amp;Result=3","7037277")</f>
        <v>0</v>
      </c>
      <c r="B6788" t="s">
        <v>717</v>
      </c>
      <c r="C6788" t="s">
        <v>9169</v>
      </c>
      <c r="D6788" t="s">
        <v>13024</v>
      </c>
      <c r="E6788" t="s">
        <v>19063</v>
      </c>
      <c r="F6788" t="s">
        <v>22436</v>
      </c>
      <c r="G6788" t="s">
        <v>22443</v>
      </c>
      <c r="H6788" t="s">
        <v>22452</v>
      </c>
      <c r="I6788" t="s">
        <v>22502</v>
      </c>
      <c r="J6788" t="s">
        <v>22874</v>
      </c>
      <c r="K6788" t="s">
        <v>29335</v>
      </c>
      <c r="M6788" t="s">
        <v>30314</v>
      </c>
      <c r="N6788" t="s">
        <v>32524</v>
      </c>
      <c r="O6788" t="s">
        <v>32525</v>
      </c>
      <c r="P6788">
        <v>0</v>
      </c>
      <c r="Q6788">
        <v>4</v>
      </c>
      <c r="R6788" t="s">
        <v>32532</v>
      </c>
      <c r="S6788" t="s">
        <v>32616</v>
      </c>
      <c r="T6788" t="s">
        <v>33228</v>
      </c>
      <c r="U6788" t="s">
        <v>39306</v>
      </c>
      <c r="W6788" t="s">
        <v>30314</v>
      </c>
      <c r="X6788" t="s">
        <v>32533</v>
      </c>
    </row>
    <row r="6789" spans="1:24">
      <c r="A6789">
        <f>HYPERLINK("https://www.philgeps.gov.ph/GEPSNONPILOT/Tender/SplashBidNoticeAbstractUI.aspx?menuIndex=3&amp;refID=7037247&amp;Result=3","7037247")</f>
        <v>0</v>
      </c>
      <c r="B6789" t="s">
        <v>667</v>
      </c>
      <c r="C6789" t="s">
        <v>9170</v>
      </c>
      <c r="D6789" t="s">
        <v>12988</v>
      </c>
      <c r="E6789" t="s">
        <v>19064</v>
      </c>
      <c r="F6789" t="s">
        <v>22436</v>
      </c>
      <c r="G6789" t="s">
        <v>22444</v>
      </c>
      <c r="H6789" t="s">
        <v>22452</v>
      </c>
      <c r="I6789" t="s">
        <v>22469</v>
      </c>
      <c r="J6789" t="s">
        <v>23505</v>
      </c>
      <c r="K6789" t="s">
        <v>29334</v>
      </c>
      <c r="M6789" t="s">
        <v>31619</v>
      </c>
      <c r="N6789" t="s">
        <v>32524</v>
      </c>
      <c r="O6789" t="s">
        <v>32525</v>
      </c>
      <c r="P6789">
        <v>0</v>
      </c>
      <c r="Q6789">
        <v>14</v>
      </c>
      <c r="R6789" t="s">
        <v>32532</v>
      </c>
      <c r="S6789" t="s">
        <v>32616</v>
      </c>
      <c r="T6789" t="s">
        <v>33253</v>
      </c>
      <c r="U6789" t="s">
        <v>39307</v>
      </c>
      <c r="W6789" t="s">
        <v>31619</v>
      </c>
      <c r="X6789" t="s">
        <v>32533</v>
      </c>
    </row>
    <row r="6790" spans="1:24">
      <c r="A6790">
        <f>HYPERLINK("https://www.philgeps.gov.ph/GEPSNONPILOT/Tender/SplashBidNoticeAbstractUI.aspx?menuIndex=3&amp;refID=7037275&amp;Result=3","7037275")</f>
        <v>0</v>
      </c>
      <c r="B6790" t="s">
        <v>2086</v>
      </c>
      <c r="C6790" t="s">
        <v>9171</v>
      </c>
      <c r="D6790" t="s">
        <v>13035</v>
      </c>
      <c r="E6790" t="s">
        <v>19065</v>
      </c>
      <c r="F6790" t="s">
        <v>22436</v>
      </c>
      <c r="G6790" t="s">
        <v>22444</v>
      </c>
      <c r="H6790" t="s">
        <v>22454</v>
      </c>
      <c r="I6790" t="s">
        <v>7738</v>
      </c>
      <c r="J6790" t="s">
        <v>26981</v>
      </c>
      <c r="K6790" t="s">
        <v>29334</v>
      </c>
      <c r="M6790" t="s">
        <v>31830</v>
      </c>
      <c r="N6790" t="s">
        <v>32524</v>
      </c>
      <c r="O6790" t="s">
        <v>32525</v>
      </c>
      <c r="P6790">
        <v>0</v>
      </c>
      <c r="Q6790">
        <v>0</v>
      </c>
      <c r="R6790" t="s">
        <v>32532</v>
      </c>
      <c r="S6790" t="s">
        <v>32616</v>
      </c>
      <c r="T6790" t="s">
        <v>33372</v>
      </c>
      <c r="U6790" t="s">
        <v>39308</v>
      </c>
      <c r="V6790" t="s">
        <v>42461</v>
      </c>
      <c r="W6790" t="s">
        <v>31830</v>
      </c>
      <c r="X6790" t="s">
        <v>32533</v>
      </c>
    </row>
    <row r="6791" spans="1:24">
      <c r="A6791">
        <f>HYPERLINK("https://www.philgeps.gov.ph/GEPSNONPILOT/Tender/SplashBidNoticeAbstractUI.aspx?menuIndex=3&amp;refID=7037273&amp;Result=3","7037273")</f>
        <v>0</v>
      </c>
      <c r="B6791" t="s">
        <v>1816</v>
      </c>
      <c r="C6791" t="s">
        <v>2818</v>
      </c>
      <c r="D6791" t="s">
        <v>12993</v>
      </c>
      <c r="E6791" t="s">
        <v>19066</v>
      </c>
      <c r="F6791" t="s">
        <v>22436</v>
      </c>
      <c r="G6791" t="s">
        <v>22444</v>
      </c>
      <c r="H6791" t="s">
        <v>22452</v>
      </c>
      <c r="I6791" t="s">
        <v>22460</v>
      </c>
      <c r="J6791" t="s">
        <v>26982</v>
      </c>
      <c r="K6791" t="s">
        <v>29335</v>
      </c>
      <c r="M6791" t="s">
        <v>31530</v>
      </c>
      <c r="N6791" t="s">
        <v>32524</v>
      </c>
      <c r="O6791" t="s">
        <v>32525</v>
      </c>
      <c r="P6791">
        <v>0</v>
      </c>
      <c r="Q6791">
        <v>0</v>
      </c>
      <c r="R6791" t="s">
        <v>32532</v>
      </c>
      <c r="S6791" t="s">
        <v>32616</v>
      </c>
      <c r="T6791" t="s">
        <v>33238</v>
      </c>
      <c r="U6791" t="s">
        <v>39309</v>
      </c>
      <c r="W6791" t="s">
        <v>31530</v>
      </c>
      <c r="X6791" t="s">
        <v>32533</v>
      </c>
    </row>
    <row r="6792" spans="1:24">
      <c r="A6792">
        <f>HYPERLINK("https://www.philgeps.gov.ph/GEPSNONPILOT/Tender/SplashBidNoticeAbstractUI.aspx?menuIndex=3&amp;refID=7037276&amp;Result=3","7037276")</f>
        <v>0</v>
      </c>
      <c r="B6792" t="s">
        <v>422</v>
      </c>
      <c r="C6792" t="s">
        <v>9172</v>
      </c>
      <c r="D6792" t="s">
        <v>13034</v>
      </c>
      <c r="E6792" t="s">
        <v>19067</v>
      </c>
      <c r="F6792" t="s">
        <v>22436</v>
      </c>
      <c r="G6792" t="s">
        <v>22444</v>
      </c>
      <c r="H6792" t="s">
        <v>22452</v>
      </c>
      <c r="I6792" t="s">
        <v>22458</v>
      </c>
      <c r="J6792" t="s">
        <v>26983</v>
      </c>
      <c r="K6792" t="s">
        <v>29333</v>
      </c>
      <c r="M6792" t="s">
        <v>30002</v>
      </c>
      <c r="N6792" t="s">
        <v>32524</v>
      </c>
      <c r="O6792" t="s">
        <v>32525</v>
      </c>
      <c r="P6792">
        <v>0</v>
      </c>
      <c r="Q6792">
        <v>40</v>
      </c>
      <c r="R6792" t="s">
        <v>32532</v>
      </c>
      <c r="S6792" t="s">
        <v>32616</v>
      </c>
      <c r="T6792" t="s">
        <v>33541</v>
      </c>
      <c r="U6792" t="s">
        <v>39310</v>
      </c>
      <c r="V6792" t="s">
        <v>43167</v>
      </c>
      <c r="W6792" t="s">
        <v>30002</v>
      </c>
      <c r="X6792" t="s">
        <v>32533</v>
      </c>
    </row>
    <row r="6793" spans="1:24">
      <c r="A6793">
        <f>HYPERLINK("https://www.philgeps.gov.ph/GEPSNONPILOT/Tender/SplashBidNoticeAbstractUI.aspx?menuIndex=3&amp;refID=7037279&amp;Result=3","7037279")</f>
        <v>0</v>
      </c>
      <c r="B6793" t="s">
        <v>651</v>
      </c>
      <c r="C6793" t="s">
        <v>9173</v>
      </c>
      <c r="D6793" t="s">
        <v>13029</v>
      </c>
      <c r="E6793" t="s">
        <v>13695</v>
      </c>
      <c r="F6793" t="s">
        <v>22436</v>
      </c>
      <c r="G6793" t="s">
        <v>22446</v>
      </c>
      <c r="H6793" t="s">
        <v>22452</v>
      </c>
      <c r="I6793" t="s">
        <v>22463</v>
      </c>
      <c r="J6793" t="s">
        <v>22605</v>
      </c>
      <c r="K6793" t="s">
        <v>29335</v>
      </c>
      <c r="M6793" t="s">
        <v>30243</v>
      </c>
      <c r="N6793" t="s">
        <v>32524</v>
      </c>
      <c r="O6793" t="s">
        <v>32525</v>
      </c>
      <c r="P6793">
        <v>0</v>
      </c>
      <c r="Q6793">
        <v>1</v>
      </c>
      <c r="R6793" t="s">
        <v>32532</v>
      </c>
      <c r="S6793" t="s">
        <v>32616</v>
      </c>
      <c r="T6793" t="s">
        <v>33169</v>
      </c>
      <c r="U6793" t="s">
        <v>39311</v>
      </c>
      <c r="W6793" t="s">
        <v>30243</v>
      </c>
      <c r="X6793" t="s">
        <v>32533</v>
      </c>
    </row>
    <row r="6794" spans="1:24">
      <c r="A6794">
        <f>HYPERLINK("https://www.philgeps.gov.ph/GEPSNONPILOT/Tender/SplashBidNoticeAbstractUI.aspx?menuIndex=3&amp;refID=7037282&amp;Result=3","7037282")</f>
        <v>0</v>
      </c>
      <c r="B6794" t="s">
        <v>1737</v>
      </c>
      <c r="C6794" t="s">
        <v>9174</v>
      </c>
      <c r="D6794" t="s">
        <v>13018</v>
      </c>
      <c r="E6794" t="s">
        <v>19068</v>
      </c>
      <c r="F6794" t="s">
        <v>22436</v>
      </c>
      <c r="G6794" t="s">
        <v>22444</v>
      </c>
      <c r="H6794" t="s">
        <v>22452</v>
      </c>
      <c r="I6794" t="s">
        <v>12358</v>
      </c>
      <c r="J6794" t="s">
        <v>26984</v>
      </c>
      <c r="K6794" t="s">
        <v>29341</v>
      </c>
      <c r="M6794" t="s">
        <v>31442</v>
      </c>
      <c r="N6794" t="s">
        <v>32524</v>
      </c>
      <c r="O6794" t="s">
        <v>32525</v>
      </c>
      <c r="P6794">
        <v>0</v>
      </c>
      <c r="Q6794">
        <v>0</v>
      </c>
      <c r="R6794" t="s">
        <v>32532</v>
      </c>
      <c r="S6794" t="s">
        <v>32616</v>
      </c>
      <c r="T6794" t="s">
        <v>33213</v>
      </c>
      <c r="U6794" t="s">
        <v>39312</v>
      </c>
      <c r="W6794" t="s">
        <v>31442</v>
      </c>
      <c r="X6794" t="s">
        <v>32533</v>
      </c>
    </row>
    <row r="6795" spans="1:24">
      <c r="A6795">
        <f>HYPERLINK("https://www.philgeps.gov.ph/GEPSNONPILOT/Tender/SplashBidNoticeAbstractUI.aspx?menuIndex=3&amp;refID=7037289&amp;Result=3","7037289")</f>
        <v>0</v>
      </c>
      <c r="B6795" t="s">
        <v>2087</v>
      </c>
      <c r="C6795" t="s">
        <v>9175</v>
      </c>
      <c r="D6795" t="s">
        <v>13057</v>
      </c>
      <c r="E6795" t="s">
        <v>13371</v>
      </c>
      <c r="F6795" t="s">
        <v>22436</v>
      </c>
      <c r="G6795" t="s">
        <v>22444</v>
      </c>
      <c r="H6795" t="s">
        <v>22454</v>
      </c>
      <c r="I6795" t="s">
        <v>7738</v>
      </c>
      <c r="J6795" t="s">
        <v>22877</v>
      </c>
      <c r="K6795" t="s">
        <v>29335</v>
      </c>
      <c r="M6795" t="s">
        <v>31831</v>
      </c>
      <c r="N6795" t="s">
        <v>32524</v>
      </c>
      <c r="O6795" t="s">
        <v>32525</v>
      </c>
      <c r="P6795">
        <v>0</v>
      </c>
      <c r="Q6795">
        <v>0</v>
      </c>
      <c r="R6795" t="s">
        <v>32532</v>
      </c>
      <c r="S6795" t="s">
        <v>32616</v>
      </c>
      <c r="T6795" t="s">
        <v>33242</v>
      </c>
      <c r="U6795" t="s">
        <v>39313</v>
      </c>
      <c r="W6795" t="s">
        <v>31831</v>
      </c>
      <c r="X6795" t="s">
        <v>32533</v>
      </c>
    </row>
    <row r="6796" spans="1:24">
      <c r="A6796">
        <f>HYPERLINK("https://www.philgeps.gov.ph/GEPSNONPILOT/Tender/SplashBidNoticeAbstractUI.aspx?menuIndex=3&amp;refID=7037260&amp;Result=3","7037260")</f>
        <v>0</v>
      </c>
      <c r="B6796" t="s">
        <v>992</v>
      </c>
      <c r="C6796" t="s">
        <v>9176</v>
      </c>
      <c r="D6796" t="s">
        <v>13024</v>
      </c>
      <c r="E6796" t="s">
        <v>19069</v>
      </c>
      <c r="F6796" t="s">
        <v>22436</v>
      </c>
      <c r="G6796" t="s">
        <v>22444</v>
      </c>
      <c r="H6796" t="s">
        <v>22452</v>
      </c>
      <c r="I6796" t="s">
        <v>22461</v>
      </c>
      <c r="J6796" t="s">
        <v>26985</v>
      </c>
      <c r="K6796" t="s">
        <v>29434</v>
      </c>
      <c r="M6796" t="s">
        <v>30616</v>
      </c>
      <c r="N6796" t="s">
        <v>32524</v>
      </c>
      <c r="O6796" t="s">
        <v>32525</v>
      </c>
      <c r="P6796">
        <v>0</v>
      </c>
      <c r="Q6796">
        <v>0</v>
      </c>
      <c r="R6796" t="s">
        <v>32532</v>
      </c>
      <c r="S6796" t="s">
        <v>32616</v>
      </c>
      <c r="T6796" t="s">
        <v>33238</v>
      </c>
      <c r="U6796" t="s">
        <v>39314</v>
      </c>
      <c r="V6796" t="s">
        <v>42679</v>
      </c>
      <c r="W6796" t="s">
        <v>30616</v>
      </c>
      <c r="X6796" t="s">
        <v>32533</v>
      </c>
    </row>
    <row r="6797" spans="1:24">
      <c r="A6797">
        <f>HYPERLINK("https://www.philgeps.gov.ph/GEPSNONPILOT/Tender/SplashBidNoticeAbstractUI.aspx?menuIndex=3&amp;refID=7037322&amp;Result=3","7037322")</f>
        <v>0</v>
      </c>
      <c r="B6797" t="s">
        <v>2088</v>
      </c>
      <c r="C6797" t="s">
        <v>9177</v>
      </c>
      <c r="D6797" t="s">
        <v>13004</v>
      </c>
      <c r="E6797" t="s">
        <v>19070</v>
      </c>
      <c r="F6797" t="s">
        <v>22436</v>
      </c>
      <c r="G6797" t="s">
        <v>22443</v>
      </c>
      <c r="H6797" t="s">
        <v>22452</v>
      </c>
      <c r="I6797" t="s">
        <v>22463</v>
      </c>
      <c r="J6797" t="s">
        <v>22779</v>
      </c>
      <c r="K6797" t="s">
        <v>29336</v>
      </c>
      <c r="M6797" t="s">
        <v>31832</v>
      </c>
      <c r="N6797" t="s">
        <v>32524</v>
      </c>
      <c r="O6797" t="s">
        <v>32525</v>
      </c>
      <c r="P6797">
        <v>0</v>
      </c>
      <c r="Q6797">
        <v>7</v>
      </c>
      <c r="R6797" t="s">
        <v>32532</v>
      </c>
      <c r="S6797" t="s">
        <v>32616</v>
      </c>
      <c r="T6797" t="s">
        <v>33351</v>
      </c>
      <c r="U6797" t="s">
        <v>39315</v>
      </c>
      <c r="V6797" t="s">
        <v>43168</v>
      </c>
      <c r="W6797" t="s">
        <v>31832</v>
      </c>
      <c r="X6797" t="s">
        <v>32533</v>
      </c>
    </row>
    <row r="6798" spans="1:24">
      <c r="A6798">
        <f>HYPERLINK("https://www.philgeps.gov.ph/GEPSNONPILOT/Tender/SplashBidNoticeAbstractUI.aspx?menuIndex=3&amp;refID=7037311&amp;Result=3","7037311")</f>
        <v>0</v>
      </c>
      <c r="B6798" t="s">
        <v>1358</v>
      </c>
      <c r="C6798" t="s">
        <v>9178</v>
      </c>
      <c r="D6798" t="s">
        <v>13041</v>
      </c>
      <c r="E6798" t="s">
        <v>19071</v>
      </c>
      <c r="F6798" t="s">
        <v>22436</v>
      </c>
      <c r="G6798" t="s">
        <v>22444</v>
      </c>
      <c r="H6798" t="s">
        <v>22454</v>
      </c>
      <c r="I6798" t="s">
        <v>7738</v>
      </c>
      <c r="J6798" t="s">
        <v>22960</v>
      </c>
      <c r="K6798" t="s">
        <v>29338</v>
      </c>
      <c r="M6798" t="s">
        <v>31014</v>
      </c>
      <c r="N6798" t="s">
        <v>32524</v>
      </c>
      <c r="O6798" t="s">
        <v>32525</v>
      </c>
      <c r="P6798">
        <v>0</v>
      </c>
      <c r="Q6798">
        <v>0</v>
      </c>
      <c r="R6798" t="s">
        <v>32532</v>
      </c>
      <c r="S6798" t="s">
        <v>32616</v>
      </c>
      <c r="T6798" t="s">
        <v>33253</v>
      </c>
      <c r="U6798" t="s">
        <v>39316</v>
      </c>
      <c r="W6798" t="s">
        <v>31014</v>
      </c>
      <c r="X6798" t="s">
        <v>32533</v>
      </c>
    </row>
    <row r="6799" spans="1:24">
      <c r="A6799">
        <f>HYPERLINK("https://www.philgeps.gov.ph/GEPSNONPILOT/Tender/SplashBidNoticeAbstractUI.aspx?menuIndex=3&amp;refID=7037285&amp;Result=3","7037285")</f>
        <v>0</v>
      </c>
      <c r="B6799" t="s">
        <v>2089</v>
      </c>
      <c r="C6799" t="s">
        <v>9179</v>
      </c>
      <c r="E6799" t="s">
        <v>13137</v>
      </c>
      <c r="F6799" t="s">
        <v>22437</v>
      </c>
      <c r="G6799" t="s">
        <v>22444</v>
      </c>
      <c r="H6799" t="s">
        <v>22452</v>
      </c>
      <c r="I6799" t="s">
        <v>22476</v>
      </c>
      <c r="J6799" t="s">
        <v>22616</v>
      </c>
      <c r="K6799" t="s">
        <v>29338</v>
      </c>
      <c r="M6799" t="s">
        <v>31833</v>
      </c>
      <c r="N6799" t="s">
        <v>32524</v>
      </c>
      <c r="O6799" t="s">
        <v>32525</v>
      </c>
      <c r="P6799">
        <v>0</v>
      </c>
      <c r="Q6799">
        <v>3</v>
      </c>
      <c r="R6799" t="s">
        <v>32532</v>
      </c>
      <c r="S6799" t="s">
        <v>32616</v>
      </c>
      <c r="T6799" t="s">
        <v>33172</v>
      </c>
      <c r="U6799" t="s">
        <v>39317</v>
      </c>
      <c r="W6799" t="s">
        <v>31833</v>
      </c>
      <c r="X6799" t="s">
        <v>32533</v>
      </c>
    </row>
    <row r="6800" spans="1:24">
      <c r="A6800">
        <f>HYPERLINK("https://www.philgeps.gov.ph/GEPSNONPILOT/Tender/SplashBidNoticeAbstractUI.aspx?menuIndex=3&amp;refID=7037319&amp;Result=3","7037319")</f>
        <v>0</v>
      </c>
      <c r="B6800" t="s">
        <v>229</v>
      </c>
      <c r="C6800" t="s">
        <v>7787</v>
      </c>
      <c r="D6800" t="s">
        <v>13007</v>
      </c>
      <c r="E6800" t="s">
        <v>19072</v>
      </c>
      <c r="F6800" t="s">
        <v>22436</v>
      </c>
      <c r="G6800" t="s">
        <v>22443</v>
      </c>
      <c r="H6800" t="s">
        <v>22452</v>
      </c>
      <c r="I6800" t="s">
        <v>6421</v>
      </c>
      <c r="J6800" t="s">
        <v>26986</v>
      </c>
      <c r="K6800" t="s">
        <v>29338</v>
      </c>
      <c r="M6800" t="s">
        <v>29802</v>
      </c>
      <c r="N6800" t="s">
        <v>32524</v>
      </c>
      <c r="O6800" t="s">
        <v>32525</v>
      </c>
      <c r="P6800">
        <v>0</v>
      </c>
      <c r="Q6800">
        <v>3</v>
      </c>
      <c r="R6800" t="s">
        <v>32532</v>
      </c>
      <c r="S6800" t="s">
        <v>32616</v>
      </c>
      <c r="T6800" t="s">
        <v>33220</v>
      </c>
      <c r="U6800" t="s">
        <v>34786</v>
      </c>
      <c r="W6800" t="s">
        <v>29802</v>
      </c>
      <c r="X6800" t="s">
        <v>32533</v>
      </c>
    </row>
    <row r="6801" spans="1:24">
      <c r="A6801">
        <f>HYPERLINK("https://www.philgeps.gov.ph/GEPSNONPILOT/Tender/SplashBidNoticeAbstractUI.aspx?menuIndex=3&amp;refID=7037307&amp;Result=3","7037307")</f>
        <v>0</v>
      </c>
      <c r="B6801" t="s">
        <v>717</v>
      </c>
      <c r="C6801" t="s">
        <v>9180</v>
      </c>
      <c r="D6801" t="s">
        <v>13024</v>
      </c>
      <c r="E6801" t="s">
        <v>19073</v>
      </c>
      <c r="F6801" t="s">
        <v>22436</v>
      </c>
      <c r="G6801" t="s">
        <v>22443</v>
      </c>
      <c r="H6801" t="s">
        <v>22452</v>
      </c>
      <c r="I6801" t="s">
        <v>22502</v>
      </c>
      <c r="J6801" t="s">
        <v>23884</v>
      </c>
      <c r="K6801" t="s">
        <v>29335</v>
      </c>
      <c r="M6801" t="s">
        <v>30314</v>
      </c>
      <c r="N6801" t="s">
        <v>32524</v>
      </c>
      <c r="O6801" t="s">
        <v>32525</v>
      </c>
      <c r="P6801">
        <v>0</v>
      </c>
      <c r="Q6801">
        <v>8</v>
      </c>
      <c r="R6801" t="s">
        <v>32532</v>
      </c>
      <c r="S6801" t="s">
        <v>32616</v>
      </c>
      <c r="T6801" t="s">
        <v>33228</v>
      </c>
      <c r="U6801" t="s">
        <v>39318</v>
      </c>
      <c r="W6801" t="s">
        <v>30314</v>
      </c>
      <c r="X6801" t="s">
        <v>32533</v>
      </c>
    </row>
    <row r="6802" spans="1:24">
      <c r="A6802">
        <f>HYPERLINK("https://www.philgeps.gov.ph/GEPSNONPILOT/Tender/SplashBidNoticeAbstractUI.aspx?menuIndex=3&amp;refID=7037316&amp;Result=3","7037316")</f>
        <v>0</v>
      </c>
      <c r="B6802" t="s">
        <v>1915</v>
      </c>
      <c r="C6802" t="s">
        <v>9181</v>
      </c>
      <c r="D6802" t="s">
        <v>13004</v>
      </c>
      <c r="E6802" t="s">
        <v>19074</v>
      </c>
      <c r="F6802" t="s">
        <v>22436</v>
      </c>
      <c r="G6802" t="s">
        <v>22443</v>
      </c>
      <c r="H6802" t="s">
        <v>22452</v>
      </c>
      <c r="I6802" t="s">
        <v>3529</v>
      </c>
      <c r="J6802" t="s">
        <v>23243</v>
      </c>
      <c r="K6802" t="s">
        <v>29335</v>
      </c>
      <c r="M6802" t="s">
        <v>31640</v>
      </c>
      <c r="N6802" t="s">
        <v>32524</v>
      </c>
      <c r="O6802" t="s">
        <v>32525</v>
      </c>
      <c r="P6802">
        <v>0</v>
      </c>
      <c r="Q6802">
        <v>0</v>
      </c>
      <c r="R6802" t="s">
        <v>32532</v>
      </c>
      <c r="S6802" t="s">
        <v>32616</v>
      </c>
      <c r="T6802" t="s">
        <v>33328</v>
      </c>
      <c r="U6802" t="s">
        <v>39319</v>
      </c>
      <c r="W6802" t="s">
        <v>31640</v>
      </c>
      <c r="X6802" t="s">
        <v>32533</v>
      </c>
    </row>
    <row r="6803" spans="1:24">
      <c r="A6803">
        <f>HYPERLINK("https://www.philgeps.gov.ph/GEPSNONPILOT/Tender/SplashBidNoticeAbstractUI.aspx?menuIndex=3&amp;refID=7037315&amp;Result=3","7037315")</f>
        <v>0</v>
      </c>
      <c r="B6803" t="s">
        <v>48</v>
      </c>
      <c r="C6803" t="s">
        <v>9182</v>
      </c>
      <c r="D6803" t="s">
        <v>13007</v>
      </c>
      <c r="E6803" t="s">
        <v>19075</v>
      </c>
      <c r="F6803" t="s">
        <v>22436</v>
      </c>
      <c r="G6803" t="s">
        <v>22444</v>
      </c>
      <c r="H6803" t="s">
        <v>22452</v>
      </c>
      <c r="I6803" t="s">
        <v>22469</v>
      </c>
      <c r="J6803" t="s">
        <v>22706</v>
      </c>
      <c r="K6803" t="s">
        <v>29335</v>
      </c>
      <c r="M6803" t="s">
        <v>31634</v>
      </c>
      <c r="N6803" t="s">
        <v>32524</v>
      </c>
      <c r="O6803" t="s">
        <v>32525</v>
      </c>
      <c r="P6803">
        <v>0</v>
      </c>
      <c r="Q6803">
        <v>3</v>
      </c>
      <c r="R6803" t="s">
        <v>32532</v>
      </c>
      <c r="S6803" t="s">
        <v>32616</v>
      </c>
      <c r="T6803" t="s">
        <v>33323</v>
      </c>
      <c r="U6803" t="s">
        <v>39320</v>
      </c>
      <c r="W6803" t="s">
        <v>31634</v>
      </c>
      <c r="X6803" t="s">
        <v>32533</v>
      </c>
    </row>
    <row r="6804" spans="1:24">
      <c r="A6804">
        <f>HYPERLINK("https://www.philgeps.gov.ph/GEPSNONPILOT/Tender/SplashBidNoticeAbstractUI.aspx?menuIndex=3&amp;refID=7037246&amp;Result=3","7037246")</f>
        <v>0</v>
      </c>
      <c r="B6804" t="s">
        <v>1737</v>
      </c>
      <c r="C6804" t="s">
        <v>9183</v>
      </c>
      <c r="D6804" t="s">
        <v>13018</v>
      </c>
      <c r="E6804" t="s">
        <v>19076</v>
      </c>
      <c r="F6804" t="s">
        <v>22436</v>
      </c>
      <c r="G6804" t="s">
        <v>22444</v>
      </c>
      <c r="H6804" t="s">
        <v>22452</v>
      </c>
      <c r="I6804" t="s">
        <v>2981</v>
      </c>
      <c r="J6804" t="s">
        <v>26987</v>
      </c>
      <c r="K6804" t="s">
        <v>29341</v>
      </c>
      <c r="M6804" t="s">
        <v>31442</v>
      </c>
      <c r="N6804" t="s">
        <v>32524</v>
      </c>
      <c r="O6804" t="s">
        <v>32525</v>
      </c>
      <c r="P6804">
        <v>0</v>
      </c>
      <c r="Q6804">
        <v>0</v>
      </c>
      <c r="R6804" t="s">
        <v>32532</v>
      </c>
      <c r="S6804" t="s">
        <v>32616</v>
      </c>
      <c r="T6804" t="s">
        <v>33213</v>
      </c>
      <c r="U6804" t="s">
        <v>39321</v>
      </c>
      <c r="W6804" t="s">
        <v>31442</v>
      </c>
      <c r="X6804" t="s">
        <v>32533</v>
      </c>
    </row>
    <row r="6805" spans="1:24">
      <c r="A6805">
        <f>HYPERLINK("https://www.philgeps.gov.ph/GEPSNONPILOT/Tender/SplashBidNoticeAbstractUI.aspx?menuIndex=3&amp;refID=7037325&amp;Result=3","7037325")</f>
        <v>0</v>
      </c>
      <c r="B6805" t="s">
        <v>1358</v>
      </c>
      <c r="C6805" t="s">
        <v>9184</v>
      </c>
      <c r="D6805" t="s">
        <v>13041</v>
      </c>
      <c r="E6805" t="s">
        <v>19077</v>
      </c>
      <c r="F6805" t="s">
        <v>22436</v>
      </c>
      <c r="G6805" t="s">
        <v>22444</v>
      </c>
      <c r="H6805" t="s">
        <v>22454</v>
      </c>
      <c r="I6805" t="s">
        <v>7738</v>
      </c>
      <c r="J6805" t="s">
        <v>26988</v>
      </c>
      <c r="K6805" t="s">
        <v>29338</v>
      </c>
      <c r="M6805" t="s">
        <v>31014</v>
      </c>
      <c r="N6805" t="s">
        <v>32524</v>
      </c>
      <c r="O6805" t="s">
        <v>32525</v>
      </c>
      <c r="P6805">
        <v>0</v>
      </c>
      <c r="Q6805">
        <v>0</v>
      </c>
      <c r="R6805" t="s">
        <v>32532</v>
      </c>
      <c r="S6805" t="s">
        <v>32616</v>
      </c>
      <c r="T6805" t="s">
        <v>33253</v>
      </c>
      <c r="U6805" t="s">
        <v>39322</v>
      </c>
      <c r="W6805" t="s">
        <v>31014</v>
      </c>
      <c r="X6805" t="s">
        <v>32533</v>
      </c>
    </row>
    <row r="6806" spans="1:24">
      <c r="A6806">
        <f>HYPERLINK("https://www.philgeps.gov.ph/GEPSNONPILOT/Tender/SplashBidNoticeAbstractUI.aspx?menuIndex=3&amp;refID=7037295&amp;Result=3","7037295")</f>
        <v>0</v>
      </c>
      <c r="B6806" t="s">
        <v>2081</v>
      </c>
      <c r="C6806" t="s">
        <v>9185</v>
      </c>
      <c r="D6806" t="s">
        <v>13022</v>
      </c>
      <c r="E6806" t="s">
        <v>19078</v>
      </c>
      <c r="F6806" t="s">
        <v>22436</v>
      </c>
      <c r="G6806" t="s">
        <v>22444</v>
      </c>
      <c r="H6806" t="s">
        <v>22452</v>
      </c>
      <c r="I6806" t="s">
        <v>3529</v>
      </c>
      <c r="J6806" t="s">
        <v>26989</v>
      </c>
      <c r="K6806" t="s">
        <v>29344</v>
      </c>
      <c r="M6806" t="s">
        <v>31825</v>
      </c>
      <c r="N6806" t="s">
        <v>32524</v>
      </c>
      <c r="O6806" t="s">
        <v>32525</v>
      </c>
      <c r="P6806">
        <v>0</v>
      </c>
      <c r="Q6806">
        <v>0</v>
      </c>
      <c r="R6806" t="s">
        <v>32532</v>
      </c>
      <c r="S6806" t="s">
        <v>32616</v>
      </c>
      <c r="T6806" t="s">
        <v>33211</v>
      </c>
      <c r="U6806" t="s">
        <v>39323</v>
      </c>
      <c r="W6806" t="s">
        <v>31825</v>
      </c>
      <c r="X6806" t="s">
        <v>32533</v>
      </c>
    </row>
    <row r="6807" spans="1:24">
      <c r="A6807">
        <f>HYPERLINK("https://www.philgeps.gov.ph/GEPSNONPILOT/Tender/SplashBidNoticeAbstractUI.aspx?menuIndex=3&amp;refID=7037306&amp;Result=3","7037306")</f>
        <v>0</v>
      </c>
      <c r="B6807" t="s">
        <v>1991</v>
      </c>
      <c r="C6807" t="s">
        <v>9186</v>
      </c>
      <c r="D6807" t="s">
        <v>13058</v>
      </c>
      <c r="E6807" t="s">
        <v>19079</v>
      </c>
      <c r="F6807" t="s">
        <v>22436</v>
      </c>
      <c r="G6807" t="s">
        <v>22444</v>
      </c>
      <c r="H6807" t="s">
        <v>22454</v>
      </c>
      <c r="I6807" t="s">
        <v>7738</v>
      </c>
      <c r="J6807" t="s">
        <v>26990</v>
      </c>
      <c r="K6807" t="s">
        <v>29329</v>
      </c>
      <c r="M6807" t="s">
        <v>31723</v>
      </c>
      <c r="N6807" t="s">
        <v>32524</v>
      </c>
      <c r="O6807" t="s">
        <v>32525</v>
      </c>
      <c r="P6807">
        <v>0</v>
      </c>
      <c r="Q6807">
        <v>2</v>
      </c>
      <c r="R6807" t="s">
        <v>32532</v>
      </c>
      <c r="S6807" t="s">
        <v>32616</v>
      </c>
      <c r="T6807" t="s">
        <v>33405</v>
      </c>
      <c r="U6807" t="s">
        <v>39324</v>
      </c>
      <c r="W6807" t="s">
        <v>31723</v>
      </c>
      <c r="X6807" t="s">
        <v>32533</v>
      </c>
    </row>
    <row r="6808" spans="1:24">
      <c r="A6808">
        <f>HYPERLINK("https://www.philgeps.gov.ph/GEPSNONPILOT/Tender/SplashBidNoticeAbstractUI.aspx?menuIndex=3&amp;refID=7037301&amp;Result=3","7037301")</f>
        <v>0</v>
      </c>
      <c r="B6808" t="s">
        <v>2042</v>
      </c>
      <c r="C6808" t="s">
        <v>9187</v>
      </c>
      <c r="D6808" t="s">
        <v>13022</v>
      </c>
      <c r="E6808" t="s">
        <v>19080</v>
      </c>
      <c r="F6808" t="s">
        <v>22436</v>
      </c>
      <c r="G6808" t="s">
        <v>22444</v>
      </c>
      <c r="H6808" t="s">
        <v>22454</v>
      </c>
      <c r="I6808" t="s">
        <v>7738</v>
      </c>
      <c r="J6808" t="s">
        <v>26991</v>
      </c>
      <c r="K6808" t="s">
        <v>29347</v>
      </c>
      <c r="M6808" t="s">
        <v>31779</v>
      </c>
      <c r="N6808" t="s">
        <v>32524</v>
      </c>
      <c r="O6808" t="s">
        <v>32525</v>
      </c>
      <c r="P6808">
        <v>0</v>
      </c>
      <c r="Q6808">
        <v>20</v>
      </c>
      <c r="R6808" t="s">
        <v>32532</v>
      </c>
      <c r="S6808" t="s">
        <v>32616</v>
      </c>
      <c r="T6808" t="s">
        <v>33259</v>
      </c>
      <c r="U6808" t="s">
        <v>39325</v>
      </c>
      <c r="W6808" t="s">
        <v>31779</v>
      </c>
      <c r="X6808" t="s">
        <v>32533</v>
      </c>
    </row>
    <row r="6809" spans="1:24">
      <c r="A6809">
        <f>HYPERLINK("https://www.philgeps.gov.ph/GEPSNONPILOT/Tender/SplashBidNoticeAbstractUI.aspx?menuIndex=3&amp;refID=7037324&amp;Result=3","7037324")</f>
        <v>0</v>
      </c>
      <c r="B6809" t="s">
        <v>1062</v>
      </c>
      <c r="C6809" t="s">
        <v>9188</v>
      </c>
      <c r="D6809" t="s">
        <v>13036</v>
      </c>
      <c r="E6809" t="s">
        <v>19081</v>
      </c>
      <c r="F6809" t="s">
        <v>22436</v>
      </c>
      <c r="G6809" t="s">
        <v>22444</v>
      </c>
      <c r="H6809" t="s">
        <v>22454</v>
      </c>
      <c r="I6809" t="s">
        <v>7738</v>
      </c>
      <c r="J6809" t="s">
        <v>26891</v>
      </c>
      <c r="K6809" t="s">
        <v>29334</v>
      </c>
      <c r="M6809" t="s">
        <v>30695</v>
      </c>
      <c r="N6809" t="s">
        <v>32524</v>
      </c>
      <c r="O6809" t="s">
        <v>32525</v>
      </c>
      <c r="P6809">
        <v>0</v>
      </c>
      <c r="Q6809">
        <v>0</v>
      </c>
      <c r="R6809" t="s">
        <v>32532</v>
      </c>
      <c r="S6809" t="s">
        <v>32616</v>
      </c>
      <c r="T6809" t="s">
        <v>33542</v>
      </c>
      <c r="U6809" t="s">
        <v>39326</v>
      </c>
      <c r="W6809" t="s">
        <v>30695</v>
      </c>
      <c r="X6809" t="s">
        <v>32533</v>
      </c>
    </row>
    <row r="6810" spans="1:24">
      <c r="A6810">
        <f>HYPERLINK("https://www.philgeps.gov.ph/GEPSNONPILOT/Tender/SplashBidNoticeAbstractUI.aspx?menuIndex=3&amp;refID=7037294&amp;Result=3","7037294")</f>
        <v>0</v>
      </c>
      <c r="B6810" t="s">
        <v>1816</v>
      </c>
      <c r="C6810" t="s">
        <v>2818</v>
      </c>
      <c r="D6810" t="s">
        <v>12993</v>
      </c>
      <c r="E6810" t="s">
        <v>19082</v>
      </c>
      <c r="F6810" t="s">
        <v>22436</v>
      </c>
      <c r="G6810" t="s">
        <v>22444</v>
      </c>
      <c r="H6810" t="s">
        <v>22452</v>
      </c>
      <c r="I6810" t="s">
        <v>22460</v>
      </c>
      <c r="J6810" t="s">
        <v>26992</v>
      </c>
      <c r="K6810" t="s">
        <v>29335</v>
      </c>
      <c r="M6810" t="s">
        <v>31530</v>
      </c>
      <c r="N6810" t="s">
        <v>32524</v>
      </c>
      <c r="O6810" t="s">
        <v>32525</v>
      </c>
      <c r="P6810">
        <v>0</v>
      </c>
      <c r="Q6810">
        <v>0</v>
      </c>
      <c r="R6810" t="s">
        <v>32532</v>
      </c>
      <c r="S6810" t="s">
        <v>32616</v>
      </c>
      <c r="T6810" t="s">
        <v>33238</v>
      </c>
      <c r="U6810" t="s">
        <v>39327</v>
      </c>
      <c r="W6810" t="s">
        <v>31530</v>
      </c>
      <c r="X6810" t="s">
        <v>32533</v>
      </c>
    </row>
    <row r="6811" spans="1:24">
      <c r="A6811">
        <f>HYPERLINK("https://www.philgeps.gov.ph/GEPSNONPILOT/Tender/SplashBidNoticeAbstractUI.aspx?menuIndex=3&amp;refID=7037339&amp;Result=3","7037339")</f>
        <v>0</v>
      </c>
      <c r="B6811" t="s">
        <v>1791</v>
      </c>
      <c r="C6811" t="s">
        <v>9189</v>
      </c>
      <c r="D6811" t="s">
        <v>13065</v>
      </c>
      <c r="E6811" t="s">
        <v>19083</v>
      </c>
      <c r="F6811" t="s">
        <v>22436</v>
      </c>
      <c r="G6811" t="s">
        <v>22446</v>
      </c>
      <c r="H6811" t="s">
        <v>22452</v>
      </c>
      <c r="I6811" t="s">
        <v>12358</v>
      </c>
      <c r="J6811" t="s">
        <v>26993</v>
      </c>
      <c r="K6811" t="s">
        <v>29335</v>
      </c>
      <c r="M6811" t="s">
        <v>31502</v>
      </c>
      <c r="N6811" t="s">
        <v>32524</v>
      </c>
      <c r="O6811" t="s">
        <v>32525</v>
      </c>
      <c r="P6811">
        <v>0</v>
      </c>
      <c r="Q6811">
        <v>1</v>
      </c>
      <c r="R6811" t="s">
        <v>32532</v>
      </c>
      <c r="S6811" t="s">
        <v>32616</v>
      </c>
      <c r="T6811" t="s">
        <v>33296</v>
      </c>
      <c r="U6811" t="s">
        <v>39328</v>
      </c>
      <c r="V6811" t="s">
        <v>43169</v>
      </c>
      <c r="W6811" t="s">
        <v>31502</v>
      </c>
      <c r="X6811" t="s">
        <v>32533</v>
      </c>
    </row>
    <row r="6812" spans="1:24">
      <c r="A6812">
        <f>HYPERLINK("https://www.philgeps.gov.ph/GEPSNONPILOT/Tender/SplashBidNoticeAbstractUI.aspx?menuIndex=3&amp;refID=7037336&amp;Result=3","7037336")</f>
        <v>0</v>
      </c>
      <c r="B6812" t="s">
        <v>2001</v>
      </c>
      <c r="C6812" t="s">
        <v>9190</v>
      </c>
      <c r="D6812" t="s">
        <v>13004</v>
      </c>
      <c r="E6812" t="s">
        <v>9190</v>
      </c>
      <c r="F6812" t="s">
        <v>22436</v>
      </c>
      <c r="G6812" t="s">
        <v>22444</v>
      </c>
      <c r="H6812" t="s">
        <v>22452</v>
      </c>
      <c r="I6812" t="s">
        <v>11896</v>
      </c>
      <c r="J6812" t="s">
        <v>26994</v>
      </c>
      <c r="K6812" t="s">
        <v>29333</v>
      </c>
      <c r="M6812" t="s">
        <v>31734</v>
      </c>
      <c r="N6812" t="s">
        <v>32524</v>
      </c>
      <c r="O6812" t="s">
        <v>32525</v>
      </c>
      <c r="P6812">
        <v>0</v>
      </c>
      <c r="Q6812">
        <v>3</v>
      </c>
      <c r="R6812" t="s">
        <v>32532</v>
      </c>
      <c r="S6812" t="s">
        <v>32616</v>
      </c>
      <c r="T6812" t="s">
        <v>33191</v>
      </c>
      <c r="U6812" t="s">
        <v>39329</v>
      </c>
      <c r="V6812" t="s">
        <v>42700</v>
      </c>
      <c r="W6812" t="s">
        <v>31734</v>
      </c>
      <c r="X6812" t="s">
        <v>32533</v>
      </c>
    </row>
    <row r="6813" spans="1:24">
      <c r="A6813">
        <f>HYPERLINK("https://www.philgeps.gov.ph/GEPSNONPILOT/Tender/SplashBidNoticeAbstractUI.aspx?menuIndex=3&amp;refID=7037338&amp;Result=3","7037338")</f>
        <v>0</v>
      </c>
      <c r="B6813" t="s">
        <v>1737</v>
      </c>
      <c r="C6813" t="s">
        <v>9064</v>
      </c>
      <c r="D6813" t="s">
        <v>13018</v>
      </c>
      <c r="E6813" t="s">
        <v>19084</v>
      </c>
      <c r="F6813" t="s">
        <v>22436</v>
      </c>
      <c r="G6813" t="s">
        <v>22444</v>
      </c>
      <c r="H6813" t="s">
        <v>22452</v>
      </c>
      <c r="I6813" t="s">
        <v>3827</v>
      </c>
      <c r="J6813" t="s">
        <v>23514</v>
      </c>
      <c r="K6813" t="s">
        <v>29341</v>
      </c>
      <c r="M6813" t="s">
        <v>31442</v>
      </c>
      <c r="N6813" t="s">
        <v>32524</v>
      </c>
      <c r="O6813" t="s">
        <v>32525</v>
      </c>
      <c r="P6813">
        <v>0</v>
      </c>
      <c r="Q6813">
        <v>0</v>
      </c>
      <c r="R6813" t="s">
        <v>32532</v>
      </c>
      <c r="S6813" t="s">
        <v>32616</v>
      </c>
      <c r="T6813" t="s">
        <v>33213</v>
      </c>
      <c r="U6813" t="s">
        <v>39330</v>
      </c>
      <c r="W6813" t="s">
        <v>31442</v>
      </c>
      <c r="X6813" t="s">
        <v>32533</v>
      </c>
    </row>
    <row r="6814" spans="1:24">
      <c r="A6814">
        <f>HYPERLINK("https://www.philgeps.gov.ph/GEPSNONPILOT/Tender/SplashBidNoticeAbstractUI.aspx?menuIndex=3&amp;refID=7037348&amp;Result=3","7037348")</f>
        <v>0</v>
      </c>
      <c r="B6814" t="s">
        <v>2001</v>
      </c>
      <c r="C6814" t="s">
        <v>9191</v>
      </c>
      <c r="D6814" t="s">
        <v>13004</v>
      </c>
      <c r="E6814" t="s">
        <v>9191</v>
      </c>
      <c r="F6814" t="s">
        <v>22436</v>
      </c>
      <c r="G6814" t="s">
        <v>22444</v>
      </c>
      <c r="H6814" t="s">
        <v>22452</v>
      </c>
      <c r="I6814" t="s">
        <v>11896</v>
      </c>
      <c r="J6814" t="s">
        <v>24354</v>
      </c>
      <c r="K6814" t="s">
        <v>29333</v>
      </c>
      <c r="M6814" t="s">
        <v>31734</v>
      </c>
      <c r="N6814" t="s">
        <v>32524</v>
      </c>
      <c r="O6814" t="s">
        <v>32525</v>
      </c>
      <c r="P6814">
        <v>0</v>
      </c>
      <c r="Q6814">
        <v>4</v>
      </c>
      <c r="R6814" t="s">
        <v>32532</v>
      </c>
      <c r="S6814" t="s">
        <v>32616</v>
      </c>
      <c r="T6814" t="s">
        <v>33191</v>
      </c>
      <c r="U6814" t="s">
        <v>39329</v>
      </c>
      <c r="V6814" t="s">
        <v>42700</v>
      </c>
      <c r="W6814" t="s">
        <v>31734</v>
      </c>
      <c r="X6814" t="s">
        <v>32533</v>
      </c>
    </row>
    <row r="6815" spans="1:24">
      <c r="A6815">
        <f>HYPERLINK("https://www.philgeps.gov.ph/GEPSNONPILOT/Tender/SplashBidNoticeAbstractUI.aspx?menuIndex=3&amp;refID=7037332&amp;Result=3","7037332")</f>
        <v>0</v>
      </c>
      <c r="B6815" t="s">
        <v>717</v>
      </c>
      <c r="C6815" t="s">
        <v>9180</v>
      </c>
      <c r="D6815" t="s">
        <v>13024</v>
      </c>
      <c r="E6815" t="s">
        <v>19085</v>
      </c>
      <c r="F6815" t="s">
        <v>22436</v>
      </c>
      <c r="G6815" t="s">
        <v>22443</v>
      </c>
      <c r="H6815" t="s">
        <v>22452</v>
      </c>
      <c r="I6815" t="s">
        <v>22502</v>
      </c>
      <c r="J6815" t="s">
        <v>22874</v>
      </c>
      <c r="K6815" t="s">
        <v>29335</v>
      </c>
      <c r="M6815" t="s">
        <v>30314</v>
      </c>
      <c r="N6815" t="s">
        <v>32524</v>
      </c>
      <c r="O6815" t="s">
        <v>32525</v>
      </c>
      <c r="P6815">
        <v>0</v>
      </c>
      <c r="Q6815">
        <v>8</v>
      </c>
      <c r="R6815" t="s">
        <v>32532</v>
      </c>
      <c r="S6815" t="s">
        <v>32616</v>
      </c>
      <c r="T6815" t="s">
        <v>33228</v>
      </c>
      <c r="U6815" t="s">
        <v>39331</v>
      </c>
      <c r="W6815" t="s">
        <v>30314</v>
      </c>
      <c r="X6815" t="s">
        <v>32533</v>
      </c>
    </row>
    <row r="6816" spans="1:24">
      <c r="A6816">
        <f>HYPERLINK("https://www.philgeps.gov.ph/GEPSNONPILOT/Tender/SplashBidNoticeAbstractUI.aspx?menuIndex=3&amp;refID=7037346&amp;Result=3","7037346")</f>
        <v>0</v>
      </c>
      <c r="B6816" t="s">
        <v>2086</v>
      </c>
      <c r="C6816" t="s">
        <v>9192</v>
      </c>
      <c r="D6816" t="s">
        <v>13035</v>
      </c>
      <c r="E6816" t="s">
        <v>19086</v>
      </c>
      <c r="F6816" t="s">
        <v>22436</v>
      </c>
      <c r="G6816" t="s">
        <v>22444</v>
      </c>
      <c r="H6816" t="s">
        <v>22454</v>
      </c>
      <c r="I6816" t="s">
        <v>7738</v>
      </c>
      <c r="J6816" t="s">
        <v>26995</v>
      </c>
      <c r="K6816" t="s">
        <v>29347</v>
      </c>
      <c r="M6816" t="s">
        <v>31830</v>
      </c>
      <c r="N6816" t="s">
        <v>32524</v>
      </c>
      <c r="O6816" t="s">
        <v>32525</v>
      </c>
      <c r="P6816">
        <v>0</v>
      </c>
      <c r="Q6816">
        <v>0</v>
      </c>
      <c r="R6816" t="s">
        <v>32532</v>
      </c>
      <c r="S6816" t="s">
        <v>32616</v>
      </c>
      <c r="T6816" t="s">
        <v>33372</v>
      </c>
      <c r="U6816" t="s">
        <v>39332</v>
      </c>
      <c r="V6816" t="s">
        <v>42461</v>
      </c>
      <c r="W6816" t="s">
        <v>31830</v>
      </c>
      <c r="X6816" t="s">
        <v>32533</v>
      </c>
    </row>
    <row r="6817" spans="1:24">
      <c r="A6817">
        <f>HYPERLINK("https://www.philgeps.gov.ph/GEPSNONPILOT/Tender/SplashBidNoticeAbstractUI.aspx?menuIndex=3&amp;refID=7037350&amp;Result=3","7037350")</f>
        <v>0</v>
      </c>
      <c r="B6817" t="s">
        <v>132</v>
      </c>
      <c r="C6817" t="s">
        <v>9193</v>
      </c>
      <c r="D6817" t="s">
        <v>13038</v>
      </c>
      <c r="E6817" t="s">
        <v>19087</v>
      </c>
      <c r="F6817" t="s">
        <v>22436</v>
      </c>
      <c r="G6817" t="s">
        <v>22444</v>
      </c>
      <c r="H6817" t="s">
        <v>22452</v>
      </c>
      <c r="I6817" t="s">
        <v>22474</v>
      </c>
      <c r="J6817" t="s">
        <v>26996</v>
      </c>
      <c r="K6817" t="s">
        <v>29336</v>
      </c>
      <c r="M6817" t="s">
        <v>29704</v>
      </c>
      <c r="N6817" t="s">
        <v>32524</v>
      </c>
      <c r="O6817" t="s">
        <v>32525</v>
      </c>
      <c r="P6817">
        <v>0</v>
      </c>
      <c r="Q6817">
        <v>2</v>
      </c>
      <c r="R6817" t="s">
        <v>32532</v>
      </c>
      <c r="S6817" t="s">
        <v>32616</v>
      </c>
      <c r="T6817" t="s">
        <v>33422</v>
      </c>
      <c r="U6817" t="s">
        <v>39333</v>
      </c>
      <c r="W6817" t="s">
        <v>29704</v>
      </c>
      <c r="X6817" t="s">
        <v>32533</v>
      </c>
    </row>
    <row r="6818" spans="1:24">
      <c r="A6818">
        <f>HYPERLINK("https://www.philgeps.gov.ph/GEPSNONPILOT/Tender/SplashBidNoticeAbstractUI.aspx?menuIndex=3&amp;refID=7037380&amp;Result=3","7037380")</f>
        <v>0</v>
      </c>
      <c r="B6818" t="s">
        <v>1991</v>
      </c>
      <c r="C6818" t="s">
        <v>9194</v>
      </c>
      <c r="D6818" t="s">
        <v>13058</v>
      </c>
      <c r="E6818" t="s">
        <v>19088</v>
      </c>
      <c r="F6818" t="s">
        <v>22436</v>
      </c>
      <c r="G6818" t="s">
        <v>22444</v>
      </c>
      <c r="H6818" t="s">
        <v>22454</v>
      </c>
      <c r="I6818" t="s">
        <v>7738</v>
      </c>
      <c r="J6818" t="s">
        <v>26997</v>
      </c>
      <c r="K6818" t="s">
        <v>29342</v>
      </c>
      <c r="M6818" t="s">
        <v>31723</v>
      </c>
      <c r="N6818" t="s">
        <v>32524</v>
      </c>
      <c r="O6818" t="s">
        <v>32525</v>
      </c>
      <c r="P6818">
        <v>0</v>
      </c>
      <c r="Q6818">
        <v>0</v>
      </c>
      <c r="R6818" t="s">
        <v>32532</v>
      </c>
      <c r="S6818" t="s">
        <v>32616</v>
      </c>
      <c r="T6818" t="s">
        <v>33405</v>
      </c>
      <c r="U6818" t="s">
        <v>39334</v>
      </c>
      <c r="W6818" t="s">
        <v>31723</v>
      </c>
      <c r="X6818" t="s">
        <v>32533</v>
      </c>
    </row>
    <row r="6819" spans="1:24">
      <c r="A6819">
        <f>HYPERLINK("https://www.philgeps.gov.ph/GEPSNONPILOT/Tender/SplashBidNoticeAbstractUI.aspx?menuIndex=3&amp;refID=7037349&amp;Result=3","7037349")</f>
        <v>0</v>
      </c>
      <c r="B6819" t="s">
        <v>992</v>
      </c>
      <c r="C6819" t="s">
        <v>9195</v>
      </c>
      <c r="D6819" t="s">
        <v>13024</v>
      </c>
      <c r="E6819" t="s">
        <v>19089</v>
      </c>
      <c r="F6819" t="s">
        <v>22436</v>
      </c>
      <c r="G6819" t="s">
        <v>22444</v>
      </c>
      <c r="H6819" t="s">
        <v>22452</v>
      </c>
      <c r="I6819" t="s">
        <v>22479</v>
      </c>
      <c r="J6819" t="s">
        <v>22788</v>
      </c>
      <c r="K6819" t="s">
        <v>29434</v>
      </c>
      <c r="M6819" t="s">
        <v>30616</v>
      </c>
      <c r="N6819" t="s">
        <v>32524</v>
      </c>
      <c r="O6819" t="s">
        <v>32525</v>
      </c>
      <c r="P6819">
        <v>0</v>
      </c>
      <c r="Q6819">
        <v>0</v>
      </c>
      <c r="R6819" t="s">
        <v>32532</v>
      </c>
      <c r="S6819" t="s">
        <v>32616</v>
      </c>
      <c r="T6819" t="s">
        <v>33238</v>
      </c>
      <c r="U6819" t="s">
        <v>39335</v>
      </c>
      <c r="V6819" t="s">
        <v>42679</v>
      </c>
      <c r="W6819" t="s">
        <v>30616</v>
      </c>
      <c r="X6819" t="s">
        <v>32533</v>
      </c>
    </row>
    <row r="6820" spans="1:24">
      <c r="A6820">
        <f>HYPERLINK("https://www.philgeps.gov.ph/GEPSNONPILOT/Tender/SplashBidNoticeAbstractUI.aspx?menuIndex=3&amp;refID=7037363&amp;Result=3","7037363")</f>
        <v>0</v>
      </c>
      <c r="B6820" t="s">
        <v>1446</v>
      </c>
      <c r="C6820" t="s">
        <v>9196</v>
      </c>
      <c r="D6820" t="s">
        <v>13049</v>
      </c>
      <c r="E6820" t="s">
        <v>19090</v>
      </c>
      <c r="F6820" t="s">
        <v>22436</v>
      </c>
      <c r="G6820" t="s">
        <v>22444</v>
      </c>
      <c r="H6820" t="s">
        <v>22454</v>
      </c>
      <c r="I6820" t="s">
        <v>7738</v>
      </c>
      <c r="J6820" t="s">
        <v>26998</v>
      </c>
      <c r="K6820" t="s">
        <v>29413</v>
      </c>
      <c r="M6820" t="s">
        <v>31110</v>
      </c>
      <c r="N6820" t="s">
        <v>32524</v>
      </c>
      <c r="O6820" t="s">
        <v>32525</v>
      </c>
      <c r="P6820">
        <v>0</v>
      </c>
      <c r="Q6820">
        <v>0</v>
      </c>
      <c r="R6820" t="s">
        <v>32532</v>
      </c>
      <c r="S6820" t="s">
        <v>32616</v>
      </c>
      <c r="T6820" t="s">
        <v>33249</v>
      </c>
      <c r="U6820" t="s">
        <v>39336</v>
      </c>
      <c r="V6820" t="s">
        <v>43170</v>
      </c>
      <c r="W6820" t="s">
        <v>31110</v>
      </c>
      <c r="X6820" t="s">
        <v>32533</v>
      </c>
    </row>
    <row r="6821" spans="1:24">
      <c r="A6821">
        <f>HYPERLINK("https://www.philgeps.gov.ph/GEPSNONPILOT/Tender/SplashBidNoticeAbstractUI.aspx?menuIndex=3&amp;refID=7037368&amp;Result=3","7037368")</f>
        <v>0</v>
      </c>
      <c r="B6821" t="s">
        <v>1737</v>
      </c>
      <c r="C6821" t="s">
        <v>9197</v>
      </c>
      <c r="D6821" t="s">
        <v>13018</v>
      </c>
      <c r="E6821" t="s">
        <v>19091</v>
      </c>
      <c r="F6821" t="s">
        <v>22436</v>
      </c>
      <c r="G6821" t="s">
        <v>22444</v>
      </c>
      <c r="H6821" t="s">
        <v>22452</v>
      </c>
      <c r="I6821" t="s">
        <v>22463</v>
      </c>
      <c r="J6821" t="s">
        <v>26999</v>
      </c>
      <c r="K6821" t="s">
        <v>29341</v>
      </c>
      <c r="M6821" t="s">
        <v>31442</v>
      </c>
      <c r="N6821" t="s">
        <v>32524</v>
      </c>
      <c r="O6821" t="s">
        <v>32525</v>
      </c>
      <c r="P6821">
        <v>0</v>
      </c>
      <c r="Q6821">
        <v>1</v>
      </c>
      <c r="R6821" t="s">
        <v>32532</v>
      </c>
      <c r="S6821" t="s">
        <v>32616</v>
      </c>
      <c r="T6821" t="s">
        <v>33213</v>
      </c>
      <c r="U6821" t="s">
        <v>39337</v>
      </c>
      <c r="W6821" t="s">
        <v>31442</v>
      </c>
      <c r="X6821" t="s">
        <v>32533</v>
      </c>
    </row>
    <row r="6822" spans="1:24">
      <c r="A6822">
        <f>HYPERLINK("https://www.philgeps.gov.ph/GEPSNONPILOT/Tender/SplashBidNoticeAbstractUI.aspx?menuIndex=3&amp;refID=7037343&amp;Result=3","7037343")</f>
        <v>0</v>
      </c>
      <c r="B6822" t="s">
        <v>1262</v>
      </c>
      <c r="C6822" t="s">
        <v>9198</v>
      </c>
      <c r="D6822" t="s">
        <v>13032</v>
      </c>
      <c r="E6822" t="s">
        <v>19092</v>
      </c>
      <c r="F6822" t="s">
        <v>22436</v>
      </c>
      <c r="G6822" t="s">
        <v>22444</v>
      </c>
      <c r="H6822" t="s">
        <v>22454</v>
      </c>
      <c r="I6822" t="s">
        <v>7738</v>
      </c>
      <c r="J6822" t="s">
        <v>27000</v>
      </c>
      <c r="K6822" t="s">
        <v>29329</v>
      </c>
      <c r="M6822" t="s">
        <v>30915</v>
      </c>
      <c r="N6822" t="s">
        <v>32524</v>
      </c>
      <c r="O6822" t="s">
        <v>32525</v>
      </c>
      <c r="P6822">
        <v>0</v>
      </c>
      <c r="Q6822">
        <v>0</v>
      </c>
      <c r="R6822" t="s">
        <v>32532</v>
      </c>
      <c r="S6822" t="s">
        <v>32616</v>
      </c>
      <c r="T6822" t="s">
        <v>33310</v>
      </c>
      <c r="U6822" t="s">
        <v>39338</v>
      </c>
      <c r="W6822" t="s">
        <v>30915</v>
      </c>
      <c r="X6822" t="s">
        <v>32533</v>
      </c>
    </row>
    <row r="6823" spans="1:24">
      <c r="A6823">
        <f>HYPERLINK("https://www.philgeps.gov.ph/GEPSNONPILOT/Tender/SplashBidNoticeAbstractUI.aspx?menuIndex=3&amp;refID=7037356&amp;Result=3","7037356")</f>
        <v>0</v>
      </c>
      <c r="B6823" t="s">
        <v>48</v>
      </c>
      <c r="C6823" t="s">
        <v>9199</v>
      </c>
      <c r="D6823" t="s">
        <v>13007</v>
      </c>
      <c r="E6823" t="s">
        <v>19093</v>
      </c>
      <c r="F6823" t="s">
        <v>22436</v>
      </c>
      <c r="G6823" t="s">
        <v>22444</v>
      </c>
      <c r="H6823" t="s">
        <v>22452</v>
      </c>
      <c r="I6823" t="s">
        <v>22456</v>
      </c>
      <c r="J6823" t="s">
        <v>27001</v>
      </c>
      <c r="K6823" t="s">
        <v>29335</v>
      </c>
      <c r="M6823" t="s">
        <v>31634</v>
      </c>
      <c r="N6823" t="s">
        <v>32524</v>
      </c>
      <c r="O6823" t="s">
        <v>32525</v>
      </c>
      <c r="P6823">
        <v>0</v>
      </c>
      <c r="Q6823">
        <v>4</v>
      </c>
      <c r="R6823" t="s">
        <v>32532</v>
      </c>
      <c r="S6823" t="s">
        <v>32616</v>
      </c>
      <c r="T6823" t="s">
        <v>33323</v>
      </c>
      <c r="U6823" t="s">
        <v>39339</v>
      </c>
      <c r="W6823" t="s">
        <v>31634</v>
      </c>
      <c r="X6823" t="s">
        <v>32533</v>
      </c>
    </row>
    <row r="6824" spans="1:24">
      <c r="A6824">
        <f>HYPERLINK("https://www.philgeps.gov.ph/GEPSNONPILOT/Tender/SplashBidNoticeAbstractUI.aspx?menuIndex=3&amp;refID=7037367&amp;Result=3","7037367")</f>
        <v>0</v>
      </c>
      <c r="B6824" t="s">
        <v>1358</v>
      </c>
      <c r="C6824" t="s">
        <v>9200</v>
      </c>
      <c r="D6824" t="s">
        <v>13041</v>
      </c>
      <c r="E6824" t="s">
        <v>19094</v>
      </c>
      <c r="F6824" t="s">
        <v>22436</v>
      </c>
      <c r="G6824" t="s">
        <v>22444</v>
      </c>
      <c r="H6824" t="s">
        <v>22454</v>
      </c>
      <c r="I6824" t="s">
        <v>7738</v>
      </c>
      <c r="J6824" t="s">
        <v>23326</v>
      </c>
      <c r="K6824" t="s">
        <v>29338</v>
      </c>
      <c r="M6824" t="s">
        <v>31014</v>
      </c>
      <c r="N6824" t="s">
        <v>32524</v>
      </c>
      <c r="O6824" t="s">
        <v>32525</v>
      </c>
      <c r="P6824">
        <v>0</v>
      </c>
      <c r="Q6824">
        <v>0</v>
      </c>
      <c r="R6824" t="s">
        <v>32532</v>
      </c>
      <c r="S6824" t="s">
        <v>32616</v>
      </c>
      <c r="T6824" t="s">
        <v>33253</v>
      </c>
      <c r="U6824" t="s">
        <v>39340</v>
      </c>
      <c r="W6824" t="s">
        <v>31014</v>
      </c>
      <c r="X6824" t="s">
        <v>32533</v>
      </c>
    </row>
    <row r="6825" spans="1:24">
      <c r="A6825">
        <f>HYPERLINK("https://www.philgeps.gov.ph/GEPSNONPILOT/Tender/SplashBidNoticeAbstractUI.aspx?menuIndex=3&amp;refID=7037386&amp;Result=3","7037386")</f>
        <v>0</v>
      </c>
      <c r="B6825" t="s">
        <v>48</v>
      </c>
      <c r="C6825" t="s">
        <v>9201</v>
      </c>
      <c r="D6825" t="s">
        <v>13007</v>
      </c>
      <c r="E6825" t="s">
        <v>19095</v>
      </c>
      <c r="F6825" t="s">
        <v>22436</v>
      </c>
      <c r="G6825" t="s">
        <v>22444</v>
      </c>
      <c r="H6825" t="s">
        <v>22452</v>
      </c>
      <c r="I6825" t="s">
        <v>5194</v>
      </c>
      <c r="J6825" t="s">
        <v>27002</v>
      </c>
      <c r="K6825" t="s">
        <v>29335</v>
      </c>
      <c r="M6825" t="s">
        <v>31634</v>
      </c>
      <c r="N6825" t="s">
        <v>32524</v>
      </c>
      <c r="O6825" t="s">
        <v>32525</v>
      </c>
      <c r="P6825">
        <v>0</v>
      </c>
      <c r="Q6825">
        <v>6</v>
      </c>
      <c r="R6825" t="s">
        <v>32532</v>
      </c>
      <c r="S6825" t="s">
        <v>32616</v>
      </c>
      <c r="T6825" t="s">
        <v>33323</v>
      </c>
      <c r="U6825" t="s">
        <v>39341</v>
      </c>
      <c r="W6825" t="s">
        <v>31634</v>
      </c>
      <c r="X6825" t="s">
        <v>32533</v>
      </c>
    </row>
    <row r="6826" spans="1:24">
      <c r="A6826">
        <f>HYPERLINK("https://www.philgeps.gov.ph/GEPSNONPILOT/Tender/SplashBidNoticeAbstractUI.aspx?menuIndex=3&amp;refID=7037351&amp;Result=3","7037351")</f>
        <v>0</v>
      </c>
      <c r="B6826" t="s">
        <v>1991</v>
      </c>
      <c r="C6826" t="s">
        <v>9202</v>
      </c>
      <c r="D6826" t="s">
        <v>13058</v>
      </c>
      <c r="E6826" t="s">
        <v>19096</v>
      </c>
      <c r="F6826" t="s">
        <v>22436</v>
      </c>
      <c r="G6826" t="s">
        <v>22444</v>
      </c>
      <c r="H6826" t="s">
        <v>22454</v>
      </c>
      <c r="I6826" t="s">
        <v>7738</v>
      </c>
      <c r="J6826" t="s">
        <v>22674</v>
      </c>
      <c r="K6826" t="s">
        <v>29329</v>
      </c>
      <c r="M6826" t="s">
        <v>31723</v>
      </c>
      <c r="N6826" t="s">
        <v>32524</v>
      </c>
      <c r="O6826" t="s">
        <v>32525</v>
      </c>
      <c r="P6826">
        <v>0</v>
      </c>
      <c r="Q6826">
        <v>0</v>
      </c>
      <c r="R6826" t="s">
        <v>32532</v>
      </c>
      <c r="S6826" t="s">
        <v>32616</v>
      </c>
      <c r="T6826" t="s">
        <v>33405</v>
      </c>
      <c r="U6826" t="s">
        <v>39342</v>
      </c>
      <c r="W6826" t="s">
        <v>31723</v>
      </c>
      <c r="X6826" t="s">
        <v>32533</v>
      </c>
    </row>
    <row r="6827" spans="1:24">
      <c r="A6827">
        <f>HYPERLINK("https://www.philgeps.gov.ph/GEPSNONPILOT/Tender/SplashBidNoticeAbstractUI.aspx?menuIndex=3&amp;refID=7037353&amp;Result=3","7037353")</f>
        <v>0</v>
      </c>
      <c r="B6827" t="s">
        <v>1737</v>
      </c>
      <c r="C6827" t="s">
        <v>9203</v>
      </c>
      <c r="D6827" t="s">
        <v>13018</v>
      </c>
      <c r="E6827" t="s">
        <v>19097</v>
      </c>
      <c r="F6827" t="s">
        <v>22436</v>
      </c>
      <c r="G6827" t="s">
        <v>22444</v>
      </c>
      <c r="H6827" t="s">
        <v>22454</v>
      </c>
      <c r="I6827" t="s">
        <v>3529</v>
      </c>
      <c r="J6827" t="s">
        <v>27003</v>
      </c>
      <c r="K6827" t="s">
        <v>29341</v>
      </c>
      <c r="M6827" t="s">
        <v>31442</v>
      </c>
      <c r="N6827" t="s">
        <v>32524</v>
      </c>
      <c r="O6827" t="s">
        <v>32525</v>
      </c>
      <c r="P6827">
        <v>0</v>
      </c>
      <c r="Q6827">
        <v>0</v>
      </c>
      <c r="R6827" t="s">
        <v>32532</v>
      </c>
      <c r="S6827" t="s">
        <v>32616</v>
      </c>
      <c r="T6827" t="s">
        <v>33213</v>
      </c>
      <c r="U6827" t="s">
        <v>39343</v>
      </c>
      <c r="W6827" t="s">
        <v>31442</v>
      </c>
      <c r="X6827" t="s">
        <v>32533</v>
      </c>
    </row>
    <row r="6828" spans="1:24">
      <c r="A6828">
        <f>HYPERLINK("https://www.philgeps.gov.ph/GEPSNONPILOT/Tender/SplashBidNoticeAbstractUI.aspx?menuIndex=3&amp;refID=7037383&amp;Result=3","7037383")</f>
        <v>0</v>
      </c>
      <c r="B6828" t="s">
        <v>2000</v>
      </c>
      <c r="C6828" t="s">
        <v>9204</v>
      </c>
      <c r="D6828" t="s">
        <v>13013</v>
      </c>
      <c r="E6828" t="s">
        <v>19098</v>
      </c>
      <c r="F6828" t="s">
        <v>22436</v>
      </c>
      <c r="G6828" t="s">
        <v>22444</v>
      </c>
      <c r="H6828" t="s">
        <v>22454</v>
      </c>
      <c r="I6828" t="s">
        <v>7738</v>
      </c>
      <c r="J6828" t="s">
        <v>27004</v>
      </c>
      <c r="K6828" t="s">
        <v>29449</v>
      </c>
      <c r="M6828" t="s">
        <v>31733</v>
      </c>
      <c r="N6828" t="s">
        <v>32524</v>
      </c>
      <c r="O6828" t="s">
        <v>32525</v>
      </c>
      <c r="P6828">
        <v>0</v>
      </c>
      <c r="Q6828">
        <v>0</v>
      </c>
      <c r="R6828" t="s">
        <v>32532</v>
      </c>
      <c r="S6828" t="s">
        <v>32616</v>
      </c>
      <c r="T6828" t="s">
        <v>33543</v>
      </c>
      <c r="U6828" t="s">
        <v>39344</v>
      </c>
      <c r="W6828" t="s">
        <v>31733</v>
      </c>
      <c r="X6828" t="s">
        <v>32533</v>
      </c>
    </row>
    <row r="6829" spans="1:24">
      <c r="A6829">
        <f>HYPERLINK("https://www.philgeps.gov.ph/GEPSNONPILOT/Tender/SplashBidNoticeAbstractUI.aspx?menuIndex=3&amp;refID=7037396&amp;Result=3","7037396")</f>
        <v>0</v>
      </c>
      <c r="B6829" t="s">
        <v>2087</v>
      </c>
      <c r="C6829" t="s">
        <v>9205</v>
      </c>
      <c r="D6829" t="s">
        <v>13057</v>
      </c>
      <c r="E6829" t="s">
        <v>16755</v>
      </c>
      <c r="F6829" t="s">
        <v>22436</v>
      </c>
      <c r="G6829" t="s">
        <v>22444</v>
      </c>
      <c r="H6829" t="s">
        <v>22454</v>
      </c>
      <c r="I6829" t="s">
        <v>7738</v>
      </c>
      <c r="J6829" t="s">
        <v>24478</v>
      </c>
      <c r="K6829" t="s">
        <v>29337</v>
      </c>
      <c r="M6829" t="s">
        <v>31831</v>
      </c>
      <c r="N6829" t="s">
        <v>32524</v>
      </c>
      <c r="O6829" t="s">
        <v>32525</v>
      </c>
      <c r="P6829">
        <v>0</v>
      </c>
      <c r="Q6829">
        <v>0</v>
      </c>
      <c r="R6829" t="s">
        <v>32532</v>
      </c>
      <c r="S6829" t="s">
        <v>32616</v>
      </c>
      <c r="T6829" t="s">
        <v>33242</v>
      </c>
      <c r="U6829" t="s">
        <v>39345</v>
      </c>
      <c r="W6829" t="s">
        <v>31831</v>
      </c>
      <c r="X6829" t="s">
        <v>32533</v>
      </c>
    </row>
    <row r="6830" spans="1:24">
      <c r="A6830">
        <f>HYPERLINK("https://www.philgeps.gov.ph/GEPSNONPILOT/Tender/SplashBidNoticeAbstractUI.aspx?menuIndex=3&amp;refID=7037379&amp;Result=3","7037379")</f>
        <v>0</v>
      </c>
      <c r="B6830" t="s">
        <v>1446</v>
      </c>
      <c r="C6830" t="s">
        <v>9206</v>
      </c>
      <c r="D6830" t="s">
        <v>13049</v>
      </c>
      <c r="E6830" t="s">
        <v>19099</v>
      </c>
      <c r="F6830" t="s">
        <v>22436</v>
      </c>
      <c r="G6830" t="s">
        <v>22444</v>
      </c>
      <c r="H6830" t="s">
        <v>22454</v>
      </c>
      <c r="I6830" t="s">
        <v>7738</v>
      </c>
      <c r="J6830" t="s">
        <v>27005</v>
      </c>
      <c r="K6830" t="s">
        <v>29413</v>
      </c>
      <c r="M6830" t="s">
        <v>31110</v>
      </c>
      <c r="N6830" t="s">
        <v>32524</v>
      </c>
      <c r="O6830" t="s">
        <v>32525</v>
      </c>
      <c r="P6830">
        <v>0</v>
      </c>
      <c r="Q6830">
        <v>0</v>
      </c>
      <c r="R6830" t="s">
        <v>32532</v>
      </c>
      <c r="S6830" t="s">
        <v>32616</v>
      </c>
      <c r="T6830" t="s">
        <v>33249</v>
      </c>
      <c r="U6830" t="s">
        <v>39346</v>
      </c>
      <c r="V6830" t="s">
        <v>43171</v>
      </c>
      <c r="W6830" t="s">
        <v>31110</v>
      </c>
      <c r="X6830" t="s">
        <v>32533</v>
      </c>
    </row>
    <row r="6831" spans="1:24">
      <c r="A6831">
        <f>HYPERLINK("https://www.philgeps.gov.ph/GEPSNONPILOT/Tender/SplashBidNoticeAbstractUI.aspx?menuIndex=3&amp;refID=7037391&amp;Result=3","7037391")</f>
        <v>0</v>
      </c>
      <c r="B6831" t="s">
        <v>2090</v>
      </c>
      <c r="C6831" t="s">
        <v>9207</v>
      </c>
      <c r="E6831" t="s">
        <v>19100</v>
      </c>
      <c r="F6831" t="s">
        <v>22436</v>
      </c>
      <c r="G6831" t="s">
        <v>22444</v>
      </c>
      <c r="H6831" t="s">
        <v>22452</v>
      </c>
      <c r="I6831" t="s">
        <v>22469</v>
      </c>
      <c r="J6831" t="s">
        <v>22858</v>
      </c>
      <c r="K6831" t="s">
        <v>29338</v>
      </c>
      <c r="M6831" t="s">
        <v>31834</v>
      </c>
      <c r="N6831" t="s">
        <v>32524</v>
      </c>
      <c r="O6831" t="s">
        <v>32525</v>
      </c>
      <c r="P6831">
        <v>0</v>
      </c>
      <c r="Q6831">
        <v>1</v>
      </c>
      <c r="R6831" t="s">
        <v>32532</v>
      </c>
      <c r="S6831" t="s">
        <v>32616</v>
      </c>
      <c r="T6831" t="s">
        <v>33296</v>
      </c>
      <c r="U6831" t="s">
        <v>39347</v>
      </c>
      <c r="W6831" t="s">
        <v>31834</v>
      </c>
      <c r="X6831" t="s">
        <v>32533</v>
      </c>
    </row>
    <row r="6832" spans="1:24">
      <c r="A6832">
        <f>HYPERLINK("https://www.philgeps.gov.ph/GEPSNONPILOT/Tender/SplashBidNoticeAbstractUI.aspx?menuIndex=3&amp;refID=7037358&amp;Result=3","7037358")</f>
        <v>0</v>
      </c>
      <c r="B6832" t="s">
        <v>2087</v>
      </c>
      <c r="C6832" t="s">
        <v>9208</v>
      </c>
      <c r="D6832" t="s">
        <v>13057</v>
      </c>
      <c r="E6832" t="s">
        <v>16755</v>
      </c>
      <c r="F6832" t="s">
        <v>22436</v>
      </c>
      <c r="G6832" t="s">
        <v>22444</v>
      </c>
      <c r="H6832" t="s">
        <v>22454</v>
      </c>
      <c r="I6832" t="s">
        <v>7738</v>
      </c>
      <c r="J6832" t="s">
        <v>22911</v>
      </c>
      <c r="K6832" t="s">
        <v>29335</v>
      </c>
      <c r="M6832" t="s">
        <v>31831</v>
      </c>
      <c r="N6832" t="s">
        <v>32524</v>
      </c>
      <c r="O6832" t="s">
        <v>32525</v>
      </c>
      <c r="P6832">
        <v>0</v>
      </c>
      <c r="Q6832">
        <v>1</v>
      </c>
      <c r="R6832" t="s">
        <v>32532</v>
      </c>
      <c r="S6832" t="s">
        <v>32616</v>
      </c>
      <c r="T6832" t="s">
        <v>33242</v>
      </c>
      <c r="U6832" t="s">
        <v>39348</v>
      </c>
      <c r="W6832" t="s">
        <v>31831</v>
      </c>
      <c r="X6832" t="s">
        <v>32533</v>
      </c>
    </row>
    <row r="6833" spans="1:24">
      <c r="A6833">
        <f>HYPERLINK("https://www.philgeps.gov.ph/GEPSNONPILOT/Tender/SplashBidNoticeAbstractUI.aspx?menuIndex=3&amp;refID=7037403&amp;Result=3","7037403")</f>
        <v>0</v>
      </c>
      <c r="B6833" t="s">
        <v>986</v>
      </c>
      <c r="C6833" t="s">
        <v>9209</v>
      </c>
      <c r="D6833" t="s">
        <v>13016</v>
      </c>
      <c r="E6833" t="s">
        <v>13213</v>
      </c>
      <c r="F6833" t="s">
        <v>22436</v>
      </c>
      <c r="G6833" t="s">
        <v>22443</v>
      </c>
      <c r="H6833" t="s">
        <v>22452</v>
      </c>
      <c r="I6833" t="s">
        <v>3827</v>
      </c>
      <c r="J6833" t="s">
        <v>27006</v>
      </c>
      <c r="K6833" t="s">
        <v>29336</v>
      </c>
      <c r="L6833" t="s">
        <v>986</v>
      </c>
      <c r="M6833" t="s">
        <v>30608</v>
      </c>
      <c r="N6833" t="s">
        <v>32524</v>
      </c>
      <c r="O6833" t="s">
        <v>32525</v>
      </c>
      <c r="P6833">
        <v>0</v>
      </c>
      <c r="Q6833">
        <v>0</v>
      </c>
      <c r="R6833" t="s">
        <v>32532</v>
      </c>
      <c r="S6833" t="s">
        <v>32616</v>
      </c>
      <c r="T6833" t="s">
        <v>33197</v>
      </c>
      <c r="U6833" t="s">
        <v>39349</v>
      </c>
      <c r="V6833" t="s">
        <v>42676</v>
      </c>
      <c r="W6833" t="s">
        <v>30608</v>
      </c>
      <c r="X6833" t="s">
        <v>32533</v>
      </c>
    </row>
    <row r="6834" spans="1:24">
      <c r="A6834">
        <f>HYPERLINK("https://www.philgeps.gov.ph/GEPSNONPILOT/Tender/SplashBidNoticeAbstractUI.aspx?menuIndex=3&amp;refID=7037377&amp;Result=3","7037377")</f>
        <v>0</v>
      </c>
      <c r="B6834" t="s">
        <v>2091</v>
      </c>
      <c r="C6834" t="s">
        <v>9210</v>
      </c>
      <c r="D6834" t="s">
        <v>13018</v>
      </c>
      <c r="E6834" t="s">
        <v>19101</v>
      </c>
      <c r="F6834" t="s">
        <v>22436</v>
      </c>
      <c r="G6834" t="s">
        <v>22447</v>
      </c>
      <c r="H6834" t="s">
        <v>22452</v>
      </c>
      <c r="I6834" t="s">
        <v>22456</v>
      </c>
      <c r="J6834" t="s">
        <v>22674</v>
      </c>
      <c r="K6834" t="s">
        <v>29341</v>
      </c>
      <c r="M6834" t="s">
        <v>31835</v>
      </c>
      <c r="N6834" t="s">
        <v>32524</v>
      </c>
      <c r="O6834" t="s">
        <v>32525</v>
      </c>
      <c r="Q6834">
        <v>3</v>
      </c>
      <c r="R6834" t="s">
        <v>32532</v>
      </c>
      <c r="S6834" t="s">
        <v>32646</v>
      </c>
      <c r="T6834" t="s">
        <v>33177</v>
      </c>
      <c r="U6834" t="s">
        <v>39350</v>
      </c>
      <c r="V6834" t="s">
        <v>43172</v>
      </c>
      <c r="W6834" t="s">
        <v>31835</v>
      </c>
      <c r="X6834" t="s">
        <v>32533</v>
      </c>
    </row>
    <row r="6835" spans="1:24">
      <c r="A6835">
        <f>HYPERLINK("https://www.philgeps.gov.ph/GEPSNONPILOT/Tender/SplashBidNoticeAbstractUI.aspx?menuIndex=3&amp;refID=7037387&amp;Result=3","7037387")</f>
        <v>0</v>
      </c>
      <c r="B6835" t="s">
        <v>1792</v>
      </c>
      <c r="C6835" t="s">
        <v>9211</v>
      </c>
      <c r="D6835" t="s">
        <v>13024</v>
      </c>
      <c r="E6835" t="s">
        <v>19102</v>
      </c>
      <c r="F6835" t="s">
        <v>22436</v>
      </c>
      <c r="G6835" t="s">
        <v>22443</v>
      </c>
      <c r="H6835" t="s">
        <v>22452</v>
      </c>
      <c r="I6835" t="s">
        <v>22460</v>
      </c>
      <c r="J6835" t="s">
        <v>23120</v>
      </c>
      <c r="K6835" t="s">
        <v>29336</v>
      </c>
      <c r="M6835" t="s">
        <v>31503</v>
      </c>
      <c r="N6835" t="s">
        <v>32524</v>
      </c>
      <c r="O6835" t="s">
        <v>32525</v>
      </c>
      <c r="P6835">
        <v>0</v>
      </c>
      <c r="Q6835">
        <v>0</v>
      </c>
      <c r="R6835" t="s">
        <v>32532</v>
      </c>
      <c r="S6835" t="s">
        <v>32616</v>
      </c>
      <c r="T6835" t="s">
        <v>33328</v>
      </c>
      <c r="U6835" t="s">
        <v>39351</v>
      </c>
      <c r="V6835" t="s">
        <v>43173</v>
      </c>
      <c r="W6835" t="s">
        <v>31503</v>
      </c>
      <c r="X6835" t="s">
        <v>32533</v>
      </c>
    </row>
    <row r="6836" spans="1:24">
      <c r="A6836">
        <f>HYPERLINK("https://www.philgeps.gov.ph/GEPSNONPILOT/Tender/SplashBidNoticeAbstractUI.aspx?menuIndex=3&amp;refID=7037405&amp;Result=3","7037405")</f>
        <v>0</v>
      </c>
      <c r="B6836" t="s">
        <v>1575</v>
      </c>
      <c r="C6836" t="s">
        <v>9212</v>
      </c>
      <c r="D6836" t="s">
        <v>12988</v>
      </c>
      <c r="E6836" t="s">
        <v>19103</v>
      </c>
      <c r="F6836" t="s">
        <v>22436</v>
      </c>
      <c r="G6836" t="s">
        <v>22444</v>
      </c>
      <c r="H6836" t="s">
        <v>22452</v>
      </c>
      <c r="I6836" t="s">
        <v>3529</v>
      </c>
      <c r="J6836" t="s">
        <v>22798</v>
      </c>
      <c r="K6836" t="s">
        <v>29357</v>
      </c>
      <c r="M6836" t="s">
        <v>31257</v>
      </c>
      <c r="N6836" t="s">
        <v>32524</v>
      </c>
      <c r="O6836" t="s">
        <v>32525</v>
      </c>
      <c r="P6836">
        <v>0</v>
      </c>
      <c r="Q6836">
        <v>0</v>
      </c>
      <c r="R6836" t="s">
        <v>32532</v>
      </c>
      <c r="S6836" t="s">
        <v>32616</v>
      </c>
      <c r="T6836" t="s">
        <v>33167</v>
      </c>
      <c r="U6836" t="s">
        <v>39352</v>
      </c>
      <c r="W6836" t="s">
        <v>31257</v>
      </c>
      <c r="X6836" t="s">
        <v>32533</v>
      </c>
    </row>
    <row r="6837" spans="1:24">
      <c r="A6837">
        <f>HYPERLINK("https://www.philgeps.gov.ph/GEPSNONPILOT/Tender/SplashBidNoticeAbstractUI.aspx?menuIndex=3&amp;refID=7037434&amp;Result=3","7037434")</f>
        <v>0</v>
      </c>
      <c r="B6837" t="s">
        <v>2092</v>
      </c>
      <c r="C6837" t="s">
        <v>9213</v>
      </c>
      <c r="D6837" t="s">
        <v>13032</v>
      </c>
      <c r="E6837" t="s">
        <v>13557</v>
      </c>
      <c r="F6837" t="s">
        <v>22436</v>
      </c>
      <c r="G6837" t="s">
        <v>22444</v>
      </c>
      <c r="H6837" t="s">
        <v>22452</v>
      </c>
      <c r="I6837" t="s">
        <v>22463</v>
      </c>
      <c r="J6837" t="s">
        <v>27007</v>
      </c>
      <c r="K6837" t="s">
        <v>29338</v>
      </c>
      <c r="M6837" t="s">
        <v>31836</v>
      </c>
      <c r="N6837" t="s">
        <v>32524</v>
      </c>
      <c r="O6837" t="s">
        <v>32525</v>
      </c>
      <c r="P6837">
        <v>0</v>
      </c>
      <c r="Q6837">
        <v>7</v>
      </c>
      <c r="R6837" t="s">
        <v>32532</v>
      </c>
      <c r="S6837" t="s">
        <v>32616</v>
      </c>
      <c r="T6837" t="s">
        <v>33213</v>
      </c>
      <c r="U6837" t="s">
        <v>39353</v>
      </c>
      <c r="W6837" t="s">
        <v>31836</v>
      </c>
      <c r="X6837" t="s">
        <v>32533</v>
      </c>
    </row>
    <row r="6838" spans="1:24">
      <c r="A6838">
        <f>HYPERLINK("https://www.philgeps.gov.ph/GEPSNONPILOT/Tender/SplashBidNoticeAbstractUI.aspx?menuIndex=3&amp;refID=7037407&amp;Result=3","7037407")</f>
        <v>0</v>
      </c>
      <c r="B6838" t="s">
        <v>2093</v>
      </c>
      <c r="C6838" t="s">
        <v>9214</v>
      </c>
      <c r="D6838" t="s">
        <v>13025</v>
      </c>
      <c r="E6838" t="s">
        <v>19104</v>
      </c>
      <c r="F6838" t="s">
        <v>22436</v>
      </c>
      <c r="G6838" t="s">
        <v>22444</v>
      </c>
      <c r="H6838" t="s">
        <v>22452</v>
      </c>
      <c r="I6838" t="s">
        <v>4170</v>
      </c>
      <c r="J6838" t="s">
        <v>27008</v>
      </c>
      <c r="K6838" t="s">
        <v>29338</v>
      </c>
      <c r="M6838" t="s">
        <v>31837</v>
      </c>
      <c r="N6838" t="s">
        <v>32524</v>
      </c>
      <c r="O6838" t="s">
        <v>32525</v>
      </c>
      <c r="P6838">
        <v>0</v>
      </c>
      <c r="Q6838">
        <v>3</v>
      </c>
      <c r="R6838" t="s">
        <v>32532</v>
      </c>
      <c r="S6838" t="s">
        <v>32616</v>
      </c>
      <c r="T6838" t="s">
        <v>33259</v>
      </c>
      <c r="U6838" t="s">
        <v>39354</v>
      </c>
      <c r="W6838" t="s">
        <v>31837</v>
      </c>
      <c r="X6838" t="s">
        <v>32533</v>
      </c>
    </row>
    <row r="6839" spans="1:24">
      <c r="A6839">
        <f>HYPERLINK("https://www.philgeps.gov.ph/GEPSNONPILOT/Tender/SplashBidNoticeAbstractUI.aspx?menuIndex=3&amp;refID=7037399&amp;Result=3","7037399")</f>
        <v>0</v>
      </c>
      <c r="B6839" t="s">
        <v>1991</v>
      </c>
      <c r="C6839" t="s">
        <v>9215</v>
      </c>
      <c r="D6839" t="s">
        <v>13058</v>
      </c>
      <c r="E6839" t="s">
        <v>19105</v>
      </c>
      <c r="F6839" t="s">
        <v>22436</v>
      </c>
      <c r="G6839" t="s">
        <v>22444</v>
      </c>
      <c r="H6839" t="s">
        <v>22454</v>
      </c>
      <c r="I6839" t="s">
        <v>7738</v>
      </c>
      <c r="J6839" t="s">
        <v>24216</v>
      </c>
      <c r="K6839" t="s">
        <v>29329</v>
      </c>
      <c r="M6839" t="s">
        <v>31723</v>
      </c>
      <c r="N6839" t="s">
        <v>32524</v>
      </c>
      <c r="O6839" t="s">
        <v>32525</v>
      </c>
      <c r="P6839">
        <v>0</v>
      </c>
      <c r="Q6839">
        <v>0</v>
      </c>
      <c r="R6839" t="s">
        <v>32532</v>
      </c>
      <c r="S6839" t="s">
        <v>32616</v>
      </c>
      <c r="T6839" t="s">
        <v>33405</v>
      </c>
      <c r="U6839" t="s">
        <v>39355</v>
      </c>
      <c r="W6839" t="s">
        <v>31723</v>
      </c>
      <c r="X6839" t="s">
        <v>32533</v>
      </c>
    </row>
    <row r="6840" spans="1:24">
      <c r="A6840">
        <f>HYPERLINK("https://www.philgeps.gov.ph/GEPSNONPILOT/Tender/SplashBidNoticeAbstractUI.aspx?menuIndex=3&amp;refID=7037436&amp;Result=3","7037436")</f>
        <v>0</v>
      </c>
      <c r="B6840" t="s">
        <v>1737</v>
      </c>
      <c r="C6840" t="s">
        <v>9216</v>
      </c>
      <c r="D6840" t="s">
        <v>13018</v>
      </c>
      <c r="E6840" t="s">
        <v>19106</v>
      </c>
      <c r="F6840" t="s">
        <v>22436</v>
      </c>
      <c r="G6840" t="s">
        <v>22444</v>
      </c>
      <c r="H6840" t="s">
        <v>22452</v>
      </c>
      <c r="I6840" t="s">
        <v>22463</v>
      </c>
      <c r="J6840" t="s">
        <v>23431</v>
      </c>
      <c r="K6840" t="s">
        <v>29341</v>
      </c>
      <c r="M6840" t="s">
        <v>31442</v>
      </c>
      <c r="N6840" t="s">
        <v>32524</v>
      </c>
      <c r="O6840" t="s">
        <v>32525</v>
      </c>
      <c r="P6840">
        <v>0</v>
      </c>
      <c r="Q6840">
        <v>4</v>
      </c>
      <c r="R6840" t="s">
        <v>32532</v>
      </c>
      <c r="S6840" t="s">
        <v>32616</v>
      </c>
      <c r="T6840" t="s">
        <v>33213</v>
      </c>
      <c r="U6840" t="s">
        <v>39356</v>
      </c>
      <c r="W6840" t="s">
        <v>31442</v>
      </c>
      <c r="X6840" t="s">
        <v>32533</v>
      </c>
    </row>
    <row r="6841" spans="1:24">
      <c r="A6841">
        <f>HYPERLINK("https://www.philgeps.gov.ph/GEPSNONPILOT/Tender/SplashBidNoticeAbstractUI.aspx?menuIndex=3&amp;refID=7037423&amp;Result=3","7037423")</f>
        <v>0</v>
      </c>
      <c r="B6841" t="s">
        <v>1262</v>
      </c>
      <c r="C6841" t="s">
        <v>9217</v>
      </c>
      <c r="D6841" t="s">
        <v>13032</v>
      </c>
      <c r="E6841" t="s">
        <v>15101</v>
      </c>
      <c r="F6841" t="s">
        <v>22436</v>
      </c>
      <c r="G6841" t="s">
        <v>22444</v>
      </c>
      <c r="H6841" t="s">
        <v>22454</v>
      </c>
      <c r="I6841" t="s">
        <v>7738</v>
      </c>
      <c r="J6841" t="s">
        <v>27009</v>
      </c>
      <c r="K6841" t="s">
        <v>29379</v>
      </c>
      <c r="M6841" t="s">
        <v>30915</v>
      </c>
      <c r="N6841" t="s">
        <v>32524</v>
      </c>
      <c r="O6841" t="s">
        <v>32525</v>
      </c>
      <c r="P6841">
        <v>0</v>
      </c>
      <c r="Q6841">
        <v>0</v>
      </c>
      <c r="R6841" t="s">
        <v>32532</v>
      </c>
      <c r="S6841" t="s">
        <v>32616</v>
      </c>
      <c r="T6841" t="s">
        <v>33218</v>
      </c>
      <c r="U6841" t="s">
        <v>39357</v>
      </c>
      <c r="W6841" t="s">
        <v>30915</v>
      </c>
      <c r="X6841" t="s">
        <v>32533</v>
      </c>
    </row>
    <row r="6842" spans="1:24">
      <c r="A6842">
        <f>HYPERLINK("https://www.philgeps.gov.ph/GEPSNONPILOT/Tender/SplashBidNoticeAbstractUI.aspx?menuIndex=3&amp;refID=7037418&amp;Result=3","7037418")</f>
        <v>0</v>
      </c>
      <c r="B6842" t="s">
        <v>1964</v>
      </c>
      <c r="C6842" t="s">
        <v>9218</v>
      </c>
      <c r="D6842" t="s">
        <v>13039</v>
      </c>
      <c r="E6842" t="s">
        <v>19107</v>
      </c>
      <c r="F6842" t="s">
        <v>22436</v>
      </c>
      <c r="G6842" t="s">
        <v>22444</v>
      </c>
      <c r="H6842" t="s">
        <v>22452</v>
      </c>
      <c r="I6842" t="s">
        <v>22467</v>
      </c>
      <c r="J6842" t="s">
        <v>27010</v>
      </c>
      <c r="K6842" t="s">
        <v>29338</v>
      </c>
      <c r="M6842" t="s">
        <v>31838</v>
      </c>
      <c r="N6842" t="s">
        <v>32524</v>
      </c>
      <c r="O6842" t="s">
        <v>32525</v>
      </c>
      <c r="P6842">
        <v>0</v>
      </c>
      <c r="Q6842">
        <v>0</v>
      </c>
      <c r="R6842" t="s">
        <v>32532</v>
      </c>
      <c r="S6842" t="s">
        <v>32616</v>
      </c>
      <c r="T6842" t="s">
        <v>33521</v>
      </c>
      <c r="U6842" t="s">
        <v>39358</v>
      </c>
      <c r="W6842" t="s">
        <v>31838</v>
      </c>
      <c r="X6842" t="s">
        <v>32533</v>
      </c>
    </row>
    <row r="6843" spans="1:24">
      <c r="A6843">
        <f>HYPERLINK("https://www.philgeps.gov.ph/GEPSNONPILOT/Tender/SplashBidNoticeAbstractUI.aspx?menuIndex=3&amp;refID=7037408&amp;Result=3","7037408")</f>
        <v>0</v>
      </c>
      <c r="B6843" t="s">
        <v>2042</v>
      </c>
      <c r="C6843" t="s">
        <v>9219</v>
      </c>
      <c r="D6843" t="s">
        <v>13022</v>
      </c>
      <c r="E6843" t="s">
        <v>19108</v>
      </c>
      <c r="F6843" t="s">
        <v>22436</v>
      </c>
      <c r="G6843" t="s">
        <v>22444</v>
      </c>
      <c r="H6843" t="s">
        <v>22454</v>
      </c>
      <c r="I6843" t="s">
        <v>7738</v>
      </c>
      <c r="J6843" t="s">
        <v>27011</v>
      </c>
      <c r="K6843" t="s">
        <v>29347</v>
      </c>
      <c r="M6843" t="s">
        <v>31779</v>
      </c>
      <c r="N6843" t="s">
        <v>32524</v>
      </c>
      <c r="O6843" t="s">
        <v>32525</v>
      </c>
      <c r="P6843">
        <v>0</v>
      </c>
      <c r="Q6843">
        <v>20</v>
      </c>
      <c r="R6843" t="s">
        <v>32532</v>
      </c>
      <c r="S6843" t="s">
        <v>32616</v>
      </c>
      <c r="T6843" t="s">
        <v>33259</v>
      </c>
      <c r="U6843" t="s">
        <v>39359</v>
      </c>
      <c r="W6843" t="s">
        <v>31779</v>
      </c>
      <c r="X6843" t="s">
        <v>32533</v>
      </c>
    </row>
    <row r="6844" spans="1:24">
      <c r="A6844">
        <f>HYPERLINK("https://www.philgeps.gov.ph/GEPSNONPILOT/Tender/SplashBidNoticeAbstractUI.aspx?menuIndex=3&amp;refID=7037413&amp;Result=3","7037413")</f>
        <v>0</v>
      </c>
      <c r="B6844" t="s">
        <v>274</v>
      </c>
      <c r="C6844" t="s">
        <v>7220</v>
      </c>
      <c r="D6844" t="s">
        <v>13015</v>
      </c>
      <c r="E6844" t="s">
        <v>19109</v>
      </c>
      <c r="F6844" t="s">
        <v>22436</v>
      </c>
      <c r="G6844" t="s">
        <v>22444</v>
      </c>
      <c r="H6844" t="s">
        <v>22452</v>
      </c>
      <c r="I6844" t="s">
        <v>3827</v>
      </c>
      <c r="J6844" t="s">
        <v>27012</v>
      </c>
      <c r="K6844" t="s">
        <v>29331</v>
      </c>
      <c r="M6844" t="s">
        <v>29848</v>
      </c>
      <c r="N6844" t="s">
        <v>32524</v>
      </c>
      <c r="O6844" t="s">
        <v>32525</v>
      </c>
      <c r="P6844">
        <v>0</v>
      </c>
      <c r="Q6844">
        <v>0</v>
      </c>
      <c r="R6844" t="s">
        <v>32532</v>
      </c>
      <c r="S6844" t="s">
        <v>32616</v>
      </c>
      <c r="T6844" t="s">
        <v>33521</v>
      </c>
      <c r="U6844" t="s">
        <v>34156</v>
      </c>
      <c r="W6844" t="s">
        <v>29848</v>
      </c>
      <c r="X6844" t="s">
        <v>32533</v>
      </c>
    </row>
    <row r="6845" spans="1:24">
      <c r="A6845">
        <f>HYPERLINK("https://www.philgeps.gov.ph/GEPSNONPILOT/Tender/SplashBidNoticeAbstractUI.aspx?menuIndex=3&amp;refID=7037432&amp;Result=3","7037432")</f>
        <v>0</v>
      </c>
      <c r="B6845" t="s">
        <v>950</v>
      </c>
      <c r="C6845" t="s">
        <v>9220</v>
      </c>
      <c r="D6845" t="s">
        <v>13010</v>
      </c>
      <c r="E6845" t="s">
        <v>19110</v>
      </c>
      <c r="F6845" t="s">
        <v>22436</v>
      </c>
      <c r="G6845" t="s">
        <v>22444</v>
      </c>
      <c r="H6845" t="s">
        <v>22452</v>
      </c>
      <c r="I6845" t="s">
        <v>3827</v>
      </c>
      <c r="J6845" t="s">
        <v>27013</v>
      </c>
      <c r="K6845" t="s">
        <v>29338</v>
      </c>
      <c r="M6845" t="s">
        <v>30564</v>
      </c>
      <c r="N6845" t="s">
        <v>32524</v>
      </c>
      <c r="O6845" t="s">
        <v>32525</v>
      </c>
      <c r="P6845">
        <v>0</v>
      </c>
      <c r="Q6845">
        <v>9</v>
      </c>
      <c r="R6845" t="s">
        <v>32532</v>
      </c>
      <c r="S6845" t="s">
        <v>32616</v>
      </c>
      <c r="T6845" t="s">
        <v>33361</v>
      </c>
      <c r="U6845" t="s">
        <v>39360</v>
      </c>
      <c r="W6845" t="s">
        <v>30564</v>
      </c>
      <c r="X6845" t="s">
        <v>32533</v>
      </c>
    </row>
    <row r="6846" spans="1:24">
      <c r="A6846">
        <f>HYPERLINK("https://www.philgeps.gov.ph/GEPSNONPILOT/Tender/SplashBidNoticeAbstractUI.aspx?menuIndex=3&amp;refID=7037455&amp;Result=3","7037455")</f>
        <v>0</v>
      </c>
      <c r="B6846" t="s">
        <v>1070</v>
      </c>
      <c r="C6846" t="s">
        <v>9221</v>
      </c>
      <c r="D6846" t="s">
        <v>13050</v>
      </c>
      <c r="E6846" t="s">
        <v>19111</v>
      </c>
      <c r="F6846" t="s">
        <v>22436</v>
      </c>
      <c r="G6846" t="s">
        <v>22443</v>
      </c>
      <c r="H6846" t="s">
        <v>22452</v>
      </c>
      <c r="I6846" t="s">
        <v>22502</v>
      </c>
      <c r="J6846" t="s">
        <v>23235</v>
      </c>
      <c r="K6846" t="s">
        <v>29341</v>
      </c>
      <c r="M6846" t="s">
        <v>31839</v>
      </c>
      <c r="N6846" t="s">
        <v>32524</v>
      </c>
      <c r="O6846" t="s">
        <v>32525</v>
      </c>
      <c r="P6846">
        <v>0</v>
      </c>
      <c r="Q6846">
        <v>5</v>
      </c>
      <c r="R6846" t="s">
        <v>32532</v>
      </c>
      <c r="S6846" t="s">
        <v>32616</v>
      </c>
      <c r="T6846" t="s">
        <v>33372</v>
      </c>
      <c r="U6846" t="s">
        <v>39361</v>
      </c>
      <c r="V6846" t="s">
        <v>43174</v>
      </c>
      <c r="W6846" t="s">
        <v>31839</v>
      </c>
      <c r="X6846" t="s">
        <v>32533</v>
      </c>
    </row>
    <row r="6847" spans="1:24">
      <c r="A6847">
        <f>HYPERLINK("https://www.philgeps.gov.ph/GEPSNONPILOT/Tender/SplashBidNoticeAbstractUI.aspx?menuIndex=3&amp;refID=7037445&amp;Result=3","7037445")</f>
        <v>0</v>
      </c>
      <c r="B6847" t="s">
        <v>1025</v>
      </c>
      <c r="C6847" t="s">
        <v>9222</v>
      </c>
      <c r="D6847" t="s">
        <v>13022</v>
      </c>
      <c r="E6847" t="s">
        <v>19112</v>
      </c>
      <c r="F6847" t="s">
        <v>22436</v>
      </c>
      <c r="G6847" t="s">
        <v>22444</v>
      </c>
      <c r="H6847" t="s">
        <v>22454</v>
      </c>
      <c r="I6847" t="s">
        <v>7738</v>
      </c>
      <c r="J6847" t="s">
        <v>27014</v>
      </c>
      <c r="K6847" t="s">
        <v>29339</v>
      </c>
      <c r="M6847" t="s">
        <v>30654</v>
      </c>
      <c r="N6847" t="s">
        <v>32524</v>
      </c>
      <c r="O6847" t="s">
        <v>32525</v>
      </c>
      <c r="P6847">
        <v>0</v>
      </c>
      <c r="Q6847">
        <v>2</v>
      </c>
      <c r="R6847" t="s">
        <v>32532</v>
      </c>
      <c r="S6847" t="s">
        <v>32616</v>
      </c>
      <c r="T6847" t="s">
        <v>33259</v>
      </c>
      <c r="U6847" t="s">
        <v>39362</v>
      </c>
      <c r="W6847" t="s">
        <v>30654</v>
      </c>
      <c r="X6847" t="s">
        <v>32533</v>
      </c>
    </row>
    <row r="6848" spans="1:24">
      <c r="A6848">
        <f>HYPERLINK("https://www.philgeps.gov.ph/GEPSNONPILOT/Tender/SplashBidNoticeAbstractUI.aspx?menuIndex=3&amp;refID=7037410&amp;Result=3","7037410")</f>
        <v>0</v>
      </c>
      <c r="B6848" t="s">
        <v>214</v>
      </c>
      <c r="C6848" t="s">
        <v>9223</v>
      </c>
      <c r="D6848" t="s">
        <v>12992</v>
      </c>
      <c r="E6848" t="s">
        <v>13106</v>
      </c>
      <c r="F6848" t="s">
        <v>22436</v>
      </c>
      <c r="G6848" t="s">
        <v>22444</v>
      </c>
      <c r="H6848" t="s">
        <v>22454</v>
      </c>
      <c r="I6848" t="s">
        <v>7738</v>
      </c>
      <c r="J6848" t="s">
        <v>23316</v>
      </c>
      <c r="K6848" t="s">
        <v>29344</v>
      </c>
      <c r="M6848" t="s">
        <v>29787</v>
      </c>
      <c r="N6848" t="s">
        <v>32524</v>
      </c>
      <c r="O6848" t="s">
        <v>32525</v>
      </c>
      <c r="P6848">
        <v>0</v>
      </c>
      <c r="Q6848">
        <v>0</v>
      </c>
      <c r="R6848" t="s">
        <v>32532</v>
      </c>
      <c r="S6848" t="s">
        <v>32616</v>
      </c>
      <c r="T6848" t="s">
        <v>33212</v>
      </c>
      <c r="U6848" t="s">
        <v>39363</v>
      </c>
      <c r="V6848" t="s">
        <v>42461</v>
      </c>
      <c r="W6848" t="s">
        <v>29787</v>
      </c>
      <c r="X6848" t="s">
        <v>32533</v>
      </c>
    </row>
    <row r="6849" spans="1:24">
      <c r="A6849">
        <f>HYPERLINK("https://www.philgeps.gov.ph/GEPSNONPILOT/Tender/SplashBidNoticeAbstractUI.aspx?menuIndex=3&amp;refID=7037415&amp;Result=3","7037415")</f>
        <v>0</v>
      </c>
      <c r="B6849" t="s">
        <v>1737</v>
      </c>
      <c r="C6849" t="s">
        <v>9224</v>
      </c>
      <c r="D6849" t="s">
        <v>13018</v>
      </c>
      <c r="E6849" t="s">
        <v>19113</v>
      </c>
      <c r="F6849" t="s">
        <v>22436</v>
      </c>
      <c r="G6849" t="s">
        <v>22444</v>
      </c>
      <c r="H6849" t="s">
        <v>22452</v>
      </c>
      <c r="I6849" t="s">
        <v>22463</v>
      </c>
      <c r="J6849" t="s">
        <v>25149</v>
      </c>
      <c r="K6849" t="s">
        <v>29341</v>
      </c>
      <c r="M6849" t="s">
        <v>31442</v>
      </c>
      <c r="N6849" t="s">
        <v>32524</v>
      </c>
      <c r="O6849" t="s">
        <v>32525</v>
      </c>
      <c r="P6849">
        <v>0</v>
      </c>
      <c r="Q6849">
        <v>1</v>
      </c>
      <c r="R6849" t="s">
        <v>32532</v>
      </c>
      <c r="S6849" t="s">
        <v>32616</v>
      </c>
      <c r="T6849" t="s">
        <v>33213</v>
      </c>
      <c r="U6849" t="s">
        <v>39364</v>
      </c>
      <c r="W6849" t="s">
        <v>31442</v>
      </c>
      <c r="X6849" t="s">
        <v>32533</v>
      </c>
    </row>
    <row r="6850" spans="1:24">
      <c r="A6850">
        <f>HYPERLINK("https://www.philgeps.gov.ph/GEPSNONPILOT/Tender/SplashBidNoticeAbstractUI.aspx?menuIndex=3&amp;refID=7037469&amp;Result=3","7037469")</f>
        <v>0</v>
      </c>
      <c r="B6850" t="s">
        <v>2092</v>
      </c>
      <c r="C6850" t="s">
        <v>9225</v>
      </c>
      <c r="D6850" t="s">
        <v>13032</v>
      </c>
      <c r="E6850" t="s">
        <v>19114</v>
      </c>
      <c r="F6850" t="s">
        <v>22436</v>
      </c>
      <c r="G6850" t="s">
        <v>22444</v>
      </c>
      <c r="H6850" t="s">
        <v>22452</v>
      </c>
      <c r="I6850" t="s">
        <v>22474</v>
      </c>
      <c r="J6850" t="s">
        <v>22587</v>
      </c>
      <c r="K6850" t="s">
        <v>29338</v>
      </c>
      <c r="M6850" t="s">
        <v>31836</v>
      </c>
      <c r="N6850" t="s">
        <v>32524</v>
      </c>
      <c r="O6850" t="s">
        <v>32525</v>
      </c>
      <c r="P6850">
        <v>0</v>
      </c>
      <c r="Q6850">
        <v>11</v>
      </c>
      <c r="R6850" t="s">
        <v>32532</v>
      </c>
      <c r="S6850" t="s">
        <v>32616</v>
      </c>
      <c r="T6850" t="s">
        <v>33242</v>
      </c>
      <c r="U6850" t="s">
        <v>39353</v>
      </c>
      <c r="W6850" t="s">
        <v>31836</v>
      </c>
      <c r="X6850" t="s">
        <v>32533</v>
      </c>
    </row>
    <row r="6851" spans="1:24">
      <c r="A6851">
        <f>HYPERLINK("https://www.philgeps.gov.ph/GEPSNONPILOT/Tender/SplashBidNoticeAbstractUI.aspx?menuIndex=3&amp;refID=7037451&amp;Result=3","7037451")</f>
        <v>0</v>
      </c>
      <c r="B6851" t="s">
        <v>992</v>
      </c>
      <c r="C6851" t="s">
        <v>5211</v>
      </c>
      <c r="D6851" t="s">
        <v>13024</v>
      </c>
      <c r="E6851" t="s">
        <v>19115</v>
      </c>
      <c r="F6851" t="s">
        <v>22436</v>
      </c>
      <c r="G6851" t="s">
        <v>22444</v>
      </c>
      <c r="H6851" t="s">
        <v>22452</v>
      </c>
      <c r="I6851" t="s">
        <v>2962</v>
      </c>
      <c r="J6851" t="s">
        <v>27015</v>
      </c>
      <c r="K6851" t="s">
        <v>29434</v>
      </c>
      <c r="M6851" t="s">
        <v>30616</v>
      </c>
      <c r="N6851" t="s">
        <v>32524</v>
      </c>
      <c r="O6851" t="s">
        <v>32525</v>
      </c>
      <c r="P6851">
        <v>0</v>
      </c>
      <c r="Q6851">
        <v>0</v>
      </c>
      <c r="R6851" t="s">
        <v>32532</v>
      </c>
      <c r="S6851" t="s">
        <v>32616</v>
      </c>
      <c r="T6851" t="s">
        <v>33238</v>
      </c>
      <c r="U6851" t="s">
        <v>39365</v>
      </c>
      <c r="V6851" t="s">
        <v>42679</v>
      </c>
      <c r="W6851" t="s">
        <v>30616</v>
      </c>
      <c r="X6851" t="s">
        <v>32533</v>
      </c>
    </row>
    <row r="6852" spans="1:24">
      <c r="A6852">
        <f>HYPERLINK("https://www.philgeps.gov.ph/GEPSNONPILOT/Tender/SplashBidNoticeAbstractUI.aspx?menuIndex=3&amp;refID=7037409&amp;Result=3","7037409")</f>
        <v>0</v>
      </c>
      <c r="B6852" t="s">
        <v>992</v>
      </c>
      <c r="C6852" t="s">
        <v>3931</v>
      </c>
      <c r="D6852" t="s">
        <v>13024</v>
      </c>
      <c r="E6852" t="s">
        <v>19116</v>
      </c>
      <c r="F6852" t="s">
        <v>22436</v>
      </c>
      <c r="G6852" t="s">
        <v>22444</v>
      </c>
      <c r="H6852" t="s">
        <v>22452</v>
      </c>
      <c r="I6852" t="s">
        <v>3529</v>
      </c>
      <c r="J6852" t="s">
        <v>27016</v>
      </c>
      <c r="K6852" t="s">
        <v>29434</v>
      </c>
      <c r="M6852" t="s">
        <v>30616</v>
      </c>
      <c r="N6852" t="s">
        <v>32524</v>
      </c>
      <c r="O6852" t="s">
        <v>32525</v>
      </c>
      <c r="P6852">
        <v>0</v>
      </c>
      <c r="Q6852">
        <v>0</v>
      </c>
      <c r="R6852" t="s">
        <v>32532</v>
      </c>
      <c r="S6852" t="s">
        <v>32616</v>
      </c>
      <c r="T6852" t="s">
        <v>33238</v>
      </c>
      <c r="U6852" t="s">
        <v>39366</v>
      </c>
      <c r="V6852" t="s">
        <v>42679</v>
      </c>
      <c r="W6852" t="s">
        <v>30616</v>
      </c>
      <c r="X6852" t="s">
        <v>32533</v>
      </c>
    </row>
    <row r="6853" spans="1:24">
      <c r="A6853">
        <f>HYPERLINK("https://www.philgeps.gov.ph/GEPSNONPILOT/Tender/SplashBidNoticeAbstractUI.aspx?menuIndex=3&amp;refID=7037439&amp;Result=3","7037439")</f>
        <v>0</v>
      </c>
      <c r="B6853" t="s">
        <v>998</v>
      </c>
      <c r="C6853" t="s">
        <v>9226</v>
      </c>
      <c r="D6853" t="s">
        <v>13001</v>
      </c>
      <c r="E6853" t="s">
        <v>19117</v>
      </c>
      <c r="F6853" t="s">
        <v>22436</v>
      </c>
      <c r="G6853" t="s">
        <v>22445</v>
      </c>
      <c r="H6853" t="s">
        <v>22452</v>
      </c>
      <c r="I6853" t="s">
        <v>22508</v>
      </c>
      <c r="J6853" t="s">
        <v>27017</v>
      </c>
      <c r="K6853" t="s">
        <v>29335</v>
      </c>
      <c r="M6853" t="s">
        <v>30624</v>
      </c>
      <c r="N6853" t="s">
        <v>32524</v>
      </c>
      <c r="O6853" t="s">
        <v>32525</v>
      </c>
      <c r="P6853">
        <v>0</v>
      </c>
      <c r="Q6853">
        <v>9</v>
      </c>
      <c r="R6853" t="s">
        <v>32532</v>
      </c>
      <c r="S6853" t="s">
        <v>32616</v>
      </c>
      <c r="T6853" t="s">
        <v>33209</v>
      </c>
      <c r="U6853" t="s">
        <v>39367</v>
      </c>
      <c r="V6853" t="s">
        <v>43175</v>
      </c>
      <c r="W6853" t="s">
        <v>30624</v>
      </c>
      <c r="X6853" t="s">
        <v>32533</v>
      </c>
    </row>
    <row r="6854" spans="1:24">
      <c r="A6854">
        <f>HYPERLINK("https://www.philgeps.gov.ph/GEPSNONPILOT/Tender/SplashBidNoticeAbstractUI.aspx?menuIndex=3&amp;refID=7037442&amp;Result=3","7037442")</f>
        <v>0</v>
      </c>
      <c r="B6854" t="s">
        <v>693</v>
      </c>
      <c r="C6854" t="s">
        <v>9227</v>
      </c>
      <c r="D6854" t="s">
        <v>13039</v>
      </c>
      <c r="E6854" t="s">
        <v>19118</v>
      </c>
      <c r="F6854" t="s">
        <v>22436</v>
      </c>
      <c r="G6854" t="s">
        <v>22443</v>
      </c>
      <c r="H6854" t="s">
        <v>22452</v>
      </c>
      <c r="I6854" t="s">
        <v>22463</v>
      </c>
      <c r="J6854" t="s">
        <v>27018</v>
      </c>
      <c r="K6854" t="s">
        <v>29335</v>
      </c>
      <c r="M6854" t="s">
        <v>30287</v>
      </c>
      <c r="N6854" t="s">
        <v>32524</v>
      </c>
      <c r="O6854" t="s">
        <v>32525</v>
      </c>
      <c r="P6854">
        <v>0</v>
      </c>
      <c r="Q6854">
        <v>1</v>
      </c>
      <c r="R6854" t="s">
        <v>32532</v>
      </c>
      <c r="S6854" t="s">
        <v>32616</v>
      </c>
      <c r="T6854" t="s">
        <v>33220</v>
      </c>
      <c r="U6854" t="s">
        <v>39368</v>
      </c>
      <c r="W6854" t="s">
        <v>30287</v>
      </c>
      <c r="X6854" t="s">
        <v>32533</v>
      </c>
    </row>
    <row r="6855" spans="1:24">
      <c r="A6855">
        <f>HYPERLINK("https://www.philgeps.gov.ph/GEPSNONPILOT/Tender/SplashBidNoticeAbstractUI.aspx?menuIndex=3&amp;refID=7037461&amp;Result=3","7037461")</f>
        <v>0</v>
      </c>
      <c r="B6855" t="s">
        <v>2091</v>
      </c>
      <c r="C6855" t="s">
        <v>9228</v>
      </c>
      <c r="D6855" t="s">
        <v>13018</v>
      </c>
      <c r="E6855" t="s">
        <v>19119</v>
      </c>
      <c r="F6855" t="s">
        <v>22436</v>
      </c>
      <c r="G6855" t="s">
        <v>22447</v>
      </c>
      <c r="H6855" t="s">
        <v>22452</v>
      </c>
      <c r="I6855" t="s">
        <v>22456</v>
      </c>
      <c r="J6855" t="s">
        <v>27019</v>
      </c>
      <c r="K6855" t="s">
        <v>29341</v>
      </c>
      <c r="M6855" t="s">
        <v>31835</v>
      </c>
      <c r="N6855" t="s">
        <v>32524</v>
      </c>
      <c r="O6855" t="s">
        <v>32525</v>
      </c>
      <c r="Q6855">
        <v>2</v>
      </c>
      <c r="R6855" t="s">
        <v>32532</v>
      </c>
      <c r="S6855" t="s">
        <v>32647</v>
      </c>
      <c r="T6855" t="s">
        <v>33177</v>
      </c>
      <c r="U6855" t="s">
        <v>39350</v>
      </c>
      <c r="V6855" t="s">
        <v>43176</v>
      </c>
      <c r="W6855" t="s">
        <v>31835</v>
      </c>
      <c r="X6855" t="s">
        <v>32533</v>
      </c>
    </row>
    <row r="6856" spans="1:24">
      <c r="A6856">
        <f>HYPERLINK("https://www.philgeps.gov.ph/GEPSNONPILOT/Tender/SplashBidNoticeAbstractUI.aspx?menuIndex=3&amp;refID=7037471&amp;Result=3","7037471")</f>
        <v>0</v>
      </c>
      <c r="B6856" t="s">
        <v>1497</v>
      </c>
      <c r="C6856" t="s">
        <v>9229</v>
      </c>
      <c r="D6856" t="s">
        <v>12988</v>
      </c>
      <c r="E6856" t="s">
        <v>19120</v>
      </c>
      <c r="F6856" t="s">
        <v>22436</v>
      </c>
      <c r="G6856" t="s">
        <v>22444</v>
      </c>
      <c r="H6856" t="s">
        <v>22452</v>
      </c>
      <c r="I6856" t="s">
        <v>2981</v>
      </c>
      <c r="J6856" t="s">
        <v>27020</v>
      </c>
      <c r="K6856" t="s">
        <v>29341</v>
      </c>
      <c r="M6856" t="s">
        <v>31785</v>
      </c>
      <c r="N6856" t="s">
        <v>32524</v>
      </c>
      <c r="O6856" t="s">
        <v>32525</v>
      </c>
      <c r="P6856">
        <v>0</v>
      </c>
      <c r="Q6856">
        <v>0</v>
      </c>
      <c r="R6856" t="s">
        <v>32532</v>
      </c>
      <c r="S6856" t="s">
        <v>32616</v>
      </c>
      <c r="T6856" t="s">
        <v>33238</v>
      </c>
      <c r="U6856" t="s">
        <v>37299</v>
      </c>
      <c r="W6856" t="s">
        <v>31785</v>
      </c>
      <c r="X6856" t="s">
        <v>32533</v>
      </c>
    </row>
    <row r="6857" spans="1:24">
      <c r="A6857">
        <f>HYPERLINK("https://www.philgeps.gov.ph/GEPSNONPILOT/Tender/SplashBidNoticeAbstractUI.aspx?menuIndex=3&amp;refID=7037465&amp;Result=3","7037465")</f>
        <v>0</v>
      </c>
      <c r="B6857" t="s">
        <v>422</v>
      </c>
      <c r="C6857" t="s">
        <v>9230</v>
      </c>
      <c r="D6857" t="s">
        <v>13034</v>
      </c>
      <c r="E6857" t="s">
        <v>19121</v>
      </c>
      <c r="F6857" t="s">
        <v>22436</v>
      </c>
      <c r="G6857" t="s">
        <v>22444</v>
      </c>
      <c r="H6857" t="s">
        <v>22452</v>
      </c>
      <c r="I6857" t="s">
        <v>22474</v>
      </c>
      <c r="J6857" t="s">
        <v>23278</v>
      </c>
      <c r="K6857" t="s">
        <v>29335</v>
      </c>
      <c r="M6857" t="s">
        <v>30002</v>
      </c>
      <c r="N6857" t="s">
        <v>32524</v>
      </c>
      <c r="O6857" t="s">
        <v>32525</v>
      </c>
      <c r="P6857">
        <v>0</v>
      </c>
      <c r="Q6857">
        <v>4</v>
      </c>
      <c r="R6857" t="s">
        <v>32532</v>
      </c>
      <c r="S6857" t="s">
        <v>32616</v>
      </c>
      <c r="T6857" t="s">
        <v>33242</v>
      </c>
      <c r="U6857" t="s">
        <v>39369</v>
      </c>
      <c r="V6857" t="s">
        <v>43167</v>
      </c>
      <c r="W6857" t="s">
        <v>30002</v>
      </c>
      <c r="X6857" t="s">
        <v>32533</v>
      </c>
    </row>
    <row r="6858" spans="1:24">
      <c r="A6858">
        <f>HYPERLINK("https://www.philgeps.gov.ph/GEPSNONPILOT/Tender/SplashBidNoticeAbstractUI.aspx?menuIndex=3&amp;refID=7037473&amp;Result=3","7037473")</f>
        <v>0</v>
      </c>
      <c r="B6858" t="s">
        <v>2094</v>
      </c>
      <c r="C6858" t="s">
        <v>9231</v>
      </c>
      <c r="D6858" t="s">
        <v>13056</v>
      </c>
      <c r="E6858" t="s">
        <v>13182</v>
      </c>
      <c r="F6858" t="s">
        <v>22436</v>
      </c>
      <c r="G6858" t="s">
        <v>22444</v>
      </c>
      <c r="H6858" t="s">
        <v>22452</v>
      </c>
      <c r="I6858" t="s">
        <v>6387</v>
      </c>
      <c r="J6858" t="s">
        <v>22616</v>
      </c>
      <c r="K6858" t="s">
        <v>29341</v>
      </c>
      <c r="M6858" t="s">
        <v>31840</v>
      </c>
      <c r="N6858" t="s">
        <v>32524</v>
      </c>
      <c r="O6858" t="s">
        <v>32525</v>
      </c>
      <c r="P6858">
        <v>0</v>
      </c>
      <c r="Q6858">
        <v>1</v>
      </c>
      <c r="R6858" t="s">
        <v>32532</v>
      </c>
      <c r="S6858" t="s">
        <v>32616</v>
      </c>
      <c r="T6858" t="s">
        <v>33171</v>
      </c>
      <c r="U6858" t="s">
        <v>39370</v>
      </c>
      <c r="W6858" t="s">
        <v>31840</v>
      </c>
      <c r="X6858" t="s">
        <v>32533</v>
      </c>
    </row>
    <row r="6859" spans="1:24">
      <c r="A6859">
        <f>HYPERLINK("https://www.philgeps.gov.ph/GEPSNONPILOT/Tender/SplashBidNoticeAbstractUI.aspx?menuIndex=3&amp;refID=7037416&amp;Result=3","7037416")</f>
        <v>0</v>
      </c>
      <c r="B6859" t="s">
        <v>1497</v>
      </c>
      <c r="C6859" t="s">
        <v>9232</v>
      </c>
      <c r="D6859" t="s">
        <v>12988</v>
      </c>
      <c r="E6859" t="s">
        <v>19122</v>
      </c>
      <c r="F6859" t="s">
        <v>22436</v>
      </c>
      <c r="G6859" t="s">
        <v>22444</v>
      </c>
      <c r="H6859" t="s">
        <v>22452</v>
      </c>
      <c r="I6859" t="s">
        <v>2981</v>
      </c>
      <c r="J6859" t="s">
        <v>27021</v>
      </c>
      <c r="K6859" t="s">
        <v>29341</v>
      </c>
      <c r="M6859" t="s">
        <v>31785</v>
      </c>
      <c r="N6859" t="s">
        <v>32524</v>
      </c>
      <c r="O6859" t="s">
        <v>32525</v>
      </c>
      <c r="P6859">
        <v>0</v>
      </c>
      <c r="Q6859">
        <v>0</v>
      </c>
      <c r="R6859" t="s">
        <v>32532</v>
      </c>
      <c r="S6859" t="s">
        <v>32616</v>
      </c>
      <c r="T6859" t="s">
        <v>33238</v>
      </c>
      <c r="U6859" t="s">
        <v>37299</v>
      </c>
      <c r="W6859" t="s">
        <v>31785</v>
      </c>
      <c r="X6859" t="s">
        <v>32533</v>
      </c>
    </row>
    <row r="6860" spans="1:24">
      <c r="A6860">
        <f>HYPERLINK("https://www.philgeps.gov.ph/GEPSNONPILOT/Tender/SplashBidNoticeAbstractUI.aspx?menuIndex=3&amp;refID=7037481&amp;Result=3","7037481")</f>
        <v>0</v>
      </c>
      <c r="B6860" t="s">
        <v>2095</v>
      </c>
      <c r="C6860" t="s">
        <v>9233</v>
      </c>
      <c r="D6860" t="s">
        <v>13011</v>
      </c>
      <c r="E6860" t="s">
        <v>19123</v>
      </c>
      <c r="F6860" t="s">
        <v>22436</v>
      </c>
      <c r="G6860" t="s">
        <v>22446</v>
      </c>
      <c r="H6860" t="s">
        <v>22452</v>
      </c>
      <c r="I6860" t="s">
        <v>22471</v>
      </c>
      <c r="J6860" t="s">
        <v>23241</v>
      </c>
      <c r="K6860" t="s">
        <v>29336</v>
      </c>
      <c r="M6860" t="s">
        <v>31841</v>
      </c>
      <c r="N6860" t="s">
        <v>32524</v>
      </c>
      <c r="O6860" t="s">
        <v>32525</v>
      </c>
      <c r="P6860">
        <v>0</v>
      </c>
      <c r="Q6860">
        <v>3</v>
      </c>
      <c r="R6860" t="s">
        <v>32532</v>
      </c>
      <c r="S6860" t="s">
        <v>32616</v>
      </c>
      <c r="T6860" t="s">
        <v>33154</v>
      </c>
      <c r="U6860" t="s">
        <v>39371</v>
      </c>
      <c r="W6860" t="s">
        <v>43740</v>
      </c>
      <c r="X6860" t="s">
        <v>32533</v>
      </c>
    </row>
    <row r="6861" spans="1:24">
      <c r="A6861">
        <f>HYPERLINK("https://www.philgeps.gov.ph/GEPSNONPILOT/Tender/SplashBidNoticeAbstractUI.aspx?menuIndex=3&amp;refID=7037472&amp;Result=3","7037472")</f>
        <v>0</v>
      </c>
      <c r="B6861" t="s">
        <v>2042</v>
      </c>
      <c r="C6861" t="s">
        <v>9234</v>
      </c>
      <c r="D6861" t="s">
        <v>13022</v>
      </c>
      <c r="E6861" t="s">
        <v>19124</v>
      </c>
      <c r="F6861" t="s">
        <v>22436</v>
      </c>
      <c r="G6861" t="s">
        <v>22444</v>
      </c>
      <c r="H6861" t="s">
        <v>22454</v>
      </c>
      <c r="I6861" t="s">
        <v>7738</v>
      </c>
      <c r="J6861" t="s">
        <v>27022</v>
      </c>
      <c r="K6861" t="s">
        <v>29344</v>
      </c>
      <c r="M6861" t="s">
        <v>31779</v>
      </c>
      <c r="N6861" t="s">
        <v>32524</v>
      </c>
      <c r="O6861" t="s">
        <v>32525</v>
      </c>
      <c r="P6861">
        <v>0</v>
      </c>
      <c r="Q6861">
        <v>21</v>
      </c>
      <c r="R6861" t="s">
        <v>32532</v>
      </c>
      <c r="S6861" t="s">
        <v>32616</v>
      </c>
      <c r="T6861" t="s">
        <v>33259</v>
      </c>
      <c r="U6861" t="s">
        <v>39372</v>
      </c>
      <c r="W6861" t="s">
        <v>31779</v>
      </c>
      <c r="X6861" t="s">
        <v>32533</v>
      </c>
    </row>
    <row r="6862" spans="1:24">
      <c r="A6862">
        <f>HYPERLINK("https://www.philgeps.gov.ph/GEPSNONPILOT/Tender/SplashBidNoticeAbstractUI.aspx?menuIndex=3&amp;refID=7037512&amp;Result=3","7037512")</f>
        <v>0</v>
      </c>
      <c r="B6862" t="s">
        <v>1991</v>
      </c>
      <c r="C6862" t="s">
        <v>9235</v>
      </c>
      <c r="D6862" t="s">
        <v>13058</v>
      </c>
      <c r="E6862" t="s">
        <v>19125</v>
      </c>
      <c r="F6862" t="s">
        <v>22436</v>
      </c>
      <c r="G6862" t="s">
        <v>22444</v>
      </c>
      <c r="H6862" t="s">
        <v>22454</v>
      </c>
      <c r="I6862" t="s">
        <v>7738</v>
      </c>
      <c r="J6862" t="s">
        <v>27023</v>
      </c>
      <c r="K6862" t="s">
        <v>29334</v>
      </c>
      <c r="M6862" t="s">
        <v>31723</v>
      </c>
      <c r="N6862" t="s">
        <v>32524</v>
      </c>
      <c r="O6862" t="s">
        <v>32525</v>
      </c>
      <c r="P6862">
        <v>0</v>
      </c>
      <c r="Q6862">
        <v>0</v>
      </c>
      <c r="R6862" t="s">
        <v>32532</v>
      </c>
      <c r="S6862" t="s">
        <v>32616</v>
      </c>
      <c r="T6862" t="s">
        <v>33405</v>
      </c>
      <c r="U6862" t="s">
        <v>39373</v>
      </c>
      <c r="W6862" t="s">
        <v>31723</v>
      </c>
      <c r="X6862" t="s">
        <v>32533</v>
      </c>
    </row>
    <row r="6863" spans="1:24">
      <c r="A6863">
        <f>HYPERLINK("https://www.philgeps.gov.ph/GEPSNONPILOT/Tender/SplashBidNoticeAbstractUI.aspx?menuIndex=3&amp;refID=7037482&amp;Result=3","7037482")</f>
        <v>0</v>
      </c>
      <c r="B6863" t="s">
        <v>2096</v>
      </c>
      <c r="C6863" t="s">
        <v>9236</v>
      </c>
      <c r="D6863" t="s">
        <v>13015</v>
      </c>
      <c r="E6863" t="s">
        <v>13137</v>
      </c>
      <c r="F6863" t="s">
        <v>22436</v>
      </c>
      <c r="G6863" t="s">
        <v>22444</v>
      </c>
      <c r="H6863" t="s">
        <v>22454</v>
      </c>
      <c r="I6863" t="s">
        <v>7738</v>
      </c>
      <c r="J6863" t="s">
        <v>27024</v>
      </c>
      <c r="K6863" t="s">
        <v>29331</v>
      </c>
      <c r="M6863" t="s">
        <v>31842</v>
      </c>
      <c r="N6863" t="s">
        <v>32524</v>
      </c>
      <c r="O6863" t="s">
        <v>32525</v>
      </c>
      <c r="P6863">
        <v>0</v>
      </c>
      <c r="Q6863">
        <v>0</v>
      </c>
      <c r="R6863" t="s">
        <v>32532</v>
      </c>
      <c r="S6863" t="s">
        <v>32616</v>
      </c>
      <c r="T6863" t="s">
        <v>33191</v>
      </c>
      <c r="U6863" t="s">
        <v>39374</v>
      </c>
      <c r="W6863" t="s">
        <v>31842</v>
      </c>
      <c r="X6863" t="s">
        <v>32533</v>
      </c>
    </row>
    <row r="6864" spans="1:24">
      <c r="A6864">
        <f>HYPERLINK("https://www.philgeps.gov.ph/GEPSNONPILOT/Tender/SplashBidNoticeAbstractUI.aspx?menuIndex=3&amp;refID=7037478&amp;Result=3","7037478")</f>
        <v>0</v>
      </c>
      <c r="B6864" t="s">
        <v>1025</v>
      </c>
      <c r="C6864" t="s">
        <v>9237</v>
      </c>
      <c r="D6864" t="s">
        <v>13022</v>
      </c>
      <c r="E6864" t="s">
        <v>19126</v>
      </c>
      <c r="F6864" t="s">
        <v>22436</v>
      </c>
      <c r="G6864" t="s">
        <v>22444</v>
      </c>
      <c r="H6864" t="s">
        <v>22454</v>
      </c>
      <c r="I6864" t="s">
        <v>7738</v>
      </c>
      <c r="J6864" t="s">
        <v>27025</v>
      </c>
      <c r="K6864" t="s">
        <v>29339</v>
      </c>
      <c r="M6864" t="s">
        <v>30654</v>
      </c>
      <c r="N6864" t="s">
        <v>32524</v>
      </c>
      <c r="O6864" t="s">
        <v>32525</v>
      </c>
      <c r="P6864">
        <v>0</v>
      </c>
      <c r="Q6864">
        <v>0</v>
      </c>
      <c r="R6864" t="s">
        <v>32532</v>
      </c>
      <c r="S6864" t="s">
        <v>32616</v>
      </c>
      <c r="T6864" t="s">
        <v>33259</v>
      </c>
      <c r="U6864" t="s">
        <v>39375</v>
      </c>
      <c r="W6864" t="s">
        <v>30654</v>
      </c>
      <c r="X6864" t="s">
        <v>32533</v>
      </c>
    </row>
    <row r="6865" spans="1:24">
      <c r="A6865">
        <f>HYPERLINK("https://www.philgeps.gov.ph/GEPSNONPILOT/Tender/SplashBidNoticeAbstractUI.aspx?menuIndex=3&amp;refID=7037513&amp;Result=3","7037513")</f>
        <v>0</v>
      </c>
      <c r="B6865" t="s">
        <v>2097</v>
      </c>
      <c r="C6865" t="s">
        <v>9238</v>
      </c>
      <c r="E6865" t="s">
        <v>19127</v>
      </c>
      <c r="F6865" t="s">
        <v>22436</v>
      </c>
      <c r="G6865" t="s">
        <v>22451</v>
      </c>
      <c r="H6865" t="s">
        <v>22454</v>
      </c>
      <c r="I6865" t="s">
        <v>7738</v>
      </c>
      <c r="J6865" t="s">
        <v>27026</v>
      </c>
      <c r="K6865" t="s">
        <v>29338</v>
      </c>
      <c r="M6865" t="s">
        <v>31843</v>
      </c>
      <c r="N6865" t="s">
        <v>32524</v>
      </c>
      <c r="O6865" t="s">
        <v>32525</v>
      </c>
      <c r="P6865">
        <v>0</v>
      </c>
      <c r="Q6865">
        <v>1</v>
      </c>
      <c r="R6865" t="s">
        <v>32532</v>
      </c>
      <c r="S6865" t="s">
        <v>32616</v>
      </c>
      <c r="T6865" t="s">
        <v>33249</v>
      </c>
      <c r="U6865" t="s">
        <v>39376</v>
      </c>
      <c r="W6865" t="s">
        <v>43741</v>
      </c>
      <c r="X6865" t="s">
        <v>32533</v>
      </c>
    </row>
    <row r="6866" spans="1:24">
      <c r="A6866">
        <f>HYPERLINK("https://www.philgeps.gov.ph/GEPSNONPILOT/Tender/SplashBidNoticeAbstractUI.aspx?menuIndex=3&amp;refID=7037493&amp;Result=3","7037493")</f>
        <v>0</v>
      </c>
      <c r="B6866" t="s">
        <v>1737</v>
      </c>
      <c r="C6866" t="s">
        <v>9239</v>
      </c>
      <c r="D6866" t="s">
        <v>13018</v>
      </c>
      <c r="E6866" t="s">
        <v>19128</v>
      </c>
      <c r="F6866" t="s">
        <v>22436</v>
      </c>
      <c r="G6866" t="s">
        <v>22444</v>
      </c>
      <c r="H6866" t="s">
        <v>22452</v>
      </c>
      <c r="I6866" t="s">
        <v>12358</v>
      </c>
      <c r="J6866" t="s">
        <v>27027</v>
      </c>
      <c r="K6866" t="s">
        <v>29341</v>
      </c>
      <c r="M6866" t="s">
        <v>31442</v>
      </c>
      <c r="N6866" t="s">
        <v>32524</v>
      </c>
      <c r="O6866" t="s">
        <v>32525</v>
      </c>
      <c r="P6866">
        <v>0</v>
      </c>
      <c r="Q6866">
        <v>0</v>
      </c>
      <c r="R6866" t="s">
        <v>32532</v>
      </c>
      <c r="S6866" t="s">
        <v>32616</v>
      </c>
      <c r="T6866" t="s">
        <v>33213</v>
      </c>
      <c r="U6866" t="s">
        <v>39377</v>
      </c>
      <c r="W6866" t="s">
        <v>31442</v>
      </c>
      <c r="X6866" t="s">
        <v>32533</v>
      </c>
    </row>
    <row r="6867" spans="1:24">
      <c r="A6867">
        <f>HYPERLINK("https://www.philgeps.gov.ph/GEPSNONPILOT/Tender/SplashBidNoticeAbstractUI.aspx?menuIndex=3&amp;refID=7037511&amp;Result=3","7037511")</f>
        <v>0</v>
      </c>
      <c r="B6867" t="s">
        <v>2064</v>
      </c>
      <c r="C6867" t="s">
        <v>9240</v>
      </c>
      <c r="D6867" t="s">
        <v>12988</v>
      </c>
      <c r="E6867" t="s">
        <v>19129</v>
      </c>
      <c r="F6867" t="s">
        <v>22436</v>
      </c>
      <c r="G6867" t="s">
        <v>22446</v>
      </c>
      <c r="H6867" t="s">
        <v>22452</v>
      </c>
      <c r="I6867" t="s">
        <v>22486</v>
      </c>
      <c r="J6867" t="s">
        <v>23120</v>
      </c>
      <c r="K6867" t="s">
        <v>29335</v>
      </c>
      <c r="M6867" t="s">
        <v>31807</v>
      </c>
      <c r="N6867" t="s">
        <v>32524</v>
      </c>
      <c r="O6867" t="s">
        <v>32525</v>
      </c>
      <c r="P6867">
        <v>0</v>
      </c>
      <c r="Q6867">
        <v>3</v>
      </c>
      <c r="R6867" t="s">
        <v>32532</v>
      </c>
      <c r="S6867" t="s">
        <v>32616</v>
      </c>
      <c r="T6867" t="s">
        <v>33419</v>
      </c>
      <c r="U6867" t="s">
        <v>39378</v>
      </c>
      <c r="W6867" t="s">
        <v>31807</v>
      </c>
      <c r="X6867" t="s">
        <v>32533</v>
      </c>
    </row>
    <row r="6868" spans="1:24">
      <c r="A6868">
        <f>HYPERLINK("https://www.philgeps.gov.ph/GEPSNONPILOT/Tender/SplashBidNoticeAbstractUI.aspx?menuIndex=3&amp;refID=7037488&amp;Result=3","7037488")</f>
        <v>0</v>
      </c>
      <c r="B6868" t="s">
        <v>1497</v>
      </c>
      <c r="C6868" t="s">
        <v>9241</v>
      </c>
      <c r="D6868" t="s">
        <v>12988</v>
      </c>
      <c r="E6868" t="s">
        <v>19130</v>
      </c>
      <c r="F6868" t="s">
        <v>22436</v>
      </c>
      <c r="G6868" t="s">
        <v>22444</v>
      </c>
      <c r="H6868" t="s">
        <v>22452</v>
      </c>
      <c r="I6868" t="s">
        <v>2981</v>
      </c>
      <c r="J6868" t="s">
        <v>23439</v>
      </c>
      <c r="K6868" t="s">
        <v>29341</v>
      </c>
      <c r="M6868" t="s">
        <v>31785</v>
      </c>
      <c r="N6868" t="s">
        <v>32524</v>
      </c>
      <c r="O6868" t="s">
        <v>32525</v>
      </c>
      <c r="P6868">
        <v>0</v>
      </c>
      <c r="Q6868">
        <v>0</v>
      </c>
      <c r="R6868" t="s">
        <v>32532</v>
      </c>
      <c r="S6868" t="s">
        <v>32616</v>
      </c>
      <c r="T6868" t="s">
        <v>33238</v>
      </c>
      <c r="U6868" t="s">
        <v>37299</v>
      </c>
      <c r="W6868" t="s">
        <v>31785</v>
      </c>
      <c r="X6868" t="s">
        <v>32533</v>
      </c>
    </row>
    <row r="6869" spans="1:24">
      <c r="A6869">
        <f>HYPERLINK("https://www.philgeps.gov.ph/GEPSNONPILOT/Tender/SplashBidNoticeAbstractUI.aspx?menuIndex=3&amp;refID=7037497&amp;Result=3","7037497")</f>
        <v>0</v>
      </c>
      <c r="B6869" t="s">
        <v>326</v>
      </c>
      <c r="C6869" t="s">
        <v>9242</v>
      </c>
      <c r="D6869" t="s">
        <v>13046</v>
      </c>
      <c r="E6869" t="s">
        <v>19131</v>
      </c>
      <c r="F6869" t="s">
        <v>22436</v>
      </c>
      <c r="G6869" t="s">
        <v>22443</v>
      </c>
      <c r="H6869" t="s">
        <v>22452</v>
      </c>
      <c r="I6869" t="s">
        <v>22463</v>
      </c>
      <c r="J6869" t="s">
        <v>27028</v>
      </c>
      <c r="K6869" t="s">
        <v>29341</v>
      </c>
      <c r="M6869" t="s">
        <v>29902</v>
      </c>
      <c r="N6869" t="s">
        <v>32524</v>
      </c>
      <c r="O6869" t="s">
        <v>32525</v>
      </c>
      <c r="P6869">
        <v>0</v>
      </c>
      <c r="Q6869">
        <v>3</v>
      </c>
      <c r="R6869" t="s">
        <v>32532</v>
      </c>
      <c r="S6869" t="s">
        <v>32616</v>
      </c>
      <c r="T6869" t="s">
        <v>33296</v>
      </c>
      <c r="U6869" t="s">
        <v>39379</v>
      </c>
      <c r="W6869" t="s">
        <v>29902</v>
      </c>
      <c r="X6869" t="s">
        <v>32533</v>
      </c>
    </row>
    <row r="6870" spans="1:24">
      <c r="A6870">
        <f>HYPERLINK("https://www.philgeps.gov.ph/GEPSNONPILOT/Tender/SplashBidNoticeAbstractUI.aspx?menuIndex=3&amp;refID=7037509&amp;Result=3","7037509")</f>
        <v>0</v>
      </c>
      <c r="B6870" t="s">
        <v>356</v>
      </c>
      <c r="C6870" t="s">
        <v>9243</v>
      </c>
      <c r="D6870" t="s">
        <v>12993</v>
      </c>
      <c r="E6870" t="s">
        <v>19132</v>
      </c>
      <c r="F6870" t="s">
        <v>22436</v>
      </c>
      <c r="G6870" t="s">
        <v>22444</v>
      </c>
      <c r="H6870" t="s">
        <v>22452</v>
      </c>
      <c r="I6870" t="s">
        <v>22469</v>
      </c>
      <c r="J6870" t="s">
        <v>25800</v>
      </c>
      <c r="K6870" t="s">
        <v>29338</v>
      </c>
      <c r="M6870" t="s">
        <v>30657</v>
      </c>
      <c r="N6870" t="s">
        <v>32524</v>
      </c>
      <c r="O6870" t="s">
        <v>32525</v>
      </c>
      <c r="P6870">
        <v>0</v>
      </c>
      <c r="Q6870">
        <v>1</v>
      </c>
      <c r="R6870" t="s">
        <v>32532</v>
      </c>
      <c r="S6870" t="s">
        <v>32616</v>
      </c>
      <c r="T6870" t="s">
        <v>33323</v>
      </c>
      <c r="U6870" t="s">
        <v>39380</v>
      </c>
      <c r="W6870" t="s">
        <v>30657</v>
      </c>
      <c r="X6870" t="s">
        <v>32533</v>
      </c>
    </row>
    <row r="6871" spans="1:24">
      <c r="A6871">
        <f>HYPERLINK("https://www.philgeps.gov.ph/GEPSNONPILOT/Tender/SplashBidNoticeAbstractUI.aspx?menuIndex=3&amp;refID=7037486&amp;Result=3","7037486")</f>
        <v>0</v>
      </c>
      <c r="B6871" t="s">
        <v>1803</v>
      </c>
      <c r="C6871" t="s">
        <v>9244</v>
      </c>
      <c r="D6871" t="s">
        <v>13029</v>
      </c>
      <c r="E6871" t="s">
        <v>19133</v>
      </c>
      <c r="F6871" t="s">
        <v>22436</v>
      </c>
      <c r="G6871" t="s">
        <v>22444</v>
      </c>
      <c r="H6871" t="s">
        <v>22452</v>
      </c>
      <c r="I6871" t="s">
        <v>22469</v>
      </c>
      <c r="J6871" t="s">
        <v>23326</v>
      </c>
      <c r="K6871" t="s">
        <v>29338</v>
      </c>
      <c r="M6871" t="s">
        <v>31516</v>
      </c>
      <c r="N6871" t="s">
        <v>32524</v>
      </c>
      <c r="O6871" t="s">
        <v>32525</v>
      </c>
      <c r="Q6871">
        <v>11</v>
      </c>
      <c r="R6871" t="s">
        <v>32532</v>
      </c>
      <c r="S6871" t="s">
        <v>32648</v>
      </c>
      <c r="T6871" t="s">
        <v>33218</v>
      </c>
      <c r="U6871" t="s">
        <v>39381</v>
      </c>
      <c r="W6871" t="s">
        <v>31516</v>
      </c>
      <c r="X6871" t="s">
        <v>32533</v>
      </c>
    </row>
    <row r="6872" spans="1:24">
      <c r="A6872">
        <f>HYPERLINK("https://www.philgeps.gov.ph/GEPSNONPILOT/Tender/SplashBidNoticeAbstractUI.aspx?menuIndex=3&amp;refID=7037492&amp;Result=3","7037492")</f>
        <v>0</v>
      </c>
      <c r="B6872" t="s">
        <v>1338</v>
      </c>
      <c r="C6872" t="s">
        <v>9245</v>
      </c>
      <c r="D6872" t="s">
        <v>13046</v>
      </c>
      <c r="E6872" t="s">
        <v>19134</v>
      </c>
      <c r="F6872" t="s">
        <v>22436</v>
      </c>
      <c r="G6872" t="s">
        <v>22444</v>
      </c>
      <c r="H6872" t="s">
        <v>22455</v>
      </c>
      <c r="I6872" t="s">
        <v>22455</v>
      </c>
      <c r="J6872" t="s">
        <v>27029</v>
      </c>
      <c r="K6872" t="s">
        <v>29335</v>
      </c>
      <c r="M6872" t="s">
        <v>31153</v>
      </c>
      <c r="N6872" t="s">
        <v>32524</v>
      </c>
      <c r="O6872" t="s">
        <v>32525</v>
      </c>
      <c r="P6872">
        <v>0</v>
      </c>
      <c r="Q6872">
        <v>2</v>
      </c>
      <c r="R6872" t="s">
        <v>32532</v>
      </c>
      <c r="S6872" t="s">
        <v>32616</v>
      </c>
      <c r="T6872" t="s">
        <v>33296</v>
      </c>
      <c r="U6872" t="s">
        <v>39382</v>
      </c>
      <c r="W6872" t="s">
        <v>31153</v>
      </c>
      <c r="X6872" t="s">
        <v>32533</v>
      </c>
    </row>
    <row r="6873" spans="1:24">
      <c r="A6873">
        <f>HYPERLINK("https://www.philgeps.gov.ph/GEPSNONPILOT/Tender/SplashBidNoticeAbstractUI.aspx?menuIndex=3&amp;refID=7037485&amp;Result=3","7037485")</f>
        <v>0</v>
      </c>
      <c r="B6873" t="s">
        <v>617</v>
      </c>
      <c r="C6873" t="s">
        <v>9246</v>
      </c>
      <c r="D6873" t="s">
        <v>13018</v>
      </c>
      <c r="E6873" t="s">
        <v>14074</v>
      </c>
      <c r="F6873" t="s">
        <v>22436</v>
      </c>
      <c r="G6873" t="s">
        <v>22444</v>
      </c>
      <c r="H6873" t="s">
        <v>22452</v>
      </c>
      <c r="I6873" t="s">
        <v>22461</v>
      </c>
      <c r="J6873" t="s">
        <v>27030</v>
      </c>
      <c r="K6873" t="s">
        <v>29382</v>
      </c>
      <c r="M6873" t="s">
        <v>30207</v>
      </c>
      <c r="N6873" t="s">
        <v>32524</v>
      </c>
      <c r="O6873" t="s">
        <v>32525</v>
      </c>
      <c r="P6873">
        <v>0</v>
      </c>
      <c r="Q6873">
        <v>0</v>
      </c>
      <c r="R6873" t="s">
        <v>32532</v>
      </c>
      <c r="S6873" t="s">
        <v>32616</v>
      </c>
      <c r="T6873" t="s">
        <v>33197</v>
      </c>
      <c r="U6873" t="s">
        <v>39383</v>
      </c>
      <c r="W6873" t="s">
        <v>30207</v>
      </c>
      <c r="X6873" t="s">
        <v>32533</v>
      </c>
    </row>
    <row r="6874" spans="1:24">
      <c r="A6874">
        <f>HYPERLINK("https://www.philgeps.gov.ph/GEPSNONPILOT/Tender/SplashBidNoticeAbstractUI.aspx?menuIndex=3&amp;refID=7037480&amp;Result=3","7037480")</f>
        <v>0</v>
      </c>
      <c r="B6874" t="s">
        <v>1964</v>
      </c>
      <c r="C6874" t="s">
        <v>9247</v>
      </c>
      <c r="D6874" t="s">
        <v>13039</v>
      </c>
      <c r="E6874" t="s">
        <v>19135</v>
      </c>
      <c r="F6874" t="s">
        <v>22436</v>
      </c>
      <c r="G6874" t="s">
        <v>22444</v>
      </c>
      <c r="H6874" t="s">
        <v>22452</v>
      </c>
      <c r="I6874" t="s">
        <v>22469</v>
      </c>
      <c r="J6874" t="s">
        <v>22893</v>
      </c>
      <c r="K6874" t="s">
        <v>29331</v>
      </c>
      <c r="M6874" t="s">
        <v>31838</v>
      </c>
      <c r="N6874" t="s">
        <v>32524</v>
      </c>
      <c r="O6874" t="s">
        <v>32525</v>
      </c>
      <c r="P6874">
        <v>0</v>
      </c>
      <c r="Q6874">
        <v>4</v>
      </c>
      <c r="R6874" t="s">
        <v>32532</v>
      </c>
      <c r="S6874" t="s">
        <v>32616</v>
      </c>
      <c r="T6874" t="s">
        <v>33521</v>
      </c>
      <c r="U6874" t="s">
        <v>39384</v>
      </c>
      <c r="W6874" t="s">
        <v>31838</v>
      </c>
      <c r="X6874" t="s">
        <v>32533</v>
      </c>
    </row>
    <row r="6875" spans="1:24">
      <c r="A6875">
        <f>HYPERLINK("https://www.philgeps.gov.ph/GEPSNONPILOT/Tender/SplashBidNoticeAbstractUI.aspx?menuIndex=3&amp;refID=7037515&amp;Result=3","7037515")</f>
        <v>0</v>
      </c>
      <c r="B6875" t="s">
        <v>1497</v>
      </c>
      <c r="C6875" t="s">
        <v>9248</v>
      </c>
      <c r="D6875" t="s">
        <v>12988</v>
      </c>
      <c r="E6875" t="s">
        <v>19136</v>
      </c>
      <c r="F6875" t="s">
        <v>22436</v>
      </c>
      <c r="G6875" t="s">
        <v>22444</v>
      </c>
      <c r="H6875" t="s">
        <v>22452</v>
      </c>
      <c r="I6875" t="s">
        <v>2981</v>
      </c>
      <c r="J6875" t="s">
        <v>27031</v>
      </c>
      <c r="K6875" t="s">
        <v>29341</v>
      </c>
      <c r="M6875" t="s">
        <v>31785</v>
      </c>
      <c r="N6875" t="s">
        <v>32524</v>
      </c>
      <c r="O6875" t="s">
        <v>32525</v>
      </c>
      <c r="P6875">
        <v>0</v>
      </c>
      <c r="Q6875">
        <v>0</v>
      </c>
      <c r="R6875" t="s">
        <v>32532</v>
      </c>
      <c r="S6875" t="s">
        <v>32616</v>
      </c>
      <c r="T6875" t="s">
        <v>33238</v>
      </c>
      <c r="U6875" t="s">
        <v>37299</v>
      </c>
      <c r="W6875" t="s">
        <v>31785</v>
      </c>
      <c r="X6875" t="s">
        <v>32533</v>
      </c>
    </row>
    <row r="6876" spans="1:24">
      <c r="A6876">
        <f>HYPERLINK("https://www.philgeps.gov.ph/GEPSNONPILOT/Tender/SplashBidNoticeAbstractUI.aspx?menuIndex=3&amp;refID=7037518&amp;Result=3","7037518")</f>
        <v>0</v>
      </c>
      <c r="B6876" t="s">
        <v>2092</v>
      </c>
      <c r="C6876" t="s">
        <v>9249</v>
      </c>
      <c r="D6876" t="s">
        <v>13032</v>
      </c>
      <c r="E6876" t="s">
        <v>19137</v>
      </c>
      <c r="F6876" t="s">
        <v>22436</v>
      </c>
      <c r="G6876" t="s">
        <v>22444</v>
      </c>
      <c r="H6876" t="s">
        <v>22452</v>
      </c>
      <c r="I6876" t="s">
        <v>22474</v>
      </c>
      <c r="J6876" t="s">
        <v>22877</v>
      </c>
      <c r="K6876" t="s">
        <v>29338</v>
      </c>
      <c r="M6876" t="s">
        <v>31836</v>
      </c>
      <c r="N6876" t="s">
        <v>32524</v>
      </c>
      <c r="O6876" t="s">
        <v>32525</v>
      </c>
      <c r="P6876">
        <v>0</v>
      </c>
      <c r="Q6876">
        <v>2</v>
      </c>
      <c r="R6876" t="s">
        <v>32532</v>
      </c>
      <c r="S6876" t="s">
        <v>32616</v>
      </c>
      <c r="T6876" t="s">
        <v>33361</v>
      </c>
      <c r="U6876" t="s">
        <v>39353</v>
      </c>
      <c r="W6876" t="s">
        <v>31836</v>
      </c>
      <c r="X6876" t="s">
        <v>32533</v>
      </c>
    </row>
    <row r="6877" spans="1:24">
      <c r="A6877">
        <f>HYPERLINK("https://www.philgeps.gov.ph/GEPSNONPILOT/Tender/SplashBidNoticeAbstractUI.aspx?menuIndex=3&amp;refID=7037520&amp;Result=3","7037520")</f>
        <v>0</v>
      </c>
      <c r="B6877" t="s">
        <v>1964</v>
      </c>
      <c r="C6877" t="s">
        <v>9250</v>
      </c>
      <c r="D6877" t="s">
        <v>13039</v>
      </c>
      <c r="E6877" t="s">
        <v>19138</v>
      </c>
      <c r="F6877" t="s">
        <v>22436</v>
      </c>
      <c r="G6877" t="s">
        <v>22444</v>
      </c>
      <c r="H6877" t="s">
        <v>22452</v>
      </c>
      <c r="I6877" t="s">
        <v>3529</v>
      </c>
      <c r="J6877" t="s">
        <v>27032</v>
      </c>
      <c r="K6877" t="s">
        <v>29346</v>
      </c>
      <c r="M6877" t="s">
        <v>31838</v>
      </c>
      <c r="N6877" t="s">
        <v>32524</v>
      </c>
      <c r="O6877" t="s">
        <v>32525</v>
      </c>
      <c r="P6877">
        <v>0</v>
      </c>
      <c r="Q6877">
        <v>1</v>
      </c>
      <c r="R6877" t="s">
        <v>32532</v>
      </c>
      <c r="S6877" t="s">
        <v>32616</v>
      </c>
      <c r="T6877" t="s">
        <v>33521</v>
      </c>
      <c r="U6877" t="s">
        <v>39385</v>
      </c>
      <c r="W6877" t="s">
        <v>31838</v>
      </c>
      <c r="X6877" t="s">
        <v>32533</v>
      </c>
    </row>
    <row r="6878" spans="1:24">
      <c r="A6878">
        <f>HYPERLINK("https://www.philgeps.gov.ph/GEPSNONPILOT/Tender/SplashBidNoticeAbstractUI.aspx?menuIndex=3&amp;refID=7037514&amp;Result=3","7037514")</f>
        <v>0</v>
      </c>
      <c r="B6878" t="s">
        <v>1025</v>
      </c>
      <c r="C6878" t="s">
        <v>9251</v>
      </c>
      <c r="D6878" t="s">
        <v>13022</v>
      </c>
      <c r="E6878" t="s">
        <v>19139</v>
      </c>
      <c r="F6878" t="s">
        <v>22436</v>
      </c>
      <c r="G6878" t="s">
        <v>22444</v>
      </c>
      <c r="H6878" t="s">
        <v>22454</v>
      </c>
      <c r="I6878" t="s">
        <v>7738</v>
      </c>
      <c r="J6878" t="s">
        <v>27033</v>
      </c>
      <c r="K6878" t="s">
        <v>29345</v>
      </c>
      <c r="M6878" t="s">
        <v>30654</v>
      </c>
      <c r="N6878" t="s">
        <v>32524</v>
      </c>
      <c r="O6878" t="s">
        <v>32525</v>
      </c>
      <c r="P6878">
        <v>0</v>
      </c>
      <c r="Q6878">
        <v>2</v>
      </c>
      <c r="R6878" t="s">
        <v>32532</v>
      </c>
      <c r="S6878" t="s">
        <v>32616</v>
      </c>
      <c r="T6878" t="s">
        <v>33259</v>
      </c>
      <c r="U6878" t="s">
        <v>39386</v>
      </c>
      <c r="W6878" t="s">
        <v>30654</v>
      </c>
      <c r="X6878" t="s">
        <v>32533</v>
      </c>
    </row>
    <row r="6879" spans="1:24">
      <c r="A6879">
        <f>HYPERLINK("https://www.philgeps.gov.ph/GEPSNONPILOT/Tender/SplashBidNoticeAbstractUI.aspx?menuIndex=3&amp;refID=7037554&amp;Result=3","7037554")</f>
        <v>0</v>
      </c>
      <c r="B6879" t="s">
        <v>356</v>
      </c>
      <c r="C6879" t="s">
        <v>9252</v>
      </c>
      <c r="D6879" t="s">
        <v>12993</v>
      </c>
      <c r="E6879" t="s">
        <v>19140</v>
      </c>
      <c r="F6879" t="s">
        <v>22436</v>
      </c>
      <c r="G6879" t="s">
        <v>22444</v>
      </c>
      <c r="H6879" t="s">
        <v>22452</v>
      </c>
      <c r="I6879" t="s">
        <v>22469</v>
      </c>
      <c r="J6879" t="s">
        <v>22798</v>
      </c>
      <c r="K6879" t="s">
        <v>29338</v>
      </c>
      <c r="M6879" t="s">
        <v>30657</v>
      </c>
      <c r="N6879" t="s">
        <v>32524</v>
      </c>
      <c r="O6879" t="s">
        <v>32525</v>
      </c>
      <c r="P6879">
        <v>0</v>
      </c>
      <c r="Q6879">
        <v>2</v>
      </c>
      <c r="R6879" t="s">
        <v>32532</v>
      </c>
      <c r="S6879" t="s">
        <v>32616</v>
      </c>
      <c r="T6879" t="s">
        <v>33323</v>
      </c>
      <c r="U6879" t="s">
        <v>39387</v>
      </c>
      <c r="W6879" t="s">
        <v>30657</v>
      </c>
      <c r="X6879" t="s">
        <v>32533</v>
      </c>
    </row>
    <row r="6880" spans="1:24">
      <c r="A6880">
        <f>HYPERLINK("https://www.philgeps.gov.ph/GEPSNONPILOT/Tender/SplashBidNoticeAbstractUI.aspx?menuIndex=3&amp;refID=7037543&amp;Result=3","7037543")</f>
        <v>0</v>
      </c>
      <c r="B6880" t="s">
        <v>1609</v>
      </c>
      <c r="C6880" t="s">
        <v>6033</v>
      </c>
      <c r="D6880" t="s">
        <v>13001</v>
      </c>
      <c r="E6880" t="s">
        <v>19141</v>
      </c>
      <c r="F6880" t="s">
        <v>22436</v>
      </c>
      <c r="G6880" t="s">
        <v>22443</v>
      </c>
      <c r="H6880" t="s">
        <v>22452</v>
      </c>
      <c r="I6880" t="s">
        <v>22463</v>
      </c>
      <c r="J6880" t="s">
        <v>27034</v>
      </c>
      <c r="K6880" t="s">
        <v>29338</v>
      </c>
      <c r="M6880" t="s">
        <v>31293</v>
      </c>
      <c r="N6880" t="s">
        <v>32524</v>
      </c>
      <c r="O6880" t="s">
        <v>32525</v>
      </c>
      <c r="P6880">
        <v>0</v>
      </c>
      <c r="Q6880">
        <v>4</v>
      </c>
      <c r="R6880" t="s">
        <v>32532</v>
      </c>
      <c r="S6880" t="s">
        <v>32616</v>
      </c>
      <c r="T6880" t="s">
        <v>33296</v>
      </c>
      <c r="U6880" t="s">
        <v>39388</v>
      </c>
      <c r="W6880" t="s">
        <v>31293</v>
      </c>
      <c r="X6880" t="s">
        <v>32533</v>
      </c>
    </row>
    <row r="6881" spans="1:24">
      <c r="A6881">
        <f>HYPERLINK("https://www.philgeps.gov.ph/GEPSNONPILOT/Tender/SplashBidNoticeAbstractUI.aspx?menuIndex=3&amp;refID=7037536&amp;Result=3","7037536")</f>
        <v>0</v>
      </c>
      <c r="B6881" t="s">
        <v>2098</v>
      </c>
      <c r="C6881" t="s">
        <v>9253</v>
      </c>
      <c r="D6881" t="s">
        <v>13004</v>
      </c>
      <c r="E6881" t="s">
        <v>19142</v>
      </c>
      <c r="F6881" t="s">
        <v>22436</v>
      </c>
      <c r="G6881" t="s">
        <v>22444</v>
      </c>
      <c r="H6881" t="s">
        <v>22452</v>
      </c>
      <c r="I6881" t="s">
        <v>6421</v>
      </c>
      <c r="J6881" t="s">
        <v>27035</v>
      </c>
      <c r="K6881" t="s">
        <v>29341</v>
      </c>
      <c r="M6881" t="s">
        <v>31844</v>
      </c>
      <c r="N6881" t="s">
        <v>32524</v>
      </c>
      <c r="O6881" t="s">
        <v>32525</v>
      </c>
      <c r="P6881">
        <v>0</v>
      </c>
      <c r="Q6881">
        <v>3</v>
      </c>
      <c r="R6881" t="s">
        <v>32532</v>
      </c>
      <c r="S6881" t="s">
        <v>32616</v>
      </c>
      <c r="T6881" t="s">
        <v>33227</v>
      </c>
      <c r="U6881" t="s">
        <v>39389</v>
      </c>
      <c r="W6881" t="s">
        <v>31844</v>
      </c>
      <c r="X6881" t="s">
        <v>32533</v>
      </c>
    </row>
    <row r="6882" spans="1:24">
      <c r="A6882">
        <f>HYPERLINK("https://www.philgeps.gov.ph/GEPSNONPILOT/Tender/SplashBidNoticeAbstractUI.aspx?menuIndex=3&amp;refID=7037552&amp;Result=3","7037552")</f>
        <v>0</v>
      </c>
      <c r="B6882" t="s">
        <v>950</v>
      </c>
      <c r="C6882" t="s">
        <v>9254</v>
      </c>
      <c r="D6882" t="s">
        <v>13010</v>
      </c>
      <c r="E6882" t="s">
        <v>19143</v>
      </c>
      <c r="F6882" t="s">
        <v>22436</v>
      </c>
      <c r="G6882" t="s">
        <v>22444</v>
      </c>
      <c r="H6882" t="s">
        <v>22452</v>
      </c>
      <c r="I6882" t="s">
        <v>3381</v>
      </c>
      <c r="J6882" t="s">
        <v>23356</v>
      </c>
      <c r="K6882" t="s">
        <v>29338</v>
      </c>
      <c r="M6882" t="s">
        <v>30564</v>
      </c>
      <c r="N6882" t="s">
        <v>32524</v>
      </c>
      <c r="O6882" t="s">
        <v>32525</v>
      </c>
      <c r="P6882">
        <v>0</v>
      </c>
      <c r="Q6882">
        <v>2</v>
      </c>
      <c r="R6882" t="s">
        <v>32532</v>
      </c>
      <c r="S6882" t="s">
        <v>32616</v>
      </c>
      <c r="T6882" t="s">
        <v>33242</v>
      </c>
      <c r="U6882" t="s">
        <v>39390</v>
      </c>
      <c r="W6882" t="s">
        <v>30564</v>
      </c>
      <c r="X6882" t="s">
        <v>32533</v>
      </c>
    </row>
    <row r="6883" spans="1:24">
      <c r="A6883">
        <f>HYPERLINK("https://www.philgeps.gov.ph/GEPSNONPILOT/Tender/SplashBidNoticeAbstractUI.aspx?menuIndex=3&amp;refID=7037550&amp;Result=3","7037550")</f>
        <v>0</v>
      </c>
      <c r="B6883" t="s">
        <v>2064</v>
      </c>
      <c r="C6883" t="s">
        <v>9255</v>
      </c>
      <c r="D6883" t="s">
        <v>12988</v>
      </c>
      <c r="E6883" t="s">
        <v>19144</v>
      </c>
      <c r="F6883" t="s">
        <v>22436</v>
      </c>
      <c r="G6883" t="s">
        <v>22443</v>
      </c>
      <c r="H6883" t="s">
        <v>22452</v>
      </c>
      <c r="I6883" t="s">
        <v>22500</v>
      </c>
      <c r="J6883" t="s">
        <v>27036</v>
      </c>
      <c r="K6883" t="s">
        <v>29335</v>
      </c>
      <c r="M6883" t="s">
        <v>31807</v>
      </c>
      <c r="N6883" t="s">
        <v>32524</v>
      </c>
      <c r="O6883" t="s">
        <v>32525</v>
      </c>
      <c r="P6883">
        <v>0</v>
      </c>
      <c r="Q6883">
        <v>9</v>
      </c>
      <c r="R6883" t="s">
        <v>32532</v>
      </c>
      <c r="S6883" t="s">
        <v>32616</v>
      </c>
      <c r="T6883" t="s">
        <v>33419</v>
      </c>
      <c r="U6883" t="s">
        <v>39378</v>
      </c>
      <c r="W6883" t="s">
        <v>31807</v>
      </c>
      <c r="X6883" t="s">
        <v>32533</v>
      </c>
    </row>
    <row r="6884" spans="1:24">
      <c r="A6884">
        <f>HYPERLINK("https://www.philgeps.gov.ph/GEPSNONPILOT/Tender/SplashBidNoticeAbstractUI.aspx?menuIndex=3&amp;refID=7037535&amp;Result=3","7037535")</f>
        <v>0</v>
      </c>
      <c r="B6884" t="s">
        <v>2095</v>
      </c>
      <c r="C6884" t="s">
        <v>9256</v>
      </c>
      <c r="D6884" t="s">
        <v>13011</v>
      </c>
      <c r="E6884" t="s">
        <v>19145</v>
      </c>
      <c r="F6884" t="s">
        <v>22436</v>
      </c>
      <c r="G6884" t="s">
        <v>22443</v>
      </c>
      <c r="H6884" t="s">
        <v>22452</v>
      </c>
      <c r="I6884" t="s">
        <v>2981</v>
      </c>
      <c r="J6884" t="s">
        <v>22874</v>
      </c>
      <c r="K6884" t="s">
        <v>29331</v>
      </c>
      <c r="M6884" t="s">
        <v>31845</v>
      </c>
      <c r="N6884" t="s">
        <v>32524</v>
      </c>
      <c r="O6884" t="s">
        <v>32525</v>
      </c>
      <c r="P6884">
        <v>0</v>
      </c>
      <c r="Q6884">
        <v>2</v>
      </c>
      <c r="R6884" t="s">
        <v>32532</v>
      </c>
      <c r="S6884" t="s">
        <v>32616</v>
      </c>
      <c r="T6884" t="s">
        <v>33154</v>
      </c>
      <c r="U6884" t="s">
        <v>39391</v>
      </c>
      <c r="W6884" t="s">
        <v>43740</v>
      </c>
      <c r="X6884" t="s">
        <v>32533</v>
      </c>
    </row>
    <row r="6885" spans="1:24">
      <c r="A6885">
        <f>HYPERLINK("https://www.philgeps.gov.ph/GEPSNONPILOT/Tender/SplashBidNoticeAbstractUI.aspx?menuIndex=3&amp;refID=7037549&amp;Result=3","7037549")</f>
        <v>0</v>
      </c>
      <c r="B6885" t="s">
        <v>2099</v>
      </c>
      <c r="C6885" t="s">
        <v>9257</v>
      </c>
      <c r="D6885" t="s">
        <v>13059</v>
      </c>
      <c r="E6885" t="s">
        <v>19146</v>
      </c>
      <c r="F6885" t="s">
        <v>22436</v>
      </c>
      <c r="G6885" t="s">
        <v>22444</v>
      </c>
      <c r="H6885" t="s">
        <v>22452</v>
      </c>
      <c r="I6885" t="s">
        <v>22474</v>
      </c>
      <c r="J6885" t="s">
        <v>22779</v>
      </c>
      <c r="K6885" t="s">
        <v>29335</v>
      </c>
      <c r="M6885" t="s">
        <v>31846</v>
      </c>
      <c r="N6885" t="s">
        <v>32524</v>
      </c>
      <c r="O6885" t="s">
        <v>32525</v>
      </c>
      <c r="P6885">
        <v>0</v>
      </c>
      <c r="Q6885">
        <v>0</v>
      </c>
      <c r="R6885" t="s">
        <v>32532</v>
      </c>
      <c r="S6885" t="s">
        <v>32616</v>
      </c>
      <c r="T6885" t="s">
        <v>33242</v>
      </c>
      <c r="U6885" t="s">
        <v>39392</v>
      </c>
      <c r="W6885" t="s">
        <v>31846</v>
      </c>
      <c r="X6885" t="s">
        <v>32533</v>
      </c>
    </row>
    <row r="6886" spans="1:24">
      <c r="A6886">
        <f>HYPERLINK("https://www.philgeps.gov.ph/GEPSNONPILOT/Tender/SplashBidNoticeAbstractUI.aspx?menuIndex=3&amp;refID=7037537&amp;Result=3","7037537")</f>
        <v>0</v>
      </c>
      <c r="B6886" t="s">
        <v>2093</v>
      </c>
      <c r="C6886" t="s">
        <v>9258</v>
      </c>
      <c r="D6886" t="s">
        <v>13025</v>
      </c>
      <c r="E6886" t="s">
        <v>19147</v>
      </c>
      <c r="F6886" t="s">
        <v>22436</v>
      </c>
      <c r="G6886" t="s">
        <v>22444</v>
      </c>
      <c r="H6886" t="s">
        <v>22452</v>
      </c>
      <c r="I6886" t="s">
        <v>22457</v>
      </c>
      <c r="J6886" t="s">
        <v>27037</v>
      </c>
      <c r="K6886" t="s">
        <v>29338</v>
      </c>
      <c r="M6886" t="s">
        <v>31837</v>
      </c>
      <c r="N6886" t="s">
        <v>32524</v>
      </c>
      <c r="O6886" t="s">
        <v>32525</v>
      </c>
      <c r="Q6886">
        <v>2</v>
      </c>
      <c r="R6886" t="s">
        <v>32532</v>
      </c>
      <c r="S6886" t="s">
        <v>32649</v>
      </c>
      <c r="T6886" t="s">
        <v>33249</v>
      </c>
      <c r="U6886" t="s">
        <v>39393</v>
      </c>
      <c r="W6886" t="s">
        <v>31837</v>
      </c>
      <c r="X6886" t="s">
        <v>32533</v>
      </c>
    </row>
    <row r="6887" spans="1:24">
      <c r="A6887">
        <f>HYPERLINK("https://www.philgeps.gov.ph/GEPSNONPILOT/Tender/SplashBidNoticeAbstractUI.aspx?menuIndex=3&amp;refID=7037557&amp;Result=3","7037557")</f>
        <v>0</v>
      </c>
      <c r="B6887" t="s">
        <v>2097</v>
      </c>
      <c r="C6887" t="s">
        <v>9259</v>
      </c>
      <c r="E6887" t="s">
        <v>19148</v>
      </c>
      <c r="F6887" t="s">
        <v>22436</v>
      </c>
      <c r="G6887" t="s">
        <v>22444</v>
      </c>
      <c r="H6887" t="s">
        <v>22454</v>
      </c>
      <c r="I6887" t="s">
        <v>7738</v>
      </c>
      <c r="J6887" t="s">
        <v>27038</v>
      </c>
      <c r="K6887" t="s">
        <v>29338</v>
      </c>
      <c r="M6887" t="s">
        <v>31843</v>
      </c>
      <c r="N6887" t="s">
        <v>32524</v>
      </c>
      <c r="O6887" t="s">
        <v>32525</v>
      </c>
      <c r="Q6887">
        <v>10</v>
      </c>
      <c r="R6887" t="s">
        <v>32532</v>
      </c>
      <c r="S6887" t="s">
        <v>32650</v>
      </c>
      <c r="T6887" t="s">
        <v>33249</v>
      </c>
      <c r="U6887" t="s">
        <v>39394</v>
      </c>
      <c r="W6887" t="s">
        <v>43741</v>
      </c>
      <c r="X6887" t="s">
        <v>32533</v>
      </c>
    </row>
    <row r="6888" spans="1:24">
      <c r="A6888">
        <f>HYPERLINK("https://www.philgeps.gov.ph/GEPSNONPILOT/Tender/SplashBidNoticeAbstractUI.aspx?menuIndex=3&amp;refID=7037582&amp;Result=3","7037582")</f>
        <v>0</v>
      </c>
      <c r="B6888" t="s">
        <v>356</v>
      </c>
      <c r="C6888" t="s">
        <v>9260</v>
      </c>
      <c r="D6888" t="s">
        <v>12993</v>
      </c>
      <c r="E6888" t="s">
        <v>19149</v>
      </c>
      <c r="F6888" t="s">
        <v>22436</v>
      </c>
      <c r="G6888" t="s">
        <v>22444</v>
      </c>
      <c r="H6888" t="s">
        <v>22452</v>
      </c>
      <c r="I6888" t="s">
        <v>22503</v>
      </c>
      <c r="J6888" t="s">
        <v>27039</v>
      </c>
      <c r="K6888" t="s">
        <v>29338</v>
      </c>
      <c r="M6888" t="s">
        <v>30657</v>
      </c>
      <c r="N6888" t="s">
        <v>32524</v>
      </c>
      <c r="O6888" t="s">
        <v>32525</v>
      </c>
      <c r="P6888">
        <v>0</v>
      </c>
      <c r="Q6888">
        <v>1</v>
      </c>
      <c r="R6888" t="s">
        <v>32532</v>
      </c>
      <c r="S6888" t="s">
        <v>32616</v>
      </c>
      <c r="T6888" t="s">
        <v>33323</v>
      </c>
      <c r="U6888" t="s">
        <v>39395</v>
      </c>
      <c r="W6888" t="s">
        <v>30657</v>
      </c>
      <c r="X6888" t="s">
        <v>32533</v>
      </c>
    </row>
    <row r="6889" spans="1:24">
      <c r="A6889">
        <f>HYPERLINK("https://www.philgeps.gov.ph/GEPSNONPILOT/Tender/SplashBidNoticeAbstractUI.aspx?menuIndex=3&amp;refID=7037575&amp;Result=3","7037575")</f>
        <v>0</v>
      </c>
      <c r="B6889" t="s">
        <v>1609</v>
      </c>
      <c r="C6889" t="s">
        <v>6033</v>
      </c>
      <c r="D6889" t="s">
        <v>13001</v>
      </c>
      <c r="E6889" t="s">
        <v>19150</v>
      </c>
      <c r="F6889" t="s">
        <v>22436</v>
      </c>
      <c r="G6889" t="s">
        <v>22443</v>
      </c>
      <c r="H6889" t="s">
        <v>22452</v>
      </c>
      <c r="I6889" t="s">
        <v>22463</v>
      </c>
      <c r="J6889" t="s">
        <v>27040</v>
      </c>
      <c r="K6889" t="s">
        <v>29338</v>
      </c>
      <c r="M6889" t="s">
        <v>31293</v>
      </c>
      <c r="N6889" t="s">
        <v>32524</v>
      </c>
      <c r="O6889" t="s">
        <v>32525</v>
      </c>
      <c r="P6889">
        <v>0</v>
      </c>
      <c r="Q6889">
        <v>6</v>
      </c>
      <c r="R6889" t="s">
        <v>32532</v>
      </c>
      <c r="S6889" t="s">
        <v>32616</v>
      </c>
      <c r="T6889" t="s">
        <v>33296</v>
      </c>
      <c r="U6889" t="s">
        <v>39396</v>
      </c>
      <c r="W6889" t="s">
        <v>31293</v>
      </c>
      <c r="X6889" t="s">
        <v>32533</v>
      </c>
    </row>
    <row r="6890" spans="1:24">
      <c r="A6890">
        <f>HYPERLINK("https://www.philgeps.gov.ph/GEPSNONPILOT/Tender/SplashBidNoticeAbstractUI.aspx?menuIndex=3&amp;refID=7037578&amp;Result=3","7037578")</f>
        <v>0</v>
      </c>
      <c r="B6890" t="s">
        <v>676</v>
      </c>
      <c r="C6890" t="s">
        <v>9261</v>
      </c>
      <c r="D6890" t="s">
        <v>13025</v>
      </c>
      <c r="E6890" t="s">
        <v>19151</v>
      </c>
      <c r="F6890" t="s">
        <v>22436</v>
      </c>
      <c r="G6890" t="s">
        <v>22444</v>
      </c>
      <c r="H6890" t="s">
        <v>22454</v>
      </c>
      <c r="I6890" t="s">
        <v>7738</v>
      </c>
      <c r="J6890" t="s">
        <v>27041</v>
      </c>
      <c r="K6890" t="s">
        <v>29338</v>
      </c>
      <c r="M6890" t="s">
        <v>30270</v>
      </c>
      <c r="N6890" t="s">
        <v>32524</v>
      </c>
      <c r="O6890" t="s">
        <v>32525</v>
      </c>
      <c r="P6890">
        <v>0</v>
      </c>
      <c r="Q6890">
        <v>0</v>
      </c>
      <c r="R6890" t="s">
        <v>32532</v>
      </c>
      <c r="S6890" t="s">
        <v>32616</v>
      </c>
      <c r="T6890" t="s">
        <v>33234</v>
      </c>
      <c r="U6890" t="s">
        <v>39397</v>
      </c>
      <c r="W6890" t="s">
        <v>30270</v>
      </c>
      <c r="X6890" t="s">
        <v>32533</v>
      </c>
    </row>
    <row r="6891" spans="1:24">
      <c r="A6891">
        <f>HYPERLINK("https://www.philgeps.gov.ph/GEPSNONPILOT/Tender/SplashBidNoticeAbstractUI.aspx?menuIndex=3&amp;refID=7037519&amp;Result=3","7037519")</f>
        <v>0</v>
      </c>
      <c r="B6891" t="s">
        <v>326</v>
      </c>
      <c r="C6891" t="s">
        <v>9262</v>
      </c>
      <c r="D6891" t="s">
        <v>13046</v>
      </c>
      <c r="E6891" t="s">
        <v>19152</v>
      </c>
      <c r="F6891" t="s">
        <v>22436</v>
      </c>
      <c r="G6891" t="s">
        <v>22443</v>
      </c>
      <c r="H6891" t="s">
        <v>22452</v>
      </c>
      <c r="I6891" t="s">
        <v>22460</v>
      </c>
      <c r="J6891" t="s">
        <v>26114</v>
      </c>
      <c r="K6891" t="s">
        <v>29341</v>
      </c>
      <c r="M6891" t="s">
        <v>29902</v>
      </c>
      <c r="N6891" t="s">
        <v>32524</v>
      </c>
      <c r="O6891" t="s">
        <v>32525</v>
      </c>
      <c r="P6891">
        <v>0</v>
      </c>
      <c r="Q6891">
        <v>3</v>
      </c>
      <c r="R6891" t="s">
        <v>32532</v>
      </c>
      <c r="S6891" t="s">
        <v>32616</v>
      </c>
      <c r="T6891" t="s">
        <v>33296</v>
      </c>
      <c r="U6891" t="s">
        <v>39398</v>
      </c>
      <c r="W6891" t="s">
        <v>29902</v>
      </c>
      <c r="X6891" t="s">
        <v>32533</v>
      </c>
    </row>
    <row r="6892" spans="1:24">
      <c r="A6892">
        <f>HYPERLINK("https://www.philgeps.gov.ph/GEPSNONPILOT/Tender/SplashBidNoticeAbstractUI.aspx?menuIndex=3&amp;refID=7037570&amp;Result=3","7037570")</f>
        <v>0</v>
      </c>
      <c r="B6892" t="s">
        <v>299</v>
      </c>
      <c r="C6892" t="s">
        <v>9263</v>
      </c>
      <c r="D6892" t="s">
        <v>13026</v>
      </c>
      <c r="E6892" t="s">
        <v>19153</v>
      </c>
      <c r="F6892" t="s">
        <v>22436</v>
      </c>
      <c r="G6892" t="s">
        <v>22444</v>
      </c>
      <c r="H6892" t="s">
        <v>22454</v>
      </c>
      <c r="I6892" t="s">
        <v>7738</v>
      </c>
      <c r="J6892" t="s">
        <v>22893</v>
      </c>
      <c r="K6892" t="s">
        <v>29337</v>
      </c>
      <c r="M6892" t="s">
        <v>31847</v>
      </c>
      <c r="N6892" t="s">
        <v>32524</v>
      </c>
      <c r="O6892" t="s">
        <v>32525</v>
      </c>
      <c r="P6892">
        <v>0</v>
      </c>
      <c r="Q6892">
        <v>0</v>
      </c>
      <c r="R6892" t="s">
        <v>32532</v>
      </c>
      <c r="S6892" t="s">
        <v>32616</v>
      </c>
      <c r="T6892" t="s">
        <v>33218</v>
      </c>
      <c r="U6892" t="s">
        <v>39399</v>
      </c>
      <c r="W6892" t="s">
        <v>29873</v>
      </c>
      <c r="X6892" t="s">
        <v>32533</v>
      </c>
    </row>
    <row r="6893" spans="1:24">
      <c r="A6893">
        <f>HYPERLINK("https://www.philgeps.gov.ph/GEPSNONPILOT/Tender/SplashBidNoticeAbstractUI.aspx?menuIndex=3&amp;refID=7037583&amp;Result=3","7037583")</f>
        <v>0</v>
      </c>
      <c r="B6893" t="s">
        <v>1015</v>
      </c>
      <c r="C6893" t="s">
        <v>9264</v>
      </c>
      <c r="E6893" t="s">
        <v>19154</v>
      </c>
      <c r="F6893" t="s">
        <v>22436</v>
      </c>
      <c r="G6893" t="s">
        <v>22443</v>
      </c>
      <c r="H6893" t="s">
        <v>22452</v>
      </c>
      <c r="I6893" t="s">
        <v>2981</v>
      </c>
      <c r="J6893" t="s">
        <v>27042</v>
      </c>
      <c r="K6893" t="s">
        <v>29338</v>
      </c>
      <c r="M6893" t="s">
        <v>31848</v>
      </c>
      <c r="N6893" t="s">
        <v>32524</v>
      </c>
      <c r="O6893" t="s">
        <v>32525</v>
      </c>
      <c r="P6893">
        <v>0</v>
      </c>
      <c r="Q6893">
        <v>1</v>
      </c>
      <c r="R6893" t="s">
        <v>32532</v>
      </c>
      <c r="S6893" t="s">
        <v>32616</v>
      </c>
      <c r="T6893" t="s">
        <v>33178</v>
      </c>
      <c r="U6893" t="s">
        <v>39400</v>
      </c>
      <c r="W6893" t="s">
        <v>31848</v>
      </c>
      <c r="X6893" t="s">
        <v>32533</v>
      </c>
    </row>
    <row r="6894" spans="1:24">
      <c r="A6894">
        <f>HYPERLINK("https://www.philgeps.gov.ph/GEPSNONPILOT/Tender/SplashBidNoticeAbstractUI.aspx?menuIndex=3&amp;refID=7037574&amp;Result=3","7037574")</f>
        <v>0</v>
      </c>
      <c r="B6894" t="s">
        <v>1737</v>
      </c>
      <c r="C6894" t="s">
        <v>9265</v>
      </c>
      <c r="D6894" t="s">
        <v>13018</v>
      </c>
      <c r="E6894" t="s">
        <v>19155</v>
      </c>
      <c r="F6894" t="s">
        <v>22436</v>
      </c>
      <c r="G6894" t="s">
        <v>22444</v>
      </c>
      <c r="H6894" t="s">
        <v>22452</v>
      </c>
      <c r="I6894" t="s">
        <v>22510</v>
      </c>
      <c r="J6894" t="s">
        <v>27043</v>
      </c>
      <c r="K6894" t="s">
        <v>29341</v>
      </c>
      <c r="M6894" t="s">
        <v>31442</v>
      </c>
      <c r="N6894" t="s">
        <v>32524</v>
      </c>
      <c r="O6894" t="s">
        <v>32525</v>
      </c>
      <c r="P6894">
        <v>0</v>
      </c>
      <c r="Q6894">
        <v>0</v>
      </c>
      <c r="R6894" t="s">
        <v>32532</v>
      </c>
      <c r="S6894" t="s">
        <v>32616</v>
      </c>
      <c r="T6894" t="s">
        <v>33213</v>
      </c>
      <c r="U6894" t="s">
        <v>39401</v>
      </c>
      <c r="W6894" t="s">
        <v>31442</v>
      </c>
      <c r="X6894" t="s">
        <v>32533</v>
      </c>
    </row>
    <row r="6895" spans="1:24">
      <c r="A6895">
        <f>HYPERLINK("https://www.philgeps.gov.ph/GEPSNONPILOT/Tender/SplashBidNoticeAbstractUI.aspx?menuIndex=3&amp;refID=7037561&amp;Result=3","7037561")</f>
        <v>0</v>
      </c>
      <c r="B6895" t="s">
        <v>2092</v>
      </c>
      <c r="C6895" t="s">
        <v>9266</v>
      </c>
      <c r="D6895" t="s">
        <v>13032</v>
      </c>
      <c r="E6895" t="s">
        <v>19156</v>
      </c>
      <c r="F6895" t="s">
        <v>22436</v>
      </c>
      <c r="G6895" t="s">
        <v>22444</v>
      </c>
      <c r="H6895" t="s">
        <v>22452</v>
      </c>
      <c r="I6895" t="s">
        <v>22474</v>
      </c>
      <c r="J6895" t="s">
        <v>22669</v>
      </c>
      <c r="K6895" t="s">
        <v>29338</v>
      </c>
      <c r="M6895" t="s">
        <v>31836</v>
      </c>
      <c r="N6895" t="s">
        <v>32524</v>
      </c>
      <c r="O6895" t="s">
        <v>32525</v>
      </c>
      <c r="P6895">
        <v>0</v>
      </c>
      <c r="Q6895">
        <v>4</v>
      </c>
      <c r="R6895" t="s">
        <v>32532</v>
      </c>
      <c r="S6895" t="s">
        <v>32616</v>
      </c>
      <c r="T6895" t="s">
        <v>33242</v>
      </c>
      <c r="U6895" t="s">
        <v>39353</v>
      </c>
      <c r="W6895" t="s">
        <v>31836</v>
      </c>
      <c r="X6895" t="s">
        <v>32533</v>
      </c>
    </row>
    <row r="6896" spans="1:24">
      <c r="A6896">
        <f>HYPERLINK("https://www.philgeps.gov.ph/GEPSNONPILOT/Tender/SplashBidNoticeAbstractUI.aspx?menuIndex=3&amp;refID=7037530&amp;Result=3","7037530")</f>
        <v>0</v>
      </c>
      <c r="B6896" t="s">
        <v>2100</v>
      </c>
      <c r="C6896" t="s">
        <v>9267</v>
      </c>
      <c r="D6896" t="s">
        <v>12999</v>
      </c>
      <c r="E6896" t="s">
        <v>18767</v>
      </c>
      <c r="F6896" t="s">
        <v>22436</v>
      </c>
      <c r="G6896" t="s">
        <v>22444</v>
      </c>
      <c r="H6896" t="s">
        <v>22454</v>
      </c>
      <c r="I6896" t="s">
        <v>7738</v>
      </c>
      <c r="J6896" t="s">
        <v>27044</v>
      </c>
      <c r="K6896" t="s">
        <v>29334</v>
      </c>
      <c r="M6896" t="s">
        <v>31849</v>
      </c>
      <c r="N6896" t="s">
        <v>32524</v>
      </c>
      <c r="O6896" t="s">
        <v>32525</v>
      </c>
      <c r="P6896">
        <v>0</v>
      </c>
      <c r="Q6896">
        <v>0</v>
      </c>
      <c r="R6896" t="s">
        <v>32532</v>
      </c>
      <c r="S6896" t="s">
        <v>32616</v>
      </c>
      <c r="T6896" t="s">
        <v>33253</v>
      </c>
      <c r="U6896" t="s">
        <v>39402</v>
      </c>
      <c r="W6896" t="s">
        <v>31849</v>
      </c>
      <c r="X6896" t="s">
        <v>32533</v>
      </c>
    </row>
    <row r="6897" spans="1:24">
      <c r="A6897">
        <f>HYPERLINK("https://www.philgeps.gov.ph/GEPSNONPILOT/Tender/SplashBidNoticeAbstractUI.aspx?menuIndex=3&amp;refID=7037559&amp;Result=3","7037559")</f>
        <v>0</v>
      </c>
      <c r="B6897" t="s">
        <v>992</v>
      </c>
      <c r="C6897" t="s">
        <v>9268</v>
      </c>
      <c r="D6897" t="s">
        <v>13024</v>
      </c>
      <c r="E6897" t="s">
        <v>19157</v>
      </c>
      <c r="F6897" t="s">
        <v>22436</v>
      </c>
      <c r="G6897" t="s">
        <v>22444</v>
      </c>
      <c r="H6897" t="s">
        <v>22452</v>
      </c>
      <c r="I6897" t="s">
        <v>22482</v>
      </c>
      <c r="J6897" t="s">
        <v>25310</v>
      </c>
      <c r="K6897" t="s">
        <v>29434</v>
      </c>
      <c r="M6897" t="s">
        <v>30616</v>
      </c>
      <c r="N6897" t="s">
        <v>32524</v>
      </c>
      <c r="O6897" t="s">
        <v>32525</v>
      </c>
      <c r="P6897">
        <v>0</v>
      </c>
      <c r="Q6897">
        <v>4</v>
      </c>
      <c r="R6897" t="s">
        <v>32532</v>
      </c>
      <c r="S6897" t="s">
        <v>32616</v>
      </c>
      <c r="T6897" t="s">
        <v>33238</v>
      </c>
      <c r="U6897" t="s">
        <v>39403</v>
      </c>
      <c r="V6897" t="s">
        <v>42679</v>
      </c>
      <c r="W6897" t="s">
        <v>30616</v>
      </c>
      <c r="X6897" t="s">
        <v>32533</v>
      </c>
    </row>
    <row r="6898" spans="1:24">
      <c r="A6898">
        <f>HYPERLINK("https://www.philgeps.gov.ph/GEPSNONPILOT/Tender/SplashBidNoticeAbstractUI.aspx?menuIndex=3&amp;refID=7037585&amp;Result=3","7037585")</f>
        <v>0</v>
      </c>
      <c r="B6898" t="s">
        <v>621</v>
      </c>
      <c r="C6898" t="s">
        <v>9269</v>
      </c>
      <c r="D6898" t="s">
        <v>12988</v>
      </c>
      <c r="E6898" t="s">
        <v>19158</v>
      </c>
      <c r="F6898" t="s">
        <v>22436</v>
      </c>
      <c r="G6898" t="s">
        <v>22443</v>
      </c>
      <c r="H6898" t="s">
        <v>22452</v>
      </c>
      <c r="I6898" t="s">
        <v>22554</v>
      </c>
      <c r="J6898" t="s">
        <v>27045</v>
      </c>
      <c r="K6898" t="s">
        <v>29337</v>
      </c>
      <c r="M6898" t="s">
        <v>30211</v>
      </c>
      <c r="N6898" t="s">
        <v>32524</v>
      </c>
      <c r="O6898" t="s">
        <v>32525</v>
      </c>
      <c r="P6898">
        <v>0</v>
      </c>
      <c r="Q6898">
        <v>8</v>
      </c>
      <c r="R6898" t="s">
        <v>32532</v>
      </c>
      <c r="S6898" t="s">
        <v>32616</v>
      </c>
      <c r="T6898" t="s">
        <v>33180</v>
      </c>
      <c r="U6898" t="s">
        <v>39404</v>
      </c>
      <c r="W6898" t="s">
        <v>30211</v>
      </c>
      <c r="X6898" t="s">
        <v>32533</v>
      </c>
    </row>
    <row r="6899" spans="1:24">
      <c r="A6899">
        <f>HYPERLINK("https://www.philgeps.gov.ph/GEPSNONPILOT/Tender/SplashBidNoticeAbstractUI.aspx?menuIndex=3&amp;refID=7037605&amp;Result=3","7037605")</f>
        <v>0</v>
      </c>
      <c r="B6899" t="s">
        <v>1022</v>
      </c>
      <c r="C6899" t="s">
        <v>9270</v>
      </c>
      <c r="D6899" t="s">
        <v>13006</v>
      </c>
      <c r="E6899" t="s">
        <v>19159</v>
      </c>
      <c r="F6899" t="s">
        <v>22436</v>
      </c>
      <c r="G6899" t="s">
        <v>22444</v>
      </c>
      <c r="H6899" t="s">
        <v>22452</v>
      </c>
      <c r="I6899" t="s">
        <v>5194</v>
      </c>
      <c r="J6899" t="s">
        <v>27046</v>
      </c>
      <c r="K6899" t="s">
        <v>29341</v>
      </c>
      <c r="M6899" t="s">
        <v>30650</v>
      </c>
      <c r="N6899" t="s">
        <v>32524</v>
      </c>
      <c r="O6899" t="s">
        <v>32525</v>
      </c>
      <c r="P6899">
        <v>0</v>
      </c>
      <c r="Q6899">
        <v>6</v>
      </c>
      <c r="R6899" t="s">
        <v>32532</v>
      </c>
      <c r="S6899" t="s">
        <v>32616</v>
      </c>
      <c r="T6899" t="s">
        <v>33296</v>
      </c>
      <c r="U6899" t="s">
        <v>39405</v>
      </c>
      <c r="V6899" t="s">
        <v>43177</v>
      </c>
      <c r="W6899" t="s">
        <v>30650</v>
      </c>
      <c r="X6899" t="s">
        <v>32533</v>
      </c>
    </row>
    <row r="6900" spans="1:24">
      <c r="A6900">
        <f>HYPERLINK("https://www.philgeps.gov.ph/GEPSNONPILOT/Tender/SplashBidNoticeAbstractUI.aspx?menuIndex=3&amp;refID=7037597&amp;Result=3","7037597")</f>
        <v>0</v>
      </c>
      <c r="B6900" t="s">
        <v>799</v>
      </c>
      <c r="C6900" t="s">
        <v>9271</v>
      </c>
      <c r="D6900" t="s">
        <v>12988</v>
      </c>
      <c r="E6900" t="s">
        <v>19160</v>
      </c>
      <c r="F6900" t="s">
        <v>22436</v>
      </c>
      <c r="G6900" t="s">
        <v>22445</v>
      </c>
      <c r="H6900" t="s">
        <v>22452</v>
      </c>
      <c r="I6900" t="s">
        <v>3827</v>
      </c>
      <c r="J6900" t="s">
        <v>22937</v>
      </c>
      <c r="K6900" t="s">
        <v>29341</v>
      </c>
      <c r="M6900" t="s">
        <v>30864</v>
      </c>
      <c r="N6900" t="s">
        <v>32524</v>
      </c>
      <c r="O6900" t="s">
        <v>32525</v>
      </c>
      <c r="Q6900">
        <v>15</v>
      </c>
      <c r="R6900" t="s">
        <v>32532</v>
      </c>
      <c r="S6900" t="s">
        <v>32651</v>
      </c>
      <c r="T6900" t="s">
        <v>33180</v>
      </c>
      <c r="U6900" t="s">
        <v>36535</v>
      </c>
      <c r="V6900" t="s">
        <v>42760</v>
      </c>
      <c r="W6900" t="s">
        <v>30864</v>
      </c>
      <c r="X6900" t="s">
        <v>32533</v>
      </c>
    </row>
    <row r="6901" spans="1:24">
      <c r="A6901">
        <f>HYPERLINK("https://www.philgeps.gov.ph/GEPSNONPILOT/Tender/SplashBidNoticeAbstractUI.aspx?menuIndex=3&amp;refID=7037594&amp;Result=3","7037594")</f>
        <v>0</v>
      </c>
      <c r="B6901" t="s">
        <v>2101</v>
      </c>
      <c r="C6901" t="s">
        <v>9272</v>
      </c>
      <c r="D6901" t="s">
        <v>12990</v>
      </c>
      <c r="E6901" t="s">
        <v>19161</v>
      </c>
      <c r="F6901" t="s">
        <v>22436</v>
      </c>
      <c r="G6901" t="s">
        <v>22444</v>
      </c>
      <c r="H6901" t="s">
        <v>22452</v>
      </c>
      <c r="I6901" t="s">
        <v>22456</v>
      </c>
      <c r="J6901" t="s">
        <v>27047</v>
      </c>
      <c r="K6901" t="s">
        <v>29335</v>
      </c>
      <c r="M6901" t="s">
        <v>31850</v>
      </c>
      <c r="N6901" t="s">
        <v>32524</v>
      </c>
      <c r="O6901" t="s">
        <v>32525</v>
      </c>
      <c r="P6901">
        <v>0</v>
      </c>
      <c r="Q6901">
        <v>2</v>
      </c>
      <c r="R6901" t="s">
        <v>32532</v>
      </c>
      <c r="S6901" t="s">
        <v>32616</v>
      </c>
      <c r="T6901" t="s">
        <v>33220</v>
      </c>
      <c r="U6901" t="s">
        <v>39406</v>
      </c>
      <c r="W6901" t="s">
        <v>31850</v>
      </c>
      <c r="X6901" t="s">
        <v>32533</v>
      </c>
    </row>
    <row r="6902" spans="1:24">
      <c r="A6902">
        <f>HYPERLINK("https://www.philgeps.gov.ph/GEPSNONPILOT/Tender/SplashBidNoticeAbstractUI.aspx?menuIndex=3&amp;refID=7037599&amp;Result=3","7037599")</f>
        <v>0</v>
      </c>
      <c r="B6902" t="s">
        <v>2102</v>
      </c>
      <c r="C6902" t="s">
        <v>5614</v>
      </c>
      <c r="D6902" t="s">
        <v>13035</v>
      </c>
      <c r="E6902" t="s">
        <v>19162</v>
      </c>
      <c r="F6902" t="s">
        <v>22436</v>
      </c>
      <c r="G6902" t="s">
        <v>22444</v>
      </c>
      <c r="H6902" t="s">
        <v>22452</v>
      </c>
      <c r="I6902" t="s">
        <v>22471</v>
      </c>
      <c r="J6902" t="s">
        <v>27048</v>
      </c>
      <c r="K6902" t="s">
        <v>29331</v>
      </c>
      <c r="M6902" t="s">
        <v>31851</v>
      </c>
      <c r="N6902" t="s">
        <v>32524</v>
      </c>
      <c r="O6902" t="s">
        <v>32525</v>
      </c>
      <c r="P6902">
        <v>0</v>
      </c>
      <c r="Q6902">
        <v>1</v>
      </c>
      <c r="R6902" t="s">
        <v>32532</v>
      </c>
      <c r="S6902" t="s">
        <v>32616</v>
      </c>
      <c r="T6902" t="s">
        <v>33215</v>
      </c>
      <c r="U6902" t="s">
        <v>39407</v>
      </c>
      <c r="V6902" t="s">
        <v>43178</v>
      </c>
      <c r="W6902" t="s">
        <v>31851</v>
      </c>
      <c r="X6902" t="s">
        <v>32533</v>
      </c>
    </row>
    <row r="6903" spans="1:24">
      <c r="A6903">
        <f>HYPERLINK("https://www.philgeps.gov.ph/GEPSNONPILOT/Tender/SplashBidNoticeAbstractUI.aspx?menuIndex=3&amp;refID=7037592&amp;Result=3","7037592")</f>
        <v>0</v>
      </c>
      <c r="B6903" t="s">
        <v>1471</v>
      </c>
      <c r="C6903" t="s">
        <v>9273</v>
      </c>
      <c r="D6903" t="s">
        <v>13039</v>
      </c>
      <c r="E6903" t="s">
        <v>19163</v>
      </c>
      <c r="F6903" t="s">
        <v>22436</v>
      </c>
      <c r="G6903" t="s">
        <v>22444</v>
      </c>
      <c r="H6903" t="s">
        <v>22452</v>
      </c>
      <c r="I6903" t="s">
        <v>5194</v>
      </c>
      <c r="J6903" t="s">
        <v>27049</v>
      </c>
      <c r="K6903" t="s">
        <v>29341</v>
      </c>
      <c r="M6903" t="s">
        <v>31140</v>
      </c>
      <c r="N6903" t="s">
        <v>32524</v>
      </c>
      <c r="O6903" t="s">
        <v>32525</v>
      </c>
      <c r="P6903">
        <v>0</v>
      </c>
      <c r="Q6903">
        <v>1</v>
      </c>
      <c r="R6903" t="s">
        <v>32532</v>
      </c>
      <c r="S6903" t="s">
        <v>32616</v>
      </c>
      <c r="T6903" t="s">
        <v>33464</v>
      </c>
      <c r="U6903" t="s">
        <v>39408</v>
      </c>
      <c r="W6903" t="s">
        <v>31140</v>
      </c>
      <c r="X6903" t="s">
        <v>32533</v>
      </c>
    </row>
    <row r="6904" spans="1:24">
      <c r="A6904">
        <f>HYPERLINK("https://www.philgeps.gov.ph/GEPSNONPILOT/Tender/SplashBidNoticeAbstractUI.aspx?menuIndex=3&amp;refID=7037611&amp;Result=3","7037611")</f>
        <v>0</v>
      </c>
      <c r="B6904" t="s">
        <v>950</v>
      </c>
      <c r="C6904" t="s">
        <v>9274</v>
      </c>
      <c r="D6904" t="s">
        <v>13010</v>
      </c>
      <c r="E6904" t="s">
        <v>19164</v>
      </c>
      <c r="F6904" t="s">
        <v>22436</v>
      </c>
      <c r="G6904" t="s">
        <v>22444</v>
      </c>
      <c r="H6904" t="s">
        <v>22452</v>
      </c>
      <c r="I6904" t="s">
        <v>22482</v>
      </c>
      <c r="J6904" t="s">
        <v>23365</v>
      </c>
      <c r="K6904" t="s">
        <v>29338</v>
      </c>
      <c r="M6904" t="s">
        <v>30564</v>
      </c>
      <c r="N6904" t="s">
        <v>32524</v>
      </c>
      <c r="O6904" t="s">
        <v>32525</v>
      </c>
      <c r="P6904">
        <v>0</v>
      </c>
      <c r="Q6904">
        <v>5</v>
      </c>
      <c r="R6904" t="s">
        <v>32532</v>
      </c>
      <c r="S6904" t="s">
        <v>32616</v>
      </c>
      <c r="T6904" t="s">
        <v>33234</v>
      </c>
      <c r="U6904" t="s">
        <v>39409</v>
      </c>
      <c r="W6904" t="s">
        <v>30564</v>
      </c>
      <c r="X6904" t="s">
        <v>32533</v>
      </c>
    </row>
    <row r="6905" spans="1:24">
      <c r="A6905">
        <f>HYPERLINK("https://www.philgeps.gov.ph/GEPSNONPILOT/Tender/SplashBidNoticeAbstractUI.aspx?menuIndex=3&amp;refID=7037603&amp;Result=3","7037603")</f>
        <v>0</v>
      </c>
      <c r="B6905" t="s">
        <v>2103</v>
      </c>
      <c r="C6905" t="s">
        <v>9275</v>
      </c>
      <c r="D6905" t="s">
        <v>12988</v>
      </c>
      <c r="E6905" t="s">
        <v>19165</v>
      </c>
      <c r="F6905" t="s">
        <v>22436</v>
      </c>
      <c r="G6905" t="s">
        <v>22444</v>
      </c>
      <c r="H6905" t="s">
        <v>22452</v>
      </c>
      <c r="I6905" t="s">
        <v>22474</v>
      </c>
      <c r="J6905" t="s">
        <v>23226</v>
      </c>
      <c r="K6905" t="s">
        <v>29331</v>
      </c>
      <c r="M6905" t="s">
        <v>31852</v>
      </c>
      <c r="N6905" t="s">
        <v>32524</v>
      </c>
      <c r="O6905" t="s">
        <v>32525</v>
      </c>
      <c r="P6905">
        <v>0</v>
      </c>
      <c r="Q6905">
        <v>3</v>
      </c>
      <c r="R6905" t="s">
        <v>32532</v>
      </c>
      <c r="S6905" t="s">
        <v>32616</v>
      </c>
      <c r="T6905" t="s">
        <v>33296</v>
      </c>
      <c r="U6905" t="s">
        <v>39410</v>
      </c>
      <c r="W6905" t="s">
        <v>31852</v>
      </c>
      <c r="X6905" t="s">
        <v>32533</v>
      </c>
    </row>
    <row r="6906" spans="1:24">
      <c r="A6906">
        <f>HYPERLINK("https://www.philgeps.gov.ph/GEPSNONPILOT/Tender/SplashBidNoticeAbstractUI.aspx?menuIndex=3&amp;refID=7037627&amp;Result=3","7037627")</f>
        <v>0</v>
      </c>
      <c r="B6906" t="s">
        <v>998</v>
      </c>
      <c r="C6906" t="s">
        <v>9276</v>
      </c>
      <c r="D6906" t="s">
        <v>13068</v>
      </c>
      <c r="E6906" t="s">
        <v>19166</v>
      </c>
      <c r="F6906" t="s">
        <v>22436</v>
      </c>
      <c r="G6906" t="s">
        <v>22445</v>
      </c>
      <c r="H6906" t="s">
        <v>22452</v>
      </c>
      <c r="I6906" t="s">
        <v>22524</v>
      </c>
      <c r="J6906" t="s">
        <v>22616</v>
      </c>
      <c r="K6906" t="s">
        <v>29335</v>
      </c>
      <c r="M6906" t="s">
        <v>30624</v>
      </c>
      <c r="N6906" t="s">
        <v>32524</v>
      </c>
      <c r="O6906" t="s">
        <v>32525</v>
      </c>
      <c r="P6906">
        <v>0</v>
      </c>
      <c r="Q6906">
        <v>3</v>
      </c>
      <c r="R6906" t="s">
        <v>32532</v>
      </c>
      <c r="S6906" t="s">
        <v>32616</v>
      </c>
      <c r="T6906" t="s">
        <v>33209</v>
      </c>
      <c r="U6906" t="s">
        <v>39411</v>
      </c>
      <c r="V6906" t="s">
        <v>43179</v>
      </c>
      <c r="W6906" t="s">
        <v>30624</v>
      </c>
      <c r="X6906" t="s">
        <v>32533</v>
      </c>
    </row>
    <row r="6907" spans="1:24">
      <c r="A6907">
        <f>HYPERLINK("https://www.philgeps.gov.ph/GEPSNONPILOT/Tender/SplashBidNoticeAbstractUI.aspx?menuIndex=3&amp;refID=7037591&amp;Result=3","7037591")</f>
        <v>0</v>
      </c>
      <c r="B6907" t="s">
        <v>131</v>
      </c>
      <c r="C6907" t="s">
        <v>9277</v>
      </c>
      <c r="D6907" t="s">
        <v>13032</v>
      </c>
      <c r="E6907" t="s">
        <v>19167</v>
      </c>
      <c r="F6907" t="s">
        <v>22436</v>
      </c>
      <c r="G6907" t="s">
        <v>22444</v>
      </c>
      <c r="H6907" t="s">
        <v>22454</v>
      </c>
      <c r="I6907" t="s">
        <v>7738</v>
      </c>
      <c r="J6907" t="s">
        <v>27050</v>
      </c>
      <c r="K6907" t="s">
        <v>29338</v>
      </c>
      <c r="M6907" t="s">
        <v>29703</v>
      </c>
      <c r="N6907" t="s">
        <v>32524</v>
      </c>
      <c r="O6907" t="s">
        <v>32525</v>
      </c>
      <c r="P6907">
        <v>0</v>
      </c>
      <c r="Q6907">
        <v>2</v>
      </c>
      <c r="R6907" t="s">
        <v>32532</v>
      </c>
      <c r="S6907" t="s">
        <v>32616</v>
      </c>
      <c r="T6907" t="s">
        <v>33234</v>
      </c>
      <c r="U6907" t="s">
        <v>39412</v>
      </c>
      <c r="V6907" t="s">
        <v>42461</v>
      </c>
      <c r="W6907" t="s">
        <v>29703</v>
      </c>
      <c r="X6907" t="s">
        <v>32533</v>
      </c>
    </row>
    <row r="6908" spans="1:24">
      <c r="A6908">
        <f>HYPERLINK("https://www.philgeps.gov.ph/GEPSNONPILOT/Tender/SplashBidNoticeAbstractUI.aspx?menuIndex=3&amp;refID=7037600&amp;Result=3","7037600")</f>
        <v>0</v>
      </c>
      <c r="B6908" t="s">
        <v>466</v>
      </c>
      <c r="C6908" t="s">
        <v>9278</v>
      </c>
      <c r="D6908" t="s">
        <v>13045</v>
      </c>
      <c r="E6908" t="s">
        <v>19168</v>
      </c>
      <c r="F6908" t="s">
        <v>22436</v>
      </c>
      <c r="G6908" t="s">
        <v>22444</v>
      </c>
      <c r="H6908" t="s">
        <v>22452</v>
      </c>
      <c r="I6908" t="s">
        <v>22465</v>
      </c>
      <c r="J6908" t="s">
        <v>27051</v>
      </c>
      <c r="K6908" t="s">
        <v>29338</v>
      </c>
      <c r="M6908" t="s">
        <v>30321</v>
      </c>
      <c r="N6908" t="s">
        <v>32524</v>
      </c>
      <c r="O6908" t="s">
        <v>32525</v>
      </c>
      <c r="P6908">
        <v>0</v>
      </c>
      <c r="Q6908">
        <v>4</v>
      </c>
      <c r="R6908" t="s">
        <v>32532</v>
      </c>
      <c r="S6908" t="s">
        <v>32616</v>
      </c>
      <c r="T6908" t="s">
        <v>33310</v>
      </c>
      <c r="U6908" t="s">
        <v>39413</v>
      </c>
      <c r="V6908" t="s">
        <v>43086</v>
      </c>
      <c r="W6908" t="s">
        <v>30321</v>
      </c>
      <c r="X6908" t="s">
        <v>32533</v>
      </c>
    </row>
    <row r="6909" spans="1:24">
      <c r="A6909">
        <f>HYPERLINK("https://www.philgeps.gov.ph/GEPSNONPILOT/Tender/SplashBidNoticeAbstractUI.aspx?menuIndex=3&amp;refID=7037626&amp;Result=3","7037626")</f>
        <v>0</v>
      </c>
      <c r="B6909" t="s">
        <v>356</v>
      </c>
      <c r="C6909" t="s">
        <v>9279</v>
      </c>
      <c r="D6909" t="s">
        <v>12993</v>
      </c>
      <c r="E6909" t="s">
        <v>19169</v>
      </c>
      <c r="F6909" t="s">
        <v>22436</v>
      </c>
      <c r="G6909" t="s">
        <v>22444</v>
      </c>
      <c r="H6909" t="s">
        <v>22452</v>
      </c>
      <c r="I6909" t="s">
        <v>22495</v>
      </c>
      <c r="J6909" t="s">
        <v>27052</v>
      </c>
      <c r="K6909" t="s">
        <v>29338</v>
      </c>
      <c r="M6909" t="s">
        <v>30657</v>
      </c>
      <c r="N6909" t="s">
        <v>32524</v>
      </c>
      <c r="O6909" t="s">
        <v>32525</v>
      </c>
      <c r="P6909">
        <v>0</v>
      </c>
      <c r="Q6909">
        <v>4</v>
      </c>
      <c r="R6909" t="s">
        <v>32532</v>
      </c>
      <c r="S6909" t="s">
        <v>32616</v>
      </c>
      <c r="T6909" t="s">
        <v>33323</v>
      </c>
      <c r="U6909" t="s">
        <v>39414</v>
      </c>
      <c r="W6909" t="s">
        <v>30657</v>
      </c>
      <c r="X6909" t="s">
        <v>32533</v>
      </c>
    </row>
    <row r="6910" spans="1:24">
      <c r="A6910">
        <f>HYPERLINK("https://www.philgeps.gov.ph/GEPSNONPILOT/Tender/SplashBidNoticeAbstractUI.aspx?menuIndex=3&amp;refID=7037629&amp;Result=3","7037629")</f>
        <v>0</v>
      </c>
      <c r="B6910" t="s">
        <v>1338</v>
      </c>
      <c r="C6910" t="s">
        <v>9280</v>
      </c>
      <c r="D6910" t="s">
        <v>13046</v>
      </c>
      <c r="E6910" t="s">
        <v>19170</v>
      </c>
      <c r="F6910" t="s">
        <v>22436</v>
      </c>
      <c r="G6910" t="s">
        <v>22444</v>
      </c>
      <c r="H6910" t="s">
        <v>22455</v>
      </c>
      <c r="I6910" t="s">
        <v>22455</v>
      </c>
      <c r="J6910" t="s">
        <v>27053</v>
      </c>
      <c r="K6910" t="s">
        <v>29333</v>
      </c>
      <c r="M6910" t="s">
        <v>31153</v>
      </c>
      <c r="N6910" t="s">
        <v>32524</v>
      </c>
      <c r="O6910" t="s">
        <v>32525</v>
      </c>
      <c r="P6910">
        <v>0</v>
      </c>
      <c r="Q6910">
        <v>3</v>
      </c>
      <c r="R6910" t="s">
        <v>32532</v>
      </c>
      <c r="S6910" t="s">
        <v>32616</v>
      </c>
      <c r="T6910" t="s">
        <v>33296</v>
      </c>
      <c r="U6910" t="s">
        <v>39415</v>
      </c>
      <c r="W6910" t="s">
        <v>31153</v>
      </c>
      <c r="X6910" t="s">
        <v>32533</v>
      </c>
    </row>
    <row r="6911" spans="1:24">
      <c r="A6911">
        <f>HYPERLINK("https://www.philgeps.gov.ph/GEPSNONPILOT/Tender/SplashBidNoticeAbstractUI.aspx?menuIndex=3&amp;refID=7037607&amp;Result=3","7037607")</f>
        <v>0</v>
      </c>
      <c r="B6911" t="s">
        <v>1609</v>
      </c>
      <c r="C6911" t="s">
        <v>6033</v>
      </c>
      <c r="D6911" t="s">
        <v>13001</v>
      </c>
      <c r="E6911" t="s">
        <v>19171</v>
      </c>
      <c r="F6911" t="s">
        <v>22436</v>
      </c>
      <c r="G6911" t="s">
        <v>22443</v>
      </c>
      <c r="H6911" t="s">
        <v>22452</v>
      </c>
      <c r="I6911" t="s">
        <v>22463</v>
      </c>
      <c r="J6911" t="s">
        <v>22874</v>
      </c>
      <c r="K6911" t="s">
        <v>29338</v>
      </c>
      <c r="M6911" t="s">
        <v>31293</v>
      </c>
      <c r="N6911" t="s">
        <v>32524</v>
      </c>
      <c r="O6911" t="s">
        <v>32525</v>
      </c>
      <c r="P6911">
        <v>0</v>
      </c>
      <c r="Q6911">
        <v>5</v>
      </c>
      <c r="R6911" t="s">
        <v>32532</v>
      </c>
      <c r="S6911" t="s">
        <v>32616</v>
      </c>
      <c r="T6911" t="s">
        <v>33296</v>
      </c>
      <c r="U6911" t="s">
        <v>39416</v>
      </c>
      <c r="W6911" t="s">
        <v>31293</v>
      </c>
      <c r="X6911" t="s">
        <v>32533</v>
      </c>
    </row>
    <row r="6912" spans="1:24">
      <c r="A6912">
        <f>HYPERLINK("https://www.philgeps.gov.ph/GEPSNONPILOT/Tender/SplashBidNoticeAbstractUI.aspx?menuIndex=3&amp;refID=7037628&amp;Result=3","7037628")</f>
        <v>0</v>
      </c>
      <c r="B6912" t="s">
        <v>791</v>
      </c>
      <c r="C6912" t="s">
        <v>9281</v>
      </c>
      <c r="D6912" t="s">
        <v>13022</v>
      </c>
      <c r="E6912" t="s">
        <v>19172</v>
      </c>
      <c r="F6912" t="s">
        <v>22436</v>
      </c>
      <c r="G6912" t="s">
        <v>22444</v>
      </c>
      <c r="H6912" t="s">
        <v>22454</v>
      </c>
      <c r="I6912" t="s">
        <v>7738</v>
      </c>
      <c r="J6912" t="s">
        <v>24049</v>
      </c>
      <c r="K6912" t="s">
        <v>29345</v>
      </c>
      <c r="M6912" t="s">
        <v>30420</v>
      </c>
      <c r="N6912" t="s">
        <v>32524</v>
      </c>
      <c r="O6912" t="s">
        <v>32525</v>
      </c>
      <c r="Q6912">
        <v>4</v>
      </c>
      <c r="R6912" t="s">
        <v>32532</v>
      </c>
      <c r="S6912" t="s">
        <v>32652</v>
      </c>
      <c r="T6912" t="s">
        <v>33544</v>
      </c>
      <c r="U6912" t="s">
        <v>39417</v>
      </c>
      <c r="V6912" t="s">
        <v>42622</v>
      </c>
      <c r="W6912" t="s">
        <v>30420</v>
      </c>
      <c r="X6912" t="s">
        <v>32533</v>
      </c>
    </row>
    <row r="6913" spans="1:24">
      <c r="A6913">
        <f>HYPERLINK("https://www.philgeps.gov.ph/GEPSNONPILOT/Tender/SplashBidNoticeAbstractUI.aspx?menuIndex=3&amp;refID=7037620&amp;Result=3","7037620")</f>
        <v>0</v>
      </c>
      <c r="B6913" t="s">
        <v>1689</v>
      </c>
      <c r="C6913" t="s">
        <v>9282</v>
      </c>
      <c r="D6913" t="s">
        <v>13037</v>
      </c>
      <c r="E6913" t="s">
        <v>19173</v>
      </c>
      <c r="F6913" t="s">
        <v>22436</v>
      </c>
      <c r="G6913" t="s">
        <v>22444</v>
      </c>
      <c r="H6913" t="s">
        <v>22452</v>
      </c>
      <c r="I6913" t="s">
        <v>3529</v>
      </c>
      <c r="J6913" t="s">
        <v>27054</v>
      </c>
      <c r="K6913" t="s">
        <v>29352</v>
      </c>
      <c r="M6913" t="s">
        <v>31389</v>
      </c>
      <c r="N6913" t="s">
        <v>32524</v>
      </c>
      <c r="O6913" t="s">
        <v>32525</v>
      </c>
      <c r="P6913">
        <v>0</v>
      </c>
      <c r="Q6913">
        <v>0</v>
      </c>
      <c r="R6913" t="s">
        <v>32532</v>
      </c>
      <c r="S6913" t="s">
        <v>32616</v>
      </c>
      <c r="T6913" t="s">
        <v>33451</v>
      </c>
      <c r="U6913" t="s">
        <v>39418</v>
      </c>
      <c r="W6913" t="s">
        <v>31389</v>
      </c>
      <c r="X6913" t="s">
        <v>32533</v>
      </c>
    </row>
    <row r="6914" spans="1:24">
      <c r="A6914">
        <f>HYPERLINK("https://www.philgeps.gov.ph/GEPSNONPILOT/Tender/SplashBidNoticeAbstractUI.aspx?menuIndex=3&amp;refID=7037621&amp;Result=3","7037621")</f>
        <v>0</v>
      </c>
      <c r="B6914" t="s">
        <v>2104</v>
      </c>
      <c r="C6914" t="s">
        <v>9283</v>
      </c>
      <c r="D6914" t="s">
        <v>13015</v>
      </c>
      <c r="E6914" t="s">
        <v>19174</v>
      </c>
      <c r="F6914" t="s">
        <v>22436</v>
      </c>
      <c r="G6914" t="s">
        <v>22443</v>
      </c>
      <c r="H6914" t="s">
        <v>22452</v>
      </c>
      <c r="I6914" t="s">
        <v>3529</v>
      </c>
      <c r="J6914" t="s">
        <v>26040</v>
      </c>
      <c r="K6914" t="s">
        <v>29344</v>
      </c>
      <c r="M6914" t="s">
        <v>31853</v>
      </c>
      <c r="N6914" t="s">
        <v>32524</v>
      </c>
      <c r="O6914" t="s">
        <v>32525</v>
      </c>
      <c r="P6914">
        <v>0</v>
      </c>
      <c r="Q6914">
        <v>0</v>
      </c>
      <c r="R6914" t="s">
        <v>32532</v>
      </c>
      <c r="S6914" t="s">
        <v>32616</v>
      </c>
      <c r="T6914" t="s">
        <v>33161</v>
      </c>
      <c r="U6914" t="s">
        <v>39419</v>
      </c>
      <c r="W6914" t="s">
        <v>31853</v>
      </c>
      <c r="X6914" t="s">
        <v>32533</v>
      </c>
    </row>
    <row r="6915" spans="1:24">
      <c r="A6915">
        <f>HYPERLINK("https://www.philgeps.gov.ph/GEPSNONPILOT/Tender/SplashBidNoticeAbstractUI.aspx?menuIndex=3&amp;refID=7037610&amp;Result=3","7037610")</f>
        <v>0</v>
      </c>
      <c r="B6915" t="s">
        <v>356</v>
      </c>
      <c r="C6915" t="s">
        <v>9284</v>
      </c>
      <c r="D6915" t="s">
        <v>12993</v>
      </c>
      <c r="E6915" t="s">
        <v>19175</v>
      </c>
      <c r="F6915" t="s">
        <v>22436</v>
      </c>
      <c r="G6915" t="s">
        <v>22444</v>
      </c>
      <c r="H6915" t="s">
        <v>22452</v>
      </c>
      <c r="I6915" t="s">
        <v>22459</v>
      </c>
      <c r="J6915" t="s">
        <v>22806</v>
      </c>
      <c r="K6915" t="s">
        <v>29338</v>
      </c>
      <c r="M6915" t="s">
        <v>30657</v>
      </c>
      <c r="N6915" t="s">
        <v>32524</v>
      </c>
      <c r="O6915" t="s">
        <v>32525</v>
      </c>
      <c r="P6915">
        <v>0</v>
      </c>
      <c r="Q6915">
        <v>5</v>
      </c>
      <c r="R6915" t="s">
        <v>32532</v>
      </c>
      <c r="S6915" t="s">
        <v>32616</v>
      </c>
      <c r="T6915" t="s">
        <v>33323</v>
      </c>
      <c r="U6915" t="s">
        <v>39420</v>
      </c>
      <c r="W6915" t="s">
        <v>30657</v>
      </c>
      <c r="X6915" t="s">
        <v>32533</v>
      </c>
    </row>
    <row r="6916" spans="1:24">
      <c r="A6916">
        <f>HYPERLINK("https://www.philgeps.gov.ph/GEPSNONPILOT/Tender/SplashBidNoticeAbstractUI.aspx?menuIndex=3&amp;refID=7037632&amp;Result=3","7037632")</f>
        <v>0</v>
      </c>
      <c r="B6916" t="s">
        <v>2092</v>
      </c>
      <c r="C6916" t="s">
        <v>9285</v>
      </c>
      <c r="D6916" t="s">
        <v>13032</v>
      </c>
      <c r="E6916" t="s">
        <v>19176</v>
      </c>
      <c r="F6916" t="s">
        <v>22436</v>
      </c>
      <c r="G6916" t="s">
        <v>22444</v>
      </c>
      <c r="H6916" t="s">
        <v>22452</v>
      </c>
      <c r="I6916" t="s">
        <v>22460</v>
      </c>
      <c r="J6916" t="s">
        <v>27055</v>
      </c>
      <c r="K6916" t="s">
        <v>29338</v>
      </c>
      <c r="M6916" t="s">
        <v>31836</v>
      </c>
      <c r="N6916" t="s">
        <v>32524</v>
      </c>
      <c r="O6916" t="s">
        <v>32525</v>
      </c>
      <c r="P6916">
        <v>0</v>
      </c>
      <c r="Q6916">
        <v>2</v>
      </c>
      <c r="R6916" t="s">
        <v>32532</v>
      </c>
      <c r="S6916" t="s">
        <v>32616</v>
      </c>
      <c r="T6916" t="s">
        <v>33361</v>
      </c>
      <c r="U6916" t="s">
        <v>39353</v>
      </c>
      <c r="W6916" t="s">
        <v>31836</v>
      </c>
      <c r="X6916" t="s">
        <v>32533</v>
      </c>
    </row>
    <row r="6917" spans="1:24">
      <c r="A6917">
        <f>HYPERLINK("https://www.philgeps.gov.ph/GEPSNONPILOT/Tender/SplashBidNoticeAbstractUI.aspx?menuIndex=3&amp;refID=7037619&amp;Result=3","7037619")</f>
        <v>0</v>
      </c>
      <c r="B6917" t="s">
        <v>320</v>
      </c>
      <c r="C6917" t="s">
        <v>9286</v>
      </c>
      <c r="D6917" t="s">
        <v>13031</v>
      </c>
      <c r="E6917" t="s">
        <v>19177</v>
      </c>
      <c r="F6917" t="s">
        <v>22436</v>
      </c>
      <c r="G6917" t="s">
        <v>22444</v>
      </c>
      <c r="H6917" t="s">
        <v>22452</v>
      </c>
      <c r="I6917" t="s">
        <v>22467</v>
      </c>
      <c r="J6917" t="s">
        <v>27056</v>
      </c>
      <c r="K6917" t="s">
        <v>29337</v>
      </c>
      <c r="M6917" t="s">
        <v>29896</v>
      </c>
      <c r="N6917" t="s">
        <v>32524</v>
      </c>
      <c r="O6917" t="s">
        <v>32525</v>
      </c>
      <c r="P6917">
        <v>0</v>
      </c>
      <c r="Q6917">
        <v>0</v>
      </c>
      <c r="R6917" t="s">
        <v>32532</v>
      </c>
      <c r="S6917" t="s">
        <v>32616</v>
      </c>
      <c r="T6917" t="s">
        <v>33372</v>
      </c>
      <c r="U6917" t="s">
        <v>39421</v>
      </c>
      <c r="W6917" t="s">
        <v>29896</v>
      </c>
      <c r="X6917" t="s">
        <v>32533</v>
      </c>
    </row>
    <row r="6918" spans="1:24">
      <c r="A6918">
        <f>HYPERLINK("https://www.philgeps.gov.ph/GEPSNONPILOT/Tender/SplashBidNoticeAbstractUI.aspx?menuIndex=3&amp;refID=7037661&amp;Result=3","7037661")</f>
        <v>0</v>
      </c>
      <c r="B6918" t="s">
        <v>1295</v>
      </c>
      <c r="C6918" t="s">
        <v>9287</v>
      </c>
      <c r="D6918" t="s">
        <v>13041</v>
      </c>
      <c r="E6918" t="s">
        <v>19178</v>
      </c>
      <c r="F6918" t="s">
        <v>22436</v>
      </c>
      <c r="G6918" t="s">
        <v>22444</v>
      </c>
      <c r="H6918" t="s">
        <v>22454</v>
      </c>
      <c r="I6918" t="s">
        <v>7738</v>
      </c>
      <c r="J6918" t="s">
        <v>27057</v>
      </c>
      <c r="K6918" t="s">
        <v>29388</v>
      </c>
      <c r="M6918" t="s">
        <v>30949</v>
      </c>
      <c r="N6918" t="s">
        <v>32524</v>
      </c>
      <c r="O6918" t="s">
        <v>32525</v>
      </c>
      <c r="P6918">
        <v>0</v>
      </c>
      <c r="Q6918">
        <v>0</v>
      </c>
      <c r="R6918" t="s">
        <v>32532</v>
      </c>
      <c r="S6918" t="s">
        <v>32616</v>
      </c>
      <c r="T6918" t="s">
        <v>33234</v>
      </c>
      <c r="U6918" t="s">
        <v>39422</v>
      </c>
      <c r="V6918" t="s">
        <v>43180</v>
      </c>
      <c r="W6918" t="s">
        <v>30949</v>
      </c>
      <c r="X6918" t="s">
        <v>32533</v>
      </c>
    </row>
    <row r="6919" spans="1:24">
      <c r="A6919">
        <f>HYPERLINK("https://www.philgeps.gov.ph/GEPSNONPILOT/Tender/SplashBidNoticeAbstractUI.aspx?menuIndex=3&amp;refID=7037660&amp;Result=3","7037660")</f>
        <v>0</v>
      </c>
      <c r="B6919" t="s">
        <v>653</v>
      </c>
      <c r="C6919" t="s">
        <v>9288</v>
      </c>
      <c r="E6919" t="s">
        <v>19179</v>
      </c>
      <c r="F6919" t="s">
        <v>22436</v>
      </c>
      <c r="G6919" t="s">
        <v>22444</v>
      </c>
      <c r="H6919" t="s">
        <v>22454</v>
      </c>
      <c r="I6919" t="s">
        <v>3529</v>
      </c>
      <c r="J6919" t="s">
        <v>27058</v>
      </c>
      <c r="K6919" t="s">
        <v>29338</v>
      </c>
      <c r="M6919" t="s">
        <v>30245</v>
      </c>
      <c r="N6919" t="s">
        <v>32524</v>
      </c>
      <c r="O6919" t="s">
        <v>32525</v>
      </c>
      <c r="P6919">
        <v>0</v>
      </c>
      <c r="Q6919">
        <v>0</v>
      </c>
      <c r="R6919" t="s">
        <v>32532</v>
      </c>
      <c r="S6919" t="s">
        <v>32616</v>
      </c>
      <c r="T6919" t="s">
        <v>33345</v>
      </c>
      <c r="U6919" t="s">
        <v>39423</v>
      </c>
      <c r="W6919" t="s">
        <v>30245</v>
      </c>
      <c r="X6919" t="s">
        <v>32533</v>
      </c>
    </row>
    <row r="6920" spans="1:24">
      <c r="A6920">
        <f>HYPERLINK("https://www.philgeps.gov.ph/GEPSNONPILOT/Tender/SplashBidNoticeAbstractUI.aspx?menuIndex=3&amp;refID=7037636&amp;Result=3","7037636")</f>
        <v>0</v>
      </c>
      <c r="B6920" t="s">
        <v>1737</v>
      </c>
      <c r="C6920" t="s">
        <v>9289</v>
      </c>
      <c r="D6920" t="s">
        <v>13018</v>
      </c>
      <c r="E6920" t="s">
        <v>19180</v>
      </c>
      <c r="F6920" t="s">
        <v>22436</v>
      </c>
      <c r="G6920" t="s">
        <v>22443</v>
      </c>
      <c r="H6920" t="s">
        <v>22452</v>
      </c>
      <c r="I6920" t="s">
        <v>22486</v>
      </c>
      <c r="J6920" t="s">
        <v>27059</v>
      </c>
      <c r="K6920" t="s">
        <v>29341</v>
      </c>
      <c r="M6920" t="s">
        <v>31442</v>
      </c>
      <c r="N6920" t="s">
        <v>32524</v>
      </c>
      <c r="O6920" t="s">
        <v>32525</v>
      </c>
      <c r="P6920">
        <v>0</v>
      </c>
      <c r="Q6920">
        <v>0</v>
      </c>
      <c r="R6920" t="s">
        <v>32532</v>
      </c>
      <c r="S6920" t="s">
        <v>32616</v>
      </c>
      <c r="T6920" t="s">
        <v>33213</v>
      </c>
      <c r="U6920" t="s">
        <v>39424</v>
      </c>
      <c r="W6920" t="s">
        <v>31442</v>
      </c>
      <c r="X6920" t="s">
        <v>32533</v>
      </c>
    </row>
    <row r="6921" spans="1:24">
      <c r="A6921">
        <f>HYPERLINK("https://www.philgeps.gov.ph/GEPSNONPILOT/Tender/SplashBidNoticeAbstractUI.aspx?menuIndex=3&amp;refID=7037612&amp;Result=3","7037612")</f>
        <v>0</v>
      </c>
      <c r="B6921" t="s">
        <v>2092</v>
      </c>
      <c r="C6921" t="s">
        <v>9290</v>
      </c>
      <c r="D6921" t="s">
        <v>13032</v>
      </c>
      <c r="E6921" t="s">
        <v>19181</v>
      </c>
      <c r="F6921" t="s">
        <v>22436</v>
      </c>
      <c r="G6921" t="s">
        <v>22444</v>
      </c>
      <c r="H6921" t="s">
        <v>22452</v>
      </c>
      <c r="I6921" t="s">
        <v>22474</v>
      </c>
      <c r="J6921" t="s">
        <v>25337</v>
      </c>
      <c r="K6921" t="s">
        <v>29338</v>
      </c>
      <c r="M6921" t="s">
        <v>31836</v>
      </c>
      <c r="N6921" t="s">
        <v>32524</v>
      </c>
      <c r="O6921" t="s">
        <v>32525</v>
      </c>
      <c r="P6921">
        <v>0</v>
      </c>
      <c r="Q6921">
        <v>3</v>
      </c>
      <c r="R6921" t="s">
        <v>32532</v>
      </c>
      <c r="S6921" t="s">
        <v>32616</v>
      </c>
      <c r="T6921" t="s">
        <v>33242</v>
      </c>
      <c r="U6921" t="s">
        <v>39353</v>
      </c>
      <c r="W6921" t="s">
        <v>31836</v>
      </c>
      <c r="X6921" t="s">
        <v>32533</v>
      </c>
    </row>
    <row r="6922" spans="1:24">
      <c r="A6922">
        <f>HYPERLINK("https://www.philgeps.gov.ph/GEPSNONPILOT/Tender/SplashBidNoticeAbstractUI.aspx?menuIndex=3&amp;refID=7037657&amp;Result=3","7037657")</f>
        <v>0</v>
      </c>
      <c r="B6922" t="s">
        <v>1497</v>
      </c>
      <c r="C6922" t="s">
        <v>9291</v>
      </c>
      <c r="D6922" t="s">
        <v>12988</v>
      </c>
      <c r="E6922" t="s">
        <v>19182</v>
      </c>
      <c r="F6922" t="s">
        <v>22436</v>
      </c>
      <c r="G6922" t="s">
        <v>22444</v>
      </c>
      <c r="H6922" t="s">
        <v>22452</v>
      </c>
      <c r="I6922" t="s">
        <v>2981</v>
      </c>
      <c r="J6922" t="s">
        <v>27060</v>
      </c>
      <c r="K6922" t="s">
        <v>29341</v>
      </c>
      <c r="M6922" t="s">
        <v>31785</v>
      </c>
      <c r="N6922" t="s">
        <v>32524</v>
      </c>
      <c r="O6922" t="s">
        <v>32525</v>
      </c>
      <c r="P6922">
        <v>0</v>
      </c>
      <c r="Q6922">
        <v>0</v>
      </c>
      <c r="R6922" t="s">
        <v>32532</v>
      </c>
      <c r="S6922" t="s">
        <v>32616</v>
      </c>
      <c r="T6922" t="s">
        <v>33238</v>
      </c>
      <c r="U6922" t="s">
        <v>37299</v>
      </c>
      <c r="W6922" t="s">
        <v>31785</v>
      </c>
      <c r="X6922" t="s">
        <v>32533</v>
      </c>
    </row>
    <row r="6923" spans="1:24">
      <c r="A6923">
        <f>HYPERLINK("https://www.philgeps.gov.ph/GEPSNONPILOT/Tender/SplashBidNoticeAbstractUI.aspx?menuIndex=3&amp;refID=7037656&amp;Result=3","7037656")</f>
        <v>0</v>
      </c>
      <c r="B6923" t="s">
        <v>2105</v>
      </c>
      <c r="C6923" t="s">
        <v>9292</v>
      </c>
      <c r="D6923" t="s">
        <v>13011</v>
      </c>
      <c r="E6923" t="s">
        <v>19183</v>
      </c>
      <c r="F6923" t="s">
        <v>22436</v>
      </c>
      <c r="G6923" t="s">
        <v>22444</v>
      </c>
      <c r="H6923" t="s">
        <v>22452</v>
      </c>
      <c r="I6923" t="s">
        <v>5194</v>
      </c>
      <c r="J6923" t="s">
        <v>27061</v>
      </c>
      <c r="K6923" t="s">
        <v>29335</v>
      </c>
      <c r="M6923" t="s">
        <v>31854</v>
      </c>
      <c r="N6923" t="s">
        <v>32524</v>
      </c>
      <c r="O6923" t="s">
        <v>32525</v>
      </c>
      <c r="P6923">
        <v>0</v>
      </c>
      <c r="Q6923">
        <v>3</v>
      </c>
      <c r="R6923" t="s">
        <v>32532</v>
      </c>
      <c r="S6923" t="s">
        <v>32616</v>
      </c>
      <c r="T6923" t="s">
        <v>33296</v>
      </c>
      <c r="U6923" t="s">
        <v>39425</v>
      </c>
      <c r="W6923" t="s">
        <v>31854</v>
      </c>
      <c r="X6923" t="s">
        <v>32533</v>
      </c>
    </row>
    <row r="6924" spans="1:24">
      <c r="A6924">
        <f>HYPERLINK("https://www.philgeps.gov.ph/GEPSNONPILOT/Tender/SplashBidNoticeAbstractUI.aspx?menuIndex=3&amp;refID=7037663&amp;Result=3","7037663")</f>
        <v>0</v>
      </c>
      <c r="B6924" t="s">
        <v>2093</v>
      </c>
      <c r="C6924" t="s">
        <v>9293</v>
      </c>
      <c r="D6924" t="s">
        <v>13025</v>
      </c>
      <c r="E6924" t="s">
        <v>19184</v>
      </c>
      <c r="F6924" t="s">
        <v>22436</v>
      </c>
      <c r="G6924" t="s">
        <v>22444</v>
      </c>
      <c r="H6924" t="s">
        <v>22454</v>
      </c>
      <c r="I6924" t="s">
        <v>7738</v>
      </c>
      <c r="J6924" t="s">
        <v>22669</v>
      </c>
      <c r="K6924" t="s">
        <v>29338</v>
      </c>
      <c r="M6924" t="s">
        <v>31837</v>
      </c>
      <c r="N6924" t="s">
        <v>32524</v>
      </c>
      <c r="O6924" t="s">
        <v>32525</v>
      </c>
      <c r="P6924">
        <v>0</v>
      </c>
      <c r="Q6924">
        <v>1</v>
      </c>
      <c r="R6924" t="s">
        <v>32532</v>
      </c>
      <c r="S6924" t="s">
        <v>32616</v>
      </c>
      <c r="T6924" t="s">
        <v>33380</v>
      </c>
      <c r="U6924" t="s">
        <v>39426</v>
      </c>
      <c r="W6924" t="s">
        <v>31837</v>
      </c>
      <c r="X6924" t="s">
        <v>32533</v>
      </c>
    </row>
    <row r="6925" spans="1:24">
      <c r="A6925">
        <f>HYPERLINK("https://www.philgeps.gov.ph/GEPSNONPILOT/Tender/SplashBidNoticeAbstractUI.aspx?menuIndex=3&amp;refID=7037653&amp;Result=3","7037653")</f>
        <v>0</v>
      </c>
      <c r="B6925" t="s">
        <v>299</v>
      </c>
      <c r="C6925" t="s">
        <v>9294</v>
      </c>
      <c r="D6925" t="s">
        <v>13026</v>
      </c>
      <c r="E6925" t="s">
        <v>19185</v>
      </c>
      <c r="F6925" t="s">
        <v>22436</v>
      </c>
      <c r="G6925" t="s">
        <v>22444</v>
      </c>
      <c r="H6925" t="s">
        <v>22454</v>
      </c>
      <c r="I6925" t="s">
        <v>7738</v>
      </c>
      <c r="J6925" t="s">
        <v>22893</v>
      </c>
      <c r="K6925" t="s">
        <v>29355</v>
      </c>
      <c r="M6925" t="s">
        <v>31847</v>
      </c>
      <c r="N6925" t="s">
        <v>32524</v>
      </c>
      <c r="O6925" t="s">
        <v>32525</v>
      </c>
      <c r="P6925">
        <v>0</v>
      </c>
      <c r="Q6925">
        <v>0</v>
      </c>
      <c r="R6925" t="s">
        <v>32532</v>
      </c>
      <c r="S6925" t="s">
        <v>32616</v>
      </c>
      <c r="T6925" t="s">
        <v>33218</v>
      </c>
      <c r="U6925" t="s">
        <v>39427</v>
      </c>
      <c r="W6925" t="s">
        <v>29873</v>
      </c>
      <c r="X6925" t="s">
        <v>32533</v>
      </c>
    </row>
    <row r="6926" spans="1:24">
      <c r="A6926">
        <f>HYPERLINK("https://www.philgeps.gov.ph/GEPSNONPILOT/Tender/SplashBidNoticeAbstractUI.aspx?menuIndex=3&amp;refID=7037658&amp;Result=3","7037658")</f>
        <v>0</v>
      </c>
      <c r="B6926" t="s">
        <v>2102</v>
      </c>
      <c r="C6926" t="s">
        <v>9295</v>
      </c>
      <c r="D6926" t="s">
        <v>13035</v>
      </c>
      <c r="E6926" t="s">
        <v>19186</v>
      </c>
      <c r="F6926" t="s">
        <v>22436</v>
      </c>
      <c r="G6926" t="s">
        <v>22444</v>
      </c>
      <c r="H6926" t="s">
        <v>22452</v>
      </c>
      <c r="I6926" t="s">
        <v>22484</v>
      </c>
      <c r="J6926" t="s">
        <v>27062</v>
      </c>
      <c r="K6926" t="s">
        <v>29331</v>
      </c>
      <c r="M6926" t="s">
        <v>31851</v>
      </c>
      <c r="N6926" t="s">
        <v>32524</v>
      </c>
      <c r="O6926" t="s">
        <v>32525</v>
      </c>
      <c r="P6926">
        <v>0</v>
      </c>
      <c r="Q6926">
        <v>3</v>
      </c>
      <c r="R6926" t="s">
        <v>32532</v>
      </c>
      <c r="S6926" t="s">
        <v>32616</v>
      </c>
      <c r="T6926" t="s">
        <v>33185</v>
      </c>
      <c r="U6926" t="s">
        <v>39428</v>
      </c>
      <c r="V6926" t="s">
        <v>43178</v>
      </c>
      <c r="W6926" t="s">
        <v>31851</v>
      </c>
      <c r="X6926" t="s">
        <v>32533</v>
      </c>
    </row>
    <row r="6927" spans="1:24">
      <c r="A6927">
        <f>HYPERLINK("https://www.philgeps.gov.ph/GEPSNONPILOT/Tender/SplashBidNoticeAbstractUI.aspx?menuIndex=3&amp;refID=7037647&amp;Result=3","7037647")</f>
        <v>0</v>
      </c>
      <c r="B6927" t="s">
        <v>356</v>
      </c>
      <c r="C6927" t="s">
        <v>9296</v>
      </c>
      <c r="D6927" t="s">
        <v>12993</v>
      </c>
      <c r="E6927" t="s">
        <v>19187</v>
      </c>
      <c r="F6927" t="s">
        <v>22436</v>
      </c>
      <c r="G6927" t="s">
        <v>22444</v>
      </c>
      <c r="H6927" t="s">
        <v>22452</v>
      </c>
      <c r="I6927" t="s">
        <v>22474</v>
      </c>
      <c r="J6927" t="s">
        <v>22706</v>
      </c>
      <c r="K6927" t="s">
        <v>29338</v>
      </c>
      <c r="M6927" t="s">
        <v>30657</v>
      </c>
      <c r="N6927" t="s">
        <v>32524</v>
      </c>
      <c r="O6927" t="s">
        <v>32525</v>
      </c>
      <c r="P6927">
        <v>0</v>
      </c>
      <c r="Q6927">
        <v>0</v>
      </c>
      <c r="R6927" t="s">
        <v>32532</v>
      </c>
      <c r="S6927" t="s">
        <v>32616</v>
      </c>
      <c r="T6927" t="s">
        <v>33323</v>
      </c>
      <c r="U6927" t="s">
        <v>39429</v>
      </c>
      <c r="W6927" t="s">
        <v>30657</v>
      </c>
      <c r="X6927" t="s">
        <v>32533</v>
      </c>
    </row>
    <row r="6928" spans="1:24">
      <c r="A6928">
        <f>HYPERLINK("https://www.philgeps.gov.ph/GEPSNONPILOT/Tender/SplashBidNoticeAbstractUI.aspx?menuIndex=3&amp;refID=7037672&amp;Result=3","7037672")</f>
        <v>0</v>
      </c>
      <c r="B6928" t="s">
        <v>2106</v>
      </c>
      <c r="C6928" t="s">
        <v>9297</v>
      </c>
      <c r="D6928" t="s">
        <v>12988</v>
      </c>
      <c r="E6928" t="s">
        <v>19188</v>
      </c>
      <c r="F6928" t="s">
        <v>22436</v>
      </c>
      <c r="G6928" t="s">
        <v>22444</v>
      </c>
      <c r="H6928" t="s">
        <v>22452</v>
      </c>
      <c r="I6928" t="s">
        <v>2981</v>
      </c>
      <c r="J6928" t="s">
        <v>27063</v>
      </c>
      <c r="K6928" t="s">
        <v>29331</v>
      </c>
      <c r="M6928" t="s">
        <v>31855</v>
      </c>
      <c r="N6928" t="s">
        <v>32524</v>
      </c>
      <c r="O6928" t="s">
        <v>32525</v>
      </c>
      <c r="P6928">
        <v>0</v>
      </c>
      <c r="Q6928">
        <v>4</v>
      </c>
      <c r="R6928" t="s">
        <v>32532</v>
      </c>
      <c r="S6928" t="s">
        <v>32616</v>
      </c>
      <c r="T6928" t="s">
        <v>33401</v>
      </c>
      <c r="U6928" t="s">
        <v>39430</v>
      </c>
      <c r="W6928" t="s">
        <v>31855</v>
      </c>
      <c r="X6928" t="s">
        <v>32533</v>
      </c>
    </row>
    <row r="6929" spans="1:24">
      <c r="A6929">
        <f>HYPERLINK("https://www.philgeps.gov.ph/GEPSNONPILOT/Tender/SplashBidNoticeAbstractUI.aspx?menuIndex=3&amp;refID=7037675&amp;Result=3","7037675")</f>
        <v>0</v>
      </c>
      <c r="B6929" t="s">
        <v>1109</v>
      </c>
      <c r="C6929" t="s">
        <v>9298</v>
      </c>
      <c r="D6929" t="s">
        <v>13045</v>
      </c>
      <c r="E6929" t="s">
        <v>19189</v>
      </c>
      <c r="F6929" t="s">
        <v>22436</v>
      </c>
      <c r="G6929" t="s">
        <v>22444</v>
      </c>
      <c r="H6929" t="s">
        <v>22454</v>
      </c>
      <c r="I6929" t="s">
        <v>7738</v>
      </c>
      <c r="J6929" t="s">
        <v>22893</v>
      </c>
      <c r="K6929" t="s">
        <v>29335</v>
      </c>
      <c r="M6929" t="s">
        <v>30745</v>
      </c>
      <c r="N6929" t="s">
        <v>32524</v>
      </c>
      <c r="O6929" t="s">
        <v>32525</v>
      </c>
      <c r="P6929">
        <v>0</v>
      </c>
      <c r="Q6929">
        <v>0</v>
      </c>
      <c r="R6929" t="s">
        <v>32532</v>
      </c>
      <c r="S6929" t="s">
        <v>32616</v>
      </c>
      <c r="T6929" t="s">
        <v>33310</v>
      </c>
      <c r="U6929" t="s">
        <v>38800</v>
      </c>
      <c r="W6929" t="s">
        <v>30745</v>
      </c>
      <c r="X6929" t="s">
        <v>32533</v>
      </c>
    </row>
    <row r="6930" spans="1:24">
      <c r="A6930">
        <f>HYPERLINK("https://www.philgeps.gov.ph/GEPSNONPILOT/Tender/SplashBidNoticeAbstractUI.aspx?menuIndex=3&amp;refID=7037670&amp;Result=3","7037670")</f>
        <v>0</v>
      </c>
      <c r="B6930" t="s">
        <v>2092</v>
      </c>
      <c r="C6930" t="s">
        <v>9299</v>
      </c>
      <c r="D6930" t="s">
        <v>13032</v>
      </c>
      <c r="E6930" t="s">
        <v>19190</v>
      </c>
      <c r="F6930" t="s">
        <v>22436</v>
      </c>
      <c r="G6930" t="s">
        <v>22444</v>
      </c>
      <c r="H6930" t="s">
        <v>22452</v>
      </c>
      <c r="I6930" t="s">
        <v>2981</v>
      </c>
      <c r="J6930" t="s">
        <v>27064</v>
      </c>
      <c r="K6930" t="s">
        <v>29338</v>
      </c>
      <c r="M6930" t="s">
        <v>31836</v>
      </c>
      <c r="N6930" t="s">
        <v>32524</v>
      </c>
      <c r="O6930" t="s">
        <v>32525</v>
      </c>
      <c r="P6930">
        <v>0</v>
      </c>
      <c r="Q6930">
        <v>4</v>
      </c>
      <c r="R6930" t="s">
        <v>32532</v>
      </c>
      <c r="S6930" t="s">
        <v>32616</v>
      </c>
      <c r="T6930" t="s">
        <v>33242</v>
      </c>
      <c r="U6930" t="s">
        <v>39353</v>
      </c>
      <c r="W6930" t="s">
        <v>31836</v>
      </c>
      <c r="X6930" t="s">
        <v>32533</v>
      </c>
    </row>
    <row r="6931" spans="1:24">
      <c r="A6931">
        <f>HYPERLINK("https://www.philgeps.gov.ph/GEPSNONPILOT/Tender/SplashBidNoticeAbstractUI.aspx?menuIndex=3&amp;refID=7037637&amp;Result=3","7037637")</f>
        <v>0</v>
      </c>
      <c r="B6931" t="s">
        <v>114</v>
      </c>
      <c r="C6931" t="s">
        <v>9300</v>
      </c>
      <c r="D6931" t="s">
        <v>12999</v>
      </c>
      <c r="E6931" t="s">
        <v>19191</v>
      </c>
      <c r="F6931" t="s">
        <v>22436</v>
      </c>
      <c r="G6931" t="s">
        <v>22444</v>
      </c>
      <c r="H6931" t="s">
        <v>22452</v>
      </c>
      <c r="I6931" t="s">
        <v>22474</v>
      </c>
      <c r="J6931" t="s">
        <v>27065</v>
      </c>
      <c r="K6931" t="s">
        <v>29344</v>
      </c>
      <c r="M6931" t="s">
        <v>29686</v>
      </c>
      <c r="N6931" t="s">
        <v>32524</v>
      </c>
      <c r="O6931" t="s">
        <v>32525</v>
      </c>
      <c r="P6931">
        <v>0</v>
      </c>
      <c r="Q6931">
        <v>15</v>
      </c>
      <c r="R6931" t="s">
        <v>32532</v>
      </c>
      <c r="S6931" t="s">
        <v>32616</v>
      </c>
      <c r="T6931" t="s">
        <v>33164</v>
      </c>
      <c r="U6931" t="s">
        <v>39431</v>
      </c>
      <c r="W6931" t="s">
        <v>29686</v>
      </c>
      <c r="X6931" t="s">
        <v>32533</v>
      </c>
    </row>
    <row r="6932" spans="1:24">
      <c r="A6932">
        <f>HYPERLINK("https://www.philgeps.gov.ph/GEPSNONPILOT/Tender/SplashBidNoticeAbstractUI.aspx?menuIndex=3&amp;refID=7037667&amp;Result=3","7037667")</f>
        <v>0</v>
      </c>
      <c r="B6932" t="s">
        <v>2107</v>
      </c>
      <c r="C6932" t="s">
        <v>9301</v>
      </c>
      <c r="D6932" t="s">
        <v>13000</v>
      </c>
      <c r="E6932" t="s">
        <v>19192</v>
      </c>
      <c r="F6932" t="s">
        <v>22436</v>
      </c>
      <c r="G6932" t="s">
        <v>22444</v>
      </c>
      <c r="H6932" t="s">
        <v>22454</v>
      </c>
      <c r="I6932" t="s">
        <v>7738</v>
      </c>
      <c r="J6932" t="s">
        <v>27066</v>
      </c>
      <c r="K6932" t="s">
        <v>29333</v>
      </c>
      <c r="M6932" t="s">
        <v>31856</v>
      </c>
      <c r="N6932" t="s">
        <v>32524</v>
      </c>
      <c r="O6932" t="s">
        <v>32525</v>
      </c>
      <c r="Q6932">
        <v>1</v>
      </c>
      <c r="R6932" t="s">
        <v>32532</v>
      </c>
      <c r="S6932" t="s">
        <v>32653</v>
      </c>
      <c r="T6932" t="s">
        <v>33259</v>
      </c>
      <c r="U6932" t="s">
        <v>39432</v>
      </c>
      <c r="W6932" t="s">
        <v>31856</v>
      </c>
      <c r="X6932" t="s">
        <v>32533</v>
      </c>
    </row>
    <row r="6933" spans="1:24">
      <c r="A6933">
        <f>HYPERLINK("https://www.philgeps.gov.ph/GEPSNONPILOT/Tender/SplashBidNoticeAbstractUI.aspx?menuIndex=3&amp;refID=7037668&amp;Result=3","7037668")</f>
        <v>0</v>
      </c>
      <c r="B6933" t="s">
        <v>1070</v>
      </c>
      <c r="C6933" t="s">
        <v>9302</v>
      </c>
      <c r="D6933" t="s">
        <v>13050</v>
      </c>
      <c r="E6933" t="s">
        <v>19193</v>
      </c>
      <c r="F6933" t="s">
        <v>22436</v>
      </c>
      <c r="G6933" t="s">
        <v>22443</v>
      </c>
      <c r="H6933" t="s">
        <v>22452</v>
      </c>
      <c r="I6933" t="s">
        <v>22502</v>
      </c>
      <c r="J6933" t="s">
        <v>27067</v>
      </c>
      <c r="K6933" t="s">
        <v>29341</v>
      </c>
      <c r="M6933" t="s">
        <v>31839</v>
      </c>
      <c r="N6933" t="s">
        <v>32524</v>
      </c>
      <c r="O6933" t="s">
        <v>32525</v>
      </c>
      <c r="P6933">
        <v>0</v>
      </c>
      <c r="Q6933">
        <v>8</v>
      </c>
      <c r="R6933" t="s">
        <v>32532</v>
      </c>
      <c r="S6933" t="s">
        <v>32616</v>
      </c>
      <c r="T6933" t="s">
        <v>33372</v>
      </c>
      <c r="U6933" t="s">
        <v>39433</v>
      </c>
      <c r="V6933" t="s">
        <v>43174</v>
      </c>
      <c r="W6933" t="s">
        <v>31839</v>
      </c>
      <c r="X6933" t="s">
        <v>32533</v>
      </c>
    </row>
    <row r="6934" spans="1:24">
      <c r="A6934">
        <f>HYPERLINK("https://www.philgeps.gov.ph/GEPSNONPILOT/Tender/SplashBidNoticeAbstractUI.aspx?menuIndex=3&amp;refID=7037639&amp;Result=3","7037639")</f>
        <v>0</v>
      </c>
      <c r="B6934" t="s">
        <v>799</v>
      </c>
      <c r="C6934" t="s">
        <v>9303</v>
      </c>
      <c r="D6934" t="s">
        <v>12988</v>
      </c>
      <c r="E6934" t="s">
        <v>19194</v>
      </c>
      <c r="F6934" t="s">
        <v>22436</v>
      </c>
      <c r="G6934" t="s">
        <v>22445</v>
      </c>
      <c r="H6934" t="s">
        <v>22452</v>
      </c>
      <c r="I6934" t="s">
        <v>22460</v>
      </c>
      <c r="J6934" t="s">
        <v>22740</v>
      </c>
      <c r="K6934" t="s">
        <v>29341</v>
      </c>
      <c r="M6934" t="s">
        <v>30864</v>
      </c>
      <c r="N6934" t="s">
        <v>32524</v>
      </c>
      <c r="O6934" t="s">
        <v>32525</v>
      </c>
      <c r="Q6934">
        <v>8</v>
      </c>
      <c r="R6934" t="s">
        <v>32532</v>
      </c>
      <c r="S6934" t="s">
        <v>32654</v>
      </c>
      <c r="T6934" t="s">
        <v>33180</v>
      </c>
      <c r="U6934" t="s">
        <v>36535</v>
      </c>
      <c r="V6934" t="s">
        <v>42760</v>
      </c>
      <c r="W6934" t="s">
        <v>30864</v>
      </c>
      <c r="X6934" t="s">
        <v>32533</v>
      </c>
    </row>
    <row r="6935" spans="1:24">
      <c r="A6935">
        <f>HYPERLINK("https://www.philgeps.gov.ph/GEPSNONPILOT/Tender/SplashBidNoticeAbstractUI.aspx?menuIndex=3&amp;refID=7037669&amp;Result=3","7037669")</f>
        <v>0</v>
      </c>
      <c r="B6935" t="s">
        <v>2104</v>
      </c>
      <c r="C6935" t="s">
        <v>9304</v>
      </c>
      <c r="D6935" t="s">
        <v>13015</v>
      </c>
      <c r="E6935" t="s">
        <v>19195</v>
      </c>
      <c r="F6935" t="s">
        <v>22436</v>
      </c>
      <c r="G6935" t="s">
        <v>22443</v>
      </c>
      <c r="H6935" t="s">
        <v>22452</v>
      </c>
      <c r="I6935" t="s">
        <v>3529</v>
      </c>
      <c r="J6935" t="s">
        <v>27068</v>
      </c>
      <c r="K6935" t="s">
        <v>29344</v>
      </c>
      <c r="M6935" t="s">
        <v>31853</v>
      </c>
      <c r="N6935" t="s">
        <v>32524</v>
      </c>
      <c r="O6935" t="s">
        <v>32525</v>
      </c>
      <c r="P6935">
        <v>0</v>
      </c>
      <c r="Q6935">
        <v>0</v>
      </c>
      <c r="R6935" t="s">
        <v>32532</v>
      </c>
      <c r="S6935" t="s">
        <v>32616</v>
      </c>
      <c r="T6935" t="s">
        <v>33161</v>
      </c>
      <c r="U6935" t="s">
        <v>39434</v>
      </c>
      <c r="W6935" t="s">
        <v>31853</v>
      </c>
      <c r="X6935" t="s">
        <v>32533</v>
      </c>
    </row>
    <row r="6936" spans="1:24">
      <c r="A6936">
        <f>HYPERLINK("https://www.philgeps.gov.ph/GEPSNONPILOT/Tender/SplashBidNoticeAbstractUI.aspx?menuIndex=3&amp;refID=7037674&amp;Result=3","7037674")</f>
        <v>0</v>
      </c>
      <c r="B6936" t="s">
        <v>950</v>
      </c>
      <c r="C6936" t="s">
        <v>9305</v>
      </c>
      <c r="D6936" t="s">
        <v>13010</v>
      </c>
      <c r="E6936" t="s">
        <v>19196</v>
      </c>
      <c r="F6936" t="s">
        <v>22436</v>
      </c>
      <c r="G6936" t="s">
        <v>22444</v>
      </c>
      <c r="H6936" t="s">
        <v>22452</v>
      </c>
      <c r="I6936" t="s">
        <v>22494</v>
      </c>
      <c r="J6936" t="s">
        <v>27069</v>
      </c>
      <c r="K6936" t="s">
        <v>29338</v>
      </c>
      <c r="M6936" t="s">
        <v>30564</v>
      </c>
      <c r="N6936" t="s">
        <v>32524</v>
      </c>
      <c r="O6936" t="s">
        <v>32525</v>
      </c>
      <c r="P6936">
        <v>0</v>
      </c>
      <c r="Q6936">
        <v>1</v>
      </c>
      <c r="R6936" t="s">
        <v>32532</v>
      </c>
      <c r="S6936" t="s">
        <v>32616</v>
      </c>
      <c r="T6936" t="s">
        <v>33218</v>
      </c>
      <c r="U6936" t="s">
        <v>39435</v>
      </c>
      <c r="W6936" t="s">
        <v>30564</v>
      </c>
      <c r="X6936" t="s">
        <v>32533</v>
      </c>
    </row>
    <row r="6937" spans="1:24">
      <c r="A6937">
        <f>HYPERLINK("https://www.philgeps.gov.ph/GEPSNONPILOT/Tender/SplashBidNoticeAbstractUI.aspx?menuIndex=3&amp;refID=7037638&amp;Result=3","7037638")</f>
        <v>0</v>
      </c>
      <c r="B6937" t="s">
        <v>519</v>
      </c>
      <c r="C6937" t="s">
        <v>9306</v>
      </c>
      <c r="D6937" t="s">
        <v>12988</v>
      </c>
      <c r="E6937" t="s">
        <v>19197</v>
      </c>
      <c r="F6937" t="s">
        <v>22436</v>
      </c>
      <c r="G6937" t="s">
        <v>22444</v>
      </c>
      <c r="H6937" t="s">
        <v>22454</v>
      </c>
      <c r="I6937" t="s">
        <v>7738</v>
      </c>
      <c r="J6937" t="s">
        <v>27070</v>
      </c>
      <c r="K6937" t="s">
        <v>29333</v>
      </c>
      <c r="M6937" t="s">
        <v>30103</v>
      </c>
      <c r="N6937" t="s">
        <v>32524</v>
      </c>
      <c r="O6937" t="s">
        <v>32525</v>
      </c>
      <c r="P6937">
        <v>0</v>
      </c>
      <c r="Q6937">
        <v>11</v>
      </c>
      <c r="R6937" t="s">
        <v>32532</v>
      </c>
      <c r="S6937" t="s">
        <v>32616</v>
      </c>
      <c r="T6937" t="s">
        <v>33385</v>
      </c>
      <c r="U6937" t="s">
        <v>39436</v>
      </c>
      <c r="V6937" t="s">
        <v>42538</v>
      </c>
      <c r="W6937" t="s">
        <v>30103</v>
      </c>
      <c r="X6937" t="s">
        <v>32533</v>
      </c>
    </row>
    <row r="6938" spans="1:24">
      <c r="A6938">
        <f>HYPERLINK("https://www.philgeps.gov.ph/GEPSNONPILOT/Tender/SplashBidNoticeAbstractUI.aspx?menuIndex=3&amp;refID=7037678&amp;Result=3","7037678")</f>
        <v>0</v>
      </c>
      <c r="B6938" t="s">
        <v>356</v>
      </c>
      <c r="C6938" t="s">
        <v>9307</v>
      </c>
      <c r="D6938" t="s">
        <v>12993</v>
      </c>
      <c r="E6938" t="s">
        <v>19198</v>
      </c>
      <c r="F6938" t="s">
        <v>22436</v>
      </c>
      <c r="G6938" t="s">
        <v>22447</v>
      </c>
      <c r="H6938" t="s">
        <v>22452</v>
      </c>
      <c r="I6938" t="s">
        <v>22488</v>
      </c>
      <c r="J6938" t="s">
        <v>22788</v>
      </c>
      <c r="K6938" t="s">
        <v>29336</v>
      </c>
      <c r="M6938" t="s">
        <v>30657</v>
      </c>
      <c r="N6938" t="s">
        <v>32524</v>
      </c>
      <c r="O6938" t="s">
        <v>32525</v>
      </c>
      <c r="P6938">
        <v>0</v>
      </c>
      <c r="Q6938">
        <v>0</v>
      </c>
      <c r="R6938" t="s">
        <v>32532</v>
      </c>
      <c r="S6938" t="s">
        <v>32616</v>
      </c>
      <c r="T6938" t="s">
        <v>33323</v>
      </c>
      <c r="U6938" t="s">
        <v>39437</v>
      </c>
      <c r="W6938" t="s">
        <v>30657</v>
      </c>
      <c r="X6938" t="s">
        <v>32533</v>
      </c>
    </row>
    <row r="6939" spans="1:24">
      <c r="A6939">
        <f>HYPERLINK("https://www.philgeps.gov.ph/GEPSNONPILOT/Tender/SplashBidNoticeAbstractUI.aspx?menuIndex=3&amp;refID=7037699&amp;Result=3","7037699")</f>
        <v>0</v>
      </c>
      <c r="B6939" t="s">
        <v>2104</v>
      </c>
      <c r="C6939" t="s">
        <v>9308</v>
      </c>
      <c r="D6939" t="s">
        <v>13015</v>
      </c>
      <c r="E6939" t="s">
        <v>19199</v>
      </c>
      <c r="F6939" t="s">
        <v>22436</v>
      </c>
      <c r="G6939" t="s">
        <v>22443</v>
      </c>
      <c r="H6939" t="s">
        <v>22452</v>
      </c>
      <c r="I6939" t="s">
        <v>3529</v>
      </c>
      <c r="J6939" t="s">
        <v>27071</v>
      </c>
      <c r="K6939" t="s">
        <v>29344</v>
      </c>
      <c r="M6939" t="s">
        <v>31853</v>
      </c>
      <c r="N6939" t="s">
        <v>32524</v>
      </c>
      <c r="O6939" t="s">
        <v>32525</v>
      </c>
      <c r="P6939">
        <v>0</v>
      </c>
      <c r="Q6939">
        <v>0</v>
      </c>
      <c r="R6939" t="s">
        <v>32532</v>
      </c>
      <c r="S6939" t="s">
        <v>32616</v>
      </c>
      <c r="T6939" t="s">
        <v>33161</v>
      </c>
      <c r="U6939" t="s">
        <v>39438</v>
      </c>
      <c r="W6939" t="s">
        <v>31853</v>
      </c>
      <c r="X6939" t="s">
        <v>32533</v>
      </c>
    </row>
    <row r="6940" spans="1:24">
      <c r="A6940">
        <f>HYPERLINK("https://www.philgeps.gov.ph/GEPSNONPILOT/Tender/SplashBidNoticeAbstractUI.aspx?menuIndex=3&amp;refID=7037680&amp;Result=3","7037680")</f>
        <v>0</v>
      </c>
      <c r="B6940" t="s">
        <v>1737</v>
      </c>
      <c r="C6940" t="s">
        <v>9309</v>
      </c>
      <c r="D6940" t="s">
        <v>13018</v>
      </c>
      <c r="E6940" t="s">
        <v>19200</v>
      </c>
      <c r="F6940" t="s">
        <v>22436</v>
      </c>
      <c r="G6940" t="s">
        <v>22443</v>
      </c>
      <c r="H6940" t="s">
        <v>22452</v>
      </c>
      <c r="I6940" t="s">
        <v>3827</v>
      </c>
      <c r="J6940" t="s">
        <v>27072</v>
      </c>
      <c r="K6940" t="s">
        <v>29341</v>
      </c>
      <c r="M6940" t="s">
        <v>31442</v>
      </c>
      <c r="N6940" t="s">
        <v>32524</v>
      </c>
      <c r="O6940" t="s">
        <v>32525</v>
      </c>
      <c r="P6940">
        <v>0</v>
      </c>
      <c r="Q6940">
        <v>0</v>
      </c>
      <c r="R6940" t="s">
        <v>32532</v>
      </c>
      <c r="S6940" t="s">
        <v>32616</v>
      </c>
      <c r="T6940" t="s">
        <v>33213</v>
      </c>
      <c r="U6940" t="s">
        <v>39439</v>
      </c>
      <c r="W6940" t="s">
        <v>31442</v>
      </c>
      <c r="X6940" t="s">
        <v>32533</v>
      </c>
    </row>
    <row r="6941" spans="1:24">
      <c r="A6941">
        <f>HYPERLINK("https://www.philgeps.gov.ph/GEPSNONPILOT/Tender/SplashBidNoticeAbstractUI.aspx?menuIndex=3&amp;refID=7037686&amp;Result=3","7037686")</f>
        <v>0</v>
      </c>
      <c r="B6941" t="s">
        <v>2102</v>
      </c>
      <c r="C6941" t="s">
        <v>9310</v>
      </c>
      <c r="D6941" t="s">
        <v>13035</v>
      </c>
      <c r="E6941" t="s">
        <v>19201</v>
      </c>
      <c r="F6941" t="s">
        <v>22436</v>
      </c>
      <c r="G6941" t="s">
        <v>22444</v>
      </c>
      <c r="H6941" t="s">
        <v>22452</v>
      </c>
      <c r="I6941" t="s">
        <v>22467</v>
      </c>
      <c r="J6941" t="s">
        <v>27073</v>
      </c>
      <c r="K6941" t="s">
        <v>29331</v>
      </c>
      <c r="M6941" t="s">
        <v>31851</v>
      </c>
      <c r="N6941" t="s">
        <v>32524</v>
      </c>
      <c r="O6941" t="s">
        <v>32525</v>
      </c>
      <c r="P6941">
        <v>0</v>
      </c>
      <c r="Q6941">
        <v>0</v>
      </c>
      <c r="R6941" t="s">
        <v>32532</v>
      </c>
      <c r="S6941" t="s">
        <v>32616</v>
      </c>
      <c r="T6941" t="s">
        <v>33351</v>
      </c>
      <c r="U6941" t="s">
        <v>39440</v>
      </c>
      <c r="V6941" t="s">
        <v>43178</v>
      </c>
      <c r="W6941" t="s">
        <v>31851</v>
      </c>
      <c r="X6941" t="s">
        <v>32533</v>
      </c>
    </row>
    <row r="6942" spans="1:24">
      <c r="A6942">
        <f>HYPERLINK("https://www.philgeps.gov.ph/GEPSNONPILOT/Tender/SplashBidNoticeAbstractUI.aspx?menuIndex=3&amp;refID=7037687&amp;Result=3","7037687")</f>
        <v>0</v>
      </c>
      <c r="B6942" t="s">
        <v>2108</v>
      </c>
      <c r="C6942" t="s">
        <v>9311</v>
      </c>
      <c r="D6942" t="s">
        <v>13045</v>
      </c>
      <c r="E6942" t="s">
        <v>19202</v>
      </c>
      <c r="F6942" t="s">
        <v>22436</v>
      </c>
      <c r="G6942" t="s">
        <v>22444</v>
      </c>
      <c r="H6942" t="s">
        <v>22454</v>
      </c>
      <c r="I6942" t="s">
        <v>7738</v>
      </c>
      <c r="J6942" t="s">
        <v>22936</v>
      </c>
      <c r="K6942" t="s">
        <v>29335</v>
      </c>
      <c r="M6942" t="s">
        <v>31857</v>
      </c>
      <c r="N6942" t="s">
        <v>32524</v>
      </c>
      <c r="O6942" t="s">
        <v>32525</v>
      </c>
      <c r="P6942">
        <v>0</v>
      </c>
      <c r="Q6942">
        <v>1</v>
      </c>
      <c r="R6942" t="s">
        <v>32532</v>
      </c>
      <c r="S6942" t="s">
        <v>32616</v>
      </c>
      <c r="T6942" t="s">
        <v>33249</v>
      </c>
      <c r="U6942" t="s">
        <v>39441</v>
      </c>
      <c r="W6942" t="s">
        <v>31857</v>
      </c>
      <c r="X6942" t="s">
        <v>32533</v>
      </c>
    </row>
    <row r="6943" spans="1:24">
      <c r="A6943">
        <f>HYPERLINK("https://www.philgeps.gov.ph/GEPSNONPILOT/Tender/SplashBidNoticeAbstractUI.aspx?menuIndex=3&amp;refID=7037705&amp;Result=3","7037705")</f>
        <v>0</v>
      </c>
      <c r="B6943" t="s">
        <v>2092</v>
      </c>
      <c r="C6943" t="s">
        <v>9312</v>
      </c>
      <c r="D6943" t="s">
        <v>13032</v>
      </c>
      <c r="E6943" t="s">
        <v>19203</v>
      </c>
      <c r="F6943" t="s">
        <v>22436</v>
      </c>
      <c r="G6943" t="s">
        <v>22444</v>
      </c>
      <c r="H6943" t="s">
        <v>22452</v>
      </c>
      <c r="I6943" t="s">
        <v>6421</v>
      </c>
      <c r="J6943" t="s">
        <v>27074</v>
      </c>
      <c r="K6943" t="s">
        <v>29338</v>
      </c>
      <c r="M6943" t="s">
        <v>31836</v>
      </c>
      <c r="N6943" t="s">
        <v>32524</v>
      </c>
      <c r="O6943" t="s">
        <v>32525</v>
      </c>
      <c r="P6943">
        <v>0</v>
      </c>
      <c r="Q6943">
        <v>10</v>
      </c>
      <c r="R6943" t="s">
        <v>32532</v>
      </c>
      <c r="S6943" t="s">
        <v>32616</v>
      </c>
      <c r="T6943" t="s">
        <v>33242</v>
      </c>
      <c r="U6943" t="s">
        <v>39353</v>
      </c>
      <c r="W6943" t="s">
        <v>31836</v>
      </c>
      <c r="X6943" t="s">
        <v>32533</v>
      </c>
    </row>
    <row r="6944" spans="1:24">
      <c r="A6944">
        <f>HYPERLINK("https://www.philgeps.gov.ph/GEPSNONPILOT/Tender/SplashBidNoticeAbstractUI.aspx?menuIndex=3&amp;refID=7037700&amp;Result=3","7037700")</f>
        <v>0</v>
      </c>
      <c r="B6944" t="s">
        <v>264</v>
      </c>
      <c r="C6944" t="s">
        <v>9313</v>
      </c>
      <c r="D6944" t="s">
        <v>13018</v>
      </c>
      <c r="E6944" t="s">
        <v>19204</v>
      </c>
      <c r="F6944" t="s">
        <v>22436</v>
      </c>
      <c r="G6944" t="s">
        <v>22446</v>
      </c>
      <c r="H6944" t="s">
        <v>22452</v>
      </c>
      <c r="I6944" t="s">
        <v>22463</v>
      </c>
      <c r="J6944" t="s">
        <v>27075</v>
      </c>
      <c r="K6944" t="s">
        <v>29338</v>
      </c>
      <c r="M6944" t="s">
        <v>29838</v>
      </c>
      <c r="N6944" t="s">
        <v>32524</v>
      </c>
      <c r="O6944" t="s">
        <v>32525</v>
      </c>
      <c r="P6944">
        <v>0</v>
      </c>
      <c r="Q6944">
        <v>18</v>
      </c>
      <c r="R6944" t="s">
        <v>32532</v>
      </c>
      <c r="S6944" t="s">
        <v>32616</v>
      </c>
      <c r="T6944" t="s">
        <v>33215</v>
      </c>
      <c r="U6944" t="s">
        <v>39442</v>
      </c>
      <c r="W6944" t="s">
        <v>29838</v>
      </c>
      <c r="X6944" t="s">
        <v>32533</v>
      </c>
    </row>
    <row r="6945" spans="1:24">
      <c r="A6945">
        <f>HYPERLINK("https://www.philgeps.gov.ph/GEPSNONPILOT/Tender/SplashBidNoticeAbstractUI.aspx?menuIndex=3&amp;refID=7037724&amp;Result=3","7037724")</f>
        <v>0</v>
      </c>
      <c r="B6945" t="s">
        <v>1022</v>
      </c>
      <c r="C6945" t="s">
        <v>9314</v>
      </c>
      <c r="D6945" t="s">
        <v>13006</v>
      </c>
      <c r="E6945" t="s">
        <v>19205</v>
      </c>
      <c r="F6945" t="s">
        <v>22436</v>
      </c>
      <c r="G6945" t="s">
        <v>22444</v>
      </c>
      <c r="H6945" t="s">
        <v>22452</v>
      </c>
      <c r="I6945" t="s">
        <v>22482</v>
      </c>
      <c r="J6945" t="s">
        <v>23215</v>
      </c>
      <c r="K6945" t="s">
        <v>29341</v>
      </c>
      <c r="M6945" t="s">
        <v>30650</v>
      </c>
      <c r="N6945" t="s">
        <v>32524</v>
      </c>
      <c r="O6945" t="s">
        <v>32525</v>
      </c>
      <c r="P6945">
        <v>0</v>
      </c>
      <c r="Q6945">
        <v>4</v>
      </c>
      <c r="R6945" t="s">
        <v>32532</v>
      </c>
      <c r="S6945" t="s">
        <v>32616</v>
      </c>
      <c r="T6945" t="s">
        <v>33296</v>
      </c>
      <c r="U6945" t="s">
        <v>39443</v>
      </c>
      <c r="V6945" t="s">
        <v>43181</v>
      </c>
      <c r="W6945" t="s">
        <v>30650</v>
      </c>
      <c r="X6945" t="s">
        <v>32533</v>
      </c>
    </row>
    <row r="6946" spans="1:24">
      <c r="A6946">
        <f>HYPERLINK("https://www.philgeps.gov.ph/GEPSNONPILOT/Tender/SplashBidNoticeAbstractUI.aspx?menuIndex=3&amp;refID=7037689&amp;Result=3","7037689")</f>
        <v>0</v>
      </c>
      <c r="B6946" t="s">
        <v>687</v>
      </c>
      <c r="C6946" t="s">
        <v>9315</v>
      </c>
      <c r="E6946" t="s">
        <v>19206</v>
      </c>
      <c r="F6946" t="s">
        <v>22436</v>
      </c>
      <c r="G6946" t="s">
        <v>22444</v>
      </c>
      <c r="H6946" t="s">
        <v>22452</v>
      </c>
      <c r="I6946" t="s">
        <v>22512</v>
      </c>
      <c r="J6946" t="s">
        <v>26531</v>
      </c>
      <c r="K6946" t="s">
        <v>29335</v>
      </c>
      <c r="M6946" t="s">
        <v>30281</v>
      </c>
      <c r="N6946" t="s">
        <v>32524</v>
      </c>
      <c r="O6946" t="s">
        <v>32525</v>
      </c>
      <c r="P6946">
        <v>0</v>
      </c>
      <c r="Q6946">
        <v>0</v>
      </c>
      <c r="R6946" t="s">
        <v>32532</v>
      </c>
      <c r="S6946" t="s">
        <v>32616</v>
      </c>
      <c r="T6946" t="s">
        <v>33218</v>
      </c>
      <c r="U6946" t="s">
        <v>39444</v>
      </c>
      <c r="W6946" t="s">
        <v>30281</v>
      </c>
      <c r="X6946" t="s">
        <v>32533</v>
      </c>
    </row>
    <row r="6947" spans="1:24">
      <c r="A6947">
        <f>HYPERLINK("https://www.philgeps.gov.ph/GEPSNONPILOT/Tender/SplashBidNoticeAbstractUI.aspx?menuIndex=3&amp;refID=7037719&amp;Result=3","7037719")</f>
        <v>0</v>
      </c>
      <c r="B6947" t="s">
        <v>1497</v>
      </c>
      <c r="C6947" t="s">
        <v>9316</v>
      </c>
      <c r="D6947" t="s">
        <v>12988</v>
      </c>
      <c r="E6947" t="s">
        <v>19207</v>
      </c>
      <c r="F6947" t="s">
        <v>22436</v>
      </c>
      <c r="G6947" t="s">
        <v>22444</v>
      </c>
      <c r="H6947" t="s">
        <v>22452</v>
      </c>
      <c r="I6947" t="s">
        <v>2981</v>
      </c>
      <c r="J6947" t="s">
        <v>27076</v>
      </c>
      <c r="K6947" t="s">
        <v>29341</v>
      </c>
      <c r="M6947" t="s">
        <v>31785</v>
      </c>
      <c r="N6947" t="s">
        <v>32524</v>
      </c>
      <c r="O6947" t="s">
        <v>32525</v>
      </c>
      <c r="P6947">
        <v>0</v>
      </c>
      <c r="Q6947">
        <v>0</v>
      </c>
      <c r="R6947" t="s">
        <v>32532</v>
      </c>
      <c r="S6947" t="s">
        <v>32616</v>
      </c>
      <c r="T6947" t="s">
        <v>33238</v>
      </c>
      <c r="U6947" t="s">
        <v>37299</v>
      </c>
      <c r="W6947" t="s">
        <v>31785</v>
      </c>
      <c r="X6947" t="s">
        <v>32533</v>
      </c>
    </row>
    <row r="6948" spans="1:24">
      <c r="A6948">
        <f>HYPERLINK("https://www.philgeps.gov.ph/GEPSNONPILOT/Tender/SplashBidNoticeAbstractUI.aspx?menuIndex=3&amp;refID=7037718&amp;Result=3","7037718")</f>
        <v>0</v>
      </c>
      <c r="B6948" t="s">
        <v>687</v>
      </c>
      <c r="C6948" t="s">
        <v>9317</v>
      </c>
      <c r="E6948" t="s">
        <v>19208</v>
      </c>
      <c r="F6948" t="s">
        <v>22436</v>
      </c>
      <c r="G6948" t="s">
        <v>22444</v>
      </c>
      <c r="H6948" t="s">
        <v>22452</v>
      </c>
      <c r="I6948" t="s">
        <v>12358</v>
      </c>
      <c r="J6948" t="s">
        <v>26155</v>
      </c>
      <c r="K6948" t="s">
        <v>29335</v>
      </c>
      <c r="M6948" t="s">
        <v>30281</v>
      </c>
      <c r="N6948" t="s">
        <v>32524</v>
      </c>
      <c r="O6948" t="s">
        <v>32525</v>
      </c>
      <c r="P6948">
        <v>0</v>
      </c>
      <c r="Q6948">
        <v>5</v>
      </c>
      <c r="R6948" t="s">
        <v>32532</v>
      </c>
      <c r="S6948" t="s">
        <v>32616</v>
      </c>
      <c r="T6948" t="s">
        <v>33218</v>
      </c>
      <c r="U6948" t="s">
        <v>39444</v>
      </c>
      <c r="W6948" t="s">
        <v>30281</v>
      </c>
      <c r="X6948" t="s">
        <v>32533</v>
      </c>
    </row>
    <row r="6949" spans="1:24">
      <c r="A6949">
        <f>HYPERLINK("https://www.philgeps.gov.ph/GEPSNONPILOT/Tender/SplashBidNoticeAbstractUI.aspx?menuIndex=3&amp;refID=7037692&amp;Result=3","7037692")</f>
        <v>0</v>
      </c>
      <c r="B6949" t="s">
        <v>1689</v>
      </c>
      <c r="C6949" t="s">
        <v>9318</v>
      </c>
      <c r="D6949" t="s">
        <v>13037</v>
      </c>
      <c r="E6949" t="s">
        <v>19173</v>
      </c>
      <c r="F6949" t="s">
        <v>22436</v>
      </c>
      <c r="G6949" t="s">
        <v>22444</v>
      </c>
      <c r="H6949" t="s">
        <v>22452</v>
      </c>
      <c r="I6949" t="s">
        <v>3529</v>
      </c>
      <c r="J6949" t="s">
        <v>23120</v>
      </c>
      <c r="K6949" t="s">
        <v>29352</v>
      </c>
      <c r="M6949" t="s">
        <v>31389</v>
      </c>
      <c r="N6949" t="s">
        <v>32524</v>
      </c>
      <c r="O6949" t="s">
        <v>32525</v>
      </c>
      <c r="P6949">
        <v>0</v>
      </c>
      <c r="Q6949">
        <v>0</v>
      </c>
      <c r="R6949" t="s">
        <v>32532</v>
      </c>
      <c r="S6949" t="s">
        <v>32616</v>
      </c>
      <c r="T6949" t="s">
        <v>33451</v>
      </c>
      <c r="U6949" t="s">
        <v>39445</v>
      </c>
      <c r="W6949" t="s">
        <v>31389</v>
      </c>
      <c r="X6949" t="s">
        <v>32533</v>
      </c>
    </row>
    <row r="6950" spans="1:24">
      <c r="A6950">
        <f>HYPERLINK("https://www.philgeps.gov.ph/GEPSNONPILOT/Tender/SplashBidNoticeAbstractUI.aspx?menuIndex=3&amp;refID=7037725&amp;Result=3","7037725")</f>
        <v>0</v>
      </c>
      <c r="B6950" t="s">
        <v>2104</v>
      </c>
      <c r="C6950" t="s">
        <v>9319</v>
      </c>
      <c r="D6950" t="s">
        <v>13015</v>
      </c>
      <c r="E6950" t="s">
        <v>19209</v>
      </c>
      <c r="F6950" t="s">
        <v>22436</v>
      </c>
      <c r="G6950" t="s">
        <v>22443</v>
      </c>
      <c r="H6950" t="s">
        <v>22452</v>
      </c>
      <c r="I6950" t="s">
        <v>3529</v>
      </c>
      <c r="J6950" t="s">
        <v>27077</v>
      </c>
      <c r="K6950" t="s">
        <v>29344</v>
      </c>
      <c r="M6950" t="s">
        <v>31853</v>
      </c>
      <c r="N6950" t="s">
        <v>32524</v>
      </c>
      <c r="O6950" t="s">
        <v>32525</v>
      </c>
      <c r="P6950">
        <v>0</v>
      </c>
      <c r="Q6950">
        <v>0</v>
      </c>
      <c r="R6950" t="s">
        <v>32532</v>
      </c>
      <c r="S6950" t="s">
        <v>32616</v>
      </c>
      <c r="T6950" t="s">
        <v>33161</v>
      </c>
      <c r="U6950" t="s">
        <v>39446</v>
      </c>
      <c r="W6950" t="s">
        <v>31853</v>
      </c>
      <c r="X6950" t="s">
        <v>32533</v>
      </c>
    </row>
    <row r="6951" spans="1:24">
      <c r="A6951">
        <f>HYPERLINK("https://www.philgeps.gov.ph/GEPSNONPILOT/Tender/SplashBidNoticeAbstractUI.aspx?menuIndex=3&amp;refID=7037711&amp;Result=3","7037711")</f>
        <v>0</v>
      </c>
      <c r="B6951" t="s">
        <v>1737</v>
      </c>
      <c r="C6951" t="s">
        <v>8970</v>
      </c>
      <c r="D6951" t="s">
        <v>13018</v>
      </c>
      <c r="E6951" t="s">
        <v>19210</v>
      </c>
      <c r="F6951" t="s">
        <v>22436</v>
      </c>
      <c r="G6951" t="s">
        <v>22443</v>
      </c>
      <c r="H6951" t="s">
        <v>22452</v>
      </c>
      <c r="I6951" t="s">
        <v>22494</v>
      </c>
      <c r="J6951" t="s">
        <v>27078</v>
      </c>
      <c r="K6951" t="s">
        <v>29341</v>
      </c>
      <c r="M6951" t="s">
        <v>31442</v>
      </c>
      <c r="N6951" t="s">
        <v>32524</v>
      </c>
      <c r="O6951" t="s">
        <v>32525</v>
      </c>
      <c r="P6951">
        <v>0</v>
      </c>
      <c r="Q6951">
        <v>0</v>
      </c>
      <c r="R6951" t="s">
        <v>32532</v>
      </c>
      <c r="S6951" t="s">
        <v>32616</v>
      </c>
      <c r="T6951" t="s">
        <v>33213</v>
      </c>
      <c r="U6951" t="s">
        <v>39447</v>
      </c>
      <c r="W6951" t="s">
        <v>31442</v>
      </c>
      <c r="X6951" t="s">
        <v>32533</v>
      </c>
    </row>
    <row r="6952" spans="1:24">
      <c r="A6952">
        <f>HYPERLINK("https://www.philgeps.gov.ph/GEPSNONPILOT/Tender/SplashBidNoticeAbstractUI.aspx?menuIndex=3&amp;refID=7037730&amp;Result=3","7037730")</f>
        <v>0</v>
      </c>
      <c r="B6952" t="s">
        <v>550</v>
      </c>
      <c r="C6952" t="s">
        <v>9320</v>
      </c>
      <c r="D6952" t="s">
        <v>12988</v>
      </c>
      <c r="E6952" t="s">
        <v>19211</v>
      </c>
      <c r="F6952" t="s">
        <v>22436</v>
      </c>
      <c r="G6952" t="s">
        <v>22444</v>
      </c>
      <c r="H6952" t="s">
        <v>22452</v>
      </c>
      <c r="I6952" t="s">
        <v>3827</v>
      </c>
      <c r="J6952" t="s">
        <v>27079</v>
      </c>
      <c r="K6952" t="s">
        <v>29338</v>
      </c>
      <c r="M6952" t="s">
        <v>31858</v>
      </c>
      <c r="N6952" t="s">
        <v>32524</v>
      </c>
      <c r="O6952" t="s">
        <v>32525</v>
      </c>
      <c r="P6952">
        <v>0</v>
      </c>
      <c r="Q6952">
        <v>21</v>
      </c>
      <c r="R6952" t="s">
        <v>32532</v>
      </c>
      <c r="S6952" t="s">
        <v>32616</v>
      </c>
      <c r="T6952" t="s">
        <v>33253</v>
      </c>
      <c r="U6952" t="s">
        <v>39448</v>
      </c>
      <c r="V6952" t="s">
        <v>43182</v>
      </c>
      <c r="W6952" t="s">
        <v>31858</v>
      </c>
      <c r="X6952" t="s">
        <v>32533</v>
      </c>
    </row>
    <row r="6953" spans="1:24">
      <c r="A6953">
        <f>HYPERLINK("https://www.philgeps.gov.ph/GEPSNONPILOT/Tender/SplashBidNoticeAbstractUI.aspx?menuIndex=3&amp;refID=7037693&amp;Result=3","7037693")</f>
        <v>0</v>
      </c>
      <c r="B6953" t="s">
        <v>1497</v>
      </c>
      <c r="C6953" t="s">
        <v>9321</v>
      </c>
      <c r="D6953" t="s">
        <v>12988</v>
      </c>
      <c r="E6953" t="s">
        <v>19212</v>
      </c>
      <c r="F6953" t="s">
        <v>22436</v>
      </c>
      <c r="G6953" t="s">
        <v>22444</v>
      </c>
      <c r="H6953" t="s">
        <v>22452</v>
      </c>
      <c r="I6953" t="s">
        <v>2981</v>
      </c>
      <c r="J6953" t="s">
        <v>27080</v>
      </c>
      <c r="K6953" t="s">
        <v>29341</v>
      </c>
      <c r="M6953" t="s">
        <v>31785</v>
      </c>
      <c r="N6953" t="s">
        <v>32524</v>
      </c>
      <c r="O6953" t="s">
        <v>32525</v>
      </c>
      <c r="P6953">
        <v>0</v>
      </c>
      <c r="Q6953">
        <v>0</v>
      </c>
      <c r="R6953" t="s">
        <v>32532</v>
      </c>
      <c r="S6953" t="s">
        <v>32616</v>
      </c>
      <c r="T6953" t="s">
        <v>33238</v>
      </c>
      <c r="U6953" t="s">
        <v>37299</v>
      </c>
      <c r="W6953" t="s">
        <v>31785</v>
      </c>
      <c r="X6953" t="s">
        <v>32533</v>
      </c>
    </row>
    <row r="6954" spans="1:24">
      <c r="A6954">
        <f>HYPERLINK("https://www.philgeps.gov.ph/GEPSNONPILOT/Tender/SplashBidNoticeAbstractUI.aspx?menuIndex=3&amp;refID=7037707&amp;Result=3","7037707")</f>
        <v>0</v>
      </c>
      <c r="B6954" t="s">
        <v>320</v>
      </c>
      <c r="C6954" t="s">
        <v>9322</v>
      </c>
      <c r="D6954" t="s">
        <v>13031</v>
      </c>
      <c r="E6954" t="s">
        <v>15273</v>
      </c>
      <c r="F6954" t="s">
        <v>22436</v>
      </c>
      <c r="G6954" t="s">
        <v>22444</v>
      </c>
      <c r="H6954" t="s">
        <v>22452</v>
      </c>
      <c r="I6954" t="s">
        <v>3529</v>
      </c>
      <c r="J6954" t="s">
        <v>27081</v>
      </c>
      <c r="K6954" t="s">
        <v>29335</v>
      </c>
      <c r="M6954" t="s">
        <v>29896</v>
      </c>
      <c r="N6954" t="s">
        <v>32524</v>
      </c>
      <c r="O6954" t="s">
        <v>32525</v>
      </c>
      <c r="P6954">
        <v>0</v>
      </c>
      <c r="Q6954">
        <v>0</v>
      </c>
      <c r="R6954" t="s">
        <v>32532</v>
      </c>
      <c r="S6954" t="s">
        <v>32616</v>
      </c>
      <c r="T6954" t="s">
        <v>33228</v>
      </c>
      <c r="U6954" t="s">
        <v>39449</v>
      </c>
      <c r="W6954" t="s">
        <v>29896</v>
      </c>
      <c r="X6954" t="s">
        <v>32533</v>
      </c>
    </row>
    <row r="6955" spans="1:24">
      <c r="A6955">
        <f>HYPERLINK("https://www.philgeps.gov.ph/GEPSNONPILOT/Tender/SplashBidNoticeAbstractUI.aspx?menuIndex=3&amp;refID=7037749&amp;Result=3","7037749")</f>
        <v>0</v>
      </c>
      <c r="B6955" t="s">
        <v>2109</v>
      </c>
      <c r="C6955" t="s">
        <v>9323</v>
      </c>
      <c r="E6955" t="s">
        <v>19213</v>
      </c>
      <c r="F6955" t="s">
        <v>22436</v>
      </c>
      <c r="G6955" t="s">
        <v>22444</v>
      </c>
      <c r="H6955" t="s">
        <v>22454</v>
      </c>
      <c r="I6955" t="s">
        <v>7738</v>
      </c>
      <c r="J6955" t="s">
        <v>27082</v>
      </c>
      <c r="K6955" t="s">
        <v>29345</v>
      </c>
      <c r="M6955" t="s">
        <v>31859</v>
      </c>
      <c r="N6955" t="s">
        <v>32524</v>
      </c>
      <c r="O6955" t="s">
        <v>32525</v>
      </c>
      <c r="P6955">
        <v>0</v>
      </c>
      <c r="Q6955">
        <v>1</v>
      </c>
      <c r="R6955" t="s">
        <v>32532</v>
      </c>
      <c r="S6955" t="s">
        <v>32616</v>
      </c>
      <c r="T6955" t="s">
        <v>33234</v>
      </c>
      <c r="U6955" t="s">
        <v>39450</v>
      </c>
      <c r="V6955" t="s">
        <v>43183</v>
      </c>
      <c r="W6955" t="s">
        <v>31859</v>
      </c>
      <c r="X6955" t="s">
        <v>32533</v>
      </c>
    </row>
    <row r="6956" spans="1:24">
      <c r="A6956">
        <f>HYPERLINK("https://www.philgeps.gov.ph/GEPSNONPILOT/Tender/SplashBidNoticeAbstractUI.aspx?menuIndex=3&amp;refID=7037715&amp;Result=3","7037715")</f>
        <v>0</v>
      </c>
      <c r="B6956" t="s">
        <v>2104</v>
      </c>
      <c r="C6956" t="s">
        <v>9324</v>
      </c>
      <c r="D6956" t="s">
        <v>13015</v>
      </c>
      <c r="E6956" t="s">
        <v>19214</v>
      </c>
      <c r="F6956" t="s">
        <v>22436</v>
      </c>
      <c r="G6956" t="s">
        <v>22443</v>
      </c>
      <c r="H6956" t="s">
        <v>22452</v>
      </c>
      <c r="I6956" t="s">
        <v>3529</v>
      </c>
      <c r="J6956" t="s">
        <v>27083</v>
      </c>
      <c r="K6956" t="s">
        <v>29344</v>
      </c>
      <c r="M6956" t="s">
        <v>31853</v>
      </c>
      <c r="N6956" t="s">
        <v>32524</v>
      </c>
      <c r="O6956" t="s">
        <v>32525</v>
      </c>
      <c r="P6956">
        <v>0</v>
      </c>
      <c r="Q6956">
        <v>0</v>
      </c>
      <c r="R6956" t="s">
        <v>32532</v>
      </c>
      <c r="S6956" t="s">
        <v>32616</v>
      </c>
      <c r="T6956" t="s">
        <v>33161</v>
      </c>
      <c r="U6956" t="s">
        <v>39451</v>
      </c>
      <c r="W6956" t="s">
        <v>31853</v>
      </c>
      <c r="X6956" t="s">
        <v>32533</v>
      </c>
    </row>
    <row r="6957" spans="1:24">
      <c r="A6957">
        <f>HYPERLINK("https://www.philgeps.gov.ph/GEPSNONPILOT/Tender/SplashBidNoticeAbstractUI.aspx?menuIndex=3&amp;refID=7037691&amp;Result=3","7037691")</f>
        <v>0</v>
      </c>
      <c r="B6957" t="s">
        <v>466</v>
      </c>
      <c r="C6957" t="s">
        <v>9325</v>
      </c>
      <c r="D6957" t="s">
        <v>13045</v>
      </c>
      <c r="E6957" t="s">
        <v>19215</v>
      </c>
      <c r="F6957" t="s">
        <v>22436</v>
      </c>
      <c r="G6957" t="s">
        <v>22444</v>
      </c>
      <c r="H6957" t="s">
        <v>22452</v>
      </c>
      <c r="I6957" t="s">
        <v>12358</v>
      </c>
      <c r="J6957" t="s">
        <v>27084</v>
      </c>
      <c r="K6957" t="s">
        <v>29338</v>
      </c>
      <c r="M6957" t="s">
        <v>30321</v>
      </c>
      <c r="N6957" t="s">
        <v>32524</v>
      </c>
      <c r="O6957" t="s">
        <v>32525</v>
      </c>
      <c r="P6957">
        <v>0</v>
      </c>
      <c r="Q6957">
        <v>1</v>
      </c>
      <c r="R6957" t="s">
        <v>32532</v>
      </c>
      <c r="S6957" t="s">
        <v>32616</v>
      </c>
      <c r="T6957" t="s">
        <v>33310</v>
      </c>
      <c r="U6957" t="s">
        <v>39452</v>
      </c>
      <c r="V6957" t="s">
        <v>43086</v>
      </c>
      <c r="W6957" t="s">
        <v>30321</v>
      </c>
      <c r="X6957" t="s">
        <v>32533</v>
      </c>
    </row>
    <row r="6958" spans="1:24">
      <c r="A6958">
        <f>HYPERLINK("https://www.philgeps.gov.ph/GEPSNONPILOT/Tender/SplashBidNoticeAbstractUI.aspx?menuIndex=3&amp;refID=7037731&amp;Result=3","7037731")</f>
        <v>0</v>
      </c>
      <c r="B6958" t="s">
        <v>1338</v>
      </c>
      <c r="C6958" t="s">
        <v>9326</v>
      </c>
      <c r="D6958" t="s">
        <v>13046</v>
      </c>
      <c r="E6958" t="s">
        <v>19216</v>
      </c>
      <c r="F6958" t="s">
        <v>22436</v>
      </c>
      <c r="G6958" t="s">
        <v>22444</v>
      </c>
      <c r="H6958" t="s">
        <v>22455</v>
      </c>
      <c r="I6958" t="s">
        <v>22455</v>
      </c>
      <c r="J6958" t="s">
        <v>27053</v>
      </c>
      <c r="K6958" t="s">
        <v>29333</v>
      </c>
      <c r="M6958" t="s">
        <v>31153</v>
      </c>
      <c r="N6958" t="s">
        <v>32524</v>
      </c>
      <c r="O6958" t="s">
        <v>32525</v>
      </c>
      <c r="P6958">
        <v>0</v>
      </c>
      <c r="Q6958">
        <v>2</v>
      </c>
      <c r="R6958" t="s">
        <v>32532</v>
      </c>
      <c r="S6958" t="s">
        <v>32616</v>
      </c>
      <c r="T6958" t="s">
        <v>33296</v>
      </c>
      <c r="U6958" t="s">
        <v>39453</v>
      </c>
      <c r="W6958" t="s">
        <v>31153</v>
      </c>
      <c r="X6958" t="s">
        <v>32533</v>
      </c>
    </row>
    <row r="6959" spans="1:24">
      <c r="A6959">
        <f>HYPERLINK("https://www.philgeps.gov.ph/GEPSNONPILOT/Tender/SplashBidNoticeAbstractUI.aspx?menuIndex=3&amp;refID=7037713&amp;Result=3","7037713")</f>
        <v>0</v>
      </c>
      <c r="B6959" t="s">
        <v>950</v>
      </c>
      <c r="C6959" t="s">
        <v>9327</v>
      </c>
      <c r="D6959" t="s">
        <v>13010</v>
      </c>
      <c r="E6959" t="s">
        <v>19217</v>
      </c>
      <c r="F6959" t="s">
        <v>22436</v>
      </c>
      <c r="G6959" t="s">
        <v>22444</v>
      </c>
      <c r="H6959" t="s">
        <v>22452</v>
      </c>
      <c r="I6959" t="s">
        <v>22479</v>
      </c>
      <c r="J6959" t="s">
        <v>27085</v>
      </c>
      <c r="K6959" t="s">
        <v>29338</v>
      </c>
      <c r="M6959" t="s">
        <v>30564</v>
      </c>
      <c r="N6959" t="s">
        <v>32524</v>
      </c>
      <c r="O6959" t="s">
        <v>32525</v>
      </c>
      <c r="P6959">
        <v>0</v>
      </c>
      <c r="Q6959">
        <v>0</v>
      </c>
      <c r="R6959" t="s">
        <v>32532</v>
      </c>
      <c r="S6959" t="s">
        <v>32616</v>
      </c>
      <c r="T6959" t="s">
        <v>33309</v>
      </c>
      <c r="U6959" t="s">
        <v>39454</v>
      </c>
      <c r="W6959" t="s">
        <v>30564</v>
      </c>
      <c r="X6959" t="s">
        <v>32533</v>
      </c>
    </row>
    <row r="6960" spans="1:24">
      <c r="A6960">
        <f>HYPERLINK("https://www.philgeps.gov.ph/GEPSNONPILOT/Tender/SplashBidNoticeAbstractUI.aspx?menuIndex=3&amp;refID=7037729&amp;Result=3","7037729")</f>
        <v>0</v>
      </c>
      <c r="B6960" t="s">
        <v>992</v>
      </c>
      <c r="C6960" t="s">
        <v>9328</v>
      </c>
      <c r="D6960" t="s">
        <v>13024</v>
      </c>
      <c r="E6960" t="s">
        <v>19218</v>
      </c>
      <c r="F6960" t="s">
        <v>22436</v>
      </c>
      <c r="G6960" t="s">
        <v>22444</v>
      </c>
      <c r="H6960" t="s">
        <v>22454</v>
      </c>
      <c r="I6960" t="s">
        <v>7738</v>
      </c>
      <c r="J6960" t="s">
        <v>23205</v>
      </c>
      <c r="K6960" t="s">
        <v>29438</v>
      </c>
      <c r="M6960" t="s">
        <v>30616</v>
      </c>
      <c r="N6960" t="s">
        <v>32524</v>
      </c>
      <c r="O6960" t="s">
        <v>32525</v>
      </c>
      <c r="P6960">
        <v>0</v>
      </c>
      <c r="Q6960">
        <v>0</v>
      </c>
      <c r="R6960" t="s">
        <v>32532</v>
      </c>
      <c r="S6960" t="s">
        <v>32616</v>
      </c>
      <c r="T6960" t="s">
        <v>33242</v>
      </c>
      <c r="U6960" t="s">
        <v>39455</v>
      </c>
      <c r="V6960" t="s">
        <v>42679</v>
      </c>
      <c r="W6960" t="s">
        <v>30616</v>
      </c>
      <c r="X6960" t="s">
        <v>32533</v>
      </c>
    </row>
    <row r="6961" spans="1:24">
      <c r="A6961">
        <f>HYPERLINK("https://www.philgeps.gov.ph/GEPSNONPILOT/Tender/SplashBidNoticeAbstractUI.aspx?menuIndex=3&amp;refID=7037753&amp;Result=3","7037753")</f>
        <v>0</v>
      </c>
      <c r="B6961" t="s">
        <v>687</v>
      </c>
      <c r="C6961" t="s">
        <v>9329</v>
      </c>
      <c r="E6961" t="s">
        <v>19219</v>
      </c>
      <c r="F6961" t="s">
        <v>22436</v>
      </c>
      <c r="G6961" t="s">
        <v>22444</v>
      </c>
      <c r="H6961" t="s">
        <v>22452</v>
      </c>
      <c r="I6961" t="s">
        <v>22479</v>
      </c>
      <c r="J6961" t="s">
        <v>22877</v>
      </c>
      <c r="K6961" t="s">
        <v>29362</v>
      </c>
      <c r="M6961" t="s">
        <v>30281</v>
      </c>
      <c r="N6961" t="s">
        <v>32524</v>
      </c>
      <c r="O6961" t="s">
        <v>32525</v>
      </c>
      <c r="P6961">
        <v>0</v>
      </c>
      <c r="Q6961">
        <v>3</v>
      </c>
      <c r="R6961" t="s">
        <v>32532</v>
      </c>
      <c r="S6961" t="s">
        <v>32616</v>
      </c>
      <c r="T6961" t="s">
        <v>33218</v>
      </c>
      <c r="U6961" t="s">
        <v>39456</v>
      </c>
      <c r="W6961" t="s">
        <v>30281</v>
      </c>
      <c r="X6961" t="s">
        <v>32533</v>
      </c>
    </row>
    <row r="6962" spans="1:24">
      <c r="A6962">
        <f>HYPERLINK("https://www.philgeps.gov.ph/GEPSNONPILOT/Tender/SplashBidNoticeAbstractUI.aspx?menuIndex=3&amp;refID=7037697&amp;Result=3","7037697")</f>
        <v>0</v>
      </c>
      <c r="B6962" t="s">
        <v>2109</v>
      </c>
      <c r="C6962" t="s">
        <v>9330</v>
      </c>
      <c r="E6962" t="s">
        <v>19220</v>
      </c>
      <c r="F6962" t="s">
        <v>22436</v>
      </c>
      <c r="G6962" t="s">
        <v>22444</v>
      </c>
      <c r="H6962" t="s">
        <v>22454</v>
      </c>
      <c r="I6962" t="s">
        <v>7738</v>
      </c>
      <c r="J6962" t="s">
        <v>27086</v>
      </c>
      <c r="K6962" t="s">
        <v>29346</v>
      </c>
      <c r="M6962" t="s">
        <v>31859</v>
      </c>
      <c r="N6962" t="s">
        <v>32524</v>
      </c>
      <c r="O6962" t="s">
        <v>32525</v>
      </c>
      <c r="P6962">
        <v>0</v>
      </c>
      <c r="Q6962">
        <v>0</v>
      </c>
      <c r="R6962" t="s">
        <v>32532</v>
      </c>
      <c r="S6962" t="s">
        <v>32616</v>
      </c>
      <c r="T6962" t="s">
        <v>33234</v>
      </c>
      <c r="U6962" t="s">
        <v>39450</v>
      </c>
      <c r="V6962" t="s">
        <v>43184</v>
      </c>
      <c r="W6962" t="s">
        <v>31859</v>
      </c>
      <c r="X6962" t="s">
        <v>32533</v>
      </c>
    </row>
    <row r="6963" spans="1:24">
      <c r="A6963">
        <f>HYPERLINK("https://www.philgeps.gov.ph/GEPSNONPILOT/Tender/SplashBidNoticeAbstractUI.aspx?menuIndex=3&amp;refID=7037747&amp;Result=3","7037747")</f>
        <v>0</v>
      </c>
      <c r="B6963" t="s">
        <v>1497</v>
      </c>
      <c r="C6963" t="s">
        <v>9331</v>
      </c>
      <c r="D6963" t="s">
        <v>12988</v>
      </c>
      <c r="E6963" t="s">
        <v>19221</v>
      </c>
      <c r="F6963" t="s">
        <v>22436</v>
      </c>
      <c r="G6963" t="s">
        <v>22444</v>
      </c>
      <c r="H6963" t="s">
        <v>22452</v>
      </c>
      <c r="I6963" t="s">
        <v>3122</v>
      </c>
      <c r="J6963" t="s">
        <v>27087</v>
      </c>
      <c r="K6963" t="s">
        <v>29341</v>
      </c>
      <c r="M6963" t="s">
        <v>31785</v>
      </c>
      <c r="N6963" t="s">
        <v>32524</v>
      </c>
      <c r="O6963" t="s">
        <v>32525</v>
      </c>
      <c r="P6963">
        <v>0</v>
      </c>
      <c r="Q6963">
        <v>0</v>
      </c>
      <c r="R6963" t="s">
        <v>32532</v>
      </c>
      <c r="S6963" t="s">
        <v>32616</v>
      </c>
      <c r="T6963" t="s">
        <v>33238</v>
      </c>
      <c r="U6963" t="s">
        <v>37308</v>
      </c>
      <c r="W6963" t="s">
        <v>31785</v>
      </c>
      <c r="X6963" t="s">
        <v>32533</v>
      </c>
    </row>
    <row r="6964" spans="1:24">
      <c r="A6964">
        <f>HYPERLINK("https://www.philgeps.gov.ph/GEPSNONPILOT/Tender/SplashBidNoticeAbstractUI.aspx?menuIndex=3&amp;refID=7037751&amp;Result=3","7037751")</f>
        <v>0</v>
      </c>
      <c r="B6964" t="s">
        <v>1497</v>
      </c>
      <c r="C6964" t="s">
        <v>9332</v>
      </c>
      <c r="D6964" t="s">
        <v>12988</v>
      </c>
      <c r="E6964" t="s">
        <v>19222</v>
      </c>
      <c r="F6964" t="s">
        <v>22436</v>
      </c>
      <c r="G6964" t="s">
        <v>22444</v>
      </c>
      <c r="H6964" t="s">
        <v>22452</v>
      </c>
      <c r="I6964" t="s">
        <v>3122</v>
      </c>
      <c r="J6964" t="s">
        <v>26359</v>
      </c>
      <c r="K6964" t="s">
        <v>29341</v>
      </c>
      <c r="M6964" t="s">
        <v>31785</v>
      </c>
      <c r="N6964" t="s">
        <v>32524</v>
      </c>
      <c r="O6964" t="s">
        <v>32525</v>
      </c>
      <c r="P6964">
        <v>0</v>
      </c>
      <c r="Q6964">
        <v>0</v>
      </c>
      <c r="R6964" t="s">
        <v>32532</v>
      </c>
      <c r="S6964" t="s">
        <v>32616</v>
      </c>
      <c r="T6964" t="s">
        <v>33238</v>
      </c>
      <c r="U6964" t="s">
        <v>37308</v>
      </c>
      <c r="W6964" t="s">
        <v>31785</v>
      </c>
      <c r="X6964" t="s">
        <v>32533</v>
      </c>
    </row>
    <row r="6965" spans="1:24">
      <c r="A6965">
        <f>HYPERLINK("https://www.philgeps.gov.ph/GEPSNONPILOT/Tender/SplashBidNoticeAbstractUI.aspx?menuIndex=3&amp;refID=7037746&amp;Result=3","7037746")</f>
        <v>0</v>
      </c>
      <c r="B6965" t="s">
        <v>950</v>
      </c>
      <c r="C6965" t="s">
        <v>9333</v>
      </c>
      <c r="D6965" t="s">
        <v>13010</v>
      </c>
      <c r="E6965" t="s">
        <v>19223</v>
      </c>
      <c r="F6965" t="s">
        <v>22436</v>
      </c>
      <c r="G6965" t="s">
        <v>22444</v>
      </c>
      <c r="H6965" t="s">
        <v>22452</v>
      </c>
      <c r="I6965" t="s">
        <v>3381</v>
      </c>
      <c r="J6965" t="s">
        <v>27088</v>
      </c>
      <c r="K6965" t="s">
        <v>29338</v>
      </c>
      <c r="M6965" t="s">
        <v>30564</v>
      </c>
      <c r="N6965" t="s">
        <v>32524</v>
      </c>
      <c r="O6965" t="s">
        <v>32525</v>
      </c>
      <c r="P6965">
        <v>0</v>
      </c>
      <c r="Q6965">
        <v>2</v>
      </c>
      <c r="R6965" t="s">
        <v>32532</v>
      </c>
      <c r="S6965" t="s">
        <v>32616</v>
      </c>
      <c r="T6965" t="s">
        <v>33545</v>
      </c>
      <c r="U6965" t="s">
        <v>39457</v>
      </c>
      <c r="W6965" t="s">
        <v>30564</v>
      </c>
      <c r="X6965" t="s">
        <v>32533</v>
      </c>
    </row>
    <row r="6966" spans="1:24">
      <c r="A6966">
        <f>HYPERLINK("https://www.philgeps.gov.ph/GEPSNONPILOT/Tender/SplashBidNoticeAbstractUI.aspx?menuIndex=3&amp;refID=7037760&amp;Result=3","7037760")</f>
        <v>0</v>
      </c>
      <c r="B6966" t="s">
        <v>2110</v>
      </c>
      <c r="C6966" t="s">
        <v>9334</v>
      </c>
      <c r="E6966" t="s">
        <v>19224</v>
      </c>
      <c r="F6966" t="s">
        <v>22436</v>
      </c>
      <c r="G6966" t="s">
        <v>22444</v>
      </c>
      <c r="H6966" t="s">
        <v>22452</v>
      </c>
      <c r="I6966" t="s">
        <v>22476</v>
      </c>
      <c r="J6966" t="s">
        <v>27089</v>
      </c>
      <c r="K6966" t="s">
        <v>29338</v>
      </c>
      <c r="M6966" t="s">
        <v>31860</v>
      </c>
      <c r="N6966" t="s">
        <v>32524</v>
      </c>
      <c r="O6966" t="s">
        <v>32525</v>
      </c>
      <c r="Q6966">
        <v>7</v>
      </c>
      <c r="R6966" t="s">
        <v>32532</v>
      </c>
      <c r="S6966" t="s">
        <v>32655</v>
      </c>
      <c r="T6966" t="s">
        <v>33546</v>
      </c>
      <c r="U6966" t="s">
        <v>39458</v>
      </c>
      <c r="W6966" t="s">
        <v>31860</v>
      </c>
      <c r="X6966" t="s">
        <v>32533</v>
      </c>
    </row>
    <row r="6967" spans="1:24">
      <c r="A6967">
        <f>HYPERLINK("https://www.philgeps.gov.ph/GEPSNONPILOT/Tender/SplashBidNoticeAbstractUI.aspx?menuIndex=3&amp;refID=7037755&amp;Result=3","7037755")</f>
        <v>0</v>
      </c>
      <c r="B6967" t="s">
        <v>1497</v>
      </c>
      <c r="C6967" t="s">
        <v>9335</v>
      </c>
      <c r="D6967" t="s">
        <v>12988</v>
      </c>
      <c r="E6967" t="s">
        <v>19225</v>
      </c>
      <c r="F6967" t="s">
        <v>22436</v>
      </c>
      <c r="G6967" t="s">
        <v>22444</v>
      </c>
      <c r="H6967" t="s">
        <v>22452</v>
      </c>
      <c r="I6967" t="s">
        <v>3122</v>
      </c>
      <c r="J6967" t="s">
        <v>27090</v>
      </c>
      <c r="K6967" t="s">
        <v>29341</v>
      </c>
      <c r="M6967" t="s">
        <v>31785</v>
      </c>
      <c r="N6967" t="s">
        <v>32524</v>
      </c>
      <c r="O6967" t="s">
        <v>32525</v>
      </c>
      <c r="P6967">
        <v>0</v>
      </c>
      <c r="Q6967">
        <v>1</v>
      </c>
      <c r="R6967" t="s">
        <v>32532</v>
      </c>
      <c r="S6967" t="s">
        <v>32616</v>
      </c>
      <c r="T6967" t="s">
        <v>33238</v>
      </c>
      <c r="U6967" t="s">
        <v>37308</v>
      </c>
      <c r="W6967" t="s">
        <v>31785</v>
      </c>
      <c r="X6967" t="s">
        <v>32533</v>
      </c>
    </row>
    <row r="6968" spans="1:24">
      <c r="A6968">
        <f>HYPERLINK("https://www.philgeps.gov.ph/GEPSNONPILOT/Tender/SplashBidNoticeAbstractUI.aspx?menuIndex=3&amp;refID=7037758&amp;Result=3","7037758")</f>
        <v>0</v>
      </c>
      <c r="B6968" t="s">
        <v>1523</v>
      </c>
      <c r="C6968" t="s">
        <v>9336</v>
      </c>
      <c r="D6968" t="s">
        <v>13037</v>
      </c>
      <c r="E6968" t="s">
        <v>19226</v>
      </c>
      <c r="F6968" t="s">
        <v>22436</v>
      </c>
      <c r="G6968" t="s">
        <v>22444</v>
      </c>
      <c r="H6968" t="s">
        <v>22455</v>
      </c>
      <c r="I6968" t="s">
        <v>22455</v>
      </c>
      <c r="J6968" t="s">
        <v>27091</v>
      </c>
      <c r="K6968" t="s">
        <v>29329</v>
      </c>
      <c r="M6968" t="s">
        <v>31198</v>
      </c>
      <c r="N6968" t="s">
        <v>32524</v>
      </c>
      <c r="O6968" t="s">
        <v>32525</v>
      </c>
      <c r="Q6968">
        <v>3</v>
      </c>
      <c r="R6968" t="s">
        <v>32532</v>
      </c>
      <c r="S6968" t="s">
        <v>32656</v>
      </c>
      <c r="T6968" t="s">
        <v>33166</v>
      </c>
      <c r="U6968" t="s">
        <v>39459</v>
      </c>
      <c r="W6968" t="s">
        <v>31198</v>
      </c>
      <c r="X6968" t="s">
        <v>32533</v>
      </c>
    </row>
    <row r="6969" spans="1:24">
      <c r="A6969">
        <f>HYPERLINK("https://www.philgeps.gov.ph/GEPSNONPILOT/Tender/SplashBidNoticeAbstractUI.aspx?menuIndex=3&amp;refID=7037739&amp;Result=3","7037739")</f>
        <v>0</v>
      </c>
      <c r="B6969" t="s">
        <v>2092</v>
      </c>
      <c r="C6969" t="s">
        <v>9337</v>
      </c>
      <c r="D6969" t="s">
        <v>13032</v>
      </c>
      <c r="E6969" t="s">
        <v>19227</v>
      </c>
      <c r="F6969" t="s">
        <v>22436</v>
      </c>
      <c r="G6969" t="s">
        <v>22444</v>
      </c>
      <c r="H6969" t="s">
        <v>22454</v>
      </c>
      <c r="I6969" t="s">
        <v>7738</v>
      </c>
      <c r="J6969" t="s">
        <v>27092</v>
      </c>
      <c r="K6969" t="s">
        <v>29338</v>
      </c>
      <c r="M6969" t="s">
        <v>31836</v>
      </c>
      <c r="N6969" t="s">
        <v>32524</v>
      </c>
      <c r="O6969" t="s">
        <v>32525</v>
      </c>
      <c r="P6969">
        <v>0</v>
      </c>
      <c r="Q6969">
        <v>0</v>
      </c>
      <c r="R6969" t="s">
        <v>32532</v>
      </c>
      <c r="S6969" t="s">
        <v>32616</v>
      </c>
      <c r="T6969" t="s">
        <v>33242</v>
      </c>
      <c r="U6969" t="s">
        <v>39353</v>
      </c>
      <c r="W6969" t="s">
        <v>31836</v>
      </c>
      <c r="X6969" t="s">
        <v>32533</v>
      </c>
    </row>
    <row r="6970" spans="1:24">
      <c r="A6970">
        <f>HYPERLINK("https://www.philgeps.gov.ph/GEPSNONPILOT/Tender/SplashBidNoticeAbstractUI.aspx?menuIndex=3&amp;refID=7037752&amp;Result=3","7037752")</f>
        <v>0</v>
      </c>
      <c r="B6970" t="s">
        <v>992</v>
      </c>
      <c r="C6970" t="s">
        <v>9338</v>
      </c>
      <c r="D6970" t="s">
        <v>13024</v>
      </c>
      <c r="E6970" t="s">
        <v>19228</v>
      </c>
      <c r="F6970" t="s">
        <v>22436</v>
      </c>
      <c r="G6970" t="s">
        <v>22444</v>
      </c>
      <c r="H6970" t="s">
        <v>22454</v>
      </c>
      <c r="I6970" t="s">
        <v>7738</v>
      </c>
      <c r="J6970" t="s">
        <v>23205</v>
      </c>
      <c r="K6970" t="s">
        <v>29438</v>
      </c>
      <c r="M6970" t="s">
        <v>30616</v>
      </c>
      <c r="N6970" t="s">
        <v>32524</v>
      </c>
      <c r="O6970" t="s">
        <v>32525</v>
      </c>
      <c r="P6970">
        <v>0</v>
      </c>
      <c r="Q6970">
        <v>0</v>
      </c>
      <c r="R6970" t="s">
        <v>32532</v>
      </c>
      <c r="S6970" t="s">
        <v>32616</v>
      </c>
      <c r="T6970" t="s">
        <v>33242</v>
      </c>
      <c r="U6970" t="s">
        <v>39460</v>
      </c>
      <c r="V6970" t="s">
        <v>42679</v>
      </c>
      <c r="W6970" t="s">
        <v>30616</v>
      </c>
      <c r="X6970" t="s">
        <v>32533</v>
      </c>
    </row>
    <row r="6971" spans="1:24">
      <c r="A6971">
        <f>HYPERLINK("https://www.philgeps.gov.ph/GEPSNONPILOT/Tender/SplashBidNoticeAbstractUI.aspx?menuIndex=3&amp;refID=7037738&amp;Result=3","7037738")</f>
        <v>0</v>
      </c>
      <c r="B6971" t="s">
        <v>1497</v>
      </c>
      <c r="C6971" t="s">
        <v>9339</v>
      </c>
      <c r="D6971" t="s">
        <v>12988</v>
      </c>
      <c r="E6971" t="s">
        <v>19229</v>
      </c>
      <c r="F6971" t="s">
        <v>22436</v>
      </c>
      <c r="G6971" t="s">
        <v>22444</v>
      </c>
      <c r="H6971" t="s">
        <v>22452</v>
      </c>
      <c r="I6971" t="s">
        <v>3122</v>
      </c>
      <c r="J6971" t="s">
        <v>27093</v>
      </c>
      <c r="K6971" t="s">
        <v>29341</v>
      </c>
      <c r="M6971" t="s">
        <v>31785</v>
      </c>
      <c r="N6971" t="s">
        <v>32524</v>
      </c>
      <c r="O6971" t="s">
        <v>32525</v>
      </c>
      <c r="P6971">
        <v>0</v>
      </c>
      <c r="Q6971">
        <v>0</v>
      </c>
      <c r="R6971" t="s">
        <v>32532</v>
      </c>
      <c r="S6971" t="s">
        <v>32616</v>
      </c>
      <c r="T6971" t="s">
        <v>33238</v>
      </c>
      <c r="U6971" t="s">
        <v>37308</v>
      </c>
      <c r="W6971" t="s">
        <v>31785</v>
      </c>
      <c r="X6971" t="s">
        <v>32533</v>
      </c>
    </row>
    <row r="6972" spans="1:24">
      <c r="A6972">
        <f>HYPERLINK("https://www.philgeps.gov.ph/GEPSNONPILOT/Tender/SplashBidNoticeAbstractUI.aspx?menuIndex=3&amp;refID=7037743&amp;Result=3","7037743")</f>
        <v>0</v>
      </c>
      <c r="B6972" t="s">
        <v>57</v>
      </c>
      <c r="C6972" t="s">
        <v>9340</v>
      </c>
      <c r="D6972" t="s">
        <v>13013</v>
      </c>
      <c r="E6972" t="s">
        <v>19230</v>
      </c>
      <c r="F6972" t="s">
        <v>22436</v>
      </c>
      <c r="G6972" t="s">
        <v>22444</v>
      </c>
      <c r="H6972" t="s">
        <v>22452</v>
      </c>
      <c r="I6972" t="s">
        <v>22474</v>
      </c>
      <c r="J6972" t="s">
        <v>22669</v>
      </c>
      <c r="K6972" t="s">
        <v>29342</v>
      </c>
      <c r="M6972" t="s">
        <v>29629</v>
      </c>
      <c r="N6972" t="s">
        <v>32524</v>
      </c>
      <c r="O6972" t="s">
        <v>32525</v>
      </c>
      <c r="P6972">
        <v>0</v>
      </c>
      <c r="Q6972">
        <v>5</v>
      </c>
      <c r="R6972" t="s">
        <v>32532</v>
      </c>
      <c r="S6972" t="s">
        <v>32616</v>
      </c>
      <c r="T6972" t="s">
        <v>33234</v>
      </c>
      <c r="U6972" t="s">
        <v>39461</v>
      </c>
      <c r="V6972" t="s">
        <v>43185</v>
      </c>
      <c r="W6972" t="s">
        <v>29629</v>
      </c>
      <c r="X6972" t="s">
        <v>32533</v>
      </c>
    </row>
    <row r="6973" spans="1:24">
      <c r="A6973">
        <f>HYPERLINK("https://www.philgeps.gov.ph/GEPSNONPILOT/Tender/SplashBidNoticeAbstractUI.aspx?menuIndex=3&amp;refID=7037741&amp;Result=3","7037741")</f>
        <v>0</v>
      </c>
      <c r="B6973" t="s">
        <v>687</v>
      </c>
      <c r="C6973" t="s">
        <v>9341</v>
      </c>
      <c r="E6973" t="s">
        <v>19231</v>
      </c>
      <c r="F6973" t="s">
        <v>22436</v>
      </c>
      <c r="G6973" t="s">
        <v>22444</v>
      </c>
      <c r="H6973" t="s">
        <v>22452</v>
      </c>
      <c r="I6973" t="s">
        <v>4688</v>
      </c>
      <c r="J6973" t="s">
        <v>27094</v>
      </c>
      <c r="K6973" t="s">
        <v>29335</v>
      </c>
      <c r="M6973" t="s">
        <v>30281</v>
      </c>
      <c r="N6973" t="s">
        <v>32524</v>
      </c>
      <c r="O6973" t="s">
        <v>32525</v>
      </c>
      <c r="P6973">
        <v>0</v>
      </c>
      <c r="Q6973">
        <v>3</v>
      </c>
      <c r="R6973" t="s">
        <v>32532</v>
      </c>
      <c r="S6973" t="s">
        <v>32616</v>
      </c>
      <c r="T6973" t="s">
        <v>33218</v>
      </c>
      <c r="U6973" t="s">
        <v>39456</v>
      </c>
      <c r="W6973" t="s">
        <v>30281</v>
      </c>
      <c r="X6973" t="s">
        <v>32533</v>
      </c>
    </row>
    <row r="6974" spans="1:24">
      <c r="A6974">
        <f>HYPERLINK("https://www.philgeps.gov.ph/GEPSNONPILOT/Tender/SplashBidNoticeAbstractUI.aspx?menuIndex=3&amp;refID=7037737&amp;Result=3","7037737")</f>
        <v>0</v>
      </c>
      <c r="B6974" t="s">
        <v>844</v>
      </c>
      <c r="C6974" t="s">
        <v>9342</v>
      </c>
      <c r="D6974" t="s">
        <v>13009</v>
      </c>
      <c r="E6974" t="s">
        <v>19232</v>
      </c>
      <c r="F6974" t="s">
        <v>22436</v>
      </c>
      <c r="G6974" t="s">
        <v>22444</v>
      </c>
      <c r="H6974" t="s">
        <v>22454</v>
      </c>
      <c r="I6974" t="s">
        <v>7738</v>
      </c>
      <c r="J6974" t="s">
        <v>23387</v>
      </c>
      <c r="K6974" t="s">
        <v>29479</v>
      </c>
      <c r="M6974" t="s">
        <v>30450</v>
      </c>
      <c r="N6974" t="s">
        <v>32524</v>
      </c>
      <c r="O6974" t="s">
        <v>32525</v>
      </c>
      <c r="P6974">
        <v>0</v>
      </c>
      <c r="Q6974">
        <v>0</v>
      </c>
      <c r="R6974" t="s">
        <v>32532</v>
      </c>
      <c r="S6974" t="s">
        <v>32616</v>
      </c>
      <c r="T6974" t="s">
        <v>33385</v>
      </c>
      <c r="U6974" t="s">
        <v>39152</v>
      </c>
      <c r="W6974" t="s">
        <v>30450</v>
      </c>
      <c r="X6974" t="s">
        <v>32533</v>
      </c>
    </row>
    <row r="6975" spans="1:24">
      <c r="A6975">
        <f>HYPERLINK("https://www.philgeps.gov.ph/GEPSNONPILOT/Tender/SplashBidNoticeAbstractUI.aspx?menuIndex=3&amp;refID=7037757&amp;Result=3","7037757")</f>
        <v>0</v>
      </c>
      <c r="B6975" t="s">
        <v>1868</v>
      </c>
      <c r="C6975" t="s">
        <v>9343</v>
      </c>
      <c r="D6975" t="s">
        <v>13031</v>
      </c>
      <c r="E6975" t="s">
        <v>19233</v>
      </c>
      <c r="F6975" t="s">
        <v>22438</v>
      </c>
      <c r="G6975" t="s">
        <v>22446</v>
      </c>
      <c r="H6975" t="s">
        <v>22455</v>
      </c>
      <c r="I6975" t="s">
        <v>22486</v>
      </c>
      <c r="J6975" t="s">
        <v>27095</v>
      </c>
      <c r="K6975" t="s">
        <v>29371</v>
      </c>
      <c r="M6975" t="s">
        <v>31861</v>
      </c>
      <c r="N6975" t="s">
        <v>32524</v>
      </c>
      <c r="O6975" t="s">
        <v>32525</v>
      </c>
      <c r="Q6975">
        <v>2</v>
      </c>
      <c r="R6975" t="s">
        <v>32532</v>
      </c>
      <c r="S6975" t="s">
        <v>32657</v>
      </c>
      <c r="T6975" t="s">
        <v>33547</v>
      </c>
      <c r="U6975" t="s">
        <v>39462</v>
      </c>
      <c r="W6975" t="s">
        <v>31586</v>
      </c>
      <c r="X6975" t="s">
        <v>32533</v>
      </c>
    </row>
    <row r="6976" spans="1:24">
      <c r="A6976">
        <f>HYPERLINK("https://www.philgeps.gov.ph/GEPSNONPILOT/Tender/SplashBidNoticeAbstractUI.aspx?menuIndex=3&amp;refID=7037742&amp;Result=3","7037742")</f>
        <v>0</v>
      </c>
      <c r="B6976" t="s">
        <v>665</v>
      </c>
      <c r="C6976" t="s">
        <v>9344</v>
      </c>
      <c r="D6976" t="s">
        <v>13038</v>
      </c>
      <c r="E6976" t="s">
        <v>19234</v>
      </c>
      <c r="F6976" t="s">
        <v>22436</v>
      </c>
      <c r="G6976" t="s">
        <v>22446</v>
      </c>
      <c r="H6976" t="s">
        <v>22452</v>
      </c>
      <c r="I6976" t="s">
        <v>22460</v>
      </c>
      <c r="J6976" t="s">
        <v>27096</v>
      </c>
      <c r="K6976" t="s">
        <v>29337</v>
      </c>
      <c r="M6976" t="s">
        <v>30257</v>
      </c>
      <c r="N6976" t="s">
        <v>32524</v>
      </c>
      <c r="O6976" t="s">
        <v>32525</v>
      </c>
      <c r="P6976">
        <v>0</v>
      </c>
      <c r="Q6976">
        <v>2</v>
      </c>
      <c r="R6976" t="s">
        <v>32532</v>
      </c>
      <c r="S6976" t="s">
        <v>32616</v>
      </c>
      <c r="T6976" t="s">
        <v>33296</v>
      </c>
      <c r="U6976" t="s">
        <v>39463</v>
      </c>
      <c r="W6976" t="s">
        <v>30257</v>
      </c>
      <c r="X6976" t="s">
        <v>32533</v>
      </c>
    </row>
    <row r="6977" spans="1:24">
      <c r="A6977">
        <f>HYPERLINK("https://www.philgeps.gov.ph/GEPSNONPILOT/Tender/SplashBidNoticeAbstractUI.aspx?menuIndex=3&amp;refID=7037732&amp;Result=3","7037732")</f>
        <v>0</v>
      </c>
      <c r="B6977" t="s">
        <v>2111</v>
      </c>
      <c r="C6977" t="s">
        <v>9345</v>
      </c>
      <c r="D6977" t="s">
        <v>12996</v>
      </c>
      <c r="E6977" t="s">
        <v>19235</v>
      </c>
      <c r="F6977" t="s">
        <v>22436</v>
      </c>
      <c r="G6977" t="s">
        <v>22444</v>
      </c>
      <c r="H6977" t="s">
        <v>22452</v>
      </c>
      <c r="I6977" t="s">
        <v>6236</v>
      </c>
      <c r="J6977" t="s">
        <v>25858</v>
      </c>
      <c r="K6977" t="s">
        <v>29335</v>
      </c>
      <c r="M6977" t="s">
        <v>31862</v>
      </c>
      <c r="N6977" t="s">
        <v>32524</v>
      </c>
      <c r="O6977" t="s">
        <v>32525</v>
      </c>
      <c r="P6977">
        <v>0</v>
      </c>
      <c r="Q6977">
        <v>1</v>
      </c>
      <c r="R6977" t="s">
        <v>32532</v>
      </c>
      <c r="S6977" t="s">
        <v>32616</v>
      </c>
      <c r="T6977" t="s">
        <v>33218</v>
      </c>
      <c r="U6977" t="s">
        <v>39464</v>
      </c>
      <c r="W6977" t="s">
        <v>31862</v>
      </c>
      <c r="X6977" t="s">
        <v>32533</v>
      </c>
    </row>
    <row r="6978" spans="1:24">
      <c r="A6978">
        <f>HYPERLINK("https://www.philgeps.gov.ph/GEPSNONPILOT/Tender/SplashBidNoticeAbstractUI.aspx?menuIndex=3&amp;refID=7037765&amp;Result=3","7037765")</f>
        <v>0</v>
      </c>
      <c r="B6978" t="s">
        <v>449</v>
      </c>
      <c r="C6978" t="s">
        <v>9346</v>
      </c>
      <c r="D6978" t="s">
        <v>12999</v>
      </c>
      <c r="E6978" t="s">
        <v>19236</v>
      </c>
      <c r="F6978" t="s">
        <v>22436</v>
      </c>
      <c r="G6978" t="s">
        <v>22444</v>
      </c>
      <c r="H6978" t="s">
        <v>22454</v>
      </c>
      <c r="I6978" t="s">
        <v>7738</v>
      </c>
      <c r="J6978" t="s">
        <v>27097</v>
      </c>
      <c r="K6978" t="s">
        <v>29498</v>
      </c>
      <c r="M6978" t="s">
        <v>30031</v>
      </c>
      <c r="N6978" t="s">
        <v>32524</v>
      </c>
      <c r="O6978" t="s">
        <v>32525</v>
      </c>
      <c r="P6978">
        <v>0</v>
      </c>
      <c r="Q6978">
        <v>0</v>
      </c>
      <c r="R6978" t="s">
        <v>32532</v>
      </c>
      <c r="S6978" t="s">
        <v>32616</v>
      </c>
      <c r="T6978" t="s">
        <v>33234</v>
      </c>
      <c r="U6978" t="s">
        <v>39465</v>
      </c>
      <c r="W6978" t="s">
        <v>30031</v>
      </c>
      <c r="X6978" t="s">
        <v>32533</v>
      </c>
    </row>
    <row r="6979" spans="1:24">
      <c r="A6979">
        <f>HYPERLINK("https://www.philgeps.gov.ph/GEPSNONPILOT/Tender/SplashBidNoticeAbstractUI.aspx?menuIndex=3&amp;refID=7037776&amp;Result=3","7037776")</f>
        <v>0</v>
      </c>
      <c r="B6979" t="s">
        <v>2087</v>
      </c>
      <c r="C6979" t="s">
        <v>9347</v>
      </c>
      <c r="D6979" t="s">
        <v>13057</v>
      </c>
      <c r="E6979" t="s">
        <v>13681</v>
      </c>
      <c r="F6979" t="s">
        <v>22436</v>
      </c>
      <c r="G6979" t="s">
        <v>22444</v>
      </c>
      <c r="H6979" t="s">
        <v>22452</v>
      </c>
      <c r="I6979" t="s">
        <v>22518</v>
      </c>
      <c r="J6979" t="s">
        <v>22893</v>
      </c>
      <c r="K6979" t="s">
        <v>29341</v>
      </c>
      <c r="M6979" t="s">
        <v>31831</v>
      </c>
      <c r="N6979" t="s">
        <v>32524</v>
      </c>
      <c r="O6979" t="s">
        <v>32525</v>
      </c>
      <c r="P6979">
        <v>0</v>
      </c>
      <c r="Q6979">
        <v>4</v>
      </c>
      <c r="R6979" t="s">
        <v>32532</v>
      </c>
      <c r="S6979" t="s">
        <v>32616</v>
      </c>
      <c r="T6979" t="s">
        <v>33242</v>
      </c>
      <c r="U6979" t="s">
        <v>39466</v>
      </c>
      <c r="W6979" t="s">
        <v>31831</v>
      </c>
      <c r="X6979" t="s">
        <v>32533</v>
      </c>
    </row>
    <row r="6980" spans="1:24">
      <c r="A6980">
        <f>HYPERLINK("https://www.philgeps.gov.ph/GEPSNONPILOT/Tender/SplashBidNoticeAbstractUI.aspx?menuIndex=3&amp;refID=7037764&amp;Result=3","7037764")</f>
        <v>0</v>
      </c>
      <c r="B6980" t="s">
        <v>131</v>
      </c>
      <c r="C6980" t="s">
        <v>9277</v>
      </c>
      <c r="D6980" t="s">
        <v>13032</v>
      </c>
      <c r="E6980" t="s">
        <v>19237</v>
      </c>
      <c r="F6980" t="s">
        <v>22436</v>
      </c>
      <c r="G6980" t="s">
        <v>22444</v>
      </c>
      <c r="H6980" t="s">
        <v>22454</v>
      </c>
      <c r="I6980" t="s">
        <v>7738</v>
      </c>
      <c r="J6980" t="s">
        <v>27098</v>
      </c>
      <c r="K6980" t="s">
        <v>29338</v>
      </c>
      <c r="M6980" t="s">
        <v>29703</v>
      </c>
      <c r="N6980" t="s">
        <v>32524</v>
      </c>
      <c r="O6980" t="s">
        <v>32525</v>
      </c>
      <c r="P6980">
        <v>0</v>
      </c>
      <c r="Q6980">
        <v>2</v>
      </c>
      <c r="R6980" t="s">
        <v>32532</v>
      </c>
      <c r="S6980" t="s">
        <v>32616</v>
      </c>
      <c r="T6980" t="s">
        <v>33451</v>
      </c>
      <c r="U6980" t="s">
        <v>39412</v>
      </c>
      <c r="V6980" t="s">
        <v>42461</v>
      </c>
      <c r="W6980" t="s">
        <v>29703</v>
      </c>
      <c r="X6980" t="s">
        <v>32533</v>
      </c>
    </row>
    <row r="6981" spans="1:24">
      <c r="A6981">
        <f>HYPERLINK("https://www.philgeps.gov.ph/GEPSNONPILOT/Tender/SplashBidNoticeAbstractUI.aspx?menuIndex=3&amp;refID=7037761&amp;Result=3","7037761")</f>
        <v>0</v>
      </c>
      <c r="B6981" t="s">
        <v>1865</v>
      </c>
      <c r="C6981" t="s">
        <v>9348</v>
      </c>
      <c r="D6981" t="s">
        <v>13060</v>
      </c>
      <c r="E6981" t="s">
        <v>19238</v>
      </c>
      <c r="F6981" t="s">
        <v>22436</v>
      </c>
      <c r="G6981" t="s">
        <v>22444</v>
      </c>
      <c r="H6981" t="s">
        <v>22454</v>
      </c>
      <c r="I6981" t="s">
        <v>7738</v>
      </c>
      <c r="J6981" t="s">
        <v>22634</v>
      </c>
      <c r="K6981" t="s">
        <v>29364</v>
      </c>
      <c r="M6981" t="s">
        <v>31583</v>
      </c>
      <c r="N6981" t="s">
        <v>32524</v>
      </c>
      <c r="O6981" t="s">
        <v>32525</v>
      </c>
      <c r="P6981">
        <v>0</v>
      </c>
      <c r="Q6981">
        <v>1</v>
      </c>
      <c r="R6981" t="s">
        <v>32532</v>
      </c>
      <c r="S6981" t="s">
        <v>32616</v>
      </c>
      <c r="T6981" t="s">
        <v>33249</v>
      </c>
      <c r="U6981" t="s">
        <v>39467</v>
      </c>
      <c r="V6981" t="s">
        <v>43066</v>
      </c>
      <c r="W6981" t="s">
        <v>31583</v>
      </c>
      <c r="X6981" t="s">
        <v>32533</v>
      </c>
    </row>
    <row r="6982" spans="1:24">
      <c r="A6982">
        <f>HYPERLINK("https://www.philgeps.gov.ph/GEPSNONPILOT/Tender/SplashBidNoticeAbstractUI.aspx?menuIndex=3&amp;refID=7037772&amp;Result=3","7037772")</f>
        <v>0</v>
      </c>
      <c r="B6982" t="s">
        <v>57</v>
      </c>
      <c r="C6982" t="s">
        <v>9349</v>
      </c>
      <c r="D6982" t="s">
        <v>13013</v>
      </c>
      <c r="E6982" t="s">
        <v>19239</v>
      </c>
      <c r="F6982" t="s">
        <v>22436</v>
      </c>
      <c r="G6982" t="s">
        <v>22444</v>
      </c>
      <c r="H6982" t="s">
        <v>22452</v>
      </c>
      <c r="I6982" t="s">
        <v>22474</v>
      </c>
      <c r="J6982" t="s">
        <v>22943</v>
      </c>
      <c r="K6982" t="s">
        <v>29342</v>
      </c>
      <c r="M6982" t="s">
        <v>29629</v>
      </c>
      <c r="N6982" t="s">
        <v>32524</v>
      </c>
      <c r="O6982" t="s">
        <v>32525</v>
      </c>
      <c r="P6982">
        <v>0</v>
      </c>
      <c r="Q6982">
        <v>5</v>
      </c>
      <c r="R6982" t="s">
        <v>32532</v>
      </c>
      <c r="S6982" t="s">
        <v>32616</v>
      </c>
      <c r="T6982" t="s">
        <v>33234</v>
      </c>
      <c r="U6982" t="s">
        <v>39468</v>
      </c>
      <c r="V6982" t="s">
        <v>43186</v>
      </c>
      <c r="W6982" t="s">
        <v>29629</v>
      </c>
      <c r="X6982" t="s">
        <v>32533</v>
      </c>
    </row>
    <row r="6983" spans="1:24">
      <c r="A6983">
        <f>HYPERLINK("https://www.philgeps.gov.ph/GEPSNONPILOT/Tender/SplashBidNoticeAbstractUI.aspx?menuIndex=3&amp;refID=7037792&amp;Result=3","7037792")</f>
        <v>0</v>
      </c>
      <c r="B6983" t="s">
        <v>844</v>
      </c>
      <c r="C6983" t="s">
        <v>9350</v>
      </c>
      <c r="D6983" t="s">
        <v>13009</v>
      </c>
      <c r="E6983" t="s">
        <v>19240</v>
      </c>
      <c r="F6983" t="s">
        <v>22436</v>
      </c>
      <c r="G6983" t="s">
        <v>22444</v>
      </c>
      <c r="H6983" t="s">
        <v>22454</v>
      </c>
      <c r="I6983" t="s">
        <v>7738</v>
      </c>
      <c r="J6983" t="s">
        <v>25355</v>
      </c>
      <c r="K6983" t="s">
        <v>29367</v>
      </c>
      <c r="M6983" t="s">
        <v>30450</v>
      </c>
      <c r="N6983" t="s">
        <v>32524</v>
      </c>
      <c r="O6983" t="s">
        <v>32525</v>
      </c>
      <c r="P6983">
        <v>0</v>
      </c>
      <c r="Q6983">
        <v>0</v>
      </c>
      <c r="R6983" t="s">
        <v>32532</v>
      </c>
      <c r="S6983" t="s">
        <v>32616</v>
      </c>
      <c r="T6983" t="s">
        <v>33385</v>
      </c>
      <c r="U6983" t="s">
        <v>39152</v>
      </c>
      <c r="W6983" t="s">
        <v>30450</v>
      </c>
      <c r="X6983" t="s">
        <v>32533</v>
      </c>
    </row>
    <row r="6984" spans="1:24">
      <c r="A6984">
        <f>HYPERLINK("https://www.philgeps.gov.ph/GEPSNONPILOT/Tender/SplashBidNoticeAbstractUI.aspx?menuIndex=3&amp;refID=7037790&amp;Result=3","7037790")</f>
        <v>0</v>
      </c>
      <c r="B6984" t="s">
        <v>2112</v>
      </c>
      <c r="C6984" t="s">
        <v>9351</v>
      </c>
      <c r="E6984" t="s">
        <v>19241</v>
      </c>
      <c r="F6984" t="s">
        <v>22436</v>
      </c>
      <c r="G6984" t="s">
        <v>22444</v>
      </c>
      <c r="H6984" t="s">
        <v>22452</v>
      </c>
      <c r="I6984" t="s">
        <v>3529</v>
      </c>
      <c r="J6984" t="s">
        <v>27099</v>
      </c>
      <c r="K6984" t="s">
        <v>29338</v>
      </c>
      <c r="M6984" t="s">
        <v>31863</v>
      </c>
      <c r="N6984" t="s">
        <v>32524</v>
      </c>
      <c r="O6984" t="s">
        <v>32525</v>
      </c>
      <c r="P6984">
        <v>0</v>
      </c>
      <c r="Q6984">
        <v>0</v>
      </c>
      <c r="R6984" t="s">
        <v>32532</v>
      </c>
      <c r="S6984" t="s">
        <v>32616</v>
      </c>
      <c r="T6984" t="s">
        <v>33245</v>
      </c>
      <c r="U6984" t="s">
        <v>39469</v>
      </c>
      <c r="W6984" t="s">
        <v>31863</v>
      </c>
      <c r="X6984" t="s">
        <v>32533</v>
      </c>
    </row>
    <row r="6985" spans="1:24">
      <c r="A6985">
        <f>HYPERLINK("https://www.philgeps.gov.ph/GEPSNONPILOT/Tender/SplashBidNoticeAbstractUI.aspx?menuIndex=3&amp;refID=7037775&amp;Result=3","7037775")</f>
        <v>0</v>
      </c>
      <c r="B6985" t="s">
        <v>1497</v>
      </c>
      <c r="C6985" t="s">
        <v>9352</v>
      </c>
      <c r="D6985" t="s">
        <v>12988</v>
      </c>
      <c r="E6985" t="s">
        <v>19242</v>
      </c>
      <c r="F6985" t="s">
        <v>22436</v>
      </c>
      <c r="G6985" t="s">
        <v>22444</v>
      </c>
      <c r="H6985" t="s">
        <v>22452</v>
      </c>
      <c r="I6985" t="s">
        <v>3122</v>
      </c>
      <c r="J6985" t="s">
        <v>27100</v>
      </c>
      <c r="K6985" t="s">
        <v>29341</v>
      </c>
      <c r="M6985" t="s">
        <v>31785</v>
      </c>
      <c r="N6985" t="s">
        <v>32524</v>
      </c>
      <c r="O6985" t="s">
        <v>32525</v>
      </c>
      <c r="P6985">
        <v>0</v>
      </c>
      <c r="Q6985">
        <v>0</v>
      </c>
      <c r="R6985" t="s">
        <v>32532</v>
      </c>
      <c r="S6985" t="s">
        <v>32616</v>
      </c>
      <c r="T6985" t="s">
        <v>33238</v>
      </c>
      <c r="U6985" t="s">
        <v>37308</v>
      </c>
      <c r="W6985" t="s">
        <v>31785</v>
      </c>
      <c r="X6985" t="s">
        <v>32533</v>
      </c>
    </row>
    <row r="6986" spans="1:24">
      <c r="A6986">
        <f>HYPERLINK("https://www.philgeps.gov.ph/GEPSNONPILOT/Tender/SplashBidNoticeAbstractUI.aspx?menuIndex=3&amp;refID=7037788&amp;Result=3","7037788")</f>
        <v>0</v>
      </c>
      <c r="B6986" t="s">
        <v>687</v>
      </c>
      <c r="C6986" t="s">
        <v>9353</v>
      </c>
      <c r="E6986" t="s">
        <v>19243</v>
      </c>
      <c r="F6986" t="s">
        <v>22436</v>
      </c>
      <c r="G6986" t="s">
        <v>22444</v>
      </c>
      <c r="H6986" t="s">
        <v>22452</v>
      </c>
      <c r="I6986" t="s">
        <v>4688</v>
      </c>
      <c r="J6986" t="s">
        <v>22779</v>
      </c>
      <c r="K6986" t="s">
        <v>29333</v>
      </c>
      <c r="M6986" t="s">
        <v>30281</v>
      </c>
      <c r="N6986" t="s">
        <v>32524</v>
      </c>
      <c r="O6986" t="s">
        <v>32525</v>
      </c>
      <c r="P6986">
        <v>0</v>
      </c>
      <c r="Q6986">
        <v>2</v>
      </c>
      <c r="R6986" t="s">
        <v>32532</v>
      </c>
      <c r="S6986" t="s">
        <v>32616</v>
      </c>
      <c r="T6986" t="s">
        <v>33218</v>
      </c>
      <c r="U6986" t="s">
        <v>39470</v>
      </c>
      <c r="W6986" t="s">
        <v>30281</v>
      </c>
      <c r="X6986" t="s">
        <v>32533</v>
      </c>
    </row>
    <row r="6987" spans="1:24">
      <c r="A6987">
        <f>HYPERLINK("https://www.philgeps.gov.ph/GEPSNONPILOT/Tender/SplashBidNoticeAbstractUI.aspx?menuIndex=3&amp;refID=7037791&amp;Result=3","7037791")</f>
        <v>0</v>
      </c>
      <c r="B6987" t="s">
        <v>57</v>
      </c>
      <c r="C6987" t="s">
        <v>9354</v>
      </c>
      <c r="D6987" t="s">
        <v>13013</v>
      </c>
      <c r="E6987" t="s">
        <v>13438</v>
      </c>
      <c r="F6987" t="s">
        <v>22436</v>
      </c>
      <c r="G6987" t="s">
        <v>22444</v>
      </c>
      <c r="H6987" t="s">
        <v>22454</v>
      </c>
      <c r="I6987" t="s">
        <v>7738</v>
      </c>
      <c r="J6987" t="s">
        <v>22877</v>
      </c>
      <c r="K6987" t="s">
        <v>29499</v>
      </c>
      <c r="M6987" t="s">
        <v>29629</v>
      </c>
      <c r="N6987" t="s">
        <v>32524</v>
      </c>
      <c r="O6987" t="s">
        <v>32525</v>
      </c>
      <c r="P6987">
        <v>0</v>
      </c>
      <c r="Q6987">
        <v>0</v>
      </c>
      <c r="R6987" t="s">
        <v>32532</v>
      </c>
      <c r="S6987" t="s">
        <v>32616</v>
      </c>
      <c r="T6987" t="s">
        <v>33234</v>
      </c>
      <c r="U6987" t="s">
        <v>39471</v>
      </c>
      <c r="V6987" t="s">
        <v>43187</v>
      </c>
      <c r="W6987" t="s">
        <v>29629</v>
      </c>
      <c r="X6987" t="s">
        <v>32533</v>
      </c>
    </row>
    <row r="6988" spans="1:24">
      <c r="A6988">
        <f>HYPERLINK("https://www.philgeps.gov.ph/GEPSNONPILOT/Tender/SplashBidNoticeAbstractUI.aspx?menuIndex=3&amp;refID=7037769&amp;Result=3","7037769")</f>
        <v>0</v>
      </c>
      <c r="B6988" t="s">
        <v>844</v>
      </c>
      <c r="C6988" t="s">
        <v>9355</v>
      </c>
      <c r="D6988" t="s">
        <v>13009</v>
      </c>
      <c r="E6988" t="s">
        <v>19244</v>
      </c>
      <c r="F6988" t="s">
        <v>22436</v>
      </c>
      <c r="G6988" t="s">
        <v>22444</v>
      </c>
      <c r="H6988" t="s">
        <v>22454</v>
      </c>
      <c r="I6988" t="s">
        <v>7738</v>
      </c>
      <c r="J6988" t="s">
        <v>23387</v>
      </c>
      <c r="K6988" t="s">
        <v>29479</v>
      </c>
      <c r="M6988" t="s">
        <v>30450</v>
      </c>
      <c r="N6988" t="s">
        <v>32524</v>
      </c>
      <c r="O6988" t="s">
        <v>32525</v>
      </c>
      <c r="P6988">
        <v>0</v>
      </c>
      <c r="Q6988">
        <v>0</v>
      </c>
      <c r="R6988" t="s">
        <v>32532</v>
      </c>
      <c r="S6988" t="s">
        <v>32616</v>
      </c>
      <c r="T6988" t="s">
        <v>33385</v>
      </c>
      <c r="U6988" t="s">
        <v>39152</v>
      </c>
      <c r="W6988" t="s">
        <v>30450</v>
      </c>
      <c r="X6988" t="s">
        <v>32533</v>
      </c>
    </row>
    <row r="6989" spans="1:24">
      <c r="A6989">
        <f>HYPERLINK("https://www.philgeps.gov.ph/GEPSNONPILOT/Tender/SplashBidNoticeAbstractUI.aspx?menuIndex=3&amp;refID=7037771&amp;Result=3","7037771")</f>
        <v>0</v>
      </c>
      <c r="B6989" t="s">
        <v>279</v>
      </c>
      <c r="C6989" t="s">
        <v>9356</v>
      </c>
      <c r="D6989" t="s">
        <v>13010</v>
      </c>
      <c r="E6989" t="s">
        <v>16301</v>
      </c>
      <c r="F6989" t="s">
        <v>22436</v>
      </c>
      <c r="G6989" t="s">
        <v>22444</v>
      </c>
      <c r="H6989" t="s">
        <v>22452</v>
      </c>
      <c r="I6989" t="s">
        <v>3840</v>
      </c>
      <c r="J6989" t="s">
        <v>27101</v>
      </c>
      <c r="K6989" t="s">
        <v>29341</v>
      </c>
      <c r="M6989" t="s">
        <v>31776</v>
      </c>
      <c r="N6989" t="s">
        <v>32524</v>
      </c>
      <c r="O6989" t="s">
        <v>32525</v>
      </c>
      <c r="P6989">
        <v>0</v>
      </c>
      <c r="Q6989">
        <v>4</v>
      </c>
      <c r="R6989" t="s">
        <v>32532</v>
      </c>
      <c r="S6989" t="s">
        <v>32616</v>
      </c>
      <c r="T6989" t="s">
        <v>33417</v>
      </c>
      <c r="U6989" t="s">
        <v>39472</v>
      </c>
      <c r="W6989" t="s">
        <v>31776</v>
      </c>
      <c r="X6989" t="s">
        <v>32533</v>
      </c>
    </row>
    <row r="6990" spans="1:24">
      <c r="A6990">
        <f>HYPERLINK("https://www.philgeps.gov.ph/GEPSNONPILOT/Tender/SplashBidNoticeAbstractUI.aspx?menuIndex=3&amp;refID=7037778&amp;Result=3","7037778")</f>
        <v>0</v>
      </c>
      <c r="B6990" t="s">
        <v>992</v>
      </c>
      <c r="C6990" t="s">
        <v>9357</v>
      </c>
      <c r="D6990" t="s">
        <v>13024</v>
      </c>
      <c r="E6990" t="s">
        <v>19245</v>
      </c>
      <c r="F6990" t="s">
        <v>22436</v>
      </c>
      <c r="G6990" t="s">
        <v>22444</v>
      </c>
      <c r="H6990" t="s">
        <v>22454</v>
      </c>
      <c r="I6990" t="s">
        <v>7738</v>
      </c>
      <c r="J6990" t="s">
        <v>23205</v>
      </c>
      <c r="K6990" t="s">
        <v>29438</v>
      </c>
      <c r="M6990" t="s">
        <v>30616</v>
      </c>
      <c r="N6990" t="s">
        <v>32524</v>
      </c>
      <c r="O6990" t="s">
        <v>32525</v>
      </c>
      <c r="P6990">
        <v>0</v>
      </c>
      <c r="Q6990">
        <v>0</v>
      </c>
      <c r="R6990" t="s">
        <v>32532</v>
      </c>
      <c r="S6990" t="s">
        <v>32616</v>
      </c>
      <c r="T6990" t="s">
        <v>33242</v>
      </c>
      <c r="U6990" t="s">
        <v>39460</v>
      </c>
      <c r="V6990" t="s">
        <v>42679</v>
      </c>
      <c r="W6990" t="s">
        <v>30616</v>
      </c>
      <c r="X6990" t="s">
        <v>32533</v>
      </c>
    </row>
    <row r="6991" spans="1:24">
      <c r="A6991">
        <f>HYPERLINK("https://www.philgeps.gov.ph/GEPSNONPILOT/Tender/SplashBidNoticeAbstractUI.aspx?menuIndex=3&amp;refID=7037787&amp;Result=3","7037787")</f>
        <v>0</v>
      </c>
      <c r="B6991" t="s">
        <v>2113</v>
      </c>
      <c r="C6991" t="s">
        <v>9358</v>
      </c>
      <c r="D6991" t="s">
        <v>13045</v>
      </c>
      <c r="E6991" t="s">
        <v>19246</v>
      </c>
      <c r="F6991" t="s">
        <v>22436</v>
      </c>
      <c r="G6991" t="s">
        <v>22443</v>
      </c>
      <c r="H6991" t="s">
        <v>22453</v>
      </c>
      <c r="I6991" t="s">
        <v>7738</v>
      </c>
      <c r="J6991" t="s">
        <v>22640</v>
      </c>
      <c r="K6991" t="s">
        <v>29329</v>
      </c>
      <c r="M6991" t="s">
        <v>31864</v>
      </c>
      <c r="N6991" t="s">
        <v>32524</v>
      </c>
      <c r="O6991" t="s">
        <v>32525</v>
      </c>
      <c r="P6991">
        <v>0</v>
      </c>
      <c r="Q6991">
        <v>0</v>
      </c>
      <c r="R6991" t="s">
        <v>32532</v>
      </c>
      <c r="S6991" t="s">
        <v>32616</v>
      </c>
      <c r="T6991" t="s">
        <v>33181</v>
      </c>
      <c r="U6991" t="s">
        <v>39473</v>
      </c>
      <c r="W6991" t="s">
        <v>31864</v>
      </c>
      <c r="X6991" t="s">
        <v>32533</v>
      </c>
    </row>
    <row r="6992" spans="1:24">
      <c r="A6992">
        <f>HYPERLINK("https://www.philgeps.gov.ph/GEPSNONPILOT/Tender/SplashBidNoticeAbstractUI.aspx?menuIndex=3&amp;refID=7037793&amp;Result=3","7037793")</f>
        <v>0</v>
      </c>
      <c r="B6992" t="s">
        <v>992</v>
      </c>
      <c r="C6992" t="s">
        <v>5211</v>
      </c>
      <c r="D6992" t="s">
        <v>13024</v>
      </c>
      <c r="E6992" t="s">
        <v>19247</v>
      </c>
      <c r="F6992" t="s">
        <v>22436</v>
      </c>
      <c r="G6992" t="s">
        <v>22444</v>
      </c>
      <c r="H6992" t="s">
        <v>22452</v>
      </c>
      <c r="I6992" t="s">
        <v>2962</v>
      </c>
      <c r="J6992" t="s">
        <v>27102</v>
      </c>
      <c r="K6992" t="s">
        <v>29434</v>
      </c>
      <c r="M6992" t="s">
        <v>30616</v>
      </c>
      <c r="N6992" t="s">
        <v>32524</v>
      </c>
      <c r="O6992" t="s">
        <v>32525</v>
      </c>
      <c r="Q6992">
        <v>0</v>
      </c>
      <c r="R6992" t="s">
        <v>32532</v>
      </c>
      <c r="S6992" t="s">
        <v>32658</v>
      </c>
      <c r="T6992" t="s">
        <v>33242</v>
      </c>
      <c r="U6992" t="s">
        <v>39474</v>
      </c>
      <c r="V6992" t="s">
        <v>42679</v>
      </c>
      <c r="W6992" t="s">
        <v>30616</v>
      </c>
      <c r="X6992" t="s">
        <v>32533</v>
      </c>
    </row>
    <row r="6993" spans="1:24">
      <c r="A6993">
        <f>HYPERLINK("https://www.philgeps.gov.ph/GEPSNONPILOT/Tender/SplashBidNoticeAbstractUI.aspx?menuIndex=3&amp;refID=7037777&amp;Result=3","7037777")</f>
        <v>0</v>
      </c>
      <c r="B6993" t="s">
        <v>742</v>
      </c>
      <c r="C6993" t="s">
        <v>9359</v>
      </c>
      <c r="D6993" t="s">
        <v>13000</v>
      </c>
      <c r="E6993" t="s">
        <v>19248</v>
      </c>
      <c r="F6993" t="s">
        <v>22436</v>
      </c>
      <c r="G6993" t="s">
        <v>22444</v>
      </c>
      <c r="H6993" t="s">
        <v>22454</v>
      </c>
      <c r="I6993" t="s">
        <v>7738</v>
      </c>
      <c r="J6993" t="s">
        <v>22893</v>
      </c>
      <c r="K6993" t="s">
        <v>29363</v>
      </c>
      <c r="M6993" t="s">
        <v>30343</v>
      </c>
      <c r="N6993" t="s">
        <v>32524</v>
      </c>
      <c r="O6993" t="s">
        <v>32525</v>
      </c>
      <c r="P6993">
        <v>0</v>
      </c>
      <c r="Q6993">
        <v>0</v>
      </c>
      <c r="R6993" t="s">
        <v>32532</v>
      </c>
      <c r="S6993" t="s">
        <v>32616</v>
      </c>
      <c r="T6993" t="s">
        <v>33213</v>
      </c>
      <c r="U6993" t="s">
        <v>39475</v>
      </c>
      <c r="V6993" t="s">
        <v>43188</v>
      </c>
      <c r="W6993" t="s">
        <v>30343</v>
      </c>
      <c r="X6993" t="s">
        <v>32533</v>
      </c>
    </row>
    <row r="6994" spans="1:24">
      <c r="A6994">
        <f>HYPERLINK("https://www.philgeps.gov.ph/GEPSNONPILOT/Tender/SplashBidNoticeAbstractUI.aspx?menuIndex=3&amp;refID=7037798&amp;Result=3","7037798")</f>
        <v>0</v>
      </c>
      <c r="B6994" t="s">
        <v>374</v>
      </c>
      <c r="C6994" t="s">
        <v>8082</v>
      </c>
      <c r="D6994" t="s">
        <v>13041</v>
      </c>
      <c r="E6994" t="s">
        <v>19249</v>
      </c>
      <c r="F6994" t="s">
        <v>22436</v>
      </c>
      <c r="G6994" t="s">
        <v>22444</v>
      </c>
      <c r="H6994" t="s">
        <v>22452</v>
      </c>
      <c r="I6994" t="s">
        <v>22506</v>
      </c>
      <c r="J6994" t="s">
        <v>27103</v>
      </c>
      <c r="K6994" t="s">
        <v>29338</v>
      </c>
      <c r="M6994" t="s">
        <v>29952</v>
      </c>
      <c r="N6994" t="s">
        <v>32524</v>
      </c>
      <c r="O6994" t="s">
        <v>32525</v>
      </c>
      <c r="P6994">
        <v>0</v>
      </c>
      <c r="Q6994">
        <v>4</v>
      </c>
      <c r="R6994" t="s">
        <v>32532</v>
      </c>
      <c r="S6994" t="s">
        <v>32616</v>
      </c>
      <c r="T6994" t="s">
        <v>33548</v>
      </c>
      <c r="U6994" t="s">
        <v>39476</v>
      </c>
      <c r="V6994" t="s">
        <v>43043</v>
      </c>
      <c r="W6994" t="s">
        <v>29952</v>
      </c>
      <c r="X6994" t="s">
        <v>32533</v>
      </c>
    </row>
    <row r="6995" spans="1:24">
      <c r="A6995">
        <f>HYPERLINK("https://www.philgeps.gov.ph/GEPSNONPILOT/Tender/SplashBidNoticeAbstractUI.aspx?menuIndex=3&amp;refID=7037794&amp;Result=3","7037794")</f>
        <v>0</v>
      </c>
      <c r="B6995" t="s">
        <v>2087</v>
      </c>
      <c r="C6995" t="s">
        <v>9360</v>
      </c>
      <c r="D6995" t="s">
        <v>13057</v>
      </c>
      <c r="E6995" t="s">
        <v>13681</v>
      </c>
      <c r="F6995" t="s">
        <v>22436</v>
      </c>
      <c r="G6995" t="s">
        <v>22444</v>
      </c>
      <c r="H6995" t="s">
        <v>22452</v>
      </c>
      <c r="I6995" t="s">
        <v>22518</v>
      </c>
      <c r="J6995" t="s">
        <v>22893</v>
      </c>
      <c r="K6995" t="s">
        <v>29341</v>
      </c>
      <c r="M6995" t="s">
        <v>31831</v>
      </c>
      <c r="N6995" t="s">
        <v>32524</v>
      </c>
      <c r="O6995" t="s">
        <v>32525</v>
      </c>
      <c r="P6995">
        <v>0</v>
      </c>
      <c r="Q6995">
        <v>6</v>
      </c>
      <c r="R6995" t="s">
        <v>32532</v>
      </c>
      <c r="S6995" t="s">
        <v>32616</v>
      </c>
      <c r="T6995" t="s">
        <v>33242</v>
      </c>
      <c r="U6995" t="s">
        <v>39477</v>
      </c>
      <c r="W6995" t="s">
        <v>31831</v>
      </c>
      <c r="X6995" t="s">
        <v>32533</v>
      </c>
    </row>
    <row r="6996" spans="1:24">
      <c r="A6996">
        <f>HYPERLINK("https://www.philgeps.gov.ph/GEPSNONPILOT/Tender/SplashBidNoticeAbstractUI.aspx?menuIndex=3&amp;refID=7037804&amp;Result=3","7037804")</f>
        <v>0</v>
      </c>
      <c r="B6996" t="s">
        <v>449</v>
      </c>
      <c r="C6996" t="s">
        <v>9361</v>
      </c>
      <c r="D6996" t="s">
        <v>12999</v>
      </c>
      <c r="E6996" t="s">
        <v>19250</v>
      </c>
      <c r="F6996" t="s">
        <v>22436</v>
      </c>
      <c r="G6996" t="s">
        <v>22444</v>
      </c>
      <c r="H6996" t="s">
        <v>22454</v>
      </c>
      <c r="I6996" t="s">
        <v>7738</v>
      </c>
      <c r="J6996" t="s">
        <v>22911</v>
      </c>
      <c r="K6996" t="s">
        <v>29329</v>
      </c>
      <c r="M6996" t="s">
        <v>30031</v>
      </c>
      <c r="N6996" t="s">
        <v>32524</v>
      </c>
      <c r="O6996" t="s">
        <v>32525</v>
      </c>
      <c r="P6996">
        <v>0</v>
      </c>
      <c r="Q6996">
        <v>0</v>
      </c>
      <c r="R6996" t="s">
        <v>32532</v>
      </c>
      <c r="S6996" t="s">
        <v>32616</v>
      </c>
      <c r="T6996" t="s">
        <v>33234</v>
      </c>
      <c r="U6996" t="s">
        <v>39465</v>
      </c>
      <c r="W6996" t="s">
        <v>30031</v>
      </c>
      <c r="X6996" t="s">
        <v>32533</v>
      </c>
    </row>
    <row r="6997" spans="1:24">
      <c r="A6997">
        <f>HYPERLINK("https://www.philgeps.gov.ph/GEPSNONPILOT/Tender/SplashBidNoticeAbstractUI.aspx?menuIndex=3&amp;refID=7037780&amp;Result=3","7037780")</f>
        <v>0</v>
      </c>
      <c r="B6997" t="s">
        <v>1497</v>
      </c>
      <c r="C6997" t="s">
        <v>9362</v>
      </c>
      <c r="D6997" t="s">
        <v>12988</v>
      </c>
      <c r="E6997" t="s">
        <v>19251</v>
      </c>
      <c r="F6997" t="s">
        <v>22436</v>
      </c>
      <c r="G6997" t="s">
        <v>22444</v>
      </c>
      <c r="H6997" t="s">
        <v>22452</v>
      </c>
      <c r="I6997" t="s">
        <v>3122</v>
      </c>
      <c r="J6997" t="s">
        <v>22747</v>
      </c>
      <c r="K6997" t="s">
        <v>29341</v>
      </c>
      <c r="M6997" t="s">
        <v>31785</v>
      </c>
      <c r="N6997" t="s">
        <v>32524</v>
      </c>
      <c r="O6997" t="s">
        <v>32525</v>
      </c>
      <c r="P6997">
        <v>0</v>
      </c>
      <c r="Q6997">
        <v>2</v>
      </c>
      <c r="R6997" t="s">
        <v>32532</v>
      </c>
      <c r="S6997" t="s">
        <v>32616</v>
      </c>
      <c r="T6997" t="s">
        <v>33238</v>
      </c>
      <c r="U6997" t="s">
        <v>37308</v>
      </c>
      <c r="W6997" t="s">
        <v>31785</v>
      </c>
      <c r="X6997" t="s">
        <v>32533</v>
      </c>
    </row>
    <row r="6998" spans="1:24">
      <c r="A6998">
        <f>HYPERLINK("https://www.philgeps.gov.ph/GEPSNONPILOT/Tender/SplashBidNoticeAbstractUI.aspx?menuIndex=3&amp;refID=7037795&amp;Result=3","7037795")</f>
        <v>0</v>
      </c>
      <c r="B6998" t="s">
        <v>2114</v>
      </c>
      <c r="C6998" t="s">
        <v>9363</v>
      </c>
      <c r="D6998" t="s">
        <v>13057</v>
      </c>
      <c r="E6998" t="s">
        <v>19252</v>
      </c>
      <c r="F6998" t="s">
        <v>22436</v>
      </c>
      <c r="G6998" t="s">
        <v>22444</v>
      </c>
      <c r="H6998" t="s">
        <v>22454</v>
      </c>
      <c r="I6998" t="s">
        <v>7738</v>
      </c>
      <c r="J6998" t="s">
        <v>27104</v>
      </c>
      <c r="K6998" t="s">
        <v>29334</v>
      </c>
      <c r="M6998" t="s">
        <v>31865</v>
      </c>
      <c r="N6998" t="s">
        <v>32524</v>
      </c>
      <c r="O6998" t="s">
        <v>32525</v>
      </c>
      <c r="P6998">
        <v>0</v>
      </c>
      <c r="Q6998">
        <v>10</v>
      </c>
      <c r="R6998" t="s">
        <v>32532</v>
      </c>
      <c r="S6998" t="s">
        <v>32616</v>
      </c>
      <c r="T6998" t="s">
        <v>33242</v>
      </c>
      <c r="U6998" t="s">
        <v>39478</v>
      </c>
      <c r="W6998" t="s">
        <v>31865</v>
      </c>
      <c r="X6998" t="s">
        <v>32533</v>
      </c>
    </row>
    <row r="6999" spans="1:24">
      <c r="A6999">
        <f>HYPERLINK("https://www.philgeps.gov.ph/GEPSNONPILOT/Tender/SplashBidNoticeAbstractUI.aspx?menuIndex=3&amp;refID=7037767&amp;Result=3","7037767")</f>
        <v>0</v>
      </c>
      <c r="B6999" t="s">
        <v>2115</v>
      </c>
      <c r="C6999" t="s">
        <v>9364</v>
      </c>
      <c r="D6999" t="s">
        <v>13048</v>
      </c>
      <c r="E6999" t="s">
        <v>19253</v>
      </c>
      <c r="F6999" t="s">
        <v>22436</v>
      </c>
      <c r="G6999" t="s">
        <v>22444</v>
      </c>
      <c r="H6999" t="s">
        <v>22454</v>
      </c>
      <c r="I6999" t="s">
        <v>7738</v>
      </c>
      <c r="J6999" t="s">
        <v>27105</v>
      </c>
      <c r="K6999" t="s">
        <v>29346</v>
      </c>
      <c r="M6999" t="s">
        <v>31866</v>
      </c>
      <c r="N6999" t="s">
        <v>32524</v>
      </c>
      <c r="O6999" t="s">
        <v>32525</v>
      </c>
      <c r="P6999">
        <v>0</v>
      </c>
      <c r="Q6999">
        <v>0</v>
      </c>
      <c r="R6999" t="s">
        <v>32532</v>
      </c>
      <c r="S6999" t="s">
        <v>32616</v>
      </c>
      <c r="T6999" t="s">
        <v>33422</v>
      </c>
      <c r="U6999" t="s">
        <v>39479</v>
      </c>
      <c r="W6999" t="s">
        <v>31866</v>
      </c>
      <c r="X6999" t="s">
        <v>32533</v>
      </c>
    </row>
    <row r="7000" spans="1:24">
      <c r="A7000">
        <f>HYPERLINK("https://www.philgeps.gov.ph/GEPSNONPILOT/Tender/SplashBidNoticeAbstractUI.aspx?menuIndex=3&amp;refID=7037803&amp;Result=3","7037803")</f>
        <v>0</v>
      </c>
      <c r="B7000" t="s">
        <v>2116</v>
      </c>
      <c r="C7000" t="s">
        <v>9365</v>
      </c>
      <c r="D7000" t="s">
        <v>13023</v>
      </c>
      <c r="E7000" t="s">
        <v>19254</v>
      </c>
      <c r="F7000" t="s">
        <v>22436</v>
      </c>
      <c r="G7000" t="s">
        <v>22444</v>
      </c>
      <c r="H7000" t="s">
        <v>22454</v>
      </c>
      <c r="I7000" t="s">
        <v>7738</v>
      </c>
      <c r="J7000" t="s">
        <v>27106</v>
      </c>
      <c r="K7000" t="s">
        <v>29334</v>
      </c>
      <c r="M7000" t="s">
        <v>31867</v>
      </c>
      <c r="N7000" t="s">
        <v>32524</v>
      </c>
      <c r="O7000" t="s">
        <v>32525</v>
      </c>
      <c r="P7000">
        <v>0</v>
      </c>
      <c r="Q7000">
        <v>28</v>
      </c>
      <c r="R7000" t="s">
        <v>32532</v>
      </c>
      <c r="S7000" t="s">
        <v>32616</v>
      </c>
      <c r="T7000" t="s">
        <v>33234</v>
      </c>
      <c r="U7000" t="s">
        <v>39480</v>
      </c>
      <c r="V7000" t="s">
        <v>43189</v>
      </c>
      <c r="W7000" t="s">
        <v>31867</v>
      </c>
      <c r="X7000" t="s">
        <v>32533</v>
      </c>
    </row>
    <row r="7001" spans="1:24">
      <c r="A7001">
        <f>HYPERLINK("https://www.philgeps.gov.ph/GEPSNONPILOT/Tender/SplashBidNoticeAbstractUI.aspx?menuIndex=3&amp;refID=7037822&amp;Result=3","7037822")</f>
        <v>0</v>
      </c>
      <c r="B7001" t="s">
        <v>2116</v>
      </c>
      <c r="C7001" t="s">
        <v>9366</v>
      </c>
      <c r="D7001" t="s">
        <v>13023</v>
      </c>
      <c r="E7001" t="s">
        <v>19255</v>
      </c>
      <c r="F7001" t="s">
        <v>22436</v>
      </c>
      <c r="G7001" t="s">
        <v>22444</v>
      </c>
      <c r="H7001" t="s">
        <v>22454</v>
      </c>
      <c r="I7001" t="s">
        <v>7738</v>
      </c>
      <c r="J7001" t="s">
        <v>27107</v>
      </c>
      <c r="K7001" t="s">
        <v>29334</v>
      </c>
      <c r="M7001" t="s">
        <v>31867</v>
      </c>
      <c r="N7001" t="s">
        <v>32524</v>
      </c>
      <c r="O7001" t="s">
        <v>32525</v>
      </c>
      <c r="P7001">
        <v>0</v>
      </c>
      <c r="Q7001">
        <v>30</v>
      </c>
      <c r="R7001" t="s">
        <v>32532</v>
      </c>
      <c r="S7001" t="s">
        <v>32616</v>
      </c>
      <c r="T7001" t="s">
        <v>33234</v>
      </c>
      <c r="U7001" t="s">
        <v>39481</v>
      </c>
      <c r="V7001" t="s">
        <v>43189</v>
      </c>
      <c r="W7001" t="s">
        <v>31867</v>
      </c>
      <c r="X7001" t="s">
        <v>32533</v>
      </c>
    </row>
    <row r="7002" spans="1:24">
      <c r="A7002">
        <f>HYPERLINK("https://www.philgeps.gov.ph/GEPSNONPILOT/Tender/SplashBidNoticeAbstractUI.aspx?menuIndex=3&amp;refID=7037824&amp;Result=3","7037824")</f>
        <v>0</v>
      </c>
      <c r="B7002" t="s">
        <v>449</v>
      </c>
      <c r="C7002" t="s">
        <v>9367</v>
      </c>
      <c r="D7002" t="s">
        <v>12999</v>
      </c>
      <c r="E7002" t="s">
        <v>19256</v>
      </c>
      <c r="F7002" t="s">
        <v>22436</v>
      </c>
      <c r="G7002" t="s">
        <v>22444</v>
      </c>
      <c r="H7002" t="s">
        <v>22454</v>
      </c>
      <c r="I7002" t="s">
        <v>7738</v>
      </c>
      <c r="J7002" t="s">
        <v>22640</v>
      </c>
      <c r="K7002" t="s">
        <v>29329</v>
      </c>
      <c r="M7002" t="s">
        <v>30031</v>
      </c>
      <c r="N7002" t="s">
        <v>32524</v>
      </c>
      <c r="O7002" t="s">
        <v>32525</v>
      </c>
      <c r="P7002">
        <v>0</v>
      </c>
      <c r="Q7002">
        <v>0</v>
      </c>
      <c r="R7002" t="s">
        <v>32532</v>
      </c>
      <c r="S7002" t="s">
        <v>32616</v>
      </c>
      <c r="T7002" t="s">
        <v>33234</v>
      </c>
      <c r="U7002" t="s">
        <v>39465</v>
      </c>
      <c r="W7002" t="s">
        <v>30031</v>
      </c>
      <c r="X7002" t="s">
        <v>32533</v>
      </c>
    </row>
    <row r="7003" spans="1:24">
      <c r="A7003">
        <f>HYPERLINK("https://www.philgeps.gov.ph/GEPSNONPILOT/Tender/SplashBidNoticeAbstractUI.aspx?menuIndex=3&amp;refID=7037768&amp;Result=3","7037768")</f>
        <v>0</v>
      </c>
      <c r="B7003" t="s">
        <v>1497</v>
      </c>
      <c r="C7003" t="s">
        <v>9368</v>
      </c>
      <c r="D7003" t="s">
        <v>12988</v>
      </c>
      <c r="E7003" t="s">
        <v>19257</v>
      </c>
      <c r="F7003" t="s">
        <v>22436</v>
      </c>
      <c r="G7003" t="s">
        <v>22444</v>
      </c>
      <c r="H7003" t="s">
        <v>22452</v>
      </c>
      <c r="I7003" t="s">
        <v>3122</v>
      </c>
      <c r="J7003" t="s">
        <v>22788</v>
      </c>
      <c r="K7003" t="s">
        <v>29341</v>
      </c>
      <c r="M7003" t="s">
        <v>31785</v>
      </c>
      <c r="N7003" t="s">
        <v>32524</v>
      </c>
      <c r="O7003" t="s">
        <v>32525</v>
      </c>
      <c r="P7003">
        <v>0</v>
      </c>
      <c r="Q7003">
        <v>1</v>
      </c>
      <c r="R7003" t="s">
        <v>32532</v>
      </c>
      <c r="S7003" t="s">
        <v>32616</v>
      </c>
      <c r="T7003" t="s">
        <v>33238</v>
      </c>
      <c r="U7003" t="s">
        <v>37308</v>
      </c>
      <c r="W7003" t="s">
        <v>31785</v>
      </c>
      <c r="X7003" t="s">
        <v>32533</v>
      </c>
    </row>
    <row r="7004" spans="1:24">
      <c r="A7004">
        <f>HYPERLINK("https://www.philgeps.gov.ph/GEPSNONPILOT/Tender/SplashBidNoticeAbstractUI.aspx?menuIndex=3&amp;refID=7037820&amp;Result=3","7037820")</f>
        <v>0</v>
      </c>
      <c r="B7004" t="s">
        <v>2117</v>
      </c>
      <c r="C7004" t="s">
        <v>9369</v>
      </c>
      <c r="D7004" t="s">
        <v>12988</v>
      </c>
      <c r="E7004" t="s">
        <v>19258</v>
      </c>
      <c r="F7004" t="s">
        <v>22436</v>
      </c>
      <c r="G7004" t="s">
        <v>22444</v>
      </c>
      <c r="H7004" t="s">
        <v>22452</v>
      </c>
      <c r="I7004" t="s">
        <v>2981</v>
      </c>
      <c r="J7004" t="s">
        <v>24356</v>
      </c>
      <c r="K7004" t="s">
        <v>29357</v>
      </c>
      <c r="M7004" t="s">
        <v>31868</v>
      </c>
      <c r="N7004" t="s">
        <v>32524</v>
      </c>
      <c r="O7004" t="s">
        <v>32525</v>
      </c>
      <c r="P7004">
        <v>0</v>
      </c>
      <c r="Q7004">
        <v>0</v>
      </c>
      <c r="R7004" t="s">
        <v>32532</v>
      </c>
      <c r="S7004" t="s">
        <v>32616</v>
      </c>
      <c r="T7004" t="s">
        <v>33161</v>
      </c>
      <c r="U7004" t="s">
        <v>39482</v>
      </c>
      <c r="W7004" t="s">
        <v>31868</v>
      </c>
      <c r="X7004" t="s">
        <v>32533</v>
      </c>
    </row>
    <row r="7005" spans="1:24">
      <c r="A7005">
        <f>HYPERLINK("https://www.philgeps.gov.ph/GEPSNONPILOT/Tender/SplashBidNoticeAbstractUI.aspx?menuIndex=3&amp;refID=7037815&amp;Result=3","7037815")</f>
        <v>0</v>
      </c>
      <c r="B7005" t="s">
        <v>2116</v>
      </c>
      <c r="C7005" t="s">
        <v>9370</v>
      </c>
      <c r="D7005" t="s">
        <v>13023</v>
      </c>
      <c r="E7005" t="s">
        <v>19259</v>
      </c>
      <c r="F7005" t="s">
        <v>22436</v>
      </c>
      <c r="G7005" t="s">
        <v>22444</v>
      </c>
      <c r="H7005" t="s">
        <v>22454</v>
      </c>
      <c r="I7005" t="s">
        <v>7738</v>
      </c>
      <c r="J7005" t="s">
        <v>23604</v>
      </c>
      <c r="K7005" t="s">
        <v>29334</v>
      </c>
      <c r="M7005" t="s">
        <v>31867</v>
      </c>
      <c r="N7005" t="s">
        <v>32524</v>
      </c>
      <c r="O7005" t="s">
        <v>32525</v>
      </c>
      <c r="P7005">
        <v>0</v>
      </c>
      <c r="Q7005">
        <v>26</v>
      </c>
      <c r="R7005" t="s">
        <v>32532</v>
      </c>
      <c r="S7005" t="s">
        <v>32616</v>
      </c>
      <c r="T7005" t="s">
        <v>33234</v>
      </c>
      <c r="U7005" t="s">
        <v>39483</v>
      </c>
      <c r="V7005" t="s">
        <v>43189</v>
      </c>
      <c r="W7005" t="s">
        <v>31867</v>
      </c>
      <c r="X7005" t="s">
        <v>32533</v>
      </c>
    </row>
    <row r="7006" spans="1:24">
      <c r="A7006">
        <f>HYPERLINK("https://www.philgeps.gov.ph/GEPSNONPILOT/Tender/SplashBidNoticeAbstractUI.aspx?menuIndex=3&amp;refID=7037808&amp;Result=3","7037808")</f>
        <v>0</v>
      </c>
      <c r="B7006" t="s">
        <v>844</v>
      </c>
      <c r="C7006" t="s">
        <v>9371</v>
      </c>
      <c r="D7006" t="s">
        <v>13009</v>
      </c>
      <c r="E7006" t="s">
        <v>19260</v>
      </c>
      <c r="F7006" t="s">
        <v>22436</v>
      </c>
      <c r="G7006" t="s">
        <v>22444</v>
      </c>
      <c r="H7006" t="s">
        <v>22454</v>
      </c>
      <c r="I7006" t="s">
        <v>7738</v>
      </c>
      <c r="J7006" t="s">
        <v>25355</v>
      </c>
      <c r="K7006" t="s">
        <v>29367</v>
      </c>
      <c r="M7006" t="s">
        <v>30450</v>
      </c>
      <c r="N7006" t="s">
        <v>32524</v>
      </c>
      <c r="O7006" t="s">
        <v>32525</v>
      </c>
      <c r="P7006">
        <v>0</v>
      </c>
      <c r="Q7006">
        <v>0</v>
      </c>
      <c r="R7006" t="s">
        <v>32532</v>
      </c>
      <c r="S7006" t="s">
        <v>32616</v>
      </c>
      <c r="T7006" t="s">
        <v>33385</v>
      </c>
      <c r="U7006" t="s">
        <v>39152</v>
      </c>
      <c r="W7006" t="s">
        <v>30450</v>
      </c>
      <c r="X7006" t="s">
        <v>32533</v>
      </c>
    </row>
    <row r="7007" spans="1:24">
      <c r="A7007">
        <f>HYPERLINK("https://www.philgeps.gov.ph/GEPSNONPILOT/Tender/SplashBidNoticeAbstractUI.aspx?menuIndex=3&amp;refID=7037809&amp;Result=3","7037809")</f>
        <v>0</v>
      </c>
      <c r="B7007" t="s">
        <v>2116</v>
      </c>
      <c r="C7007" t="s">
        <v>9372</v>
      </c>
      <c r="D7007" t="s">
        <v>13023</v>
      </c>
      <c r="E7007" t="s">
        <v>19261</v>
      </c>
      <c r="F7007" t="s">
        <v>22436</v>
      </c>
      <c r="G7007" t="s">
        <v>22444</v>
      </c>
      <c r="H7007" t="s">
        <v>22454</v>
      </c>
      <c r="I7007" t="s">
        <v>7738</v>
      </c>
      <c r="J7007" t="s">
        <v>27108</v>
      </c>
      <c r="K7007" t="s">
        <v>29334</v>
      </c>
      <c r="M7007" t="s">
        <v>31867</v>
      </c>
      <c r="N7007" t="s">
        <v>32524</v>
      </c>
      <c r="O7007" t="s">
        <v>32525</v>
      </c>
      <c r="P7007">
        <v>0</v>
      </c>
      <c r="Q7007">
        <v>27</v>
      </c>
      <c r="R7007" t="s">
        <v>32532</v>
      </c>
      <c r="S7007" t="s">
        <v>32616</v>
      </c>
      <c r="T7007" t="s">
        <v>33234</v>
      </c>
      <c r="U7007" t="s">
        <v>39484</v>
      </c>
      <c r="V7007" t="s">
        <v>43189</v>
      </c>
      <c r="W7007" t="s">
        <v>31867</v>
      </c>
      <c r="X7007" t="s">
        <v>32533</v>
      </c>
    </row>
    <row r="7008" spans="1:24">
      <c r="A7008">
        <f>HYPERLINK("https://www.philgeps.gov.ph/GEPSNONPILOT/Tender/SplashBidNoticeAbstractUI.aspx?menuIndex=3&amp;refID=7037813&amp;Result=3","7037813")</f>
        <v>0</v>
      </c>
      <c r="B7008" t="s">
        <v>992</v>
      </c>
      <c r="C7008" t="s">
        <v>7633</v>
      </c>
      <c r="D7008" t="s">
        <v>13024</v>
      </c>
      <c r="E7008" t="s">
        <v>19262</v>
      </c>
      <c r="F7008" t="s">
        <v>22436</v>
      </c>
      <c r="G7008" t="s">
        <v>22444</v>
      </c>
      <c r="H7008" t="s">
        <v>22452</v>
      </c>
      <c r="I7008" t="s">
        <v>3827</v>
      </c>
      <c r="J7008" t="s">
        <v>27109</v>
      </c>
      <c r="K7008" t="s">
        <v>29434</v>
      </c>
      <c r="M7008" t="s">
        <v>30616</v>
      </c>
      <c r="N7008" t="s">
        <v>32524</v>
      </c>
      <c r="O7008" t="s">
        <v>32525</v>
      </c>
      <c r="P7008">
        <v>0</v>
      </c>
      <c r="Q7008">
        <v>0</v>
      </c>
      <c r="R7008" t="s">
        <v>32532</v>
      </c>
      <c r="S7008" t="s">
        <v>32616</v>
      </c>
      <c r="T7008" t="s">
        <v>33238</v>
      </c>
      <c r="U7008" t="s">
        <v>39485</v>
      </c>
      <c r="V7008" t="s">
        <v>42679</v>
      </c>
      <c r="W7008" t="s">
        <v>30616</v>
      </c>
      <c r="X7008" t="s">
        <v>32533</v>
      </c>
    </row>
    <row r="7009" spans="1:24">
      <c r="A7009">
        <f>HYPERLINK("https://www.philgeps.gov.ph/GEPSNONPILOT/Tender/SplashBidNoticeAbstractUI.aspx?menuIndex=3&amp;refID=7037814&amp;Result=3","7037814")</f>
        <v>0</v>
      </c>
      <c r="B7009" t="s">
        <v>449</v>
      </c>
      <c r="C7009" t="s">
        <v>9373</v>
      </c>
      <c r="D7009" t="s">
        <v>12999</v>
      </c>
      <c r="E7009" t="s">
        <v>19263</v>
      </c>
      <c r="F7009" t="s">
        <v>22436</v>
      </c>
      <c r="G7009" t="s">
        <v>22444</v>
      </c>
      <c r="H7009" t="s">
        <v>22454</v>
      </c>
      <c r="I7009" t="s">
        <v>7738</v>
      </c>
      <c r="J7009" t="s">
        <v>22893</v>
      </c>
      <c r="K7009" t="s">
        <v>29329</v>
      </c>
      <c r="M7009" t="s">
        <v>30031</v>
      </c>
      <c r="N7009" t="s">
        <v>32524</v>
      </c>
      <c r="O7009" t="s">
        <v>32525</v>
      </c>
      <c r="P7009">
        <v>0</v>
      </c>
      <c r="Q7009">
        <v>0</v>
      </c>
      <c r="R7009" t="s">
        <v>32532</v>
      </c>
      <c r="S7009" t="s">
        <v>32616</v>
      </c>
      <c r="T7009" t="s">
        <v>33234</v>
      </c>
      <c r="U7009" t="s">
        <v>39465</v>
      </c>
      <c r="W7009" t="s">
        <v>30031</v>
      </c>
      <c r="X7009" t="s">
        <v>32533</v>
      </c>
    </row>
    <row r="7010" spans="1:24">
      <c r="A7010">
        <f>HYPERLINK("https://www.philgeps.gov.ph/GEPSNONPILOT/Tender/SplashBidNoticeAbstractUI.aspx?menuIndex=3&amp;refID=7037805&amp;Result=3","7037805")</f>
        <v>0</v>
      </c>
      <c r="B7010" t="s">
        <v>2118</v>
      </c>
      <c r="C7010" t="s">
        <v>9374</v>
      </c>
      <c r="D7010" t="s">
        <v>13007</v>
      </c>
      <c r="E7010" t="s">
        <v>19264</v>
      </c>
      <c r="F7010" t="s">
        <v>22436</v>
      </c>
      <c r="G7010" t="s">
        <v>22443</v>
      </c>
      <c r="H7010" t="s">
        <v>22452</v>
      </c>
      <c r="I7010" t="s">
        <v>6236</v>
      </c>
      <c r="J7010" t="s">
        <v>27110</v>
      </c>
      <c r="K7010" t="s">
        <v>29340</v>
      </c>
      <c r="M7010" t="s">
        <v>31869</v>
      </c>
      <c r="N7010" t="s">
        <v>32524</v>
      </c>
      <c r="O7010" t="s">
        <v>32525</v>
      </c>
      <c r="P7010">
        <v>0</v>
      </c>
      <c r="Q7010">
        <v>0</v>
      </c>
      <c r="R7010" t="s">
        <v>32532</v>
      </c>
      <c r="S7010" t="s">
        <v>32616</v>
      </c>
      <c r="T7010" t="s">
        <v>33229</v>
      </c>
      <c r="U7010" t="s">
        <v>39486</v>
      </c>
      <c r="W7010" t="s">
        <v>31869</v>
      </c>
      <c r="X7010" t="s">
        <v>32533</v>
      </c>
    </row>
    <row r="7011" spans="1:24">
      <c r="A7011">
        <f>HYPERLINK("https://www.philgeps.gov.ph/GEPSNONPILOT/Tender/SplashBidNoticeAbstractUI.aspx?menuIndex=3&amp;refID=7037811&amp;Result=3","7037811")</f>
        <v>0</v>
      </c>
      <c r="B7011" t="s">
        <v>2119</v>
      </c>
      <c r="C7011" t="s">
        <v>9375</v>
      </c>
      <c r="D7011" t="s">
        <v>13054</v>
      </c>
      <c r="E7011" t="s">
        <v>13743</v>
      </c>
      <c r="F7011" t="s">
        <v>22436</v>
      </c>
      <c r="G7011" t="s">
        <v>22444</v>
      </c>
      <c r="H7011" t="s">
        <v>22454</v>
      </c>
      <c r="I7011" t="s">
        <v>7738</v>
      </c>
      <c r="J7011" t="s">
        <v>27111</v>
      </c>
      <c r="K7011" t="s">
        <v>29350</v>
      </c>
      <c r="M7011" t="s">
        <v>31870</v>
      </c>
      <c r="N7011" t="s">
        <v>32524</v>
      </c>
      <c r="O7011" t="s">
        <v>32525</v>
      </c>
      <c r="P7011">
        <v>0</v>
      </c>
      <c r="Q7011">
        <v>0</v>
      </c>
      <c r="R7011" t="s">
        <v>32532</v>
      </c>
      <c r="S7011" t="s">
        <v>32616</v>
      </c>
      <c r="T7011" t="s">
        <v>33185</v>
      </c>
      <c r="U7011" t="s">
        <v>39487</v>
      </c>
      <c r="V7011" t="s">
        <v>43190</v>
      </c>
      <c r="W7011" t="s">
        <v>31870</v>
      </c>
      <c r="X7011" t="s">
        <v>32533</v>
      </c>
    </row>
    <row r="7012" spans="1:24">
      <c r="A7012">
        <f>HYPERLINK("https://www.philgeps.gov.ph/GEPSNONPILOT/Tender/SplashBidNoticeAbstractUI.aspx?menuIndex=3&amp;refID=7037821&amp;Result=3","7037821")</f>
        <v>0</v>
      </c>
      <c r="B7012" t="s">
        <v>2114</v>
      </c>
      <c r="C7012" t="s">
        <v>9376</v>
      </c>
      <c r="D7012" t="s">
        <v>13057</v>
      </c>
      <c r="E7012" t="s">
        <v>19265</v>
      </c>
      <c r="F7012" t="s">
        <v>22436</v>
      </c>
      <c r="G7012" t="s">
        <v>22444</v>
      </c>
      <c r="H7012" t="s">
        <v>22454</v>
      </c>
      <c r="I7012" t="s">
        <v>7738</v>
      </c>
      <c r="J7012" t="s">
        <v>27112</v>
      </c>
      <c r="K7012" t="s">
        <v>29334</v>
      </c>
      <c r="M7012" t="s">
        <v>31865</v>
      </c>
      <c r="N7012" t="s">
        <v>32524</v>
      </c>
      <c r="O7012" t="s">
        <v>32525</v>
      </c>
      <c r="P7012">
        <v>0</v>
      </c>
      <c r="Q7012">
        <v>9</v>
      </c>
      <c r="R7012" t="s">
        <v>32532</v>
      </c>
      <c r="S7012" t="s">
        <v>32616</v>
      </c>
      <c r="T7012" t="s">
        <v>33242</v>
      </c>
      <c r="U7012" t="s">
        <v>39488</v>
      </c>
      <c r="W7012" t="s">
        <v>31865</v>
      </c>
      <c r="X7012" t="s">
        <v>32533</v>
      </c>
    </row>
    <row r="7013" spans="1:24">
      <c r="A7013">
        <f>HYPERLINK("https://www.philgeps.gov.ph/GEPSNONPILOT/Tender/SplashBidNoticeAbstractUI.aspx?menuIndex=3&amp;refID=7037799&amp;Result=3","7037799")</f>
        <v>0</v>
      </c>
      <c r="B7013" t="s">
        <v>2120</v>
      </c>
      <c r="C7013" t="s">
        <v>9377</v>
      </c>
      <c r="D7013" t="s">
        <v>13031</v>
      </c>
      <c r="E7013" t="s">
        <v>13321</v>
      </c>
      <c r="F7013" t="s">
        <v>22436</v>
      </c>
      <c r="G7013" t="s">
        <v>22447</v>
      </c>
      <c r="H7013" t="s">
        <v>22452</v>
      </c>
      <c r="I7013" t="s">
        <v>22502</v>
      </c>
      <c r="J7013" t="s">
        <v>27113</v>
      </c>
      <c r="K7013" t="s">
        <v>29344</v>
      </c>
      <c r="M7013" t="s">
        <v>31871</v>
      </c>
      <c r="N7013" t="s">
        <v>32524</v>
      </c>
      <c r="O7013" t="s">
        <v>32525</v>
      </c>
      <c r="P7013">
        <v>0</v>
      </c>
      <c r="Q7013">
        <v>30</v>
      </c>
      <c r="R7013" t="s">
        <v>32532</v>
      </c>
      <c r="S7013" t="s">
        <v>32616</v>
      </c>
      <c r="T7013" t="s">
        <v>33230</v>
      </c>
      <c r="U7013" t="s">
        <v>39489</v>
      </c>
      <c r="W7013" t="s">
        <v>43742</v>
      </c>
      <c r="X7013" t="s">
        <v>32533</v>
      </c>
    </row>
    <row r="7014" spans="1:24">
      <c r="A7014">
        <f>HYPERLINK("https://www.philgeps.gov.ph/GEPSNONPILOT/Tender/SplashBidNoticeAbstractUI.aspx?menuIndex=3&amp;refID=7037802&amp;Result=3","7037802")</f>
        <v>0</v>
      </c>
      <c r="B7014" t="s">
        <v>2121</v>
      </c>
      <c r="C7014" t="s">
        <v>9378</v>
      </c>
      <c r="D7014" t="s">
        <v>13007</v>
      </c>
      <c r="E7014" t="s">
        <v>13865</v>
      </c>
      <c r="F7014" t="s">
        <v>22436</v>
      </c>
      <c r="G7014" t="s">
        <v>22444</v>
      </c>
      <c r="H7014" t="s">
        <v>22452</v>
      </c>
      <c r="I7014" t="s">
        <v>22557</v>
      </c>
      <c r="J7014" t="s">
        <v>27114</v>
      </c>
      <c r="K7014" t="s">
        <v>29340</v>
      </c>
      <c r="M7014" t="s">
        <v>31872</v>
      </c>
      <c r="N7014" t="s">
        <v>32524</v>
      </c>
      <c r="O7014" t="s">
        <v>32525</v>
      </c>
      <c r="P7014">
        <v>0</v>
      </c>
      <c r="Q7014">
        <v>1</v>
      </c>
      <c r="R7014" t="s">
        <v>32532</v>
      </c>
      <c r="S7014" t="s">
        <v>32616</v>
      </c>
      <c r="T7014" t="s">
        <v>33164</v>
      </c>
      <c r="U7014" t="s">
        <v>39490</v>
      </c>
      <c r="V7014" t="s">
        <v>43191</v>
      </c>
      <c r="W7014" t="s">
        <v>31872</v>
      </c>
      <c r="X7014" t="s">
        <v>32533</v>
      </c>
    </row>
    <row r="7015" spans="1:24">
      <c r="A7015">
        <f>HYPERLINK("https://www.philgeps.gov.ph/GEPSNONPILOT/Tender/SplashBidNoticeAbstractUI.aspx?menuIndex=3&amp;refID=7037783&amp;Result=3","7037783")</f>
        <v>0</v>
      </c>
      <c r="B7015" t="s">
        <v>422</v>
      </c>
      <c r="C7015" t="s">
        <v>9379</v>
      </c>
      <c r="D7015" t="s">
        <v>13034</v>
      </c>
      <c r="E7015" t="s">
        <v>19266</v>
      </c>
      <c r="F7015" t="s">
        <v>22436</v>
      </c>
      <c r="G7015" t="s">
        <v>22444</v>
      </c>
      <c r="H7015" t="s">
        <v>22452</v>
      </c>
      <c r="I7015" t="s">
        <v>22458</v>
      </c>
      <c r="J7015" t="s">
        <v>24354</v>
      </c>
      <c r="K7015" t="s">
        <v>29331</v>
      </c>
      <c r="M7015" t="s">
        <v>30002</v>
      </c>
      <c r="N7015" t="s">
        <v>32524</v>
      </c>
      <c r="O7015" t="s">
        <v>32525</v>
      </c>
      <c r="P7015">
        <v>0</v>
      </c>
      <c r="Q7015">
        <v>6</v>
      </c>
      <c r="R7015" t="s">
        <v>32532</v>
      </c>
      <c r="S7015" t="s">
        <v>32616</v>
      </c>
      <c r="T7015" t="s">
        <v>33259</v>
      </c>
      <c r="U7015" t="s">
        <v>39491</v>
      </c>
      <c r="V7015" t="s">
        <v>43167</v>
      </c>
      <c r="W7015" t="s">
        <v>30002</v>
      </c>
      <c r="X7015" t="s">
        <v>32533</v>
      </c>
    </row>
    <row r="7016" spans="1:24">
      <c r="A7016">
        <f>HYPERLINK("https://www.philgeps.gov.ph/GEPSNONPILOT/Tender/SplashBidNoticeAbstractUI.aspx?menuIndex=3&amp;refID=7037806&amp;Result=3","7037806")</f>
        <v>0</v>
      </c>
      <c r="B7016" t="s">
        <v>422</v>
      </c>
      <c r="C7016" t="s">
        <v>9380</v>
      </c>
      <c r="D7016" t="s">
        <v>13034</v>
      </c>
      <c r="E7016" t="s">
        <v>19267</v>
      </c>
      <c r="F7016" t="s">
        <v>22436</v>
      </c>
      <c r="G7016" t="s">
        <v>22444</v>
      </c>
      <c r="H7016" t="s">
        <v>22452</v>
      </c>
      <c r="I7016" t="s">
        <v>6387</v>
      </c>
      <c r="J7016" t="s">
        <v>27115</v>
      </c>
      <c r="K7016" t="s">
        <v>29335</v>
      </c>
      <c r="M7016" t="s">
        <v>30002</v>
      </c>
      <c r="N7016" t="s">
        <v>32524</v>
      </c>
      <c r="O7016" t="s">
        <v>32525</v>
      </c>
      <c r="P7016">
        <v>0</v>
      </c>
      <c r="Q7016">
        <v>2</v>
      </c>
      <c r="R7016" t="s">
        <v>32532</v>
      </c>
      <c r="S7016" t="s">
        <v>32616</v>
      </c>
      <c r="T7016" t="s">
        <v>33234</v>
      </c>
      <c r="U7016" t="s">
        <v>39492</v>
      </c>
      <c r="V7016" t="s">
        <v>43192</v>
      </c>
      <c r="W7016" t="s">
        <v>30002</v>
      </c>
      <c r="X7016" t="s">
        <v>32533</v>
      </c>
    </row>
    <row r="7017" spans="1:24">
      <c r="A7017">
        <f>HYPERLINK("https://www.philgeps.gov.ph/GEPSNONPILOT/Tender/SplashBidNoticeAbstractUI.aspx?menuIndex=3&amp;refID=7037826&amp;Result=3","7037826")</f>
        <v>0</v>
      </c>
      <c r="B7017" t="s">
        <v>2117</v>
      </c>
      <c r="C7017" t="s">
        <v>9381</v>
      </c>
      <c r="D7017" t="s">
        <v>12988</v>
      </c>
      <c r="E7017" t="s">
        <v>19268</v>
      </c>
      <c r="F7017" t="s">
        <v>22436</v>
      </c>
      <c r="G7017" t="s">
        <v>22444</v>
      </c>
      <c r="H7017" t="s">
        <v>22452</v>
      </c>
      <c r="I7017" t="s">
        <v>2981</v>
      </c>
      <c r="J7017" t="s">
        <v>22893</v>
      </c>
      <c r="K7017" t="s">
        <v>29357</v>
      </c>
      <c r="M7017" t="s">
        <v>31868</v>
      </c>
      <c r="N7017" t="s">
        <v>32524</v>
      </c>
      <c r="O7017" t="s">
        <v>32525</v>
      </c>
      <c r="P7017">
        <v>0</v>
      </c>
      <c r="Q7017">
        <v>1</v>
      </c>
      <c r="R7017" t="s">
        <v>32532</v>
      </c>
      <c r="S7017" t="s">
        <v>32616</v>
      </c>
      <c r="T7017" t="s">
        <v>33549</v>
      </c>
      <c r="U7017" t="s">
        <v>39482</v>
      </c>
      <c r="W7017" t="s">
        <v>31868</v>
      </c>
      <c r="X7017" t="s">
        <v>32533</v>
      </c>
    </row>
    <row r="7018" spans="1:24">
      <c r="A7018">
        <f>HYPERLINK("https://www.philgeps.gov.ph/GEPSNONPILOT/Tender/SplashBidNoticeAbstractUI.aspx?menuIndex=3&amp;refID=7037827&amp;Result=3","7037827")</f>
        <v>0</v>
      </c>
      <c r="B7018" t="s">
        <v>2116</v>
      </c>
      <c r="C7018" t="s">
        <v>9382</v>
      </c>
      <c r="D7018" t="s">
        <v>13023</v>
      </c>
      <c r="E7018" t="s">
        <v>19269</v>
      </c>
      <c r="F7018" t="s">
        <v>22436</v>
      </c>
      <c r="G7018" t="s">
        <v>22444</v>
      </c>
      <c r="H7018" t="s">
        <v>22454</v>
      </c>
      <c r="I7018" t="s">
        <v>7738</v>
      </c>
      <c r="J7018" t="s">
        <v>27116</v>
      </c>
      <c r="K7018" t="s">
        <v>29334</v>
      </c>
      <c r="M7018" t="s">
        <v>31867</v>
      </c>
      <c r="N7018" t="s">
        <v>32524</v>
      </c>
      <c r="O7018" t="s">
        <v>32525</v>
      </c>
      <c r="P7018">
        <v>0</v>
      </c>
      <c r="Q7018">
        <v>25</v>
      </c>
      <c r="R7018" t="s">
        <v>32532</v>
      </c>
      <c r="S7018" t="s">
        <v>32616</v>
      </c>
      <c r="T7018" t="s">
        <v>33234</v>
      </c>
      <c r="U7018" t="s">
        <v>39493</v>
      </c>
      <c r="V7018" t="s">
        <v>43189</v>
      </c>
      <c r="W7018" t="s">
        <v>31867</v>
      </c>
      <c r="X7018" t="s">
        <v>32533</v>
      </c>
    </row>
    <row r="7019" spans="1:24">
      <c r="A7019">
        <f>HYPERLINK("https://www.philgeps.gov.ph/GEPSNONPILOT/Tender/SplashBidNoticeAbstractUI.aspx?menuIndex=3&amp;refID=7037849&amp;Result=3","7037849")</f>
        <v>0</v>
      </c>
      <c r="B7019" t="s">
        <v>57</v>
      </c>
      <c r="C7019" t="s">
        <v>9383</v>
      </c>
      <c r="D7019" t="s">
        <v>13013</v>
      </c>
      <c r="E7019" t="s">
        <v>13417</v>
      </c>
      <c r="F7019" t="s">
        <v>22436</v>
      </c>
      <c r="G7019" t="s">
        <v>22444</v>
      </c>
      <c r="H7019" t="s">
        <v>22452</v>
      </c>
      <c r="I7019" t="s">
        <v>22488</v>
      </c>
      <c r="J7019" t="s">
        <v>23569</v>
      </c>
      <c r="K7019" t="s">
        <v>29342</v>
      </c>
      <c r="M7019" t="s">
        <v>29629</v>
      </c>
      <c r="N7019" t="s">
        <v>32524</v>
      </c>
      <c r="O7019" t="s">
        <v>32525</v>
      </c>
      <c r="P7019">
        <v>0</v>
      </c>
      <c r="Q7019">
        <v>1</v>
      </c>
      <c r="R7019" t="s">
        <v>32532</v>
      </c>
      <c r="S7019" t="s">
        <v>32616</v>
      </c>
      <c r="T7019" t="s">
        <v>33220</v>
      </c>
      <c r="U7019" t="s">
        <v>39494</v>
      </c>
      <c r="V7019" t="s">
        <v>43193</v>
      </c>
      <c r="W7019" t="s">
        <v>29629</v>
      </c>
      <c r="X7019" t="s">
        <v>32533</v>
      </c>
    </row>
    <row r="7020" spans="1:24">
      <c r="A7020">
        <f>HYPERLINK("https://www.philgeps.gov.ph/GEPSNONPILOT/Tender/SplashBidNoticeAbstractUI.aspx?menuIndex=3&amp;refID=7037770&amp;Result=3","7037770")</f>
        <v>0</v>
      </c>
      <c r="B7020" t="s">
        <v>2114</v>
      </c>
      <c r="C7020" t="s">
        <v>9384</v>
      </c>
      <c r="D7020" t="s">
        <v>13057</v>
      </c>
      <c r="E7020" t="s">
        <v>19270</v>
      </c>
      <c r="F7020" t="s">
        <v>22436</v>
      </c>
      <c r="G7020" t="s">
        <v>22444</v>
      </c>
      <c r="H7020" t="s">
        <v>22454</v>
      </c>
      <c r="I7020" t="s">
        <v>7738</v>
      </c>
      <c r="J7020" t="s">
        <v>27117</v>
      </c>
      <c r="K7020" t="s">
        <v>29334</v>
      </c>
      <c r="M7020" t="s">
        <v>31865</v>
      </c>
      <c r="N7020" t="s">
        <v>32524</v>
      </c>
      <c r="O7020" t="s">
        <v>32525</v>
      </c>
      <c r="P7020">
        <v>0</v>
      </c>
      <c r="Q7020">
        <v>13</v>
      </c>
      <c r="R7020" t="s">
        <v>32532</v>
      </c>
      <c r="S7020" t="s">
        <v>32616</v>
      </c>
      <c r="T7020" t="s">
        <v>33242</v>
      </c>
      <c r="U7020" t="s">
        <v>39495</v>
      </c>
      <c r="W7020" t="s">
        <v>31865</v>
      </c>
      <c r="X7020" t="s">
        <v>32533</v>
      </c>
    </row>
    <row r="7021" spans="1:24">
      <c r="A7021">
        <f>HYPERLINK("https://www.philgeps.gov.ph/GEPSNONPILOT/Tender/SplashBidNoticeAbstractUI.aspx?menuIndex=3&amp;refID=7037841&amp;Result=3","7037841")</f>
        <v>0</v>
      </c>
      <c r="B7021" t="s">
        <v>2119</v>
      </c>
      <c r="C7021" t="s">
        <v>9385</v>
      </c>
      <c r="D7021" t="s">
        <v>13054</v>
      </c>
      <c r="E7021" t="s">
        <v>13571</v>
      </c>
      <c r="F7021" t="s">
        <v>22436</v>
      </c>
      <c r="G7021" t="s">
        <v>22444</v>
      </c>
      <c r="H7021" t="s">
        <v>22454</v>
      </c>
      <c r="I7021" t="s">
        <v>7738</v>
      </c>
      <c r="J7021" t="s">
        <v>27118</v>
      </c>
      <c r="K7021" t="s">
        <v>29500</v>
      </c>
      <c r="M7021" t="s">
        <v>31870</v>
      </c>
      <c r="N7021" t="s">
        <v>32524</v>
      </c>
      <c r="O7021" t="s">
        <v>32525</v>
      </c>
      <c r="P7021">
        <v>0</v>
      </c>
      <c r="Q7021">
        <v>0</v>
      </c>
      <c r="R7021" t="s">
        <v>32532</v>
      </c>
      <c r="S7021" t="s">
        <v>32616</v>
      </c>
      <c r="T7021" t="s">
        <v>33185</v>
      </c>
      <c r="U7021" t="s">
        <v>39496</v>
      </c>
      <c r="V7021" t="s">
        <v>43194</v>
      </c>
      <c r="W7021" t="s">
        <v>31870</v>
      </c>
      <c r="X7021" t="s">
        <v>32533</v>
      </c>
    </row>
    <row r="7022" spans="1:24">
      <c r="A7022">
        <f>HYPERLINK("https://www.philgeps.gov.ph/GEPSNONPILOT/Tender/SplashBidNoticeAbstractUI.aspx?menuIndex=3&amp;refID=7037847&amp;Result=3","7037847")</f>
        <v>0</v>
      </c>
      <c r="B7022" t="s">
        <v>1865</v>
      </c>
      <c r="C7022" t="s">
        <v>9386</v>
      </c>
      <c r="D7022" t="s">
        <v>13060</v>
      </c>
      <c r="E7022" t="s">
        <v>19271</v>
      </c>
      <c r="F7022" t="s">
        <v>22436</v>
      </c>
      <c r="G7022" t="s">
        <v>22444</v>
      </c>
      <c r="H7022" t="s">
        <v>22452</v>
      </c>
      <c r="I7022" t="s">
        <v>22464</v>
      </c>
      <c r="J7022" t="s">
        <v>25652</v>
      </c>
      <c r="K7022" t="s">
        <v>29341</v>
      </c>
      <c r="M7022" t="s">
        <v>31583</v>
      </c>
      <c r="N7022" t="s">
        <v>32524</v>
      </c>
      <c r="O7022" t="s">
        <v>32525</v>
      </c>
      <c r="P7022">
        <v>0</v>
      </c>
      <c r="Q7022">
        <v>4</v>
      </c>
      <c r="R7022" t="s">
        <v>32532</v>
      </c>
      <c r="S7022" t="s">
        <v>32616</v>
      </c>
      <c r="T7022" t="s">
        <v>33227</v>
      </c>
      <c r="U7022" t="s">
        <v>39497</v>
      </c>
      <c r="V7022" t="s">
        <v>43066</v>
      </c>
      <c r="W7022" t="s">
        <v>31583</v>
      </c>
      <c r="X7022" t="s">
        <v>32533</v>
      </c>
    </row>
    <row r="7023" spans="1:24">
      <c r="A7023">
        <f>HYPERLINK("https://www.philgeps.gov.ph/GEPSNONPILOT/Tender/SplashBidNoticeAbstractUI.aspx?menuIndex=3&amp;refID=7037862&amp;Result=3","7037862")</f>
        <v>0</v>
      </c>
      <c r="B7023" t="s">
        <v>1118</v>
      </c>
      <c r="C7023" t="s">
        <v>9387</v>
      </c>
      <c r="D7023" t="s">
        <v>13024</v>
      </c>
      <c r="E7023" t="s">
        <v>19272</v>
      </c>
      <c r="F7023" t="s">
        <v>22436</v>
      </c>
      <c r="G7023" t="s">
        <v>22444</v>
      </c>
      <c r="H7023" t="s">
        <v>22452</v>
      </c>
      <c r="I7023" t="s">
        <v>22525</v>
      </c>
      <c r="J7023" t="s">
        <v>22587</v>
      </c>
      <c r="K7023" t="s">
        <v>29333</v>
      </c>
      <c r="M7023" t="s">
        <v>31513</v>
      </c>
      <c r="N7023" t="s">
        <v>32524</v>
      </c>
      <c r="O7023" t="s">
        <v>32525</v>
      </c>
      <c r="P7023">
        <v>0</v>
      </c>
      <c r="Q7023">
        <v>5</v>
      </c>
      <c r="R7023" t="s">
        <v>32532</v>
      </c>
      <c r="S7023" t="s">
        <v>32616</v>
      </c>
      <c r="T7023" t="s">
        <v>33340</v>
      </c>
      <c r="U7023" t="s">
        <v>39498</v>
      </c>
      <c r="W7023" t="s">
        <v>31513</v>
      </c>
      <c r="X7023" t="s">
        <v>32533</v>
      </c>
    </row>
    <row r="7024" spans="1:24">
      <c r="A7024">
        <f>HYPERLINK("https://www.philgeps.gov.ph/GEPSNONPILOT/Tender/SplashBidNoticeAbstractUI.aspx?menuIndex=3&amp;refID=7037835&amp;Result=3","7037835")</f>
        <v>0</v>
      </c>
      <c r="B7024" t="s">
        <v>449</v>
      </c>
      <c r="C7024" t="s">
        <v>9388</v>
      </c>
      <c r="D7024" t="s">
        <v>12999</v>
      </c>
      <c r="E7024" t="s">
        <v>19273</v>
      </c>
      <c r="F7024" t="s">
        <v>22436</v>
      </c>
      <c r="G7024" t="s">
        <v>22444</v>
      </c>
      <c r="H7024" t="s">
        <v>22454</v>
      </c>
      <c r="I7024" t="s">
        <v>7738</v>
      </c>
      <c r="J7024" t="s">
        <v>22788</v>
      </c>
      <c r="K7024" t="s">
        <v>29329</v>
      </c>
      <c r="M7024" t="s">
        <v>30031</v>
      </c>
      <c r="N7024" t="s">
        <v>32524</v>
      </c>
      <c r="O7024" t="s">
        <v>32525</v>
      </c>
      <c r="P7024">
        <v>0</v>
      </c>
      <c r="Q7024">
        <v>0</v>
      </c>
      <c r="R7024" t="s">
        <v>32532</v>
      </c>
      <c r="S7024" t="s">
        <v>32616</v>
      </c>
      <c r="T7024" t="s">
        <v>33234</v>
      </c>
      <c r="U7024" t="s">
        <v>39465</v>
      </c>
      <c r="W7024" t="s">
        <v>30031</v>
      </c>
      <c r="X7024" t="s">
        <v>32533</v>
      </c>
    </row>
    <row r="7025" spans="1:24">
      <c r="A7025">
        <f>HYPERLINK("https://www.philgeps.gov.ph/GEPSNONPILOT/Tender/SplashBidNoticeAbstractUI.aspx?menuIndex=3&amp;refID=7037833&amp;Result=3","7037833")</f>
        <v>0</v>
      </c>
      <c r="B7025" t="s">
        <v>2116</v>
      </c>
      <c r="C7025" t="s">
        <v>9389</v>
      </c>
      <c r="D7025" t="s">
        <v>13023</v>
      </c>
      <c r="E7025" t="s">
        <v>19274</v>
      </c>
      <c r="F7025" t="s">
        <v>22436</v>
      </c>
      <c r="G7025" t="s">
        <v>22444</v>
      </c>
      <c r="H7025" t="s">
        <v>22454</v>
      </c>
      <c r="I7025" t="s">
        <v>7738</v>
      </c>
      <c r="J7025" t="s">
        <v>27119</v>
      </c>
      <c r="K7025" t="s">
        <v>29334</v>
      </c>
      <c r="M7025" t="s">
        <v>31867</v>
      </c>
      <c r="N7025" t="s">
        <v>32524</v>
      </c>
      <c r="O7025" t="s">
        <v>32525</v>
      </c>
      <c r="P7025">
        <v>0</v>
      </c>
      <c r="Q7025">
        <v>22</v>
      </c>
      <c r="R7025" t="s">
        <v>32532</v>
      </c>
      <c r="S7025" t="s">
        <v>32616</v>
      </c>
      <c r="T7025" t="s">
        <v>33234</v>
      </c>
      <c r="U7025" t="s">
        <v>39499</v>
      </c>
      <c r="V7025" t="s">
        <v>43189</v>
      </c>
      <c r="W7025" t="s">
        <v>31867</v>
      </c>
      <c r="X7025" t="s">
        <v>32533</v>
      </c>
    </row>
    <row r="7026" spans="1:24">
      <c r="A7026">
        <f>HYPERLINK("https://www.philgeps.gov.ph/GEPSNONPILOT/Tender/SplashBidNoticeAbstractUI.aspx?menuIndex=3&amp;refID=7037864&amp;Result=3","7037864")</f>
        <v>0</v>
      </c>
      <c r="B7026" t="s">
        <v>2122</v>
      </c>
      <c r="C7026" t="s">
        <v>9390</v>
      </c>
      <c r="D7026" t="s">
        <v>13018</v>
      </c>
      <c r="E7026" t="s">
        <v>19275</v>
      </c>
      <c r="F7026" t="s">
        <v>22436</v>
      </c>
      <c r="G7026" t="s">
        <v>22444</v>
      </c>
      <c r="H7026" t="s">
        <v>22454</v>
      </c>
      <c r="I7026" t="s">
        <v>7738</v>
      </c>
      <c r="J7026" t="s">
        <v>24189</v>
      </c>
      <c r="K7026" t="s">
        <v>29344</v>
      </c>
      <c r="M7026" t="s">
        <v>31873</v>
      </c>
      <c r="N7026" t="s">
        <v>32524</v>
      </c>
      <c r="O7026" t="s">
        <v>32525</v>
      </c>
      <c r="P7026">
        <v>0</v>
      </c>
      <c r="Q7026">
        <v>0</v>
      </c>
      <c r="R7026" t="s">
        <v>32532</v>
      </c>
      <c r="S7026" t="s">
        <v>32616</v>
      </c>
      <c r="T7026" t="s">
        <v>33372</v>
      </c>
      <c r="U7026" t="s">
        <v>39500</v>
      </c>
      <c r="W7026" t="s">
        <v>31873</v>
      </c>
      <c r="X7026" t="s">
        <v>32533</v>
      </c>
    </row>
    <row r="7027" spans="1:24">
      <c r="A7027">
        <f>HYPERLINK("https://www.philgeps.gov.ph/GEPSNONPILOT/Tender/SplashBidNoticeAbstractUI.aspx?menuIndex=3&amp;refID=7037857&amp;Result=3","7037857")</f>
        <v>0</v>
      </c>
      <c r="B7027" t="s">
        <v>635</v>
      </c>
      <c r="C7027" t="s">
        <v>9391</v>
      </c>
      <c r="D7027" t="s">
        <v>13029</v>
      </c>
      <c r="E7027" t="s">
        <v>19276</v>
      </c>
      <c r="F7027" t="s">
        <v>22436</v>
      </c>
      <c r="G7027" t="s">
        <v>22444</v>
      </c>
      <c r="H7027" t="s">
        <v>22452</v>
      </c>
      <c r="I7027" t="s">
        <v>3827</v>
      </c>
      <c r="J7027" t="s">
        <v>27120</v>
      </c>
      <c r="K7027" t="s">
        <v>29329</v>
      </c>
      <c r="M7027" t="s">
        <v>31874</v>
      </c>
      <c r="N7027" t="s">
        <v>32524</v>
      </c>
      <c r="O7027" t="s">
        <v>32525</v>
      </c>
      <c r="P7027">
        <v>0</v>
      </c>
      <c r="Q7027">
        <v>9</v>
      </c>
      <c r="R7027" t="s">
        <v>32532</v>
      </c>
      <c r="S7027" t="s">
        <v>32616</v>
      </c>
      <c r="T7027" t="s">
        <v>33218</v>
      </c>
      <c r="U7027" t="s">
        <v>39501</v>
      </c>
      <c r="V7027" t="s">
        <v>43195</v>
      </c>
      <c r="W7027" t="s">
        <v>31874</v>
      </c>
      <c r="X7027" t="s">
        <v>32533</v>
      </c>
    </row>
    <row r="7028" spans="1:24">
      <c r="A7028">
        <f>HYPERLINK("https://www.philgeps.gov.ph/GEPSNONPILOT/Tender/SplashBidNoticeAbstractUI.aspx?menuIndex=3&amp;refID=7037850&amp;Result=3","7037850")</f>
        <v>0</v>
      </c>
      <c r="B7028" t="s">
        <v>2123</v>
      </c>
      <c r="C7028" t="s">
        <v>9392</v>
      </c>
      <c r="D7028" t="s">
        <v>13011</v>
      </c>
      <c r="E7028" t="s">
        <v>19277</v>
      </c>
      <c r="F7028" t="s">
        <v>22436</v>
      </c>
      <c r="G7028" t="s">
        <v>22444</v>
      </c>
      <c r="H7028" t="s">
        <v>22454</v>
      </c>
      <c r="I7028" t="s">
        <v>7738</v>
      </c>
      <c r="J7028" t="s">
        <v>23093</v>
      </c>
      <c r="K7028" t="s">
        <v>29338</v>
      </c>
      <c r="M7028" t="s">
        <v>31875</v>
      </c>
      <c r="N7028" t="s">
        <v>32524</v>
      </c>
      <c r="O7028" t="s">
        <v>32525</v>
      </c>
      <c r="P7028">
        <v>0</v>
      </c>
      <c r="Q7028">
        <v>0</v>
      </c>
      <c r="R7028" t="s">
        <v>32532</v>
      </c>
      <c r="S7028" t="s">
        <v>32616</v>
      </c>
      <c r="T7028" t="s">
        <v>33296</v>
      </c>
      <c r="U7028" t="s">
        <v>39502</v>
      </c>
      <c r="W7028" t="s">
        <v>31875</v>
      </c>
      <c r="X7028" t="s">
        <v>32533</v>
      </c>
    </row>
    <row r="7029" spans="1:24">
      <c r="A7029">
        <f>HYPERLINK("https://www.philgeps.gov.ph/GEPSNONPILOT/Tender/SplashBidNoticeAbstractUI.aspx?menuIndex=3&amp;refID=7037858&amp;Result=3","7037858")</f>
        <v>0</v>
      </c>
      <c r="B7029" t="s">
        <v>1109</v>
      </c>
      <c r="C7029" t="s">
        <v>9393</v>
      </c>
      <c r="D7029" t="s">
        <v>13045</v>
      </c>
      <c r="E7029" t="s">
        <v>19278</v>
      </c>
      <c r="F7029" t="s">
        <v>22436</v>
      </c>
      <c r="G7029" t="s">
        <v>22444</v>
      </c>
      <c r="H7029" t="s">
        <v>22452</v>
      </c>
      <c r="I7029" t="s">
        <v>22484</v>
      </c>
      <c r="J7029" t="s">
        <v>22970</v>
      </c>
      <c r="K7029" t="s">
        <v>29335</v>
      </c>
      <c r="M7029" t="s">
        <v>30745</v>
      </c>
      <c r="N7029" t="s">
        <v>32524</v>
      </c>
      <c r="O7029" t="s">
        <v>32525</v>
      </c>
      <c r="P7029">
        <v>0</v>
      </c>
      <c r="Q7029">
        <v>5</v>
      </c>
      <c r="R7029" t="s">
        <v>32532</v>
      </c>
      <c r="S7029" t="s">
        <v>32616</v>
      </c>
      <c r="T7029" t="s">
        <v>33423</v>
      </c>
      <c r="U7029" t="s">
        <v>38800</v>
      </c>
      <c r="W7029" t="s">
        <v>30745</v>
      </c>
      <c r="X7029" t="s">
        <v>32533</v>
      </c>
    </row>
    <row r="7030" spans="1:24">
      <c r="A7030">
        <f>HYPERLINK("https://www.philgeps.gov.ph/GEPSNONPILOT/Tender/SplashBidNoticeAbstractUI.aspx?menuIndex=3&amp;refID=7037851&amp;Result=3","7037851")</f>
        <v>0</v>
      </c>
      <c r="B7030" t="s">
        <v>2114</v>
      </c>
      <c r="C7030" t="s">
        <v>9394</v>
      </c>
      <c r="D7030" t="s">
        <v>13057</v>
      </c>
      <c r="E7030" t="s">
        <v>19279</v>
      </c>
      <c r="F7030" t="s">
        <v>22436</v>
      </c>
      <c r="G7030" t="s">
        <v>22444</v>
      </c>
      <c r="H7030" t="s">
        <v>22454</v>
      </c>
      <c r="I7030" t="s">
        <v>7738</v>
      </c>
      <c r="J7030" t="s">
        <v>27121</v>
      </c>
      <c r="K7030" t="s">
        <v>29347</v>
      </c>
      <c r="M7030" t="s">
        <v>31865</v>
      </c>
      <c r="N7030" t="s">
        <v>32524</v>
      </c>
      <c r="O7030" t="s">
        <v>32525</v>
      </c>
      <c r="P7030">
        <v>0</v>
      </c>
      <c r="Q7030">
        <v>9</v>
      </c>
      <c r="R7030" t="s">
        <v>32532</v>
      </c>
      <c r="S7030" t="s">
        <v>32616</v>
      </c>
      <c r="T7030" t="s">
        <v>33242</v>
      </c>
      <c r="U7030" t="s">
        <v>39503</v>
      </c>
      <c r="W7030" t="s">
        <v>31865</v>
      </c>
      <c r="X7030" t="s">
        <v>32533</v>
      </c>
    </row>
    <row r="7031" spans="1:24">
      <c r="A7031">
        <f>HYPERLINK("https://www.philgeps.gov.ph/GEPSNONPILOT/Tender/SplashBidNoticeAbstractUI.aspx?menuIndex=3&amp;refID=7037842&amp;Result=3","7037842")</f>
        <v>0</v>
      </c>
      <c r="B7031" t="s">
        <v>449</v>
      </c>
      <c r="C7031" t="s">
        <v>9395</v>
      </c>
      <c r="D7031" t="s">
        <v>12999</v>
      </c>
      <c r="E7031" t="s">
        <v>19280</v>
      </c>
      <c r="F7031" t="s">
        <v>22436</v>
      </c>
      <c r="G7031" t="s">
        <v>22444</v>
      </c>
      <c r="H7031" t="s">
        <v>22454</v>
      </c>
      <c r="I7031" t="s">
        <v>7738</v>
      </c>
      <c r="J7031" t="s">
        <v>22788</v>
      </c>
      <c r="K7031" t="s">
        <v>29329</v>
      </c>
      <c r="M7031" t="s">
        <v>30031</v>
      </c>
      <c r="N7031" t="s">
        <v>32524</v>
      </c>
      <c r="O7031" t="s">
        <v>32525</v>
      </c>
      <c r="P7031">
        <v>0</v>
      </c>
      <c r="Q7031">
        <v>0</v>
      </c>
      <c r="R7031" t="s">
        <v>32532</v>
      </c>
      <c r="S7031" t="s">
        <v>32616</v>
      </c>
      <c r="T7031" t="s">
        <v>33234</v>
      </c>
      <c r="U7031" t="s">
        <v>39465</v>
      </c>
      <c r="W7031" t="s">
        <v>30031</v>
      </c>
      <c r="X7031" t="s">
        <v>32533</v>
      </c>
    </row>
    <row r="7032" spans="1:24">
      <c r="A7032">
        <f>HYPERLINK("https://www.philgeps.gov.ph/GEPSNONPILOT/Tender/SplashBidNoticeAbstractUI.aspx?menuIndex=3&amp;refID=7037832&amp;Result=3","7037832")</f>
        <v>0</v>
      </c>
      <c r="B7032" t="s">
        <v>2119</v>
      </c>
      <c r="C7032" t="s">
        <v>9396</v>
      </c>
      <c r="D7032" t="s">
        <v>13054</v>
      </c>
      <c r="E7032" t="s">
        <v>13278</v>
      </c>
      <c r="F7032" t="s">
        <v>22436</v>
      </c>
      <c r="G7032" t="s">
        <v>22444</v>
      </c>
      <c r="H7032" t="s">
        <v>22454</v>
      </c>
      <c r="I7032" t="s">
        <v>7738</v>
      </c>
      <c r="J7032" t="s">
        <v>27122</v>
      </c>
      <c r="K7032" t="s">
        <v>29501</v>
      </c>
      <c r="M7032" t="s">
        <v>31870</v>
      </c>
      <c r="N7032" t="s">
        <v>32524</v>
      </c>
      <c r="O7032" t="s">
        <v>32525</v>
      </c>
      <c r="P7032">
        <v>0</v>
      </c>
      <c r="Q7032">
        <v>0</v>
      </c>
      <c r="R7032" t="s">
        <v>32532</v>
      </c>
      <c r="S7032" t="s">
        <v>32616</v>
      </c>
      <c r="T7032" t="s">
        <v>33185</v>
      </c>
      <c r="U7032" t="s">
        <v>39504</v>
      </c>
      <c r="V7032" t="s">
        <v>43196</v>
      </c>
      <c r="W7032" t="s">
        <v>31870</v>
      </c>
      <c r="X7032" t="s">
        <v>32533</v>
      </c>
    </row>
    <row r="7033" spans="1:24">
      <c r="A7033">
        <f>HYPERLINK("https://www.philgeps.gov.ph/GEPSNONPILOT/Tender/SplashBidNoticeAbstractUI.aspx?menuIndex=3&amp;refID=7037852&amp;Result=3","7037852")</f>
        <v>0</v>
      </c>
      <c r="B7033" t="s">
        <v>2119</v>
      </c>
      <c r="C7033" t="s">
        <v>9397</v>
      </c>
      <c r="D7033" t="s">
        <v>13054</v>
      </c>
      <c r="E7033" t="s">
        <v>13589</v>
      </c>
      <c r="F7033" t="s">
        <v>22436</v>
      </c>
      <c r="G7033" t="s">
        <v>22444</v>
      </c>
      <c r="H7033" t="s">
        <v>22454</v>
      </c>
      <c r="I7033" t="s">
        <v>7738</v>
      </c>
      <c r="J7033" t="s">
        <v>27123</v>
      </c>
      <c r="K7033" t="s">
        <v>29344</v>
      </c>
      <c r="M7033" t="s">
        <v>31870</v>
      </c>
      <c r="N7033" t="s">
        <v>32524</v>
      </c>
      <c r="O7033" t="s">
        <v>32525</v>
      </c>
      <c r="P7033">
        <v>0</v>
      </c>
      <c r="Q7033">
        <v>0</v>
      </c>
      <c r="R7033" t="s">
        <v>32532</v>
      </c>
      <c r="S7033" t="s">
        <v>32616</v>
      </c>
      <c r="T7033" t="s">
        <v>33185</v>
      </c>
      <c r="U7033" t="s">
        <v>39505</v>
      </c>
      <c r="V7033" t="s">
        <v>43197</v>
      </c>
      <c r="W7033" t="s">
        <v>31870</v>
      </c>
      <c r="X7033" t="s">
        <v>32533</v>
      </c>
    </row>
    <row r="7034" spans="1:24">
      <c r="A7034">
        <f>HYPERLINK("https://www.philgeps.gov.ph/GEPSNONPILOT/Tender/SplashBidNoticeAbstractUI.aspx?menuIndex=3&amp;refID=7037860&amp;Result=3","7037860")</f>
        <v>0</v>
      </c>
      <c r="B7034" t="s">
        <v>2124</v>
      </c>
      <c r="C7034" t="s">
        <v>8276</v>
      </c>
      <c r="D7034" t="s">
        <v>13001</v>
      </c>
      <c r="E7034" t="s">
        <v>13661</v>
      </c>
      <c r="F7034" t="s">
        <v>22436</v>
      </c>
      <c r="G7034" t="s">
        <v>22444</v>
      </c>
      <c r="H7034" t="s">
        <v>22452</v>
      </c>
      <c r="I7034" t="s">
        <v>6387</v>
      </c>
      <c r="J7034" t="s">
        <v>27124</v>
      </c>
      <c r="K7034" t="s">
        <v>29336</v>
      </c>
      <c r="M7034" t="s">
        <v>31876</v>
      </c>
      <c r="N7034" t="s">
        <v>32524</v>
      </c>
      <c r="O7034" t="s">
        <v>32525</v>
      </c>
      <c r="P7034">
        <v>0</v>
      </c>
      <c r="Q7034">
        <v>4</v>
      </c>
      <c r="R7034" t="s">
        <v>32532</v>
      </c>
      <c r="S7034" t="s">
        <v>32616</v>
      </c>
      <c r="T7034" t="s">
        <v>33215</v>
      </c>
      <c r="U7034" t="s">
        <v>39506</v>
      </c>
      <c r="W7034" t="s">
        <v>31876</v>
      </c>
      <c r="X7034" t="s">
        <v>32533</v>
      </c>
    </row>
    <row r="7035" spans="1:24">
      <c r="A7035">
        <f>HYPERLINK("https://www.philgeps.gov.ph/GEPSNONPILOT/Tender/SplashBidNoticeAbstractUI.aspx?menuIndex=3&amp;refID=7037865&amp;Result=3","7037865")</f>
        <v>0</v>
      </c>
      <c r="B7035" t="s">
        <v>2125</v>
      </c>
      <c r="C7035" t="s">
        <v>2739</v>
      </c>
      <c r="D7035" t="s">
        <v>13028</v>
      </c>
      <c r="E7035" t="s">
        <v>13661</v>
      </c>
      <c r="F7035" t="s">
        <v>22436</v>
      </c>
      <c r="G7035" t="s">
        <v>22444</v>
      </c>
      <c r="H7035" t="s">
        <v>22452</v>
      </c>
      <c r="I7035" t="s">
        <v>3529</v>
      </c>
      <c r="J7035" t="s">
        <v>22640</v>
      </c>
      <c r="K7035" t="s">
        <v>29336</v>
      </c>
      <c r="M7035" t="s">
        <v>31877</v>
      </c>
      <c r="N7035" t="s">
        <v>32524</v>
      </c>
      <c r="O7035" t="s">
        <v>32525</v>
      </c>
      <c r="P7035">
        <v>0</v>
      </c>
      <c r="Q7035">
        <v>3</v>
      </c>
      <c r="R7035" t="s">
        <v>32532</v>
      </c>
      <c r="S7035" t="s">
        <v>32616</v>
      </c>
      <c r="T7035" t="s">
        <v>33215</v>
      </c>
      <c r="U7035" t="s">
        <v>39506</v>
      </c>
      <c r="W7035" t="s">
        <v>31877</v>
      </c>
      <c r="X7035" t="s">
        <v>32533</v>
      </c>
    </row>
    <row r="7036" spans="1:24">
      <c r="A7036">
        <f>HYPERLINK("https://www.philgeps.gov.ph/GEPSNONPILOT/Tender/SplashBidNoticeAbstractUI.aspx?menuIndex=3&amp;refID=7037867&amp;Result=3","7037867")</f>
        <v>0</v>
      </c>
      <c r="B7036" t="s">
        <v>2114</v>
      </c>
      <c r="C7036" t="s">
        <v>9398</v>
      </c>
      <c r="D7036" t="s">
        <v>13057</v>
      </c>
      <c r="E7036" t="s">
        <v>19281</v>
      </c>
      <c r="F7036" t="s">
        <v>22436</v>
      </c>
      <c r="G7036" t="s">
        <v>22444</v>
      </c>
      <c r="H7036" t="s">
        <v>22454</v>
      </c>
      <c r="I7036" t="s">
        <v>7738</v>
      </c>
      <c r="J7036" t="s">
        <v>27125</v>
      </c>
      <c r="K7036" t="s">
        <v>29333</v>
      </c>
      <c r="M7036" t="s">
        <v>31865</v>
      </c>
      <c r="N7036" t="s">
        <v>32524</v>
      </c>
      <c r="O7036" t="s">
        <v>32525</v>
      </c>
      <c r="P7036">
        <v>0</v>
      </c>
      <c r="Q7036">
        <v>9</v>
      </c>
      <c r="R7036" t="s">
        <v>32532</v>
      </c>
      <c r="S7036" t="s">
        <v>32616</v>
      </c>
      <c r="T7036" t="s">
        <v>33242</v>
      </c>
      <c r="U7036" t="s">
        <v>39507</v>
      </c>
      <c r="W7036" t="s">
        <v>31865</v>
      </c>
      <c r="X7036" t="s">
        <v>32533</v>
      </c>
    </row>
    <row r="7037" spans="1:24">
      <c r="A7037">
        <f>HYPERLINK("https://www.philgeps.gov.ph/GEPSNONPILOT/Tender/SplashBidNoticeAbstractUI.aspx?menuIndex=3&amp;refID=7037888&amp;Result=3","7037888")</f>
        <v>0</v>
      </c>
      <c r="B7037" t="s">
        <v>264</v>
      </c>
      <c r="C7037" t="s">
        <v>9399</v>
      </c>
      <c r="D7037" t="s">
        <v>12991</v>
      </c>
      <c r="E7037" t="s">
        <v>19282</v>
      </c>
      <c r="F7037" t="s">
        <v>22436</v>
      </c>
      <c r="G7037" t="s">
        <v>22446</v>
      </c>
      <c r="H7037" t="s">
        <v>22452</v>
      </c>
      <c r="I7037" t="s">
        <v>22460</v>
      </c>
      <c r="J7037" t="s">
        <v>27126</v>
      </c>
      <c r="K7037" t="s">
        <v>29338</v>
      </c>
      <c r="M7037" t="s">
        <v>29838</v>
      </c>
      <c r="N7037" t="s">
        <v>32524</v>
      </c>
      <c r="O7037" t="s">
        <v>32525</v>
      </c>
      <c r="P7037">
        <v>0</v>
      </c>
      <c r="Q7037">
        <v>5</v>
      </c>
      <c r="R7037" t="s">
        <v>32532</v>
      </c>
      <c r="S7037" t="s">
        <v>32616</v>
      </c>
      <c r="T7037" t="s">
        <v>33215</v>
      </c>
      <c r="U7037" t="s">
        <v>39508</v>
      </c>
      <c r="W7037" t="s">
        <v>29838</v>
      </c>
      <c r="X7037" t="s">
        <v>32533</v>
      </c>
    </row>
    <row r="7038" spans="1:24">
      <c r="A7038">
        <f>HYPERLINK("https://www.philgeps.gov.ph/GEPSNONPILOT/Tender/SplashBidNoticeAbstractUI.aspx?menuIndex=3&amp;refID=7037829&amp;Result=3","7037829")</f>
        <v>0</v>
      </c>
      <c r="B7038" t="s">
        <v>2126</v>
      </c>
      <c r="C7038" t="s">
        <v>9400</v>
      </c>
      <c r="D7038" t="s">
        <v>13061</v>
      </c>
      <c r="E7038" t="s">
        <v>19283</v>
      </c>
      <c r="F7038" t="s">
        <v>22436</v>
      </c>
      <c r="G7038" t="s">
        <v>22444</v>
      </c>
      <c r="H7038" t="s">
        <v>22452</v>
      </c>
      <c r="I7038" t="s">
        <v>22471</v>
      </c>
      <c r="J7038" t="s">
        <v>27127</v>
      </c>
      <c r="K7038" t="s">
        <v>29329</v>
      </c>
      <c r="M7038" t="s">
        <v>31878</v>
      </c>
      <c r="N7038" t="s">
        <v>32524</v>
      </c>
      <c r="O7038" t="s">
        <v>32525</v>
      </c>
      <c r="P7038">
        <v>0</v>
      </c>
      <c r="Q7038">
        <v>12</v>
      </c>
      <c r="R7038" t="s">
        <v>32532</v>
      </c>
      <c r="S7038" t="s">
        <v>32616</v>
      </c>
      <c r="T7038" t="s">
        <v>33237</v>
      </c>
      <c r="U7038" t="s">
        <v>39509</v>
      </c>
      <c r="W7038" t="s">
        <v>31878</v>
      </c>
      <c r="X7038" t="s">
        <v>32533</v>
      </c>
    </row>
    <row r="7039" spans="1:24">
      <c r="A7039">
        <f>HYPERLINK("https://www.philgeps.gov.ph/GEPSNONPILOT/Tender/SplashBidNoticeAbstractUI.aspx?menuIndex=3&amp;refID=7037863&amp;Result=3","7037863")</f>
        <v>0</v>
      </c>
      <c r="B7039" t="s">
        <v>2114</v>
      </c>
      <c r="C7039" t="s">
        <v>9401</v>
      </c>
      <c r="D7039" t="s">
        <v>13057</v>
      </c>
      <c r="E7039" t="s">
        <v>19284</v>
      </c>
      <c r="F7039" t="s">
        <v>22436</v>
      </c>
      <c r="G7039" t="s">
        <v>22444</v>
      </c>
      <c r="H7039" t="s">
        <v>22454</v>
      </c>
      <c r="I7039" t="s">
        <v>7738</v>
      </c>
      <c r="J7039" t="s">
        <v>27128</v>
      </c>
      <c r="K7039" t="s">
        <v>29334</v>
      </c>
      <c r="M7039" t="s">
        <v>31865</v>
      </c>
      <c r="N7039" t="s">
        <v>32524</v>
      </c>
      <c r="O7039" t="s">
        <v>32525</v>
      </c>
      <c r="P7039">
        <v>0</v>
      </c>
      <c r="Q7039">
        <v>9</v>
      </c>
      <c r="R7039" t="s">
        <v>32532</v>
      </c>
      <c r="S7039" t="s">
        <v>32616</v>
      </c>
      <c r="T7039" t="s">
        <v>33242</v>
      </c>
      <c r="U7039" t="s">
        <v>39510</v>
      </c>
      <c r="W7039" t="s">
        <v>31865</v>
      </c>
      <c r="X7039" t="s">
        <v>32533</v>
      </c>
    </row>
    <row r="7040" spans="1:24">
      <c r="A7040">
        <f>HYPERLINK("https://www.philgeps.gov.ph/GEPSNONPILOT/Tender/SplashBidNoticeAbstractUI.aspx?menuIndex=3&amp;refID=7037882&amp;Result=3","7037882")</f>
        <v>0</v>
      </c>
      <c r="B7040" t="s">
        <v>1118</v>
      </c>
      <c r="C7040" t="s">
        <v>9402</v>
      </c>
      <c r="D7040" t="s">
        <v>13024</v>
      </c>
      <c r="E7040" t="s">
        <v>19285</v>
      </c>
      <c r="F7040" t="s">
        <v>22436</v>
      </c>
      <c r="G7040" t="s">
        <v>22444</v>
      </c>
      <c r="H7040" t="s">
        <v>22452</v>
      </c>
      <c r="I7040" t="s">
        <v>2981</v>
      </c>
      <c r="J7040" t="s">
        <v>27129</v>
      </c>
      <c r="K7040" t="s">
        <v>29333</v>
      </c>
      <c r="M7040" t="s">
        <v>31513</v>
      </c>
      <c r="N7040" t="s">
        <v>32524</v>
      </c>
      <c r="O7040" t="s">
        <v>32525</v>
      </c>
      <c r="P7040">
        <v>0</v>
      </c>
      <c r="Q7040">
        <v>1</v>
      </c>
      <c r="R7040" t="s">
        <v>32532</v>
      </c>
      <c r="S7040" t="s">
        <v>32616</v>
      </c>
      <c r="T7040" t="s">
        <v>33340</v>
      </c>
      <c r="U7040" t="s">
        <v>39511</v>
      </c>
      <c r="W7040" t="s">
        <v>31513</v>
      </c>
      <c r="X7040" t="s">
        <v>32533</v>
      </c>
    </row>
    <row r="7041" spans="1:24">
      <c r="A7041">
        <f>HYPERLINK("https://www.philgeps.gov.ph/GEPSNONPILOT/Tender/SplashBidNoticeAbstractUI.aspx?menuIndex=3&amp;refID=7037913&amp;Result=3","7037913")</f>
        <v>0</v>
      </c>
      <c r="B7041" t="s">
        <v>826</v>
      </c>
      <c r="C7041" t="s">
        <v>9403</v>
      </c>
      <c r="D7041" t="s">
        <v>12998</v>
      </c>
      <c r="E7041" t="s">
        <v>19286</v>
      </c>
      <c r="F7041" t="s">
        <v>22437</v>
      </c>
      <c r="G7041" t="s">
        <v>22443</v>
      </c>
      <c r="H7041" t="s">
        <v>22452</v>
      </c>
      <c r="I7041" t="s">
        <v>22456</v>
      </c>
      <c r="J7041" t="s">
        <v>22695</v>
      </c>
      <c r="K7041" t="s">
        <v>29340</v>
      </c>
      <c r="M7041" t="s">
        <v>31569</v>
      </c>
      <c r="N7041" t="s">
        <v>32524</v>
      </c>
      <c r="O7041" t="s">
        <v>32525</v>
      </c>
      <c r="P7041">
        <v>0</v>
      </c>
      <c r="Q7041">
        <v>4</v>
      </c>
      <c r="R7041" t="s">
        <v>32532</v>
      </c>
      <c r="S7041" t="s">
        <v>32616</v>
      </c>
      <c r="T7041" t="s">
        <v>33371</v>
      </c>
      <c r="U7041" t="s">
        <v>38462</v>
      </c>
      <c r="V7041" t="s">
        <v>43198</v>
      </c>
      <c r="W7041" t="s">
        <v>31569</v>
      </c>
      <c r="X7041" t="s">
        <v>32533</v>
      </c>
    </row>
    <row r="7042" spans="1:24">
      <c r="A7042">
        <f>HYPERLINK("https://www.philgeps.gov.ph/GEPSNONPILOT/Tender/SplashBidNoticeAbstractUI.aspx?menuIndex=3&amp;refID=7037885&amp;Result=3","7037885")</f>
        <v>0</v>
      </c>
      <c r="B7042" t="s">
        <v>2114</v>
      </c>
      <c r="C7042" t="s">
        <v>9404</v>
      </c>
      <c r="D7042" t="s">
        <v>13057</v>
      </c>
      <c r="E7042" t="s">
        <v>19287</v>
      </c>
      <c r="F7042" t="s">
        <v>22436</v>
      </c>
      <c r="G7042" t="s">
        <v>22444</v>
      </c>
      <c r="H7042" t="s">
        <v>22454</v>
      </c>
      <c r="I7042" t="s">
        <v>7738</v>
      </c>
      <c r="J7042" t="s">
        <v>27130</v>
      </c>
      <c r="K7042" t="s">
        <v>29329</v>
      </c>
      <c r="M7042" t="s">
        <v>31865</v>
      </c>
      <c r="N7042" t="s">
        <v>32524</v>
      </c>
      <c r="O7042" t="s">
        <v>32525</v>
      </c>
      <c r="P7042">
        <v>0</v>
      </c>
      <c r="Q7042">
        <v>11</v>
      </c>
      <c r="R7042" t="s">
        <v>32532</v>
      </c>
      <c r="S7042" t="s">
        <v>32616</v>
      </c>
      <c r="T7042" t="s">
        <v>33242</v>
      </c>
      <c r="U7042" t="s">
        <v>39512</v>
      </c>
      <c r="W7042" t="s">
        <v>31865</v>
      </c>
      <c r="X7042" t="s">
        <v>32533</v>
      </c>
    </row>
    <row r="7043" spans="1:24">
      <c r="A7043">
        <f>HYPERLINK("https://www.philgeps.gov.ph/GEPSNONPILOT/Tender/SplashBidNoticeAbstractUI.aspx?menuIndex=3&amp;refID=7037909&amp;Result=3","7037909")</f>
        <v>0</v>
      </c>
      <c r="B7043" t="s">
        <v>2127</v>
      </c>
      <c r="C7043" t="s">
        <v>9405</v>
      </c>
      <c r="D7043" t="s">
        <v>13062</v>
      </c>
      <c r="E7043" t="s">
        <v>19288</v>
      </c>
      <c r="F7043" t="s">
        <v>22436</v>
      </c>
      <c r="G7043" t="s">
        <v>22444</v>
      </c>
      <c r="H7043" t="s">
        <v>22454</v>
      </c>
      <c r="I7043" t="s">
        <v>7738</v>
      </c>
      <c r="J7043" t="s">
        <v>27131</v>
      </c>
      <c r="K7043" t="s">
        <v>29472</v>
      </c>
      <c r="M7043" t="s">
        <v>31879</v>
      </c>
      <c r="N7043" t="s">
        <v>32524</v>
      </c>
      <c r="O7043" t="s">
        <v>32525</v>
      </c>
      <c r="P7043">
        <v>0</v>
      </c>
      <c r="Q7043">
        <v>0</v>
      </c>
      <c r="R7043" t="s">
        <v>32532</v>
      </c>
      <c r="S7043" t="s">
        <v>32616</v>
      </c>
      <c r="T7043" t="s">
        <v>33249</v>
      </c>
      <c r="U7043" t="s">
        <v>39513</v>
      </c>
      <c r="W7043" t="s">
        <v>31879</v>
      </c>
      <c r="X7043" t="s">
        <v>32533</v>
      </c>
    </row>
    <row r="7044" spans="1:24">
      <c r="A7044">
        <f>HYPERLINK("https://www.philgeps.gov.ph/GEPSNONPILOT/Tender/SplashBidNoticeAbstractUI.aspx?menuIndex=3&amp;refID=7037879&amp;Result=3","7037879")</f>
        <v>0</v>
      </c>
      <c r="B7044" t="s">
        <v>2114</v>
      </c>
      <c r="C7044" t="s">
        <v>9406</v>
      </c>
      <c r="D7044" t="s">
        <v>13057</v>
      </c>
      <c r="E7044" t="s">
        <v>19289</v>
      </c>
      <c r="F7044" t="s">
        <v>22436</v>
      </c>
      <c r="G7044" t="s">
        <v>22444</v>
      </c>
      <c r="H7044" t="s">
        <v>22454</v>
      </c>
      <c r="I7044" t="s">
        <v>7738</v>
      </c>
      <c r="J7044" t="s">
        <v>27132</v>
      </c>
      <c r="K7044" t="s">
        <v>29333</v>
      </c>
      <c r="M7044" t="s">
        <v>31865</v>
      </c>
      <c r="N7044" t="s">
        <v>32524</v>
      </c>
      <c r="O7044" t="s">
        <v>32525</v>
      </c>
      <c r="P7044">
        <v>0</v>
      </c>
      <c r="Q7044">
        <v>9</v>
      </c>
      <c r="R7044" t="s">
        <v>32532</v>
      </c>
      <c r="S7044" t="s">
        <v>32616</v>
      </c>
      <c r="T7044" t="s">
        <v>33242</v>
      </c>
      <c r="U7044" t="s">
        <v>39514</v>
      </c>
      <c r="W7044" t="s">
        <v>31865</v>
      </c>
      <c r="X7044" t="s">
        <v>32533</v>
      </c>
    </row>
    <row r="7045" spans="1:24">
      <c r="A7045">
        <f>HYPERLINK("https://www.philgeps.gov.ph/GEPSNONPILOT/Tender/SplashBidNoticeAbstractUI.aspx?menuIndex=3&amp;refID=7037902&amp;Result=3","7037902")</f>
        <v>0</v>
      </c>
      <c r="B7045" t="s">
        <v>2128</v>
      </c>
      <c r="C7045" t="s">
        <v>9407</v>
      </c>
      <c r="E7045" t="s">
        <v>13318</v>
      </c>
      <c r="F7045" t="s">
        <v>22436</v>
      </c>
      <c r="G7045" t="s">
        <v>22444</v>
      </c>
      <c r="H7045" t="s">
        <v>22452</v>
      </c>
      <c r="I7045" t="s">
        <v>2962</v>
      </c>
      <c r="J7045" t="s">
        <v>23226</v>
      </c>
      <c r="K7045" t="s">
        <v>29338</v>
      </c>
      <c r="M7045" t="s">
        <v>31880</v>
      </c>
      <c r="N7045" t="s">
        <v>32524</v>
      </c>
      <c r="O7045" t="s">
        <v>32525</v>
      </c>
      <c r="P7045">
        <v>0</v>
      </c>
      <c r="Q7045">
        <v>2</v>
      </c>
      <c r="R7045" t="s">
        <v>32532</v>
      </c>
      <c r="S7045" t="s">
        <v>32616</v>
      </c>
      <c r="T7045" t="s">
        <v>33238</v>
      </c>
      <c r="U7045" t="s">
        <v>39515</v>
      </c>
      <c r="W7045" t="s">
        <v>31880</v>
      </c>
      <c r="X7045" t="s">
        <v>32533</v>
      </c>
    </row>
    <row r="7046" spans="1:24">
      <c r="A7046">
        <f>HYPERLINK("https://www.philgeps.gov.ph/GEPSNONPILOT/Tender/SplashBidNoticeAbstractUI.aspx?menuIndex=3&amp;refID=7037904&amp;Result=3","7037904")</f>
        <v>0</v>
      </c>
      <c r="B7046" t="s">
        <v>2127</v>
      </c>
      <c r="C7046" t="s">
        <v>9408</v>
      </c>
      <c r="D7046" t="s">
        <v>13062</v>
      </c>
      <c r="E7046" t="s">
        <v>19290</v>
      </c>
      <c r="F7046" t="s">
        <v>22436</v>
      </c>
      <c r="G7046" t="s">
        <v>22444</v>
      </c>
      <c r="H7046" t="s">
        <v>22454</v>
      </c>
      <c r="I7046" t="s">
        <v>7738</v>
      </c>
      <c r="J7046" t="s">
        <v>27133</v>
      </c>
      <c r="K7046" t="s">
        <v>29472</v>
      </c>
      <c r="M7046" t="s">
        <v>31879</v>
      </c>
      <c r="N7046" t="s">
        <v>32524</v>
      </c>
      <c r="O7046" t="s">
        <v>32525</v>
      </c>
      <c r="P7046">
        <v>0</v>
      </c>
      <c r="Q7046">
        <v>0</v>
      </c>
      <c r="R7046" t="s">
        <v>32532</v>
      </c>
      <c r="S7046" t="s">
        <v>32616</v>
      </c>
      <c r="T7046" t="s">
        <v>33249</v>
      </c>
      <c r="U7046" t="s">
        <v>39513</v>
      </c>
      <c r="W7046" t="s">
        <v>31879</v>
      </c>
      <c r="X7046" t="s">
        <v>32533</v>
      </c>
    </row>
    <row r="7047" spans="1:24">
      <c r="A7047">
        <f>HYPERLINK("https://www.philgeps.gov.ph/GEPSNONPILOT/Tender/SplashBidNoticeAbstractUI.aspx?menuIndex=3&amp;refID=7037894&amp;Result=3","7037894")</f>
        <v>0</v>
      </c>
      <c r="B7047" t="s">
        <v>2127</v>
      </c>
      <c r="C7047" t="s">
        <v>9409</v>
      </c>
      <c r="D7047" t="s">
        <v>13062</v>
      </c>
      <c r="E7047" t="s">
        <v>19291</v>
      </c>
      <c r="F7047" t="s">
        <v>22436</v>
      </c>
      <c r="G7047" t="s">
        <v>22444</v>
      </c>
      <c r="H7047" t="s">
        <v>22454</v>
      </c>
      <c r="I7047" t="s">
        <v>7738</v>
      </c>
      <c r="J7047" t="s">
        <v>27134</v>
      </c>
      <c r="K7047" t="s">
        <v>29474</v>
      </c>
      <c r="M7047" t="s">
        <v>31879</v>
      </c>
      <c r="N7047" t="s">
        <v>32524</v>
      </c>
      <c r="O7047" t="s">
        <v>32525</v>
      </c>
      <c r="P7047">
        <v>0</v>
      </c>
      <c r="Q7047">
        <v>1</v>
      </c>
      <c r="R7047" t="s">
        <v>32532</v>
      </c>
      <c r="S7047" t="s">
        <v>32616</v>
      </c>
      <c r="T7047" t="s">
        <v>33249</v>
      </c>
      <c r="U7047" t="s">
        <v>39513</v>
      </c>
      <c r="W7047" t="s">
        <v>31879</v>
      </c>
      <c r="X7047" t="s">
        <v>32533</v>
      </c>
    </row>
    <row r="7048" spans="1:24">
      <c r="A7048">
        <f>HYPERLINK("https://www.philgeps.gov.ph/GEPSNONPILOT/Tender/SplashBidNoticeAbstractUI.aspx?menuIndex=3&amp;refID=7037910&amp;Result=3","7037910")</f>
        <v>0</v>
      </c>
      <c r="B7048" t="s">
        <v>2129</v>
      </c>
      <c r="C7048" t="s">
        <v>9410</v>
      </c>
      <c r="D7048" t="s">
        <v>12999</v>
      </c>
      <c r="E7048" t="s">
        <v>19292</v>
      </c>
      <c r="F7048" t="s">
        <v>22436</v>
      </c>
      <c r="G7048" t="s">
        <v>22444</v>
      </c>
      <c r="H7048" t="s">
        <v>22454</v>
      </c>
      <c r="I7048" t="s">
        <v>7738</v>
      </c>
      <c r="J7048" t="s">
        <v>27135</v>
      </c>
      <c r="K7048" t="s">
        <v>29357</v>
      </c>
      <c r="M7048" t="s">
        <v>31881</v>
      </c>
      <c r="N7048" t="s">
        <v>32524</v>
      </c>
      <c r="O7048" t="s">
        <v>32525</v>
      </c>
      <c r="P7048">
        <v>0</v>
      </c>
      <c r="Q7048">
        <v>0</v>
      </c>
      <c r="R7048" t="s">
        <v>32532</v>
      </c>
      <c r="S7048" t="s">
        <v>32616</v>
      </c>
      <c r="T7048" t="s">
        <v>33502</v>
      </c>
      <c r="U7048" t="s">
        <v>39516</v>
      </c>
      <c r="W7048" t="s">
        <v>31881</v>
      </c>
      <c r="X7048" t="s">
        <v>32533</v>
      </c>
    </row>
    <row r="7049" spans="1:24">
      <c r="A7049">
        <f>HYPERLINK("https://www.philgeps.gov.ph/GEPSNONPILOT/Tender/SplashBidNoticeAbstractUI.aspx?menuIndex=3&amp;refID=7037875&amp;Result=3","7037875")</f>
        <v>0</v>
      </c>
      <c r="B7049" t="s">
        <v>687</v>
      </c>
      <c r="C7049" t="s">
        <v>9411</v>
      </c>
      <c r="E7049" t="s">
        <v>19293</v>
      </c>
      <c r="F7049" t="s">
        <v>22436</v>
      </c>
      <c r="G7049" t="s">
        <v>22444</v>
      </c>
      <c r="H7049" t="s">
        <v>22452</v>
      </c>
      <c r="I7049" t="s">
        <v>22467</v>
      </c>
      <c r="J7049" t="s">
        <v>27136</v>
      </c>
      <c r="K7049" t="s">
        <v>29334</v>
      </c>
      <c r="M7049" t="s">
        <v>30281</v>
      </c>
      <c r="N7049" t="s">
        <v>32524</v>
      </c>
      <c r="O7049" t="s">
        <v>32525</v>
      </c>
      <c r="P7049">
        <v>0</v>
      </c>
      <c r="Q7049">
        <v>0</v>
      </c>
      <c r="R7049" t="s">
        <v>32532</v>
      </c>
      <c r="S7049" t="s">
        <v>32616</v>
      </c>
      <c r="T7049" t="s">
        <v>33218</v>
      </c>
      <c r="U7049" t="s">
        <v>39517</v>
      </c>
      <c r="W7049" t="s">
        <v>30281</v>
      </c>
      <c r="X7049" t="s">
        <v>32533</v>
      </c>
    </row>
    <row r="7050" spans="1:24">
      <c r="A7050">
        <f>HYPERLINK("https://www.philgeps.gov.ph/GEPSNONPILOT/Tender/SplashBidNoticeAbstractUI.aspx?menuIndex=3&amp;refID=7037899&amp;Result=3","7037899")</f>
        <v>0</v>
      </c>
      <c r="B7050" t="s">
        <v>1118</v>
      </c>
      <c r="C7050" t="s">
        <v>9412</v>
      </c>
      <c r="D7050" t="s">
        <v>13024</v>
      </c>
      <c r="E7050" t="s">
        <v>19294</v>
      </c>
      <c r="F7050" t="s">
        <v>22436</v>
      </c>
      <c r="G7050" t="s">
        <v>22444</v>
      </c>
      <c r="H7050" t="s">
        <v>22452</v>
      </c>
      <c r="I7050" t="s">
        <v>22483</v>
      </c>
      <c r="J7050" t="s">
        <v>27137</v>
      </c>
      <c r="K7050" t="s">
        <v>29333</v>
      </c>
      <c r="M7050" t="s">
        <v>31513</v>
      </c>
      <c r="N7050" t="s">
        <v>32524</v>
      </c>
      <c r="O7050" t="s">
        <v>32525</v>
      </c>
      <c r="P7050">
        <v>0</v>
      </c>
      <c r="Q7050">
        <v>10</v>
      </c>
      <c r="R7050" t="s">
        <v>32532</v>
      </c>
      <c r="S7050" t="s">
        <v>32616</v>
      </c>
      <c r="T7050" t="s">
        <v>33340</v>
      </c>
      <c r="U7050" t="s">
        <v>39518</v>
      </c>
      <c r="W7050" t="s">
        <v>31513</v>
      </c>
      <c r="X7050" t="s">
        <v>32533</v>
      </c>
    </row>
    <row r="7051" spans="1:24">
      <c r="A7051">
        <f>HYPERLINK("https://www.philgeps.gov.ph/GEPSNONPILOT/Tender/SplashBidNoticeAbstractUI.aspx?menuIndex=3&amp;refID=7037907&amp;Result=3","7037907")</f>
        <v>0</v>
      </c>
      <c r="B7051" t="s">
        <v>1198</v>
      </c>
      <c r="C7051" t="s">
        <v>9413</v>
      </c>
      <c r="D7051" t="s">
        <v>13032</v>
      </c>
      <c r="E7051" t="s">
        <v>19295</v>
      </c>
      <c r="F7051" t="s">
        <v>22436</v>
      </c>
      <c r="G7051" t="s">
        <v>22444</v>
      </c>
      <c r="H7051" t="s">
        <v>22454</v>
      </c>
      <c r="I7051" t="s">
        <v>7738</v>
      </c>
      <c r="J7051" t="s">
        <v>27138</v>
      </c>
      <c r="K7051" t="s">
        <v>29335</v>
      </c>
      <c r="M7051" t="s">
        <v>30846</v>
      </c>
      <c r="N7051" t="s">
        <v>32524</v>
      </c>
      <c r="O7051" t="s">
        <v>32525</v>
      </c>
      <c r="Q7051">
        <v>2</v>
      </c>
      <c r="R7051" t="s">
        <v>32532</v>
      </c>
      <c r="S7051" t="s">
        <v>32631</v>
      </c>
      <c r="T7051" t="s">
        <v>33249</v>
      </c>
      <c r="U7051" t="s">
        <v>39519</v>
      </c>
      <c r="W7051" t="s">
        <v>30846</v>
      </c>
      <c r="X7051" t="s">
        <v>32533</v>
      </c>
    </row>
    <row r="7052" spans="1:24">
      <c r="A7052">
        <f>HYPERLINK("https://www.philgeps.gov.ph/GEPSNONPILOT/Tender/SplashBidNoticeAbstractUI.aspx?menuIndex=3&amp;refID=7037911&amp;Result=3","7037911")</f>
        <v>0</v>
      </c>
      <c r="B7052" t="s">
        <v>1198</v>
      </c>
      <c r="C7052" t="s">
        <v>9414</v>
      </c>
      <c r="D7052" t="s">
        <v>13032</v>
      </c>
      <c r="E7052" t="s">
        <v>19296</v>
      </c>
      <c r="F7052" t="s">
        <v>22436</v>
      </c>
      <c r="G7052" t="s">
        <v>22444</v>
      </c>
      <c r="H7052" t="s">
        <v>22454</v>
      </c>
      <c r="I7052" t="s">
        <v>7738</v>
      </c>
      <c r="J7052" t="s">
        <v>27139</v>
      </c>
      <c r="K7052" t="s">
        <v>29335</v>
      </c>
      <c r="M7052" t="s">
        <v>30846</v>
      </c>
      <c r="N7052" t="s">
        <v>32524</v>
      </c>
      <c r="O7052" t="s">
        <v>32525</v>
      </c>
      <c r="Q7052">
        <v>2</v>
      </c>
      <c r="R7052" t="s">
        <v>32532</v>
      </c>
      <c r="S7052" t="s">
        <v>32630</v>
      </c>
      <c r="T7052" t="s">
        <v>33249</v>
      </c>
      <c r="U7052" t="s">
        <v>39520</v>
      </c>
      <c r="W7052" t="s">
        <v>30846</v>
      </c>
      <c r="X7052" t="s">
        <v>32533</v>
      </c>
    </row>
    <row r="7053" spans="1:24">
      <c r="A7053">
        <f>HYPERLINK("https://www.philgeps.gov.ph/GEPSNONPILOT/Tender/SplashBidNoticeAbstractUI.aspx?menuIndex=3&amp;refID=7037869&amp;Result=3","7037869")</f>
        <v>0</v>
      </c>
      <c r="B7053" t="s">
        <v>2130</v>
      </c>
      <c r="C7053" t="s">
        <v>8276</v>
      </c>
      <c r="D7053" t="s">
        <v>13001</v>
      </c>
      <c r="E7053" t="s">
        <v>13661</v>
      </c>
      <c r="F7053" t="s">
        <v>22436</v>
      </c>
      <c r="G7053" t="s">
        <v>22444</v>
      </c>
      <c r="H7053" t="s">
        <v>22452</v>
      </c>
      <c r="I7053" t="s">
        <v>6387</v>
      </c>
      <c r="J7053" t="s">
        <v>22605</v>
      </c>
      <c r="K7053" t="s">
        <v>29336</v>
      </c>
      <c r="M7053" t="s">
        <v>31882</v>
      </c>
      <c r="N7053" t="s">
        <v>32524</v>
      </c>
      <c r="O7053" t="s">
        <v>32525</v>
      </c>
      <c r="P7053">
        <v>0</v>
      </c>
      <c r="Q7053">
        <v>3</v>
      </c>
      <c r="R7053" t="s">
        <v>32532</v>
      </c>
      <c r="S7053" t="s">
        <v>32616</v>
      </c>
      <c r="T7053" t="s">
        <v>33197</v>
      </c>
      <c r="U7053" t="s">
        <v>39506</v>
      </c>
      <c r="W7053" t="s">
        <v>31882</v>
      </c>
      <c r="X7053" t="s">
        <v>32533</v>
      </c>
    </row>
    <row r="7054" spans="1:24">
      <c r="A7054">
        <f>HYPERLINK("https://www.philgeps.gov.ph/GEPSNONPILOT/Tender/SplashBidNoticeAbstractUI.aspx?menuIndex=3&amp;refID=7037914&amp;Result=3","7037914")</f>
        <v>0</v>
      </c>
      <c r="B7054" t="s">
        <v>2131</v>
      </c>
      <c r="C7054" t="s">
        <v>9415</v>
      </c>
      <c r="D7054" t="s">
        <v>13041</v>
      </c>
      <c r="E7054" t="s">
        <v>19297</v>
      </c>
      <c r="F7054" t="s">
        <v>22436</v>
      </c>
      <c r="G7054" t="s">
        <v>22444</v>
      </c>
      <c r="H7054" t="s">
        <v>22454</v>
      </c>
      <c r="I7054" t="s">
        <v>7738</v>
      </c>
      <c r="J7054" t="s">
        <v>22893</v>
      </c>
      <c r="K7054" t="s">
        <v>29415</v>
      </c>
      <c r="M7054" t="s">
        <v>31883</v>
      </c>
      <c r="N7054" t="s">
        <v>32524</v>
      </c>
      <c r="O7054" t="s">
        <v>32525</v>
      </c>
      <c r="P7054">
        <v>0</v>
      </c>
      <c r="Q7054">
        <v>0</v>
      </c>
      <c r="R7054" t="s">
        <v>32532</v>
      </c>
      <c r="S7054" t="s">
        <v>32616</v>
      </c>
      <c r="T7054" t="s">
        <v>33175</v>
      </c>
      <c r="U7054" t="s">
        <v>39521</v>
      </c>
      <c r="V7054" t="s">
        <v>43199</v>
      </c>
      <c r="W7054" t="s">
        <v>31883</v>
      </c>
      <c r="X7054" t="s">
        <v>32533</v>
      </c>
    </row>
    <row r="7055" spans="1:24">
      <c r="A7055">
        <f>HYPERLINK("https://www.philgeps.gov.ph/GEPSNONPILOT/Tender/SplashBidNoticeAbstractUI.aspx?menuIndex=3&amp;refID=7037870&amp;Result=3","7037870")</f>
        <v>0</v>
      </c>
      <c r="B7055" t="s">
        <v>2132</v>
      </c>
      <c r="C7055" t="s">
        <v>9416</v>
      </c>
      <c r="D7055" t="s">
        <v>13002</v>
      </c>
      <c r="E7055" t="s">
        <v>19298</v>
      </c>
      <c r="F7055" t="s">
        <v>22436</v>
      </c>
      <c r="G7055" t="s">
        <v>22444</v>
      </c>
      <c r="H7055" t="s">
        <v>22452</v>
      </c>
      <c r="I7055" t="s">
        <v>22518</v>
      </c>
      <c r="J7055" t="s">
        <v>24049</v>
      </c>
      <c r="K7055" t="s">
        <v>29335</v>
      </c>
      <c r="M7055" t="s">
        <v>31884</v>
      </c>
      <c r="N7055" t="s">
        <v>32524</v>
      </c>
      <c r="O7055" t="s">
        <v>32525</v>
      </c>
      <c r="P7055">
        <v>0</v>
      </c>
      <c r="Q7055">
        <v>8</v>
      </c>
      <c r="R7055" t="s">
        <v>32532</v>
      </c>
      <c r="S7055" t="s">
        <v>32616</v>
      </c>
      <c r="T7055" t="s">
        <v>33234</v>
      </c>
      <c r="U7055" t="s">
        <v>39522</v>
      </c>
      <c r="V7055" t="s">
        <v>43200</v>
      </c>
      <c r="W7055" t="s">
        <v>31884</v>
      </c>
      <c r="X7055" t="s">
        <v>32533</v>
      </c>
    </row>
    <row r="7056" spans="1:24">
      <c r="A7056">
        <f>HYPERLINK("https://www.philgeps.gov.ph/GEPSNONPILOT/Tender/SplashBidNoticeAbstractUI.aspx?menuIndex=3&amp;refID=7037921&amp;Result=3","7037921")</f>
        <v>0</v>
      </c>
      <c r="B7056" t="s">
        <v>1198</v>
      </c>
      <c r="C7056" t="s">
        <v>9417</v>
      </c>
      <c r="D7056" t="s">
        <v>13032</v>
      </c>
      <c r="E7056" t="s">
        <v>19299</v>
      </c>
      <c r="F7056" t="s">
        <v>22436</v>
      </c>
      <c r="G7056" t="s">
        <v>22444</v>
      </c>
      <c r="H7056" t="s">
        <v>22454</v>
      </c>
      <c r="I7056" t="s">
        <v>7738</v>
      </c>
      <c r="J7056" t="s">
        <v>27140</v>
      </c>
      <c r="K7056" t="s">
        <v>29334</v>
      </c>
      <c r="M7056" t="s">
        <v>30846</v>
      </c>
      <c r="N7056" t="s">
        <v>32524</v>
      </c>
      <c r="O7056" t="s">
        <v>32525</v>
      </c>
      <c r="Q7056">
        <v>0</v>
      </c>
      <c r="R7056" t="s">
        <v>32532</v>
      </c>
      <c r="S7056" t="s">
        <v>32635</v>
      </c>
      <c r="T7056" t="s">
        <v>33249</v>
      </c>
      <c r="U7056" t="s">
        <v>39523</v>
      </c>
      <c r="W7056" t="s">
        <v>30846</v>
      </c>
      <c r="X7056" t="s">
        <v>32533</v>
      </c>
    </row>
    <row r="7057" spans="1:24">
      <c r="A7057">
        <f>HYPERLINK("https://www.philgeps.gov.ph/GEPSNONPILOT/Tender/SplashBidNoticeAbstractUI.aspx?menuIndex=3&amp;refID=7037874&amp;Result=3","7037874")</f>
        <v>0</v>
      </c>
      <c r="B7057" t="s">
        <v>635</v>
      </c>
      <c r="C7057" t="s">
        <v>9418</v>
      </c>
      <c r="D7057" t="s">
        <v>13029</v>
      </c>
      <c r="E7057" t="s">
        <v>19300</v>
      </c>
      <c r="F7057" t="s">
        <v>22436</v>
      </c>
      <c r="G7057" t="s">
        <v>22444</v>
      </c>
      <c r="H7057" t="s">
        <v>22452</v>
      </c>
      <c r="I7057" t="s">
        <v>3827</v>
      </c>
      <c r="J7057" t="s">
        <v>27141</v>
      </c>
      <c r="K7057" t="s">
        <v>29329</v>
      </c>
      <c r="M7057" t="s">
        <v>31874</v>
      </c>
      <c r="N7057" t="s">
        <v>32524</v>
      </c>
      <c r="O7057" t="s">
        <v>32525</v>
      </c>
      <c r="P7057">
        <v>0</v>
      </c>
      <c r="Q7057">
        <v>7</v>
      </c>
      <c r="R7057" t="s">
        <v>32532</v>
      </c>
      <c r="S7057" t="s">
        <v>32616</v>
      </c>
      <c r="T7057" t="s">
        <v>33218</v>
      </c>
      <c r="U7057" t="s">
        <v>39524</v>
      </c>
      <c r="V7057" t="s">
        <v>43201</v>
      </c>
      <c r="W7057" t="s">
        <v>31874</v>
      </c>
      <c r="X7057" t="s">
        <v>32533</v>
      </c>
    </row>
    <row r="7058" spans="1:24">
      <c r="A7058">
        <f>HYPERLINK("https://www.philgeps.gov.ph/GEPSNONPILOT/Tender/SplashBidNoticeAbstractUI.aspx?menuIndex=3&amp;refID=7037871&amp;Result=3","7037871")</f>
        <v>0</v>
      </c>
      <c r="B7058" t="s">
        <v>2128</v>
      </c>
      <c r="C7058" t="s">
        <v>9419</v>
      </c>
      <c r="E7058" t="s">
        <v>13182</v>
      </c>
      <c r="F7058" t="s">
        <v>22436</v>
      </c>
      <c r="G7058" t="s">
        <v>22444</v>
      </c>
      <c r="H7058" t="s">
        <v>22452</v>
      </c>
      <c r="I7058" t="s">
        <v>2981</v>
      </c>
      <c r="J7058" t="s">
        <v>22616</v>
      </c>
      <c r="K7058" t="s">
        <v>29338</v>
      </c>
      <c r="M7058" t="s">
        <v>31880</v>
      </c>
      <c r="N7058" t="s">
        <v>32524</v>
      </c>
      <c r="O7058" t="s">
        <v>32525</v>
      </c>
      <c r="P7058">
        <v>0</v>
      </c>
      <c r="Q7058">
        <v>0</v>
      </c>
      <c r="R7058" t="s">
        <v>32532</v>
      </c>
      <c r="S7058" t="s">
        <v>32616</v>
      </c>
      <c r="T7058" t="s">
        <v>33238</v>
      </c>
      <c r="U7058" t="s">
        <v>39525</v>
      </c>
      <c r="W7058" t="s">
        <v>31880</v>
      </c>
      <c r="X7058" t="s">
        <v>32533</v>
      </c>
    </row>
    <row r="7059" spans="1:24">
      <c r="A7059">
        <f>HYPERLINK("https://www.philgeps.gov.ph/GEPSNONPILOT/Tender/SplashBidNoticeAbstractUI.aspx?menuIndex=3&amp;refID=7037924&amp;Result=3","7037924")</f>
        <v>0</v>
      </c>
      <c r="B7059" t="s">
        <v>2127</v>
      </c>
      <c r="C7059" t="s">
        <v>9420</v>
      </c>
      <c r="D7059" t="s">
        <v>13062</v>
      </c>
      <c r="E7059" t="s">
        <v>19301</v>
      </c>
      <c r="F7059" t="s">
        <v>22436</v>
      </c>
      <c r="G7059" t="s">
        <v>22444</v>
      </c>
      <c r="H7059" t="s">
        <v>22454</v>
      </c>
      <c r="I7059" t="s">
        <v>7738</v>
      </c>
      <c r="J7059" t="s">
        <v>27142</v>
      </c>
      <c r="K7059" t="s">
        <v>29471</v>
      </c>
      <c r="M7059" t="s">
        <v>31879</v>
      </c>
      <c r="N7059" t="s">
        <v>32524</v>
      </c>
      <c r="O7059" t="s">
        <v>32525</v>
      </c>
      <c r="P7059">
        <v>0</v>
      </c>
      <c r="Q7059">
        <v>0</v>
      </c>
      <c r="R7059" t="s">
        <v>32532</v>
      </c>
      <c r="S7059" t="s">
        <v>32616</v>
      </c>
      <c r="T7059" t="s">
        <v>33249</v>
      </c>
      <c r="U7059" t="s">
        <v>39513</v>
      </c>
      <c r="W7059" t="s">
        <v>31879</v>
      </c>
      <c r="X7059" t="s">
        <v>32533</v>
      </c>
    </row>
    <row r="7060" spans="1:24">
      <c r="A7060">
        <f>HYPERLINK("https://www.philgeps.gov.ph/GEPSNONPILOT/Tender/SplashBidNoticeAbstractUI.aspx?menuIndex=3&amp;refID=7037920&amp;Result=3","7037920")</f>
        <v>0</v>
      </c>
      <c r="B7060" t="s">
        <v>2114</v>
      </c>
      <c r="C7060" t="s">
        <v>9421</v>
      </c>
      <c r="D7060" t="s">
        <v>13057</v>
      </c>
      <c r="E7060" t="s">
        <v>19302</v>
      </c>
      <c r="F7060" t="s">
        <v>22436</v>
      </c>
      <c r="G7060" t="s">
        <v>22444</v>
      </c>
      <c r="H7060" t="s">
        <v>22454</v>
      </c>
      <c r="I7060" t="s">
        <v>7738</v>
      </c>
      <c r="J7060" t="s">
        <v>27143</v>
      </c>
      <c r="K7060" t="s">
        <v>29354</v>
      </c>
      <c r="M7060" t="s">
        <v>31865</v>
      </c>
      <c r="N7060" t="s">
        <v>32524</v>
      </c>
      <c r="O7060" t="s">
        <v>32525</v>
      </c>
      <c r="P7060">
        <v>0</v>
      </c>
      <c r="Q7060">
        <v>10</v>
      </c>
      <c r="R7060" t="s">
        <v>32532</v>
      </c>
      <c r="S7060" t="s">
        <v>32616</v>
      </c>
      <c r="T7060" t="s">
        <v>33242</v>
      </c>
      <c r="U7060" t="s">
        <v>39526</v>
      </c>
      <c r="W7060" t="s">
        <v>31865</v>
      </c>
      <c r="X7060" t="s">
        <v>32533</v>
      </c>
    </row>
    <row r="7061" spans="1:24">
      <c r="A7061">
        <f>HYPERLINK("https://www.philgeps.gov.ph/GEPSNONPILOT/Tender/SplashBidNoticeAbstractUI.aspx?menuIndex=3&amp;refID=7037919&amp;Result=3","7037919")</f>
        <v>0</v>
      </c>
      <c r="B7061" t="s">
        <v>826</v>
      </c>
      <c r="C7061" t="s">
        <v>9422</v>
      </c>
      <c r="D7061" t="s">
        <v>12998</v>
      </c>
      <c r="E7061" t="s">
        <v>19131</v>
      </c>
      <c r="F7061" t="s">
        <v>22437</v>
      </c>
      <c r="G7061" t="s">
        <v>22443</v>
      </c>
      <c r="H7061" t="s">
        <v>22452</v>
      </c>
      <c r="I7061" t="s">
        <v>3529</v>
      </c>
      <c r="J7061" t="s">
        <v>27144</v>
      </c>
      <c r="K7061" t="s">
        <v>29340</v>
      </c>
      <c r="M7061" t="s">
        <v>31569</v>
      </c>
      <c r="N7061" t="s">
        <v>32524</v>
      </c>
      <c r="O7061" t="s">
        <v>32525</v>
      </c>
      <c r="P7061">
        <v>0</v>
      </c>
      <c r="Q7061">
        <v>2</v>
      </c>
      <c r="R7061" t="s">
        <v>32532</v>
      </c>
      <c r="S7061" t="s">
        <v>32616</v>
      </c>
      <c r="T7061" t="s">
        <v>33371</v>
      </c>
      <c r="U7061" t="s">
        <v>39527</v>
      </c>
      <c r="V7061" t="s">
        <v>34315</v>
      </c>
      <c r="W7061" t="s">
        <v>31569</v>
      </c>
      <c r="X7061" t="s">
        <v>32533</v>
      </c>
    </row>
    <row r="7062" spans="1:24">
      <c r="A7062">
        <f>HYPERLINK("https://www.philgeps.gov.ph/GEPSNONPILOT/Tender/SplashBidNoticeAbstractUI.aspx?menuIndex=3&amp;refID=7037917&amp;Result=3","7037917")</f>
        <v>0</v>
      </c>
      <c r="B7062" t="s">
        <v>2133</v>
      </c>
      <c r="C7062" t="s">
        <v>9423</v>
      </c>
      <c r="D7062" t="s">
        <v>13004</v>
      </c>
      <c r="E7062" t="s">
        <v>13416</v>
      </c>
      <c r="F7062" t="s">
        <v>22436</v>
      </c>
      <c r="G7062" t="s">
        <v>22444</v>
      </c>
      <c r="H7062" t="s">
        <v>22453</v>
      </c>
      <c r="I7062" t="s">
        <v>22457</v>
      </c>
      <c r="J7062" t="s">
        <v>23885</v>
      </c>
      <c r="K7062" t="s">
        <v>29382</v>
      </c>
      <c r="M7062" t="s">
        <v>31885</v>
      </c>
      <c r="N7062" t="s">
        <v>32524</v>
      </c>
      <c r="O7062" t="s">
        <v>32525</v>
      </c>
      <c r="P7062">
        <v>0</v>
      </c>
      <c r="Q7062">
        <v>0</v>
      </c>
      <c r="R7062" t="s">
        <v>32532</v>
      </c>
      <c r="S7062" t="s">
        <v>32616</v>
      </c>
      <c r="T7062" t="s">
        <v>33229</v>
      </c>
      <c r="U7062" t="s">
        <v>39528</v>
      </c>
      <c r="V7062" t="s">
        <v>43202</v>
      </c>
      <c r="W7062" t="s">
        <v>31885</v>
      </c>
      <c r="X7062" t="s">
        <v>32533</v>
      </c>
    </row>
    <row r="7063" spans="1:24">
      <c r="A7063">
        <f>HYPERLINK("https://www.philgeps.gov.ph/GEPSNONPILOT/Tender/SplashBidNoticeAbstractUI.aspx?menuIndex=3&amp;refID=7037893&amp;Result=3","7037893")</f>
        <v>0</v>
      </c>
      <c r="B7063" t="s">
        <v>64</v>
      </c>
      <c r="C7063" t="s">
        <v>9424</v>
      </c>
      <c r="D7063" t="s">
        <v>13016</v>
      </c>
      <c r="E7063" t="s">
        <v>19303</v>
      </c>
      <c r="F7063" t="s">
        <v>22436</v>
      </c>
      <c r="G7063" t="s">
        <v>22446</v>
      </c>
      <c r="H7063" t="s">
        <v>22452</v>
      </c>
      <c r="I7063" t="s">
        <v>12358</v>
      </c>
      <c r="J7063" t="s">
        <v>25528</v>
      </c>
      <c r="K7063" t="s">
        <v>29335</v>
      </c>
      <c r="M7063" t="s">
        <v>29636</v>
      </c>
      <c r="N7063" t="s">
        <v>32524</v>
      </c>
      <c r="O7063" t="s">
        <v>32525</v>
      </c>
      <c r="P7063">
        <v>0</v>
      </c>
      <c r="Q7063">
        <v>0</v>
      </c>
      <c r="R7063" t="s">
        <v>32532</v>
      </c>
      <c r="S7063" t="s">
        <v>32616</v>
      </c>
      <c r="T7063" t="s">
        <v>33296</v>
      </c>
      <c r="U7063" t="s">
        <v>39529</v>
      </c>
      <c r="V7063" t="s">
        <v>42432</v>
      </c>
      <c r="W7063" t="s">
        <v>29636</v>
      </c>
      <c r="X7063" t="s">
        <v>32533</v>
      </c>
    </row>
    <row r="7064" spans="1:24">
      <c r="A7064">
        <f>HYPERLINK("https://www.philgeps.gov.ph/GEPSNONPILOT/Tender/SplashBidNoticeAbstractUI.aspx?menuIndex=3&amp;refID=7037916&amp;Result=3","7037916")</f>
        <v>0</v>
      </c>
      <c r="B7064" t="s">
        <v>2127</v>
      </c>
      <c r="C7064" t="s">
        <v>9425</v>
      </c>
      <c r="D7064" t="s">
        <v>13062</v>
      </c>
      <c r="E7064" t="s">
        <v>19304</v>
      </c>
      <c r="F7064" t="s">
        <v>22436</v>
      </c>
      <c r="G7064" t="s">
        <v>22444</v>
      </c>
      <c r="H7064" t="s">
        <v>22454</v>
      </c>
      <c r="I7064" t="s">
        <v>7738</v>
      </c>
      <c r="J7064" t="s">
        <v>27145</v>
      </c>
      <c r="K7064" t="s">
        <v>29472</v>
      </c>
      <c r="M7064" t="s">
        <v>31879</v>
      </c>
      <c r="N7064" t="s">
        <v>32524</v>
      </c>
      <c r="O7064" t="s">
        <v>32525</v>
      </c>
      <c r="P7064">
        <v>0</v>
      </c>
      <c r="Q7064">
        <v>0</v>
      </c>
      <c r="R7064" t="s">
        <v>32532</v>
      </c>
      <c r="S7064" t="s">
        <v>32616</v>
      </c>
      <c r="T7064" t="s">
        <v>33249</v>
      </c>
      <c r="U7064" t="s">
        <v>39513</v>
      </c>
      <c r="W7064" t="s">
        <v>31879</v>
      </c>
      <c r="X7064" t="s">
        <v>32533</v>
      </c>
    </row>
    <row r="7065" spans="1:24">
      <c r="A7065">
        <f>HYPERLINK("https://www.philgeps.gov.ph/GEPSNONPILOT/Tender/SplashBidNoticeAbstractUI.aspx?menuIndex=3&amp;refID=7037925&amp;Result=3","7037925")</f>
        <v>0</v>
      </c>
      <c r="B7065" t="s">
        <v>2134</v>
      </c>
      <c r="C7065" t="s">
        <v>9426</v>
      </c>
      <c r="D7065" t="s">
        <v>13011</v>
      </c>
      <c r="E7065" t="s">
        <v>19305</v>
      </c>
      <c r="F7065" t="s">
        <v>22436</v>
      </c>
      <c r="G7065" t="s">
        <v>22446</v>
      </c>
      <c r="H7065" t="s">
        <v>22452</v>
      </c>
      <c r="I7065" t="s">
        <v>2962</v>
      </c>
      <c r="J7065" t="s">
        <v>27146</v>
      </c>
      <c r="K7065" t="s">
        <v>29331</v>
      </c>
      <c r="M7065" t="s">
        <v>31886</v>
      </c>
      <c r="N7065" t="s">
        <v>32524</v>
      </c>
      <c r="O7065" t="s">
        <v>32525</v>
      </c>
      <c r="P7065">
        <v>0</v>
      </c>
      <c r="Q7065">
        <v>0</v>
      </c>
      <c r="R7065" t="s">
        <v>32532</v>
      </c>
      <c r="S7065" t="s">
        <v>32616</v>
      </c>
      <c r="T7065" t="s">
        <v>33184</v>
      </c>
      <c r="U7065" t="s">
        <v>39530</v>
      </c>
      <c r="W7065" t="s">
        <v>31886</v>
      </c>
      <c r="X7065" t="s">
        <v>32533</v>
      </c>
    </row>
    <row r="7066" spans="1:24">
      <c r="A7066">
        <f>HYPERLINK("https://www.philgeps.gov.ph/GEPSNONPILOT/Tender/SplashBidNoticeAbstractUI.aspx?menuIndex=3&amp;refID=7037923&amp;Result=3","7037923")</f>
        <v>0</v>
      </c>
      <c r="B7066" t="s">
        <v>1198</v>
      </c>
      <c r="C7066" t="s">
        <v>9427</v>
      </c>
      <c r="D7066" t="s">
        <v>13032</v>
      </c>
      <c r="E7066" t="s">
        <v>19306</v>
      </c>
      <c r="F7066" t="s">
        <v>22436</v>
      </c>
      <c r="G7066" t="s">
        <v>22444</v>
      </c>
      <c r="H7066" t="s">
        <v>22454</v>
      </c>
      <c r="I7066" t="s">
        <v>7738</v>
      </c>
      <c r="J7066" t="s">
        <v>27147</v>
      </c>
      <c r="K7066" t="s">
        <v>29334</v>
      </c>
      <c r="M7066" t="s">
        <v>30846</v>
      </c>
      <c r="N7066" t="s">
        <v>32524</v>
      </c>
      <c r="O7066" t="s">
        <v>32525</v>
      </c>
      <c r="Q7066">
        <v>0</v>
      </c>
      <c r="R7066" t="s">
        <v>32532</v>
      </c>
      <c r="S7066" t="s">
        <v>32659</v>
      </c>
      <c r="T7066" t="s">
        <v>33249</v>
      </c>
      <c r="U7066" t="s">
        <v>39531</v>
      </c>
      <c r="W7066" t="s">
        <v>30846</v>
      </c>
      <c r="X7066" t="s">
        <v>32533</v>
      </c>
    </row>
    <row r="7067" spans="1:24">
      <c r="A7067">
        <f>HYPERLINK("https://www.philgeps.gov.ph/GEPSNONPILOT/Tender/SplashBidNoticeAbstractUI.aspx?menuIndex=3&amp;refID=7037943&amp;Result=3","7037943")</f>
        <v>0</v>
      </c>
      <c r="B7067" t="s">
        <v>2134</v>
      </c>
      <c r="C7067" t="s">
        <v>9428</v>
      </c>
      <c r="D7067" t="s">
        <v>13011</v>
      </c>
      <c r="E7067" t="s">
        <v>19307</v>
      </c>
      <c r="F7067" t="s">
        <v>22436</v>
      </c>
      <c r="G7067" t="s">
        <v>22446</v>
      </c>
      <c r="H7067" t="s">
        <v>22452</v>
      </c>
      <c r="I7067" t="s">
        <v>3529</v>
      </c>
      <c r="J7067" t="s">
        <v>27148</v>
      </c>
      <c r="K7067" t="s">
        <v>29331</v>
      </c>
      <c r="M7067" t="s">
        <v>31886</v>
      </c>
      <c r="N7067" t="s">
        <v>32524</v>
      </c>
      <c r="O7067" t="s">
        <v>32525</v>
      </c>
      <c r="Q7067">
        <v>1</v>
      </c>
      <c r="R7067" t="s">
        <v>32532</v>
      </c>
      <c r="S7067" t="s">
        <v>32660</v>
      </c>
      <c r="T7067" t="s">
        <v>33184</v>
      </c>
      <c r="U7067" t="s">
        <v>39530</v>
      </c>
      <c r="W7067" t="s">
        <v>31886</v>
      </c>
      <c r="X7067" t="s">
        <v>32533</v>
      </c>
    </row>
    <row r="7068" spans="1:24">
      <c r="A7068">
        <f>HYPERLINK("https://www.philgeps.gov.ph/GEPSNONPILOT/Tender/SplashBidNoticeAbstractUI.aspx?menuIndex=3&amp;refID=7037922&amp;Result=3","7037922")</f>
        <v>0</v>
      </c>
      <c r="B7068" t="s">
        <v>2128</v>
      </c>
      <c r="C7068" t="s">
        <v>9429</v>
      </c>
      <c r="E7068" t="s">
        <v>13321</v>
      </c>
      <c r="F7068" t="s">
        <v>22436</v>
      </c>
      <c r="G7068" t="s">
        <v>22444</v>
      </c>
      <c r="H7068" t="s">
        <v>22452</v>
      </c>
      <c r="I7068" t="s">
        <v>22474</v>
      </c>
      <c r="J7068" t="s">
        <v>22806</v>
      </c>
      <c r="K7068" t="s">
        <v>29338</v>
      </c>
      <c r="M7068" t="s">
        <v>31880</v>
      </c>
      <c r="N7068" t="s">
        <v>32524</v>
      </c>
      <c r="O7068" t="s">
        <v>32525</v>
      </c>
      <c r="P7068">
        <v>0</v>
      </c>
      <c r="Q7068">
        <v>0</v>
      </c>
      <c r="R7068" t="s">
        <v>32532</v>
      </c>
      <c r="S7068" t="s">
        <v>32616</v>
      </c>
      <c r="T7068" t="s">
        <v>33238</v>
      </c>
      <c r="U7068" t="s">
        <v>39532</v>
      </c>
      <c r="W7068" t="s">
        <v>31880</v>
      </c>
      <c r="X7068" t="s">
        <v>32533</v>
      </c>
    </row>
    <row r="7069" spans="1:24">
      <c r="A7069">
        <f>HYPERLINK("https://www.philgeps.gov.ph/GEPSNONPILOT/Tender/SplashBidNoticeAbstractUI.aspx?menuIndex=3&amp;refID=7037915&amp;Result=3","7037915")</f>
        <v>0</v>
      </c>
      <c r="B7069" t="s">
        <v>2135</v>
      </c>
      <c r="C7069" t="s">
        <v>9430</v>
      </c>
      <c r="D7069" t="s">
        <v>12988</v>
      </c>
      <c r="E7069" t="s">
        <v>19308</v>
      </c>
      <c r="F7069" t="s">
        <v>22436</v>
      </c>
      <c r="G7069" t="s">
        <v>22444</v>
      </c>
      <c r="H7069" t="s">
        <v>22452</v>
      </c>
      <c r="I7069" t="s">
        <v>2981</v>
      </c>
      <c r="J7069" t="s">
        <v>23079</v>
      </c>
      <c r="K7069" t="s">
        <v>29356</v>
      </c>
      <c r="M7069" t="s">
        <v>31887</v>
      </c>
      <c r="N7069" t="s">
        <v>32524</v>
      </c>
      <c r="O7069" t="s">
        <v>32525</v>
      </c>
      <c r="P7069">
        <v>0</v>
      </c>
      <c r="Q7069">
        <v>5</v>
      </c>
      <c r="R7069" t="s">
        <v>32532</v>
      </c>
      <c r="S7069" t="s">
        <v>32616</v>
      </c>
      <c r="T7069" t="s">
        <v>33351</v>
      </c>
      <c r="U7069" t="s">
        <v>39533</v>
      </c>
      <c r="W7069" t="s">
        <v>31887</v>
      </c>
      <c r="X7069" t="s">
        <v>32533</v>
      </c>
    </row>
    <row r="7070" spans="1:24">
      <c r="A7070">
        <f>HYPERLINK("https://www.philgeps.gov.ph/GEPSNONPILOT/Tender/SplashBidNoticeAbstractUI.aspx?menuIndex=3&amp;refID=7037937&amp;Result=3","7037937")</f>
        <v>0</v>
      </c>
      <c r="B7070" t="s">
        <v>2136</v>
      </c>
      <c r="C7070" t="s">
        <v>9431</v>
      </c>
      <c r="D7070" t="s">
        <v>13060</v>
      </c>
      <c r="E7070" t="s">
        <v>19309</v>
      </c>
      <c r="F7070" t="s">
        <v>22436</v>
      </c>
      <c r="G7070" t="s">
        <v>22444</v>
      </c>
      <c r="H7070" t="s">
        <v>22452</v>
      </c>
      <c r="I7070" t="s">
        <v>22476</v>
      </c>
      <c r="J7070" t="s">
        <v>23627</v>
      </c>
      <c r="K7070" t="s">
        <v>29337</v>
      </c>
      <c r="M7070" t="s">
        <v>31888</v>
      </c>
      <c r="N7070" t="s">
        <v>32524</v>
      </c>
      <c r="O7070" t="s">
        <v>32525</v>
      </c>
      <c r="P7070">
        <v>0</v>
      </c>
      <c r="Q7070">
        <v>0</v>
      </c>
      <c r="R7070" t="s">
        <v>32532</v>
      </c>
      <c r="S7070" t="s">
        <v>32616</v>
      </c>
      <c r="T7070" t="s">
        <v>33502</v>
      </c>
      <c r="U7070" t="s">
        <v>39534</v>
      </c>
      <c r="V7070" t="s">
        <v>43203</v>
      </c>
      <c r="W7070" t="s">
        <v>31888</v>
      </c>
      <c r="X7070" t="s">
        <v>32533</v>
      </c>
    </row>
    <row r="7071" spans="1:24">
      <c r="A7071">
        <f>HYPERLINK("https://www.philgeps.gov.ph/GEPSNONPILOT/Tender/SplashBidNoticeAbstractUI.aspx?menuIndex=3&amp;refID=7037928&amp;Result=3","7037928")</f>
        <v>0</v>
      </c>
      <c r="B7071" t="s">
        <v>1198</v>
      </c>
      <c r="C7071" t="s">
        <v>9432</v>
      </c>
      <c r="D7071" t="s">
        <v>13032</v>
      </c>
      <c r="E7071" t="s">
        <v>19310</v>
      </c>
      <c r="F7071" t="s">
        <v>22436</v>
      </c>
      <c r="G7071" t="s">
        <v>22444</v>
      </c>
      <c r="H7071" t="s">
        <v>22454</v>
      </c>
      <c r="I7071" t="s">
        <v>7738</v>
      </c>
      <c r="J7071" t="s">
        <v>24431</v>
      </c>
      <c r="K7071" t="s">
        <v>29334</v>
      </c>
      <c r="M7071" t="s">
        <v>30846</v>
      </c>
      <c r="N7071" t="s">
        <v>32524</v>
      </c>
      <c r="O7071" t="s">
        <v>32525</v>
      </c>
      <c r="Q7071">
        <v>0</v>
      </c>
      <c r="R7071" t="s">
        <v>32532</v>
      </c>
      <c r="S7071" t="s">
        <v>32661</v>
      </c>
      <c r="T7071" t="s">
        <v>33249</v>
      </c>
      <c r="U7071" t="s">
        <v>39535</v>
      </c>
      <c r="W7071" t="s">
        <v>30846</v>
      </c>
      <c r="X7071" t="s">
        <v>32533</v>
      </c>
    </row>
    <row r="7072" spans="1:24">
      <c r="A7072">
        <f>HYPERLINK("https://www.philgeps.gov.ph/GEPSNONPILOT/Tender/SplashBidNoticeAbstractUI.aspx?menuIndex=3&amp;refID=7037939&amp;Result=3","7037939")</f>
        <v>0</v>
      </c>
      <c r="B7072" t="s">
        <v>2127</v>
      </c>
      <c r="C7072" t="s">
        <v>9433</v>
      </c>
      <c r="D7072" t="s">
        <v>13062</v>
      </c>
      <c r="E7072" t="s">
        <v>19311</v>
      </c>
      <c r="F7072" t="s">
        <v>22436</v>
      </c>
      <c r="G7072" t="s">
        <v>22444</v>
      </c>
      <c r="H7072" t="s">
        <v>22454</v>
      </c>
      <c r="I7072" t="s">
        <v>7738</v>
      </c>
      <c r="J7072" t="s">
        <v>27149</v>
      </c>
      <c r="K7072" t="s">
        <v>29388</v>
      </c>
      <c r="M7072" t="s">
        <v>31879</v>
      </c>
      <c r="N7072" t="s">
        <v>32524</v>
      </c>
      <c r="O7072" t="s">
        <v>32525</v>
      </c>
      <c r="P7072">
        <v>0</v>
      </c>
      <c r="Q7072">
        <v>0</v>
      </c>
      <c r="R7072" t="s">
        <v>32532</v>
      </c>
      <c r="S7072" t="s">
        <v>32616</v>
      </c>
      <c r="T7072" t="s">
        <v>33249</v>
      </c>
      <c r="U7072" t="s">
        <v>39513</v>
      </c>
      <c r="W7072" t="s">
        <v>31879</v>
      </c>
      <c r="X7072" t="s">
        <v>32533</v>
      </c>
    </row>
    <row r="7073" spans="1:24">
      <c r="A7073">
        <f>HYPERLINK("https://www.philgeps.gov.ph/GEPSNONPILOT/Tender/SplashBidNoticeAbstractUI.aspx?menuIndex=3&amp;refID=7037936&amp;Result=3","7037936")</f>
        <v>0</v>
      </c>
      <c r="B7073" t="s">
        <v>2114</v>
      </c>
      <c r="C7073" t="s">
        <v>9434</v>
      </c>
      <c r="D7073" t="s">
        <v>13057</v>
      </c>
      <c r="E7073" t="s">
        <v>19312</v>
      </c>
      <c r="F7073" t="s">
        <v>22436</v>
      </c>
      <c r="G7073" t="s">
        <v>22444</v>
      </c>
      <c r="H7073" t="s">
        <v>22454</v>
      </c>
      <c r="I7073" t="s">
        <v>7738</v>
      </c>
      <c r="J7073" t="s">
        <v>27150</v>
      </c>
      <c r="K7073" t="s">
        <v>29466</v>
      </c>
      <c r="M7073" t="s">
        <v>31865</v>
      </c>
      <c r="N7073" t="s">
        <v>32524</v>
      </c>
      <c r="O7073" t="s">
        <v>32525</v>
      </c>
      <c r="P7073">
        <v>0</v>
      </c>
      <c r="Q7073">
        <v>11</v>
      </c>
      <c r="R7073" t="s">
        <v>32532</v>
      </c>
      <c r="S7073" t="s">
        <v>32616</v>
      </c>
      <c r="T7073" t="s">
        <v>33242</v>
      </c>
      <c r="U7073" t="s">
        <v>39536</v>
      </c>
      <c r="W7073" t="s">
        <v>31865</v>
      </c>
      <c r="X7073" t="s">
        <v>32533</v>
      </c>
    </row>
    <row r="7074" spans="1:24">
      <c r="A7074">
        <f>HYPERLINK("https://www.philgeps.gov.ph/GEPSNONPILOT/Tender/SplashBidNoticeAbstractUI.aspx?menuIndex=3&amp;refID=7037944&amp;Result=3","7037944")</f>
        <v>0</v>
      </c>
      <c r="B7074" t="s">
        <v>2128</v>
      </c>
      <c r="C7074" t="s">
        <v>9435</v>
      </c>
      <c r="E7074" t="s">
        <v>13881</v>
      </c>
      <c r="F7074" t="s">
        <v>22436</v>
      </c>
      <c r="G7074" t="s">
        <v>22444</v>
      </c>
      <c r="H7074" t="s">
        <v>22452</v>
      </c>
      <c r="I7074" t="s">
        <v>22553</v>
      </c>
      <c r="J7074" t="s">
        <v>22588</v>
      </c>
      <c r="K7074" t="s">
        <v>29338</v>
      </c>
      <c r="M7074" t="s">
        <v>31880</v>
      </c>
      <c r="N7074" t="s">
        <v>32524</v>
      </c>
      <c r="O7074" t="s">
        <v>32525</v>
      </c>
      <c r="P7074">
        <v>0</v>
      </c>
      <c r="Q7074">
        <v>1</v>
      </c>
      <c r="R7074" t="s">
        <v>32532</v>
      </c>
      <c r="S7074" t="s">
        <v>32616</v>
      </c>
      <c r="T7074" t="s">
        <v>33238</v>
      </c>
      <c r="U7074" t="s">
        <v>39537</v>
      </c>
      <c r="W7074" t="s">
        <v>31880</v>
      </c>
      <c r="X7074" t="s">
        <v>32533</v>
      </c>
    </row>
    <row r="7075" spans="1:24">
      <c r="A7075">
        <f>HYPERLINK("https://www.philgeps.gov.ph/GEPSNONPILOT/Tender/SplashBidNoticeAbstractUI.aspx?menuIndex=3&amp;refID=7037930&amp;Result=3","7037930")</f>
        <v>0</v>
      </c>
      <c r="B7075" t="s">
        <v>2127</v>
      </c>
      <c r="C7075" t="s">
        <v>9436</v>
      </c>
      <c r="D7075" t="s">
        <v>13062</v>
      </c>
      <c r="E7075" t="s">
        <v>19313</v>
      </c>
      <c r="F7075" t="s">
        <v>22436</v>
      </c>
      <c r="G7075" t="s">
        <v>22444</v>
      </c>
      <c r="H7075" t="s">
        <v>22454</v>
      </c>
      <c r="I7075" t="s">
        <v>7738</v>
      </c>
      <c r="J7075" t="s">
        <v>27151</v>
      </c>
      <c r="K7075" t="s">
        <v>29345</v>
      </c>
      <c r="M7075" t="s">
        <v>31879</v>
      </c>
      <c r="N7075" t="s">
        <v>32524</v>
      </c>
      <c r="O7075" t="s">
        <v>32525</v>
      </c>
      <c r="P7075">
        <v>0</v>
      </c>
      <c r="Q7075">
        <v>0</v>
      </c>
      <c r="R7075" t="s">
        <v>32532</v>
      </c>
      <c r="S7075" t="s">
        <v>32616</v>
      </c>
      <c r="T7075" t="s">
        <v>33249</v>
      </c>
      <c r="U7075" t="s">
        <v>39513</v>
      </c>
      <c r="W7075" t="s">
        <v>31879</v>
      </c>
      <c r="X7075" t="s">
        <v>32533</v>
      </c>
    </row>
    <row r="7076" spans="1:24">
      <c r="A7076">
        <f>HYPERLINK("https://www.philgeps.gov.ph/GEPSNONPILOT/Tender/SplashBidNoticeAbstractUI.aspx?menuIndex=3&amp;refID=7037927&amp;Result=3","7037927")</f>
        <v>0</v>
      </c>
      <c r="B7076" t="s">
        <v>2114</v>
      </c>
      <c r="C7076" t="s">
        <v>9437</v>
      </c>
      <c r="D7076" t="s">
        <v>13057</v>
      </c>
      <c r="E7076" t="s">
        <v>19314</v>
      </c>
      <c r="F7076" t="s">
        <v>22436</v>
      </c>
      <c r="G7076" t="s">
        <v>22444</v>
      </c>
      <c r="H7076" t="s">
        <v>22454</v>
      </c>
      <c r="I7076" t="s">
        <v>7738</v>
      </c>
      <c r="J7076" t="s">
        <v>27152</v>
      </c>
      <c r="K7076" t="s">
        <v>29347</v>
      </c>
      <c r="M7076" t="s">
        <v>31865</v>
      </c>
      <c r="N7076" t="s">
        <v>32524</v>
      </c>
      <c r="O7076" t="s">
        <v>32525</v>
      </c>
      <c r="P7076">
        <v>0</v>
      </c>
      <c r="Q7076">
        <v>11</v>
      </c>
      <c r="R7076" t="s">
        <v>32532</v>
      </c>
      <c r="S7076" t="s">
        <v>32616</v>
      </c>
      <c r="T7076" t="s">
        <v>33242</v>
      </c>
      <c r="U7076" t="s">
        <v>39538</v>
      </c>
      <c r="W7076" t="s">
        <v>31865</v>
      </c>
      <c r="X7076" t="s">
        <v>32533</v>
      </c>
    </row>
    <row r="7077" spans="1:24">
      <c r="A7077">
        <f>HYPERLINK("https://www.philgeps.gov.ph/GEPSNONPILOT/Tender/SplashBidNoticeAbstractUI.aspx?menuIndex=3&amp;refID=7037926&amp;Result=3","7037926")</f>
        <v>0</v>
      </c>
      <c r="B7077" t="s">
        <v>826</v>
      </c>
      <c r="C7077" t="s">
        <v>9438</v>
      </c>
      <c r="D7077" t="s">
        <v>12998</v>
      </c>
      <c r="E7077" t="s">
        <v>19315</v>
      </c>
      <c r="F7077" t="s">
        <v>22437</v>
      </c>
      <c r="G7077" t="s">
        <v>22443</v>
      </c>
      <c r="H7077" t="s">
        <v>22452</v>
      </c>
      <c r="I7077" t="s">
        <v>3529</v>
      </c>
      <c r="J7077" t="s">
        <v>27153</v>
      </c>
      <c r="K7077" t="s">
        <v>29340</v>
      </c>
      <c r="M7077" t="s">
        <v>31569</v>
      </c>
      <c r="N7077" t="s">
        <v>32524</v>
      </c>
      <c r="O7077" t="s">
        <v>32525</v>
      </c>
      <c r="P7077">
        <v>0</v>
      </c>
      <c r="Q7077">
        <v>2</v>
      </c>
      <c r="R7077" t="s">
        <v>32532</v>
      </c>
      <c r="S7077" t="s">
        <v>32616</v>
      </c>
      <c r="T7077" t="s">
        <v>33371</v>
      </c>
      <c r="U7077" t="s">
        <v>38460</v>
      </c>
      <c r="V7077" t="s">
        <v>34315</v>
      </c>
      <c r="W7077" t="s">
        <v>31569</v>
      </c>
      <c r="X7077" t="s">
        <v>32533</v>
      </c>
    </row>
    <row r="7078" spans="1:24">
      <c r="A7078">
        <f>HYPERLINK("https://www.philgeps.gov.ph/GEPSNONPILOT/Tender/SplashBidNoticeAbstractUI.aspx?menuIndex=3&amp;refID=7037963&amp;Result=3","7037963")</f>
        <v>0</v>
      </c>
      <c r="B7078" t="s">
        <v>2137</v>
      </c>
      <c r="C7078" t="s">
        <v>9439</v>
      </c>
      <c r="E7078" t="s">
        <v>19316</v>
      </c>
      <c r="F7078" t="s">
        <v>22436</v>
      </c>
      <c r="G7078" t="s">
        <v>22444</v>
      </c>
      <c r="H7078" t="s">
        <v>22454</v>
      </c>
      <c r="I7078" t="s">
        <v>7738</v>
      </c>
      <c r="J7078" t="s">
        <v>22779</v>
      </c>
      <c r="K7078" t="s">
        <v>29334</v>
      </c>
      <c r="M7078" t="s">
        <v>31889</v>
      </c>
      <c r="N7078" t="s">
        <v>32524</v>
      </c>
      <c r="O7078" t="s">
        <v>32525</v>
      </c>
      <c r="P7078">
        <v>0</v>
      </c>
      <c r="Q7078">
        <v>0</v>
      </c>
      <c r="R7078" t="s">
        <v>32532</v>
      </c>
      <c r="S7078" t="s">
        <v>32616</v>
      </c>
      <c r="T7078" t="s">
        <v>33234</v>
      </c>
      <c r="U7078" t="s">
        <v>39539</v>
      </c>
      <c r="W7078" t="s">
        <v>31889</v>
      </c>
      <c r="X7078" t="s">
        <v>32533</v>
      </c>
    </row>
    <row r="7079" spans="1:24">
      <c r="A7079">
        <f>HYPERLINK("https://www.philgeps.gov.ph/GEPSNONPILOT/Tender/SplashBidNoticeAbstractUI.aspx?menuIndex=3&amp;refID=7037962&amp;Result=3","7037962")</f>
        <v>0</v>
      </c>
      <c r="B7079" t="s">
        <v>888</v>
      </c>
      <c r="C7079" t="s">
        <v>9440</v>
      </c>
      <c r="D7079" t="s">
        <v>13032</v>
      </c>
      <c r="E7079" t="s">
        <v>19317</v>
      </c>
      <c r="F7079" t="s">
        <v>22436</v>
      </c>
      <c r="G7079" t="s">
        <v>22444</v>
      </c>
      <c r="H7079" t="s">
        <v>22452</v>
      </c>
      <c r="I7079" t="s">
        <v>3529</v>
      </c>
      <c r="J7079" t="s">
        <v>27154</v>
      </c>
      <c r="K7079" t="s">
        <v>29330</v>
      </c>
      <c r="M7079" t="s">
        <v>30499</v>
      </c>
      <c r="N7079" t="s">
        <v>32524</v>
      </c>
      <c r="O7079" t="s">
        <v>32525</v>
      </c>
      <c r="P7079">
        <v>0</v>
      </c>
      <c r="Q7079">
        <v>1</v>
      </c>
      <c r="R7079" t="s">
        <v>32532</v>
      </c>
      <c r="S7079" t="s">
        <v>32616</v>
      </c>
      <c r="T7079" t="s">
        <v>33261</v>
      </c>
      <c r="U7079" t="s">
        <v>35536</v>
      </c>
      <c r="V7079" t="s">
        <v>43204</v>
      </c>
      <c r="W7079" t="s">
        <v>30499</v>
      </c>
      <c r="X7079" t="s">
        <v>32533</v>
      </c>
    </row>
    <row r="7080" spans="1:24">
      <c r="A7080">
        <f>HYPERLINK("https://www.philgeps.gov.ph/GEPSNONPILOT/Tender/SplashBidNoticeAbstractUI.aspx?menuIndex=3&amp;refID=7037966&amp;Result=3","7037966")</f>
        <v>0</v>
      </c>
      <c r="B7080" t="s">
        <v>2136</v>
      </c>
      <c r="C7080" t="s">
        <v>9441</v>
      </c>
      <c r="D7080" t="s">
        <v>13060</v>
      </c>
      <c r="E7080" t="s">
        <v>19318</v>
      </c>
      <c r="F7080" t="s">
        <v>22436</v>
      </c>
      <c r="G7080" t="s">
        <v>22444</v>
      </c>
      <c r="H7080" t="s">
        <v>22452</v>
      </c>
      <c r="I7080" t="s">
        <v>22466</v>
      </c>
      <c r="J7080" t="s">
        <v>27155</v>
      </c>
      <c r="K7080" t="s">
        <v>29337</v>
      </c>
      <c r="M7080" t="s">
        <v>31888</v>
      </c>
      <c r="N7080" t="s">
        <v>32524</v>
      </c>
      <c r="O7080" t="s">
        <v>32525</v>
      </c>
      <c r="P7080">
        <v>0</v>
      </c>
      <c r="Q7080">
        <v>5</v>
      </c>
      <c r="R7080" t="s">
        <v>32532</v>
      </c>
      <c r="S7080" t="s">
        <v>32616</v>
      </c>
      <c r="T7080" t="s">
        <v>33502</v>
      </c>
      <c r="U7080" t="s">
        <v>39540</v>
      </c>
      <c r="V7080" t="s">
        <v>43203</v>
      </c>
      <c r="W7080" t="s">
        <v>31888</v>
      </c>
      <c r="X7080" t="s">
        <v>32533</v>
      </c>
    </row>
    <row r="7081" spans="1:24">
      <c r="A7081">
        <f>HYPERLINK("https://www.philgeps.gov.ph/GEPSNONPILOT/Tender/SplashBidNoticeAbstractUI.aspx?menuIndex=3&amp;refID=7037932&amp;Result=3","7037932")</f>
        <v>0</v>
      </c>
      <c r="B7081" t="s">
        <v>826</v>
      </c>
      <c r="C7081" t="s">
        <v>9442</v>
      </c>
      <c r="D7081" t="s">
        <v>12998</v>
      </c>
      <c r="E7081" t="s">
        <v>19152</v>
      </c>
      <c r="F7081" t="s">
        <v>22437</v>
      </c>
      <c r="G7081" t="s">
        <v>22443</v>
      </c>
      <c r="H7081" t="s">
        <v>22452</v>
      </c>
      <c r="I7081" t="s">
        <v>3529</v>
      </c>
      <c r="J7081" t="s">
        <v>27156</v>
      </c>
      <c r="K7081" t="s">
        <v>29340</v>
      </c>
      <c r="M7081" t="s">
        <v>31569</v>
      </c>
      <c r="N7081" t="s">
        <v>32524</v>
      </c>
      <c r="O7081" t="s">
        <v>32525</v>
      </c>
      <c r="P7081">
        <v>0</v>
      </c>
      <c r="Q7081">
        <v>2</v>
      </c>
      <c r="R7081" t="s">
        <v>32532</v>
      </c>
      <c r="S7081" t="s">
        <v>32616</v>
      </c>
      <c r="T7081" t="s">
        <v>33371</v>
      </c>
      <c r="U7081" t="s">
        <v>39541</v>
      </c>
      <c r="V7081" t="s">
        <v>34315</v>
      </c>
      <c r="W7081" t="s">
        <v>31569</v>
      </c>
      <c r="X7081" t="s">
        <v>32533</v>
      </c>
    </row>
    <row r="7082" spans="1:24">
      <c r="A7082">
        <f>HYPERLINK("https://www.philgeps.gov.ph/GEPSNONPILOT/Tender/SplashBidNoticeAbstractUI.aspx?menuIndex=3&amp;refID=7037968&amp;Result=3","7037968")</f>
        <v>0</v>
      </c>
      <c r="B7082" t="s">
        <v>2138</v>
      </c>
      <c r="C7082" t="s">
        <v>9443</v>
      </c>
      <c r="D7082" t="s">
        <v>13002</v>
      </c>
      <c r="E7082" t="s">
        <v>19319</v>
      </c>
      <c r="F7082" t="s">
        <v>22436</v>
      </c>
      <c r="G7082" t="s">
        <v>22446</v>
      </c>
      <c r="H7082" t="s">
        <v>22452</v>
      </c>
      <c r="I7082" t="s">
        <v>5194</v>
      </c>
      <c r="J7082" t="s">
        <v>27157</v>
      </c>
      <c r="K7082" t="s">
        <v>29341</v>
      </c>
      <c r="M7082" t="s">
        <v>31890</v>
      </c>
      <c r="N7082" t="s">
        <v>32524</v>
      </c>
      <c r="O7082" t="s">
        <v>32525</v>
      </c>
      <c r="P7082">
        <v>0</v>
      </c>
      <c r="Q7082">
        <v>8</v>
      </c>
      <c r="R7082" t="s">
        <v>32532</v>
      </c>
      <c r="S7082" t="s">
        <v>32616</v>
      </c>
      <c r="T7082" t="s">
        <v>33220</v>
      </c>
      <c r="U7082" t="s">
        <v>39542</v>
      </c>
      <c r="W7082" t="s">
        <v>31890</v>
      </c>
      <c r="X7082" t="s">
        <v>32533</v>
      </c>
    </row>
    <row r="7083" spans="1:24">
      <c r="A7083">
        <f>HYPERLINK("https://www.philgeps.gov.ph/GEPSNONPILOT/Tender/SplashBidNoticeAbstractUI.aspx?menuIndex=3&amp;refID=7037959&amp;Result=3","7037959")</f>
        <v>0</v>
      </c>
      <c r="B7083" t="s">
        <v>64</v>
      </c>
      <c r="C7083" t="s">
        <v>9444</v>
      </c>
      <c r="D7083" t="s">
        <v>13016</v>
      </c>
      <c r="E7083" t="s">
        <v>19320</v>
      </c>
      <c r="F7083" t="s">
        <v>22436</v>
      </c>
      <c r="G7083" t="s">
        <v>22446</v>
      </c>
      <c r="H7083" t="s">
        <v>22452</v>
      </c>
      <c r="I7083" t="s">
        <v>22533</v>
      </c>
      <c r="J7083" t="s">
        <v>22654</v>
      </c>
      <c r="K7083" t="s">
        <v>29329</v>
      </c>
      <c r="M7083" t="s">
        <v>29636</v>
      </c>
      <c r="N7083" t="s">
        <v>32524</v>
      </c>
      <c r="O7083" t="s">
        <v>32525</v>
      </c>
      <c r="P7083">
        <v>0</v>
      </c>
      <c r="Q7083">
        <v>2</v>
      </c>
      <c r="R7083" t="s">
        <v>32532</v>
      </c>
      <c r="S7083" t="s">
        <v>32616</v>
      </c>
      <c r="T7083" t="s">
        <v>33296</v>
      </c>
      <c r="U7083" t="s">
        <v>39543</v>
      </c>
      <c r="V7083" t="s">
        <v>42432</v>
      </c>
      <c r="W7083" t="s">
        <v>29636</v>
      </c>
      <c r="X7083" t="s">
        <v>32533</v>
      </c>
    </row>
    <row r="7084" spans="1:24">
      <c r="A7084">
        <f>HYPERLINK("https://www.philgeps.gov.ph/GEPSNONPILOT/Tender/SplashBidNoticeAbstractUI.aspx?menuIndex=3&amp;refID=7037967&amp;Result=3","7037967")</f>
        <v>0</v>
      </c>
      <c r="B7084" t="s">
        <v>918</v>
      </c>
      <c r="C7084" t="s">
        <v>9445</v>
      </c>
      <c r="D7084" t="s">
        <v>12996</v>
      </c>
      <c r="E7084" t="s">
        <v>19321</v>
      </c>
      <c r="F7084" t="s">
        <v>22436</v>
      </c>
      <c r="G7084" t="s">
        <v>22444</v>
      </c>
      <c r="H7084" t="s">
        <v>22452</v>
      </c>
      <c r="I7084" t="s">
        <v>22506</v>
      </c>
      <c r="J7084" t="s">
        <v>27158</v>
      </c>
      <c r="K7084" t="s">
        <v>29341</v>
      </c>
      <c r="M7084" t="s">
        <v>30532</v>
      </c>
      <c r="N7084" t="s">
        <v>32524</v>
      </c>
      <c r="O7084" t="s">
        <v>32525</v>
      </c>
      <c r="P7084">
        <v>0</v>
      </c>
      <c r="Q7084">
        <v>3</v>
      </c>
      <c r="R7084" t="s">
        <v>32532</v>
      </c>
      <c r="S7084" t="s">
        <v>32616</v>
      </c>
      <c r="T7084" t="s">
        <v>33172</v>
      </c>
      <c r="U7084" t="s">
        <v>39544</v>
      </c>
      <c r="W7084" t="s">
        <v>30532</v>
      </c>
      <c r="X7084" t="s">
        <v>32533</v>
      </c>
    </row>
    <row r="7085" spans="1:24">
      <c r="A7085">
        <f>HYPERLINK("https://www.philgeps.gov.ph/GEPSNONPILOT/Tender/SplashBidNoticeAbstractUI.aspx?menuIndex=3&amp;refID=7037951&amp;Result=3","7037951")</f>
        <v>0</v>
      </c>
      <c r="B7085" t="s">
        <v>2114</v>
      </c>
      <c r="C7085" t="s">
        <v>9446</v>
      </c>
      <c r="D7085" t="s">
        <v>13057</v>
      </c>
      <c r="E7085" t="s">
        <v>19322</v>
      </c>
      <c r="F7085" t="s">
        <v>22436</v>
      </c>
      <c r="G7085" t="s">
        <v>22444</v>
      </c>
      <c r="H7085" t="s">
        <v>22454</v>
      </c>
      <c r="I7085" t="s">
        <v>7738</v>
      </c>
      <c r="J7085" t="s">
        <v>27159</v>
      </c>
      <c r="K7085" t="s">
        <v>29347</v>
      </c>
      <c r="M7085" t="s">
        <v>31865</v>
      </c>
      <c r="N7085" t="s">
        <v>32524</v>
      </c>
      <c r="O7085" t="s">
        <v>32525</v>
      </c>
      <c r="P7085">
        <v>0</v>
      </c>
      <c r="Q7085">
        <v>11</v>
      </c>
      <c r="R7085" t="s">
        <v>32532</v>
      </c>
      <c r="S7085" t="s">
        <v>32616</v>
      </c>
      <c r="T7085" t="s">
        <v>33242</v>
      </c>
      <c r="U7085" t="s">
        <v>39545</v>
      </c>
      <c r="W7085" t="s">
        <v>31865</v>
      </c>
      <c r="X7085" t="s">
        <v>32533</v>
      </c>
    </row>
    <row r="7086" spans="1:24">
      <c r="A7086">
        <f>HYPERLINK("https://www.philgeps.gov.ph/GEPSNONPILOT/Tender/SplashBidNoticeAbstractUI.aspx?menuIndex=3&amp;refID=7037960&amp;Result=3","7037960")</f>
        <v>0</v>
      </c>
      <c r="B7086" t="s">
        <v>2136</v>
      </c>
      <c r="C7086" t="s">
        <v>9447</v>
      </c>
      <c r="D7086" t="s">
        <v>13060</v>
      </c>
      <c r="E7086" t="s">
        <v>19323</v>
      </c>
      <c r="F7086" t="s">
        <v>22436</v>
      </c>
      <c r="G7086" t="s">
        <v>22444</v>
      </c>
      <c r="H7086" t="s">
        <v>22452</v>
      </c>
      <c r="I7086" t="s">
        <v>22466</v>
      </c>
      <c r="J7086" t="s">
        <v>27160</v>
      </c>
      <c r="K7086" t="s">
        <v>29337</v>
      </c>
      <c r="M7086" t="s">
        <v>31888</v>
      </c>
      <c r="N7086" t="s">
        <v>32524</v>
      </c>
      <c r="O7086" t="s">
        <v>32525</v>
      </c>
      <c r="P7086">
        <v>0</v>
      </c>
      <c r="Q7086">
        <v>5</v>
      </c>
      <c r="R7086" t="s">
        <v>32532</v>
      </c>
      <c r="S7086" t="s">
        <v>32616</v>
      </c>
      <c r="T7086" t="s">
        <v>33502</v>
      </c>
      <c r="U7086" t="s">
        <v>39546</v>
      </c>
      <c r="V7086" t="s">
        <v>43203</v>
      </c>
      <c r="W7086" t="s">
        <v>31888</v>
      </c>
      <c r="X7086" t="s">
        <v>32533</v>
      </c>
    </row>
    <row r="7087" spans="1:24">
      <c r="A7087">
        <f>HYPERLINK("https://www.philgeps.gov.ph/GEPSNONPILOT/Tender/SplashBidNoticeAbstractUI.aspx?menuIndex=3&amp;refID=7037969&amp;Result=3","7037969")</f>
        <v>0</v>
      </c>
      <c r="B7087" t="s">
        <v>2114</v>
      </c>
      <c r="C7087" t="s">
        <v>9448</v>
      </c>
      <c r="D7087" t="s">
        <v>13057</v>
      </c>
      <c r="E7087" t="s">
        <v>19324</v>
      </c>
      <c r="F7087" t="s">
        <v>22436</v>
      </c>
      <c r="G7087" t="s">
        <v>22444</v>
      </c>
      <c r="H7087" t="s">
        <v>22454</v>
      </c>
      <c r="I7087" t="s">
        <v>7738</v>
      </c>
      <c r="J7087" t="s">
        <v>27161</v>
      </c>
      <c r="K7087" t="s">
        <v>29329</v>
      </c>
      <c r="M7087" t="s">
        <v>31865</v>
      </c>
      <c r="N7087" t="s">
        <v>32524</v>
      </c>
      <c r="O7087" t="s">
        <v>32525</v>
      </c>
      <c r="P7087">
        <v>0</v>
      </c>
      <c r="Q7087">
        <v>9</v>
      </c>
      <c r="R7087" t="s">
        <v>32532</v>
      </c>
      <c r="S7087" t="s">
        <v>32616</v>
      </c>
      <c r="T7087" t="s">
        <v>33242</v>
      </c>
      <c r="U7087" t="s">
        <v>39547</v>
      </c>
      <c r="W7087" t="s">
        <v>31865</v>
      </c>
      <c r="X7087" t="s">
        <v>32533</v>
      </c>
    </row>
    <row r="7088" spans="1:24">
      <c r="A7088">
        <f>HYPERLINK("https://www.philgeps.gov.ph/GEPSNONPILOT/Tender/SplashBidNoticeAbstractUI.aspx?menuIndex=3&amp;refID=7037973&amp;Result=3","7037973")</f>
        <v>0</v>
      </c>
      <c r="B7088" t="s">
        <v>2138</v>
      </c>
      <c r="C7088" t="s">
        <v>9443</v>
      </c>
      <c r="D7088" t="s">
        <v>13002</v>
      </c>
      <c r="E7088" t="s">
        <v>19325</v>
      </c>
      <c r="F7088" t="s">
        <v>22436</v>
      </c>
      <c r="G7088" t="s">
        <v>22446</v>
      </c>
      <c r="H7088" t="s">
        <v>22452</v>
      </c>
      <c r="I7088" t="s">
        <v>5194</v>
      </c>
      <c r="J7088" t="s">
        <v>27162</v>
      </c>
      <c r="K7088" t="s">
        <v>29341</v>
      </c>
      <c r="M7088" t="s">
        <v>31890</v>
      </c>
      <c r="N7088" t="s">
        <v>32524</v>
      </c>
      <c r="O7088" t="s">
        <v>32525</v>
      </c>
      <c r="P7088">
        <v>0</v>
      </c>
      <c r="Q7088">
        <v>6</v>
      </c>
      <c r="R7088" t="s">
        <v>32532</v>
      </c>
      <c r="S7088" t="s">
        <v>32616</v>
      </c>
      <c r="T7088" t="s">
        <v>33220</v>
      </c>
      <c r="U7088" t="s">
        <v>39542</v>
      </c>
      <c r="W7088" t="s">
        <v>31890</v>
      </c>
      <c r="X7088" t="s">
        <v>32533</v>
      </c>
    </row>
    <row r="7089" spans="1:24">
      <c r="A7089">
        <f>HYPERLINK("https://www.philgeps.gov.ph/GEPSNONPILOT/Tender/SplashBidNoticeAbstractUI.aspx?menuIndex=3&amp;refID=7037974&amp;Result=3","7037974")</f>
        <v>0</v>
      </c>
      <c r="B7089" t="s">
        <v>2136</v>
      </c>
      <c r="C7089" t="s">
        <v>9449</v>
      </c>
      <c r="D7089" t="s">
        <v>13060</v>
      </c>
      <c r="E7089" t="s">
        <v>19326</v>
      </c>
      <c r="F7089" t="s">
        <v>22436</v>
      </c>
      <c r="G7089" t="s">
        <v>22444</v>
      </c>
      <c r="H7089" t="s">
        <v>22452</v>
      </c>
      <c r="I7089" t="s">
        <v>22460</v>
      </c>
      <c r="J7089" t="s">
        <v>27163</v>
      </c>
      <c r="K7089" t="s">
        <v>29337</v>
      </c>
      <c r="M7089" t="s">
        <v>31888</v>
      </c>
      <c r="N7089" t="s">
        <v>32524</v>
      </c>
      <c r="O7089" t="s">
        <v>32525</v>
      </c>
      <c r="P7089">
        <v>0</v>
      </c>
      <c r="Q7089">
        <v>1</v>
      </c>
      <c r="R7089" t="s">
        <v>32532</v>
      </c>
      <c r="S7089" t="s">
        <v>32616</v>
      </c>
      <c r="T7089" t="s">
        <v>33468</v>
      </c>
      <c r="U7089" t="s">
        <v>39548</v>
      </c>
      <c r="V7089" t="s">
        <v>43203</v>
      </c>
      <c r="W7089" t="s">
        <v>31888</v>
      </c>
      <c r="X7089" t="s">
        <v>32533</v>
      </c>
    </row>
    <row r="7090" spans="1:24">
      <c r="A7090">
        <f>HYPERLINK("https://www.philgeps.gov.ph/GEPSNONPILOT/Tender/SplashBidNoticeAbstractUI.aspx?menuIndex=3&amp;refID=7037972&amp;Result=3","7037972")</f>
        <v>0</v>
      </c>
      <c r="B7090" t="s">
        <v>918</v>
      </c>
      <c r="C7090" t="s">
        <v>3905</v>
      </c>
      <c r="D7090" t="s">
        <v>12996</v>
      </c>
      <c r="E7090" t="s">
        <v>19327</v>
      </c>
      <c r="F7090" t="s">
        <v>22436</v>
      </c>
      <c r="G7090" t="s">
        <v>22444</v>
      </c>
      <c r="H7090" t="s">
        <v>22452</v>
      </c>
      <c r="I7090" t="s">
        <v>22492</v>
      </c>
      <c r="J7090" t="s">
        <v>27164</v>
      </c>
      <c r="K7090" t="s">
        <v>29341</v>
      </c>
      <c r="M7090" t="s">
        <v>30532</v>
      </c>
      <c r="N7090" t="s">
        <v>32524</v>
      </c>
      <c r="O7090" t="s">
        <v>32525</v>
      </c>
      <c r="P7090">
        <v>0</v>
      </c>
      <c r="Q7090">
        <v>4</v>
      </c>
      <c r="R7090" t="s">
        <v>32532</v>
      </c>
      <c r="S7090" t="s">
        <v>32616</v>
      </c>
      <c r="T7090" t="s">
        <v>33172</v>
      </c>
      <c r="U7090" t="s">
        <v>39549</v>
      </c>
      <c r="W7090" t="s">
        <v>30532</v>
      </c>
      <c r="X7090" t="s">
        <v>32533</v>
      </c>
    </row>
    <row r="7091" spans="1:24">
      <c r="A7091">
        <f>HYPERLINK("https://www.philgeps.gov.ph/GEPSNONPILOT/Tender/SplashBidNoticeAbstractUI.aspx?menuIndex=3&amp;refID=7037978&amp;Result=3","7037978")</f>
        <v>0</v>
      </c>
      <c r="B7091" t="s">
        <v>918</v>
      </c>
      <c r="C7091" t="s">
        <v>9450</v>
      </c>
      <c r="D7091" t="s">
        <v>12996</v>
      </c>
      <c r="E7091" t="s">
        <v>19328</v>
      </c>
      <c r="F7091" t="s">
        <v>22436</v>
      </c>
      <c r="G7091" t="s">
        <v>22444</v>
      </c>
      <c r="H7091" t="s">
        <v>22452</v>
      </c>
      <c r="I7091" t="s">
        <v>2981</v>
      </c>
      <c r="J7091" t="s">
        <v>27165</v>
      </c>
      <c r="K7091" t="s">
        <v>29341</v>
      </c>
      <c r="M7091" t="s">
        <v>30532</v>
      </c>
      <c r="N7091" t="s">
        <v>32524</v>
      </c>
      <c r="O7091" t="s">
        <v>32525</v>
      </c>
      <c r="P7091">
        <v>0</v>
      </c>
      <c r="Q7091">
        <v>6</v>
      </c>
      <c r="R7091" t="s">
        <v>32532</v>
      </c>
      <c r="S7091" t="s">
        <v>32616</v>
      </c>
      <c r="T7091" t="s">
        <v>33172</v>
      </c>
      <c r="U7091" t="s">
        <v>39550</v>
      </c>
      <c r="W7091" t="s">
        <v>30532</v>
      </c>
      <c r="X7091" t="s">
        <v>32533</v>
      </c>
    </row>
    <row r="7092" spans="1:24">
      <c r="A7092">
        <f>HYPERLINK("https://www.philgeps.gov.ph/GEPSNONPILOT/Tender/SplashBidNoticeAbstractUI.aspx?menuIndex=3&amp;refID=7037983&amp;Result=3","7037983")</f>
        <v>0</v>
      </c>
      <c r="B7092" t="s">
        <v>918</v>
      </c>
      <c r="C7092" t="s">
        <v>9451</v>
      </c>
      <c r="D7092" t="s">
        <v>12996</v>
      </c>
      <c r="E7092" t="s">
        <v>19329</v>
      </c>
      <c r="F7092" t="s">
        <v>22436</v>
      </c>
      <c r="G7092" t="s">
        <v>22444</v>
      </c>
      <c r="H7092" t="s">
        <v>22452</v>
      </c>
      <c r="I7092" t="s">
        <v>22504</v>
      </c>
      <c r="J7092" t="s">
        <v>27166</v>
      </c>
      <c r="K7092" t="s">
        <v>29335</v>
      </c>
      <c r="M7092" t="s">
        <v>30532</v>
      </c>
      <c r="N7092" t="s">
        <v>32524</v>
      </c>
      <c r="O7092" t="s">
        <v>32525</v>
      </c>
      <c r="P7092">
        <v>0</v>
      </c>
      <c r="Q7092">
        <v>6</v>
      </c>
      <c r="R7092" t="s">
        <v>32532</v>
      </c>
      <c r="S7092" t="s">
        <v>32616</v>
      </c>
      <c r="T7092" t="s">
        <v>33172</v>
      </c>
      <c r="U7092" t="s">
        <v>39551</v>
      </c>
      <c r="W7092" t="s">
        <v>30532</v>
      </c>
      <c r="X7092" t="s">
        <v>32533</v>
      </c>
    </row>
    <row r="7093" spans="1:24">
      <c r="A7093">
        <f>HYPERLINK("https://www.philgeps.gov.ph/GEPSNONPILOT/Tender/SplashBidNoticeAbstractUI.aspx?menuIndex=3&amp;refID=7037946&amp;Result=3","7037946")</f>
        <v>0</v>
      </c>
      <c r="B7093" t="s">
        <v>2139</v>
      </c>
      <c r="C7093" t="s">
        <v>9452</v>
      </c>
      <c r="D7093" t="s">
        <v>12988</v>
      </c>
      <c r="E7093" t="s">
        <v>19308</v>
      </c>
      <c r="F7093" t="s">
        <v>22436</v>
      </c>
      <c r="G7093" t="s">
        <v>22444</v>
      </c>
      <c r="H7093" t="s">
        <v>22452</v>
      </c>
      <c r="I7093" t="s">
        <v>2981</v>
      </c>
      <c r="J7093" t="s">
        <v>23053</v>
      </c>
      <c r="K7093" t="s">
        <v>29356</v>
      </c>
      <c r="M7093" t="s">
        <v>31891</v>
      </c>
      <c r="N7093" t="s">
        <v>32524</v>
      </c>
      <c r="O7093" t="s">
        <v>32525</v>
      </c>
      <c r="P7093">
        <v>0</v>
      </c>
      <c r="Q7093">
        <v>5</v>
      </c>
      <c r="R7093" t="s">
        <v>32532</v>
      </c>
      <c r="S7093" t="s">
        <v>32616</v>
      </c>
      <c r="T7093" t="s">
        <v>33351</v>
      </c>
      <c r="U7093" t="s">
        <v>39552</v>
      </c>
      <c r="W7093" t="s">
        <v>31891</v>
      </c>
      <c r="X7093" t="s">
        <v>32533</v>
      </c>
    </row>
    <row r="7094" spans="1:24">
      <c r="A7094">
        <f>HYPERLINK("https://www.philgeps.gov.ph/GEPSNONPILOT/Tender/SplashBidNoticeAbstractUI.aspx?menuIndex=3&amp;refID=7037971&amp;Result=3","7037971")</f>
        <v>0</v>
      </c>
      <c r="B7094" t="s">
        <v>2137</v>
      </c>
      <c r="C7094" t="s">
        <v>9453</v>
      </c>
      <c r="E7094" t="s">
        <v>19330</v>
      </c>
      <c r="F7094" t="s">
        <v>22436</v>
      </c>
      <c r="G7094" t="s">
        <v>22444</v>
      </c>
      <c r="H7094" t="s">
        <v>22452</v>
      </c>
      <c r="I7094" t="s">
        <v>22494</v>
      </c>
      <c r="J7094" t="s">
        <v>23885</v>
      </c>
      <c r="K7094" t="s">
        <v>29331</v>
      </c>
      <c r="M7094" t="s">
        <v>31889</v>
      </c>
      <c r="N7094" t="s">
        <v>32524</v>
      </c>
      <c r="O7094" t="s">
        <v>32525</v>
      </c>
      <c r="P7094">
        <v>0</v>
      </c>
      <c r="Q7094">
        <v>0</v>
      </c>
      <c r="R7094" t="s">
        <v>32532</v>
      </c>
      <c r="S7094" t="s">
        <v>32616</v>
      </c>
      <c r="T7094" t="s">
        <v>33220</v>
      </c>
      <c r="U7094" t="s">
        <v>39553</v>
      </c>
      <c r="W7094" t="s">
        <v>31889</v>
      </c>
      <c r="X7094" t="s">
        <v>32533</v>
      </c>
    </row>
    <row r="7095" spans="1:24">
      <c r="A7095">
        <f>HYPERLINK("https://www.philgeps.gov.ph/GEPSNONPILOT/Tender/SplashBidNoticeAbstractUI.aspx?menuIndex=3&amp;refID=7037981&amp;Result=3","7037981")</f>
        <v>0</v>
      </c>
      <c r="B7095" t="s">
        <v>2114</v>
      </c>
      <c r="C7095" t="s">
        <v>9454</v>
      </c>
      <c r="D7095" t="s">
        <v>13057</v>
      </c>
      <c r="E7095" t="s">
        <v>19331</v>
      </c>
      <c r="F7095" t="s">
        <v>22436</v>
      </c>
      <c r="G7095" t="s">
        <v>22444</v>
      </c>
      <c r="H7095" t="s">
        <v>22454</v>
      </c>
      <c r="I7095" t="s">
        <v>7738</v>
      </c>
      <c r="J7095" t="s">
        <v>27167</v>
      </c>
      <c r="K7095" t="s">
        <v>29333</v>
      </c>
      <c r="M7095" t="s">
        <v>31865</v>
      </c>
      <c r="N7095" t="s">
        <v>32524</v>
      </c>
      <c r="O7095" t="s">
        <v>32525</v>
      </c>
      <c r="P7095">
        <v>0</v>
      </c>
      <c r="Q7095">
        <v>10</v>
      </c>
      <c r="R7095" t="s">
        <v>32532</v>
      </c>
      <c r="S7095" t="s">
        <v>32616</v>
      </c>
      <c r="T7095" t="s">
        <v>33242</v>
      </c>
      <c r="U7095" t="s">
        <v>39554</v>
      </c>
      <c r="W7095" t="s">
        <v>31865</v>
      </c>
      <c r="X7095" t="s">
        <v>32533</v>
      </c>
    </row>
    <row r="7096" spans="1:24">
      <c r="A7096">
        <f>HYPERLINK("https://www.philgeps.gov.ph/GEPSNONPILOT/Tender/SplashBidNoticeAbstractUI.aspx?menuIndex=3&amp;refID=7037975&amp;Result=3","7037975")</f>
        <v>0</v>
      </c>
      <c r="B7096" t="s">
        <v>2137</v>
      </c>
      <c r="C7096" t="s">
        <v>9455</v>
      </c>
      <c r="E7096" t="s">
        <v>19332</v>
      </c>
      <c r="F7096" t="s">
        <v>22436</v>
      </c>
      <c r="G7096" t="s">
        <v>22444</v>
      </c>
      <c r="H7096" t="s">
        <v>22452</v>
      </c>
      <c r="I7096" t="s">
        <v>3529</v>
      </c>
      <c r="J7096" t="s">
        <v>27168</v>
      </c>
      <c r="K7096" t="s">
        <v>29331</v>
      </c>
      <c r="M7096" t="s">
        <v>31889</v>
      </c>
      <c r="N7096" t="s">
        <v>32524</v>
      </c>
      <c r="O7096" t="s">
        <v>32525</v>
      </c>
      <c r="P7096">
        <v>0</v>
      </c>
      <c r="Q7096">
        <v>0</v>
      </c>
      <c r="R7096" t="s">
        <v>32532</v>
      </c>
      <c r="S7096" t="s">
        <v>32616</v>
      </c>
      <c r="T7096" t="s">
        <v>33220</v>
      </c>
      <c r="U7096" t="s">
        <v>39555</v>
      </c>
      <c r="W7096" t="s">
        <v>31889</v>
      </c>
      <c r="X7096" t="s">
        <v>32533</v>
      </c>
    </row>
    <row r="7097" spans="1:24">
      <c r="A7097">
        <f>HYPERLINK("https://www.philgeps.gov.ph/GEPSNONPILOT/Tender/SplashBidNoticeAbstractUI.aspx?menuIndex=3&amp;refID=7037953&amp;Result=3","7037953")</f>
        <v>0</v>
      </c>
      <c r="B7097" t="s">
        <v>2136</v>
      </c>
      <c r="C7097" t="s">
        <v>6454</v>
      </c>
      <c r="D7097" t="s">
        <v>13060</v>
      </c>
      <c r="E7097" t="s">
        <v>19333</v>
      </c>
      <c r="F7097" t="s">
        <v>22436</v>
      </c>
      <c r="G7097" t="s">
        <v>22444</v>
      </c>
      <c r="H7097" t="s">
        <v>22452</v>
      </c>
      <c r="I7097" t="s">
        <v>3827</v>
      </c>
      <c r="J7097" t="s">
        <v>27169</v>
      </c>
      <c r="K7097" t="s">
        <v>29337</v>
      </c>
      <c r="M7097" t="s">
        <v>31888</v>
      </c>
      <c r="N7097" t="s">
        <v>32524</v>
      </c>
      <c r="O7097" t="s">
        <v>32525</v>
      </c>
      <c r="P7097">
        <v>0</v>
      </c>
      <c r="Q7097">
        <v>1</v>
      </c>
      <c r="R7097" t="s">
        <v>32532</v>
      </c>
      <c r="S7097" t="s">
        <v>32616</v>
      </c>
      <c r="T7097" t="s">
        <v>33502</v>
      </c>
      <c r="U7097" t="s">
        <v>39556</v>
      </c>
      <c r="V7097" t="s">
        <v>43203</v>
      </c>
      <c r="W7097" t="s">
        <v>31888</v>
      </c>
      <c r="X7097" t="s">
        <v>32533</v>
      </c>
    </row>
    <row r="7098" spans="1:24">
      <c r="A7098">
        <f>HYPERLINK("https://www.philgeps.gov.ph/GEPSNONPILOT/Tender/SplashBidNoticeAbstractUI.aspx?menuIndex=3&amp;refID=7037979&amp;Result=3","7037979")</f>
        <v>0</v>
      </c>
      <c r="B7098" t="s">
        <v>2140</v>
      </c>
      <c r="C7098" t="s">
        <v>9456</v>
      </c>
      <c r="D7098" t="s">
        <v>12994</v>
      </c>
      <c r="E7098" t="s">
        <v>19334</v>
      </c>
      <c r="F7098" t="s">
        <v>22437</v>
      </c>
      <c r="G7098" t="s">
        <v>22443</v>
      </c>
      <c r="H7098" t="s">
        <v>22452</v>
      </c>
      <c r="I7098" t="s">
        <v>22512</v>
      </c>
      <c r="J7098" t="s">
        <v>27170</v>
      </c>
      <c r="K7098" t="s">
        <v>29336</v>
      </c>
      <c r="M7098" t="s">
        <v>31892</v>
      </c>
      <c r="N7098" t="s">
        <v>32524</v>
      </c>
      <c r="O7098" t="s">
        <v>32525</v>
      </c>
      <c r="P7098">
        <v>0</v>
      </c>
      <c r="Q7098">
        <v>2</v>
      </c>
      <c r="R7098" t="s">
        <v>32532</v>
      </c>
      <c r="S7098" t="s">
        <v>32616</v>
      </c>
      <c r="T7098" t="s">
        <v>33238</v>
      </c>
      <c r="U7098" t="s">
        <v>39557</v>
      </c>
      <c r="W7098" t="s">
        <v>31892</v>
      </c>
      <c r="X7098" t="s">
        <v>32533</v>
      </c>
    </row>
    <row r="7099" spans="1:24">
      <c r="A7099">
        <f>HYPERLINK("https://www.philgeps.gov.ph/GEPSNONPILOT/Tender/SplashBidNoticeAbstractUI.aspx?menuIndex=3&amp;refID=7037995&amp;Result=3","7037995")</f>
        <v>0</v>
      </c>
      <c r="B7099" t="s">
        <v>880</v>
      </c>
      <c r="C7099" t="s">
        <v>9457</v>
      </c>
      <c r="D7099" t="s">
        <v>13066</v>
      </c>
      <c r="E7099" t="s">
        <v>19335</v>
      </c>
      <c r="F7099" t="s">
        <v>22436</v>
      </c>
      <c r="G7099" t="s">
        <v>22444</v>
      </c>
      <c r="H7099" t="s">
        <v>22454</v>
      </c>
      <c r="I7099" t="s">
        <v>7738</v>
      </c>
      <c r="J7099" t="s">
        <v>27171</v>
      </c>
      <c r="K7099" t="s">
        <v>29334</v>
      </c>
      <c r="M7099" t="s">
        <v>30488</v>
      </c>
      <c r="N7099" t="s">
        <v>32524</v>
      </c>
      <c r="O7099" t="s">
        <v>32525</v>
      </c>
      <c r="P7099">
        <v>0</v>
      </c>
      <c r="Q7099">
        <v>10</v>
      </c>
      <c r="R7099" t="s">
        <v>32532</v>
      </c>
      <c r="S7099" t="s">
        <v>32616</v>
      </c>
      <c r="T7099" t="s">
        <v>33524</v>
      </c>
      <c r="U7099" t="s">
        <v>39558</v>
      </c>
      <c r="W7099" t="s">
        <v>43700</v>
      </c>
      <c r="X7099" t="s">
        <v>32533</v>
      </c>
    </row>
    <row r="7100" spans="1:24">
      <c r="A7100">
        <f>HYPERLINK("https://www.philgeps.gov.ph/GEPSNONPILOT/Tender/SplashBidNoticeAbstractUI.aspx?menuIndex=3&amp;refID=7037947&amp;Result=3","7037947")</f>
        <v>0</v>
      </c>
      <c r="B7100" t="s">
        <v>2127</v>
      </c>
      <c r="C7100" t="s">
        <v>9458</v>
      </c>
      <c r="D7100" t="s">
        <v>13062</v>
      </c>
      <c r="E7100" t="s">
        <v>19336</v>
      </c>
      <c r="F7100" t="s">
        <v>22436</v>
      </c>
      <c r="G7100" t="s">
        <v>22444</v>
      </c>
      <c r="H7100" t="s">
        <v>22454</v>
      </c>
      <c r="I7100" t="s">
        <v>7738</v>
      </c>
      <c r="J7100" t="s">
        <v>27172</v>
      </c>
      <c r="K7100" t="s">
        <v>29367</v>
      </c>
      <c r="M7100" t="s">
        <v>31879</v>
      </c>
      <c r="N7100" t="s">
        <v>32524</v>
      </c>
      <c r="O7100" t="s">
        <v>32525</v>
      </c>
      <c r="P7100">
        <v>0</v>
      </c>
      <c r="Q7100">
        <v>0</v>
      </c>
      <c r="R7100" t="s">
        <v>32532</v>
      </c>
      <c r="S7100" t="s">
        <v>32616</v>
      </c>
      <c r="T7100" t="s">
        <v>33249</v>
      </c>
      <c r="U7100" t="s">
        <v>39513</v>
      </c>
      <c r="W7100" t="s">
        <v>31879</v>
      </c>
      <c r="X7100" t="s">
        <v>32533</v>
      </c>
    </row>
    <row r="7101" spans="1:24">
      <c r="A7101">
        <f>HYPERLINK("https://www.philgeps.gov.ph/GEPSNONPILOT/Tender/SplashBidNoticeAbstractUI.aspx?menuIndex=3&amp;refID=7037992&amp;Result=3","7037992")</f>
        <v>0</v>
      </c>
      <c r="B7101" t="s">
        <v>2140</v>
      </c>
      <c r="C7101" t="s">
        <v>9459</v>
      </c>
      <c r="D7101" t="s">
        <v>12994</v>
      </c>
      <c r="E7101" t="s">
        <v>19337</v>
      </c>
      <c r="F7101" t="s">
        <v>22437</v>
      </c>
      <c r="G7101" t="s">
        <v>22443</v>
      </c>
      <c r="H7101" t="s">
        <v>22452</v>
      </c>
      <c r="I7101" t="s">
        <v>22478</v>
      </c>
      <c r="J7101" t="s">
        <v>23120</v>
      </c>
      <c r="K7101" t="s">
        <v>29336</v>
      </c>
      <c r="M7101" t="s">
        <v>31892</v>
      </c>
      <c r="N7101" t="s">
        <v>32524</v>
      </c>
      <c r="O7101" t="s">
        <v>32525</v>
      </c>
      <c r="P7101">
        <v>0</v>
      </c>
      <c r="Q7101">
        <v>4</v>
      </c>
      <c r="R7101" t="s">
        <v>32532</v>
      </c>
      <c r="S7101" t="s">
        <v>32616</v>
      </c>
      <c r="T7101" t="s">
        <v>33238</v>
      </c>
      <c r="U7101" t="s">
        <v>39559</v>
      </c>
      <c r="W7101" t="s">
        <v>31892</v>
      </c>
      <c r="X7101" t="s">
        <v>32533</v>
      </c>
    </row>
    <row r="7102" spans="1:24">
      <c r="A7102">
        <f>HYPERLINK("https://www.philgeps.gov.ph/GEPSNONPILOT/Tender/SplashBidNoticeAbstractUI.aspx?menuIndex=3&amp;refID=7037999&amp;Result=3","7037999")</f>
        <v>0</v>
      </c>
      <c r="B7102" t="s">
        <v>1202</v>
      </c>
      <c r="C7102" t="s">
        <v>9460</v>
      </c>
      <c r="D7102" t="s">
        <v>13060</v>
      </c>
      <c r="E7102" t="s">
        <v>19338</v>
      </c>
      <c r="F7102" t="s">
        <v>22436</v>
      </c>
      <c r="G7102" t="s">
        <v>22444</v>
      </c>
      <c r="H7102" t="s">
        <v>22452</v>
      </c>
      <c r="I7102" t="s">
        <v>3827</v>
      </c>
      <c r="J7102" t="s">
        <v>22875</v>
      </c>
      <c r="K7102" t="s">
        <v>29335</v>
      </c>
      <c r="M7102" t="s">
        <v>30850</v>
      </c>
      <c r="N7102" t="s">
        <v>32524</v>
      </c>
      <c r="O7102" t="s">
        <v>32525</v>
      </c>
      <c r="P7102">
        <v>0</v>
      </c>
      <c r="Q7102">
        <v>0</v>
      </c>
      <c r="R7102" t="s">
        <v>32532</v>
      </c>
      <c r="S7102" t="s">
        <v>32616</v>
      </c>
      <c r="T7102" t="s">
        <v>33385</v>
      </c>
      <c r="U7102" t="s">
        <v>39560</v>
      </c>
      <c r="W7102" t="s">
        <v>30850</v>
      </c>
      <c r="X7102" t="s">
        <v>32533</v>
      </c>
    </row>
    <row r="7103" spans="1:24">
      <c r="A7103">
        <f>HYPERLINK("https://www.philgeps.gov.ph/GEPSNONPILOT/Tender/SplashBidNoticeAbstractUI.aspx?menuIndex=3&amp;refID=7037958&amp;Result=3","7037958")</f>
        <v>0</v>
      </c>
      <c r="B7103" t="s">
        <v>2138</v>
      </c>
      <c r="C7103" t="s">
        <v>9461</v>
      </c>
      <c r="D7103" t="s">
        <v>13002</v>
      </c>
      <c r="E7103" t="s">
        <v>19339</v>
      </c>
      <c r="F7103" t="s">
        <v>22436</v>
      </c>
      <c r="G7103" t="s">
        <v>22446</v>
      </c>
      <c r="H7103" t="s">
        <v>22452</v>
      </c>
      <c r="I7103" t="s">
        <v>22466</v>
      </c>
      <c r="J7103" t="s">
        <v>27173</v>
      </c>
      <c r="K7103" t="s">
        <v>29341</v>
      </c>
      <c r="M7103" t="s">
        <v>31890</v>
      </c>
      <c r="N7103" t="s">
        <v>32524</v>
      </c>
      <c r="O7103" t="s">
        <v>32525</v>
      </c>
      <c r="P7103">
        <v>0</v>
      </c>
      <c r="Q7103">
        <v>2</v>
      </c>
      <c r="R7103" t="s">
        <v>32532</v>
      </c>
      <c r="S7103" t="s">
        <v>32616</v>
      </c>
      <c r="T7103" t="s">
        <v>33220</v>
      </c>
      <c r="U7103" t="s">
        <v>39561</v>
      </c>
      <c r="W7103" t="s">
        <v>31890</v>
      </c>
      <c r="X7103" t="s">
        <v>32533</v>
      </c>
    </row>
    <row r="7104" spans="1:24">
      <c r="A7104">
        <f>HYPERLINK("https://www.philgeps.gov.ph/GEPSNONPILOT/Tender/SplashBidNoticeAbstractUI.aspx?menuIndex=3&amp;refID=7037990&amp;Result=3","7037990")</f>
        <v>0</v>
      </c>
      <c r="B7104" t="s">
        <v>2141</v>
      </c>
      <c r="C7104" t="s">
        <v>9462</v>
      </c>
      <c r="D7104" t="s">
        <v>12988</v>
      </c>
      <c r="E7104" t="s">
        <v>13137</v>
      </c>
      <c r="F7104" t="s">
        <v>22436</v>
      </c>
      <c r="G7104" t="s">
        <v>22444</v>
      </c>
      <c r="H7104" t="s">
        <v>22452</v>
      </c>
      <c r="I7104" t="s">
        <v>2981</v>
      </c>
      <c r="J7104" t="s">
        <v>27174</v>
      </c>
      <c r="K7104" t="s">
        <v>29357</v>
      </c>
      <c r="M7104" t="s">
        <v>31893</v>
      </c>
      <c r="N7104" t="s">
        <v>32524</v>
      </c>
      <c r="O7104" t="s">
        <v>32525</v>
      </c>
      <c r="P7104">
        <v>0</v>
      </c>
      <c r="Q7104">
        <v>1</v>
      </c>
      <c r="R7104" t="s">
        <v>32532</v>
      </c>
      <c r="S7104" t="s">
        <v>32616</v>
      </c>
      <c r="T7104" t="s">
        <v>33296</v>
      </c>
      <c r="U7104" t="s">
        <v>39562</v>
      </c>
      <c r="V7104" t="s">
        <v>43205</v>
      </c>
      <c r="W7104" t="s">
        <v>31893</v>
      </c>
      <c r="X7104" t="s">
        <v>32533</v>
      </c>
    </row>
    <row r="7105" spans="1:24">
      <c r="A7105">
        <f>HYPERLINK("https://www.philgeps.gov.ph/GEPSNONPILOT/Tender/SplashBidNoticeAbstractUI.aspx?menuIndex=3&amp;refID=7037991&amp;Result=3","7037991")</f>
        <v>0</v>
      </c>
      <c r="B7105" t="s">
        <v>2114</v>
      </c>
      <c r="C7105" t="s">
        <v>9463</v>
      </c>
      <c r="D7105" t="s">
        <v>13057</v>
      </c>
      <c r="E7105" t="s">
        <v>19340</v>
      </c>
      <c r="F7105" t="s">
        <v>22436</v>
      </c>
      <c r="G7105" t="s">
        <v>22444</v>
      </c>
      <c r="H7105" t="s">
        <v>22454</v>
      </c>
      <c r="I7105" t="s">
        <v>7738</v>
      </c>
      <c r="J7105" t="s">
        <v>27175</v>
      </c>
      <c r="K7105" t="s">
        <v>29333</v>
      </c>
      <c r="M7105" t="s">
        <v>31865</v>
      </c>
      <c r="N7105" t="s">
        <v>32524</v>
      </c>
      <c r="O7105" t="s">
        <v>32525</v>
      </c>
      <c r="P7105">
        <v>0</v>
      </c>
      <c r="Q7105">
        <v>11</v>
      </c>
      <c r="R7105" t="s">
        <v>32532</v>
      </c>
      <c r="S7105" t="s">
        <v>32616</v>
      </c>
      <c r="T7105" t="s">
        <v>33242</v>
      </c>
      <c r="U7105" t="s">
        <v>39563</v>
      </c>
      <c r="W7105" t="s">
        <v>31865</v>
      </c>
      <c r="X7105" t="s">
        <v>32533</v>
      </c>
    </row>
    <row r="7106" spans="1:24">
      <c r="A7106">
        <f>HYPERLINK("https://www.philgeps.gov.ph/GEPSNONPILOT/Tender/SplashBidNoticeAbstractUI.aspx?menuIndex=3&amp;refID=7038005&amp;Result=3","7038005")</f>
        <v>0</v>
      </c>
      <c r="B7106" t="s">
        <v>1869</v>
      </c>
      <c r="C7106" t="s">
        <v>9464</v>
      </c>
      <c r="D7106" t="s">
        <v>13028</v>
      </c>
      <c r="E7106" t="s">
        <v>19341</v>
      </c>
      <c r="F7106" t="s">
        <v>22436</v>
      </c>
      <c r="G7106" t="s">
        <v>22443</v>
      </c>
      <c r="H7106" t="s">
        <v>22452</v>
      </c>
      <c r="I7106" t="s">
        <v>22471</v>
      </c>
      <c r="J7106" t="s">
        <v>22706</v>
      </c>
      <c r="K7106" t="s">
        <v>29335</v>
      </c>
      <c r="M7106" t="s">
        <v>31587</v>
      </c>
      <c r="N7106" t="s">
        <v>32524</v>
      </c>
      <c r="O7106" t="s">
        <v>32525</v>
      </c>
      <c r="P7106">
        <v>0</v>
      </c>
      <c r="Q7106">
        <v>5</v>
      </c>
      <c r="R7106" t="s">
        <v>32532</v>
      </c>
      <c r="S7106" t="s">
        <v>32616</v>
      </c>
      <c r="T7106" t="s">
        <v>33466</v>
      </c>
      <c r="U7106" t="s">
        <v>39564</v>
      </c>
      <c r="W7106" t="s">
        <v>31587</v>
      </c>
      <c r="X7106" t="s">
        <v>32533</v>
      </c>
    </row>
    <row r="7107" spans="1:24">
      <c r="A7107">
        <f>HYPERLINK("https://www.philgeps.gov.ph/GEPSNONPILOT/Tender/SplashBidNoticeAbstractUI.aspx?menuIndex=3&amp;refID=7037993&amp;Result=3","7037993")</f>
        <v>0</v>
      </c>
      <c r="B7107" t="s">
        <v>1202</v>
      </c>
      <c r="C7107" t="s">
        <v>9465</v>
      </c>
      <c r="D7107" t="s">
        <v>13060</v>
      </c>
      <c r="E7107" t="s">
        <v>19342</v>
      </c>
      <c r="F7107" t="s">
        <v>22436</v>
      </c>
      <c r="G7107" t="s">
        <v>22444</v>
      </c>
      <c r="H7107" t="s">
        <v>22452</v>
      </c>
      <c r="I7107" t="s">
        <v>3122</v>
      </c>
      <c r="J7107" t="s">
        <v>27176</v>
      </c>
      <c r="K7107" t="s">
        <v>29335</v>
      </c>
      <c r="M7107" t="s">
        <v>30850</v>
      </c>
      <c r="N7107" t="s">
        <v>32524</v>
      </c>
      <c r="O7107" t="s">
        <v>32525</v>
      </c>
      <c r="P7107">
        <v>0</v>
      </c>
      <c r="Q7107">
        <v>0</v>
      </c>
      <c r="R7107" t="s">
        <v>32532</v>
      </c>
      <c r="S7107" t="s">
        <v>32616</v>
      </c>
      <c r="T7107" t="s">
        <v>33385</v>
      </c>
      <c r="U7107" t="s">
        <v>39565</v>
      </c>
      <c r="W7107" t="s">
        <v>30850</v>
      </c>
      <c r="X7107" t="s">
        <v>32533</v>
      </c>
    </row>
    <row r="7108" spans="1:24">
      <c r="A7108">
        <f>HYPERLINK("https://www.philgeps.gov.ph/GEPSNONPILOT/Tender/SplashBidNoticeAbstractUI.aspx?menuIndex=3&amp;refID=7038012&amp;Result=3","7038012")</f>
        <v>0</v>
      </c>
      <c r="B7108" t="s">
        <v>880</v>
      </c>
      <c r="C7108" t="s">
        <v>9466</v>
      </c>
      <c r="D7108" t="s">
        <v>13066</v>
      </c>
      <c r="E7108" t="s">
        <v>19343</v>
      </c>
      <c r="F7108" t="s">
        <v>22436</v>
      </c>
      <c r="G7108" t="s">
        <v>22444</v>
      </c>
      <c r="H7108" t="s">
        <v>22454</v>
      </c>
      <c r="I7108" t="s">
        <v>7738</v>
      </c>
      <c r="J7108" t="s">
        <v>27177</v>
      </c>
      <c r="K7108" t="s">
        <v>29344</v>
      </c>
      <c r="M7108" t="s">
        <v>30488</v>
      </c>
      <c r="N7108" t="s">
        <v>32524</v>
      </c>
      <c r="O7108" t="s">
        <v>32525</v>
      </c>
      <c r="P7108">
        <v>0</v>
      </c>
      <c r="Q7108">
        <v>12</v>
      </c>
      <c r="R7108" t="s">
        <v>32532</v>
      </c>
      <c r="S7108" t="s">
        <v>32616</v>
      </c>
      <c r="T7108" t="s">
        <v>33227</v>
      </c>
      <c r="U7108" t="s">
        <v>39566</v>
      </c>
      <c r="W7108" t="s">
        <v>43700</v>
      </c>
      <c r="X7108" t="s">
        <v>32533</v>
      </c>
    </row>
    <row r="7109" spans="1:24">
      <c r="A7109">
        <f>HYPERLINK("https://www.philgeps.gov.ph/GEPSNONPILOT/Tender/SplashBidNoticeAbstractUI.aspx?menuIndex=3&amp;refID=7038006&amp;Result=3","7038006")</f>
        <v>0</v>
      </c>
      <c r="B7109" t="s">
        <v>880</v>
      </c>
      <c r="C7109" t="s">
        <v>9467</v>
      </c>
      <c r="D7109" t="s">
        <v>13066</v>
      </c>
      <c r="E7109" t="s">
        <v>19344</v>
      </c>
      <c r="F7109" t="s">
        <v>22436</v>
      </c>
      <c r="G7109" t="s">
        <v>22444</v>
      </c>
      <c r="H7109" t="s">
        <v>22454</v>
      </c>
      <c r="I7109" t="s">
        <v>7738</v>
      </c>
      <c r="J7109" t="s">
        <v>27178</v>
      </c>
      <c r="K7109" t="s">
        <v>29344</v>
      </c>
      <c r="M7109" t="s">
        <v>30488</v>
      </c>
      <c r="N7109" t="s">
        <v>32524</v>
      </c>
      <c r="O7109" t="s">
        <v>32525</v>
      </c>
      <c r="P7109">
        <v>0</v>
      </c>
      <c r="Q7109">
        <v>11</v>
      </c>
      <c r="R7109" t="s">
        <v>32532</v>
      </c>
      <c r="S7109" t="s">
        <v>32616</v>
      </c>
      <c r="T7109" t="s">
        <v>33470</v>
      </c>
      <c r="U7109" t="s">
        <v>39567</v>
      </c>
      <c r="W7109" t="s">
        <v>43700</v>
      </c>
      <c r="X7109" t="s">
        <v>32533</v>
      </c>
    </row>
    <row r="7110" spans="1:24">
      <c r="A7110">
        <f>HYPERLINK("https://www.philgeps.gov.ph/GEPSNONPILOT/Tender/SplashBidNoticeAbstractUI.aspx?menuIndex=3&amp;refID=7038000&amp;Result=3","7038000")</f>
        <v>0</v>
      </c>
      <c r="B7110" t="s">
        <v>2114</v>
      </c>
      <c r="C7110" t="s">
        <v>9468</v>
      </c>
      <c r="D7110" t="s">
        <v>13057</v>
      </c>
      <c r="E7110" t="s">
        <v>19345</v>
      </c>
      <c r="F7110" t="s">
        <v>22436</v>
      </c>
      <c r="G7110" t="s">
        <v>22444</v>
      </c>
      <c r="H7110" t="s">
        <v>22454</v>
      </c>
      <c r="I7110" t="s">
        <v>7738</v>
      </c>
      <c r="J7110" t="s">
        <v>27179</v>
      </c>
      <c r="K7110" t="s">
        <v>29354</v>
      </c>
      <c r="M7110" t="s">
        <v>31865</v>
      </c>
      <c r="N7110" t="s">
        <v>32524</v>
      </c>
      <c r="O7110" t="s">
        <v>32525</v>
      </c>
      <c r="P7110">
        <v>0</v>
      </c>
      <c r="Q7110">
        <v>11</v>
      </c>
      <c r="R7110" t="s">
        <v>32532</v>
      </c>
      <c r="S7110" t="s">
        <v>32616</v>
      </c>
      <c r="T7110" t="s">
        <v>33242</v>
      </c>
      <c r="U7110" t="s">
        <v>39568</v>
      </c>
      <c r="W7110" t="s">
        <v>31865</v>
      </c>
      <c r="X7110" t="s">
        <v>32533</v>
      </c>
    </row>
    <row r="7111" spans="1:24">
      <c r="A7111">
        <f>HYPERLINK("https://www.philgeps.gov.ph/GEPSNONPILOT/Tender/SplashBidNoticeAbstractUI.aspx?menuIndex=3&amp;refID=7037988&amp;Result=3","7037988")</f>
        <v>0</v>
      </c>
      <c r="B7111" t="s">
        <v>2077</v>
      </c>
      <c r="C7111" t="s">
        <v>9049</v>
      </c>
      <c r="D7111" t="s">
        <v>13056</v>
      </c>
      <c r="E7111" t="s">
        <v>19346</v>
      </c>
      <c r="F7111" t="s">
        <v>22436</v>
      </c>
      <c r="G7111" t="s">
        <v>22444</v>
      </c>
      <c r="H7111" t="s">
        <v>22452</v>
      </c>
      <c r="I7111" t="s">
        <v>22469</v>
      </c>
      <c r="J7111" t="s">
        <v>24082</v>
      </c>
      <c r="K7111" t="s">
        <v>29335</v>
      </c>
      <c r="M7111" t="s">
        <v>31821</v>
      </c>
      <c r="N7111" t="s">
        <v>32524</v>
      </c>
      <c r="O7111" t="s">
        <v>32525</v>
      </c>
      <c r="P7111">
        <v>0</v>
      </c>
      <c r="Q7111">
        <v>1</v>
      </c>
      <c r="R7111" t="s">
        <v>32532</v>
      </c>
      <c r="S7111" t="s">
        <v>32616</v>
      </c>
      <c r="T7111" t="s">
        <v>33470</v>
      </c>
      <c r="U7111" t="s">
        <v>39569</v>
      </c>
      <c r="W7111" t="s">
        <v>31821</v>
      </c>
      <c r="X7111" t="s">
        <v>32533</v>
      </c>
    </row>
    <row r="7112" spans="1:24">
      <c r="A7112">
        <f>HYPERLINK("https://www.philgeps.gov.ph/GEPSNONPILOT/Tender/SplashBidNoticeAbstractUI.aspx?menuIndex=3&amp;refID=7038004&amp;Result=3","7038004")</f>
        <v>0</v>
      </c>
      <c r="B7112" t="s">
        <v>1202</v>
      </c>
      <c r="C7112" t="s">
        <v>9469</v>
      </c>
      <c r="D7112" t="s">
        <v>13060</v>
      </c>
      <c r="E7112" t="s">
        <v>19347</v>
      </c>
      <c r="F7112" t="s">
        <v>22436</v>
      </c>
      <c r="G7112" t="s">
        <v>22444</v>
      </c>
      <c r="H7112" t="s">
        <v>22452</v>
      </c>
      <c r="I7112" t="s">
        <v>22484</v>
      </c>
      <c r="J7112" t="s">
        <v>23431</v>
      </c>
      <c r="K7112" t="s">
        <v>29335</v>
      </c>
      <c r="M7112" t="s">
        <v>30850</v>
      </c>
      <c r="N7112" t="s">
        <v>32524</v>
      </c>
      <c r="O7112" t="s">
        <v>32525</v>
      </c>
      <c r="P7112">
        <v>0</v>
      </c>
      <c r="Q7112">
        <v>1</v>
      </c>
      <c r="R7112" t="s">
        <v>32532</v>
      </c>
      <c r="S7112" t="s">
        <v>32616</v>
      </c>
      <c r="T7112" t="s">
        <v>33385</v>
      </c>
      <c r="U7112" t="s">
        <v>39570</v>
      </c>
      <c r="W7112" t="s">
        <v>30850</v>
      </c>
      <c r="X7112" t="s">
        <v>32533</v>
      </c>
    </row>
    <row r="7113" spans="1:24">
      <c r="A7113">
        <f>HYPERLINK("https://www.philgeps.gov.ph/GEPSNONPILOT/Tender/SplashBidNoticeAbstractUI.aspx?menuIndex=3&amp;refID=7038014&amp;Result=3","7038014")</f>
        <v>0</v>
      </c>
      <c r="B7113" t="s">
        <v>2142</v>
      </c>
      <c r="C7113" t="s">
        <v>9470</v>
      </c>
      <c r="D7113" t="s">
        <v>13029</v>
      </c>
      <c r="E7113" t="s">
        <v>19348</v>
      </c>
      <c r="F7113" t="s">
        <v>22436</v>
      </c>
      <c r="G7113" t="s">
        <v>22444</v>
      </c>
      <c r="H7113" t="s">
        <v>22454</v>
      </c>
      <c r="I7113" t="s">
        <v>7738</v>
      </c>
      <c r="J7113" t="s">
        <v>25537</v>
      </c>
      <c r="K7113" t="s">
        <v>29344</v>
      </c>
      <c r="M7113" t="s">
        <v>31894</v>
      </c>
      <c r="N7113" t="s">
        <v>32524</v>
      </c>
      <c r="O7113" t="s">
        <v>32525</v>
      </c>
      <c r="P7113">
        <v>0</v>
      </c>
      <c r="Q7113">
        <v>0</v>
      </c>
      <c r="R7113" t="s">
        <v>32532</v>
      </c>
      <c r="S7113" t="s">
        <v>32616</v>
      </c>
      <c r="T7113" t="s">
        <v>33234</v>
      </c>
      <c r="U7113" t="s">
        <v>39571</v>
      </c>
      <c r="V7113" t="s">
        <v>43206</v>
      </c>
      <c r="W7113" t="s">
        <v>43743</v>
      </c>
      <c r="X7113" t="s">
        <v>32533</v>
      </c>
    </row>
    <row r="7114" spans="1:24">
      <c r="A7114">
        <f>HYPERLINK("https://www.philgeps.gov.ph/GEPSNONPILOT/Tender/SplashBidNoticeAbstractUI.aspx?menuIndex=3&amp;refID=7037989&amp;Result=3","7037989")</f>
        <v>0</v>
      </c>
      <c r="B7114" t="s">
        <v>2143</v>
      </c>
      <c r="C7114" t="s">
        <v>9471</v>
      </c>
      <c r="D7114" t="s">
        <v>12988</v>
      </c>
      <c r="E7114" t="s">
        <v>19349</v>
      </c>
      <c r="F7114" t="s">
        <v>22436</v>
      </c>
      <c r="G7114" t="s">
        <v>22444</v>
      </c>
      <c r="H7114" t="s">
        <v>22452</v>
      </c>
      <c r="I7114" t="s">
        <v>22455</v>
      </c>
      <c r="J7114" t="s">
        <v>22587</v>
      </c>
      <c r="K7114" t="s">
        <v>29481</v>
      </c>
      <c r="M7114" t="s">
        <v>31895</v>
      </c>
      <c r="N7114" t="s">
        <v>32524</v>
      </c>
      <c r="O7114" t="s">
        <v>32525</v>
      </c>
      <c r="Q7114">
        <v>10</v>
      </c>
      <c r="R7114" t="s">
        <v>32532</v>
      </c>
      <c r="S7114" t="s">
        <v>32662</v>
      </c>
      <c r="T7114" t="s">
        <v>33165</v>
      </c>
      <c r="U7114" t="s">
        <v>39572</v>
      </c>
      <c r="V7114" t="s">
        <v>43207</v>
      </c>
      <c r="W7114" t="s">
        <v>31895</v>
      </c>
      <c r="X7114" t="s">
        <v>32533</v>
      </c>
    </row>
    <row r="7115" spans="1:24">
      <c r="A7115">
        <f>HYPERLINK("https://www.philgeps.gov.ph/GEPSNONPILOT/Tender/SplashBidNoticeAbstractUI.aspx?menuIndex=3&amp;refID=7038003&amp;Result=3","7038003")</f>
        <v>0</v>
      </c>
      <c r="B7115" t="s">
        <v>2114</v>
      </c>
      <c r="C7115" t="s">
        <v>9472</v>
      </c>
      <c r="D7115" t="s">
        <v>13057</v>
      </c>
      <c r="E7115" t="s">
        <v>19350</v>
      </c>
      <c r="F7115" t="s">
        <v>22436</v>
      </c>
      <c r="G7115" t="s">
        <v>22444</v>
      </c>
      <c r="H7115" t="s">
        <v>22454</v>
      </c>
      <c r="I7115" t="s">
        <v>7738</v>
      </c>
      <c r="J7115" t="s">
        <v>27180</v>
      </c>
      <c r="K7115" t="s">
        <v>29329</v>
      </c>
      <c r="M7115" t="s">
        <v>31865</v>
      </c>
      <c r="N7115" t="s">
        <v>32524</v>
      </c>
      <c r="O7115" t="s">
        <v>32525</v>
      </c>
      <c r="P7115">
        <v>0</v>
      </c>
      <c r="Q7115">
        <v>9</v>
      </c>
      <c r="R7115" t="s">
        <v>32532</v>
      </c>
      <c r="S7115" t="s">
        <v>32616</v>
      </c>
      <c r="T7115" t="s">
        <v>33242</v>
      </c>
      <c r="U7115" t="s">
        <v>39573</v>
      </c>
      <c r="W7115" t="s">
        <v>31865</v>
      </c>
      <c r="X7115" t="s">
        <v>32533</v>
      </c>
    </row>
    <row r="7116" spans="1:24">
      <c r="A7116">
        <f>HYPERLINK("https://www.philgeps.gov.ph/GEPSNONPILOT/Tender/SplashBidNoticeAbstractUI.aspx?menuIndex=3&amp;refID=7038029&amp;Result=3","7038029")</f>
        <v>0</v>
      </c>
      <c r="B7116" t="s">
        <v>2114</v>
      </c>
      <c r="C7116" t="s">
        <v>9473</v>
      </c>
      <c r="D7116" t="s">
        <v>13057</v>
      </c>
      <c r="E7116" t="s">
        <v>19351</v>
      </c>
      <c r="F7116" t="s">
        <v>22436</v>
      </c>
      <c r="G7116" t="s">
        <v>22444</v>
      </c>
      <c r="H7116" t="s">
        <v>22454</v>
      </c>
      <c r="I7116" t="s">
        <v>7738</v>
      </c>
      <c r="J7116" t="s">
        <v>27181</v>
      </c>
      <c r="K7116" t="s">
        <v>29347</v>
      </c>
      <c r="M7116" t="s">
        <v>31865</v>
      </c>
      <c r="N7116" t="s">
        <v>32524</v>
      </c>
      <c r="O7116" t="s">
        <v>32525</v>
      </c>
      <c r="P7116">
        <v>0</v>
      </c>
      <c r="Q7116">
        <v>7</v>
      </c>
      <c r="R7116" t="s">
        <v>32532</v>
      </c>
      <c r="S7116" t="s">
        <v>32616</v>
      </c>
      <c r="T7116" t="s">
        <v>33242</v>
      </c>
      <c r="U7116" t="s">
        <v>39574</v>
      </c>
      <c r="W7116" t="s">
        <v>31865</v>
      </c>
      <c r="X7116" t="s">
        <v>32533</v>
      </c>
    </row>
    <row r="7117" spans="1:24">
      <c r="A7117">
        <f>HYPERLINK("https://www.philgeps.gov.ph/GEPSNONPILOT/Tender/SplashBidNoticeAbstractUI.aspx?menuIndex=3&amp;refID=7038027&amp;Result=3","7038027")</f>
        <v>0</v>
      </c>
      <c r="B7117" t="s">
        <v>2114</v>
      </c>
      <c r="C7117" t="s">
        <v>9474</v>
      </c>
      <c r="D7117" t="s">
        <v>13057</v>
      </c>
      <c r="E7117" t="s">
        <v>19352</v>
      </c>
      <c r="F7117" t="s">
        <v>22436</v>
      </c>
      <c r="G7117" t="s">
        <v>22444</v>
      </c>
      <c r="H7117" t="s">
        <v>22454</v>
      </c>
      <c r="I7117" t="s">
        <v>7738</v>
      </c>
      <c r="J7117" t="s">
        <v>27182</v>
      </c>
      <c r="K7117" t="s">
        <v>29329</v>
      </c>
      <c r="M7117" t="s">
        <v>31865</v>
      </c>
      <c r="N7117" t="s">
        <v>32524</v>
      </c>
      <c r="O7117" t="s">
        <v>32525</v>
      </c>
      <c r="P7117">
        <v>0</v>
      </c>
      <c r="Q7117">
        <v>7</v>
      </c>
      <c r="R7117" t="s">
        <v>32532</v>
      </c>
      <c r="S7117" t="s">
        <v>32616</v>
      </c>
      <c r="T7117" t="s">
        <v>33242</v>
      </c>
      <c r="U7117" t="s">
        <v>39575</v>
      </c>
      <c r="W7117" t="s">
        <v>31865</v>
      </c>
      <c r="X7117" t="s">
        <v>32533</v>
      </c>
    </row>
    <row r="7118" spans="1:24">
      <c r="A7118">
        <f>HYPERLINK("https://www.philgeps.gov.ph/GEPSNONPILOT/Tender/SplashBidNoticeAbstractUI.aspx?menuIndex=3&amp;refID=7037986&amp;Result=3","7037986")</f>
        <v>0</v>
      </c>
      <c r="B7118" t="s">
        <v>2114</v>
      </c>
      <c r="C7118" t="s">
        <v>9475</v>
      </c>
      <c r="D7118" t="s">
        <v>13057</v>
      </c>
      <c r="E7118" t="s">
        <v>19353</v>
      </c>
      <c r="F7118" t="s">
        <v>22436</v>
      </c>
      <c r="G7118" t="s">
        <v>22444</v>
      </c>
      <c r="H7118" t="s">
        <v>22454</v>
      </c>
      <c r="I7118" t="s">
        <v>7738</v>
      </c>
      <c r="J7118" t="s">
        <v>27183</v>
      </c>
      <c r="K7118" t="s">
        <v>29329</v>
      </c>
      <c r="M7118" t="s">
        <v>31865</v>
      </c>
      <c r="N7118" t="s">
        <v>32524</v>
      </c>
      <c r="O7118" t="s">
        <v>32525</v>
      </c>
      <c r="P7118">
        <v>0</v>
      </c>
      <c r="Q7118">
        <v>8</v>
      </c>
      <c r="R7118" t="s">
        <v>32532</v>
      </c>
      <c r="S7118" t="s">
        <v>32616</v>
      </c>
      <c r="T7118" t="s">
        <v>33242</v>
      </c>
      <c r="U7118" t="s">
        <v>39576</v>
      </c>
      <c r="W7118" t="s">
        <v>31865</v>
      </c>
      <c r="X7118" t="s">
        <v>32533</v>
      </c>
    </row>
    <row r="7119" spans="1:24">
      <c r="A7119">
        <f>HYPERLINK("https://www.philgeps.gov.ph/GEPSNONPILOT/Tender/SplashBidNoticeAbstractUI.aspx?menuIndex=3&amp;refID=7038011&amp;Result=3","7038011")</f>
        <v>0</v>
      </c>
      <c r="B7119" t="s">
        <v>2114</v>
      </c>
      <c r="C7119" t="s">
        <v>9476</v>
      </c>
      <c r="D7119" t="s">
        <v>13057</v>
      </c>
      <c r="E7119" t="s">
        <v>19354</v>
      </c>
      <c r="F7119" t="s">
        <v>22436</v>
      </c>
      <c r="G7119" t="s">
        <v>22444</v>
      </c>
      <c r="H7119" t="s">
        <v>22454</v>
      </c>
      <c r="I7119" t="s">
        <v>7738</v>
      </c>
      <c r="J7119" t="s">
        <v>27184</v>
      </c>
      <c r="K7119" t="s">
        <v>29347</v>
      </c>
      <c r="M7119" t="s">
        <v>31865</v>
      </c>
      <c r="N7119" t="s">
        <v>32524</v>
      </c>
      <c r="O7119" t="s">
        <v>32525</v>
      </c>
      <c r="P7119">
        <v>0</v>
      </c>
      <c r="Q7119">
        <v>10</v>
      </c>
      <c r="R7119" t="s">
        <v>32532</v>
      </c>
      <c r="S7119" t="s">
        <v>32616</v>
      </c>
      <c r="T7119" t="s">
        <v>33242</v>
      </c>
      <c r="U7119" t="s">
        <v>39577</v>
      </c>
      <c r="W7119" t="s">
        <v>31865</v>
      </c>
      <c r="X7119" t="s">
        <v>32533</v>
      </c>
    </row>
    <row r="7120" spans="1:24">
      <c r="A7120">
        <f>HYPERLINK("https://www.philgeps.gov.ph/GEPSNONPILOT/Tender/SplashBidNoticeAbstractUI.aspx?menuIndex=3&amp;refID=7038013&amp;Result=3","7038013")</f>
        <v>0</v>
      </c>
      <c r="B7120" t="s">
        <v>30</v>
      </c>
      <c r="C7120" t="s">
        <v>9477</v>
      </c>
      <c r="D7120" t="s">
        <v>12994</v>
      </c>
      <c r="E7120" t="s">
        <v>19355</v>
      </c>
      <c r="F7120" t="s">
        <v>22436</v>
      </c>
      <c r="G7120" t="s">
        <v>22444</v>
      </c>
      <c r="H7120" t="s">
        <v>22453</v>
      </c>
      <c r="I7120" t="s">
        <v>22474</v>
      </c>
      <c r="J7120" t="s">
        <v>22785</v>
      </c>
      <c r="K7120" t="s">
        <v>29335</v>
      </c>
      <c r="M7120" t="s">
        <v>29600</v>
      </c>
      <c r="N7120" t="s">
        <v>32524</v>
      </c>
      <c r="O7120" t="s">
        <v>32525</v>
      </c>
      <c r="P7120">
        <v>0</v>
      </c>
      <c r="Q7120">
        <v>0</v>
      </c>
      <c r="R7120" t="s">
        <v>32532</v>
      </c>
      <c r="S7120" t="s">
        <v>32616</v>
      </c>
      <c r="T7120" t="s">
        <v>33229</v>
      </c>
      <c r="U7120" t="s">
        <v>39578</v>
      </c>
      <c r="W7120" t="s">
        <v>29600</v>
      </c>
      <c r="X7120" t="s">
        <v>32533</v>
      </c>
    </row>
    <row r="7121" spans="1:24">
      <c r="A7121">
        <f>HYPERLINK("https://www.philgeps.gov.ph/GEPSNONPILOT/Tender/SplashBidNoticeAbstractUI.aspx?menuIndex=3&amp;refID=7038023&amp;Result=3","7038023")</f>
        <v>0</v>
      </c>
      <c r="B7121" t="s">
        <v>443</v>
      </c>
      <c r="C7121" t="s">
        <v>9478</v>
      </c>
      <c r="D7121" t="s">
        <v>13006</v>
      </c>
      <c r="E7121" t="s">
        <v>18742</v>
      </c>
      <c r="F7121" t="s">
        <v>22436</v>
      </c>
      <c r="G7121" t="s">
        <v>22444</v>
      </c>
      <c r="H7121" t="s">
        <v>22452</v>
      </c>
      <c r="I7121" t="s">
        <v>3529</v>
      </c>
      <c r="J7121" t="s">
        <v>27185</v>
      </c>
      <c r="K7121" t="s">
        <v>29329</v>
      </c>
      <c r="M7121" t="s">
        <v>30025</v>
      </c>
      <c r="N7121" t="s">
        <v>32524</v>
      </c>
      <c r="O7121" t="s">
        <v>32525</v>
      </c>
      <c r="P7121">
        <v>0</v>
      </c>
      <c r="Q7121">
        <v>0</v>
      </c>
      <c r="R7121" t="s">
        <v>32532</v>
      </c>
      <c r="S7121" t="s">
        <v>32616</v>
      </c>
      <c r="T7121" t="s">
        <v>33209</v>
      </c>
      <c r="U7121" t="s">
        <v>39579</v>
      </c>
      <c r="W7121" t="s">
        <v>30025</v>
      </c>
      <c r="X7121" t="s">
        <v>32533</v>
      </c>
    </row>
    <row r="7122" spans="1:24">
      <c r="A7122">
        <f>HYPERLINK("https://www.philgeps.gov.ph/GEPSNONPILOT/Tender/SplashBidNoticeAbstractUI.aspx?menuIndex=3&amp;refID=7038041&amp;Result=3","7038041")</f>
        <v>0</v>
      </c>
      <c r="B7122" t="s">
        <v>2144</v>
      </c>
      <c r="C7122" t="s">
        <v>9479</v>
      </c>
      <c r="D7122" t="s">
        <v>13031</v>
      </c>
      <c r="E7122" t="s">
        <v>19356</v>
      </c>
      <c r="F7122" t="s">
        <v>22437</v>
      </c>
      <c r="G7122" t="s">
        <v>22443</v>
      </c>
      <c r="H7122" t="s">
        <v>22452</v>
      </c>
      <c r="I7122" t="s">
        <v>22476</v>
      </c>
      <c r="J7122" t="s">
        <v>27186</v>
      </c>
      <c r="K7122" t="s">
        <v>29338</v>
      </c>
      <c r="M7122" t="s">
        <v>31896</v>
      </c>
      <c r="N7122" t="s">
        <v>32524</v>
      </c>
      <c r="O7122" t="s">
        <v>32525</v>
      </c>
      <c r="P7122">
        <v>0</v>
      </c>
      <c r="Q7122">
        <v>0</v>
      </c>
      <c r="R7122" t="s">
        <v>32532</v>
      </c>
      <c r="S7122" t="s">
        <v>32616</v>
      </c>
      <c r="T7122" t="s">
        <v>33322</v>
      </c>
      <c r="U7122" t="s">
        <v>39580</v>
      </c>
      <c r="W7122" t="s">
        <v>31896</v>
      </c>
      <c r="X7122" t="s">
        <v>32533</v>
      </c>
    </row>
    <row r="7123" spans="1:24">
      <c r="A7123">
        <f>HYPERLINK("https://www.philgeps.gov.ph/GEPSNONPILOT/Tender/SplashBidNoticeAbstractUI.aspx?menuIndex=3&amp;refID=7038051&amp;Result=3","7038051")</f>
        <v>0</v>
      </c>
      <c r="B7123" t="s">
        <v>2145</v>
      </c>
      <c r="C7123" t="s">
        <v>9480</v>
      </c>
      <c r="D7123" t="s">
        <v>12988</v>
      </c>
      <c r="E7123" t="s">
        <v>19357</v>
      </c>
      <c r="F7123" t="s">
        <v>22436</v>
      </c>
      <c r="G7123" t="s">
        <v>22444</v>
      </c>
      <c r="H7123" t="s">
        <v>22452</v>
      </c>
      <c r="I7123" t="s">
        <v>3827</v>
      </c>
      <c r="J7123" t="s">
        <v>27187</v>
      </c>
      <c r="K7123" t="s">
        <v>29358</v>
      </c>
      <c r="M7123" t="s">
        <v>31897</v>
      </c>
      <c r="N7123" t="s">
        <v>32524</v>
      </c>
      <c r="O7123" t="s">
        <v>32525</v>
      </c>
      <c r="P7123">
        <v>0</v>
      </c>
      <c r="Q7123">
        <v>3</v>
      </c>
      <c r="R7123" t="s">
        <v>32532</v>
      </c>
      <c r="S7123" t="s">
        <v>32616</v>
      </c>
      <c r="T7123" t="s">
        <v>33220</v>
      </c>
      <c r="U7123" t="s">
        <v>39581</v>
      </c>
      <c r="W7123" t="s">
        <v>31897</v>
      </c>
      <c r="X7123" t="s">
        <v>32533</v>
      </c>
    </row>
    <row r="7124" spans="1:24">
      <c r="A7124">
        <f>HYPERLINK("https://www.philgeps.gov.ph/GEPSNONPILOT/Tender/SplashBidNoticeAbstractUI.aspx?menuIndex=3&amp;refID=7038049&amp;Result=3","7038049")</f>
        <v>0</v>
      </c>
      <c r="B7124" t="s">
        <v>2144</v>
      </c>
      <c r="C7124" t="s">
        <v>9481</v>
      </c>
      <c r="D7124" t="s">
        <v>13031</v>
      </c>
      <c r="E7124" t="s">
        <v>19358</v>
      </c>
      <c r="F7124" t="s">
        <v>22437</v>
      </c>
      <c r="G7124" t="s">
        <v>22443</v>
      </c>
      <c r="H7124" t="s">
        <v>22452</v>
      </c>
      <c r="I7124" t="s">
        <v>12358</v>
      </c>
      <c r="J7124" t="s">
        <v>22874</v>
      </c>
      <c r="K7124" t="s">
        <v>29338</v>
      </c>
      <c r="M7124" t="s">
        <v>31896</v>
      </c>
      <c r="N7124" t="s">
        <v>32524</v>
      </c>
      <c r="O7124" t="s">
        <v>32525</v>
      </c>
      <c r="P7124">
        <v>0</v>
      </c>
      <c r="Q7124">
        <v>0</v>
      </c>
      <c r="R7124" t="s">
        <v>32532</v>
      </c>
      <c r="S7124" t="s">
        <v>32616</v>
      </c>
      <c r="T7124" t="s">
        <v>33322</v>
      </c>
      <c r="U7124" t="s">
        <v>39582</v>
      </c>
      <c r="W7124" t="s">
        <v>31896</v>
      </c>
      <c r="X7124" t="s">
        <v>32533</v>
      </c>
    </row>
    <row r="7125" spans="1:24">
      <c r="A7125">
        <f>HYPERLINK("https://www.philgeps.gov.ph/GEPSNONPILOT/Tender/SplashBidNoticeAbstractUI.aspx?menuIndex=3&amp;refID=7038048&amp;Result=3","7038048")</f>
        <v>0</v>
      </c>
      <c r="B7125" t="s">
        <v>2140</v>
      </c>
      <c r="C7125" t="s">
        <v>9482</v>
      </c>
      <c r="D7125" t="s">
        <v>13020</v>
      </c>
      <c r="E7125" t="s">
        <v>19359</v>
      </c>
      <c r="F7125" t="s">
        <v>22437</v>
      </c>
      <c r="G7125" t="s">
        <v>22443</v>
      </c>
      <c r="H7125" t="s">
        <v>22452</v>
      </c>
      <c r="I7125" t="s">
        <v>22525</v>
      </c>
      <c r="J7125" t="s">
        <v>22605</v>
      </c>
      <c r="K7125" t="s">
        <v>29336</v>
      </c>
      <c r="M7125" t="s">
        <v>31892</v>
      </c>
      <c r="N7125" t="s">
        <v>32524</v>
      </c>
      <c r="O7125" t="s">
        <v>32525</v>
      </c>
      <c r="P7125">
        <v>0</v>
      </c>
      <c r="Q7125">
        <v>0</v>
      </c>
      <c r="R7125" t="s">
        <v>32532</v>
      </c>
      <c r="S7125" t="s">
        <v>32616</v>
      </c>
      <c r="T7125" t="s">
        <v>33238</v>
      </c>
      <c r="U7125" t="s">
        <v>39583</v>
      </c>
      <c r="W7125" t="s">
        <v>31892</v>
      </c>
      <c r="X7125" t="s">
        <v>32533</v>
      </c>
    </row>
    <row r="7126" spans="1:24">
      <c r="A7126">
        <f>HYPERLINK("https://www.philgeps.gov.ph/GEPSNONPILOT/Tender/SplashBidNoticeAbstractUI.aspx?menuIndex=3&amp;refID=7038053&amp;Result=3","7038053")</f>
        <v>0</v>
      </c>
      <c r="B7126" t="s">
        <v>2146</v>
      </c>
      <c r="C7126" t="s">
        <v>9483</v>
      </c>
      <c r="D7126" t="s">
        <v>12990</v>
      </c>
      <c r="E7126" t="s">
        <v>13182</v>
      </c>
      <c r="F7126" t="s">
        <v>22436</v>
      </c>
      <c r="G7126" t="s">
        <v>22444</v>
      </c>
      <c r="H7126" t="s">
        <v>22452</v>
      </c>
      <c r="I7126" t="s">
        <v>3529</v>
      </c>
      <c r="J7126" t="s">
        <v>27188</v>
      </c>
      <c r="K7126" t="s">
        <v>29331</v>
      </c>
      <c r="M7126" t="s">
        <v>31898</v>
      </c>
      <c r="N7126" t="s">
        <v>32524</v>
      </c>
      <c r="O7126" t="s">
        <v>32525</v>
      </c>
      <c r="P7126">
        <v>0</v>
      </c>
      <c r="Q7126">
        <v>0</v>
      </c>
      <c r="R7126" t="s">
        <v>32532</v>
      </c>
      <c r="S7126" t="s">
        <v>32616</v>
      </c>
      <c r="T7126" t="s">
        <v>33230</v>
      </c>
      <c r="U7126" t="s">
        <v>39584</v>
      </c>
      <c r="W7126" t="s">
        <v>31898</v>
      </c>
      <c r="X7126" t="s">
        <v>32533</v>
      </c>
    </row>
    <row r="7127" spans="1:24">
      <c r="A7127">
        <f>HYPERLINK("https://www.philgeps.gov.ph/GEPSNONPILOT/Tender/SplashBidNoticeAbstractUI.aspx?menuIndex=3&amp;refID=7038039&amp;Result=3","7038039")</f>
        <v>0</v>
      </c>
      <c r="B7127" t="s">
        <v>2144</v>
      </c>
      <c r="C7127" t="s">
        <v>9484</v>
      </c>
      <c r="D7127" t="s">
        <v>13031</v>
      </c>
      <c r="E7127" t="s">
        <v>19360</v>
      </c>
      <c r="F7127" t="s">
        <v>22437</v>
      </c>
      <c r="G7127" t="s">
        <v>22443</v>
      </c>
      <c r="H7127" t="s">
        <v>22452</v>
      </c>
      <c r="I7127" t="s">
        <v>22506</v>
      </c>
      <c r="J7127" t="s">
        <v>23120</v>
      </c>
      <c r="K7127" t="s">
        <v>29338</v>
      </c>
      <c r="M7127" t="s">
        <v>31896</v>
      </c>
      <c r="N7127" t="s">
        <v>32524</v>
      </c>
      <c r="O7127" t="s">
        <v>32525</v>
      </c>
      <c r="P7127">
        <v>0</v>
      </c>
      <c r="Q7127">
        <v>2</v>
      </c>
      <c r="R7127" t="s">
        <v>32532</v>
      </c>
      <c r="S7127" t="s">
        <v>32616</v>
      </c>
      <c r="T7127" t="s">
        <v>33322</v>
      </c>
      <c r="U7127" t="s">
        <v>39585</v>
      </c>
      <c r="W7127" t="s">
        <v>31896</v>
      </c>
      <c r="X7127" t="s">
        <v>32533</v>
      </c>
    </row>
    <row r="7128" spans="1:24">
      <c r="A7128">
        <f>HYPERLINK("https://www.philgeps.gov.ph/GEPSNONPILOT/Tender/SplashBidNoticeAbstractUI.aspx?menuIndex=3&amp;refID=7038037&amp;Result=3","7038037")</f>
        <v>0</v>
      </c>
      <c r="B7128" t="s">
        <v>2114</v>
      </c>
      <c r="C7128" t="s">
        <v>9485</v>
      </c>
      <c r="D7128" t="s">
        <v>13057</v>
      </c>
      <c r="E7128" t="s">
        <v>19361</v>
      </c>
      <c r="F7128" t="s">
        <v>22436</v>
      </c>
      <c r="G7128" t="s">
        <v>22444</v>
      </c>
      <c r="H7128" t="s">
        <v>22454</v>
      </c>
      <c r="I7128" t="s">
        <v>7738</v>
      </c>
      <c r="J7128" t="s">
        <v>27189</v>
      </c>
      <c r="K7128" t="s">
        <v>29419</v>
      </c>
      <c r="M7128" t="s">
        <v>31865</v>
      </c>
      <c r="N7128" t="s">
        <v>32524</v>
      </c>
      <c r="O7128" t="s">
        <v>32525</v>
      </c>
      <c r="P7128">
        <v>0</v>
      </c>
      <c r="Q7128">
        <v>7</v>
      </c>
      <c r="R7128" t="s">
        <v>32532</v>
      </c>
      <c r="S7128" t="s">
        <v>32616</v>
      </c>
      <c r="T7128" t="s">
        <v>33242</v>
      </c>
      <c r="U7128" t="s">
        <v>39586</v>
      </c>
      <c r="W7128" t="s">
        <v>31865</v>
      </c>
      <c r="X7128" t="s">
        <v>32533</v>
      </c>
    </row>
    <row r="7129" spans="1:24">
      <c r="A7129">
        <f>HYPERLINK("https://www.philgeps.gov.ph/GEPSNONPILOT/Tender/SplashBidNoticeAbstractUI.aspx?menuIndex=3&amp;refID=7038017&amp;Result=3","7038017")</f>
        <v>0</v>
      </c>
      <c r="B7129" t="s">
        <v>2140</v>
      </c>
      <c r="C7129" t="s">
        <v>9486</v>
      </c>
      <c r="D7129" t="s">
        <v>13001</v>
      </c>
      <c r="E7129" t="s">
        <v>19362</v>
      </c>
      <c r="F7129" t="s">
        <v>22437</v>
      </c>
      <c r="G7129" t="s">
        <v>22443</v>
      </c>
      <c r="H7129" t="s">
        <v>22452</v>
      </c>
      <c r="I7129" t="s">
        <v>3529</v>
      </c>
      <c r="J7129" t="s">
        <v>22605</v>
      </c>
      <c r="K7129" t="s">
        <v>29336</v>
      </c>
      <c r="M7129" t="s">
        <v>31892</v>
      </c>
      <c r="N7129" t="s">
        <v>32524</v>
      </c>
      <c r="O7129" t="s">
        <v>32525</v>
      </c>
      <c r="P7129">
        <v>0</v>
      </c>
      <c r="Q7129">
        <v>0</v>
      </c>
      <c r="R7129" t="s">
        <v>32532</v>
      </c>
      <c r="S7129" t="s">
        <v>32616</v>
      </c>
      <c r="T7129" t="s">
        <v>33238</v>
      </c>
      <c r="U7129" t="s">
        <v>39587</v>
      </c>
      <c r="W7129" t="s">
        <v>31892</v>
      </c>
      <c r="X7129" t="s">
        <v>32533</v>
      </c>
    </row>
    <row r="7130" spans="1:24">
      <c r="A7130">
        <f>HYPERLINK("https://www.philgeps.gov.ph/GEPSNONPILOT/Tender/SplashBidNoticeAbstractUI.aspx?menuIndex=3&amp;refID=7038038&amp;Result=3","7038038")</f>
        <v>0</v>
      </c>
      <c r="B7130" t="s">
        <v>2140</v>
      </c>
      <c r="C7130" t="s">
        <v>9482</v>
      </c>
      <c r="D7130" t="s">
        <v>12994</v>
      </c>
      <c r="E7130" t="s">
        <v>19363</v>
      </c>
      <c r="F7130" t="s">
        <v>22437</v>
      </c>
      <c r="G7130" t="s">
        <v>22443</v>
      </c>
      <c r="H7130" t="s">
        <v>22452</v>
      </c>
      <c r="I7130" t="s">
        <v>22525</v>
      </c>
      <c r="J7130" t="s">
        <v>22605</v>
      </c>
      <c r="K7130" t="s">
        <v>29336</v>
      </c>
      <c r="M7130" t="s">
        <v>31892</v>
      </c>
      <c r="N7130" t="s">
        <v>32524</v>
      </c>
      <c r="O7130" t="s">
        <v>32525</v>
      </c>
      <c r="P7130">
        <v>0</v>
      </c>
      <c r="Q7130">
        <v>0</v>
      </c>
      <c r="R7130" t="s">
        <v>32532</v>
      </c>
      <c r="S7130" t="s">
        <v>32616</v>
      </c>
      <c r="T7130" t="s">
        <v>33238</v>
      </c>
      <c r="U7130" t="s">
        <v>39588</v>
      </c>
      <c r="W7130" t="s">
        <v>31892</v>
      </c>
      <c r="X7130" t="s">
        <v>32533</v>
      </c>
    </row>
    <row r="7131" spans="1:24">
      <c r="A7131">
        <f>HYPERLINK("https://www.philgeps.gov.ph/GEPSNONPILOT/Tender/SplashBidNoticeAbstractUI.aspx?menuIndex=3&amp;refID=7038034&amp;Result=3","7038034")</f>
        <v>0</v>
      </c>
      <c r="B7131" t="s">
        <v>2147</v>
      </c>
      <c r="C7131" t="s">
        <v>9487</v>
      </c>
      <c r="D7131" t="s">
        <v>13067</v>
      </c>
      <c r="E7131" t="s">
        <v>14018</v>
      </c>
      <c r="F7131" t="s">
        <v>22436</v>
      </c>
      <c r="G7131" t="s">
        <v>22444</v>
      </c>
      <c r="H7131" t="s">
        <v>22454</v>
      </c>
      <c r="I7131" t="s">
        <v>7738</v>
      </c>
      <c r="J7131" t="s">
        <v>22640</v>
      </c>
      <c r="K7131" t="s">
        <v>29337</v>
      </c>
      <c r="M7131" t="s">
        <v>31899</v>
      </c>
      <c r="N7131" t="s">
        <v>32524</v>
      </c>
      <c r="O7131" t="s">
        <v>32525</v>
      </c>
      <c r="P7131">
        <v>0</v>
      </c>
      <c r="Q7131">
        <v>1</v>
      </c>
      <c r="R7131" t="s">
        <v>32532</v>
      </c>
      <c r="S7131" t="s">
        <v>32616</v>
      </c>
      <c r="T7131" t="s">
        <v>33229</v>
      </c>
      <c r="U7131" t="s">
        <v>39589</v>
      </c>
      <c r="W7131" t="s">
        <v>31899</v>
      </c>
      <c r="X7131" t="s">
        <v>32533</v>
      </c>
    </row>
    <row r="7132" spans="1:24">
      <c r="A7132">
        <f>HYPERLINK("https://www.philgeps.gov.ph/GEPSNONPILOT/Tender/SplashBidNoticeAbstractUI.aspx?menuIndex=3&amp;refID=7038040&amp;Result=3","7038040")</f>
        <v>0</v>
      </c>
      <c r="B7132" t="s">
        <v>2148</v>
      </c>
      <c r="C7132" t="s">
        <v>9488</v>
      </c>
      <c r="D7132" t="s">
        <v>13028</v>
      </c>
      <c r="E7132" t="s">
        <v>19364</v>
      </c>
      <c r="F7132" t="s">
        <v>22436</v>
      </c>
      <c r="G7132" t="s">
        <v>22444</v>
      </c>
      <c r="H7132" t="s">
        <v>22454</v>
      </c>
      <c r="I7132" t="s">
        <v>7738</v>
      </c>
      <c r="J7132" t="s">
        <v>27190</v>
      </c>
      <c r="K7132" t="s">
        <v>29333</v>
      </c>
      <c r="M7132" t="s">
        <v>31900</v>
      </c>
      <c r="N7132" t="s">
        <v>32524</v>
      </c>
      <c r="O7132" t="s">
        <v>32525</v>
      </c>
      <c r="P7132">
        <v>0</v>
      </c>
      <c r="Q7132">
        <v>0</v>
      </c>
      <c r="R7132" t="s">
        <v>32532</v>
      </c>
      <c r="S7132" t="s">
        <v>32616</v>
      </c>
      <c r="T7132" t="s">
        <v>33406</v>
      </c>
      <c r="U7132" t="s">
        <v>39590</v>
      </c>
      <c r="W7132" t="s">
        <v>31900</v>
      </c>
      <c r="X7132" t="s">
        <v>32533</v>
      </c>
    </row>
    <row r="7133" spans="1:24">
      <c r="A7133">
        <f>HYPERLINK("https://www.philgeps.gov.ph/GEPSNONPILOT/Tender/SplashBidNoticeAbstractUI.aspx?menuIndex=3&amp;refID=7038056&amp;Result=3","7038056")</f>
        <v>0</v>
      </c>
      <c r="B7133" t="s">
        <v>2146</v>
      </c>
      <c r="C7133" t="s">
        <v>9489</v>
      </c>
      <c r="D7133" t="s">
        <v>12990</v>
      </c>
      <c r="E7133" t="s">
        <v>13318</v>
      </c>
      <c r="F7133" t="s">
        <v>22436</v>
      </c>
      <c r="G7133" t="s">
        <v>22444</v>
      </c>
      <c r="H7133" t="s">
        <v>22452</v>
      </c>
      <c r="I7133" t="s">
        <v>3529</v>
      </c>
      <c r="J7133" t="s">
        <v>27191</v>
      </c>
      <c r="K7133" t="s">
        <v>29341</v>
      </c>
      <c r="M7133" t="s">
        <v>31898</v>
      </c>
      <c r="N7133" t="s">
        <v>32524</v>
      </c>
      <c r="O7133" t="s">
        <v>32525</v>
      </c>
      <c r="P7133">
        <v>0</v>
      </c>
      <c r="Q7133">
        <v>0</v>
      </c>
      <c r="R7133" t="s">
        <v>32532</v>
      </c>
      <c r="S7133" t="s">
        <v>32616</v>
      </c>
      <c r="T7133" t="s">
        <v>33230</v>
      </c>
      <c r="U7133" t="s">
        <v>39591</v>
      </c>
      <c r="W7133" t="s">
        <v>31898</v>
      </c>
      <c r="X7133" t="s">
        <v>32533</v>
      </c>
    </row>
    <row r="7134" spans="1:24">
      <c r="A7134">
        <f>HYPERLINK("https://www.philgeps.gov.ph/GEPSNONPILOT/Tender/SplashBidNoticeAbstractUI.aspx?menuIndex=3&amp;refID=7038015&amp;Result=3","7038015")</f>
        <v>0</v>
      </c>
      <c r="B7134" t="s">
        <v>2114</v>
      </c>
      <c r="C7134" t="s">
        <v>9490</v>
      </c>
      <c r="D7134" t="s">
        <v>13057</v>
      </c>
      <c r="E7134" t="s">
        <v>19365</v>
      </c>
      <c r="F7134" t="s">
        <v>22436</v>
      </c>
      <c r="G7134" t="s">
        <v>22444</v>
      </c>
      <c r="H7134" t="s">
        <v>22454</v>
      </c>
      <c r="I7134" t="s">
        <v>7738</v>
      </c>
      <c r="J7134" t="s">
        <v>27192</v>
      </c>
      <c r="K7134" t="s">
        <v>29333</v>
      </c>
      <c r="M7134" t="s">
        <v>31865</v>
      </c>
      <c r="N7134" t="s">
        <v>32524</v>
      </c>
      <c r="O7134" t="s">
        <v>32525</v>
      </c>
      <c r="P7134">
        <v>0</v>
      </c>
      <c r="Q7134">
        <v>9</v>
      </c>
      <c r="R7134" t="s">
        <v>32532</v>
      </c>
      <c r="S7134" t="s">
        <v>32616</v>
      </c>
      <c r="T7134" t="s">
        <v>33242</v>
      </c>
      <c r="U7134" t="s">
        <v>39592</v>
      </c>
      <c r="W7134" t="s">
        <v>31865</v>
      </c>
      <c r="X7134" t="s">
        <v>32533</v>
      </c>
    </row>
    <row r="7135" spans="1:24">
      <c r="A7135">
        <f>HYPERLINK("https://www.philgeps.gov.ph/GEPSNONPILOT/Tender/SplashBidNoticeAbstractUI.aspx?menuIndex=3&amp;refID=7038033&amp;Result=3","7038033")</f>
        <v>0</v>
      </c>
      <c r="B7135" t="s">
        <v>2114</v>
      </c>
      <c r="C7135" t="s">
        <v>9491</v>
      </c>
      <c r="D7135" t="s">
        <v>13057</v>
      </c>
      <c r="E7135" t="s">
        <v>19366</v>
      </c>
      <c r="F7135" t="s">
        <v>22436</v>
      </c>
      <c r="G7135" t="s">
        <v>22444</v>
      </c>
      <c r="H7135" t="s">
        <v>22454</v>
      </c>
      <c r="I7135" t="s">
        <v>7738</v>
      </c>
      <c r="J7135" t="s">
        <v>27193</v>
      </c>
      <c r="K7135" t="s">
        <v>29334</v>
      </c>
      <c r="M7135" t="s">
        <v>31865</v>
      </c>
      <c r="N7135" t="s">
        <v>32524</v>
      </c>
      <c r="O7135" t="s">
        <v>32525</v>
      </c>
      <c r="P7135">
        <v>0</v>
      </c>
      <c r="Q7135">
        <v>7</v>
      </c>
      <c r="R7135" t="s">
        <v>32532</v>
      </c>
      <c r="S7135" t="s">
        <v>32616</v>
      </c>
      <c r="T7135" t="s">
        <v>33242</v>
      </c>
      <c r="U7135" t="s">
        <v>39593</v>
      </c>
      <c r="W7135" t="s">
        <v>31865</v>
      </c>
      <c r="X7135" t="s">
        <v>32533</v>
      </c>
    </row>
    <row r="7136" spans="1:24">
      <c r="A7136">
        <f>HYPERLINK("https://www.philgeps.gov.ph/GEPSNONPILOT/Tender/SplashBidNoticeAbstractUI.aspx?menuIndex=3&amp;refID=7038077&amp;Result=3","7038077")</f>
        <v>0</v>
      </c>
      <c r="B7136" t="s">
        <v>2149</v>
      </c>
      <c r="C7136" t="s">
        <v>9492</v>
      </c>
      <c r="D7136" t="s">
        <v>13033</v>
      </c>
      <c r="E7136" t="s">
        <v>19367</v>
      </c>
      <c r="F7136" t="s">
        <v>22436</v>
      </c>
      <c r="G7136" t="s">
        <v>22450</v>
      </c>
      <c r="H7136" t="s">
        <v>22454</v>
      </c>
      <c r="I7136" t="s">
        <v>7738</v>
      </c>
      <c r="J7136" t="s">
        <v>27194</v>
      </c>
      <c r="K7136" t="s">
        <v>29334</v>
      </c>
      <c r="M7136" t="s">
        <v>31901</v>
      </c>
      <c r="N7136" t="s">
        <v>32524</v>
      </c>
      <c r="O7136" t="s">
        <v>32525</v>
      </c>
      <c r="P7136">
        <v>0</v>
      </c>
      <c r="Q7136">
        <v>2</v>
      </c>
      <c r="R7136" t="s">
        <v>32532</v>
      </c>
      <c r="S7136" t="s">
        <v>32616</v>
      </c>
      <c r="T7136" t="s">
        <v>33468</v>
      </c>
      <c r="U7136" t="s">
        <v>39594</v>
      </c>
      <c r="W7136" t="s">
        <v>31901</v>
      </c>
      <c r="X7136" t="s">
        <v>32533</v>
      </c>
    </row>
    <row r="7137" spans="1:24">
      <c r="A7137">
        <f>HYPERLINK("https://www.philgeps.gov.ph/GEPSNONPILOT/Tender/SplashBidNoticeAbstractUI.aspx?menuIndex=3&amp;refID=7038055&amp;Result=3","7038055")</f>
        <v>0</v>
      </c>
      <c r="B7137" t="s">
        <v>353</v>
      </c>
      <c r="C7137" t="s">
        <v>9493</v>
      </c>
      <c r="D7137" t="s">
        <v>13034</v>
      </c>
      <c r="E7137" t="s">
        <v>19368</v>
      </c>
      <c r="F7137" t="s">
        <v>22436</v>
      </c>
      <c r="G7137" t="s">
        <v>22444</v>
      </c>
      <c r="H7137" t="s">
        <v>22454</v>
      </c>
      <c r="I7137" t="s">
        <v>7738</v>
      </c>
      <c r="J7137" t="s">
        <v>27195</v>
      </c>
      <c r="K7137" t="s">
        <v>29433</v>
      </c>
      <c r="M7137" t="s">
        <v>29930</v>
      </c>
      <c r="N7137" t="s">
        <v>32524</v>
      </c>
      <c r="O7137" t="s">
        <v>32525</v>
      </c>
      <c r="P7137">
        <v>0</v>
      </c>
      <c r="Q7137">
        <v>0</v>
      </c>
      <c r="R7137" t="s">
        <v>32532</v>
      </c>
      <c r="S7137" t="s">
        <v>32616</v>
      </c>
      <c r="T7137" t="s">
        <v>33249</v>
      </c>
      <c r="U7137" t="s">
        <v>39595</v>
      </c>
      <c r="W7137" t="s">
        <v>29930</v>
      </c>
      <c r="X7137" t="s">
        <v>32533</v>
      </c>
    </row>
    <row r="7138" spans="1:24">
      <c r="A7138">
        <f>HYPERLINK("https://www.philgeps.gov.ph/GEPSNONPILOT/Tender/SplashBidNoticeAbstractUI.aspx?menuIndex=3&amp;refID=7038074&amp;Result=3","7038074")</f>
        <v>0</v>
      </c>
      <c r="B7138" t="s">
        <v>353</v>
      </c>
      <c r="C7138" t="s">
        <v>9494</v>
      </c>
      <c r="D7138" t="s">
        <v>13034</v>
      </c>
      <c r="E7138" t="s">
        <v>19369</v>
      </c>
      <c r="F7138" t="s">
        <v>22436</v>
      </c>
      <c r="G7138" t="s">
        <v>22444</v>
      </c>
      <c r="H7138" t="s">
        <v>22454</v>
      </c>
      <c r="I7138" t="s">
        <v>7738</v>
      </c>
      <c r="J7138" t="s">
        <v>22893</v>
      </c>
      <c r="K7138" t="s">
        <v>29362</v>
      </c>
      <c r="M7138" t="s">
        <v>29930</v>
      </c>
      <c r="N7138" t="s">
        <v>32524</v>
      </c>
      <c r="O7138" t="s">
        <v>32525</v>
      </c>
      <c r="P7138">
        <v>0</v>
      </c>
      <c r="Q7138">
        <v>0</v>
      </c>
      <c r="R7138" t="s">
        <v>32532</v>
      </c>
      <c r="S7138" t="s">
        <v>32616</v>
      </c>
      <c r="T7138" t="s">
        <v>33340</v>
      </c>
      <c r="U7138" t="s">
        <v>39596</v>
      </c>
      <c r="W7138" t="s">
        <v>29930</v>
      </c>
      <c r="X7138" t="s">
        <v>32533</v>
      </c>
    </row>
    <row r="7139" spans="1:24">
      <c r="A7139">
        <f>HYPERLINK("https://www.philgeps.gov.ph/GEPSNONPILOT/Tender/SplashBidNoticeAbstractUI.aspx?menuIndex=3&amp;refID=7038044&amp;Result=3","7038044")</f>
        <v>0</v>
      </c>
      <c r="B7139" t="s">
        <v>2144</v>
      </c>
      <c r="C7139" t="s">
        <v>9495</v>
      </c>
      <c r="D7139" t="s">
        <v>13031</v>
      </c>
      <c r="E7139" t="s">
        <v>19370</v>
      </c>
      <c r="F7139" t="s">
        <v>22437</v>
      </c>
      <c r="G7139" t="s">
        <v>22443</v>
      </c>
      <c r="H7139" t="s">
        <v>22452</v>
      </c>
      <c r="I7139" t="s">
        <v>22501</v>
      </c>
      <c r="J7139" t="s">
        <v>27196</v>
      </c>
      <c r="K7139" t="s">
        <v>29338</v>
      </c>
      <c r="M7139" t="s">
        <v>31896</v>
      </c>
      <c r="N7139" t="s">
        <v>32524</v>
      </c>
      <c r="O7139" t="s">
        <v>32525</v>
      </c>
      <c r="P7139">
        <v>0</v>
      </c>
      <c r="Q7139">
        <v>0</v>
      </c>
      <c r="R7139" t="s">
        <v>32532</v>
      </c>
      <c r="S7139" t="s">
        <v>32616</v>
      </c>
      <c r="T7139" t="s">
        <v>33322</v>
      </c>
      <c r="U7139" t="s">
        <v>39597</v>
      </c>
      <c r="W7139" t="s">
        <v>31896</v>
      </c>
      <c r="X7139" t="s">
        <v>32533</v>
      </c>
    </row>
    <row r="7140" spans="1:24">
      <c r="A7140">
        <f>HYPERLINK("https://www.philgeps.gov.ph/GEPSNONPILOT/Tender/SplashBidNoticeAbstractUI.aspx?menuIndex=3&amp;refID=7038087&amp;Result=3","7038087")</f>
        <v>0</v>
      </c>
      <c r="B7140" t="s">
        <v>2150</v>
      </c>
      <c r="C7140" t="s">
        <v>9496</v>
      </c>
      <c r="D7140" t="s">
        <v>12993</v>
      </c>
      <c r="E7140" t="s">
        <v>19371</v>
      </c>
      <c r="F7140" t="s">
        <v>22436</v>
      </c>
      <c r="G7140" t="s">
        <v>22444</v>
      </c>
      <c r="H7140" t="s">
        <v>22452</v>
      </c>
      <c r="I7140" t="s">
        <v>3529</v>
      </c>
      <c r="J7140" t="s">
        <v>22788</v>
      </c>
      <c r="K7140" t="s">
        <v>29336</v>
      </c>
      <c r="M7140" t="s">
        <v>31902</v>
      </c>
      <c r="N7140" t="s">
        <v>32524</v>
      </c>
      <c r="O7140" t="s">
        <v>32525</v>
      </c>
      <c r="P7140">
        <v>0</v>
      </c>
      <c r="Q7140">
        <v>1</v>
      </c>
      <c r="R7140" t="s">
        <v>32532</v>
      </c>
      <c r="S7140" t="s">
        <v>32616</v>
      </c>
      <c r="T7140" t="s">
        <v>33372</v>
      </c>
      <c r="U7140" t="s">
        <v>39598</v>
      </c>
      <c r="W7140" t="s">
        <v>31902</v>
      </c>
      <c r="X7140" t="s">
        <v>32533</v>
      </c>
    </row>
    <row r="7141" spans="1:24">
      <c r="A7141">
        <f>HYPERLINK("https://www.philgeps.gov.ph/GEPSNONPILOT/Tender/SplashBidNoticeAbstractUI.aspx?menuIndex=3&amp;refID=7038061&amp;Result=3","7038061")</f>
        <v>0</v>
      </c>
      <c r="B7141" t="s">
        <v>2140</v>
      </c>
      <c r="C7141" t="s">
        <v>9497</v>
      </c>
      <c r="D7141" t="s">
        <v>13068</v>
      </c>
      <c r="E7141" t="s">
        <v>19372</v>
      </c>
      <c r="F7141" t="s">
        <v>22437</v>
      </c>
      <c r="G7141" t="s">
        <v>22443</v>
      </c>
      <c r="H7141" t="s">
        <v>22452</v>
      </c>
      <c r="I7141" t="s">
        <v>7738</v>
      </c>
      <c r="J7141" t="s">
        <v>22605</v>
      </c>
      <c r="K7141" t="s">
        <v>29341</v>
      </c>
      <c r="M7141" t="s">
        <v>31892</v>
      </c>
      <c r="N7141" t="s">
        <v>32524</v>
      </c>
      <c r="O7141" t="s">
        <v>32525</v>
      </c>
      <c r="P7141">
        <v>0</v>
      </c>
      <c r="Q7141">
        <v>0</v>
      </c>
      <c r="R7141" t="s">
        <v>32532</v>
      </c>
      <c r="S7141" t="s">
        <v>32616</v>
      </c>
      <c r="T7141" t="s">
        <v>33238</v>
      </c>
      <c r="U7141" t="s">
        <v>39599</v>
      </c>
      <c r="W7141" t="s">
        <v>31892</v>
      </c>
      <c r="X7141" t="s">
        <v>32533</v>
      </c>
    </row>
    <row r="7142" spans="1:24">
      <c r="A7142">
        <f>HYPERLINK("https://www.philgeps.gov.ph/GEPSNONPILOT/Tender/SplashBidNoticeAbstractUI.aspx?menuIndex=3&amp;refID=7038026&amp;Result=3","7038026")</f>
        <v>0</v>
      </c>
      <c r="B7142" t="s">
        <v>2151</v>
      </c>
      <c r="C7142" t="s">
        <v>9498</v>
      </c>
      <c r="D7142" t="s">
        <v>13067</v>
      </c>
      <c r="E7142" t="s">
        <v>14018</v>
      </c>
      <c r="F7142" t="s">
        <v>22436</v>
      </c>
      <c r="G7142" t="s">
        <v>22444</v>
      </c>
      <c r="H7142" t="s">
        <v>22454</v>
      </c>
      <c r="I7142" t="s">
        <v>7738</v>
      </c>
      <c r="J7142" t="s">
        <v>26337</v>
      </c>
      <c r="K7142" t="s">
        <v>29337</v>
      </c>
      <c r="M7142" t="s">
        <v>31903</v>
      </c>
      <c r="N7142" t="s">
        <v>32524</v>
      </c>
      <c r="O7142" t="s">
        <v>32525</v>
      </c>
      <c r="P7142">
        <v>0</v>
      </c>
      <c r="Q7142">
        <v>1</v>
      </c>
      <c r="R7142" t="s">
        <v>32532</v>
      </c>
      <c r="S7142" t="s">
        <v>32616</v>
      </c>
      <c r="T7142" t="s">
        <v>33229</v>
      </c>
      <c r="U7142" t="s">
        <v>39600</v>
      </c>
      <c r="W7142" t="s">
        <v>31903</v>
      </c>
      <c r="X7142" t="s">
        <v>32533</v>
      </c>
    </row>
    <row r="7143" spans="1:24">
      <c r="A7143">
        <f>HYPERLINK("https://www.philgeps.gov.ph/GEPSNONPILOT/Tender/SplashBidNoticeAbstractUI.aspx?menuIndex=3&amp;refID=7038075&amp;Result=3","7038075")</f>
        <v>0</v>
      </c>
      <c r="B7143" t="s">
        <v>576</v>
      </c>
      <c r="C7143" t="s">
        <v>9499</v>
      </c>
      <c r="D7143" t="s">
        <v>13016</v>
      </c>
      <c r="E7143" t="s">
        <v>19373</v>
      </c>
      <c r="F7143" t="s">
        <v>22436</v>
      </c>
      <c r="G7143" t="s">
        <v>22444</v>
      </c>
      <c r="H7143" t="s">
        <v>22452</v>
      </c>
      <c r="I7143" t="s">
        <v>3529</v>
      </c>
      <c r="J7143" t="s">
        <v>27197</v>
      </c>
      <c r="K7143" t="s">
        <v>29341</v>
      </c>
      <c r="M7143" t="s">
        <v>30164</v>
      </c>
      <c r="N7143" t="s">
        <v>32524</v>
      </c>
      <c r="O7143" t="s">
        <v>32525</v>
      </c>
      <c r="P7143">
        <v>0</v>
      </c>
      <c r="Q7143">
        <v>0</v>
      </c>
      <c r="R7143" t="s">
        <v>32532</v>
      </c>
      <c r="S7143" t="s">
        <v>32616</v>
      </c>
      <c r="T7143" t="s">
        <v>33191</v>
      </c>
      <c r="U7143" t="s">
        <v>39601</v>
      </c>
      <c r="V7143" t="s">
        <v>43208</v>
      </c>
      <c r="W7143" t="s">
        <v>30164</v>
      </c>
      <c r="X7143" t="s">
        <v>32533</v>
      </c>
    </row>
    <row r="7144" spans="1:24">
      <c r="A7144">
        <f>HYPERLINK("https://www.philgeps.gov.ph/GEPSNONPILOT/Tender/SplashBidNoticeAbstractUI.aspx?menuIndex=3&amp;refID=7038084&amp;Result=3","7038084")</f>
        <v>0</v>
      </c>
      <c r="B7144" t="s">
        <v>2150</v>
      </c>
      <c r="C7144" t="s">
        <v>9500</v>
      </c>
      <c r="D7144" t="s">
        <v>12993</v>
      </c>
      <c r="E7144" t="s">
        <v>19374</v>
      </c>
      <c r="F7144" t="s">
        <v>22436</v>
      </c>
      <c r="G7144" t="s">
        <v>22444</v>
      </c>
      <c r="H7144" t="s">
        <v>22452</v>
      </c>
      <c r="I7144" t="s">
        <v>22467</v>
      </c>
      <c r="J7144" t="s">
        <v>27198</v>
      </c>
      <c r="K7144" t="s">
        <v>29336</v>
      </c>
      <c r="M7144" t="s">
        <v>31902</v>
      </c>
      <c r="N7144" t="s">
        <v>32524</v>
      </c>
      <c r="O7144" t="s">
        <v>32525</v>
      </c>
      <c r="P7144">
        <v>0</v>
      </c>
      <c r="Q7144">
        <v>0</v>
      </c>
      <c r="R7144" t="s">
        <v>32532</v>
      </c>
      <c r="S7144" t="s">
        <v>32616</v>
      </c>
      <c r="T7144" t="s">
        <v>33372</v>
      </c>
      <c r="U7144" t="s">
        <v>39602</v>
      </c>
      <c r="W7144" t="s">
        <v>31902</v>
      </c>
      <c r="X7144" t="s">
        <v>32533</v>
      </c>
    </row>
    <row r="7145" spans="1:24">
      <c r="A7145">
        <f>HYPERLINK("https://www.philgeps.gov.ph/GEPSNONPILOT/Tender/SplashBidNoticeAbstractUI.aspx?menuIndex=3&amp;refID=7038083&amp;Result=3","7038083")</f>
        <v>0</v>
      </c>
      <c r="B7145" t="s">
        <v>576</v>
      </c>
      <c r="C7145" t="s">
        <v>9501</v>
      </c>
      <c r="D7145" t="s">
        <v>13016</v>
      </c>
      <c r="E7145" t="s">
        <v>19375</v>
      </c>
      <c r="F7145" t="s">
        <v>22436</v>
      </c>
      <c r="G7145" t="s">
        <v>22444</v>
      </c>
      <c r="H7145" t="s">
        <v>22452</v>
      </c>
      <c r="I7145" t="s">
        <v>3529</v>
      </c>
      <c r="J7145" t="s">
        <v>27199</v>
      </c>
      <c r="K7145" t="s">
        <v>29341</v>
      </c>
      <c r="M7145" t="s">
        <v>30164</v>
      </c>
      <c r="N7145" t="s">
        <v>32524</v>
      </c>
      <c r="O7145" t="s">
        <v>32525</v>
      </c>
      <c r="P7145">
        <v>0</v>
      </c>
      <c r="Q7145">
        <v>0</v>
      </c>
      <c r="R7145" t="s">
        <v>32532</v>
      </c>
      <c r="S7145" t="s">
        <v>32616</v>
      </c>
      <c r="T7145" t="s">
        <v>33191</v>
      </c>
      <c r="U7145" t="s">
        <v>39603</v>
      </c>
      <c r="V7145" t="s">
        <v>43208</v>
      </c>
      <c r="W7145" t="s">
        <v>30164</v>
      </c>
      <c r="X7145" t="s">
        <v>32533</v>
      </c>
    </row>
    <row r="7146" spans="1:24">
      <c r="A7146">
        <f>HYPERLINK("https://www.philgeps.gov.ph/GEPSNONPILOT/Tender/SplashBidNoticeAbstractUI.aspx?menuIndex=3&amp;refID=7038081&amp;Result=3","7038081")</f>
        <v>0</v>
      </c>
      <c r="B7146" t="s">
        <v>2152</v>
      </c>
      <c r="C7146" t="s">
        <v>9502</v>
      </c>
      <c r="D7146" t="s">
        <v>12996</v>
      </c>
      <c r="E7146" t="s">
        <v>19376</v>
      </c>
      <c r="F7146" t="s">
        <v>22436</v>
      </c>
      <c r="G7146" t="s">
        <v>22444</v>
      </c>
      <c r="H7146" t="s">
        <v>22452</v>
      </c>
      <c r="I7146" t="s">
        <v>22461</v>
      </c>
      <c r="J7146" t="s">
        <v>23356</v>
      </c>
      <c r="K7146" t="s">
        <v>29341</v>
      </c>
      <c r="M7146" t="s">
        <v>31904</v>
      </c>
      <c r="N7146" t="s">
        <v>32524</v>
      </c>
      <c r="O7146" t="s">
        <v>32525</v>
      </c>
      <c r="P7146">
        <v>0</v>
      </c>
      <c r="Q7146">
        <v>3</v>
      </c>
      <c r="R7146" t="s">
        <v>32532</v>
      </c>
      <c r="S7146" t="s">
        <v>32616</v>
      </c>
      <c r="T7146" t="s">
        <v>33296</v>
      </c>
      <c r="U7146" t="s">
        <v>39604</v>
      </c>
      <c r="W7146" t="s">
        <v>31904</v>
      </c>
      <c r="X7146" t="s">
        <v>32533</v>
      </c>
    </row>
    <row r="7147" spans="1:24">
      <c r="A7147">
        <f>HYPERLINK("https://www.philgeps.gov.ph/GEPSNONPILOT/Tender/SplashBidNoticeAbstractUI.aspx?menuIndex=3&amp;refID=7038086&amp;Result=3","7038086")</f>
        <v>0</v>
      </c>
      <c r="B7147" t="s">
        <v>2149</v>
      </c>
      <c r="C7147" t="s">
        <v>9503</v>
      </c>
      <c r="D7147" t="s">
        <v>13033</v>
      </c>
      <c r="E7147" t="s">
        <v>19377</v>
      </c>
      <c r="F7147" t="s">
        <v>22436</v>
      </c>
      <c r="G7147" t="s">
        <v>22450</v>
      </c>
      <c r="H7147" t="s">
        <v>22454</v>
      </c>
      <c r="I7147" t="s">
        <v>7738</v>
      </c>
      <c r="J7147" t="s">
        <v>27200</v>
      </c>
      <c r="K7147" t="s">
        <v>29334</v>
      </c>
      <c r="M7147" t="s">
        <v>31901</v>
      </c>
      <c r="N7147" t="s">
        <v>32524</v>
      </c>
      <c r="O7147" t="s">
        <v>32525</v>
      </c>
      <c r="P7147">
        <v>0</v>
      </c>
      <c r="Q7147">
        <v>2</v>
      </c>
      <c r="R7147" t="s">
        <v>32532</v>
      </c>
      <c r="S7147" t="s">
        <v>32616</v>
      </c>
      <c r="T7147" t="s">
        <v>33510</v>
      </c>
      <c r="U7147" t="s">
        <v>39605</v>
      </c>
      <c r="W7147" t="s">
        <v>31901</v>
      </c>
      <c r="X7147" t="s">
        <v>32533</v>
      </c>
    </row>
    <row r="7148" spans="1:24">
      <c r="A7148">
        <f>HYPERLINK("https://www.philgeps.gov.ph/GEPSNONPILOT/Tender/SplashBidNoticeAbstractUI.aspx?menuIndex=3&amp;refID=7038024&amp;Result=3","7038024")</f>
        <v>0</v>
      </c>
      <c r="B7148" t="s">
        <v>2114</v>
      </c>
      <c r="C7148" t="s">
        <v>9504</v>
      </c>
      <c r="D7148" t="s">
        <v>13057</v>
      </c>
      <c r="E7148" t="s">
        <v>19378</v>
      </c>
      <c r="F7148" t="s">
        <v>22436</v>
      </c>
      <c r="G7148" t="s">
        <v>22444</v>
      </c>
      <c r="H7148" t="s">
        <v>22454</v>
      </c>
      <c r="I7148" t="s">
        <v>7738</v>
      </c>
      <c r="J7148" t="s">
        <v>27201</v>
      </c>
      <c r="K7148" t="s">
        <v>29347</v>
      </c>
      <c r="M7148" t="s">
        <v>31865</v>
      </c>
      <c r="N7148" t="s">
        <v>32524</v>
      </c>
      <c r="O7148" t="s">
        <v>32525</v>
      </c>
      <c r="P7148">
        <v>0</v>
      </c>
      <c r="Q7148">
        <v>6</v>
      </c>
      <c r="R7148" t="s">
        <v>32532</v>
      </c>
      <c r="S7148" t="s">
        <v>32616</v>
      </c>
      <c r="T7148" t="s">
        <v>33242</v>
      </c>
      <c r="U7148" t="s">
        <v>39606</v>
      </c>
      <c r="W7148" t="s">
        <v>31865</v>
      </c>
      <c r="X7148" t="s">
        <v>32533</v>
      </c>
    </row>
    <row r="7149" spans="1:24">
      <c r="A7149">
        <f>HYPERLINK("https://www.philgeps.gov.ph/GEPSNONPILOT/Tender/SplashBidNoticeAbstractUI.aspx?menuIndex=3&amp;refID=7038079&amp;Result=3","7038079")</f>
        <v>0</v>
      </c>
      <c r="B7149" t="s">
        <v>2152</v>
      </c>
      <c r="C7149" t="s">
        <v>9505</v>
      </c>
      <c r="D7149" t="s">
        <v>12996</v>
      </c>
      <c r="E7149" t="s">
        <v>19379</v>
      </c>
      <c r="F7149" t="s">
        <v>22436</v>
      </c>
      <c r="G7149" t="s">
        <v>22444</v>
      </c>
      <c r="H7149" t="s">
        <v>22454</v>
      </c>
      <c r="I7149" t="s">
        <v>7738</v>
      </c>
      <c r="J7149" t="s">
        <v>27202</v>
      </c>
      <c r="K7149" t="s">
        <v>29341</v>
      </c>
      <c r="M7149" t="s">
        <v>31904</v>
      </c>
      <c r="N7149" t="s">
        <v>32524</v>
      </c>
      <c r="O7149" t="s">
        <v>32525</v>
      </c>
      <c r="P7149">
        <v>0</v>
      </c>
      <c r="Q7149">
        <v>1</v>
      </c>
      <c r="R7149" t="s">
        <v>32532</v>
      </c>
      <c r="S7149" t="s">
        <v>32616</v>
      </c>
      <c r="T7149" t="s">
        <v>33296</v>
      </c>
      <c r="U7149" t="s">
        <v>39607</v>
      </c>
      <c r="W7149" t="s">
        <v>31904</v>
      </c>
      <c r="X7149" t="s">
        <v>32533</v>
      </c>
    </row>
    <row r="7150" spans="1:24">
      <c r="A7150">
        <f>HYPERLINK("https://www.philgeps.gov.ph/GEPSNONPILOT/Tender/SplashBidNoticeAbstractUI.aspx?menuIndex=3&amp;refID=7038065&amp;Result=3","7038065")</f>
        <v>0</v>
      </c>
      <c r="B7150" t="s">
        <v>2152</v>
      </c>
      <c r="C7150" t="s">
        <v>9506</v>
      </c>
      <c r="D7150" t="s">
        <v>12996</v>
      </c>
      <c r="E7150" t="s">
        <v>19380</v>
      </c>
      <c r="F7150" t="s">
        <v>22436</v>
      </c>
      <c r="G7150" t="s">
        <v>22444</v>
      </c>
      <c r="H7150" t="s">
        <v>22454</v>
      </c>
      <c r="I7150" t="s">
        <v>7738</v>
      </c>
      <c r="J7150" t="s">
        <v>27203</v>
      </c>
      <c r="K7150" t="s">
        <v>29355</v>
      </c>
      <c r="M7150" t="s">
        <v>31904</v>
      </c>
      <c r="N7150" t="s">
        <v>32524</v>
      </c>
      <c r="O7150" t="s">
        <v>32525</v>
      </c>
      <c r="P7150">
        <v>0</v>
      </c>
      <c r="Q7150">
        <v>1</v>
      </c>
      <c r="R7150" t="s">
        <v>32532</v>
      </c>
      <c r="S7150" t="s">
        <v>32616</v>
      </c>
      <c r="T7150" t="s">
        <v>33296</v>
      </c>
      <c r="U7150" t="s">
        <v>39608</v>
      </c>
      <c r="W7150" t="s">
        <v>31904</v>
      </c>
      <c r="X7150" t="s">
        <v>32533</v>
      </c>
    </row>
    <row r="7151" spans="1:24">
      <c r="A7151">
        <f>HYPERLINK("https://www.philgeps.gov.ph/GEPSNONPILOT/Tender/SplashBidNoticeAbstractUI.aspx?menuIndex=3&amp;refID=7038082&amp;Result=3","7038082")</f>
        <v>0</v>
      </c>
      <c r="B7151" t="s">
        <v>576</v>
      </c>
      <c r="C7151" t="s">
        <v>9507</v>
      </c>
      <c r="D7151" t="s">
        <v>13016</v>
      </c>
      <c r="E7151" t="s">
        <v>19381</v>
      </c>
      <c r="F7151" t="s">
        <v>22436</v>
      </c>
      <c r="G7151" t="s">
        <v>22444</v>
      </c>
      <c r="H7151" t="s">
        <v>22452</v>
      </c>
      <c r="I7151" t="s">
        <v>3529</v>
      </c>
      <c r="J7151" t="s">
        <v>27204</v>
      </c>
      <c r="K7151" t="s">
        <v>29341</v>
      </c>
      <c r="M7151" t="s">
        <v>30164</v>
      </c>
      <c r="N7151" t="s">
        <v>32524</v>
      </c>
      <c r="O7151" t="s">
        <v>32525</v>
      </c>
      <c r="P7151">
        <v>0</v>
      </c>
      <c r="Q7151">
        <v>0</v>
      </c>
      <c r="R7151" t="s">
        <v>32532</v>
      </c>
      <c r="S7151" t="s">
        <v>32616</v>
      </c>
      <c r="T7151" t="s">
        <v>33191</v>
      </c>
      <c r="U7151" t="s">
        <v>39609</v>
      </c>
      <c r="V7151" t="s">
        <v>43208</v>
      </c>
      <c r="W7151" t="s">
        <v>30164</v>
      </c>
      <c r="X7151" t="s">
        <v>32533</v>
      </c>
    </row>
    <row r="7152" spans="1:24">
      <c r="A7152">
        <f>HYPERLINK("https://www.philgeps.gov.ph/GEPSNONPILOT/Tender/SplashBidNoticeAbstractUI.aspx?menuIndex=3&amp;refID=7038063&amp;Result=3","7038063")</f>
        <v>0</v>
      </c>
      <c r="B7152" t="s">
        <v>576</v>
      </c>
      <c r="C7152" t="s">
        <v>9508</v>
      </c>
      <c r="D7152" t="s">
        <v>13016</v>
      </c>
      <c r="E7152" t="s">
        <v>19382</v>
      </c>
      <c r="F7152" t="s">
        <v>22436</v>
      </c>
      <c r="G7152" t="s">
        <v>22444</v>
      </c>
      <c r="H7152" t="s">
        <v>22452</v>
      </c>
      <c r="I7152" t="s">
        <v>2981</v>
      </c>
      <c r="J7152" t="s">
        <v>27205</v>
      </c>
      <c r="K7152" t="s">
        <v>29341</v>
      </c>
      <c r="M7152" t="s">
        <v>30164</v>
      </c>
      <c r="N7152" t="s">
        <v>32524</v>
      </c>
      <c r="O7152" t="s">
        <v>32525</v>
      </c>
      <c r="P7152">
        <v>0</v>
      </c>
      <c r="Q7152">
        <v>0</v>
      </c>
      <c r="R7152" t="s">
        <v>32532</v>
      </c>
      <c r="S7152" t="s">
        <v>32616</v>
      </c>
      <c r="T7152" t="s">
        <v>33191</v>
      </c>
      <c r="U7152" t="s">
        <v>39610</v>
      </c>
      <c r="V7152" t="s">
        <v>43208</v>
      </c>
      <c r="W7152" t="s">
        <v>30164</v>
      </c>
      <c r="X7152" t="s">
        <v>32533</v>
      </c>
    </row>
    <row r="7153" spans="1:24">
      <c r="A7153">
        <f>HYPERLINK("https://www.philgeps.gov.ph/GEPSNONPILOT/Tender/SplashBidNoticeAbstractUI.aspx?menuIndex=3&amp;refID=7038080&amp;Result=3","7038080")</f>
        <v>0</v>
      </c>
      <c r="B7153" t="s">
        <v>576</v>
      </c>
      <c r="C7153" t="s">
        <v>9509</v>
      </c>
      <c r="D7153" t="s">
        <v>13016</v>
      </c>
      <c r="E7153" t="s">
        <v>19383</v>
      </c>
      <c r="F7153" t="s">
        <v>22436</v>
      </c>
      <c r="G7153" t="s">
        <v>22444</v>
      </c>
      <c r="H7153" t="s">
        <v>22452</v>
      </c>
      <c r="I7153" t="s">
        <v>3529</v>
      </c>
      <c r="J7153" t="s">
        <v>27199</v>
      </c>
      <c r="K7153" t="s">
        <v>29341</v>
      </c>
      <c r="M7153" t="s">
        <v>30164</v>
      </c>
      <c r="N7153" t="s">
        <v>32524</v>
      </c>
      <c r="O7153" t="s">
        <v>32525</v>
      </c>
      <c r="P7153">
        <v>0</v>
      </c>
      <c r="Q7153">
        <v>0</v>
      </c>
      <c r="R7153" t="s">
        <v>32532</v>
      </c>
      <c r="S7153" t="s">
        <v>32616</v>
      </c>
      <c r="T7153" t="s">
        <v>33191</v>
      </c>
      <c r="U7153" t="s">
        <v>39611</v>
      </c>
      <c r="V7153" t="s">
        <v>43208</v>
      </c>
      <c r="W7153" t="s">
        <v>30164</v>
      </c>
      <c r="X7153" t="s">
        <v>32533</v>
      </c>
    </row>
    <row r="7154" spans="1:24">
      <c r="A7154">
        <f>HYPERLINK("https://www.philgeps.gov.ph/GEPSNONPILOT/Tender/SplashBidNoticeAbstractUI.aspx?menuIndex=3&amp;refID=7038078&amp;Result=3","7038078")</f>
        <v>0</v>
      </c>
      <c r="B7154" t="s">
        <v>576</v>
      </c>
      <c r="C7154" t="s">
        <v>9510</v>
      </c>
      <c r="D7154" t="s">
        <v>13016</v>
      </c>
      <c r="E7154" t="s">
        <v>19384</v>
      </c>
      <c r="F7154" t="s">
        <v>22436</v>
      </c>
      <c r="G7154" t="s">
        <v>22444</v>
      </c>
      <c r="H7154" t="s">
        <v>22452</v>
      </c>
      <c r="I7154" t="s">
        <v>3529</v>
      </c>
      <c r="J7154" t="s">
        <v>27197</v>
      </c>
      <c r="K7154" t="s">
        <v>29341</v>
      </c>
      <c r="M7154" t="s">
        <v>30164</v>
      </c>
      <c r="N7154" t="s">
        <v>32524</v>
      </c>
      <c r="O7154" t="s">
        <v>32525</v>
      </c>
      <c r="P7154">
        <v>0</v>
      </c>
      <c r="Q7154">
        <v>0</v>
      </c>
      <c r="R7154" t="s">
        <v>32532</v>
      </c>
      <c r="S7154" t="s">
        <v>32616</v>
      </c>
      <c r="T7154" t="s">
        <v>33191</v>
      </c>
      <c r="U7154" t="s">
        <v>39612</v>
      </c>
      <c r="V7154" t="s">
        <v>43209</v>
      </c>
      <c r="W7154" t="s">
        <v>30164</v>
      </c>
      <c r="X7154" t="s">
        <v>32533</v>
      </c>
    </row>
    <row r="7155" spans="1:24">
      <c r="A7155">
        <f>HYPERLINK("https://www.philgeps.gov.ph/GEPSNONPILOT/Tender/SplashBidNoticeAbstractUI.aspx?menuIndex=3&amp;refID=7038097&amp;Result=3","7038097")</f>
        <v>0</v>
      </c>
      <c r="B7155" t="s">
        <v>576</v>
      </c>
      <c r="C7155" t="s">
        <v>9511</v>
      </c>
      <c r="D7155" t="s">
        <v>13016</v>
      </c>
      <c r="E7155" t="s">
        <v>19385</v>
      </c>
      <c r="F7155" t="s">
        <v>22436</v>
      </c>
      <c r="G7155" t="s">
        <v>22444</v>
      </c>
      <c r="H7155" t="s">
        <v>22452</v>
      </c>
      <c r="I7155" t="s">
        <v>3529</v>
      </c>
      <c r="J7155" t="s">
        <v>27199</v>
      </c>
      <c r="K7155" t="s">
        <v>29341</v>
      </c>
      <c r="M7155" t="s">
        <v>30164</v>
      </c>
      <c r="N7155" t="s">
        <v>32524</v>
      </c>
      <c r="O7155" t="s">
        <v>32525</v>
      </c>
      <c r="P7155">
        <v>0</v>
      </c>
      <c r="Q7155">
        <v>0</v>
      </c>
      <c r="R7155" t="s">
        <v>32532</v>
      </c>
      <c r="S7155" t="s">
        <v>32616</v>
      </c>
      <c r="T7155" t="s">
        <v>33232</v>
      </c>
      <c r="U7155" t="s">
        <v>39613</v>
      </c>
      <c r="V7155" t="s">
        <v>43208</v>
      </c>
      <c r="W7155" t="s">
        <v>30164</v>
      </c>
      <c r="X7155" t="s">
        <v>32533</v>
      </c>
    </row>
    <row r="7156" spans="1:24">
      <c r="A7156">
        <f>HYPERLINK("https://www.philgeps.gov.ph/GEPSNONPILOT/Tender/SplashBidNoticeAbstractUI.aspx?menuIndex=3&amp;refID=7038099&amp;Result=3","7038099")</f>
        <v>0</v>
      </c>
      <c r="B7156" t="s">
        <v>353</v>
      </c>
      <c r="C7156" t="s">
        <v>9512</v>
      </c>
      <c r="D7156" t="s">
        <v>13034</v>
      </c>
      <c r="E7156" t="s">
        <v>19386</v>
      </c>
      <c r="F7156" t="s">
        <v>22436</v>
      </c>
      <c r="G7156" t="s">
        <v>22444</v>
      </c>
      <c r="H7156" t="s">
        <v>22454</v>
      </c>
      <c r="I7156" t="s">
        <v>7738</v>
      </c>
      <c r="J7156" t="s">
        <v>27206</v>
      </c>
      <c r="K7156" t="s">
        <v>29433</v>
      </c>
      <c r="M7156" t="s">
        <v>29930</v>
      </c>
      <c r="N7156" t="s">
        <v>32524</v>
      </c>
      <c r="O7156" t="s">
        <v>32525</v>
      </c>
      <c r="P7156">
        <v>0</v>
      </c>
      <c r="Q7156">
        <v>0</v>
      </c>
      <c r="R7156" t="s">
        <v>32532</v>
      </c>
      <c r="S7156" t="s">
        <v>32616</v>
      </c>
      <c r="T7156" t="s">
        <v>33249</v>
      </c>
      <c r="U7156" t="s">
        <v>39614</v>
      </c>
      <c r="W7156" t="s">
        <v>29930</v>
      </c>
      <c r="X7156" t="s">
        <v>32533</v>
      </c>
    </row>
    <row r="7157" spans="1:24">
      <c r="A7157">
        <f>HYPERLINK("https://www.philgeps.gov.ph/GEPSNONPILOT/Tender/SplashBidNoticeAbstractUI.aspx?menuIndex=3&amp;refID=7038091&amp;Result=3","7038091")</f>
        <v>0</v>
      </c>
      <c r="B7157" t="s">
        <v>2153</v>
      </c>
      <c r="C7157" t="s">
        <v>9513</v>
      </c>
      <c r="D7157" t="s">
        <v>13011</v>
      </c>
      <c r="E7157" t="s">
        <v>19387</v>
      </c>
      <c r="F7157" t="s">
        <v>22436</v>
      </c>
      <c r="G7157" t="s">
        <v>22444</v>
      </c>
      <c r="H7157" t="s">
        <v>22452</v>
      </c>
      <c r="I7157" t="s">
        <v>22498</v>
      </c>
      <c r="J7157" t="s">
        <v>27207</v>
      </c>
      <c r="K7157" t="s">
        <v>29338</v>
      </c>
      <c r="M7157" t="s">
        <v>31905</v>
      </c>
      <c r="N7157" t="s">
        <v>32524</v>
      </c>
      <c r="O7157" t="s">
        <v>32525</v>
      </c>
      <c r="P7157">
        <v>0</v>
      </c>
      <c r="Q7157">
        <v>1</v>
      </c>
      <c r="R7157" t="s">
        <v>32532</v>
      </c>
      <c r="S7157" t="s">
        <v>32616</v>
      </c>
      <c r="T7157" t="s">
        <v>33259</v>
      </c>
      <c r="U7157" t="s">
        <v>39615</v>
      </c>
      <c r="W7157" t="s">
        <v>31905</v>
      </c>
      <c r="X7157" t="s">
        <v>32533</v>
      </c>
    </row>
    <row r="7158" spans="1:24">
      <c r="A7158">
        <f>HYPERLINK("https://www.philgeps.gov.ph/GEPSNONPILOT/Tender/SplashBidNoticeAbstractUI.aspx?menuIndex=3&amp;refID=7038089&amp;Result=3","7038089")</f>
        <v>0</v>
      </c>
      <c r="B7158" t="s">
        <v>576</v>
      </c>
      <c r="C7158" t="s">
        <v>9514</v>
      </c>
      <c r="D7158" t="s">
        <v>13016</v>
      </c>
      <c r="E7158" t="s">
        <v>19388</v>
      </c>
      <c r="F7158" t="s">
        <v>22436</v>
      </c>
      <c r="G7158" t="s">
        <v>22444</v>
      </c>
      <c r="H7158" t="s">
        <v>22452</v>
      </c>
      <c r="I7158" t="s">
        <v>3529</v>
      </c>
      <c r="J7158" t="s">
        <v>27197</v>
      </c>
      <c r="K7158" t="s">
        <v>29341</v>
      </c>
      <c r="M7158" t="s">
        <v>30164</v>
      </c>
      <c r="N7158" t="s">
        <v>32524</v>
      </c>
      <c r="O7158" t="s">
        <v>32525</v>
      </c>
      <c r="P7158">
        <v>0</v>
      </c>
      <c r="Q7158">
        <v>0</v>
      </c>
      <c r="R7158" t="s">
        <v>32532</v>
      </c>
      <c r="S7158" t="s">
        <v>32616</v>
      </c>
      <c r="T7158" t="s">
        <v>33232</v>
      </c>
      <c r="U7158" t="s">
        <v>39616</v>
      </c>
      <c r="V7158" t="s">
        <v>43208</v>
      </c>
      <c r="W7158" t="s">
        <v>30164</v>
      </c>
      <c r="X7158" t="s">
        <v>32533</v>
      </c>
    </row>
    <row r="7159" spans="1:24">
      <c r="A7159">
        <f>HYPERLINK("https://www.philgeps.gov.ph/GEPSNONPILOT/Tender/SplashBidNoticeAbstractUI.aspx?menuIndex=3&amp;refID=7038090&amp;Result=3","7038090")</f>
        <v>0</v>
      </c>
      <c r="B7159" t="s">
        <v>704</v>
      </c>
      <c r="C7159" t="s">
        <v>9515</v>
      </c>
      <c r="D7159" t="s">
        <v>12992</v>
      </c>
      <c r="E7159" t="s">
        <v>19389</v>
      </c>
      <c r="F7159" t="s">
        <v>22436</v>
      </c>
      <c r="G7159" t="s">
        <v>22444</v>
      </c>
      <c r="H7159" t="s">
        <v>22452</v>
      </c>
      <c r="I7159" t="s">
        <v>22512</v>
      </c>
      <c r="J7159" t="s">
        <v>27208</v>
      </c>
      <c r="K7159" t="s">
        <v>29341</v>
      </c>
      <c r="M7159" t="s">
        <v>30301</v>
      </c>
      <c r="N7159" t="s">
        <v>32524</v>
      </c>
      <c r="O7159" t="s">
        <v>32525</v>
      </c>
      <c r="P7159">
        <v>0</v>
      </c>
      <c r="Q7159">
        <v>0</v>
      </c>
      <c r="R7159" t="s">
        <v>32532</v>
      </c>
      <c r="S7159" t="s">
        <v>32616</v>
      </c>
      <c r="T7159" t="s">
        <v>33220</v>
      </c>
      <c r="U7159" t="s">
        <v>39617</v>
      </c>
      <c r="V7159" t="s">
        <v>42538</v>
      </c>
      <c r="W7159" t="s">
        <v>30301</v>
      </c>
      <c r="X7159" t="s">
        <v>32533</v>
      </c>
    </row>
    <row r="7160" spans="1:24">
      <c r="A7160">
        <f>HYPERLINK("https://www.philgeps.gov.ph/GEPSNONPILOT/Tender/SplashBidNoticeAbstractUI.aspx?menuIndex=3&amp;refID=7038095&amp;Result=3","7038095")</f>
        <v>0</v>
      </c>
      <c r="B7160" t="s">
        <v>576</v>
      </c>
      <c r="C7160" t="s">
        <v>9516</v>
      </c>
      <c r="D7160" t="s">
        <v>13016</v>
      </c>
      <c r="E7160" t="s">
        <v>19390</v>
      </c>
      <c r="F7160" t="s">
        <v>22436</v>
      </c>
      <c r="G7160" t="s">
        <v>22444</v>
      </c>
      <c r="H7160" t="s">
        <v>22452</v>
      </c>
      <c r="I7160" t="s">
        <v>3529</v>
      </c>
      <c r="J7160" t="s">
        <v>27197</v>
      </c>
      <c r="K7160" t="s">
        <v>29341</v>
      </c>
      <c r="M7160" t="s">
        <v>30164</v>
      </c>
      <c r="N7160" t="s">
        <v>32524</v>
      </c>
      <c r="O7160" t="s">
        <v>32525</v>
      </c>
      <c r="P7160">
        <v>0</v>
      </c>
      <c r="Q7160">
        <v>0</v>
      </c>
      <c r="R7160" t="s">
        <v>32532</v>
      </c>
      <c r="S7160" t="s">
        <v>32616</v>
      </c>
      <c r="T7160" t="s">
        <v>33232</v>
      </c>
      <c r="U7160" t="s">
        <v>39618</v>
      </c>
      <c r="V7160" t="s">
        <v>43208</v>
      </c>
      <c r="W7160" t="s">
        <v>30164</v>
      </c>
      <c r="X7160" t="s">
        <v>32533</v>
      </c>
    </row>
    <row r="7161" spans="1:24">
      <c r="A7161">
        <f>HYPERLINK("https://www.philgeps.gov.ph/GEPSNONPILOT/Tender/SplashBidNoticeAbstractUI.aspx?menuIndex=3&amp;refID=7038120&amp;Result=3","7038120")</f>
        <v>0</v>
      </c>
      <c r="B7161" t="s">
        <v>1144</v>
      </c>
      <c r="C7161" t="s">
        <v>9517</v>
      </c>
      <c r="D7161" t="s">
        <v>13002</v>
      </c>
      <c r="E7161" t="s">
        <v>19391</v>
      </c>
      <c r="F7161" t="s">
        <v>22436</v>
      </c>
      <c r="G7161" t="s">
        <v>22444</v>
      </c>
      <c r="H7161" t="s">
        <v>22452</v>
      </c>
      <c r="I7161" t="s">
        <v>22463</v>
      </c>
      <c r="J7161" t="s">
        <v>27209</v>
      </c>
      <c r="K7161" t="s">
        <v>29341</v>
      </c>
      <c r="M7161" t="s">
        <v>30787</v>
      </c>
      <c r="N7161" t="s">
        <v>32524</v>
      </c>
      <c r="O7161" t="s">
        <v>32525</v>
      </c>
      <c r="P7161">
        <v>0</v>
      </c>
      <c r="Q7161">
        <v>6</v>
      </c>
      <c r="R7161" t="s">
        <v>32532</v>
      </c>
      <c r="S7161" t="s">
        <v>32616</v>
      </c>
      <c r="T7161" t="s">
        <v>33238</v>
      </c>
      <c r="U7161" t="s">
        <v>39619</v>
      </c>
      <c r="W7161" t="s">
        <v>43707</v>
      </c>
      <c r="X7161" t="s">
        <v>32533</v>
      </c>
    </row>
    <row r="7162" spans="1:24">
      <c r="A7162">
        <f>HYPERLINK("https://www.philgeps.gov.ph/GEPSNONPILOT/Tender/SplashBidNoticeAbstractUI.aspx?menuIndex=3&amp;refID=7038073&amp;Result=3","7038073")</f>
        <v>0</v>
      </c>
      <c r="B7162" t="s">
        <v>2140</v>
      </c>
      <c r="C7162" t="s">
        <v>9518</v>
      </c>
      <c r="D7162" t="s">
        <v>13066</v>
      </c>
      <c r="E7162" t="s">
        <v>15713</v>
      </c>
      <c r="F7162" t="s">
        <v>22437</v>
      </c>
      <c r="G7162" t="s">
        <v>22443</v>
      </c>
      <c r="H7162" t="s">
        <v>22452</v>
      </c>
      <c r="I7162" t="s">
        <v>22479</v>
      </c>
      <c r="J7162" t="s">
        <v>23235</v>
      </c>
      <c r="K7162" t="s">
        <v>29336</v>
      </c>
      <c r="M7162" t="s">
        <v>31892</v>
      </c>
      <c r="N7162" t="s">
        <v>32524</v>
      </c>
      <c r="O7162" t="s">
        <v>32525</v>
      </c>
      <c r="P7162">
        <v>0</v>
      </c>
      <c r="Q7162">
        <v>7</v>
      </c>
      <c r="R7162" t="s">
        <v>32532</v>
      </c>
      <c r="S7162" t="s">
        <v>32616</v>
      </c>
      <c r="T7162" t="s">
        <v>33238</v>
      </c>
      <c r="U7162" t="s">
        <v>39620</v>
      </c>
      <c r="W7162" t="s">
        <v>31892</v>
      </c>
      <c r="X7162" t="s">
        <v>32533</v>
      </c>
    </row>
    <row r="7163" spans="1:24">
      <c r="A7163">
        <f>HYPERLINK("https://www.philgeps.gov.ph/GEPSNONPILOT/Tender/SplashBidNoticeAbstractUI.aspx?menuIndex=3&amp;refID=7038119&amp;Result=3","7038119")</f>
        <v>0</v>
      </c>
      <c r="B7163" t="s">
        <v>669</v>
      </c>
      <c r="C7163" t="s">
        <v>9519</v>
      </c>
      <c r="D7163" t="s">
        <v>12988</v>
      </c>
      <c r="E7163" t="s">
        <v>19392</v>
      </c>
      <c r="F7163" t="s">
        <v>22436</v>
      </c>
      <c r="G7163" t="s">
        <v>22443</v>
      </c>
      <c r="H7163" t="s">
        <v>22452</v>
      </c>
      <c r="I7163" t="s">
        <v>22474</v>
      </c>
      <c r="J7163" t="s">
        <v>24106</v>
      </c>
      <c r="K7163" t="s">
        <v>29335</v>
      </c>
      <c r="M7163" t="s">
        <v>30261</v>
      </c>
      <c r="N7163" t="s">
        <v>32524</v>
      </c>
      <c r="O7163" t="s">
        <v>32525</v>
      </c>
      <c r="P7163">
        <v>0</v>
      </c>
      <c r="Q7163">
        <v>2</v>
      </c>
      <c r="R7163" t="s">
        <v>32532</v>
      </c>
      <c r="S7163" t="s">
        <v>32616</v>
      </c>
      <c r="T7163" t="s">
        <v>33322</v>
      </c>
      <c r="U7163" t="s">
        <v>39621</v>
      </c>
      <c r="W7163" t="s">
        <v>30261</v>
      </c>
      <c r="X7163" t="s">
        <v>32533</v>
      </c>
    </row>
    <row r="7164" spans="1:24">
      <c r="A7164">
        <f>HYPERLINK("https://www.philgeps.gov.ph/GEPSNONPILOT/Tender/SplashBidNoticeAbstractUI.aspx?menuIndex=3&amp;refID=7038100&amp;Result=3","7038100")</f>
        <v>0</v>
      </c>
      <c r="B7164" t="s">
        <v>2154</v>
      </c>
      <c r="C7164" t="s">
        <v>9520</v>
      </c>
      <c r="D7164" t="s">
        <v>13050</v>
      </c>
      <c r="E7164" t="s">
        <v>19393</v>
      </c>
      <c r="F7164" t="s">
        <v>22436</v>
      </c>
      <c r="G7164" t="s">
        <v>22446</v>
      </c>
      <c r="H7164" t="s">
        <v>22452</v>
      </c>
      <c r="I7164" t="s">
        <v>6421</v>
      </c>
      <c r="J7164" t="s">
        <v>27105</v>
      </c>
      <c r="K7164" t="s">
        <v>29338</v>
      </c>
      <c r="M7164" t="s">
        <v>31906</v>
      </c>
      <c r="N7164" t="s">
        <v>32524</v>
      </c>
      <c r="O7164" t="s">
        <v>32525</v>
      </c>
      <c r="P7164">
        <v>0</v>
      </c>
      <c r="Q7164">
        <v>12</v>
      </c>
      <c r="R7164" t="s">
        <v>32532</v>
      </c>
      <c r="S7164" t="s">
        <v>32616</v>
      </c>
      <c r="T7164" t="s">
        <v>33304</v>
      </c>
      <c r="U7164" t="s">
        <v>39622</v>
      </c>
      <c r="V7164" t="s">
        <v>43210</v>
      </c>
      <c r="W7164" t="s">
        <v>31906</v>
      </c>
      <c r="X7164" t="s">
        <v>32533</v>
      </c>
    </row>
    <row r="7165" spans="1:24">
      <c r="A7165">
        <f>HYPERLINK("https://www.philgeps.gov.ph/GEPSNONPILOT/Tender/SplashBidNoticeAbstractUI.aspx?menuIndex=3&amp;refID=7038115&amp;Result=3","7038115")</f>
        <v>0</v>
      </c>
      <c r="B7165" t="s">
        <v>156</v>
      </c>
      <c r="C7165" t="s">
        <v>9521</v>
      </c>
      <c r="D7165" t="s">
        <v>12990</v>
      </c>
      <c r="E7165" t="s">
        <v>19394</v>
      </c>
      <c r="F7165" t="s">
        <v>22436</v>
      </c>
      <c r="G7165" t="s">
        <v>22444</v>
      </c>
      <c r="H7165" t="s">
        <v>22452</v>
      </c>
      <c r="I7165" t="s">
        <v>3827</v>
      </c>
      <c r="J7165" t="s">
        <v>22936</v>
      </c>
      <c r="K7165" t="s">
        <v>29331</v>
      </c>
      <c r="M7165" t="s">
        <v>29728</v>
      </c>
      <c r="N7165" t="s">
        <v>32524</v>
      </c>
      <c r="O7165" t="s">
        <v>32525</v>
      </c>
      <c r="P7165">
        <v>0</v>
      </c>
      <c r="Q7165">
        <v>9</v>
      </c>
      <c r="R7165" t="s">
        <v>32532</v>
      </c>
      <c r="S7165" t="s">
        <v>32616</v>
      </c>
      <c r="T7165" t="s">
        <v>33407</v>
      </c>
      <c r="U7165" t="s">
        <v>39623</v>
      </c>
      <c r="W7165" t="s">
        <v>29728</v>
      </c>
      <c r="X7165" t="s">
        <v>32533</v>
      </c>
    </row>
    <row r="7166" spans="1:24">
      <c r="A7166">
        <f>HYPERLINK("https://www.philgeps.gov.ph/GEPSNONPILOT/Tender/SplashBidNoticeAbstractUI.aspx?menuIndex=3&amp;refID=7038066&amp;Result=3","7038066")</f>
        <v>0</v>
      </c>
      <c r="B7166" t="s">
        <v>353</v>
      </c>
      <c r="C7166" t="s">
        <v>9522</v>
      </c>
      <c r="D7166" t="s">
        <v>13034</v>
      </c>
      <c r="E7166" t="s">
        <v>19395</v>
      </c>
      <c r="F7166" t="s">
        <v>22436</v>
      </c>
      <c r="G7166" t="s">
        <v>22444</v>
      </c>
      <c r="H7166" t="s">
        <v>22454</v>
      </c>
      <c r="I7166" t="s">
        <v>7738</v>
      </c>
      <c r="J7166" t="s">
        <v>22747</v>
      </c>
      <c r="K7166" t="s">
        <v>29362</v>
      </c>
      <c r="M7166" t="s">
        <v>29930</v>
      </c>
      <c r="N7166" t="s">
        <v>32524</v>
      </c>
      <c r="O7166" t="s">
        <v>32525</v>
      </c>
      <c r="P7166">
        <v>0</v>
      </c>
      <c r="Q7166">
        <v>0</v>
      </c>
      <c r="R7166" t="s">
        <v>32532</v>
      </c>
      <c r="S7166" t="s">
        <v>32616</v>
      </c>
      <c r="T7166" t="s">
        <v>33340</v>
      </c>
      <c r="U7166" t="s">
        <v>39624</v>
      </c>
      <c r="W7166" t="s">
        <v>29930</v>
      </c>
      <c r="X7166" t="s">
        <v>32533</v>
      </c>
    </row>
    <row r="7167" spans="1:24">
      <c r="A7167">
        <f>HYPERLINK("https://www.philgeps.gov.ph/GEPSNONPILOT/Tender/SplashBidNoticeAbstractUI.aspx?menuIndex=3&amp;refID=7038118&amp;Result=3","7038118")</f>
        <v>0</v>
      </c>
      <c r="B7167" t="s">
        <v>1794</v>
      </c>
      <c r="C7167" t="s">
        <v>9523</v>
      </c>
      <c r="D7167" t="s">
        <v>13069</v>
      </c>
      <c r="E7167" t="s">
        <v>13417</v>
      </c>
      <c r="F7167" t="s">
        <v>22436</v>
      </c>
      <c r="G7167" t="s">
        <v>22444</v>
      </c>
      <c r="H7167" t="s">
        <v>22452</v>
      </c>
      <c r="I7167" t="s">
        <v>3529</v>
      </c>
      <c r="J7167" t="s">
        <v>27210</v>
      </c>
      <c r="K7167" t="s">
        <v>29335</v>
      </c>
      <c r="M7167" t="s">
        <v>31505</v>
      </c>
      <c r="N7167" t="s">
        <v>32524</v>
      </c>
      <c r="O7167" t="s">
        <v>32525</v>
      </c>
      <c r="P7167">
        <v>0</v>
      </c>
      <c r="Q7167">
        <v>2</v>
      </c>
      <c r="R7167" t="s">
        <v>32532</v>
      </c>
      <c r="S7167" t="s">
        <v>32616</v>
      </c>
      <c r="T7167" t="s">
        <v>33218</v>
      </c>
      <c r="U7167" t="s">
        <v>39625</v>
      </c>
      <c r="V7167" t="s">
        <v>43021</v>
      </c>
      <c r="W7167" t="s">
        <v>31505</v>
      </c>
      <c r="X7167" t="s">
        <v>32533</v>
      </c>
    </row>
    <row r="7168" spans="1:24">
      <c r="A7168">
        <f>HYPERLINK("https://www.philgeps.gov.ph/GEPSNONPILOT/Tender/SplashBidNoticeAbstractUI.aspx?menuIndex=3&amp;refID=7038101&amp;Result=3","7038101")</f>
        <v>0</v>
      </c>
      <c r="B7168" t="s">
        <v>576</v>
      </c>
      <c r="C7168" t="s">
        <v>9524</v>
      </c>
      <c r="D7168" t="s">
        <v>13016</v>
      </c>
      <c r="E7168" t="s">
        <v>19396</v>
      </c>
      <c r="F7168" t="s">
        <v>22436</v>
      </c>
      <c r="G7168" t="s">
        <v>22444</v>
      </c>
      <c r="H7168" t="s">
        <v>22452</v>
      </c>
      <c r="I7168" t="s">
        <v>3529</v>
      </c>
      <c r="J7168" t="s">
        <v>27199</v>
      </c>
      <c r="K7168" t="s">
        <v>29341</v>
      </c>
      <c r="M7168" t="s">
        <v>30164</v>
      </c>
      <c r="N7168" t="s">
        <v>32524</v>
      </c>
      <c r="O7168" t="s">
        <v>32525</v>
      </c>
      <c r="P7168">
        <v>0</v>
      </c>
      <c r="Q7168">
        <v>0</v>
      </c>
      <c r="R7168" t="s">
        <v>32532</v>
      </c>
      <c r="S7168" t="s">
        <v>32616</v>
      </c>
      <c r="T7168" t="s">
        <v>33232</v>
      </c>
      <c r="U7168" t="s">
        <v>39626</v>
      </c>
      <c r="V7168" t="s">
        <v>43208</v>
      </c>
      <c r="W7168" t="s">
        <v>30164</v>
      </c>
      <c r="X7168" t="s">
        <v>32533</v>
      </c>
    </row>
    <row r="7169" spans="1:24">
      <c r="A7169">
        <f>HYPERLINK("https://www.philgeps.gov.ph/GEPSNONPILOT/Tender/SplashBidNoticeAbstractUI.aspx?menuIndex=3&amp;refID=7038112&amp;Result=3","7038112")</f>
        <v>0</v>
      </c>
      <c r="B7169" t="s">
        <v>669</v>
      </c>
      <c r="C7169" t="s">
        <v>9525</v>
      </c>
      <c r="D7169" t="s">
        <v>12988</v>
      </c>
      <c r="E7169" t="s">
        <v>19397</v>
      </c>
      <c r="F7169" t="s">
        <v>22436</v>
      </c>
      <c r="G7169" t="s">
        <v>22443</v>
      </c>
      <c r="H7169" t="s">
        <v>22452</v>
      </c>
      <c r="I7169" t="s">
        <v>22476</v>
      </c>
      <c r="J7169" t="s">
        <v>27211</v>
      </c>
      <c r="K7169" t="s">
        <v>29336</v>
      </c>
      <c r="M7169" t="s">
        <v>30261</v>
      </c>
      <c r="N7169" t="s">
        <v>32524</v>
      </c>
      <c r="O7169" t="s">
        <v>32525</v>
      </c>
      <c r="P7169">
        <v>0</v>
      </c>
      <c r="Q7169">
        <v>8</v>
      </c>
      <c r="R7169" t="s">
        <v>32532</v>
      </c>
      <c r="S7169" t="s">
        <v>32616</v>
      </c>
      <c r="T7169" t="s">
        <v>33322</v>
      </c>
      <c r="U7169" t="s">
        <v>35621</v>
      </c>
      <c r="W7169" t="s">
        <v>30261</v>
      </c>
      <c r="X7169" t="s">
        <v>32533</v>
      </c>
    </row>
    <row r="7170" spans="1:24">
      <c r="A7170">
        <f>HYPERLINK("https://www.philgeps.gov.ph/GEPSNONPILOT/Tender/SplashBidNoticeAbstractUI.aspx?menuIndex=3&amp;refID=7038114&amp;Result=3","7038114")</f>
        <v>0</v>
      </c>
      <c r="B7170" t="s">
        <v>2155</v>
      </c>
      <c r="C7170" t="s">
        <v>9526</v>
      </c>
      <c r="D7170" t="s">
        <v>13051</v>
      </c>
      <c r="E7170" t="s">
        <v>19398</v>
      </c>
      <c r="F7170" t="s">
        <v>22437</v>
      </c>
      <c r="G7170" t="s">
        <v>22444</v>
      </c>
      <c r="H7170" t="s">
        <v>22452</v>
      </c>
      <c r="I7170" t="s">
        <v>3529</v>
      </c>
      <c r="J7170" t="s">
        <v>27212</v>
      </c>
      <c r="K7170" t="s">
        <v>29331</v>
      </c>
      <c r="M7170" t="s">
        <v>31907</v>
      </c>
      <c r="N7170" t="s">
        <v>32524</v>
      </c>
      <c r="O7170" t="s">
        <v>32525</v>
      </c>
      <c r="P7170">
        <v>0</v>
      </c>
      <c r="Q7170">
        <v>0</v>
      </c>
      <c r="R7170" t="s">
        <v>32532</v>
      </c>
      <c r="S7170" t="s">
        <v>32616</v>
      </c>
      <c r="T7170" t="s">
        <v>33234</v>
      </c>
      <c r="U7170" t="s">
        <v>39627</v>
      </c>
      <c r="W7170" t="s">
        <v>31907</v>
      </c>
      <c r="X7170" t="s">
        <v>32533</v>
      </c>
    </row>
    <row r="7171" spans="1:24">
      <c r="A7171">
        <f>HYPERLINK("https://www.philgeps.gov.ph/GEPSNONPILOT/Tender/SplashBidNoticeAbstractUI.aspx?menuIndex=3&amp;refID=7038070&amp;Result=3","7038070")</f>
        <v>0</v>
      </c>
      <c r="B7171" t="s">
        <v>576</v>
      </c>
      <c r="C7171" t="s">
        <v>9527</v>
      </c>
      <c r="D7171" t="s">
        <v>13016</v>
      </c>
      <c r="E7171" t="s">
        <v>19399</v>
      </c>
      <c r="F7171" t="s">
        <v>22436</v>
      </c>
      <c r="G7171" t="s">
        <v>22444</v>
      </c>
      <c r="H7171" t="s">
        <v>22452</v>
      </c>
      <c r="I7171" t="s">
        <v>22460</v>
      </c>
      <c r="J7171" t="s">
        <v>27213</v>
      </c>
      <c r="K7171" t="s">
        <v>29341</v>
      </c>
      <c r="M7171" t="s">
        <v>30164</v>
      </c>
      <c r="N7171" t="s">
        <v>32524</v>
      </c>
      <c r="O7171" t="s">
        <v>32525</v>
      </c>
      <c r="P7171">
        <v>0</v>
      </c>
      <c r="Q7171">
        <v>1</v>
      </c>
      <c r="R7171" t="s">
        <v>32532</v>
      </c>
      <c r="S7171" t="s">
        <v>32616</v>
      </c>
      <c r="T7171" t="s">
        <v>33191</v>
      </c>
      <c r="U7171" t="s">
        <v>39628</v>
      </c>
      <c r="V7171" t="s">
        <v>43208</v>
      </c>
      <c r="W7171" t="s">
        <v>30164</v>
      </c>
      <c r="X7171" t="s">
        <v>32533</v>
      </c>
    </row>
    <row r="7172" spans="1:24">
      <c r="A7172">
        <f>HYPERLINK("https://www.philgeps.gov.ph/GEPSNONPILOT/Tender/SplashBidNoticeAbstractUI.aspx?menuIndex=3&amp;refID=7038116&amp;Result=3","7038116")</f>
        <v>0</v>
      </c>
      <c r="B7172" t="s">
        <v>2075</v>
      </c>
      <c r="C7172" t="s">
        <v>4584</v>
      </c>
      <c r="D7172" t="s">
        <v>12988</v>
      </c>
      <c r="E7172" t="s">
        <v>19400</v>
      </c>
      <c r="F7172" t="s">
        <v>22436</v>
      </c>
      <c r="G7172" t="s">
        <v>22444</v>
      </c>
      <c r="H7172" t="s">
        <v>22452</v>
      </c>
      <c r="I7172" t="s">
        <v>22484</v>
      </c>
      <c r="J7172" t="s">
        <v>27214</v>
      </c>
      <c r="K7172" t="s">
        <v>29335</v>
      </c>
      <c r="M7172" t="s">
        <v>31908</v>
      </c>
      <c r="N7172" t="s">
        <v>32524</v>
      </c>
      <c r="O7172" t="s">
        <v>32525</v>
      </c>
      <c r="P7172">
        <v>0</v>
      </c>
      <c r="Q7172">
        <v>74</v>
      </c>
      <c r="R7172" t="s">
        <v>32532</v>
      </c>
      <c r="S7172" t="s">
        <v>32616</v>
      </c>
      <c r="T7172" t="s">
        <v>33242</v>
      </c>
      <c r="U7172" t="s">
        <v>39629</v>
      </c>
      <c r="W7172" t="s">
        <v>31908</v>
      </c>
      <c r="X7172" t="s">
        <v>32533</v>
      </c>
    </row>
    <row r="7173" spans="1:24">
      <c r="A7173">
        <f>HYPERLINK("https://www.philgeps.gov.ph/GEPSNONPILOT/Tender/SplashBidNoticeAbstractUI.aspx?menuIndex=3&amp;refID=7038108&amp;Result=3","7038108")</f>
        <v>0</v>
      </c>
      <c r="B7173" t="s">
        <v>2155</v>
      </c>
      <c r="C7173" t="s">
        <v>9528</v>
      </c>
      <c r="D7173" t="s">
        <v>13051</v>
      </c>
      <c r="E7173" t="s">
        <v>19401</v>
      </c>
      <c r="F7173" t="s">
        <v>22437</v>
      </c>
      <c r="G7173" t="s">
        <v>22444</v>
      </c>
      <c r="H7173" t="s">
        <v>22452</v>
      </c>
      <c r="I7173" t="s">
        <v>3529</v>
      </c>
      <c r="J7173" t="s">
        <v>27215</v>
      </c>
      <c r="K7173" t="s">
        <v>29331</v>
      </c>
      <c r="M7173" t="s">
        <v>31907</v>
      </c>
      <c r="N7173" t="s">
        <v>32524</v>
      </c>
      <c r="O7173" t="s">
        <v>32525</v>
      </c>
      <c r="P7173">
        <v>0</v>
      </c>
      <c r="Q7173">
        <v>0</v>
      </c>
      <c r="R7173" t="s">
        <v>32532</v>
      </c>
      <c r="S7173" t="s">
        <v>32616</v>
      </c>
      <c r="T7173" t="s">
        <v>33234</v>
      </c>
      <c r="U7173" t="s">
        <v>39630</v>
      </c>
      <c r="W7173" t="s">
        <v>31907</v>
      </c>
      <c r="X7173" t="s">
        <v>32533</v>
      </c>
    </row>
    <row r="7174" spans="1:24">
      <c r="A7174">
        <f>HYPERLINK("https://www.philgeps.gov.ph/GEPSNONPILOT/Tender/SplashBidNoticeAbstractUI.aspx?menuIndex=3&amp;refID=7038102&amp;Result=3","7038102")</f>
        <v>0</v>
      </c>
      <c r="B7174" t="s">
        <v>527</v>
      </c>
      <c r="C7174" t="s">
        <v>9529</v>
      </c>
      <c r="D7174" t="s">
        <v>12988</v>
      </c>
      <c r="E7174" t="s">
        <v>19402</v>
      </c>
      <c r="F7174" t="s">
        <v>22436</v>
      </c>
      <c r="G7174" t="s">
        <v>22444</v>
      </c>
      <c r="H7174" t="s">
        <v>22452</v>
      </c>
      <c r="I7174" t="s">
        <v>22456</v>
      </c>
      <c r="J7174" t="s">
        <v>27216</v>
      </c>
      <c r="K7174" t="s">
        <v>29333</v>
      </c>
      <c r="M7174" t="s">
        <v>31909</v>
      </c>
      <c r="N7174" t="s">
        <v>32524</v>
      </c>
      <c r="O7174" t="s">
        <v>32525</v>
      </c>
      <c r="P7174">
        <v>0</v>
      </c>
      <c r="Q7174">
        <v>10</v>
      </c>
      <c r="R7174" t="s">
        <v>32532</v>
      </c>
      <c r="S7174" t="s">
        <v>32616</v>
      </c>
      <c r="T7174" t="s">
        <v>33423</v>
      </c>
      <c r="U7174" t="s">
        <v>35523</v>
      </c>
      <c r="V7174" t="s">
        <v>43211</v>
      </c>
      <c r="W7174" t="s">
        <v>31909</v>
      </c>
      <c r="X7174" t="s">
        <v>32533</v>
      </c>
    </row>
    <row r="7175" spans="1:24">
      <c r="A7175">
        <f>HYPERLINK("https://www.philgeps.gov.ph/GEPSNONPILOT/Tender/SplashBidNoticeAbstractUI.aspx?menuIndex=3&amp;refID=7038107&amp;Result=3","7038107")</f>
        <v>0</v>
      </c>
      <c r="B7175" t="s">
        <v>2150</v>
      </c>
      <c r="C7175" t="s">
        <v>9530</v>
      </c>
      <c r="D7175" t="s">
        <v>12993</v>
      </c>
      <c r="E7175" t="s">
        <v>19403</v>
      </c>
      <c r="F7175" t="s">
        <v>22436</v>
      </c>
      <c r="G7175" t="s">
        <v>22444</v>
      </c>
      <c r="H7175" t="s">
        <v>22454</v>
      </c>
      <c r="I7175" t="s">
        <v>7738</v>
      </c>
      <c r="J7175" t="s">
        <v>22640</v>
      </c>
      <c r="K7175" t="s">
        <v>29335</v>
      </c>
      <c r="M7175" t="s">
        <v>31902</v>
      </c>
      <c r="N7175" t="s">
        <v>32524</v>
      </c>
      <c r="O7175" t="s">
        <v>32525</v>
      </c>
      <c r="P7175">
        <v>0</v>
      </c>
      <c r="Q7175">
        <v>0</v>
      </c>
      <c r="R7175" t="s">
        <v>32532</v>
      </c>
      <c r="S7175" t="s">
        <v>32616</v>
      </c>
      <c r="T7175" t="s">
        <v>33372</v>
      </c>
      <c r="U7175" t="s">
        <v>39631</v>
      </c>
      <c r="W7175" t="s">
        <v>31902</v>
      </c>
      <c r="X7175" t="s">
        <v>32533</v>
      </c>
    </row>
    <row r="7176" spans="1:24">
      <c r="A7176">
        <f>HYPERLINK("https://www.philgeps.gov.ph/GEPSNONPILOT/Tender/SplashBidNoticeAbstractUI.aspx?menuIndex=3&amp;refID=7038113&amp;Result=3","7038113")</f>
        <v>0</v>
      </c>
      <c r="B7176" t="s">
        <v>1794</v>
      </c>
      <c r="C7176" t="s">
        <v>9531</v>
      </c>
      <c r="D7176" t="s">
        <v>13069</v>
      </c>
      <c r="E7176" t="s">
        <v>13229</v>
      </c>
      <c r="F7176" t="s">
        <v>22436</v>
      </c>
      <c r="G7176" t="s">
        <v>22444</v>
      </c>
      <c r="H7176" t="s">
        <v>22452</v>
      </c>
      <c r="I7176" t="s">
        <v>3529</v>
      </c>
      <c r="J7176" t="s">
        <v>27217</v>
      </c>
      <c r="K7176" t="s">
        <v>29341</v>
      </c>
      <c r="M7176" t="s">
        <v>31505</v>
      </c>
      <c r="N7176" t="s">
        <v>32524</v>
      </c>
      <c r="O7176" t="s">
        <v>32525</v>
      </c>
      <c r="P7176">
        <v>0</v>
      </c>
      <c r="Q7176">
        <v>2</v>
      </c>
      <c r="R7176" t="s">
        <v>32532</v>
      </c>
      <c r="S7176" t="s">
        <v>32616</v>
      </c>
      <c r="T7176" t="s">
        <v>33218</v>
      </c>
      <c r="U7176" t="s">
        <v>39632</v>
      </c>
      <c r="V7176" t="s">
        <v>43021</v>
      </c>
      <c r="W7176" t="s">
        <v>31505</v>
      </c>
      <c r="X7176" t="s">
        <v>32533</v>
      </c>
    </row>
    <row r="7177" spans="1:24">
      <c r="A7177">
        <f>HYPERLINK("https://www.philgeps.gov.ph/GEPSNONPILOT/Tender/SplashBidNoticeAbstractUI.aspx?menuIndex=3&amp;refID=7038103&amp;Result=3","7038103")</f>
        <v>0</v>
      </c>
      <c r="B7177" t="s">
        <v>576</v>
      </c>
      <c r="C7177" t="s">
        <v>9532</v>
      </c>
      <c r="D7177" t="s">
        <v>13016</v>
      </c>
      <c r="E7177" t="s">
        <v>19404</v>
      </c>
      <c r="F7177" t="s">
        <v>22436</v>
      </c>
      <c r="G7177" t="s">
        <v>22444</v>
      </c>
      <c r="H7177" t="s">
        <v>22452</v>
      </c>
      <c r="I7177" t="s">
        <v>3529</v>
      </c>
      <c r="J7177" t="s">
        <v>27197</v>
      </c>
      <c r="K7177" t="s">
        <v>29341</v>
      </c>
      <c r="M7177" t="s">
        <v>30164</v>
      </c>
      <c r="N7177" t="s">
        <v>32524</v>
      </c>
      <c r="O7177" t="s">
        <v>32525</v>
      </c>
      <c r="P7177">
        <v>0</v>
      </c>
      <c r="Q7177">
        <v>0</v>
      </c>
      <c r="R7177" t="s">
        <v>32532</v>
      </c>
      <c r="S7177" t="s">
        <v>32616</v>
      </c>
      <c r="T7177" t="s">
        <v>33232</v>
      </c>
      <c r="U7177" t="s">
        <v>39633</v>
      </c>
      <c r="V7177" t="s">
        <v>43208</v>
      </c>
      <c r="W7177" t="s">
        <v>30164</v>
      </c>
      <c r="X7177" t="s">
        <v>32533</v>
      </c>
    </row>
    <row r="7178" spans="1:24">
      <c r="A7178">
        <f>HYPERLINK("https://www.philgeps.gov.ph/GEPSNONPILOT/Tender/SplashBidNoticeAbstractUI.aspx?menuIndex=3&amp;refID=7038121&amp;Result=3","7038121")</f>
        <v>0</v>
      </c>
      <c r="B7178" t="s">
        <v>1144</v>
      </c>
      <c r="C7178" t="s">
        <v>9533</v>
      </c>
      <c r="D7178" t="s">
        <v>13002</v>
      </c>
      <c r="E7178" t="s">
        <v>19405</v>
      </c>
      <c r="F7178" t="s">
        <v>22436</v>
      </c>
      <c r="G7178" t="s">
        <v>22444</v>
      </c>
      <c r="H7178" t="s">
        <v>22452</v>
      </c>
      <c r="I7178" t="s">
        <v>22463</v>
      </c>
      <c r="J7178" t="s">
        <v>27218</v>
      </c>
      <c r="K7178" t="s">
        <v>29341</v>
      </c>
      <c r="M7178" t="s">
        <v>30787</v>
      </c>
      <c r="N7178" t="s">
        <v>32524</v>
      </c>
      <c r="O7178" t="s">
        <v>32525</v>
      </c>
      <c r="P7178">
        <v>0</v>
      </c>
      <c r="Q7178">
        <v>7</v>
      </c>
      <c r="R7178" t="s">
        <v>32532</v>
      </c>
      <c r="S7178" t="s">
        <v>32616</v>
      </c>
      <c r="T7178" t="s">
        <v>33238</v>
      </c>
      <c r="U7178" t="s">
        <v>39634</v>
      </c>
      <c r="W7178" t="s">
        <v>43707</v>
      </c>
      <c r="X7178" t="s">
        <v>32533</v>
      </c>
    </row>
    <row r="7179" spans="1:24">
      <c r="A7179">
        <f>HYPERLINK("https://www.philgeps.gov.ph/GEPSNONPILOT/Tender/SplashBidNoticeAbstractUI.aspx?menuIndex=3&amp;refID=7038128&amp;Result=3","7038128")</f>
        <v>0</v>
      </c>
      <c r="B7179" t="s">
        <v>2156</v>
      </c>
      <c r="C7179" t="s">
        <v>9534</v>
      </c>
      <c r="D7179" t="s">
        <v>13007</v>
      </c>
      <c r="E7179" t="s">
        <v>19406</v>
      </c>
      <c r="F7179" t="s">
        <v>22436</v>
      </c>
      <c r="G7179" t="s">
        <v>22444</v>
      </c>
      <c r="H7179" t="s">
        <v>22452</v>
      </c>
      <c r="I7179" t="s">
        <v>3027</v>
      </c>
      <c r="J7179" t="s">
        <v>22667</v>
      </c>
      <c r="K7179" t="s">
        <v>29336</v>
      </c>
      <c r="L7179" t="s">
        <v>2156</v>
      </c>
      <c r="M7179" t="s">
        <v>31910</v>
      </c>
      <c r="N7179" t="s">
        <v>32524</v>
      </c>
      <c r="O7179" t="s">
        <v>32525</v>
      </c>
      <c r="P7179">
        <v>0</v>
      </c>
      <c r="Q7179">
        <v>0</v>
      </c>
      <c r="R7179" t="s">
        <v>32532</v>
      </c>
      <c r="S7179" t="s">
        <v>32616</v>
      </c>
      <c r="T7179" t="s">
        <v>33238</v>
      </c>
      <c r="U7179" t="s">
        <v>39635</v>
      </c>
      <c r="V7179" t="s">
        <v>43212</v>
      </c>
      <c r="W7179" t="s">
        <v>31910</v>
      </c>
      <c r="X7179" t="s">
        <v>32533</v>
      </c>
    </row>
    <row r="7180" spans="1:24">
      <c r="A7180">
        <f>HYPERLINK("https://www.philgeps.gov.ph/GEPSNONPILOT/Tender/SplashBidNoticeAbstractUI.aspx?menuIndex=3&amp;refID=7038125&amp;Result=3","7038125")</f>
        <v>0</v>
      </c>
      <c r="B7180" t="s">
        <v>1144</v>
      </c>
      <c r="C7180" t="s">
        <v>9535</v>
      </c>
      <c r="D7180" t="s">
        <v>13002</v>
      </c>
      <c r="E7180" t="s">
        <v>19407</v>
      </c>
      <c r="F7180" t="s">
        <v>22436</v>
      </c>
      <c r="G7180" t="s">
        <v>22444</v>
      </c>
      <c r="H7180" t="s">
        <v>22452</v>
      </c>
      <c r="I7180" t="s">
        <v>3827</v>
      </c>
      <c r="J7180" t="s">
        <v>27219</v>
      </c>
      <c r="K7180" t="s">
        <v>29341</v>
      </c>
      <c r="M7180" t="s">
        <v>30787</v>
      </c>
      <c r="N7180" t="s">
        <v>32524</v>
      </c>
      <c r="O7180" t="s">
        <v>32525</v>
      </c>
      <c r="P7180">
        <v>0</v>
      </c>
      <c r="Q7180">
        <v>3</v>
      </c>
      <c r="R7180" t="s">
        <v>32532</v>
      </c>
      <c r="S7180" t="s">
        <v>32616</v>
      </c>
      <c r="T7180" t="s">
        <v>33238</v>
      </c>
      <c r="U7180" t="s">
        <v>39636</v>
      </c>
      <c r="W7180" t="s">
        <v>43707</v>
      </c>
      <c r="X7180" t="s">
        <v>32533</v>
      </c>
    </row>
    <row r="7181" spans="1:24">
      <c r="A7181">
        <f>HYPERLINK("https://www.philgeps.gov.ph/GEPSNONPILOT/Tender/SplashBidNoticeAbstractUI.aspx?menuIndex=3&amp;refID=7038143&amp;Result=3","7038143")</f>
        <v>0</v>
      </c>
      <c r="B7181" t="s">
        <v>2156</v>
      </c>
      <c r="C7181" t="s">
        <v>9536</v>
      </c>
      <c r="D7181" t="s">
        <v>13007</v>
      </c>
      <c r="E7181" t="s">
        <v>19408</v>
      </c>
      <c r="F7181" t="s">
        <v>22436</v>
      </c>
      <c r="G7181" t="s">
        <v>22444</v>
      </c>
      <c r="H7181" t="s">
        <v>22452</v>
      </c>
      <c r="I7181" t="s">
        <v>3027</v>
      </c>
      <c r="J7181" t="s">
        <v>24981</v>
      </c>
      <c r="K7181" t="s">
        <v>29356</v>
      </c>
      <c r="L7181" t="s">
        <v>2156</v>
      </c>
      <c r="M7181" t="s">
        <v>31910</v>
      </c>
      <c r="N7181" t="s">
        <v>32524</v>
      </c>
      <c r="O7181" t="s">
        <v>32525</v>
      </c>
      <c r="P7181">
        <v>0</v>
      </c>
      <c r="Q7181">
        <v>0</v>
      </c>
      <c r="R7181" t="s">
        <v>32532</v>
      </c>
      <c r="S7181" t="s">
        <v>32616</v>
      </c>
      <c r="T7181" t="s">
        <v>33238</v>
      </c>
      <c r="U7181" t="s">
        <v>39635</v>
      </c>
      <c r="V7181" t="s">
        <v>43212</v>
      </c>
      <c r="W7181" t="s">
        <v>31910</v>
      </c>
      <c r="X7181" t="s">
        <v>32533</v>
      </c>
    </row>
    <row r="7182" spans="1:24">
      <c r="A7182">
        <f>HYPERLINK("https://www.philgeps.gov.ph/GEPSNONPILOT/Tender/SplashBidNoticeAbstractUI.aspx?menuIndex=3&amp;refID=7038142&amp;Result=3","7038142")</f>
        <v>0</v>
      </c>
      <c r="B7182" t="s">
        <v>908</v>
      </c>
      <c r="C7182" t="s">
        <v>9537</v>
      </c>
      <c r="D7182" t="s">
        <v>13009</v>
      </c>
      <c r="E7182" t="s">
        <v>19409</v>
      </c>
      <c r="F7182" t="s">
        <v>22436</v>
      </c>
      <c r="G7182" t="s">
        <v>22447</v>
      </c>
      <c r="H7182" t="s">
        <v>22452</v>
      </c>
      <c r="I7182" t="s">
        <v>3529</v>
      </c>
      <c r="J7182" t="s">
        <v>27220</v>
      </c>
      <c r="K7182" t="s">
        <v>29341</v>
      </c>
      <c r="M7182" t="s">
        <v>30520</v>
      </c>
      <c r="N7182" t="s">
        <v>32524</v>
      </c>
      <c r="O7182" t="s">
        <v>32525</v>
      </c>
      <c r="P7182">
        <v>0</v>
      </c>
      <c r="Q7182">
        <v>0</v>
      </c>
      <c r="R7182" t="s">
        <v>32532</v>
      </c>
      <c r="S7182" t="s">
        <v>32616</v>
      </c>
      <c r="T7182" t="s">
        <v>33296</v>
      </c>
      <c r="U7182" t="s">
        <v>39637</v>
      </c>
      <c r="W7182" t="s">
        <v>30520</v>
      </c>
      <c r="X7182" t="s">
        <v>32533</v>
      </c>
    </row>
    <row r="7183" spans="1:24">
      <c r="A7183">
        <f>HYPERLINK("https://www.philgeps.gov.ph/GEPSNONPILOT/Tender/SplashBidNoticeAbstractUI.aspx?menuIndex=3&amp;refID=7038139&amp;Result=3","7038139")</f>
        <v>0</v>
      </c>
      <c r="B7183" t="s">
        <v>2157</v>
      </c>
      <c r="C7183" t="s">
        <v>9538</v>
      </c>
      <c r="D7183" t="s">
        <v>12988</v>
      </c>
      <c r="E7183" t="s">
        <v>19410</v>
      </c>
      <c r="F7183" t="s">
        <v>22436</v>
      </c>
      <c r="G7183" t="s">
        <v>22444</v>
      </c>
      <c r="H7183" t="s">
        <v>22454</v>
      </c>
      <c r="I7183" t="s">
        <v>7738</v>
      </c>
      <c r="J7183" t="s">
        <v>25071</v>
      </c>
      <c r="K7183" t="s">
        <v>29345</v>
      </c>
      <c r="M7183" t="s">
        <v>31911</v>
      </c>
      <c r="N7183" t="s">
        <v>32524</v>
      </c>
      <c r="O7183" t="s">
        <v>32525</v>
      </c>
      <c r="Q7183">
        <v>28</v>
      </c>
      <c r="R7183" t="s">
        <v>32532</v>
      </c>
      <c r="S7183" t="s">
        <v>32663</v>
      </c>
      <c r="T7183" t="s">
        <v>33242</v>
      </c>
      <c r="U7183" t="s">
        <v>39638</v>
      </c>
      <c r="W7183" t="s">
        <v>31911</v>
      </c>
      <c r="X7183" t="s">
        <v>32533</v>
      </c>
    </row>
    <row r="7184" spans="1:24">
      <c r="A7184">
        <f>HYPERLINK("https://www.philgeps.gov.ph/GEPSNONPILOT/Tender/SplashBidNoticeAbstractUI.aspx?menuIndex=3&amp;refID=7038137&amp;Result=3","7038137")</f>
        <v>0</v>
      </c>
      <c r="B7184" t="s">
        <v>1144</v>
      </c>
      <c r="C7184" t="s">
        <v>9539</v>
      </c>
      <c r="D7184" t="s">
        <v>13002</v>
      </c>
      <c r="E7184" t="s">
        <v>19411</v>
      </c>
      <c r="F7184" t="s">
        <v>22436</v>
      </c>
      <c r="G7184" t="s">
        <v>22444</v>
      </c>
      <c r="H7184" t="s">
        <v>22452</v>
      </c>
      <c r="I7184" t="s">
        <v>22465</v>
      </c>
      <c r="J7184" t="s">
        <v>27221</v>
      </c>
      <c r="K7184" t="s">
        <v>29341</v>
      </c>
      <c r="M7184" t="s">
        <v>30787</v>
      </c>
      <c r="N7184" t="s">
        <v>32524</v>
      </c>
      <c r="O7184" t="s">
        <v>32525</v>
      </c>
      <c r="P7184">
        <v>0</v>
      </c>
      <c r="Q7184">
        <v>2</v>
      </c>
      <c r="R7184" t="s">
        <v>32532</v>
      </c>
      <c r="S7184" t="s">
        <v>32616</v>
      </c>
      <c r="T7184" t="s">
        <v>33238</v>
      </c>
      <c r="U7184" t="s">
        <v>39639</v>
      </c>
      <c r="W7184" t="s">
        <v>43707</v>
      </c>
      <c r="X7184" t="s">
        <v>32533</v>
      </c>
    </row>
    <row r="7185" spans="1:24">
      <c r="A7185">
        <f>HYPERLINK("https://www.philgeps.gov.ph/GEPSNONPILOT/Tender/SplashBidNoticeAbstractUI.aspx?menuIndex=3&amp;refID=7038141&amp;Result=3","7038141")</f>
        <v>0</v>
      </c>
      <c r="B7185" t="s">
        <v>2157</v>
      </c>
      <c r="C7185" t="s">
        <v>9540</v>
      </c>
      <c r="D7185" t="s">
        <v>12988</v>
      </c>
      <c r="E7185" t="s">
        <v>19412</v>
      </c>
      <c r="F7185" t="s">
        <v>22436</v>
      </c>
      <c r="G7185" t="s">
        <v>22444</v>
      </c>
      <c r="H7185" t="s">
        <v>22454</v>
      </c>
      <c r="I7185" t="s">
        <v>7738</v>
      </c>
      <c r="J7185" t="s">
        <v>27222</v>
      </c>
      <c r="K7185" t="s">
        <v>29344</v>
      </c>
      <c r="M7185" t="s">
        <v>31911</v>
      </c>
      <c r="N7185" t="s">
        <v>32524</v>
      </c>
      <c r="O7185" t="s">
        <v>32525</v>
      </c>
      <c r="Q7185">
        <v>55</v>
      </c>
      <c r="R7185" t="s">
        <v>32532</v>
      </c>
      <c r="S7185" t="s">
        <v>32664</v>
      </c>
      <c r="T7185" t="s">
        <v>33242</v>
      </c>
      <c r="U7185" t="s">
        <v>39640</v>
      </c>
      <c r="W7185" t="s">
        <v>31911</v>
      </c>
      <c r="X7185" t="s">
        <v>32533</v>
      </c>
    </row>
    <row r="7186" spans="1:24">
      <c r="A7186">
        <f>HYPERLINK("https://www.philgeps.gov.ph/GEPSNONPILOT/Tender/SplashBidNoticeAbstractUI.aspx?menuIndex=3&amp;refID=7038136&amp;Result=3","7038136")</f>
        <v>0</v>
      </c>
      <c r="B7186" t="s">
        <v>1144</v>
      </c>
      <c r="C7186" t="s">
        <v>9541</v>
      </c>
      <c r="D7186" t="s">
        <v>13002</v>
      </c>
      <c r="E7186" t="s">
        <v>19413</v>
      </c>
      <c r="F7186" t="s">
        <v>22436</v>
      </c>
      <c r="G7186" t="s">
        <v>22444</v>
      </c>
      <c r="H7186" t="s">
        <v>22452</v>
      </c>
      <c r="I7186" t="s">
        <v>2981</v>
      </c>
      <c r="J7186" t="s">
        <v>23093</v>
      </c>
      <c r="K7186" t="s">
        <v>29341</v>
      </c>
      <c r="M7186" t="s">
        <v>30787</v>
      </c>
      <c r="N7186" t="s">
        <v>32524</v>
      </c>
      <c r="O7186" t="s">
        <v>32525</v>
      </c>
      <c r="P7186">
        <v>0</v>
      </c>
      <c r="Q7186">
        <v>1</v>
      </c>
      <c r="R7186" t="s">
        <v>32532</v>
      </c>
      <c r="S7186" t="s">
        <v>32616</v>
      </c>
      <c r="T7186" t="s">
        <v>33238</v>
      </c>
      <c r="U7186" t="s">
        <v>39641</v>
      </c>
      <c r="W7186" t="s">
        <v>43707</v>
      </c>
      <c r="X7186" t="s">
        <v>32533</v>
      </c>
    </row>
    <row r="7187" spans="1:24">
      <c r="A7187">
        <f>HYPERLINK("https://www.philgeps.gov.ph/GEPSNONPILOT/Tender/SplashBidNoticeAbstractUI.aspx?menuIndex=3&amp;refID=7038140&amp;Result=3","7038140")</f>
        <v>0</v>
      </c>
      <c r="B7187" t="s">
        <v>1144</v>
      </c>
      <c r="C7187" t="s">
        <v>9542</v>
      </c>
      <c r="D7187" t="s">
        <v>13002</v>
      </c>
      <c r="E7187" t="s">
        <v>19414</v>
      </c>
      <c r="F7187" t="s">
        <v>22436</v>
      </c>
      <c r="G7187" t="s">
        <v>22444</v>
      </c>
      <c r="H7187" t="s">
        <v>22452</v>
      </c>
      <c r="I7187" t="s">
        <v>22466</v>
      </c>
      <c r="J7187" t="s">
        <v>27223</v>
      </c>
      <c r="K7187" t="s">
        <v>29341</v>
      </c>
      <c r="M7187" t="s">
        <v>30787</v>
      </c>
      <c r="N7187" t="s">
        <v>32524</v>
      </c>
      <c r="O7187" t="s">
        <v>32525</v>
      </c>
      <c r="P7187">
        <v>0</v>
      </c>
      <c r="Q7187">
        <v>4</v>
      </c>
      <c r="R7187" t="s">
        <v>32532</v>
      </c>
      <c r="S7187" t="s">
        <v>32616</v>
      </c>
      <c r="T7187" t="s">
        <v>33238</v>
      </c>
      <c r="U7187" t="s">
        <v>39642</v>
      </c>
      <c r="W7187" t="s">
        <v>43707</v>
      </c>
      <c r="X7187" t="s">
        <v>32533</v>
      </c>
    </row>
    <row r="7188" spans="1:24">
      <c r="A7188">
        <f>HYPERLINK("https://www.philgeps.gov.ph/GEPSNONPILOT/Tender/SplashBidNoticeAbstractUI.aspx?menuIndex=3&amp;refID=7038133&amp;Result=3","7038133")</f>
        <v>0</v>
      </c>
      <c r="B7188" t="s">
        <v>1144</v>
      </c>
      <c r="C7188" t="s">
        <v>9543</v>
      </c>
      <c r="D7188" t="s">
        <v>13002</v>
      </c>
      <c r="E7188" t="s">
        <v>19415</v>
      </c>
      <c r="F7188" t="s">
        <v>22436</v>
      </c>
      <c r="G7188" t="s">
        <v>22444</v>
      </c>
      <c r="H7188" t="s">
        <v>22452</v>
      </c>
      <c r="I7188" t="s">
        <v>22469</v>
      </c>
      <c r="J7188" t="s">
        <v>27224</v>
      </c>
      <c r="K7188" t="s">
        <v>29341</v>
      </c>
      <c r="M7188" t="s">
        <v>30787</v>
      </c>
      <c r="N7188" t="s">
        <v>32524</v>
      </c>
      <c r="O7188" t="s">
        <v>32525</v>
      </c>
      <c r="P7188">
        <v>0</v>
      </c>
      <c r="Q7188">
        <v>1</v>
      </c>
      <c r="R7188" t="s">
        <v>32532</v>
      </c>
      <c r="S7188" t="s">
        <v>32616</v>
      </c>
      <c r="T7188" t="s">
        <v>33238</v>
      </c>
      <c r="U7188" t="s">
        <v>39643</v>
      </c>
      <c r="W7188" t="s">
        <v>43707</v>
      </c>
      <c r="X7188" t="s">
        <v>32533</v>
      </c>
    </row>
    <row r="7189" spans="1:24">
      <c r="A7189">
        <f>HYPERLINK("https://www.philgeps.gov.ph/GEPSNONPILOT/Tender/SplashBidNoticeAbstractUI.aspx?menuIndex=3&amp;refID=7038124&amp;Result=3","7038124")</f>
        <v>0</v>
      </c>
      <c r="B7189" t="s">
        <v>1144</v>
      </c>
      <c r="C7189" t="s">
        <v>9544</v>
      </c>
      <c r="D7189" t="s">
        <v>13002</v>
      </c>
      <c r="E7189" t="s">
        <v>19416</v>
      </c>
      <c r="F7189" t="s">
        <v>22436</v>
      </c>
      <c r="G7189" t="s">
        <v>22444</v>
      </c>
      <c r="H7189" t="s">
        <v>22452</v>
      </c>
      <c r="I7189" t="s">
        <v>22484</v>
      </c>
      <c r="J7189" t="s">
        <v>24893</v>
      </c>
      <c r="K7189" t="s">
        <v>29341</v>
      </c>
      <c r="M7189" t="s">
        <v>30787</v>
      </c>
      <c r="N7189" t="s">
        <v>32524</v>
      </c>
      <c r="O7189" t="s">
        <v>32525</v>
      </c>
      <c r="P7189">
        <v>0</v>
      </c>
      <c r="Q7189">
        <v>2</v>
      </c>
      <c r="R7189" t="s">
        <v>32532</v>
      </c>
      <c r="S7189" t="s">
        <v>32616</v>
      </c>
      <c r="T7189" t="s">
        <v>33238</v>
      </c>
      <c r="U7189" t="s">
        <v>39644</v>
      </c>
      <c r="W7189" t="s">
        <v>43707</v>
      </c>
      <c r="X7189" t="s">
        <v>32533</v>
      </c>
    </row>
    <row r="7190" spans="1:24">
      <c r="A7190">
        <f>HYPERLINK("https://www.philgeps.gov.ph/GEPSNONPILOT/Tender/SplashBidNoticeAbstractUI.aspx?menuIndex=3&amp;refID=7038131&amp;Result=3","7038131")</f>
        <v>0</v>
      </c>
      <c r="B7190" t="s">
        <v>1144</v>
      </c>
      <c r="C7190" t="s">
        <v>9545</v>
      </c>
      <c r="D7190" t="s">
        <v>13002</v>
      </c>
      <c r="E7190" t="s">
        <v>19417</v>
      </c>
      <c r="F7190" t="s">
        <v>22436</v>
      </c>
      <c r="G7190" t="s">
        <v>22444</v>
      </c>
      <c r="H7190" t="s">
        <v>22452</v>
      </c>
      <c r="I7190" t="s">
        <v>22463</v>
      </c>
      <c r="J7190" t="s">
        <v>27225</v>
      </c>
      <c r="K7190" t="s">
        <v>29341</v>
      </c>
      <c r="M7190" t="s">
        <v>30787</v>
      </c>
      <c r="N7190" t="s">
        <v>32524</v>
      </c>
      <c r="O7190" t="s">
        <v>32525</v>
      </c>
      <c r="P7190">
        <v>0</v>
      </c>
      <c r="Q7190">
        <v>4</v>
      </c>
      <c r="R7190" t="s">
        <v>32532</v>
      </c>
      <c r="S7190" t="s">
        <v>32616</v>
      </c>
      <c r="T7190" t="s">
        <v>33238</v>
      </c>
      <c r="U7190" t="s">
        <v>39645</v>
      </c>
      <c r="W7190" t="s">
        <v>43707</v>
      </c>
      <c r="X7190" t="s">
        <v>32533</v>
      </c>
    </row>
    <row r="7191" spans="1:24">
      <c r="A7191">
        <f>HYPERLINK("https://www.philgeps.gov.ph/GEPSNONPILOT/Tender/SplashBidNoticeAbstractUI.aspx?menuIndex=3&amp;refID=7038130&amp;Result=3","7038130")</f>
        <v>0</v>
      </c>
      <c r="B7191" t="s">
        <v>2157</v>
      </c>
      <c r="C7191" t="s">
        <v>9546</v>
      </c>
      <c r="D7191" t="s">
        <v>12988</v>
      </c>
      <c r="E7191" t="s">
        <v>19418</v>
      </c>
      <c r="F7191" t="s">
        <v>22436</v>
      </c>
      <c r="G7191" t="s">
        <v>22444</v>
      </c>
      <c r="H7191" t="s">
        <v>22454</v>
      </c>
      <c r="I7191" t="s">
        <v>7738</v>
      </c>
      <c r="J7191" t="s">
        <v>27226</v>
      </c>
      <c r="K7191" t="s">
        <v>29344</v>
      </c>
      <c r="M7191" t="s">
        <v>31911</v>
      </c>
      <c r="N7191" t="s">
        <v>32524</v>
      </c>
      <c r="O7191" t="s">
        <v>32525</v>
      </c>
      <c r="Q7191">
        <v>27</v>
      </c>
      <c r="R7191" t="s">
        <v>32532</v>
      </c>
      <c r="S7191" t="s">
        <v>32665</v>
      </c>
      <c r="T7191" t="s">
        <v>33242</v>
      </c>
      <c r="U7191" t="s">
        <v>39646</v>
      </c>
      <c r="W7191" t="s">
        <v>31911</v>
      </c>
      <c r="X7191" t="s">
        <v>32533</v>
      </c>
    </row>
    <row r="7192" spans="1:24">
      <c r="A7192">
        <f>HYPERLINK("https://www.philgeps.gov.ph/GEPSNONPILOT/Tender/SplashBidNoticeAbstractUI.aspx?menuIndex=3&amp;refID=7038123&amp;Result=3","7038123")</f>
        <v>0</v>
      </c>
      <c r="B7192" t="s">
        <v>1144</v>
      </c>
      <c r="C7192" t="s">
        <v>9547</v>
      </c>
      <c r="D7192" t="s">
        <v>13002</v>
      </c>
      <c r="E7192" t="s">
        <v>19419</v>
      </c>
      <c r="F7192" t="s">
        <v>22436</v>
      </c>
      <c r="G7192" t="s">
        <v>22444</v>
      </c>
      <c r="H7192" t="s">
        <v>22452</v>
      </c>
      <c r="I7192" t="s">
        <v>6421</v>
      </c>
      <c r="J7192" t="s">
        <v>27227</v>
      </c>
      <c r="K7192" t="s">
        <v>29341</v>
      </c>
      <c r="M7192" t="s">
        <v>30787</v>
      </c>
      <c r="N7192" t="s">
        <v>32524</v>
      </c>
      <c r="O7192" t="s">
        <v>32525</v>
      </c>
      <c r="P7192">
        <v>0</v>
      </c>
      <c r="Q7192">
        <v>0</v>
      </c>
      <c r="R7192" t="s">
        <v>32532</v>
      </c>
      <c r="S7192" t="s">
        <v>32616</v>
      </c>
      <c r="T7192" t="s">
        <v>33238</v>
      </c>
      <c r="U7192" t="s">
        <v>39647</v>
      </c>
      <c r="W7192" t="s">
        <v>43707</v>
      </c>
      <c r="X7192" t="s">
        <v>32533</v>
      </c>
    </row>
    <row r="7193" spans="1:24">
      <c r="A7193">
        <f>HYPERLINK("https://www.philgeps.gov.ph/GEPSNONPILOT/Tender/SplashBidNoticeAbstractUI.aspx?menuIndex=3&amp;refID=7038132&amp;Result=3","7038132")</f>
        <v>0</v>
      </c>
      <c r="B7193" t="s">
        <v>1794</v>
      </c>
      <c r="C7193" t="s">
        <v>9548</v>
      </c>
      <c r="D7193" t="s">
        <v>13069</v>
      </c>
      <c r="E7193" t="s">
        <v>17582</v>
      </c>
      <c r="F7193" t="s">
        <v>22436</v>
      </c>
      <c r="G7193" t="s">
        <v>22444</v>
      </c>
      <c r="H7193" t="s">
        <v>22454</v>
      </c>
      <c r="I7193" t="s">
        <v>7738</v>
      </c>
      <c r="J7193" t="s">
        <v>27228</v>
      </c>
      <c r="K7193" t="s">
        <v>29329</v>
      </c>
      <c r="M7193" t="s">
        <v>31505</v>
      </c>
      <c r="N7193" t="s">
        <v>32524</v>
      </c>
      <c r="O7193" t="s">
        <v>32525</v>
      </c>
      <c r="P7193">
        <v>0</v>
      </c>
      <c r="Q7193">
        <v>3</v>
      </c>
      <c r="R7193" t="s">
        <v>32532</v>
      </c>
      <c r="S7193" t="s">
        <v>32616</v>
      </c>
      <c r="T7193" t="s">
        <v>33218</v>
      </c>
      <c r="U7193" t="s">
        <v>39648</v>
      </c>
      <c r="V7193" t="s">
        <v>43021</v>
      </c>
      <c r="W7193" t="s">
        <v>31505</v>
      </c>
      <c r="X7193" t="s">
        <v>32533</v>
      </c>
    </row>
    <row r="7194" spans="1:24">
      <c r="A7194">
        <f>HYPERLINK("https://www.philgeps.gov.ph/GEPSNONPILOT/Tender/SplashBidNoticeAbstractUI.aspx?menuIndex=3&amp;refID=7038146&amp;Result=3","7038146")</f>
        <v>0</v>
      </c>
      <c r="B7194" t="s">
        <v>2157</v>
      </c>
      <c r="C7194" t="s">
        <v>9549</v>
      </c>
      <c r="D7194" t="s">
        <v>12988</v>
      </c>
      <c r="E7194" t="s">
        <v>19420</v>
      </c>
      <c r="F7194" t="s">
        <v>22436</v>
      </c>
      <c r="G7194" t="s">
        <v>22444</v>
      </c>
      <c r="H7194" t="s">
        <v>22454</v>
      </c>
      <c r="I7194" t="s">
        <v>7738</v>
      </c>
      <c r="J7194" t="s">
        <v>27229</v>
      </c>
      <c r="K7194" t="s">
        <v>29333</v>
      </c>
      <c r="M7194" t="s">
        <v>31911</v>
      </c>
      <c r="N7194" t="s">
        <v>32524</v>
      </c>
      <c r="O7194" t="s">
        <v>32525</v>
      </c>
      <c r="Q7194">
        <v>52</v>
      </c>
      <c r="R7194" t="s">
        <v>32532</v>
      </c>
      <c r="S7194" t="s">
        <v>32666</v>
      </c>
      <c r="T7194" t="s">
        <v>33242</v>
      </c>
      <c r="U7194" t="s">
        <v>39649</v>
      </c>
      <c r="W7194" t="s">
        <v>31911</v>
      </c>
      <c r="X7194" t="s">
        <v>32533</v>
      </c>
    </row>
    <row r="7195" spans="1:24">
      <c r="A7195">
        <f>HYPERLINK("https://www.philgeps.gov.ph/GEPSNONPILOT/Tender/SplashBidNoticeAbstractUI.aspx?menuIndex=3&amp;refID=7038129&amp;Result=3","7038129")</f>
        <v>0</v>
      </c>
      <c r="B7195" t="s">
        <v>1144</v>
      </c>
      <c r="C7195" t="s">
        <v>9550</v>
      </c>
      <c r="D7195" t="s">
        <v>13002</v>
      </c>
      <c r="E7195" t="s">
        <v>19421</v>
      </c>
      <c r="F7195" t="s">
        <v>22436</v>
      </c>
      <c r="G7195" t="s">
        <v>22444</v>
      </c>
      <c r="H7195" t="s">
        <v>22452</v>
      </c>
      <c r="I7195" t="s">
        <v>2981</v>
      </c>
      <c r="J7195" t="s">
        <v>27230</v>
      </c>
      <c r="K7195" t="s">
        <v>29341</v>
      </c>
      <c r="M7195" t="s">
        <v>30787</v>
      </c>
      <c r="N7195" t="s">
        <v>32524</v>
      </c>
      <c r="O7195" t="s">
        <v>32525</v>
      </c>
      <c r="P7195">
        <v>0</v>
      </c>
      <c r="Q7195">
        <v>2</v>
      </c>
      <c r="R7195" t="s">
        <v>32532</v>
      </c>
      <c r="S7195" t="s">
        <v>32616</v>
      </c>
      <c r="T7195" t="s">
        <v>33238</v>
      </c>
      <c r="U7195" t="s">
        <v>39650</v>
      </c>
      <c r="W7195" t="s">
        <v>43707</v>
      </c>
      <c r="X7195" t="s">
        <v>32533</v>
      </c>
    </row>
    <row r="7196" spans="1:24">
      <c r="A7196">
        <f>HYPERLINK("https://www.philgeps.gov.ph/GEPSNONPILOT/Tender/SplashBidNoticeAbstractUI.aspx?menuIndex=3&amp;refID=7038122&amp;Result=3","7038122")</f>
        <v>0</v>
      </c>
      <c r="B7196" t="s">
        <v>1794</v>
      </c>
      <c r="C7196" t="s">
        <v>9551</v>
      </c>
      <c r="D7196" t="s">
        <v>13069</v>
      </c>
      <c r="E7196" t="s">
        <v>19422</v>
      </c>
      <c r="F7196" t="s">
        <v>22436</v>
      </c>
      <c r="G7196" t="s">
        <v>22444</v>
      </c>
      <c r="H7196" t="s">
        <v>22452</v>
      </c>
      <c r="I7196" t="s">
        <v>3529</v>
      </c>
      <c r="J7196" t="s">
        <v>27231</v>
      </c>
      <c r="K7196" t="s">
        <v>29341</v>
      </c>
      <c r="M7196" t="s">
        <v>31505</v>
      </c>
      <c r="N7196" t="s">
        <v>32524</v>
      </c>
      <c r="O7196" t="s">
        <v>32525</v>
      </c>
      <c r="P7196">
        <v>0</v>
      </c>
      <c r="Q7196">
        <v>3</v>
      </c>
      <c r="R7196" t="s">
        <v>32532</v>
      </c>
      <c r="S7196" t="s">
        <v>32616</v>
      </c>
      <c r="T7196" t="s">
        <v>33218</v>
      </c>
      <c r="U7196" t="s">
        <v>39651</v>
      </c>
      <c r="V7196" t="s">
        <v>43021</v>
      </c>
      <c r="W7196" t="s">
        <v>31505</v>
      </c>
      <c r="X7196" t="s">
        <v>32533</v>
      </c>
    </row>
    <row r="7197" spans="1:24">
      <c r="A7197">
        <f>HYPERLINK("https://www.philgeps.gov.ph/GEPSNONPILOT/Tender/SplashBidNoticeAbstractUI.aspx?menuIndex=3&amp;refID=7038135&amp;Result=3","7038135")</f>
        <v>0</v>
      </c>
      <c r="B7197" t="s">
        <v>2150</v>
      </c>
      <c r="C7197" t="s">
        <v>9552</v>
      </c>
      <c r="D7197" t="s">
        <v>12993</v>
      </c>
      <c r="E7197" t="s">
        <v>19423</v>
      </c>
      <c r="F7197" t="s">
        <v>22436</v>
      </c>
      <c r="G7197" t="s">
        <v>22444</v>
      </c>
      <c r="H7197" t="s">
        <v>22454</v>
      </c>
      <c r="I7197" t="s">
        <v>7738</v>
      </c>
      <c r="J7197" t="s">
        <v>22605</v>
      </c>
      <c r="K7197" t="s">
        <v>29334</v>
      </c>
      <c r="M7197" t="s">
        <v>31902</v>
      </c>
      <c r="N7197" t="s">
        <v>32524</v>
      </c>
      <c r="O7197" t="s">
        <v>32525</v>
      </c>
      <c r="P7197">
        <v>0</v>
      </c>
      <c r="Q7197">
        <v>0</v>
      </c>
      <c r="R7197" t="s">
        <v>32532</v>
      </c>
      <c r="S7197" t="s">
        <v>32616</v>
      </c>
      <c r="T7197" t="s">
        <v>33372</v>
      </c>
      <c r="U7197" t="s">
        <v>39652</v>
      </c>
      <c r="W7197" t="s">
        <v>31902</v>
      </c>
      <c r="X7197" t="s">
        <v>32533</v>
      </c>
    </row>
    <row r="7198" spans="1:24">
      <c r="A7198">
        <f>HYPERLINK("https://www.philgeps.gov.ph/GEPSNONPILOT/Tender/SplashBidNoticeAbstractUI.aspx?menuIndex=3&amp;refID=7038149&amp;Result=3","7038149")</f>
        <v>0</v>
      </c>
      <c r="B7198" t="s">
        <v>1144</v>
      </c>
      <c r="C7198" t="s">
        <v>9553</v>
      </c>
      <c r="D7198" t="s">
        <v>13002</v>
      </c>
      <c r="E7198" t="s">
        <v>19424</v>
      </c>
      <c r="F7198" t="s">
        <v>22436</v>
      </c>
      <c r="G7198" t="s">
        <v>22444</v>
      </c>
      <c r="H7198" t="s">
        <v>22452</v>
      </c>
      <c r="I7198" t="s">
        <v>22467</v>
      </c>
      <c r="J7198" t="s">
        <v>27232</v>
      </c>
      <c r="K7198" t="s">
        <v>29334</v>
      </c>
      <c r="M7198" t="s">
        <v>30787</v>
      </c>
      <c r="N7198" t="s">
        <v>32524</v>
      </c>
      <c r="O7198" t="s">
        <v>32525</v>
      </c>
      <c r="P7198">
        <v>0</v>
      </c>
      <c r="Q7198">
        <v>0</v>
      </c>
      <c r="R7198" t="s">
        <v>32532</v>
      </c>
      <c r="S7198" t="s">
        <v>32616</v>
      </c>
      <c r="T7198" t="s">
        <v>33253</v>
      </c>
      <c r="U7198" t="s">
        <v>39653</v>
      </c>
      <c r="W7198" t="s">
        <v>43707</v>
      </c>
      <c r="X7198" t="s">
        <v>32533</v>
      </c>
    </row>
    <row r="7199" spans="1:24">
      <c r="A7199">
        <f>HYPERLINK("https://www.philgeps.gov.ph/GEPSNONPILOT/Tender/SplashBidNoticeAbstractUI.aspx?menuIndex=3&amp;refID=7024007&amp;Result=3","7024007")</f>
        <v>0</v>
      </c>
      <c r="B7199" t="s">
        <v>2158</v>
      </c>
      <c r="C7199" t="s">
        <v>9554</v>
      </c>
      <c r="D7199" t="s">
        <v>13039</v>
      </c>
      <c r="E7199" t="s">
        <v>15072</v>
      </c>
      <c r="F7199" t="s">
        <v>22436</v>
      </c>
      <c r="G7199" t="s">
        <v>22444</v>
      </c>
      <c r="H7199" t="s">
        <v>22452</v>
      </c>
      <c r="I7199" t="s">
        <v>22479</v>
      </c>
      <c r="J7199" t="s">
        <v>27233</v>
      </c>
      <c r="K7199" t="s">
        <v>29335</v>
      </c>
      <c r="M7199" t="s">
        <v>31912</v>
      </c>
      <c r="N7199" t="s">
        <v>32524</v>
      </c>
      <c r="O7199" t="s">
        <v>32525</v>
      </c>
      <c r="P7199">
        <v>0</v>
      </c>
      <c r="Q7199">
        <v>1</v>
      </c>
      <c r="R7199" t="s">
        <v>32533</v>
      </c>
      <c r="S7199" t="s">
        <v>32667</v>
      </c>
      <c r="T7199" t="s">
        <v>33234</v>
      </c>
      <c r="U7199" t="s">
        <v>39654</v>
      </c>
      <c r="V7199" t="s">
        <v>43213</v>
      </c>
      <c r="W7199" t="s">
        <v>31912</v>
      </c>
      <c r="X7199" t="s">
        <v>32540</v>
      </c>
    </row>
    <row r="7200" spans="1:24">
      <c r="A7200">
        <f>HYPERLINK("https://www.philgeps.gov.ph/GEPSNONPILOT/Tender/SplashBidNoticeAbstractUI.aspx?menuIndex=3&amp;refID=7024022&amp;Result=3","7024022")</f>
        <v>0</v>
      </c>
      <c r="B7200" t="s">
        <v>2158</v>
      </c>
      <c r="C7200" t="s">
        <v>9555</v>
      </c>
      <c r="D7200" t="s">
        <v>13039</v>
      </c>
      <c r="E7200" t="s">
        <v>15092</v>
      </c>
      <c r="F7200" t="s">
        <v>22436</v>
      </c>
      <c r="G7200" t="s">
        <v>22444</v>
      </c>
      <c r="H7200" t="s">
        <v>22452</v>
      </c>
      <c r="I7200" t="s">
        <v>2981</v>
      </c>
      <c r="J7200" t="s">
        <v>27234</v>
      </c>
      <c r="K7200" t="s">
        <v>29335</v>
      </c>
      <c r="M7200" t="s">
        <v>31912</v>
      </c>
      <c r="N7200" t="s">
        <v>32524</v>
      </c>
      <c r="O7200" t="s">
        <v>32525</v>
      </c>
      <c r="P7200">
        <v>0</v>
      </c>
      <c r="Q7200">
        <v>0</v>
      </c>
      <c r="R7200" t="s">
        <v>32533</v>
      </c>
      <c r="S7200" t="s">
        <v>32667</v>
      </c>
      <c r="T7200" t="s">
        <v>33234</v>
      </c>
      <c r="U7200" t="s">
        <v>39655</v>
      </c>
      <c r="V7200" t="s">
        <v>43213</v>
      </c>
      <c r="W7200" t="s">
        <v>31912</v>
      </c>
      <c r="X7200" t="s">
        <v>32540</v>
      </c>
    </row>
    <row r="7201" spans="1:24">
      <c r="A7201">
        <f>HYPERLINK("https://www.philgeps.gov.ph/GEPSNONPILOT/Tender/SplashBidNoticeAbstractUI.aspx?menuIndex=3&amp;refID=7023981&amp;Result=3","7023981")</f>
        <v>0</v>
      </c>
      <c r="B7201" t="s">
        <v>2158</v>
      </c>
      <c r="C7201" t="s">
        <v>9556</v>
      </c>
      <c r="D7201" t="s">
        <v>13045</v>
      </c>
      <c r="E7201" t="s">
        <v>17003</v>
      </c>
      <c r="F7201" t="s">
        <v>22436</v>
      </c>
      <c r="G7201" t="s">
        <v>22444</v>
      </c>
      <c r="H7201" t="s">
        <v>22452</v>
      </c>
      <c r="I7201" t="s">
        <v>22479</v>
      </c>
      <c r="J7201" t="s">
        <v>27235</v>
      </c>
      <c r="K7201" t="s">
        <v>29335</v>
      </c>
      <c r="M7201" t="s">
        <v>31912</v>
      </c>
      <c r="N7201" t="s">
        <v>32524</v>
      </c>
      <c r="O7201" t="s">
        <v>32525</v>
      </c>
      <c r="P7201">
        <v>0</v>
      </c>
      <c r="Q7201">
        <v>0</v>
      </c>
      <c r="R7201" t="s">
        <v>32533</v>
      </c>
      <c r="S7201" t="s">
        <v>32667</v>
      </c>
      <c r="T7201" t="s">
        <v>33234</v>
      </c>
      <c r="U7201" t="s">
        <v>39656</v>
      </c>
      <c r="V7201" t="s">
        <v>43213</v>
      </c>
      <c r="W7201" t="s">
        <v>31912</v>
      </c>
      <c r="X7201" t="s">
        <v>32540</v>
      </c>
    </row>
    <row r="7202" spans="1:24">
      <c r="A7202">
        <f>HYPERLINK("https://www.philgeps.gov.ph/GEPSNONPILOT/Tender/SplashBidNoticeAbstractUI.aspx?menuIndex=3&amp;refID=7038127&amp;Result=3","7038127")</f>
        <v>0</v>
      </c>
      <c r="B7202" t="s">
        <v>1144</v>
      </c>
      <c r="C7202" t="s">
        <v>9557</v>
      </c>
      <c r="D7202" t="s">
        <v>13002</v>
      </c>
      <c r="E7202" t="s">
        <v>19425</v>
      </c>
      <c r="F7202" t="s">
        <v>22436</v>
      </c>
      <c r="G7202" t="s">
        <v>22444</v>
      </c>
      <c r="H7202" t="s">
        <v>22452</v>
      </c>
      <c r="I7202" t="s">
        <v>22469</v>
      </c>
      <c r="J7202" t="s">
        <v>23063</v>
      </c>
      <c r="K7202" t="s">
        <v>29341</v>
      </c>
      <c r="M7202" t="s">
        <v>30787</v>
      </c>
      <c r="N7202" t="s">
        <v>32524</v>
      </c>
      <c r="O7202" t="s">
        <v>32525</v>
      </c>
      <c r="P7202">
        <v>0</v>
      </c>
      <c r="Q7202">
        <v>3</v>
      </c>
      <c r="R7202" t="s">
        <v>32532</v>
      </c>
      <c r="S7202" t="s">
        <v>32616</v>
      </c>
      <c r="T7202" t="s">
        <v>33238</v>
      </c>
      <c r="U7202" t="s">
        <v>39657</v>
      </c>
      <c r="W7202" t="s">
        <v>43707</v>
      </c>
      <c r="X7202" t="s">
        <v>32533</v>
      </c>
    </row>
    <row r="7203" spans="1:24">
      <c r="A7203">
        <f>HYPERLINK("https://www.philgeps.gov.ph/GEPSNONPILOT/Tender/SplashBidNoticeAbstractUI.aspx?menuIndex=3&amp;refID=7024029&amp;Result=3","7024029")</f>
        <v>0</v>
      </c>
      <c r="B7203" t="s">
        <v>2158</v>
      </c>
      <c r="C7203" t="s">
        <v>9558</v>
      </c>
      <c r="D7203" t="s">
        <v>13045</v>
      </c>
      <c r="E7203" t="s">
        <v>15111</v>
      </c>
      <c r="F7203" t="s">
        <v>22436</v>
      </c>
      <c r="G7203" t="s">
        <v>22444</v>
      </c>
      <c r="H7203" t="s">
        <v>22452</v>
      </c>
      <c r="I7203" t="s">
        <v>22474</v>
      </c>
      <c r="J7203" t="s">
        <v>24169</v>
      </c>
      <c r="K7203" t="s">
        <v>29335</v>
      </c>
      <c r="M7203" t="s">
        <v>31912</v>
      </c>
      <c r="N7203" t="s">
        <v>32524</v>
      </c>
      <c r="O7203" t="s">
        <v>32525</v>
      </c>
      <c r="P7203">
        <v>0</v>
      </c>
      <c r="Q7203">
        <v>3</v>
      </c>
      <c r="R7203" t="s">
        <v>32533</v>
      </c>
      <c r="S7203" t="s">
        <v>32667</v>
      </c>
      <c r="T7203" t="s">
        <v>33234</v>
      </c>
      <c r="U7203" t="s">
        <v>39658</v>
      </c>
      <c r="V7203" t="s">
        <v>43213</v>
      </c>
      <c r="W7203" t="s">
        <v>31912</v>
      </c>
      <c r="X7203" t="s">
        <v>32540</v>
      </c>
    </row>
    <row r="7204" spans="1:24">
      <c r="A7204">
        <f>HYPERLINK("https://www.philgeps.gov.ph/GEPSNONPILOT/Tender/SplashBidNoticeAbstractUI.aspx?menuIndex=3&amp;refID=7024014&amp;Result=3","7024014")</f>
        <v>0</v>
      </c>
      <c r="B7204" t="s">
        <v>2158</v>
      </c>
      <c r="C7204" t="s">
        <v>9559</v>
      </c>
      <c r="D7204" t="s">
        <v>13039</v>
      </c>
      <c r="E7204" t="s">
        <v>15086</v>
      </c>
      <c r="F7204" t="s">
        <v>22436</v>
      </c>
      <c r="G7204" t="s">
        <v>22444</v>
      </c>
      <c r="H7204" t="s">
        <v>22452</v>
      </c>
      <c r="I7204" t="s">
        <v>22479</v>
      </c>
      <c r="J7204" t="s">
        <v>27236</v>
      </c>
      <c r="K7204" t="s">
        <v>29335</v>
      </c>
      <c r="M7204" t="s">
        <v>31912</v>
      </c>
      <c r="N7204" t="s">
        <v>32524</v>
      </c>
      <c r="O7204" t="s">
        <v>32525</v>
      </c>
      <c r="P7204">
        <v>0</v>
      </c>
      <c r="Q7204">
        <v>0</v>
      </c>
      <c r="R7204" t="s">
        <v>32533</v>
      </c>
      <c r="S7204" t="s">
        <v>32667</v>
      </c>
      <c r="T7204" t="s">
        <v>33234</v>
      </c>
      <c r="U7204" t="s">
        <v>39659</v>
      </c>
      <c r="V7204" t="s">
        <v>43213</v>
      </c>
      <c r="W7204" t="s">
        <v>31912</v>
      </c>
      <c r="X7204" t="s">
        <v>32540</v>
      </c>
    </row>
    <row r="7205" spans="1:24">
      <c r="A7205">
        <f>HYPERLINK("https://www.philgeps.gov.ph/GEPSNONPILOT/Tender/SplashBidNoticeAbstractUI.aspx?menuIndex=3&amp;refID=7023992&amp;Result=3","7023992")</f>
        <v>0</v>
      </c>
      <c r="B7205" t="s">
        <v>2158</v>
      </c>
      <c r="C7205" t="s">
        <v>9560</v>
      </c>
      <c r="D7205" t="s">
        <v>13045</v>
      </c>
      <c r="E7205" t="s">
        <v>16991</v>
      </c>
      <c r="F7205" t="s">
        <v>22436</v>
      </c>
      <c r="G7205" t="s">
        <v>22444</v>
      </c>
      <c r="H7205" t="s">
        <v>22452</v>
      </c>
      <c r="I7205" t="s">
        <v>22479</v>
      </c>
      <c r="J7205" t="s">
        <v>27237</v>
      </c>
      <c r="K7205" t="s">
        <v>29335</v>
      </c>
      <c r="M7205" t="s">
        <v>31912</v>
      </c>
      <c r="N7205" t="s">
        <v>32524</v>
      </c>
      <c r="O7205" t="s">
        <v>32525</v>
      </c>
      <c r="P7205">
        <v>0</v>
      </c>
      <c r="Q7205">
        <v>1</v>
      </c>
      <c r="R7205" t="s">
        <v>32533</v>
      </c>
      <c r="S7205" t="s">
        <v>32667</v>
      </c>
      <c r="T7205" t="s">
        <v>33234</v>
      </c>
      <c r="U7205" t="s">
        <v>39660</v>
      </c>
      <c r="V7205" t="s">
        <v>43213</v>
      </c>
      <c r="W7205" t="s">
        <v>31912</v>
      </c>
      <c r="X7205" t="s">
        <v>32540</v>
      </c>
    </row>
    <row r="7206" spans="1:24">
      <c r="A7206">
        <f>HYPERLINK("https://www.philgeps.gov.ph/GEPSNONPILOT/Tender/SplashBidNoticeAbstractUI.aspx?menuIndex=3&amp;refID=7021697&amp;Result=3","7021697")</f>
        <v>0</v>
      </c>
      <c r="B7206" t="s">
        <v>2159</v>
      </c>
      <c r="C7206" t="s">
        <v>9561</v>
      </c>
      <c r="D7206" t="s">
        <v>13002</v>
      </c>
      <c r="E7206" t="s">
        <v>19426</v>
      </c>
      <c r="F7206" t="s">
        <v>22436</v>
      </c>
      <c r="G7206" t="s">
        <v>22444</v>
      </c>
      <c r="H7206" t="s">
        <v>22454</v>
      </c>
      <c r="I7206" t="s">
        <v>7738</v>
      </c>
      <c r="J7206" t="s">
        <v>27238</v>
      </c>
      <c r="K7206" t="s">
        <v>29388</v>
      </c>
      <c r="M7206" t="s">
        <v>31913</v>
      </c>
      <c r="N7206" t="s">
        <v>32524</v>
      </c>
      <c r="O7206" t="s">
        <v>32525</v>
      </c>
      <c r="P7206">
        <v>0</v>
      </c>
      <c r="Q7206">
        <v>0</v>
      </c>
      <c r="R7206" t="s">
        <v>32533</v>
      </c>
      <c r="S7206" t="s">
        <v>32667</v>
      </c>
      <c r="T7206" t="s">
        <v>33405</v>
      </c>
      <c r="U7206" t="s">
        <v>39661</v>
      </c>
      <c r="V7206" t="s">
        <v>43092</v>
      </c>
      <c r="W7206" t="s">
        <v>31913</v>
      </c>
      <c r="X7206" t="s">
        <v>32540</v>
      </c>
    </row>
    <row r="7207" spans="1:24">
      <c r="A7207">
        <f>HYPERLINK("https://www.philgeps.gov.ph/GEPSNONPILOT/Tender/SplashBidNoticeAbstractUI.aspx?menuIndex=3&amp;refID=7022670&amp;Result=3","7022670")</f>
        <v>0</v>
      </c>
      <c r="B7207" t="s">
        <v>825</v>
      </c>
      <c r="C7207" t="s">
        <v>9562</v>
      </c>
      <c r="D7207" t="s">
        <v>13062</v>
      </c>
      <c r="E7207" t="s">
        <v>19427</v>
      </c>
      <c r="F7207" t="s">
        <v>22436</v>
      </c>
      <c r="G7207" t="s">
        <v>22444</v>
      </c>
      <c r="H7207" t="s">
        <v>22454</v>
      </c>
      <c r="I7207" t="s">
        <v>7738</v>
      </c>
      <c r="J7207" t="s">
        <v>27239</v>
      </c>
      <c r="K7207" t="s">
        <v>29333</v>
      </c>
      <c r="M7207" t="s">
        <v>31914</v>
      </c>
      <c r="N7207" t="s">
        <v>32524</v>
      </c>
      <c r="O7207" t="s">
        <v>32525</v>
      </c>
      <c r="P7207">
        <v>0</v>
      </c>
      <c r="Q7207">
        <v>2</v>
      </c>
      <c r="R7207" t="s">
        <v>32533</v>
      </c>
      <c r="S7207" t="s">
        <v>32667</v>
      </c>
      <c r="T7207" t="s">
        <v>33486</v>
      </c>
      <c r="U7207" t="s">
        <v>39662</v>
      </c>
      <c r="W7207" t="s">
        <v>31914</v>
      </c>
      <c r="X7207" t="s">
        <v>32540</v>
      </c>
    </row>
    <row r="7208" spans="1:24">
      <c r="A7208">
        <f>HYPERLINK("https://www.philgeps.gov.ph/GEPSNONPILOT/Tender/SplashBidNoticeAbstractUI.aspx?menuIndex=3&amp;refID=7022615&amp;Result=3","7022615")</f>
        <v>0</v>
      </c>
      <c r="B7208" t="s">
        <v>2160</v>
      </c>
      <c r="C7208" t="s">
        <v>9563</v>
      </c>
      <c r="D7208" t="s">
        <v>13043</v>
      </c>
      <c r="E7208" t="s">
        <v>19428</v>
      </c>
      <c r="F7208" t="s">
        <v>22436</v>
      </c>
      <c r="G7208" t="s">
        <v>22444</v>
      </c>
      <c r="H7208" t="s">
        <v>22452</v>
      </c>
      <c r="I7208" t="s">
        <v>3381</v>
      </c>
      <c r="J7208" t="s">
        <v>22893</v>
      </c>
      <c r="K7208" t="s">
        <v>29335</v>
      </c>
      <c r="M7208" t="s">
        <v>31915</v>
      </c>
      <c r="N7208" t="s">
        <v>32524</v>
      </c>
      <c r="O7208" t="s">
        <v>32525</v>
      </c>
      <c r="P7208">
        <v>0</v>
      </c>
      <c r="Q7208">
        <v>0</v>
      </c>
      <c r="R7208" t="s">
        <v>32533</v>
      </c>
      <c r="S7208" t="s">
        <v>32667</v>
      </c>
      <c r="T7208" t="s">
        <v>33188</v>
      </c>
      <c r="U7208" t="s">
        <v>39663</v>
      </c>
      <c r="W7208" t="s">
        <v>31915</v>
      </c>
      <c r="X7208" t="s">
        <v>32540</v>
      </c>
    </row>
    <row r="7209" spans="1:24">
      <c r="A7209">
        <f>HYPERLINK("https://www.philgeps.gov.ph/GEPSNONPILOT/Tender/SplashBidNoticeAbstractUI.aspx?menuIndex=3&amp;refID=7024367&amp;Result=3","7024367")</f>
        <v>0</v>
      </c>
      <c r="B7209" t="s">
        <v>58</v>
      </c>
      <c r="C7209" t="s">
        <v>9564</v>
      </c>
      <c r="D7209" t="s">
        <v>13014</v>
      </c>
      <c r="E7209" t="s">
        <v>19429</v>
      </c>
      <c r="F7209" t="s">
        <v>22436</v>
      </c>
      <c r="G7209" t="s">
        <v>22444</v>
      </c>
      <c r="H7209" t="s">
        <v>22454</v>
      </c>
      <c r="I7209" t="s">
        <v>7738</v>
      </c>
      <c r="J7209" t="s">
        <v>27240</v>
      </c>
      <c r="K7209" t="s">
        <v>29337</v>
      </c>
      <c r="M7209" t="s">
        <v>29630</v>
      </c>
      <c r="N7209" t="s">
        <v>32524</v>
      </c>
      <c r="O7209" t="s">
        <v>32525</v>
      </c>
      <c r="P7209">
        <v>0</v>
      </c>
      <c r="Q7209">
        <v>0</v>
      </c>
      <c r="R7209" t="s">
        <v>32533</v>
      </c>
      <c r="S7209" t="s">
        <v>32667</v>
      </c>
      <c r="T7209" t="s">
        <v>33238</v>
      </c>
      <c r="U7209" t="s">
        <v>39664</v>
      </c>
      <c r="W7209" t="s">
        <v>29630</v>
      </c>
      <c r="X7209" t="s">
        <v>32539</v>
      </c>
    </row>
    <row r="7210" spans="1:24">
      <c r="A7210">
        <f>HYPERLINK("https://www.philgeps.gov.ph/GEPSNONPILOT/Tender/SplashBidNoticeAbstractUI.aspx?menuIndex=3&amp;refID=7038154&amp;Result=3","7038154")</f>
        <v>0</v>
      </c>
      <c r="B7210" t="s">
        <v>1584</v>
      </c>
      <c r="C7210" t="s">
        <v>9565</v>
      </c>
      <c r="D7210" t="s">
        <v>13033</v>
      </c>
      <c r="E7210" t="s">
        <v>19430</v>
      </c>
      <c r="F7210" t="s">
        <v>22436</v>
      </c>
      <c r="G7210" t="s">
        <v>22444</v>
      </c>
      <c r="H7210" t="s">
        <v>22454</v>
      </c>
      <c r="I7210" t="s">
        <v>7738</v>
      </c>
      <c r="J7210" t="s">
        <v>22640</v>
      </c>
      <c r="K7210" t="s">
        <v>29329</v>
      </c>
      <c r="M7210" t="s">
        <v>31266</v>
      </c>
      <c r="N7210" t="s">
        <v>32524</v>
      </c>
      <c r="O7210" t="s">
        <v>32525</v>
      </c>
      <c r="P7210">
        <v>0</v>
      </c>
      <c r="Q7210">
        <v>0</v>
      </c>
      <c r="R7210" t="s">
        <v>32532</v>
      </c>
      <c r="S7210" t="s">
        <v>32616</v>
      </c>
      <c r="T7210" t="s">
        <v>33261</v>
      </c>
      <c r="U7210" t="s">
        <v>39665</v>
      </c>
      <c r="W7210" t="s">
        <v>31266</v>
      </c>
      <c r="X7210" t="s">
        <v>32533</v>
      </c>
    </row>
    <row r="7211" spans="1:24">
      <c r="A7211">
        <f>HYPERLINK("https://www.philgeps.gov.ph/GEPSNONPILOT/Tender/SplashBidNoticeAbstractUI.aspx?menuIndex=3&amp;refID=7024421&amp;Result=3","7024421")</f>
        <v>0</v>
      </c>
      <c r="B7211" t="s">
        <v>39</v>
      </c>
      <c r="C7211" t="s">
        <v>9566</v>
      </c>
      <c r="E7211" t="s">
        <v>19431</v>
      </c>
      <c r="F7211" t="s">
        <v>22436</v>
      </c>
      <c r="G7211" t="s">
        <v>22444</v>
      </c>
      <c r="H7211" t="s">
        <v>22452</v>
      </c>
      <c r="I7211" t="s">
        <v>6421</v>
      </c>
      <c r="J7211" t="s">
        <v>27241</v>
      </c>
      <c r="K7211" t="s">
        <v>29338</v>
      </c>
      <c r="M7211" t="s">
        <v>29610</v>
      </c>
      <c r="N7211" t="s">
        <v>32524</v>
      </c>
      <c r="O7211" t="s">
        <v>32525</v>
      </c>
      <c r="P7211">
        <v>0</v>
      </c>
      <c r="Q7211">
        <v>10</v>
      </c>
      <c r="R7211" t="s">
        <v>32533</v>
      </c>
      <c r="S7211" t="s">
        <v>32667</v>
      </c>
      <c r="T7211" t="s">
        <v>33242</v>
      </c>
      <c r="U7211" t="s">
        <v>39666</v>
      </c>
      <c r="W7211" t="s">
        <v>29610</v>
      </c>
      <c r="X7211" t="s">
        <v>32539</v>
      </c>
    </row>
    <row r="7212" spans="1:24">
      <c r="A7212">
        <f>HYPERLINK("https://www.philgeps.gov.ph/GEPSNONPILOT/Tender/SplashBidNoticeAbstractUI.aspx?menuIndex=3&amp;refID=7021705&amp;Result=3","7021705")</f>
        <v>0</v>
      </c>
      <c r="B7212" t="s">
        <v>2159</v>
      </c>
      <c r="C7212" t="s">
        <v>9567</v>
      </c>
      <c r="D7212" t="s">
        <v>13002</v>
      </c>
      <c r="E7212" t="s">
        <v>19432</v>
      </c>
      <c r="F7212" t="s">
        <v>22436</v>
      </c>
      <c r="G7212" t="s">
        <v>22444</v>
      </c>
      <c r="H7212" t="s">
        <v>22454</v>
      </c>
      <c r="I7212" t="s">
        <v>7738</v>
      </c>
      <c r="J7212" t="s">
        <v>27242</v>
      </c>
      <c r="K7212" t="s">
        <v>29339</v>
      </c>
      <c r="M7212" t="s">
        <v>31913</v>
      </c>
      <c r="N7212" t="s">
        <v>32524</v>
      </c>
      <c r="O7212" t="s">
        <v>32525</v>
      </c>
      <c r="P7212">
        <v>0</v>
      </c>
      <c r="Q7212">
        <v>0</v>
      </c>
      <c r="R7212" t="s">
        <v>32533</v>
      </c>
      <c r="S7212" t="s">
        <v>32667</v>
      </c>
      <c r="T7212" t="s">
        <v>33405</v>
      </c>
      <c r="U7212" t="s">
        <v>39667</v>
      </c>
      <c r="V7212" t="s">
        <v>43092</v>
      </c>
      <c r="W7212" t="s">
        <v>31913</v>
      </c>
      <c r="X7212" t="s">
        <v>32540</v>
      </c>
    </row>
    <row r="7213" spans="1:24">
      <c r="A7213">
        <f>HYPERLINK("https://www.philgeps.gov.ph/GEPSNONPILOT/Tender/SplashBidNoticeAbstractUI.aspx?menuIndex=3&amp;refID=7019468&amp;Result=3","7019468")</f>
        <v>0</v>
      </c>
      <c r="B7213" t="s">
        <v>2159</v>
      </c>
      <c r="C7213" t="s">
        <v>9568</v>
      </c>
      <c r="D7213" t="s">
        <v>13002</v>
      </c>
      <c r="E7213" t="s">
        <v>19433</v>
      </c>
      <c r="F7213" t="s">
        <v>22436</v>
      </c>
      <c r="G7213" t="s">
        <v>22444</v>
      </c>
      <c r="H7213" t="s">
        <v>22454</v>
      </c>
      <c r="I7213" t="s">
        <v>7738</v>
      </c>
      <c r="J7213" t="s">
        <v>27243</v>
      </c>
      <c r="K7213" t="s">
        <v>29388</v>
      </c>
      <c r="M7213" t="s">
        <v>31913</v>
      </c>
      <c r="N7213" t="s">
        <v>32524</v>
      </c>
      <c r="O7213" t="s">
        <v>32525</v>
      </c>
      <c r="P7213">
        <v>0</v>
      </c>
      <c r="Q7213">
        <v>1</v>
      </c>
      <c r="R7213" t="s">
        <v>32533</v>
      </c>
      <c r="S7213" t="s">
        <v>32667</v>
      </c>
      <c r="T7213" t="s">
        <v>33405</v>
      </c>
      <c r="U7213" t="s">
        <v>39668</v>
      </c>
      <c r="V7213" t="s">
        <v>43092</v>
      </c>
      <c r="W7213" t="s">
        <v>31913</v>
      </c>
      <c r="X7213" t="s">
        <v>43779</v>
      </c>
    </row>
    <row r="7214" spans="1:24">
      <c r="A7214">
        <f>HYPERLINK("https://www.philgeps.gov.ph/GEPSNONPILOT/Tender/SplashBidNoticeAbstractUI.aspx?menuIndex=3&amp;refID=7026152&amp;Result=3","7026152")</f>
        <v>0</v>
      </c>
      <c r="B7214" t="s">
        <v>525</v>
      </c>
      <c r="C7214" t="s">
        <v>9569</v>
      </c>
      <c r="D7214" t="s">
        <v>13038</v>
      </c>
      <c r="E7214" t="s">
        <v>19434</v>
      </c>
      <c r="F7214" t="s">
        <v>22436</v>
      </c>
      <c r="G7214" t="s">
        <v>22444</v>
      </c>
      <c r="H7214" t="s">
        <v>22452</v>
      </c>
      <c r="I7214" t="s">
        <v>22466</v>
      </c>
      <c r="J7214" t="s">
        <v>27244</v>
      </c>
      <c r="K7214" t="s">
        <v>29335</v>
      </c>
      <c r="M7214" t="s">
        <v>30109</v>
      </c>
      <c r="N7214" t="s">
        <v>32524</v>
      </c>
      <c r="O7214" t="s">
        <v>32525</v>
      </c>
      <c r="Q7214">
        <v>6</v>
      </c>
      <c r="R7214" t="s">
        <v>32533</v>
      </c>
      <c r="S7214" t="s">
        <v>32668</v>
      </c>
      <c r="T7214" t="s">
        <v>33252</v>
      </c>
      <c r="U7214" t="s">
        <v>39669</v>
      </c>
      <c r="W7214" t="s">
        <v>30109</v>
      </c>
      <c r="X7214" t="s">
        <v>32539</v>
      </c>
    </row>
    <row r="7215" spans="1:24">
      <c r="A7215">
        <f>HYPERLINK("https://www.philgeps.gov.ph/GEPSNONPILOT/Tender/SplashBidNoticeAbstractUI.aspx?menuIndex=3&amp;refID=6851485-2&amp;Result=3","6851485-2")</f>
        <v>0</v>
      </c>
      <c r="B7215" t="s">
        <v>1289</v>
      </c>
      <c r="C7215" t="s">
        <v>9570</v>
      </c>
      <c r="E7215" t="s">
        <v>19435</v>
      </c>
      <c r="F7215" t="s">
        <v>22436</v>
      </c>
      <c r="G7215" t="s">
        <v>22444</v>
      </c>
      <c r="H7215" t="s">
        <v>22455</v>
      </c>
      <c r="I7215" t="s">
        <v>22455</v>
      </c>
      <c r="J7215" t="s">
        <v>27245</v>
      </c>
      <c r="K7215" t="s">
        <v>29371</v>
      </c>
      <c r="M7215" t="s">
        <v>31916</v>
      </c>
      <c r="N7215" t="s">
        <v>32524</v>
      </c>
      <c r="O7215" t="s">
        <v>32525</v>
      </c>
      <c r="Q7215">
        <v>0</v>
      </c>
      <c r="R7215" t="s">
        <v>32533</v>
      </c>
      <c r="S7215" t="s">
        <v>32669</v>
      </c>
      <c r="T7215" t="s">
        <v>33233</v>
      </c>
      <c r="U7215" t="s">
        <v>39670</v>
      </c>
      <c r="V7215" t="s">
        <v>43214</v>
      </c>
      <c r="W7215" t="s">
        <v>31916</v>
      </c>
      <c r="X7215" t="s">
        <v>32539</v>
      </c>
    </row>
    <row r="7216" spans="1:24">
      <c r="A7216">
        <f>HYPERLINK("https://www.philgeps.gov.ph/GEPSNONPILOT/Tender/SplashBidNoticeAbstractUI.aspx?menuIndex=3&amp;refID=7026354&amp;Result=3","7026354")</f>
        <v>0</v>
      </c>
      <c r="B7216" t="s">
        <v>525</v>
      </c>
      <c r="C7216" t="s">
        <v>9571</v>
      </c>
      <c r="D7216" t="s">
        <v>13038</v>
      </c>
      <c r="E7216" t="s">
        <v>9571</v>
      </c>
      <c r="F7216" t="s">
        <v>22436</v>
      </c>
      <c r="G7216" t="s">
        <v>22444</v>
      </c>
      <c r="H7216" t="s">
        <v>22452</v>
      </c>
      <c r="I7216" t="s">
        <v>22567</v>
      </c>
      <c r="J7216" t="s">
        <v>27246</v>
      </c>
      <c r="K7216" t="s">
        <v>29335</v>
      </c>
      <c r="M7216" t="s">
        <v>30109</v>
      </c>
      <c r="N7216" t="s">
        <v>32524</v>
      </c>
      <c r="O7216" t="s">
        <v>32525</v>
      </c>
      <c r="Q7216">
        <v>0</v>
      </c>
      <c r="R7216" t="s">
        <v>32533</v>
      </c>
      <c r="S7216" t="s">
        <v>32670</v>
      </c>
      <c r="T7216" t="s">
        <v>33155</v>
      </c>
      <c r="U7216" t="s">
        <v>39671</v>
      </c>
      <c r="W7216" t="s">
        <v>30109</v>
      </c>
      <c r="X7216" t="s">
        <v>32539</v>
      </c>
    </row>
    <row r="7217" spans="1:24">
      <c r="A7217">
        <f>HYPERLINK("https://www.philgeps.gov.ph/GEPSNONPILOT/Tender/SplashBidNoticeAbstractUI.aspx?menuIndex=3&amp;refID=7026028&amp;Result=3","7026028")</f>
        <v>0</v>
      </c>
      <c r="B7217" t="s">
        <v>39</v>
      </c>
      <c r="C7217" t="s">
        <v>9572</v>
      </c>
      <c r="E7217" t="s">
        <v>19436</v>
      </c>
      <c r="F7217" t="s">
        <v>22436</v>
      </c>
      <c r="G7217" t="s">
        <v>22444</v>
      </c>
      <c r="H7217" t="s">
        <v>22452</v>
      </c>
      <c r="I7217" t="s">
        <v>6421</v>
      </c>
      <c r="J7217" t="s">
        <v>27247</v>
      </c>
      <c r="K7217" t="s">
        <v>29338</v>
      </c>
      <c r="M7217" t="s">
        <v>29610</v>
      </c>
      <c r="N7217" t="s">
        <v>32524</v>
      </c>
      <c r="O7217" t="s">
        <v>32525</v>
      </c>
      <c r="P7217">
        <v>0</v>
      </c>
      <c r="Q7217">
        <v>0</v>
      </c>
      <c r="R7217" t="s">
        <v>32533</v>
      </c>
      <c r="S7217" t="s">
        <v>32667</v>
      </c>
      <c r="T7217" t="s">
        <v>33242</v>
      </c>
      <c r="U7217" t="s">
        <v>39672</v>
      </c>
      <c r="W7217" t="s">
        <v>29610</v>
      </c>
      <c r="X7217" t="s">
        <v>32539</v>
      </c>
    </row>
    <row r="7218" spans="1:24">
      <c r="A7218">
        <f>HYPERLINK("https://www.philgeps.gov.ph/GEPSNONPILOT/Tender/SplashBidNoticeAbstractUI.aspx?menuIndex=3&amp;refID=7026230&amp;Result=3","7026230")</f>
        <v>0</v>
      </c>
      <c r="B7218" t="s">
        <v>525</v>
      </c>
      <c r="C7218" t="s">
        <v>9573</v>
      </c>
      <c r="D7218" t="s">
        <v>13038</v>
      </c>
      <c r="E7218" t="s">
        <v>9573</v>
      </c>
      <c r="F7218" t="s">
        <v>22436</v>
      </c>
      <c r="G7218" t="s">
        <v>22444</v>
      </c>
      <c r="H7218" t="s">
        <v>22452</v>
      </c>
      <c r="I7218" t="s">
        <v>22460</v>
      </c>
      <c r="J7218" t="s">
        <v>27248</v>
      </c>
      <c r="K7218" t="s">
        <v>29335</v>
      </c>
      <c r="M7218" t="s">
        <v>30109</v>
      </c>
      <c r="N7218" t="s">
        <v>32524</v>
      </c>
      <c r="O7218" t="s">
        <v>32525</v>
      </c>
      <c r="Q7218">
        <v>7</v>
      </c>
      <c r="R7218" t="s">
        <v>32533</v>
      </c>
      <c r="S7218" t="s">
        <v>32671</v>
      </c>
      <c r="T7218" t="s">
        <v>33211</v>
      </c>
      <c r="U7218" t="s">
        <v>39673</v>
      </c>
      <c r="W7218" t="s">
        <v>30109</v>
      </c>
      <c r="X7218" t="s">
        <v>32539</v>
      </c>
    </row>
    <row r="7219" spans="1:24">
      <c r="A7219">
        <f>HYPERLINK("https://www.philgeps.gov.ph/GEPSNONPILOT/Tender/SplashBidNoticeAbstractUI.aspx?menuIndex=3&amp;refID=7026307&amp;Result=3","7026307")</f>
        <v>0</v>
      </c>
      <c r="B7219" t="s">
        <v>39</v>
      </c>
      <c r="C7219" t="s">
        <v>9574</v>
      </c>
      <c r="E7219" t="s">
        <v>19437</v>
      </c>
      <c r="F7219" t="s">
        <v>22436</v>
      </c>
      <c r="G7219" t="s">
        <v>22444</v>
      </c>
      <c r="H7219" t="s">
        <v>22452</v>
      </c>
      <c r="I7219" t="s">
        <v>6421</v>
      </c>
      <c r="J7219" t="s">
        <v>27249</v>
      </c>
      <c r="K7219" t="s">
        <v>29338</v>
      </c>
      <c r="M7219" t="s">
        <v>29610</v>
      </c>
      <c r="N7219" t="s">
        <v>32524</v>
      </c>
      <c r="O7219" t="s">
        <v>32525</v>
      </c>
      <c r="P7219">
        <v>0</v>
      </c>
      <c r="Q7219">
        <v>0</v>
      </c>
      <c r="R7219" t="s">
        <v>32533</v>
      </c>
      <c r="S7219" t="s">
        <v>32667</v>
      </c>
      <c r="T7219" t="s">
        <v>33242</v>
      </c>
      <c r="U7219" t="s">
        <v>39674</v>
      </c>
      <c r="W7219" t="s">
        <v>29610</v>
      </c>
      <c r="X7219" t="s">
        <v>32539</v>
      </c>
    </row>
    <row r="7220" spans="1:24">
      <c r="A7220">
        <f>HYPERLINK("https://www.philgeps.gov.ph/GEPSNONPILOT/Tender/SplashBidNoticeAbstractUI.aspx?menuIndex=3&amp;refID=7026012&amp;Result=3","7026012")</f>
        <v>0</v>
      </c>
      <c r="B7220" t="s">
        <v>39</v>
      </c>
      <c r="C7220" t="s">
        <v>9575</v>
      </c>
      <c r="E7220" t="s">
        <v>19438</v>
      </c>
      <c r="F7220" t="s">
        <v>22436</v>
      </c>
      <c r="G7220" t="s">
        <v>22444</v>
      </c>
      <c r="H7220" t="s">
        <v>22452</v>
      </c>
      <c r="I7220" t="s">
        <v>6421</v>
      </c>
      <c r="J7220" t="s">
        <v>27250</v>
      </c>
      <c r="K7220" t="s">
        <v>29338</v>
      </c>
      <c r="M7220" t="s">
        <v>29610</v>
      </c>
      <c r="N7220" t="s">
        <v>32524</v>
      </c>
      <c r="O7220" t="s">
        <v>32525</v>
      </c>
      <c r="P7220">
        <v>0</v>
      </c>
      <c r="Q7220">
        <v>0</v>
      </c>
      <c r="R7220" t="s">
        <v>32533</v>
      </c>
      <c r="S7220" t="s">
        <v>32667</v>
      </c>
      <c r="T7220" t="s">
        <v>33242</v>
      </c>
      <c r="U7220" t="s">
        <v>39675</v>
      </c>
      <c r="W7220" t="s">
        <v>29610</v>
      </c>
      <c r="X7220" t="s">
        <v>32539</v>
      </c>
    </row>
    <row r="7221" spans="1:24">
      <c r="A7221">
        <f>HYPERLINK("https://www.philgeps.gov.ph/GEPSNONPILOT/Tender/SplashBidNoticeAbstractUI.aspx?menuIndex=3&amp;refID=7026258&amp;Result=3","7026258")</f>
        <v>0</v>
      </c>
      <c r="B7221" t="s">
        <v>39</v>
      </c>
      <c r="C7221" t="s">
        <v>9576</v>
      </c>
      <c r="E7221" t="s">
        <v>19439</v>
      </c>
      <c r="F7221" t="s">
        <v>22436</v>
      </c>
      <c r="G7221" t="s">
        <v>22444</v>
      </c>
      <c r="H7221" t="s">
        <v>22452</v>
      </c>
      <c r="I7221" t="s">
        <v>6421</v>
      </c>
      <c r="J7221" t="s">
        <v>27251</v>
      </c>
      <c r="K7221" t="s">
        <v>29338</v>
      </c>
      <c r="M7221" t="s">
        <v>29610</v>
      </c>
      <c r="N7221" t="s">
        <v>32524</v>
      </c>
      <c r="O7221" t="s">
        <v>32525</v>
      </c>
      <c r="P7221">
        <v>0</v>
      </c>
      <c r="Q7221">
        <v>0</v>
      </c>
      <c r="R7221" t="s">
        <v>32533</v>
      </c>
      <c r="S7221" t="s">
        <v>32667</v>
      </c>
      <c r="T7221" t="s">
        <v>33242</v>
      </c>
      <c r="U7221" t="s">
        <v>39676</v>
      </c>
      <c r="W7221" t="s">
        <v>29610</v>
      </c>
      <c r="X7221" t="s">
        <v>32539</v>
      </c>
    </row>
    <row r="7222" spans="1:24">
      <c r="A7222">
        <f>HYPERLINK("https://www.philgeps.gov.ph/GEPSNONPILOT/Tender/SplashBidNoticeAbstractUI.aspx?menuIndex=3&amp;refID=7025586&amp;Result=3","7025586")</f>
        <v>0</v>
      </c>
      <c r="B7222" t="s">
        <v>2161</v>
      </c>
      <c r="C7222" t="s">
        <v>9577</v>
      </c>
      <c r="D7222" t="s">
        <v>13023</v>
      </c>
      <c r="E7222" t="s">
        <v>19440</v>
      </c>
      <c r="F7222" t="s">
        <v>22436</v>
      </c>
      <c r="G7222" t="s">
        <v>22444</v>
      </c>
      <c r="H7222" t="s">
        <v>22452</v>
      </c>
      <c r="I7222" t="s">
        <v>22474</v>
      </c>
      <c r="J7222" t="s">
        <v>25556</v>
      </c>
      <c r="K7222" t="s">
        <v>29335</v>
      </c>
      <c r="M7222" t="s">
        <v>31917</v>
      </c>
      <c r="N7222" t="s">
        <v>32524</v>
      </c>
      <c r="O7222" t="s">
        <v>32525</v>
      </c>
      <c r="P7222">
        <v>0</v>
      </c>
      <c r="Q7222">
        <v>11</v>
      </c>
      <c r="R7222" t="s">
        <v>32533</v>
      </c>
      <c r="S7222" t="s">
        <v>32667</v>
      </c>
      <c r="T7222" t="s">
        <v>33188</v>
      </c>
      <c r="U7222" t="s">
        <v>39677</v>
      </c>
      <c r="W7222" t="s">
        <v>31917</v>
      </c>
      <c r="X7222" t="s">
        <v>32539</v>
      </c>
    </row>
    <row r="7223" spans="1:24">
      <c r="A7223">
        <f>HYPERLINK("https://www.philgeps.gov.ph/GEPSNONPILOT/Tender/SplashBidNoticeAbstractUI.aspx?menuIndex=3&amp;refID=7026250&amp;Result=3","7026250")</f>
        <v>0</v>
      </c>
      <c r="B7223" t="s">
        <v>525</v>
      </c>
      <c r="C7223" t="s">
        <v>9578</v>
      </c>
      <c r="D7223" t="s">
        <v>13038</v>
      </c>
      <c r="E7223" t="s">
        <v>19441</v>
      </c>
      <c r="F7223" t="s">
        <v>22436</v>
      </c>
      <c r="G7223" t="s">
        <v>22444</v>
      </c>
      <c r="H7223" t="s">
        <v>22452</v>
      </c>
      <c r="I7223" t="s">
        <v>22469</v>
      </c>
      <c r="J7223" t="s">
        <v>27252</v>
      </c>
      <c r="K7223" t="s">
        <v>29335</v>
      </c>
      <c r="M7223" t="s">
        <v>30109</v>
      </c>
      <c r="N7223" t="s">
        <v>32524</v>
      </c>
      <c r="O7223" t="s">
        <v>32525</v>
      </c>
      <c r="Q7223">
        <v>1</v>
      </c>
      <c r="R7223" t="s">
        <v>32533</v>
      </c>
      <c r="S7223" t="s">
        <v>32672</v>
      </c>
      <c r="T7223" t="s">
        <v>33211</v>
      </c>
      <c r="U7223" t="s">
        <v>39678</v>
      </c>
      <c r="W7223" t="s">
        <v>30109</v>
      </c>
      <c r="X7223" t="s">
        <v>32539</v>
      </c>
    </row>
    <row r="7224" spans="1:24">
      <c r="A7224">
        <f>HYPERLINK("https://www.philgeps.gov.ph/GEPSNONPILOT/Tender/SplashBidNoticeAbstractUI.aspx?menuIndex=3&amp;refID=7026637&amp;Result=3","7026637")</f>
        <v>0</v>
      </c>
      <c r="B7224" t="s">
        <v>2162</v>
      </c>
      <c r="C7224" t="s">
        <v>9579</v>
      </c>
      <c r="D7224" t="s">
        <v>12988</v>
      </c>
      <c r="E7224" t="s">
        <v>19442</v>
      </c>
      <c r="F7224" t="s">
        <v>22436</v>
      </c>
      <c r="G7224" t="s">
        <v>22443</v>
      </c>
      <c r="H7224" t="s">
        <v>22452</v>
      </c>
      <c r="I7224" t="s">
        <v>22523</v>
      </c>
      <c r="J7224" t="s">
        <v>22640</v>
      </c>
      <c r="K7224" t="s">
        <v>29333</v>
      </c>
      <c r="M7224" t="s">
        <v>31918</v>
      </c>
      <c r="N7224" t="s">
        <v>32524</v>
      </c>
      <c r="O7224" t="s">
        <v>32525</v>
      </c>
      <c r="P7224">
        <v>0</v>
      </c>
      <c r="Q7224">
        <v>3</v>
      </c>
      <c r="R7224" t="s">
        <v>32533</v>
      </c>
      <c r="S7224" t="s">
        <v>32667</v>
      </c>
      <c r="T7224" t="s">
        <v>33171</v>
      </c>
      <c r="U7224" t="s">
        <v>39679</v>
      </c>
      <c r="W7224" t="s">
        <v>31918</v>
      </c>
      <c r="X7224" t="s">
        <v>32539</v>
      </c>
    </row>
    <row r="7225" spans="1:24">
      <c r="A7225">
        <f>HYPERLINK("https://www.philgeps.gov.ph/GEPSNONPILOT/Tender/SplashBidNoticeAbstractUI.aspx?menuIndex=3&amp;refID=7025638&amp;Result=3","7025638")</f>
        <v>0</v>
      </c>
      <c r="B7225" t="s">
        <v>2163</v>
      </c>
      <c r="C7225" t="s">
        <v>9580</v>
      </c>
      <c r="D7225" t="s">
        <v>13026</v>
      </c>
      <c r="E7225" t="s">
        <v>19443</v>
      </c>
      <c r="F7225" t="s">
        <v>22436</v>
      </c>
      <c r="G7225" t="s">
        <v>22444</v>
      </c>
      <c r="H7225" t="s">
        <v>22452</v>
      </c>
      <c r="I7225" t="s">
        <v>22465</v>
      </c>
      <c r="J7225" t="s">
        <v>27253</v>
      </c>
      <c r="K7225" t="s">
        <v>29352</v>
      </c>
      <c r="M7225" t="s">
        <v>31919</v>
      </c>
      <c r="N7225" t="s">
        <v>32524</v>
      </c>
      <c r="O7225" t="s">
        <v>32525</v>
      </c>
      <c r="P7225">
        <v>0</v>
      </c>
      <c r="Q7225">
        <v>1</v>
      </c>
      <c r="R7225" t="s">
        <v>32533</v>
      </c>
      <c r="S7225" t="s">
        <v>32667</v>
      </c>
      <c r="T7225" t="s">
        <v>33249</v>
      </c>
      <c r="U7225" t="s">
        <v>39680</v>
      </c>
      <c r="W7225" t="s">
        <v>43744</v>
      </c>
      <c r="X7225" t="s">
        <v>32539</v>
      </c>
    </row>
    <row r="7226" spans="1:24">
      <c r="A7226">
        <f>HYPERLINK("https://www.philgeps.gov.ph/GEPSNONPILOT/Tender/SplashBidNoticeAbstractUI.aspx?menuIndex=3&amp;refID=7024826&amp;Result=3","7024826")</f>
        <v>0</v>
      </c>
      <c r="B7226" t="s">
        <v>1558</v>
      </c>
      <c r="C7226" t="s">
        <v>9581</v>
      </c>
      <c r="D7226" t="s">
        <v>13015</v>
      </c>
      <c r="E7226" t="s">
        <v>19444</v>
      </c>
      <c r="F7226" t="s">
        <v>22436</v>
      </c>
      <c r="G7226" t="s">
        <v>22444</v>
      </c>
      <c r="H7226" t="s">
        <v>22452</v>
      </c>
      <c r="I7226" t="s">
        <v>22467</v>
      </c>
      <c r="J7226" t="s">
        <v>24795</v>
      </c>
      <c r="K7226" t="s">
        <v>29335</v>
      </c>
      <c r="M7226" t="s">
        <v>31238</v>
      </c>
      <c r="N7226" t="s">
        <v>32524</v>
      </c>
      <c r="O7226" t="s">
        <v>32525</v>
      </c>
      <c r="P7226">
        <v>0</v>
      </c>
      <c r="Q7226">
        <v>0</v>
      </c>
      <c r="R7226" t="s">
        <v>32533</v>
      </c>
      <c r="S7226" t="s">
        <v>32667</v>
      </c>
      <c r="T7226" t="s">
        <v>33207</v>
      </c>
      <c r="U7226" t="s">
        <v>39681</v>
      </c>
      <c r="W7226" t="s">
        <v>31238</v>
      </c>
      <c r="X7226" t="s">
        <v>32539</v>
      </c>
    </row>
    <row r="7227" spans="1:24">
      <c r="A7227">
        <f>HYPERLINK("https://www.philgeps.gov.ph/GEPSNONPILOT/Tender/SplashBidNoticeAbstractUI.aspx?menuIndex=3&amp;refID=7026177&amp;Result=3","7026177")</f>
        <v>0</v>
      </c>
      <c r="B7227" t="s">
        <v>525</v>
      </c>
      <c r="C7227" t="s">
        <v>9582</v>
      </c>
      <c r="D7227" t="s">
        <v>13038</v>
      </c>
      <c r="E7227" t="s">
        <v>9582</v>
      </c>
      <c r="F7227" t="s">
        <v>22436</v>
      </c>
      <c r="G7227" t="s">
        <v>22444</v>
      </c>
      <c r="H7227" t="s">
        <v>22452</v>
      </c>
      <c r="I7227" t="s">
        <v>22466</v>
      </c>
      <c r="J7227" t="s">
        <v>24216</v>
      </c>
      <c r="K7227" t="s">
        <v>29335</v>
      </c>
      <c r="M7227" t="s">
        <v>30109</v>
      </c>
      <c r="N7227" t="s">
        <v>32524</v>
      </c>
      <c r="O7227" t="s">
        <v>32525</v>
      </c>
      <c r="Q7227">
        <v>3</v>
      </c>
      <c r="R7227" t="s">
        <v>32533</v>
      </c>
      <c r="S7227" t="s">
        <v>32673</v>
      </c>
      <c r="T7227" t="s">
        <v>33211</v>
      </c>
      <c r="U7227" t="s">
        <v>39682</v>
      </c>
      <c r="W7227" t="s">
        <v>30109</v>
      </c>
      <c r="X7227" t="s">
        <v>32539</v>
      </c>
    </row>
    <row r="7228" spans="1:24">
      <c r="A7228">
        <f>HYPERLINK("https://www.philgeps.gov.ph/GEPSNONPILOT/Tender/SplashBidNoticeAbstractUI.aspx?menuIndex=3&amp;refID=7025369&amp;Result=3","7025369")</f>
        <v>0</v>
      </c>
      <c r="B7228" t="s">
        <v>961</v>
      </c>
      <c r="C7228" t="s">
        <v>9583</v>
      </c>
      <c r="D7228" t="s">
        <v>13045</v>
      </c>
      <c r="E7228" t="s">
        <v>19445</v>
      </c>
      <c r="F7228" t="s">
        <v>22436</v>
      </c>
      <c r="G7228" t="s">
        <v>22444</v>
      </c>
      <c r="H7228" t="s">
        <v>22454</v>
      </c>
      <c r="I7228" t="s">
        <v>7738</v>
      </c>
      <c r="J7228" t="s">
        <v>27254</v>
      </c>
      <c r="K7228" t="s">
        <v>29502</v>
      </c>
      <c r="M7228" t="s">
        <v>30577</v>
      </c>
      <c r="N7228" t="s">
        <v>32524</v>
      </c>
      <c r="O7228" t="s">
        <v>32525</v>
      </c>
      <c r="P7228">
        <v>0</v>
      </c>
      <c r="Q7228">
        <v>1</v>
      </c>
      <c r="R7228" t="s">
        <v>32533</v>
      </c>
      <c r="S7228" t="s">
        <v>32667</v>
      </c>
      <c r="T7228" t="s">
        <v>33345</v>
      </c>
      <c r="U7228" t="s">
        <v>39683</v>
      </c>
      <c r="W7228" t="s">
        <v>30577</v>
      </c>
      <c r="X7228" t="s">
        <v>32539</v>
      </c>
    </row>
    <row r="7229" spans="1:24">
      <c r="A7229">
        <f>HYPERLINK("https://www.philgeps.gov.ph/GEPSNONPILOT/Tender/SplashBidNoticeAbstractUI.aspx?menuIndex=3&amp;refID=7019396&amp;Result=3","7019396")</f>
        <v>0</v>
      </c>
      <c r="B7229" t="s">
        <v>2159</v>
      </c>
      <c r="C7229" t="s">
        <v>9584</v>
      </c>
      <c r="D7229" t="s">
        <v>13002</v>
      </c>
      <c r="E7229" t="s">
        <v>19446</v>
      </c>
      <c r="F7229" t="s">
        <v>22436</v>
      </c>
      <c r="G7229" t="s">
        <v>22444</v>
      </c>
      <c r="H7229" t="s">
        <v>22452</v>
      </c>
      <c r="I7229" t="s">
        <v>22466</v>
      </c>
      <c r="J7229" t="s">
        <v>23829</v>
      </c>
      <c r="K7229" t="s">
        <v>29341</v>
      </c>
      <c r="M7229" t="s">
        <v>31920</v>
      </c>
      <c r="N7229" t="s">
        <v>32524</v>
      </c>
      <c r="O7229" t="s">
        <v>32525</v>
      </c>
      <c r="P7229">
        <v>0</v>
      </c>
      <c r="Q7229">
        <v>5</v>
      </c>
      <c r="R7229" t="s">
        <v>32533</v>
      </c>
      <c r="S7229" t="s">
        <v>32667</v>
      </c>
      <c r="T7229" t="s">
        <v>33213</v>
      </c>
      <c r="U7229" t="s">
        <v>39684</v>
      </c>
      <c r="V7229" t="s">
        <v>43092</v>
      </c>
      <c r="W7229" t="s">
        <v>31920</v>
      </c>
      <c r="X7229" t="s">
        <v>43779</v>
      </c>
    </row>
    <row r="7230" spans="1:24">
      <c r="A7230">
        <f>HYPERLINK("https://www.philgeps.gov.ph/GEPSNONPILOT/Tender/SplashBidNoticeAbstractUI.aspx?menuIndex=3&amp;refID=7025391&amp;Result=3","7025391")</f>
        <v>0</v>
      </c>
      <c r="B7230" t="s">
        <v>2164</v>
      </c>
      <c r="C7230" t="s">
        <v>9585</v>
      </c>
      <c r="D7230" t="s">
        <v>13001</v>
      </c>
      <c r="E7230" t="s">
        <v>19447</v>
      </c>
      <c r="F7230" t="s">
        <v>22436</v>
      </c>
      <c r="G7230" t="s">
        <v>22444</v>
      </c>
      <c r="H7230" t="s">
        <v>22454</v>
      </c>
      <c r="I7230" t="s">
        <v>7738</v>
      </c>
      <c r="J7230" t="s">
        <v>27255</v>
      </c>
      <c r="K7230" t="s">
        <v>29457</v>
      </c>
      <c r="M7230" t="s">
        <v>31921</v>
      </c>
      <c r="N7230" t="s">
        <v>32524</v>
      </c>
      <c r="O7230" t="s">
        <v>32525</v>
      </c>
      <c r="Q7230">
        <v>7</v>
      </c>
      <c r="R7230" t="s">
        <v>32533</v>
      </c>
      <c r="S7230" t="s">
        <v>32674</v>
      </c>
      <c r="T7230" t="s">
        <v>33234</v>
      </c>
      <c r="U7230" t="s">
        <v>39685</v>
      </c>
      <c r="V7230" t="s">
        <v>35503</v>
      </c>
      <c r="W7230" t="s">
        <v>31921</v>
      </c>
      <c r="X7230" t="s">
        <v>32539</v>
      </c>
    </row>
    <row r="7231" spans="1:24">
      <c r="A7231">
        <f>HYPERLINK("https://www.philgeps.gov.ph/GEPSNONPILOT/Tender/SplashBidNoticeAbstractUI.aspx?menuIndex=3&amp;refID=7028600&amp;Result=3","7028600")</f>
        <v>0</v>
      </c>
      <c r="B7231" t="s">
        <v>124</v>
      </c>
      <c r="C7231" t="s">
        <v>9586</v>
      </c>
      <c r="D7231" t="s">
        <v>13031</v>
      </c>
      <c r="E7231" t="s">
        <v>9586</v>
      </c>
      <c r="F7231" t="s">
        <v>22436</v>
      </c>
      <c r="G7231" t="s">
        <v>22444</v>
      </c>
      <c r="H7231" t="s">
        <v>22454</v>
      </c>
      <c r="I7231" t="s">
        <v>22490</v>
      </c>
      <c r="J7231" t="s">
        <v>27256</v>
      </c>
      <c r="K7231" t="s">
        <v>29338</v>
      </c>
      <c r="M7231" t="s">
        <v>30264</v>
      </c>
      <c r="N7231" t="s">
        <v>32524</v>
      </c>
      <c r="O7231" t="s">
        <v>32525</v>
      </c>
      <c r="P7231">
        <v>0</v>
      </c>
      <c r="Q7231">
        <v>1</v>
      </c>
      <c r="R7231" t="s">
        <v>32533</v>
      </c>
      <c r="S7231" t="s">
        <v>32667</v>
      </c>
      <c r="T7231" t="s">
        <v>33400</v>
      </c>
      <c r="U7231" t="s">
        <v>39686</v>
      </c>
      <c r="W7231" t="s">
        <v>30264</v>
      </c>
      <c r="X7231" t="s">
        <v>32538</v>
      </c>
    </row>
    <row r="7232" spans="1:24">
      <c r="A7232">
        <f>HYPERLINK("https://www.philgeps.gov.ph/GEPSNONPILOT/Tender/SplashBidNoticeAbstractUI.aspx?menuIndex=3&amp;refID=7038144&amp;Result=3","7038144")</f>
        <v>0</v>
      </c>
      <c r="B7232" t="s">
        <v>2157</v>
      </c>
      <c r="C7232" t="s">
        <v>9587</v>
      </c>
      <c r="D7232" t="s">
        <v>12988</v>
      </c>
      <c r="E7232" t="s">
        <v>19448</v>
      </c>
      <c r="F7232" t="s">
        <v>22436</v>
      </c>
      <c r="G7232" t="s">
        <v>22444</v>
      </c>
      <c r="H7232" t="s">
        <v>22454</v>
      </c>
      <c r="I7232" t="s">
        <v>7738</v>
      </c>
      <c r="J7232" t="s">
        <v>27257</v>
      </c>
      <c r="K7232" t="s">
        <v>29388</v>
      </c>
      <c r="M7232" t="s">
        <v>31911</v>
      </c>
      <c r="N7232" t="s">
        <v>32524</v>
      </c>
      <c r="O7232" t="s">
        <v>32525</v>
      </c>
      <c r="Q7232">
        <v>58</v>
      </c>
      <c r="R7232" t="s">
        <v>32532</v>
      </c>
      <c r="S7232" t="s">
        <v>32675</v>
      </c>
      <c r="T7232" t="s">
        <v>33242</v>
      </c>
      <c r="U7232" t="s">
        <v>39687</v>
      </c>
      <c r="W7232" t="s">
        <v>31911</v>
      </c>
      <c r="X7232" t="s">
        <v>32533</v>
      </c>
    </row>
    <row r="7233" spans="1:24">
      <c r="A7233">
        <f>HYPERLINK("https://www.philgeps.gov.ph/GEPSNONPILOT/Tender/SplashBidNoticeAbstractUI.aspx?menuIndex=3&amp;refID=7028544&amp;Result=3","7028544")</f>
        <v>0</v>
      </c>
      <c r="B7233" t="s">
        <v>961</v>
      </c>
      <c r="C7233" t="s">
        <v>9588</v>
      </c>
      <c r="D7233" t="s">
        <v>13045</v>
      </c>
      <c r="E7233" t="s">
        <v>19449</v>
      </c>
      <c r="F7233" t="s">
        <v>22436</v>
      </c>
      <c r="G7233" t="s">
        <v>22444</v>
      </c>
      <c r="H7233" t="s">
        <v>22452</v>
      </c>
      <c r="I7233" t="s">
        <v>22463</v>
      </c>
      <c r="J7233" t="s">
        <v>27258</v>
      </c>
      <c r="K7233" t="s">
        <v>29337</v>
      </c>
      <c r="M7233" t="s">
        <v>30577</v>
      </c>
      <c r="N7233" t="s">
        <v>32524</v>
      </c>
      <c r="O7233" t="s">
        <v>32525</v>
      </c>
      <c r="P7233">
        <v>0</v>
      </c>
      <c r="Q7233">
        <v>1</v>
      </c>
      <c r="R7233" t="s">
        <v>32533</v>
      </c>
      <c r="S7233" t="s">
        <v>32667</v>
      </c>
      <c r="T7233" t="s">
        <v>33171</v>
      </c>
      <c r="U7233" t="s">
        <v>39688</v>
      </c>
      <c r="W7233" t="s">
        <v>30577</v>
      </c>
      <c r="X7233" t="s">
        <v>32538</v>
      </c>
    </row>
    <row r="7234" spans="1:24">
      <c r="A7234">
        <f>HYPERLINK("https://www.philgeps.gov.ph/GEPSNONPILOT/Tender/SplashBidNoticeAbstractUI.aspx?menuIndex=3&amp;refID=7027756&amp;Result=3","7027756")</f>
        <v>0</v>
      </c>
      <c r="B7234" t="s">
        <v>58</v>
      </c>
      <c r="C7234" t="s">
        <v>9589</v>
      </c>
      <c r="D7234" t="s">
        <v>13014</v>
      </c>
      <c r="E7234" t="s">
        <v>19450</v>
      </c>
      <c r="F7234" t="s">
        <v>22436</v>
      </c>
      <c r="G7234" t="s">
        <v>22444</v>
      </c>
      <c r="H7234" t="s">
        <v>22454</v>
      </c>
      <c r="I7234" t="s">
        <v>7738</v>
      </c>
      <c r="J7234" t="s">
        <v>27259</v>
      </c>
      <c r="K7234" t="s">
        <v>29503</v>
      </c>
      <c r="M7234" t="s">
        <v>29630</v>
      </c>
      <c r="N7234" t="s">
        <v>32524</v>
      </c>
      <c r="O7234" t="s">
        <v>32525</v>
      </c>
      <c r="P7234">
        <v>0</v>
      </c>
      <c r="Q7234">
        <v>0</v>
      </c>
      <c r="R7234" t="s">
        <v>32533</v>
      </c>
      <c r="S7234" t="s">
        <v>32667</v>
      </c>
      <c r="T7234" t="s">
        <v>33253</v>
      </c>
      <c r="U7234" t="s">
        <v>39689</v>
      </c>
      <c r="W7234" t="s">
        <v>29630</v>
      </c>
      <c r="X7234" t="s">
        <v>32538</v>
      </c>
    </row>
    <row r="7235" spans="1:24">
      <c r="A7235">
        <f>HYPERLINK("https://www.philgeps.gov.ph/GEPSNONPILOT/Tender/SplashBidNoticeAbstractUI.aspx?menuIndex=3&amp;refID=7027747&amp;Result=3","7027747")</f>
        <v>0</v>
      </c>
      <c r="B7235" t="s">
        <v>2159</v>
      </c>
      <c r="C7235" t="s">
        <v>9590</v>
      </c>
      <c r="D7235" t="s">
        <v>13002</v>
      </c>
      <c r="E7235" t="s">
        <v>19451</v>
      </c>
      <c r="F7235" t="s">
        <v>22436</v>
      </c>
      <c r="G7235" t="s">
        <v>22444</v>
      </c>
      <c r="H7235" t="s">
        <v>22452</v>
      </c>
      <c r="I7235" t="s">
        <v>22471</v>
      </c>
      <c r="J7235" t="s">
        <v>27260</v>
      </c>
      <c r="K7235" t="s">
        <v>29341</v>
      </c>
      <c r="M7235" t="s">
        <v>31920</v>
      </c>
      <c r="N7235" t="s">
        <v>32524</v>
      </c>
      <c r="O7235" t="s">
        <v>32525</v>
      </c>
      <c r="P7235">
        <v>0</v>
      </c>
      <c r="Q7235">
        <v>1</v>
      </c>
      <c r="R7235" t="s">
        <v>32533</v>
      </c>
      <c r="S7235" t="s">
        <v>32667</v>
      </c>
      <c r="T7235" t="s">
        <v>33213</v>
      </c>
      <c r="U7235" t="s">
        <v>39690</v>
      </c>
      <c r="V7235" t="s">
        <v>43092</v>
      </c>
      <c r="W7235" t="s">
        <v>31920</v>
      </c>
      <c r="X7235" t="s">
        <v>32538</v>
      </c>
    </row>
    <row r="7236" spans="1:24">
      <c r="A7236">
        <f>HYPERLINK("https://www.philgeps.gov.ph/GEPSNONPILOT/Tender/SplashBidNoticeAbstractUI.aspx?menuIndex=3&amp;refID=7028311&amp;Result=3","7028311")</f>
        <v>0</v>
      </c>
      <c r="B7236" t="s">
        <v>2165</v>
      </c>
      <c r="C7236" t="s">
        <v>9591</v>
      </c>
      <c r="D7236" t="s">
        <v>13056</v>
      </c>
      <c r="E7236" t="s">
        <v>19452</v>
      </c>
      <c r="F7236" t="s">
        <v>22436</v>
      </c>
      <c r="G7236" t="s">
        <v>22444</v>
      </c>
      <c r="H7236" t="s">
        <v>22454</v>
      </c>
      <c r="I7236" t="s">
        <v>7738</v>
      </c>
      <c r="J7236" t="s">
        <v>24876</v>
      </c>
      <c r="K7236" t="s">
        <v>29333</v>
      </c>
      <c r="L7236" t="s">
        <v>2165</v>
      </c>
      <c r="M7236" t="s">
        <v>31922</v>
      </c>
      <c r="N7236" t="s">
        <v>32524</v>
      </c>
      <c r="O7236" t="s">
        <v>32525</v>
      </c>
      <c r="Q7236">
        <v>3</v>
      </c>
      <c r="R7236" t="s">
        <v>32533</v>
      </c>
      <c r="S7236" t="s">
        <v>32676</v>
      </c>
      <c r="T7236" t="s">
        <v>33550</v>
      </c>
      <c r="U7236" t="s">
        <v>39691</v>
      </c>
      <c r="V7236" t="s">
        <v>43215</v>
      </c>
      <c r="W7236" t="s">
        <v>31922</v>
      </c>
      <c r="X7236" t="s">
        <v>32538</v>
      </c>
    </row>
    <row r="7237" spans="1:24">
      <c r="A7237">
        <f>HYPERLINK("https://www.philgeps.gov.ph/GEPSNONPILOT/Tender/SplashBidNoticeAbstractUI.aspx?menuIndex=3&amp;refID=7027754&amp;Result=3","7027754")</f>
        <v>0</v>
      </c>
      <c r="B7237" t="s">
        <v>2159</v>
      </c>
      <c r="C7237" t="s">
        <v>9592</v>
      </c>
      <c r="D7237" t="s">
        <v>13002</v>
      </c>
      <c r="E7237" t="s">
        <v>19453</v>
      </c>
      <c r="F7237" t="s">
        <v>22436</v>
      </c>
      <c r="G7237" t="s">
        <v>22444</v>
      </c>
      <c r="H7237" t="s">
        <v>22452</v>
      </c>
      <c r="I7237" t="s">
        <v>22494</v>
      </c>
      <c r="J7237" t="s">
        <v>27261</v>
      </c>
      <c r="K7237" t="s">
        <v>29334</v>
      </c>
      <c r="M7237" t="s">
        <v>31920</v>
      </c>
      <c r="N7237" t="s">
        <v>32524</v>
      </c>
      <c r="O7237" t="s">
        <v>32525</v>
      </c>
      <c r="P7237">
        <v>0</v>
      </c>
      <c r="Q7237">
        <v>1</v>
      </c>
      <c r="R7237" t="s">
        <v>32533</v>
      </c>
      <c r="S7237" t="s">
        <v>32667</v>
      </c>
      <c r="T7237" t="s">
        <v>33213</v>
      </c>
      <c r="U7237" t="s">
        <v>39692</v>
      </c>
      <c r="V7237" t="s">
        <v>43092</v>
      </c>
      <c r="W7237" t="s">
        <v>31920</v>
      </c>
      <c r="X7237" t="s">
        <v>32538</v>
      </c>
    </row>
    <row r="7238" spans="1:24">
      <c r="A7238">
        <f>HYPERLINK("https://www.philgeps.gov.ph/GEPSNONPILOT/Tender/SplashBidNoticeAbstractUI.aspx?menuIndex=3&amp;refID=7028570&amp;Result=3","7028570")</f>
        <v>0</v>
      </c>
      <c r="B7238" t="s">
        <v>124</v>
      </c>
      <c r="C7238" t="s">
        <v>9593</v>
      </c>
      <c r="D7238" t="s">
        <v>13031</v>
      </c>
      <c r="E7238" t="s">
        <v>9593</v>
      </c>
      <c r="F7238" t="s">
        <v>22436</v>
      </c>
      <c r="G7238" t="s">
        <v>22444</v>
      </c>
      <c r="H7238" t="s">
        <v>22454</v>
      </c>
      <c r="I7238" t="s">
        <v>22490</v>
      </c>
      <c r="J7238" t="s">
        <v>27262</v>
      </c>
      <c r="K7238" t="s">
        <v>29338</v>
      </c>
      <c r="M7238" t="s">
        <v>30264</v>
      </c>
      <c r="N7238" t="s">
        <v>32524</v>
      </c>
      <c r="O7238" t="s">
        <v>32525</v>
      </c>
      <c r="P7238">
        <v>0</v>
      </c>
      <c r="Q7238">
        <v>1</v>
      </c>
      <c r="R7238" t="s">
        <v>32533</v>
      </c>
      <c r="S7238" t="s">
        <v>32667</v>
      </c>
      <c r="T7238" t="s">
        <v>33400</v>
      </c>
      <c r="U7238" t="s">
        <v>39686</v>
      </c>
      <c r="W7238" t="s">
        <v>30264</v>
      </c>
      <c r="X7238" t="s">
        <v>32538</v>
      </c>
    </row>
    <row r="7239" spans="1:24">
      <c r="A7239">
        <f>HYPERLINK("https://www.philgeps.gov.ph/GEPSNONPILOT/Tender/SplashBidNoticeAbstractUI.aspx?menuIndex=3&amp;refID=7028553&amp;Result=3","7028553")</f>
        <v>0</v>
      </c>
      <c r="B7239" t="s">
        <v>2166</v>
      </c>
      <c r="C7239" t="s">
        <v>9594</v>
      </c>
      <c r="D7239" t="s">
        <v>13028</v>
      </c>
      <c r="E7239" t="s">
        <v>19454</v>
      </c>
      <c r="F7239" t="s">
        <v>22436</v>
      </c>
      <c r="G7239" t="s">
        <v>22444</v>
      </c>
      <c r="H7239" t="s">
        <v>22454</v>
      </c>
      <c r="I7239" t="s">
        <v>7738</v>
      </c>
      <c r="J7239" t="s">
        <v>27263</v>
      </c>
      <c r="K7239" t="s">
        <v>29333</v>
      </c>
      <c r="M7239" t="s">
        <v>31923</v>
      </c>
      <c r="N7239" t="s">
        <v>32524</v>
      </c>
      <c r="O7239" t="s">
        <v>32525</v>
      </c>
      <c r="P7239">
        <v>0</v>
      </c>
      <c r="Q7239">
        <v>0</v>
      </c>
      <c r="R7239" t="s">
        <v>32533</v>
      </c>
      <c r="S7239" t="s">
        <v>32667</v>
      </c>
      <c r="T7239" t="s">
        <v>33238</v>
      </c>
      <c r="U7239" t="s">
        <v>39693</v>
      </c>
      <c r="V7239" t="s">
        <v>43216</v>
      </c>
      <c r="W7239" t="s">
        <v>31923</v>
      </c>
      <c r="X7239" t="s">
        <v>32538</v>
      </c>
    </row>
    <row r="7240" spans="1:24">
      <c r="A7240">
        <f>HYPERLINK("https://www.philgeps.gov.ph/GEPSNONPILOT/Tender/SplashBidNoticeAbstractUI.aspx?menuIndex=3&amp;refID=7028865&amp;Result=3","7028865")</f>
        <v>0</v>
      </c>
      <c r="B7240" t="s">
        <v>432</v>
      </c>
      <c r="C7240" t="s">
        <v>9595</v>
      </c>
      <c r="D7240" t="s">
        <v>13028</v>
      </c>
      <c r="E7240" t="s">
        <v>19455</v>
      </c>
      <c r="F7240" t="s">
        <v>22436</v>
      </c>
      <c r="G7240" t="s">
        <v>22444</v>
      </c>
      <c r="H7240" t="s">
        <v>22454</v>
      </c>
      <c r="I7240" t="s">
        <v>7738</v>
      </c>
      <c r="J7240" t="s">
        <v>27264</v>
      </c>
      <c r="K7240" t="s">
        <v>29406</v>
      </c>
      <c r="M7240" t="s">
        <v>30013</v>
      </c>
      <c r="N7240" t="s">
        <v>32524</v>
      </c>
      <c r="O7240" t="s">
        <v>32525</v>
      </c>
      <c r="P7240">
        <v>0</v>
      </c>
      <c r="Q7240">
        <v>3</v>
      </c>
      <c r="R7240" t="s">
        <v>32533</v>
      </c>
      <c r="S7240" t="s">
        <v>32667</v>
      </c>
      <c r="T7240" t="s">
        <v>33249</v>
      </c>
      <c r="U7240" t="s">
        <v>34672</v>
      </c>
      <c r="V7240" t="s">
        <v>43217</v>
      </c>
      <c r="W7240" t="s">
        <v>30013</v>
      </c>
      <c r="X7240" t="s">
        <v>32538</v>
      </c>
    </row>
    <row r="7241" spans="1:24">
      <c r="A7241">
        <f>HYPERLINK("https://www.philgeps.gov.ph/GEPSNONPILOT/Tender/SplashBidNoticeAbstractUI.aspx?menuIndex=3&amp;refID=7027399&amp;Result=3","7027399")</f>
        <v>0</v>
      </c>
      <c r="B7241" t="s">
        <v>2164</v>
      </c>
      <c r="C7241" t="s">
        <v>9596</v>
      </c>
      <c r="D7241" t="s">
        <v>13001</v>
      </c>
      <c r="E7241" t="s">
        <v>19456</v>
      </c>
      <c r="F7241" t="s">
        <v>22436</v>
      </c>
      <c r="G7241" t="s">
        <v>22450</v>
      </c>
      <c r="H7241" t="s">
        <v>22452</v>
      </c>
      <c r="I7241" t="s">
        <v>3827</v>
      </c>
      <c r="J7241" t="s">
        <v>27265</v>
      </c>
      <c r="K7241" t="s">
        <v>29335</v>
      </c>
      <c r="M7241" t="s">
        <v>31924</v>
      </c>
      <c r="N7241" t="s">
        <v>32524</v>
      </c>
      <c r="O7241" t="s">
        <v>32525</v>
      </c>
      <c r="P7241">
        <v>0</v>
      </c>
      <c r="Q7241">
        <v>7</v>
      </c>
      <c r="R7241" t="s">
        <v>32533</v>
      </c>
      <c r="S7241" t="s">
        <v>32667</v>
      </c>
      <c r="T7241" t="s">
        <v>33234</v>
      </c>
      <c r="U7241" t="s">
        <v>39694</v>
      </c>
      <c r="V7241" t="s">
        <v>43218</v>
      </c>
      <c r="W7241" t="s">
        <v>31924</v>
      </c>
      <c r="X7241" t="s">
        <v>32538</v>
      </c>
    </row>
    <row r="7242" spans="1:24">
      <c r="A7242">
        <f>HYPERLINK("https://www.philgeps.gov.ph/GEPSNONPILOT/Tender/SplashBidNoticeAbstractUI.aspx?menuIndex=3&amp;refID=7027738&amp;Result=3","7027738")</f>
        <v>0</v>
      </c>
      <c r="B7242" t="s">
        <v>2159</v>
      </c>
      <c r="C7242" t="s">
        <v>9597</v>
      </c>
      <c r="D7242" t="s">
        <v>13002</v>
      </c>
      <c r="E7242" t="s">
        <v>19457</v>
      </c>
      <c r="F7242" t="s">
        <v>22436</v>
      </c>
      <c r="G7242" t="s">
        <v>22444</v>
      </c>
      <c r="H7242" t="s">
        <v>22452</v>
      </c>
      <c r="I7242" t="s">
        <v>22460</v>
      </c>
      <c r="J7242" t="s">
        <v>27266</v>
      </c>
      <c r="K7242" t="s">
        <v>29341</v>
      </c>
      <c r="M7242" t="s">
        <v>31920</v>
      </c>
      <c r="N7242" t="s">
        <v>32524</v>
      </c>
      <c r="O7242" t="s">
        <v>32525</v>
      </c>
      <c r="P7242">
        <v>0</v>
      </c>
      <c r="Q7242">
        <v>2</v>
      </c>
      <c r="R7242" t="s">
        <v>32533</v>
      </c>
      <c r="S7242" t="s">
        <v>32667</v>
      </c>
      <c r="T7242" t="s">
        <v>33213</v>
      </c>
      <c r="U7242" t="s">
        <v>39695</v>
      </c>
      <c r="V7242" t="s">
        <v>43092</v>
      </c>
      <c r="W7242" t="s">
        <v>31920</v>
      </c>
      <c r="X7242" t="s">
        <v>32538</v>
      </c>
    </row>
    <row r="7243" spans="1:24">
      <c r="A7243">
        <f>HYPERLINK("https://www.philgeps.gov.ph/GEPSNONPILOT/Tender/SplashBidNoticeAbstractUI.aspx?menuIndex=3&amp;refID=7030601&amp;Result=3","7030601")</f>
        <v>0</v>
      </c>
      <c r="B7243" t="s">
        <v>2167</v>
      </c>
      <c r="C7243" t="s">
        <v>9598</v>
      </c>
      <c r="D7243" t="s">
        <v>13034</v>
      </c>
      <c r="E7243" t="s">
        <v>19458</v>
      </c>
      <c r="F7243" t="s">
        <v>22436</v>
      </c>
      <c r="G7243" t="s">
        <v>22444</v>
      </c>
      <c r="H7243" t="s">
        <v>22454</v>
      </c>
      <c r="I7243" t="s">
        <v>7738</v>
      </c>
      <c r="J7243" t="s">
        <v>27267</v>
      </c>
      <c r="K7243" t="s">
        <v>29350</v>
      </c>
      <c r="M7243" t="s">
        <v>31925</v>
      </c>
      <c r="N7243" t="s">
        <v>32524</v>
      </c>
      <c r="O7243" t="s">
        <v>32525</v>
      </c>
      <c r="P7243">
        <v>0</v>
      </c>
      <c r="Q7243">
        <v>0</v>
      </c>
      <c r="R7243" t="s">
        <v>32533</v>
      </c>
      <c r="S7243" t="s">
        <v>32667</v>
      </c>
      <c r="T7243" t="s">
        <v>33296</v>
      </c>
      <c r="U7243" t="s">
        <v>39696</v>
      </c>
      <c r="W7243" t="s">
        <v>31925</v>
      </c>
      <c r="X7243" t="s">
        <v>32537</v>
      </c>
    </row>
    <row r="7244" spans="1:24">
      <c r="A7244">
        <f>HYPERLINK("https://www.philgeps.gov.ph/GEPSNONPILOT/Tender/SplashBidNoticeAbstractUI.aspx?menuIndex=3&amp;refID=7029603&amp;Result=3","7029603")</f>
        <v>0</v>
      </c>
      <c r="B7244" t="s">
        <v>1091</v>
      </c>
      <c r="C7244" t="s">
        <v>9599</v>
      </c>
      <c r="D7244" t="s">
        <v>13020</v>
      </c>
      <c r="E7244" t="s">
        <v>19459</v>
      </c>
      <c r="F7244" t="s">
        <v>22436</v>
      </c>
      <c r="G7244" t="s">
        <v>22444</v>
      </c>
      <c r="H7244" t="s">
        <v>22452</v>
      </c>
      <c r="I7244" t="s">
        <v>22479</v>
      </c>
      <c r="J7244" t="s">
        <v>27268</v>
      </c>
      <c r="K7244" t="s">
        <v>29329</v>
      </c>
      <c r="M7244" t="s">
        <v>30727</v>
      </c>
      <c r="N7244" t="s">
        <v>32524</v>
      </c>
      <c r="O7244" t="s">
        <v>32525</v>
      </c>
      <c r="P7244">
        <v>0</v>
      </c>
      <c r="Q7244">
        <v>7</v>
      </c>
      <c r="R7244" t="s">
        <v>32533</v>
      </c>
      <c r="S7244" t="s">
        <v>32667</v>
      </c>
      <c r="T7244" t="s">
        <v>33488</v>
      </c>
      <c r="U7244" t="s">
        <v>39697</v>
      </c>
      <c r="V7244" t="s">
        <v>43219</v>
      </c>
      <c r="W7244" t="s">
        <v>30727</v>
      </c>
      <c r="X7244" t="s">
        <v>32538</v>
      </c>
    </row>
    <row r="7245" spans="1:24">
      <c r="A7245">
        <f>HYPERLINK("https://www.philgeps.gov.ph/GEPSNONPILOT/Tender/SplashBidNoticeAbstractUI.aspx?menuIndex=3&amp;refID=7027586&amp;Result=3","7027586")</f>
        <v>0</v>
      </c>
      <c r="B7245" t="s">
        <v>72</v>
      </c>
      <c r="C7245" t="s">
        <v>9600</v>
      </c>
      <c r="D7245" t="s">
        <v>13019</v>
      </c>
      <c r="E7245" t="s">
        <v>19460</v>
      </c>
      <c r="F7245" t="s">
        <v>22436</v>
      </c>
      <c r="G7245" t="s">
        <v>22444</v>
      </c>
      <c r="H7245" t="s">
        <v>22454</v>
      </c>
      <c r="I7245" t="s">
        <v>7738</v>
      </c>
      <c r="J7245" t="s">
        <v>27269</v>
      </c>
      <c r="K7245" t="s">
        <v>29329</v>
      </c>
      <c r="M7245" t="s">
        <v>29644</v>
      </c>
      <c r="N7245" t="s">
        <v>32524</v>
      </c>
      <c r="O7245" t="s">
        <v>32525</v>
      </c>
      <c r="P7245">
        <v>0</v>
      </c>
      <c r="Q7245">
        <v>1</v>
      </c>
      <c r="R7245" t="s">
        <v>32533</v>
      </c>
      <c r="S7245" t="s">
        <v>32667</v>
      </c>
      <c r="T7245" t="s">
        <v>33323</v>
      </c>
      <c r="U7245" t="s">
        <v>39698</v>
      </c>
      <c r="W7245" t="s">
        <v>29644</v>
      </c>
      <c r="X7245" t="s">
        <v>32538</v>
      </c>
    </row>
    <row r="7246" spans="1:24">
      <c r="A7246">
        <f>HYPERLINK("https://www.philgeps.gov.ph/GEPSNONPILOT/Tender/SplashBidNoticeAbstractUI.aspx?menuIndex=3&amp;refID=7028925&amp;Result=3","7028925")</f>
        <v>0</v>
      </c>
      <c r="B7246" t="s">
        <v>432</v>
      </c>
      <c r="C7246" t="s">
        <v>9601</v>
      </c>
      <c r="D7246" t="s">
        <v>13028</v>
      </c>
      <c r="E7246" t="s">
        <v>19461</v>
      </c>
      <c r="F7246" t="s">
        <v>22436</v>
      </c>
      <c r="G7246" t="s">
        <v>22444</v>
      </c>
      <c r="H7246" t="s">
        <v>22454</v>
      </c>
      <c r="I7246" t="s">
        <v>7738</v>
      </c>
      <c r="J7246" t="s">
        <v>27270</v>
      </c>
      <c r="K7246" t="s">
        <v>29345</v>
      </c>
      <c r="M7246" t="s">
        <v>30013</v>
      </c>
      <c r="N7246" t="s">
        <v>32524</v>
      </c>
      <c r="O7246" t="s">
        <v>32525</v>
      </c>
      <c r="P7246">
        <v>0</v>
      </c>
      <c r="Q7246">
        <v>6</v>
      </c>
      <c r="R7246" t="s">
        <v>32533</v>
      </c>
      <c r="S7246" t="s">
        <v>32667</v>
      </c>
      <c r="T7246" t="s">
        <v>33249</v>
      </c>
      <c r="U7246" t="s">
        <v>34672</v>
      </c>
      <c r="V7246" t="s">
        <v>43220</v>
      </c>
      <c r="W7246" t="s">
        <v>30013</v>
      </c>
      <c r="X7246" t="s">
        <v>32538</v>
      </c>
    </row>
    <row r="7247" spans="1:24">
      <c r="A7247">
        <f>HYPERLINK("https://www.philgeps.gov.ph/GEPSNONPILOT/Tender/SplashBidNoticeAbstractUI.aspx?menuIndex=3&amp;refID=7025177&amp;Result=3","7025177")</f>
        <v>0</v>
      </c>
      <c r="B7247" t="s">
        <v>58</v>
      </c>
      <c r="C7247" t="s">
        <v>9602</v>
      </c>
      <c r="D7247" t="s">
        <v>13014</v>
      </c>
      <c r="E7247" t="s">
        <v>19462</v>
      </c>
      <c r="F7247" t="s">
        <v>22436</v>
      </c>
      <c r="G7247" t="s">
        <v>22444</v>
      </c>
      <c r="H7247" t="s">
        <v>22452</v>
      </c>
      <c r="I7247" t="s">
        <v>3529</v>
      </c>
      <c r="J7247" t="s">
        <v>27271</v>
      </c>
      <c r="K7247" t="s">
        <v>29341</v>
      </c>
      <c r="M7247" t="s">
        <v>29630</v>
      </c>
      <c r="N7247" t="s">
        <v>32524</v>
      </c>
      <c r="O7247" t="s">
        <v>32525</v>
      </c>
      <c r="P7247">
        <v>0</v>
      </c>
      <c r="Q7247">
        <v>0</v>
      </c>
      <c r="R7247" t="s">
        <v>32533</v>
      </c>
      <c r="S7247" t="s">
        <v>32667</v>
      </c>
      <c r="T7247" t="s">
        <v>33238</v>
      </c>
      <c r="U7247" t="s">
        <v>39699</v>
      </c>
      <c r="W7247" t="s">
        <v>29630</v>
      </c>
      <c r="X7247" t="s">
        <v>32539</v>
      </c>
    </row>
    <row r="7248" spans="1:24">
      <c r="A7248">
        <f>HYPERLINK("https://www.philgeps.gov.ph/GEPSNONPILOT/Tender/SplashBidNoticeAbstractUI.aspx?menuIndex=3&amp;refID=7030617&amp;Result=3","7030617")</f>
        <v>0</v>
      </c>
      <c r="B7248" t="s">
        <v>2168</v>
      </c>
      <c r="C7248" t="s">
        <v>9603</v>
      </c>
      <c r="D7248" t="s">
        <v>13008</v>
      </c>
      <c r="E7248" t="s">
        <v>19463</v>
      </c>
      <c r="F7248" t="s">
        <v>22436</v>
      </c>
      <c r="G7248" t="s">
        <v>22444</v>
      </c>
      <c r="H7248" t="s">
        <v>22452</v>
      </c>
      <c r="I7248" t="s">
        <v>22474</v>
      </c>
      <c r="J7248" t="s">
        <v>23387</v>
      </c>
      <c r="K7248" t="s">
        <v>29329</v>
      </c>
      <c r="M7248" t="s">
        <v>31926</v>
      </c>
      <c r="N7248" t="s">
        <v>32524</v>
      </c>
      <c r="O7248" t="s">
        <v>32525</v>
      </c>
      <c r="P7248">
        <v>0</v>
      </c>
      <c r="Q7248">
        <v>2</v>
      </c>
      <c r="R7248" t="s">
        <v>32533</v>
      </c>
      <c r="S7248" t="s">
        <v>32667</v>
      </c>
      <c r="T7248" t="s">
        <v>33249</v>
      </c>
      <c r="U7248" t="s">
        <v>39700</v>
      </c>
      <c r="V7248" t="s">
        <v>42461</v>
      </c>
      <c r="W7248" t="s">
        <v>31926</v>
      </c>
      <c r="X7248" t="s">
        <v>32537</v>
      </c>
    </row>
    <row r="7249" spans="1:24">
      <c r="A7249">
        <f>HYPERLINK("https://www.philgeps.gov.ph/GEPSNONPILOT/Tender/SplashBidNoticeAbstractUI.aspx?menuIndex=3&amp;refID=7030567&amp;Result=3","7030567")</f>
        <v>0</v>
      </c>
      <c r="B7249" t="s">
        <v>2167</v>
      </c>
      <c r="C7249" t="s">
        <v>9604</v>
      </c>
      <c r="D7249" t="s">
        <v>13034</v>
      </c>
      <c r="E7249" t="s">
        <v>19464</v>
      </c>
      <c r="F7249" t="s">
        <v>22436</v>
      </c>
      <c r="G7249" t="s">
        <v>22444</v>
      </c>
      <c r="H7249" t="s">
        <v>22454</v>
      </c>
      <c r="I7249" t="s">
        <v>7738</v>
      </c>
      <c r="J7249" t="s">
        <v>27272</v>
      </c>
      <c r="K7249" t="s">
        <v>29504</v>
      </c>
      <c r="M7249" t="s">
        <v>31925</v>
      </c>
      <c r="N7249" t="s">
        <v>32524</v>
      </c>
      <c r="O7249" t="s">
        <v>32525</v>
      </c>
      <c r="P7249">
        <v>0</v>
      </c>
      <c r="Q7249">
        <v>0</v>
      </c>
      <c r="R7249" t="s">
        <v>32533</v>
      </c>
      <c r="S7249" t="s">
        <v>32667</v>
      </c>
      <c r="T7249" t="s">
        <v>33234</v>
      </c>
      <c r="U7249" t="s">
        <v>39701</v>
      </c>
      <c r="W7249" t="s">
        <v>31925</v>
      </c>
      <c r="X7249" t="s">
        <v>32537</v>
      </c>
    </row>
    <row r="7250" spans="1:24">
      <c r="A7250">
        <f>HYPERLINK("https://www.philgeps.gov.ph/GEPSNONPILOT/Tender/SplashBidNoticeAbstractUI.aspx?menuIndex=3&amp;refID=7030405&amp;Result=3","7030405")</f>
        <v>0</v>
      </c>
      <c r="B7250" t="s">
        <v>432</v>
      </c>
      <c r="C7250" t="s">
        <v>9605</v>
      </c>
      <c r="D7250" t="s">
        <v>13028</v>
      </c>
      <c r="E7250" t="s">
        <v>19465</v>
      </c>
      <c r="F7250" t="s">
        <v>22436</v>
      </c>
      <c r="G7250" t="s">
        <v>22444</v>
      </c>
      <c r="H7250" t="s">
        <v>22454</v>
      </c>
      <c r="I7250" t="s">
        <v>7738</v>
      </c>
      <c r="J7250" t="s">
        <v>23384</v>
      </c>
      <c r="K7250" t="s">
        <v>29347</v>
      </c>
      <c r="M7250" t="s">
        <v>30013</v>
      </c>
      <c r="N7250" t="s">
        <v>32524</v>
      </c>
      <c r="O7250" t="s">
        <v>32525</v>
      </c>
      <c r="P7250">
        <v>0</v>
      </c>
      <c r="Q7250">
        <v>0</v>
      </c>
      <c r="R7250" t="s">
        <v>32533</v>
      </c>
      <c r="S7250" t="s">
        <v>32667</v>
      </c>
      <c r="T7250" t="s">
        <v>33249</v>
      </c>
      <c r="U7250" t="s">
        <v>34672</v>
      </c>
      <c r="V7250" t="s">
        <v>43221</v>
      </c>
      <c r="W7250" t="s">
        <v>30013</v>
      </c>
      <c r="X7250" t="s">
        <v>32537</v>
      </c>
    </row>
    <row r="7251" spans="1:24">
      <c r="A7251">
        <f>HYPERLINK("https://www.philgeps.gov.ph/GEPSNONPILOT/Tender/SplashBidNoticeAbstractUI.aspx?menuIndex=3&amp;refID=7030623&amp;Result=3","7030623")</f>
        <v>0</v>
      </c>
      <c r="B7251" t="s">
        <v>2169</v>
      </c>
      <c r="C7251" t="s">
        <v>9606</v>
      </c>
      <c r="D7251" t="s">
        <v>12999</v>
      </c>
      <c r="E7251" t="s">
        <v>19466</v>
      </c>
      <c r="F7251" t="s">
        <v>22436</v>
      </c>
      <c r="G7251" t="s">
        <v>22444</v>
      </c>
      <c r="H7251" t="s">
        <v>22454</v>
      </c>
      <c r="I7251" t="s">
        <v>7738</v>
      </c>
      <c r="J7251" t="s">
        <v>22779</v>
      </c>
      <c r="K7251" t="s">
        <v>29333</v>
      </c>
      <c r="M7251" t="s">
        <v>31927</v>
      </c>
      <c r="N7251" t="s">
        <v>32524</v>
      </c>
      <c r="O7251" t="s">
        <v>32525</v>
      </c>
      <c r="P7251">
        <v>0</v>
      </c>
      <c r="Q7251">
        <v>0</v>
      </c>
      <c r="R7251" t="s">
        <v>32533</v>
      </c>
      <c r="S7251" t="s">
        <v>32667</v>
      </c>
      <c r="T7251" t="s">
        <v>33468</v>
      </c>
      <c r="U7251" t="s">
        <v>39702</v>
      </c>
      <c r="V7251" t="s">
        <v>39702</v>
      </c>
      <c r="W7251" t="s">
        <v>31927</v>
      </c>
      <c r="X7251" t="s">
        <v>32537</v>
      </c>
    </row>
    <row r="7252" spans="1:24">
      <c r="A7252">
        <f>HYPERLINK("https://www.philgeps.gov.ph/GEPSNONPILOT/Tender/SplashBidNoticeAbstractUI.aspx?menuIndex=3&amp;refID=7030470&amp;Result=3","7030470")</f>
        <v>0</v>
      </c>
      <c r="B7252" t="s">
        <v>432</v>
      </c>
      <c r="C7252" t="s">
        <v>9607</v>
      </c>
      <c r="D7252" t="s">
        <v>13028</v>
      </c>
      <c r="E7252" t="s">
        <v>19467</v>
      </c>
      <c r="F7252" t="s">
        <v>22436</v>
      </c>
      <c r="G7252" t="s">
        <v>22444</v>
      </c>
      <c r="H7252" t="s">
        <v>22454</v>
      </c>
      <c r="I7252" t="s">
        <v>7738</v>
      </c>
      <c r="J7252" t="s">
        <v>23384</v>
      </c>
      <c r="K7252" t="s">
        <v>29347</v>
      </c>
      <c r="M7252" t="s">
        <v>30013</v>
      </c>
      <c r="N7252" t="s">
        <v>32524</v>
      </c>
      <c r="O7252" t="s">
        <v>32525</v>
      </c>
      <c r="P7252">
        <v>0</v>
      </c>
      <c r="Q7252">
        <v>0</v>
      </c>
      <c r="R7252" t="s">
        <v>32533</v>
      </c>
      <c r="S7252" t="s">
        <v>32667</v>
      </c>
      <c r="T7252" t="s">
        <v>33249</v>
      </c>
      <c r="U7252" t="s">
        <v>34672</v>
      </c>
      <c r="V7252" t="s">
        <v>43222</v>
      </c>
      <c r="W7252" t="s">
        <v>30013</v>
      </c>
      <c r="X7252" t="s">
        <v>32537</v>
      </c>
    </row>
    <row r="7253" spans="1:24">
      <c r="A7253">
        <f>HYPERLINK("https://www.philgeps.gov.ph/GEPSNONPILOT/Tender/SplashBidNoticeAbstractUI.aspx?menuIndex=3&amp;refID=7030447&amp;Result=3","7030447")</f>
        <v>0</v>
      </c>
      <c r="B7253" t="s">
        <v>2167</v>
      </c>
      <c r="C7253" t="s">
        <v>9608</v>
      </c>
      <c r="D7253" t="s">
        <v>13034</v>
      </c>
      <c r="E7253" t="s">
        <v>19468</v>
      </c>
      <c r="F7253" t="s">
        <v>22436</v>
      </c>
      <c r="G7253" t="s">
        <v>22444</v>
      </c>
      <c r="H7253" t="s">
        <v>22454</v>
      </c>
      <c r="I7253" t="s">
        <v>7738</v>
      </c>
      <c r="J7253" t="s">
        <v>27273</v>
      </c>
      <c r="K7253" t="s">
        <v>29505</v>
      </c>
      <c r="M7253" t="s">
        <v>31925</v>
      </c>
      <c r="N7253" t="s">
        <v>32524</v>
      </c>
      <c r="O7253" t="s">
        <v>32525</v>
      </c>
      <c r="P7253">
        <v>0</v>
      </c>
      <c r="Q7253">
        <v>0</v>
      </c>
      <c r="R7253" t="s">
        <v>32533</v>
      </c>
      <c r="S7253" t="s">
        <v>32667</v>
      </c>
      <c r="T7253" t="s">
        <v>33234</v>
      </c>
      <c r="U7253" t="s">
        <v>39703</v>
      </c>
      <c r="W7253" t="s">
        <v>31925</v>
      </c>
      <c r="X7253" t="s">
        <v>32537</v>
      </c>
    </row>
    <row r="7254" spans="1:24">
      <c r="A7254">
        <f>HYPERLINK("https://www.philgeps.gov.ph/GEPSNONPILOT/Tender/SplashBidNoticeAbstractUI.aspx?menuIndex=3&amp;refID=7030330&amp;Result=3","7030330")</f>
        <v>0</v>
      </c>
      <c r="B7254" t="s">
        <v>432</v>
      </c>
      <c r="C7254" t="s">
        <v>9609</v>
      </c>
      <c r="D7254" t="s">
        <v>13028</v>
      </c>
      <c r="E7254" t="s">
        <v>19469</v>
      </c>
      <c r="F7254" t="s">
        <v>22436</v>
      </c>
      <c r="G7254" t="s">
        <v>22444</v>
      </c>
      <c r="H7254" t="s">
        <v>22454</v>
      </c>
      <c r="I7254" t="s">
        <v>7738</v>
      </c>
      <c r="J7254" t="s">
        <v>27274</v>
      </c>
      <c r="K7254" t="s">
        <v>29412</v>
      </c>
      <c r="M7254" t="s">
        <v>30013</v>
      </c>
      <c r="N7254" t="s">
        <v>32524</v>
      </c>
      <c r="O7254" t="s">
        <v>32525</v>
      </c>
      <c r="P7254">
        <v>0</v>
      </c>
      <c r="Q7254">
        <v>5</v>
      </c>
      <c r="R7254" t="s">
        <v>32533</v>
      </c>
      <c r="S7254" t="s">
        <v>32667</v>
      </c>
      <c r="T7254" t="s">
        <v>33249</v>
      </c>
      <c r="U7254" t="s">
        <v>34672</v>
      </c>
      <c r="V7254" t="s">
        <v>43223</v>
      </c>
      <c r="W7254" t="s">
        <v>30013</v>
      </c>
      <c r="X7254" t="s">
        <v>32537</v>
      </c>
    </row>
    <row r="7255" spans="1:24">
      <c r="A7255">
        <f>HYPERLINK("https://www.philgeps.gov.ph/GEPSNONPILOT/Tender/SplashBidNoticeAbstractUI.aspx?menuIndex=3&amp;refID=7030587&amp;Result=3","7030587")</f>
        <v>0</v>
      </c>
      <c r="B7255" t="s">
        <v>2167</v>
      </c>
      <c r="C7255" t="s">
        <v>9610</v>
      </c>
      <c r="D7255" t="s">
        <v>13034</v>
      </c>
      <c r="E7255" t="s">
        <v>19458</v>
      </c>
      <c r="F7255" t="s">
        <v>22436</v>
      </c>
      <c r="G7255" t="s">
        <v>22444</v>
      </c>
      <c r="H7255" t="s">
        <v>22454</v>
      </c>
      <c r="I7255" t="s">
        <v>7738</v>
      </c>
      <c r="J7255" t="s">
        <v>27275</v>
      </c>
      <c r="K7255" t="s">
        <v>29391</v>
      </c>
      <c r="M7255" t="s">
        <v>31925</v>
      </c>
      <c r="N7255" t="s">
        <v>32524</v>
      </c>
      <c r="O7255" t="s">
        <v>32525</v>
      </c>
      <c r="P7255">
        <v>0</v>
      </c>
      <c r="Q7255">
        <v>0</v>
      </c>
      <c r="R7255" t="s">
        <v>32533</v>
      </c>
      <c r="S7255" t="s">
        <v>32667</v>
      </c>
      <c r="T7255" t="s">
        <v>33234</v>
      </c>
      <c r="U7255" t="s">
        <v>39704</v>
      </c>
      <c r="W7255" t="s">
        <v>31925</v>
      </c>
      <c r="X7255" t="s">
        <v>32537</v>
      </c>
    </row>
    <row r="7256" spans="1:24">
      <c r="A7256">
        <f>HYPERLINK("https://www.philgeps.gov.ph/GEPSNONPILOT/Tender/SplashBidNoticeAbstractUI.aspx?menuIndex=3&amp;refID=7030350&amp;Result=3","7030350")</f>
        <v>0</v>
      </c>
      <c r="B7256" t="s">
        <v>407</v>
      </c>
      <c r="C7256" t="s">
        <v>9611</v>
      </c>
      <c r="D7256" t="s">
        <v>12997</v>
      </c>
      <c r="E7256" t="s">
        <v>19470</v>
      </c>
      <c r="F7256" t="s">
        <v>22436</v>
      </c>
      <c r="G7256" t="s">
        <v>22444</v>
      </c>
      <c r="H7256" t="s">
        <v>22452</v>
      </c>
      <c r="I7256" t="s">
        <v>22467</v>
      </c>
      <c r="J7256" t="s">
        <v>27276</v>
      </c>
      <c r="K7256" t="s">
        <v>29335</v>
      </c>
      <c r="M7256" t="s">
        <v>29986</v>
      </c>
      <c r="N7256" t="s">
        <v>32524</v>
      </c>
      <c r="O7256" t="s">
        <v>32525</v>
      </c>
      <c r="P7256">
        <v>0</v>
      </c>
      <c r="Q7256">
        <v>0</v>
      </c>
      <c r="R7256" t="s">
        <v>32533</v>
      </c>
      <c r="S7256" t="s">
        <v>32667</v>
      </c>
      <c r="T7256" t="s">
        <v>33185</v>
      </c>
      <c r="U7256" t="s">
        <v>39705</v>
      </c>
      <c r="W7256" t="s">
        <v>29986</v>
      </c>
      <c r="X7256" t="s">
        <v>32537</v>
      </c>
    </row>
    <row r="7257" spans="1:24">
      <c r="A7257">
        <f>HYPERLINK("https://www.philgeps.gov.ph/GEPSNONPILOT/Tender/SplashBidNoticeAbstractUI.aspx?menuIndex=3&amp;refID=7030122&amp;Result=3","7030122")</f>
        <v>0</v>
      </c>
      <c r="B7257" t="s">
        <v>1558</v>
      </c>
      <c r="C7257" t="s">
        <v>9612</v>
      </c>
      <c r="D7257" t="s">
        <v>13015</v>
      </c>
      <c r="E7257" t="s">
        <v>19471</v>
      </c>
      <c r="F7257" t="s">
        <v>22436</v>
      </c>
      <c r="G7257" t="s">
        <v>22444</v>
      </c>
      <c r="H7257" t="s">
        <v>22454</v>
      </c>
      <c r="I7257" t="s">
        <v>7738</v>
      </c>
      <c r="J7257" t="s">
        <v>27277</v>
      </c>
      <c r="K7257" t="s">
        <v>29342</v>
      </c>
      <c r="M7257" t="s">
        <v>31238</v>
      </c>
      <c r="N7257" t="s">
        <v>32524</v>
      </c>
      <c r="O7257" t="s">
        <v>32525</v>
      </c>
      <c r="P7257">
        <v>0</v>
      </c>
      <c r="Q7257">
        <v>1</v>
      </c>
      <c r="R7257" t="s">
        <v>32533</v>
      </c>
      <c r="S7257" t="s">
        <v>32667</v>
      </c>
      <c r="T7257" t="s">
        <v>33207</v>
      </c>
      <c r="U7257" t="s">
        <v>39706</v>
      </c>
      <c r="W7257" t="s">
        <v>31238</v>
      </c>
      <c r="X7257" t="s">
        <v>32537</v>
      </c>
    </row>
    <row r="7258" spans="1:24">
      <c r="A7258">
        <f>HYPERLINK("https://www.philgeps.gov.ph/GEPSNONPILOT/Tender/SplashBidNoticeAbstractUI.aspx?menuIndex=3&amp;refID=7030012&amp;Result=3","7030012")</f>
        <v>0</v>
      </c>
      <c r="B7258" t="s">
        <v>2170</v>
      </c>
      <c r="C7258" t="s">
        <v>9613</v>
      </c>
      <c r="D7258" t="s">
        <v>12998</v>
      </c>
      <c r="E7258" t="s">
        <v>19472</v>
      </c>
      <c r="F7258" t="s">
        <v>22436</v>
      </c>
      <c r="G7258" t="s">
        <v>22444</v>
      </c>
      <c r="H7258" t="s">
        <v>22454</v>
      </c>
      <c r="I7258" t="s">
        <v>7738</v>
      </c>
      <c r="J7258" t="s">
        <v>27278</v>
      </c>
      <c r="K7258" t="s">
        <v>29444</v>
      </c>
      <c r="M7258" t="s">
        <v>31928</v>
      </c>
      <c r="N7258" t="s">
        <v>32524</v>
      </c>
      <c r="O7258" t="s">
        <v>32525</v>
      </c>
      <c r="P7258">
        <v>0</v>
      </c>
      <c r="Q7258">
        <v>1</v>
      </c>
      <c r="R7258" t="s">
        <v>32533</v>
      </c>
      <c r="S7258" t="s">
        <v>32667</v>
      </c>
      <c r="T7258" t="s">
        <v>33372</v>
      </c>
      <c r="U7258" t="s">
        <v>39707</v>
      </c>
      <c r="W7258" t="s">
        <v>31928</v>
      </c>
      <c r="X7258" t="s">
        <v>32537</v>
      </c>
    </row>
    <row r="7259" spans="1:24">
      <c r="A7259">
        <f>HYPERLINK("https://www.philgeps.gov.ph/GEPSNONPILOT/Tender/SplashBidNoticeAbstractUI.aspx?menuIndex=3&amp;refID=7027579&amp;Result=3","7027579")</f>
        <v>0</v>
      </c>
      <c r="B7259" t="s">
        <v>58</v>
      </c>
      <c r="C7259" t="s">
        <v>9614</v>
      </c>
      <c r="D7259" t="s">
        <v>13014</v>
      </c>
      <c r="E7259" t="s">
        <v>19473</v>
      </c>
      <c r="F7259" t="s">
        <v>22436</v>
      </c>
      <c r="G7259" t="s">
        <v>22444</v>
      </c>
      <c r="H7259" t="s">
        <v>22454</v>
      </c>
      <c r="I7259" t="s">
        <v>7738</v>
      </c>
      <c r="J7259" t="s">
        <v>27279</v>
      </c>
      <c r="K7259" t="s">
        <v>29379</v>
      </c>
      <c r="M7259" t="s">
        <v>29630</v>
      </c>
      <c r="N7259" t="s">
        <v>32524</v>
      </c>
      <c r="O7259" t="s">
        <v>32525</v>
      </c>
      <c r="P7259">
        <v>0</v>
      </c>
      <c r="Q7259">
        <v>0</v>
      </c>
      <c r="R7259" t="s">
        <v>32533</v>
      </c>
      <c r="S7259" t="s">
        <v>32667</v>
      </c>
      <c r="T7259" t="s">
        <v>33253</v>
      </c>
      <c r="U7259" t="s">
        <v>39708</v>
      </c>
      <c r="W7259" t="s">
        <v>29630</v>
      </c>
      <c r="X7259" t="s">
        <v>32538</v>
      </c>
    </row>
    <row r="7260" spans="1:24">
      <c r="A7260">
        <f>HYPERLINK("https://www.philgeps.gov.ph/GEPSNONPILOT/Tender/SplashBidNoticeAbstractUI.aspx?menuIndex=3&amp;refID=7025028&amp;Result=3","7025028")</f>
        <v>0</v>
      </c>
      <c r="B7260" t="s">
        <v>58</v>
      </c>
      <c r="C7260" t="s">
        <v>9615</v>
      </c>
      <c r="D7260" t="s">
        <v>13014</v>
      </c>
      <c r="E7260" t="s">
        <v>19474</v>
      </c>
      <c r="F7260" t="s">
        <v>22436</v>
      </c>
      <c r="G7260" t="s">
        <v>22444</v>
      </c>
      <c r="H7260" t="s">
        <v>22452</v>
      </c>
      <c r="I7260" t="s">
        <v>3529</v>
      </c>
      <c r="J7260" t="s">
        <v>27280</v>
      </c>
      <c r="K7260" t="s">
        <v>29341</v>
      </c>
      <c r="M7260" t="s">
        <v>29630</v>
      </c>
      <c r="N7260" t="s">
        <v>32524</v>
      </c>
      <c r="O7260" t="s">
        <v>32525</v>
      </c>
      <c r="P7260">
        <v>0</v>
      </c>
      <c r="Q7260">
        <v>0</v>
      </c>
      <c r="R7260" t="s">
        <v>32533</v>
      </c>
      <c r="S7260" t="s">
        <v>32667</v>
      </c>
      <c r="T7260" t="s">
        <v>33238</v>
      </c>
      <c r="U7260" t="s">
        <v>39709</v>
      </c>
      <c r="W7260" t="s">
        <v>29630</v>
      </c>
      <c r="X7260" t="s">
        <v>32539</v>
      </c>
    </row>
    <row r="7261" spans="1:24">
      <c r="A7261">
        <f>HYPERLINK("https://www.philgeps.gov.ph/GEPSNONPILOT/Tender/SplashBidNoticeAbstractUI.aspx?menuIndex=3&amp;refID=7029586&amp;Result=3","7029586")</f>
        <v>0</v>
      </c>
      <c r="B7261" t="s">
        <v>2171</v>
      </c>
      <c r="C7261" t="s">
        <v>9616</v>
      </c>
      <c r="E7261" t="s">
        <v>13318</v>
      </c>
      <c r="F7261" t="s">
        <v>22437</v>
      </c>
      <c r="G7261" t="s">
        <v>22448</v>
      </c>
      <c r="H7261" t="s">
        <v>22452</v>
      </c>
      <c r="I7261" t="s">
        <v>3529</v>
      </c>
      <c r="J7261" t="s">
        <v>27281</v>
      </c>
      <c r="K7261" t="s">
        <v>29338</v>
      </c>
      <c r="M7261" t="s">
        <v>31929</v>
      </c>
      <c r="N7261" t="s">
        <v>32524</v>
      </c>
      <c r="O7261" t="s">
        <v>32525</v>
      </c>
      <c r="P7261">
        <v>0</v>
      </c>
      <c r="Q7261">
        <v>1</v>
      </c>
      <c r="R7261" t="s">
        <v>32533</v>
      </c>
      <c r="S7261" t="s">
        <v>32667</v>
      </c>
      <c r="T7261" t="s">
        <v>33196</v>
      </c>
      <c r="U7261" t="s">
        <v>39710</v>
      </c>
      <c r="W7261" t="s">
        <v>31929</v>
      </c>
      <c r="X7261" t="s">
        <v>32538</v>
      </c>
    </row>
    <row r="7262" spans="1:24">
      <c r="A7262">
        <f>HYPERLINK("https://www.philgeps.gov.ph/GEPSNONPILOT/Tender/SplashBidNoticeAbstractUI.aspx?menuIndex=3&amp;refID=7030254&amp;Result=3","7030254")</f>
        <v>0</v>
      </c>
      <c r="B7262" t="s">
        <v>432</v>
      </c>
      <c r="C7262" t="s">
        <v>9617</v>
      </c>
      <c r="D7262" t="s">
        <v>13028</v>
      </c>
      <c r="E7262" t="s">
        <v>19475</v>
      </c>
      <c r="F7262" t="s">
        <v>22436</v>
      </c>
      <c r="G7262" t="s">
        <v>22444</v>
      </c>
      <c r="H7262" t="s">
        <v>22454</v>
      </c>
      <c r="I7262" t="s">
        <v>7738</v>
      </c>
      <c r="J7262" t="s">
        <v>25584</v>
      </c>
      <c r="K7262" t="s">
        <v>29412</v>
      </c>
      <c r="M7262" t="s">
        <v>30013</v>
      </c>
      <c r="N7262" t="s">
        <v>32524</v>
      </c>
      <c r="O7262" t="s">
        <v>32525</v>
      </c>
      <c r="P7262">
        <v>0</v>
      </c>
      <c r="Q7262">
        <v>5</v>
      </c>
      <c r="R7262" t="s">
        <v>32533</v>
      </c>
      <c r="S7262" t="s">
        <v>32667</v>
      </c>
      <c r="T7262" t="s">
        <v>33249</v>
      </c>
      <c r="U7262" t="s">
        <v>34672</v>
      </c>
      <c r="V7262" t="s">
        <v>43224</v>
      </c>
      <c r="W7262" t="s">
        <v>30013</v>
      </c>
      <c r="X7262" t="s">
        <v>32537</v>
      </c>
    </row>
    <row r="7263" spans="1:24">
      <c r="A7263">
        <f>HYPERLINK("https://www.philgeps.gov.ph/GEPSNONPILOT/Tender/SplashBidNoticeAbstractUI.aspx?menuIndex=3&amp;refID=7029161&amp;Result=3","7029161")</f>
        <v>0</v>
      </c>
      <c r="B7263" t="s">
        <v>2172</v>
      </c>
      <c r="C7263" t="s">
        <v>9618</v>
      </c>
      <c r="D7263" t="s">
        <v>13045</v>
      </c>
      <c r="E7263" t="s">
        <v>19476</v>
      </c>
      <c r="F7263" t="s">
        <v>22436</v>
      </c>
      <c r="G7263" t="s">
        <v>22444</v>
      </c>
      <c r="H7263" t="s">
        <v>22452</v>
      </c>
      <c r="I7263" t="s">
        <v>22474</v>
      </c>
      <c r="J7263" t="s">
        <v>22587</v>
      </c>
      <c r="K7263" t="s">
        <v>29333</v>
      </c>
      <c r="M7263" t="s">
        <v>31930</v>
      </c>
      <c r="N7263" t="s">
        <v>32524</v>
      </c>
      <c r="O7263" t="s">
        <v>32525</v>
      </c>
      <c r="Q7263">
        <v>11</v>
      </c>
      <c r="R7263" t="s">
        <v>32533</v>
      </c>
      <c r="S7263" t="s">
        <v>32677</v>
      </c>
      <c r="T7263" t="s">
        <v>33455</v>
      </c>
      <c r="U7263" t="s">
        <v>39711</v>
      </c>
      <c r="W7263" t="s">
        <v>31930</v>
      </c>
      <c r="X7263" t="s">
        <v>32538</v>
      </c>
    </row>
    <row r="7264" spans="1:24">
      <c r="A7264">
        <f>HYPERLINK("https://www.philgeps.gov.ph/GEPSNONPILOT/Tender/SplashBidNoticeAbstractUI.aspx?menuIndex=3&amp;refID=7029581&amp;Result=3","7029581")</f>
        <v>0</v>
      </c>
      <c r="B7264" t="s">
        <v>2171</v>
      </c>
      <c r="C7264" t="s">
        <v>9619</v>
      </c>
      <c r="E7264" t="s">
        <v>13182</v>
      </c>
      <c r="F7264" t="s">
        <v>22437</v>
      </c>
      <c r="G7264" t="s">
        <v>22448</v>
      </c>
      <c r="H7264" t="s">
        <v>22452</v>
      </c>
      <c r="I7264" t="s">
        <v>22471</v>
      </c>
      <c r="J7264" t="s">
        <v>27282</v>
      </c>
      <c r="K7264" t="s">
        <v>29338</v>
      </c>
      <c r="M7264" t="s">
        <v>31929</v>
      </c>
      <c r="N7264" t="s">
        <v>32524</v>
      </c>
      <c r="O7264" t="s">
        <v>32525</v>
      </c>
      <c r="P7264">
        <v>0</v>
      </c>
      <c r="Q7264">
        <v>1</v>
      </c>
      <c r="R7264" t="s">
        <v>32533</v>
      </c>
      <c r="S7264" t="s">
        <v>32667</v>
      </c>
      <c r="T7264" t="s">
        <v>33196</v>
      </c>
      <c r="U7264" t="s">
        <v>39712</v>
      </c>
      <c r="W7264" t="s">
        <v>31929</v>
      </c>
      <c r="X7264" t="s">
        <v>32538</v>
      </c>
    </row>
    <row r="7265" spans="1:24">
      <c r="A7265">
        <f>HYPERLINK("https://www.philgeps.gov.ph/GEPSNONPILOT/Tender/SplashBidNoticeAbstractUI.aspx?menuIndex=3&amp;refID=7031252&amp;Result=3","7031252")</f>
        <v>0</v>
      </c>
      <c r="B7265" t="s">
        <v>82</v>
      </c>
      <c r="C7265" t="s">
        <v>9620</v>
      </c>
      <c r="D7265" t="s">
        <v>13024</v>
      </c>
      <c r="E7265" t="s">
        <v>19477</v>
      </c>
      <c r="F7265" t="s">
        <v>22436</v>
      </c>
      <c r="G7265" t="s">
        <v>22444</v>
      </c>
      <c r="H7265" t="s">
        <v>22452</v>
      </c>
      <c r="I7265" t="s">
        <v>22463</v>
      </c>
      <c r="J7265" t="s">
        <v>26228</v>
      </c>
      <c r="K7265" t="s">
        <v>29336</v>
      </c>
      <c r="M7265" t="s">
        <v>29654</v>
      </c>
      <c r="N7265" t="s">
        <v>32524</v>
      </c>
      <c r="O7265" t="s">
        <v>32525</v>
      </c>
      <c r="P7265">
        <v>0</v>
      </c>
      <c r="Q7265">
        <v>1</v>
      </c>
      <c r="R7265" t="s">
        <v>32533</v>
      </c>
      <c r="S7265" t="s">
        <v>32667</v>
      </c>
      <c r="T7265" t="s">
        <v>33440</v>
      </c>
      <c r="U7265" t="s">
        <v>33741</v>
      </c>
      <c r="V7265" t="s">
        <v>43225</v>
      </c>
      <c r="W7265" t="s">
        <v>29654</v>
      </c>
      <c r="X7265" t="s">
        <v>32537</v>
      </c>
    </row>
    <row r="7266" spans="1:24">
      <c r="A7266">
        <f>HYPERLINK("https://www.philgeps.gov.ph/GEPSNONPILOT/Tender/SplashBidNoticeAbstractUI.aspx?menuIndex=3&amp;refID=7029976&amp;Result=3","7029976")</f>
        <v>0</v>
      </c>
      <c r="B7266" t="s">
        <v>178</v>
      </c>
      <c r="C7266" t="s">
        <v>9621</v>
      </c>
      <c r="D7266" t="s">
        <v>13046</v>
      </c>
      <c r="E7266" t="s">
        <v>19478</v>
      </c>
      <c r="F7266" t="s">
        <v>22436</v>
      </c>
      <c r="G7266" t="s">
        <v>22444</v>
      </c>
      <c r="H7266" t="s">
        <v>22452</v>
      </c>
      <c r="I7266" t="s">
        <v>22484</v>
      </c>
      <c r="J7266" t="s">
        <v>22634</v>
      </c>
      <c r="K7266" t="s">
        <v>29333</v>
      </c>
      <c r="M7266" t="s">
        <v>29750</v>
      </c>
      <c r="N7266" t="s">
        <v>32524</v>
      </c>
      <c r="O7266" t="s">
        <v>32525</v>
      </c>
      <c r="Q7266">
        <v>10</v>
      </c>
      <c r="R7266" t="s">
        <v>32533</v>
      </c>
      <c r="S7266" t="s">
        <v>32678</v>
      </c>
      <c r="T7266" t="s">
        <v>33249</v>
      </c>
      <c r="U7266" t="s">
        <v>39713</v>
      </c>
      <c r="W7266" t="s">
        <v>29750</v>
      </c>
      <c r="X7266" t="s">
        <v>32537</v>
      </c>
    </row>
    <row r="7267" spans="1:24">
      <c r="A7267">
        <f>HYPERLINK("https://www.philgeps.gov.ph/GEPSNONPILOT/Tender/SplashBidNoticeAbstractUI.aspx?menuIndex=3&amp;refID=7031158&amp;Result=3","7031158")</f>
        <v>0</v>
      </c>
      <c r="B7267" t="s">
        <v>82</v>
      </c>
      <c r="C7267" t="s">
        <v>9622</v>
      </c>
      <c r="D7267" t="s">
        <v>13024</v>
      </c>
      <c r="E7267" t="s">
        <v>19479</v>
      </c>
      <c r="F7267" t="s">
        <v>22436</v>
      </c>
      <c r="G7267" t="s">
        <v>22444</v>
      </c>
      <c r="H7267" t="s">
        <v>22452</v>
      </c>
      <c r="I7267" t="s">
        <v>22456</v>
      </c>
      <c r="J7267" t="s">
        <v>27283</v>
      </c>
      <c r="K7267" t="s">
        <v>29336</v>
      </c>
      <c r="M7267" t="s">
        <v>29654</v>
      </c>
      <c r="N7267" t="s">
        <v>32524</v>
      </c>
      <c r="O7267" t="s">
        <v>32525</v>
      </c>
      <c r="P7267">
        <v>0</v>
      </c>
      <c r="Q7267">
        <v>2</v>
      </c>
      <c r="R7267" t="s">
        <v>32533</v>
      </c>
      <c r="S7267" t="s">
        <v>32667</v>
      </c>
      <c r="T7267" t="s">
        <v>33440</v>
      </c>
      <c r="U7267" t="s">
        <v>33741</v>
      </c>
      <c r="V7267" t="s">
        <v>35412</v>
      </c>
      <c r="W7267" t="s">
        <v>29654</v>
      </c>
      <c r="X7267" t="s">
        <v>32537</v>
      </c>
    </row>
    <row r="7268" spans="1:24">
      <c r="A7268">
        <f>HYPERLINK("https://www.philgeps.gov.ph/GEPSNONPILOT/Tender/SplashBidNoticeAbstractUI.aspx?menuIndex=3&amp;refID=7027351&amp;Result=3","7027351")</f>
        <v>0</v>
      </c>
      <c r="B7268" t="s">
        <v>2159</v>
      </c>
      <c r="C7268" t="s">
        <v>9623</v>
      </c>
      <c r="D7268" t="s">
        <v>13002</v>
      </c>
      <c r="E7268" t="s">
        <v>19480</v>
      </c>
      <c r="F7268" t="s">
        <v>22436</v>
      </c>
      <c r="G7268" t="s">
        <v>22444</v>
      </c>
      <c r="H7268" t="s">
        <v>22454</v>
      </c>
      <c r="I7268" t="s">
        <v>7738</v>
      </c>
      <c r="J7268" t="s">
        <v>27284</v>
      </c>
      <c r="K7268" t="s">
        <v>29402</v>
      </c>
      <c r="M7268" t="s">
        <v>31913</v>
      </c>
      <c r="N7268" t="s">
        <v>32524</v>
      </c>
      <c r="O7268" t="s">
        <v>32525</v>
      </c>
      <c r="P7268">
        <v>0</v>
      </c>
      <c r="Q7268">
        <v>0</v>
      </c>
      <c r="R7268" t="s">
        <v>32533</v>
      </c>
      <c r="S7268" t="s">
        <v>32667</v>
      </c>
      <c r="T7268" t="s">
        <v>33405</v>
      </c>
      <c r="U7268" t="s">
        <v>39714</v>
      </c>
      <c r="V7268" t="s">
        <v>43092</v>
      </c>
      <c r="W7268" t="s">
        <v>31913</v>
      </c>
      <c r="X7268" t="s">
        <v>32538</v>
      </c>
    </row>
    <row r="7269" spans="1:24">
      <c r="A7269">
        <f>HYPERLINK("https://www.philgeps.gov.ph/GEPSNONPILOT/Tender/SplashBidNoticeAbstractUI.aspx?menuIndex=3&amp;refID=7028972&amp;Result=3","7028972")</f>
        <v>0</v>
      </c>
      <c r="B7269" t="s">
        <v>2173</v>
      </c>
      <c r="C7269" t="s">
        <v>9624</v>
      </c>
      <c r="E7269" t="s">
        <v>19481</v>
      </c>
      <c r="F7269" t="s">
        <v>22436</v>
      </c>
      <c r="G7269" t="s">
        <v>22444</v>
      </c>
      <c r="H7269" t="s">
        <v>22452</v>
      </c>
      <c r="I7269" t="s">
        <v>22456</v>
      </c>
      <c r="J7269" t="s">
        <v>27285</v>
      </c>
      <c r="K7269" t="s">
        <v>29338</v>
      </c>
      <c r="M7269" t="s">
        <v>31931</v>
      </c>
      <c r="N7269" t="s">
        <v>32524</v>
      </c>
      <c r="O7269" t="s">
        <v>32525</v>
      </c>
      <c r="Q7269">
        <v>16</v>
      </c>
      <c r="R7269" t="s">
        <v>32533</v>
      </c>
      <c r="S7269" t="s">
        <v>32679</v>
      </c>
      <c r="T7269" t="s">
        <v>33234</v>
      </c>
      <c r="U7269" t="s">
        <v>39715</v>
      </c>
      <c r="W7269" t="s">
        <v>43745</v>
      </c>
      <c r="X7269" t="s">
        <v>32538</v>
      </c>
    </row>
    <row r="7270" spans="1:24">
      <c r="A7270">
        <f>HYPERLINK("https://www.philgeps.gov.ph/GEPSNONPILOT/Tender/SplashBidNoticeAbstractUI.aspx?menuIndex=3&amp;refID=7027358&amp;Result=3","7027358")</f>
        <v>0</v>
      </c>
      <c r="B7270" t="s">
        <v>2159</v>
      </c>
      <c r="C7270" t="s">
        <v>9625</v>
      </c>
      <c r="D7270" t="s">
        <v>13002</v>
      </c>
      <c r="E7270" t="s">
        <v>19482</v>
      </c>
      <c r="F7270" t="s">
        <v>22436</v>
      </c>
      <c r="G7270" t="s">
        <v>22444</v>
      </c>
      <c r="H7270" t="s">
        <v>22454</v>
      </c>
      <c r="I7270" t="s">
        <v>7738</v>
      </c>
      <c r="J7270" t="s">
        <v>27286</v>
      </c>
      <c r="K7270" t="s">
        <v>29402</v>
      </c>
      <c r="M7270" t="s">
        <v>31913</v>
      </c>
      <c r="N7270" t="s">
        <v>32524</v>
      </c>
      <c r="O7270" t="s">
        <v>32525</v>
      </c>
      <c r="P7270">
        <v>0</v>
      </c>
      <c r="Q7270">
        <v>0</v>
      </c>
      <c r="R7270" t="s">
        <v>32533</v>
      </c>
      <c r="S7270" t="s">
        <v>32667</v>
      </c>
      <c r="T7270" t="s">
        <v>33405</v>
      </c>
      <c r="U7270" t="s">
        <v>39716</v>
      </c>
      <c r="V7270" t="s">
        <v>43092</v>
      </c>
      <c r="W7270" t="s">
        <v>31913</v>
      </c>
      <c r="X7270" t="s">
        <v>32538</v>
      </c>
    </row>
    <row r="7271" spans="1:24">
      <c r="A7271">
        <f>HYPERLINK("https://www.philgeps.gov.ph/GEPSNONPILOT/Tender/SplashBidNoticeAbstractUI.aspx?menuIndex=3&amp;refID=7030944&amp;Result=3","7030944")</f>
        <v>0</v>
      </c>
      <c r="B7271" t="s">
        <v>46</v>
      </c>
      <c r="C7271" t="s">
        <v>9626</v>
      </c>
      <c r="D7271" t="s">
        <v>13006</v>
      </c>
      <c r="E7271" t="s">
        <v>19483</v>
      </c>
      <c r="F7271" t="s">
        <v>22436</v>
      </c>
      <c r="G7271" t="s">
        <v>22443</v>
      </c>
      <c r="H7271" t="s">
        <v>22452</v>
      </c>
      <c r="I7271" t="s">
        <v>22482</v>
      </c>
      <c r="J7271" t="s">
        <v>22858</v>
      </c>
      <c r="K7271" t="s">
        <v>29330</v>
      </c>
      <c r="M7271" t="s">
        <v>31932</v>
      </c>
      <c r="N7271" t="s">
        <v>32524</v>
      </c>
      <c r="O7271" t="s">
        <v>32525</v>
      </c>
      <c r="P7271">
        <v>0</v>
      </c>
      <c r="Q7271">
        <v>4</v>
      </c>
      <c r="R7271" t="s">
        <v>32533</v>
      </c>
      <c r="S7271" t="s">
        <v>32667</v>
      </c>
      <c r="T7271" t="s">
        <v>33238</v>
      </c>
      <c r="U7271" t="s">
        <v>39717</v>
      </c>
      <c r="W7271" t="s">
        <v>31932</v>
      </c>
      <c r="X7271" t="s">
        <v>32537</v>
      </c>
    </row>
    <row r="7272" spans="1:24">
      <c r="A7272">
        <f>HYPERLINK("https://www.philgeps.gov.ph/GEPSNONPILOT/Tender/SplashBidNoticeAbstractUI.aspx?menuIndex=3&amp;refID=7030677&amp;Result=3","7030677")</f>
        <v>0</v>
      </c>
      <c r="B7272" t="s">
        <v>2167</v>
      </c>
      <c r="C7272" t="s">
        <v>9627</v>
      </c>
      <c r="D7272" t="s">
        <v>13034</v>
      </c>
      <c r="E7272" t="s">
        <v>19484</v>
      </c>
      <c r="F7272" t="s">
        <v>22436</v>
      </c>
      <c r="G7272" t="s">
        <v>22444</v>
      </c>
      <c r="H7272" t="s">
        <v>22454</v>
      </c>
      <c r="I7272" t="s">
        <v>7738</v>
      </c>
      <c r="J7272" t="s">
        <v>27287</v>
      </c>
      <c r="K7272" t="s">
        <v>29411</v>
      </c>
      <c r="M7272" t="s">
        <v>31925</v>
      </c>
      <c r="N7272" t="s">
        <v>32524</v>
      </c>
      <c r="O7272" t="s">
        <v>32525</v>
      </c>
      <c r="P7272">
        <v>0</v>
      </c>
      <c r="Q7272">
        <v>0</v>
      </c>
      <c r="R7272" t="s">
        <v>32533</v>
      </c>
      <c r="S7272" t="s">
        <v>32667</v>
      </c>
      <c r="T7272" t="s">
        <v>33296</v>
      </c>
      <c r="U7272" t="s">
        <v>39718</v>
      </c>
      <c r="W7272" t="s">
        <v>31925</v>
      </c>
      <c r="X7272" t="s">
        <v>32537</v>
      </c>
    </row>
    <row r="7273" spans="1:24">
      <c r="A7273">
        <f>HYPERLINK("https://www.philgeps.gov.ph/GEPSNONPILOT/Tender/SplashBidNoticeAbstractUI.aspx?menuIndex=3&amp;refID=7030667&amp;Result=3","7030667")</f>
        <v>0</v>
      </c>
      <c r="B7273" t="s">
        <v>2167</v>
      </c>
      <c r="C7273" t="s">
        <v>9628</v>
      </c>
      <c r="D7273" t="s">
        <v>13034</v>
      </c>
      <c r="E7273" t="s">
        <v>19485</v>
      </c>
      <c r="F7273" t="s">
        <v>22436</v>
      </c>
      <c r="G7273" t="s">
        <v>22444</v>
      </c>
      <c r="H7273" t="s">
        <v>22454</v>
      </c>
      <c r="I7273" t="s">
        <v>7738</v>
      </c>
      <c r="J7273" t="s">
        <v>27288</v>
      </c>
      <c r="K7273" t="s">
        <v>29333</v>
      </c>
      <c r="M7273" t="s">
        <v>31925</v>
      </c>
      <c r="N7273" t="s">
        <v>32524</v>
      </c>
      <c r="O7273" t="s">
        <v>32525</v>
      </c>
      <c r="P7273">
        <v>0</v>
      </c>
      <c r="Q7273">
        <v>0</v>
      </c>
      <c r="R7273" t="s">
        <v>32533</v>
      </c>
      <c r="S7273" t="s">
        <v>32667</v>
      </c>
      <c r="T7273" t="s">
        <v>33234</v>
      </c>
      <c r="U7273" t="s">
        <v>39719</v>
      </c>
      <c r="W7273" t="s">
        <v>31925</v>
      </c>
      <c r="X7273" t="s">
        <v>32537</v>
      </c>
    </row>
    <row r="7274" spans="1:24">
      <c r="A7274">
        <f>HYPERLINK("https://www.philgeps.gov.ph/GEPSNONPILOT/Tender/SplashBidNoticeAbstractUI.aspx?menuIndex=3&amp;refID=7031258&amp;Result=3","7031258")</f>
        <v>0</v>
      </c>
      <c r="B7274" t="s">
        <v>2174</v>
      </c>
      <c r="C7274" t="s">
        <v>9629</v>
      </c>
      <c r="D7274" t="s">
        <v>13064</v>
      </c>
      <c r="E7274" t="s">
        <v>19486</v>
      </c>
      <c r="F7274" t="s">
        <v>22436</v>
      </c>
      <c r="G7274" t="s">
        <v>22444</v>
      </c>
      <c r="H7274" t="s">
        <v>22452</v>
      </c>
      <c r="I7274" t="s">
        <v>22470</v>
      </c>
      <c r="J7274" t="s">
        <v>22634</v>
      </c>
      <c r="K7274" t="s">
        <v>29338</v>
      </c>
      <c r="M7274" t="s">
        <v>31933</v>
      </c>
      <c r="N7274" t="s">
        <v>32524</v>
      </c>
      <c r="O7274" t="s">
        <v>32525</v>
      </c>
      <c r="P7274">
        <v>0</v>
      </c>
      <c r="Q7274">
        <v>3</v>
      </c>
      <c r="R7274" t="s">
        <v>32533</v>
      </c>
      <c r="S7274" t="s">
        <v>32667</v>
      </c>
      <c r="T7274" t="s">
        <v>33230</v>
      </c>
      <c r="U7274" t="s">
        <v>39720</v>
      </c>
      <c r="W7274" t="s">
        <v>31933</v>
      </c>
      <c r="X7274" t="s">
        <v>32537</v>
      </c>
    </row>
    <row r="7275" spans="1:24">
      <c r="A7275">
        <f>HYPERLINK("https://www.philgeps.gov.ph/GEPSNONPILOT/Tender/SplashBidNoticeAbstractUI.aspx?menuIndex=3&amp;refID=7030640&amp;Result=3","7030640")</f>
        <v>0</v>
      </c>
      <c r="B7275" t="s">
        <v>2167</v>
      </c>
      <c r="C7275" t="s">
        <v>9630</v>
      </c>
      <c r="D7275" t="s">
        <v>13034</v>
      </c>
      <c r="E7275" t="s">
        <v>19487</v>
      </c>
      <c r="F7275" t="s">
        <v>22436</v>
      </c>
      <c r="G7275" t="s">
        <v>22444</v>
      </c>
      <c r="H7275" t="s">
        <v>22454</v>
      </c>
      <c r="I7275" t="s">
        <v>7738</v>
      </c>
      <c r="J7275" t="s">
        <v>27289</v>
      </c>
      <c r="K7275" t="s">
        <v>29373</v>
      </c>
      <c r="M7275" t="s">
        <v>31925</v>
      </c>
      <c r="N7275" t="s">
        <v>32524</v>
      </c>
      <c r="O7275" t="s">
        <v>32525</v>
      </c>
      <c r="P7275">
        <v>0</v>
      </c>
      <c r="Q7275">
        <v>0</v>
      </c>
      <c r="R7275" t="s">
        <v>32533</v>
      </c>
      <c r="S7275" t="s">
        <v>32667</v>
      </c>
      <c r="T7275" t="s">
        <v>33234</v>
      </c>
      <c r="U7275" t="s">
        <v>39721</v>
      </c>
      <c r="W7275" t="s">
        <v>31925</v>
      </c>
      <c r="X7275" t="s">
        <v>32537</v>
      </c>
    </row>
    <row r="7276" spans="1:24">
      <c r="A7276">
        <f>HYPERLINK("https://www.philgeps.gov.ph/GEPSNONPILOT/Tender/SplashBidNoticeAbstractUI.aspx?menuIndex=3&amp;refID=7030707&amp;Result=3","7030707")</f>
        <v>0</v>
      </c>
      <c r="B7276" t="s">
        <v>1563</v>
      </c>
      <c r="C7276" t="s">
        <v>9631</v>
      </c>
      <c r="D7276" t="s">
        <v>13006</v>
      </c>
      <c r="E7276" t="s">
        <v>19488</v>
      </c>
      <c r="F7276" t="s">
        <v>22436</v>
      </c>
      <c r="G7276" t="s">
        <v>22443</v>
      </c>
      <c r="H7276" t="s">
        <v>22452</v>
      </c>
      <c r="I7276" t="s">
        <v>2981</v>
      </c>
      <c r="J7276" t="s">
        <v>23053</v>
      </c>
      <c r="K7276" t="s">
        <v>29338</v>
      </c>
      <c r="M7276" t="s">
        <v>31692</v>
      </c>
      <c r="N7276" t="s">
        <v>32524</v>
      </c>
      <c r="O7276" t="s">
        <v>32525</v>
      </c>
      <c r="P7276">
        <v>0</v>
      </c>
      <c r="Q7276">
        <v>1</v>
      </c>
      <c r="R7276" t="s">
        <v>32533</v>
      </c>
      <c r="S7276" t="s">
        <v>32667</v>
      </c>
      <c r="T7276" t="s">
        <v>33220</v>
      </c>
      <c r="U7276" t="s">
        <v>38843</v>
      </c>
      <c r="W7276" t="s">
        <v>31692</v>
      </c>
      <c r="X7276" t="s">
        <v>32537</v>
      </c>
    </row>
    <row r="7277" spans="1:24">
      <c r="A7277">
        <f>HYPERLINK("https://www.philgeps.gov.ph/GEPSNONPILOT/Tender/SplashBidNoticeAbstractUI.aspx?menuIndex=3&amp;refID=7032072&amp;Result=3","7032072")</f>
        <v>0</v>
      </c>
      <c r="B7277" t="s">
        <v>140</v>
      </c>
      <c r="C7277" t="s">
        <v>9632</v>
      </c>
      <c r="D7277" t="s">
        <v>12988</v>
      </c>
      <c r="E7277" t="s">
        <v>19489</v>
      </c>
      <c r="F7277" t="s">
        <v>22436</v>
      </c>
      <c r="G7277" t="s">
        <v>22444</v>
      </c>
      <c r="H7277" t="s">
        <v>22452</v>
      </c>
      <c r="I7277" t="s">
        <v>3827</v>
      </c>
      <c r="J7277" t="s">
        <v>27290</v>
      </c>
      <c r="K7277" t="s">
        <v>29338</v>
      </c>
      <c r="M7277" t="s">
        <v>31934</v>
      </c>
      <c r="N7277" t="s">
        <v>32524</v>
      </c>
      <c r="O7277" t="s">
        <v>32525</v>
      </c>
      <c r="P7277">
        <v>0</v>
      </c>
      <c r="Q7277">
        <v>3</v>
      </c>
      <c r="R7277" t="s">
        <v>32533</v>
      </c>
      <c r="S7277" t="s">
        <v>32667</v>
      </c>
      <c r="T7277" t="s">
        <v>33259</v>
      </c>
      <c r="U7277" t="s">
        <v>39722</v>
      </c>
      <c r="W7277" t="s">
        <v>31934</v>
      </c>
      <c r="X7277" t="s">
        <v>32536</v>
      </c>
    </row>
    <row r="7278" spans="1:24">
      <c r="A7278">
        <f>HYPERLINK("https://www.philgeps.gov.ph/GEPSNONPILOT/Tender/SplashBidNoticeAbstractUI.aspx?menuIndex=3&amp;refID=7032125&amp;Result=3","7032125")</f>
        <v>0</v>
      </c>
      <c r="B7278" t="s">
        <v>140</v>
      </c>
      <c r="C7278" t="s">
        <v>9633</v>
      </c>
      <c r="D7278" t="s">
        <v>12988</v>
      </c>
      <c r="E7278" t="s">
        <v>19490</v>
      </c>
      <c r="F7278" t="s">
        <v>22436</v>
      </c>
      <c r="G7278" t="s">
        <v>22444</v>
      </c>
      <c r="H7278" t="s">
        <v>22452</v>
      </c>
      <c r="I7278" t="s">
        <v>22458</v>
      </c>
      <c r="J7278" t="s">
        <v>27291</v>
      </c>
      <c r="K7278" t="s">
        <v>29338</v>
      </c>
      <c r="M7278" t="s">
        <v>31934</v>
      </c>
      <c r="N7278" t="s">
        <v>32524</v>
      </c>
      <c r="O7278" t="s">
        <v>32525</v>
      </c>
      <c r="P7278">
        <v>0</v>
      </c>
      <c r="Q7278">
        <v>7</v>
      </c>
      <c r="R7278" t="s">
        <v>32533</v>
      </c>
      <c r="S7278" t="s">
        <v>32667</v>
      </c>
      <c r="T7278" t="s">
        <v>33259</v>
      </c>
      <c r="U7278" t="s">
        <v>39723</v>
      </c>
      <c r="W7278" t="s">
        <v>31934</v>
      </c>
      <c r="X7278" t="s">
        <v>32536</v>
      </c>
    </row>
    <row r="7279" spans="1:24">
      <c r="A7279">
        <f>HYPERLINK("https://www.philgeps.gov.ph/GEPSNONPILOT/Tender/SplashBidNoticeAbstractUI.aspx?menuIndex=3&amp;refID=7031571&amp;Result=3","7031571")</f>
        <v>0</v>
      </c>
      <c r="B7279" t="s">
        <v>2175</v>
      </c>
      <c r="C7279" t="s">
        <v>9634</v>
      </c>
      <c r="E7279" t="s">
        <v>13368</v>
      </c>
      <c r="F7279" t="s">
        <v>22436</v>
      </c>
      <c r="G7279" t="s">
        <v>22444</v>
      </c>
      <c r="H7279" t="s">
        <v>22454</v>
      </c>
      <c r="I7279" t="s">
        <v>7738</v>
      </c>
      <c r="J7279" t="s">
        <v>22914</v>
      </c>
      <c r="K7279" t="s">
        <v>29338</v>
      </c>
      <c r="M7279" t="s">
        <v>31935</v>
      </c>
      <c r="N7279" t="s">
        <v>32524</v>
      </c>
      <c r="O7279" t="s">
        <v>32525</v>
      </c>
      <c r="P7279">
        <v>0</v>
      </c>
      <c r="Q7279">
        <v>0</v>
      </c>
      <c r="R7279" t="s">
        <v>32533</v>
      </c>
      <c r="S7279" t="s">
        <v>32667</v>
      </c>
      <c r="T7279" t="s">
        <v>33213</v>
      </c>
      <c r="U7279" t="s">
        <v>39724</v>
      </c>
      <c r="W7279" t="s">
        <v>31935</v>
      </c>
      <c r="X7279" t="s">
        <v>32537</v>
      </c>
    </row>
    <row r="7280" spans="1:24">
      <c r="A7280">
        <f>HYPERLINK("https://www.philgeps.gov.ph/GEPSNONPILOT/Tender/SplashBidNoticeAbstractUI.aspx?menuIndex=3&amp;refID=7031394&amp;Result=3","7031394")</f>
        <v>0</v>
      </c>
      <c r="B7280" t="s">
        <v>1274</v>
      </c>
      <c r="C7280" t="s">
        <v>9635</v>
      </c>
      <c r="D7280" t="s">
        <v>13041</v>
      </c>
      <c r="E7280" t="s">
        <v>19491</v>
      </c>
      <c r="F7280" t="s">
        <v>22436</v>
      </c>
      <c r="G7280" t="s">
        <v>22444</v>
      </c>
      <c r="H7280" t="s">
        <v>22452</v>
      </c>
      <c r="I7280" t="s">
        <v>22513</v>
      </c>
      <c r="J7280" t="s">
        <v>23357</v>
      </c>
      <c r="K7280" t="s">
        <v>29341</v>
      </c>
      <c r="M7280" t="s">
        <v>30927</v>
      </c>
      <c r="N7280" t="s">
        <v>32524</v>
      </c>
      <c r="O7280" t="s">
        <v>32525</v>
      </c>
      <c r="P7280">
        <v>0</v>
      </c>
      <c r="Q7280">
        <v>1</v>
      </c>
      <c r="R7280" t="s">
        <v>32533</v>
      </c>
      <c r="S7280" t="s">
        <v>32667</v>
      </c>
      <c r="T7280" t="s">
        <v>33340</v>
      </c>
      <c r="U7280" t="s">
        <v>39725</v>
      </c>
      <c r="V7280" t="s">
        <v>43226</v>
      </c>
      <c r="W7280" t="s">
        <v>30927</v>
      </c>
      <c r="X7280" t="s">
        <v>32537</v>
      </c>
    </row>
    <row r="7281" spans="1:24">
      <c r="A7281">
        <f>HYPERLINK("https://www.philgeps.gov.ph/GEPSNONPILOT/Tender/SplashBidNoticeAbstractUI.aspx?menuIndex=3&amp;refID=7031537&amp;Result=3","7031537")</f>
        <v>0</v>
      </c>
      <c r="B7281" t="s">
        <v>1169</v>
      </c>
      <c r="C7281" t="s">
        <v>9636</v>
      </c>
      <c r="D7281" t="s">
        <v>13018</v>
      </c>
      <c r="E7281" t="s">
        <v>19492</v>
      </c>
      <c r="F7281" t="s">
        <v>22436</v>
      </c>
      <c r="G7281" t="s">
        <v>22444</v>
      </c>
      <c r="H7281" t="s">
        <v>22452</v>
      </c>
      <c r="I7281" t="s">
        <v>3027</v>
      </c>
      <c r="J7281" t="s">
        <v>27292</v>
      </c>
      <c r="K7281" t="s">
        <v>29338</v>
      </c>
      <c r="M7281" t="s">
        <v>30815</v>
      </c>
      <c r="N7281" t="s">
        <v>32524</v>
      </c>
      <c r="O7281" t="s">
        <v>32525</v>
      </c>
      <c r="P7281">
        <v>0</v>
      </c>
      <c r="Q7281">
        <v>2</v>
      </c>
      <c r="R7281" t="s">
        <v>32533</v>
      </c>
      <c r="S7281" t="s">
        <v>32667</v>
      </c>
      <c r="T7281" t="s">
        <v>33165</v>
      </c>
      <c r="U7281" t="s">
        <v>39726</v>
      </c>
      <c r="W7281" t="s">
        <v>30815</v>
      </c>
      <c r="X7281" t="s">
        <v>32537</v>
      </c>
    </row>
    <row r="7282" spans="1:24">
      <c r="A7282">
        <f>HYPERLINK("https://www.philgeps.gov.ph/GEPSNONPILOT/Tender/SplashBidNoticeAbstractUI.aspx?menuIndex=3&amp;refID=7031376&amp;Result=3","7031376")</f>
        <v>0</v>
      </c>
      <c r="B7282" t="s">
        <v>651</v>
      </c>
      <c r="C7282" t="s">
        <v>9637</v>
      </c>
      <c r="D7282" t="s">
        <v>13029</v>
      </c>
      <c r="E7282" t="s">
        <v>14741</v>
      </c>
      <c r="F7282" t="s">
        <v>22436</v>
      </c>
      <c r="G7282" t="s">
        <v>22444</v>
      </c>
      <c r="H7282" t="s">
        <v>22452</v>
      </c>
      <c r="I7282" t="s">
        <v>22474</v>
      </c>
      <c r="J7282" t="s">
        <v>22634</v>
      </c>
      <c r="K7282" t="s">
        <v>29335</v>
      </c>
      <c r="M7282" t="s">
        <v>30243</v>
      </c>
      <c r="N7282" t="s">
        <v>32524</v>
      </c>
      <c r="O7282" t="s">
        <v>32525</v>
      </c>
      <c r="P7282">
        <v>0</v>
      </c>
      <c r="Q7282">
        <v>1</v>
      </c>
      <c r="R7282" t="s">
        <v>32533</v>
      </c>
      <c r="S7282" t="s">
        <v>32667</v>
      </c>
      <c r="T7282" t="s">
        <v>33209</v>
      </c>
      <c r="U7282" t="s">
        <v>39727</v>
      </c>
      <c r="W7282" t="s">
        <v>30243</v>
      </c>
      <c r="X7282" t="s">
        <v>32537</v>
      </c>
    </row>
    <row r="7283" spans="1:24">
      <c r="A7283">
        <f>HYPERLINK("https://www.philgeps.gov.ph/GEPSNONPILOT/Tender/SplashBidNoticeAbstractUI.aspx?menuIndex=3&amp;refID=7031640&amp;Result=3","7031640")</f>
        <v>0</v>
      </c>
      <c r="B7283" t="s">
        <v>2112</v>
      </c>
      <c r="C7283" t="s">
        <v>7787</v>
      </c>
      <c r="E7283" t="s">
        <v>19493</v>
      </c>
      <c r="F7283" t="s">
        <v>22436</v>
      </c>
      <c r="G7283" t="s">
        <v>22444</v>
      </c>
      <c r="H7283" t="s">
        <v>22452</v>
      </c>
      <c r="I7283" t="s">
        <v>2981</v>
      </c>
      <c r="J7283" t="s">
        <v>22605</v>
      </c>
      <c r="K7283" t="s">
        <v>29338</v>
      </c>
      <c r="M7283" t="s">
        <v>31863</v>
      </c>
      <c r="N7283" t="s">
        <v>32524</v>
      </c>
      <c r="O7283" t="s">
        <v>32525</v>
      </c>
      <c r="P7283">
        <v>0</v>
      </c>
      <c r="Q7283">
        <v>0</v>
      </c>
      <c r="R7283" t="s">
        <v>32533</v>
      </c>
      <c r="S7283" t="s">
        <v>32667</v>
      </c>
      <c r="T7283" t="s">
        <v>33182</v>
      </c>
      <c r="U7283" t="s">
        <v>38116</v>
      </c>
      <c r="W7283" t="s">
        <v>31863</v>
      </c>
      <c r="X7283" t="s">
        <v>32537</v>
      </c>
    </row>
    <row r="7284" spans="1:24">
      <c r="A7284">
        <f>HYPERLINK("https://www.philgeps.gov.ph/GEPSNONPILOT/Tender/SplashBidNoticeAbstractUI.aspx?menuIndex=3&amp;refID=7030663&amp;Result=3","7030663")</f>
        <v>0</v>
      </c>
      <c r="B7284" t="s">
        <v>2169</v>
      </c>
      <c r="C7284" t="s">
        <v>9638</v>
      </c>
      <c r="D7284" t="s">
        <v>12999</v>
      </c>
      <c r="E7284" t="s">
        <v>19494</v>
      </c>
      <c r="F7284" t="s">
        <v>22436</v>
      </c>
      <c r="G7284" t="s">
        <v>22444</v>
      </c>
      <c r="H7284" t="s">
        <v>22454</v>
      </c>
      <c r="I7284" t="s">
        <v>7738</v>
      </c>
      <c r="J7284" t="s">
        <v>22893</v>
      </c>
      <c r="K7284" t="s">
        <v>29329</v>
      </c>
      <c r="M7284" t="s">
        <v>31927</v>
      </c>
      <c r="N7284" t="s">
        <v>32524</v>
      </c>
      <c r="O7284" t="s">
        <v>32525</v>
      </c>
      <c r="P7284">
        <v>0</v>
      </c>
      <c r="Q7284">
        <v>0</v>
      </c>
      <c r="R7284" t="s">
        <v>32533</v>
      </c>
      <c r="S7284" t="s">
        <v>32667</v>
      </c>
      <c r="T7284" t="s">
        <v>33302</v>
      </c>
      <c r="U7284" t="s">
        <v>39728</v>
      </c>
      <c r="V7284" t="s">
        <v>39728</v>
      </c>
      <c r="W7284" t="s">
        <v>31927</v>
      </c>
      <c r="X7284" t="s">
        <v>32537</v>
      </c>
    </row>
    <row r="7285" spans="1:24">
      <c r="A7285">
        <f>HYPERLINK("https://www.philgeps.gov.ph/GEPSNONPILOT/Tender/SplashBidNoticeAbstractUI.aspx?menuIndex=3&amp;refID=7031689&amp;Result=3","7031689")</f>
        <v>0</v>
      </c>
      <c r="B7285" t="s">
        <v>2176</v>
      </c>
      <c r="C7285" t="s">
        <v>9639</v>
      </c>
      <c r="D7285" t="s">
        <v>13044</v>
      </c>
      <c r="E7285" t="s">
        <v>19495</v>
      </c>
      <c r="F7285" t="s">
        <v>22436</v>
      </c>
      <c r="G7285" t="s">
        <v>22444</v>
      </c>
      <c r="H7285" t="s">
        <v>22454</v>
      </c>
      <c r="I7285" t="s">
        <v>7738</v>
      </c>
      <c r="J7285" t="s">
        <v>27293</v>
      </c>
      <c r="K7285" t="s">
        <v>29506</v>
      </c>
      <c r="M7285" t="s">
        <v>31936</v>
      </c>
      <c r="N7285" t="s">
        <v>32524</v>
      </c>
      <c r="O7285" t="s">
        <v>32525</v>
      </c>
      <c r="P7285">
        <v>0</v>
      </c>
      <c r="Q7285">
        <v>1</v>
      </c>
      <c r="R7285" t="s">
        <v>32533</v>
      </c>
      <c r="S7285" t="s">
        <v>32667</v>
      </c>
      <c r="T7285" t="s">
        <v>33259</v>
      </c>
      <c r="U7285" t="s">
        <v>39729</v>
      </c>
      <c r="W7285" t="s">
        <v>31936</v>
      </c>
      <c r="X7285" t="s">
        <v>32537</v>
      </c>
    </row>
    <row r="7286" spans="1:24">
      <c r="A7286">
        <f>HYPERLINK("https://www.philgeps.gov.ph/GEPSNONPILOT/Tender/SplashBidNoticeAbstractUI.aspx?menuIndex=3&amp;refID=7027242&amp;Result=3","7027242")</f>
        <v>0</v>
      </c>
      <c r="B7286" t="s">
        <v>58</v>
      </c>
      <c r="C7286" t="s">
        <v>9640</v>
      </c>
      <c r="D7286" t="s">
        <v>13014</v>
      </c>
      <c r="E7286" t="s">
        <v>19496</v>
      </c>
      <c r="F7286" t="s">
        <v>22436</v>
      </c>
      <c r="G7286" t="s">
        <v>22444</v>
      </c>
      <c r="H7286" t="s">
        <v>22454</v>
      </c>
      <c r="I7286" t="s">
        <v>7738</v>
      </c>
      <c r="J7286" t="s">
        <v>27294</v>
      </c>
      <c r="K7286" t="s">
        <v>29446</v>
      </c>
      <c r="M7286" t="s">
        <v>29630</v>
      </c>
      <c r="N7286" t="s">
        <v>32524</v>
      </c>
      <c r="O7286" t="s">
        <v>32525</v>
      </c>
      <c r="P7286">
        <v>0</v>
      </c>
      <c r="Q7286">
        <v>0</v>
      </c>
      <c r="R7286" t="s">
        <v>32533</v>
      </c>
      <c r="S7286" t="s">
        <v>32667</v>
      </c>
      <c r="T7286" t="s">
        <v>33253</v>
      </c>
      <c r="U7286" t="s">
        <v>39730</v>
      </c>
      <c r="W7286" t="s">
        <v>29630</v>
      </c>
      <c r="X7286" t="s">
        <v>32538</v>
      </c>
    </row>
    <row r="7287" spans="1:24">
      <c r="A7287">
        <f>HYPERLINK("https://www.philgeps.gov.ph/GEPSNONPILOT/Tender/SplashBidNoticeAbstractUI.aspx?menuIndex=3&amp;refID=7030653&amp;Result=3","7030653")</f>
        <v>0</v>
      </c>
      <c r="B7287" t="s">
        <v>2177</v>
      </c>
      <c r="C7287" t="s">
        <v>9641</v>
      </c>
      <c r="E7287" t="s">
        <v>19497</v>
      </c>
      <c r="F7287" t="s">
        <v>22436</v>
      </c>
      <c r="G7287" t="s">
        <v>22444</v>
      </c>
      <c r="H7287" t="s">
        <v>22452</v>
      </c>
      <c r="I7287" t="s">
        <v>7738</v>
      </c>
      <c r="J7287" t="s">
        <v>27295</v>
      </c>
      <c r="K7287" t="s">
        <v>29338</v>
      </c>
      <c r="M7287" t="s">
        <v>31937</v>
      </c>
      <c r="N7287" t="s">
        <v>32524</v>
      </c>
      <c r="O7287" t="s">
        <v>32525</v>
      </c>
      <c r="P7287">
        <v>0</v>
      </c>
      <c r="Q7287">
        <v>0</v>
      </c>
      <c r="R7287" t="s">
        <v>32533</v>
      </c>
      <c r="S7287" t="s">
        <v>32667</v>
      </c>
      <c r="T7287" t="s">
        <v>33234</v>
      </c>
      <c r="U7287" t="s">
        <v>39731</v>
      </c>
      <c r="W7287" t="s">
        <v>31937</v>
      </c>
      <c r="X7287" t="s">
        <v>32537</v>
      </c>
    </row>
    <row r="7288" spans="1:24">
      <c r="A7288">
        <f>HYPERLINK("https://www.philgeps.gov.ph/GEPSNONPILOT/Tender/SplashBidNoticeAbstractUI.aspx?menuIndex=3&amp;refID=7027341&amp;Result=3","7027341")</f>
        <v>0</v>
      </c>
      <c r="B7288" t="s">
        <v>2159</v>
      </c>
      <c r="C7288" t="s">
        <v>9642</v>
      </c>
      <c r="D7288" t="s">
        <v>13002</v>
      </c>
      <c r="E7288" t="s">
        <v>19498</v>
      </c>
      <c r="F7288" t="s">
        <v>22436</v>
      </c>
      <c r="G7288" t="s">
        <v>22444</v>
      </c>
      <c r="H7288" t="s">
        <v>22454</v>
      </c>
      <c r="I7288" t="s">
        <v>7738</v>
      </c>
      <c r="J7288" t="s">
        <v>27296</v>
      </c>
      <c r="K7288" t="s">
        <v>29402</v>
      </c>
      <c r="M7288" t="s">
        <v>31913</v>
      </c>
      <c r="N7288" t="s">
        <v>32524</v>
      </c>
      <c r="O7288" t="s">
        <v>32525</v>
      </c>
      <c r="P7288">
        <v>0</v>
      </c>
      <c r="Q7288">
        <v>0</v>
      </c>
      <c r="R7288" t="s">
        <v>32533</v>
      </c>
      <c r="S7288" t="s">
        <v>32667</v>
      </c>
      <c r="T7288" t="s">
        <v>33405</v>
      </c>
      <c r="U7288" t="s">
        <v>39714</v>
      </c>
      <c r="V7288" t="s">
        <v>43092</v>
      </c>
      <c r="W7288" t="s">
        <v>31913</v>
      </c>
      <c r="X7288" t="s">
        <v>32538</v>
      </c>
    </row>
    <row r="7289" spans="1:24">
      <c r="A7289">
        <f>HYPERLINK("https://www.philgeps.gov.ph/GEPSNONPILOT/Tender/SplashBidNoticeAbstractUI.aspx?menuIndex=3&amp;refID=7027124&amp;Result=3","7027124")</f>
        <v>0</v>
      </c>
      <c r="B7289" t="s">
        <v>58</v>
      </c>
      <c r="C7289" t="s">
        <v>9643</v>
      </c>
      <c r="D7289" t="s">
        <v>13014</v>
      </c>
      <c r="E7289" t="s">
        <v>19499</v>
      </c>
      <c r="F7289" t="s">
        <v>22436</v>
      </c>
      <c r="G7289" t="s">
        <v>22444</v>
      </c>
      <c r="H7289" t="s">
        <v>22452</v>
      </c>
      <c r="I7289" t="s">
        <v>3529</v>
      </c>
      <c r="J7289" t="s">
        <v>27297</v>
      </c>
      <c r="K7289" t="s">
        <v>29341</v>
      </c>
      <c r="M7289" t="s">
        <v>29630</v>
      </c>
      <c r="N7289" t="s">
        <v>32524</v>
      </c>
      <c r="O7289" t="s">
        <v>32525</v>
      </c>
      <c r="P7289">
        <v>0</v>
      </c>
      <c r="Q7289">
        <v>0</v>
      </c>
      <c r="R7289" t="s">
        <v>32533</v>
      </c>
      <c r="S7289" t="s">
        <v>32667</v>
      </c>
      <c r="T7289" t="s">
        <v>33238</v>
      </c>
      <c r="U7289" t="s">
        <v>39732</v>
      </c>
      <c r="W7289" t="s">
        <v>29630</v>
      </c>
      <c r="X7289" t="s">
        <v>32538</v>
      </c>
    </row>
    <row r="7290" spans="1:24">
      <c r="A7290">
        <f>HYPERLINK("https://www.philgeps.gov.ph/GEPSNONPILOT/Tender/SplashBidNoticeAbstractUI.aspx?menuIndex=3&amp;refID=7031485&amp;Result=3","7031485")</f>
        <v>0</v>
      </c>
      <c r="B7290" t="s">
        <v>140</v>
      </c>
      <c r="C7290" t="s">
        <v>9644</v>
      </c>
      <c r="D7290" t="s">
        <v>12988</v>
      </c>
      <c r="E7290" t="s">
        <v>19500</v>
      </c>
      <c r="F7290" t="s">
        <v>22436</v>
      </c>
      <c r="G7290" t="s">
        <v>22444</v>
      </c>
      <c r="H7290" t="s">
        <v>22452</v>
      </c>
      <c r="I7290" t="s">
        <v>2981</v>
      </c>
      <c r="J7290" t="s">
        <v>27298</v>
      </c>
      <c r="K7290" t="s">
        <v>29338</v>
      </c>
      <c r="M7290" t="s">
        <v>29712</v>
      </c>
      <c r="N7290" t="s">
        <v>32524</v>
      </c>
      <c r="O7290" t="s">
        <v>32525</v>
      </c>
      <c r="P7290">
        <v>0</v>
      </c>
      <c r="Q7290">
        <v>5</v>
      </c>
      <c r="R7290" t="s">
        <v>32533</v>
      </c>
      <c r="S7290" t="s">
        <v>32667</v>
      </c>
      <c r="T7290" t="s">
        <v>33551</v>
      </c>
      <c r="U7290" t="s">
        <v>39733</v>
      </c>
      <c r="W7290" t="s">
        <v>29712</v>
      </c>
      <c r="X7290" t="s">
        <v>32537</v>
      </c>
    </row>
    <row r="7291" spans="1:24">
      <c r="A7291">
        <f>HYPERLINK("https://www.philgeps.gov.ph/GEPSNONPILOT/Tender/SplashBidNoticeAbstractUI.aspx?menuIndex=3&amp;refID=7031338&amp;Result=3","7031338")</f>
        <v>0</v>
      </c>
      <c r="B7291" t="s">
        <v>82</v>
      </c>
      <c r="C7291" t="s">
        <v>9645</v>
      </c>
      <c r="D7291" t="s">
        <v>13024</v>
      </c>
      <c r="E7291" t="s">
        <v>19501</v>
      </c>
      <c r="F7291" t="s">
        <v>22436</v>
      </c>
      <c r="G7291" t="s">
        <v>22444</v>
      </c>
      <c r="H7291" t="s">
        <v>22452</v>
      </c>
      <c r="I7291" t="s">
        <v>12358</v>
      </c>
      <c r="J7291" t="s">
        <v>27299</v>
      </c>
      <c r="K7291" t="s">
        <v>29336</v>
      </c>
      <c r="M7291" t="s">
        <v>29654</v>
      </c>
      <c r="N7291" t="s">
        <v>32524</v>
      </c>
      <c r="O7291" t="s">
        <v>32525</v>
      </c>
      <c r="P7291">
        <v>0</v>
      </c>
      <c r="Q7291">
        <v>0</v>
      </c>
      <c r="R7291" t="s">
        <v>32533</v>
      </c>
      <c r="S7291" t="s">
        <v>32667</v>
      </c>
      <c r="T7291" t="s">
        <v>33440</v>
      </c>
      <c r="U7291" t="s">
        <v>33741</v>
      </c>
      <c r="V7291" t="s">
        <v>43227</v>
      </c>
      <c r="W7291" t="s">
        <v>29654</v>
      </c>
      <c r="X7291" t="s">
        <v>32537</v>
      </c>
    </row>
    <row r="7292" spans="1:24">
      <c r="A7292">
        <f>HYPERLINK("https://www.philgeps.gov.ph/GEPSNONPILOT/Tender/SplashBidNoticeAbstractUI.aspx?menuIndex=3&amp;refID=7027194&amp;Result=3","7027194")</f>
        <v>0</v>
      </c>
      <c r="B7292" t="s">
        <v>39</v>
      </c>
      <c r="C7292" t="s">
        <v>9646</v>
      </c>
      <c r="E7292" t="s">
        <v>19502</v>
      </c>
      <c r="F7292" t="s">
        <v>22436</v>
      </c>
      <c r="G7292" t="s">
        <v>22444</v>
      </c>
      <c r="H7292" t="s">
        <v>22452</v>
      </c>
      <c r="I7292" t="s">
        <v>22458</v>
      </c>
      <c r="J7292" t="s">
        <v>27300</v>
      </c>
      <c r="K7292" t="s">
        <v>29338</v>
      </c>
      <c r="M7292" t="s">
        <v>29610</v>
      </c>
      <c r="N7292" t="s">
        <v>32524</v>
      </c>
      <c r="O7292" t="s">
        <v>32525</v>
      </c>
      <c r="P7292">
        <v>0</v>
      </c>
      <c r="Q7292">
        <v>2</v>
      </c>
      <c r="R7292" t="s">
        <v>32533</v>
      </c>
      <c r="S7292" t="s">
        <v>32667</v>
      </c>
      <c r="T7292" t="s">
        <v>33242</v>
      </c>
      <c r="U7292" t="s">
        <v>39734</v>
      </c>
      <c r="W7292" t="s">
        <v>29610</v>
      </c>
      <c r="X7292" t="s">
        <v>32538</v>
      </c>
    </row>
    <row r="7293" spans="1:24">
      <c r="A7293">
        <f>HYPERLINK("https://www.philgeps.gov.ph/GEPSNONPILOT/Tender/SplashBidNoticeAbstractUI.aspx?menuIndex=3&amp;refID=7024470&amp;Result=3","7024470")</f>
        <v>0</v>
      </c>
      <c r="B7293" t="s">
        <v>39</v>
      </c>
      <c r="C7293" t="s">
        <v>9647</v>
      </c>
      <c r="E7293" t="s">
        <v>19503</v>
      </c>
      <c r="F7293" t="s">
        <v>22436</v>
      </c>
      <c r="G7293" t="s">
        <v>22444</v>
      </c>
      <c r="H7293" t="s">
        <v>22452</v>
      </c>
      <c r="I7293" t="s">
        <v>6421</v>
      </c>
      <c r="J7293" t="s">
        <v>27301</v>
      </c>
      <c r="K7293" t="s">
        <v>29338</v>
      </c>
      <c r="M7293" t="s">
        <v>29610</v>
      </c>
      <c r="N7293" t="s">
        <v>32524</v>
      </c>
      <c r="O7293" t="s">
        <v>32525</v>
      </c>
      <c r="P7293">
        <v>0</v>
      </c>
      <c r="Q7293">
        <v>1</v>
      </c>
      <c r="R7293" t="s">
        <v>32533</v>
      </c>
      <c r="S7293" t="s">
        <v>32667</v>
      </c>
      <c r="T7293" t="s">
        <v>33242</v>
      </c>
      <c r="U7293" t="s">
        <v>39735</v>
      </c>
      <c r="W7293" t="s">
        <v>29610</v>
      </c>
      <c r="X7293" t="s">
        <v>32539</v>
      </c>
    </row>
    <row r="7294" spans="1:24">
      <c r="A7294">
        <f>HYPERLINK("https://www.philgeps.gov.ph/GEPSNONPILOT/Tender/SplashBidNoticeAbstractUI.aspx?menuIndex=3&amp;refID=7024458&amp;Result=3","7024458")</f>
        <v>0</v>
      </c>
      <c r="B7294" t="s">
        <v>39</v>
      </c>
      <c r="C7294" t="s">
        <v>9648</v>
      </c>
      <c r="E7294" t="s">
        <v>19504</v>
      </c>
      <c r="F7294" t="s">
        <v>22436</v>
      </c>
      <c r="G7294" t="s">
        <v>22444</v>
      </c>
      <c r="H7294" t="s">
        <v>22452</v>
      </c>
      <c r="I7294" t="s">
        <v>6421</v>
      </c>
      <c r="J7294" t="s">
        <v>27302</v>
      </c>
      <c r="K7294" t="s">
        <v>29338</v>
      </c>
      <c r="M7294" t="s">
        <v>29610</v>
      </c>
      <c r="N7294" t="s">
        <v>32524</v>
      </c>
      <c r="O7294" t="s">
        <v>32525</v>
      </c>
      <c r="P7294">
        <v>0</v>
      </c>
      <c r="Q7294">
        <v>1</v>
      </c>
      <c r="R7294" t="s">
        <v>32533</v>
      </c>
      <c r="S7294" t="s">
        <v>32667</v>
      </c>
      <c r="T7294" t="s">
        <v>33242</v>
      </c>
      <c r="U7294" t="s">
        <v>39736</v>
      </c>
      <c r="W7294" t="s">
        <v>29610</v>
      </c>
      <c r="X7294" t="s">
        <v>32539</v>
      </c>
    </row>
    <row r="7295" spans="1:24">
      <c r="A7295">
        <f>HYPERLINK("https://www.philgeps.gov.ph/GEPSNONPILOT/Tender/SplashBidNoticeAbstractUI.aspx?menuIndex=3&amp;refID=7038153&amp;Result=3","7038153")</f>
        <v>0</v>
      </c>
      <c r="B7295" t="s">
        <v>1109</v>
      </c>
      <c r="C7295" t="s">
        <v>9649</v>
      </c>
      <c r="D7295" t="s">
        <v>13045</v>
      </c>
      <c r="E7295" t="s">
        <v>15873</v>
      </c>
      <c r="F7295" t="s">
        <v>22436</v>
      </c>
      <c r="G7295" t="s">
        <v>22444</v>
      </c>
      <c r="H7295" t="s">
        <v>22452</v>
      </c>
      <c r="I7295" t="s">
        <v>3529</v>
      </c>
      <c r="J7295" t="s">
        <v>27303</v>
      </c>
      <c r="K7295" t="s">
        <v>29341</v>
      </c>
      <c r="M7295" t="s">
        <v>30745</v>
      </c>
      <c r="N7295" t="s">
        <v>32524</v>
      </c>
      <c r="O7295" t="s">
        <v>32525</v>
      </c>
      <c r="P7295">
        <v>0</v>
      </c>
      <c r="Q7295">
        <v>1</v>
      </c>
      <c r="R7295" t="s">
        <v>32532</v>
      </c>
      <c r="S7295" t="s">
        <v>32616</v>
      </c>
      <c r="T7295" t="s">
        <v>33310</v>
      </c>
      <c r="U7295" t="s">
        <v>38800</v>
      </c>
      <c r="W7295" t="s">
        <v>30745</v>
      </c>
      <c r="X7295" t="s">
        <v>32533</v>
      </c>
    </row>
    <row r="7296" spans="1:24">
      <c r="A7296">
        <f>HYPERLINK("https://www.philgeps.gov.ph/GEPSNONPILOT/Tender/SplashBidNoticeAbstractUI.aspx?menuIndex=3&amp;refID=7027266&amp;Result=3","7027266")</f>
        <v>0</v>
      </c>
      <c r="B7296" t="s">
        <v>2164</v>
      </c>
      <c r="C7296" t="s">
        <v>9650</v>
      </c>
      <c r="D7296" t="s">
        <v>13001</v>
      </c>
      <c r="E7296" t="s">
        <v>19505</v>
      </c>
      <c r="F7296" t="s">
        <v>22436</v>
      </c>
      <c r="G7296" t="s">
        <v>22450</v>
      </c>
      <c r="H7296" t="s">
        <v>22452</v>
      </c>
      <c r="I7296" t="s">
        <v>22476</v>
      </c>
      <c r="J7296" t="s">
        <v>27304</v>
      </c>
      <c r="K7296" t="s">
        <v>29335</v>
      </c>
      <c r="M7296" t="s">
        <v>31924</v>
      </c>
      <c r="N7296" t="s">
        <v>32524</v>
      </c>
      <c r="O7296" t="s">
        <v>32525</v>
      </c>
      <c r="P7296">
        <v>0</v>
      </c>
      <c r="Q7296">
        <v>9</v>
      </c>
      <c r="R7296" t="s">
        <v>32533</v>
      </c>
      <c r="S7296" t="s">
        <v>32667</v>
      </c>
      <c r="T7296" t="s">
        <v>33234</v>
      </c>
      <c r="U7296" t="s">
        <v>39737</v>
      </c>
      <c r="V7296" t="s">
        <v>43218</v>
      </c>
      <c r="W7296" t="s">
        <v>31924</v>
      </c>
      <c r="X7296" t="s">
        <v>32538</v>
      </c>
    </row>
    <row r="7297" spans="1:24">
      <c r="A7297">
        <f>HYPERLINK("https://www.philgeps.gov.ph/GEPSNONPILOT/Tender/SplashBidNoticeAbstractUI.aspx?menuIndex=3&amp;refID=7038150&amp;Result=3","7038150")</f>
        <v>0</v>
      </c>
      <c r="B7297" t="s">
        <v>2156</v>
      </c>
      <c r="C7297" t="s">
        <v>9651</v>
      </c>
      <c r="D7297" t="s">
        <v>13007</v>
      </c>
      <c r="E7297" t="s">
        <v>19506</v>
      </c>
      <c r="F7297" t="s">
        <v>22436</v>
      </c>
      <c r="G7297" t="s">
        <v>22444</v>
      </c>
      <c r="H7297" t="s">
        <v>22452</v>
      </c>
      <c r="I7297" t="s">
        <v>3027</v>
      </c>
      <c r="J7297" t="s">
        <v>24981</v>
      </c>
      <c r="K7297" t="s">
        <v>29336</v>
      </c>
      <c r="L7297" t="s">
        <v>2156</v>
      </c>
      <c r="M7297" t="s">
        <v>31910</v>
      </c>
      <c r="N7297" t="s">
        <v>32524</v>
      </c>
      <c r="O7297" t="s">
        <v>32525</v>
      </c>
      <c r="P7297">
        <v>0</v>
      </c>
      <c r="Q7297">
        <v>0</v>
      </c>
      <c r="R7297" t="s">
        <v>32532</v>
      </c>
      <c r="S7297" t="s">
        <v>32616</v>
      </c>
      <c r="T7297" t="s">
        <v>33253</v>
      </c>
      <c r="U7297" t="s">
        <v>39635</v>
      </c>
      <c r="V7297" t="s">
        <v>43212</v>
      </c>
      <c r="W7297" t="s">
        <v>31910</v>
      </c>
      <c r="X7297" t="s">
        <v>32533</v>
      </c>
    </row>
    <row r="7298" spans="1:24">
      <c r="A7298">
        <f>HYPERLINK("https://www.philgeps.gov.ph/GEPSNONPILOT/Tender/SplashBidNoticeAbstractUI.aspx?menuIndex=3&amp;refID=7032139&amp;Result=3","7032139")</f>
        <v>0</v>
      </c>
      <c r="B7298" t="s">
        <v>178</v>
      </c>
      <c r="C7298" t="s">
        <v>9652</v>
      </c>
      <c r="D7298" t="s">
        <v>13046</v>
      </c>
      <c r="E7298" t="s">
        <v>19507</v>
      </c>
      <c r="F7298" t="s">
        <v>22436</v>
      </c>
      <c r="G7298" t="s">
        <v>22444</v>
      </c>
      <c r="H7298" t="s">
        <v>22452</v>
      </c>
      <c r="I7298" t="s">
        <v>22576</v>
      </c>
      <c r="J7298" t="s">
        <v>23762</v>
      </c>
      <c r="K7298" t="s">
        <v>29333</v>
      </c>
      <c r="M7298" t="s">
        <v>29750</v>
      </c>
      <c r="N7298" t="s">
        <v>32524</v>
      </c>
      <c r="O7298" t="s">
        <v>32525</v>
      </c>
      <c r="Q7298">
        <v>20</v>
      </c>
      <c r="R7298" t="s">
        <v>32533</v>
      </c>
      <c r="S7298" t="s">
        <v>32680</v>
      </c>
      <c r="T7298" t="s">
        <v>33259</v>
      </c>
      <c r="U7298" t="s">
        <v>39738</v>
      </c>
      <c r="W7298" t="s">
        <v>29750</v>
      </c>
      <c r="X7298" t="s">
        <v>32536</v>
      </c>
    </row>
    <row r="7299" spans="1:24">
      <c r="A7299">
        <f>HYPERLINK("https://www.philgeps.gov.ph/GEPSNONPILOT/Tender/SplashBidNoticeAbstractUI.aspx?menuIndex=3&amp;refID=7032369&amp;Result=3","7032369")</f>
        <v>0</v>
      </c>
      <c r="B7299" t="s">
        <v>140</v>
      </c>
      <c r="C7299" t="s">
        <v>9653</v>
      </c>
      <c r="D7299" t="s">
        <v>12988</v>
      </c>
      <c r="E7299" t="s">
        <v>19508</v>
      </c>
      <c r="F7299" t="s">
        <v>22436</v>
      </c>
      <c r="G7299" t="s">
        <v>22444</v>
      </c>
      <c r="H7299" t="s">
        <v>22452</v>
      </c>
      <c r="I7299" t="s">
        <v>3529</v>
      </c>
      <c r="J7299" t="s">
        <v>27305</v>
      </c>
      <c r="K7299" t="s">
        <v>29338</v>
      </c>
      <c r="M7299" t="s">
        <v>30489</v>
      </c>
      <c r="N7299" t="s">
        <v>32524</v>
      </c>
      <c r="O7299" t="s">
        <v>32525</v>
      </c>
      <c r="P7299">
        <v>0</v>
      </c>
      <c r="Q7299">
        <v>2</v>
      </c>
      <c r="R7299" t="s">
        <v>32533</v>
      </c>
      <c r="S7299" t="s">
        <v>32667</v>
      </c>
      <c r="T7299" t="s">
        <v>33259</v>
      </c>
      <c r="U7299" t="s">
        <v>39739</v>
      </c>
      <c r="W7299" t="s">
        <v>30489</v>
      </c>
      <c r="X7299" t="s">
        <v>32535</v>
      </c>
    </row>
    <row r="7300" spans="1:24">
      <c r="A7300">
        <f>HYPERLINK("https://www.philgeps.gov.ph/GEPSNONPILOT/Tender/SplashBidNoticeAbstractUI.aspx?menuIndex=3&amp;refID=7032196&amp;Result=3","7032196")</f>
        <v>0</v>
      </c>
      <c r="B7300" t="s">
        <v>46</v>
      </c>
      <c r="C7300" t="s">
        <v>9654</v>
      </c>
      <c r="D7300" t="s">
        <v>13006</v>
      </c>
      <c r="E7300" t="s">
        <v>19509</v>
      </c>
      <c r="F7300" t="s">
        <v>22436</v>
      </c>
      <c r="G7300" t="s">
        <v>22444</v>
      </c>
      <c r="H7300" t="s">
        <v>22454</v>
      </c>
      <c r="I7300" t="s">
        <v>7738</v>
      </c>
      <c r="J7300" t="s">
        <v>26295</v>
      </c>
      <c r="K7300" t="s">
        <v>29457</v>
      </c>
      <c r="M7300" t="s">
        <v>31245</v>
      </c>
      <c r="N7300" t="s">
        <v>32524</v>
      </c>
      <c r="O7300" t="s">
        <v>32525</v>
      </c>
      <c r="P7300">
        <v>0</v>
      </c>
      <c r="Q7300">
        <v>2</v>
      </c>
      <c r="R7300" t="s">
        <v>32533</v>
      </c>
      <c r="S7300" t="s">
        <v>32667</v>
      </c>
      <c r="T7300" t="s">
        <v>33259</v>
      </c>
      <c r="U7300" t="s">
        <v>35793</v>
      </c>
      <c r="V7300" t="s">
        <v>42461</v>
      </c>
      <c r="W7300" t="s">
        <v>31245</v>
      </c>
      <c r="X7300" t="s">
        <v>32536</v>
      </c>
    </row>
    <row r="7301" spans="1:24">
      <c r="A7301">
        <f>HYPERLINK("https://www.philgeps.gov.ph/GEPSNONPILOT/Tender/SplashBidNoticeAbstractUI.aspx?menuIndex=3&amp;refID=7032373&amp;Result=3","7032373")</f>
        <v>0</v>
      </c>
      <c r="B7301" t="s">
        <v>140</v>
      </c>
      <c r="C7301" t="s">
        <v>9655</v>
      </c>
      <c r="D7301" t="s">
        <v>12988</v>
      </c>
      <c r="E7301" t="s">
        <v>19510</v>
      </c>
      <c r="F7301" t="s">
        <v>22436</v>
      </c>
      <c r="G7301" t="s">
        <v>22444</v>
      </c>
      <c r="H7301" t="s">
        <v>22452</v>
      </c>
      <c r="I7301" t="s">
        <v>22468</v>
      </c>
      <c r="J7301" t="s">
        <v>22669</v>
      </c>
      <c r="K7301" t="s">
        <v>29338</v>
      </c>
      <c r="M7301" t="s">
        <v>30489</v>
      </c>
      <c r="N7301" t="s">
        <v>32524</v>
      </c>
      <c r="O7301" t="s">
        <v>32525</v>
      </c>
      <c r="P7301">
        <v>0</v>
      </c>
      <c r="Q7301">
        <v>3</v>
      </c>
      <c r="R7301" t="s">
        <v>32533</v>
      </c>
      <c r="S7301" t="s">
        <v>32667</v>
      </c>
      <c r="T7301" t="s">
        <v>33259</v>
      </c>
      <c r="U7301" t="s">
        <v>39740</v>
      </c>
      <c r="W7301" t="s">
        <v>30489</v>
      </c>
      <c r="X7301" t="s">
        <v>32535</v>
      </c>
    </row>
    <row r="7302" spans="1:24">
      <c r="A7302">
        <f>HYPERLINK("https://www.philgeps.gov.ph/GEPSNONPILOT/Tender/SplashBidNoticeAbstractUI.aspx?menuIndex=3&amp;refID=7032378&amp;Result=3","7032378")</f>
        <v>0</v>
      </c>
      <c r="B7302" t="s">
        <v>140</v>
      </c>
      <c r="C7302" t="s">
        <v>9656</v>
      </c>
      <c r="D7302" t="s">
        <v>12988</v>
      </c>
      <c r="E7302" t="s">
        <v>19511</v>
      </c>
      <c r="F7302" t="s">
        <v>22436</v>
      </c>
      <c r="G7302" t="s">
        <v>22444</v>
      </c>
      <c r="H7302" t="s">
        <v>22452</v>
      </c>
      <c r="I7302" t="s">
        <v>3529</v>
      </c>
      <c r="J7302" t="s">
        <v>27306</v>
      </c>
      <c r="K7302" t="s">
        <v>29338</v>
      </c>
      <c r="M7302" t="s">
        <v>30489</v>
      </c>
      <c r="N7302" t="s">
        <v>32524</v>
      </c>
      <c r="O7302" t="s">
        <v>32525</v>
      </c>
      <c r="P7302">
        <v>0</v>
      </c>
      <c r="Q7302">
        <v>2</v>
      </c>
      <c r="R7302" t="s">
        <v>32533</v>
      </c>
      <c r="S7302" t="s">
        <v>32667</v>
      </c>
      <c r="T7302" t="s">
        <v>33259</v>
      </c>
      <c r="U7302" t="s">
        <v>39741</v>
      </c>
      <c r="W7302" t="s">
        <v>30489</v>
      </c>
      <c r="X7302" t="s">
        <v>32535</v>
      </c>
    </row>
    <row r="7303" spans="1:24">
      <c r="A7303">
        <f>HYPERLINK("https://www.philgeps.gov.ph/GEPSNONPILOT/Tender/SplashBidNoticeAbstractUI.aspx?menuIndex=3&amp;refID=7032388&amp;Result=3","7032388")</f>
        <v>0</v>
      </c>
      <c r="B7303" t="s">
        <v>140</v>
      </c>
      <c r="C7303" t="s">
        <v>9657</v>
      </c>
      <c r="D7303" t="s">
        <v>12988</v>
      </c>
      <c r="E7303" t="s">
        <v>19512</v>
      </c>
      <c r="F7303" t="s">
        <v>22436</v>
      </c>
      <c r="G7303" t="s">
        <v>22444</v>
      </c>
      <c r="H7303" t="s">
        <v>22452</v>
      </c>
      <c r="I7303" t="s">
        <v>22486</v>
      </c>
      <c r="J7303" t="s">
        <v>22669</v>
      </c>
      <c r="K7303" t="s">
        <v>29338</v>
      </c>
      <c r="M7303" t="s">
        <v>30489</v>
      </c>
      <c r="N7303" t="s">
        <v>32524</v>
      </c>
      <c r="O7303" t="s">
        <v>32525</v>
      </c>
      <c r="P7303">
        <v>0</v>
      </c>
      <c r="Q7303">
        <v>0</v>
      </c>
      <c r="R7303" t="s">
        <v>32533</v>
      </c>
      <c r="S7303" t="s">
        <v>32667</v>
      </c>
      <c r="T7303" t="s">
        <v>33259</v>
      </c>
      <c r="U7303" t="s">
        <v>39742</v>
      </c>
      <c r="W7303" t="s">
        <v>30489</v>
      </c>
      <c r="X7303" t="s">
        <v>32535</v>
      </c>
    </row>
    <row r="7304" spans="1:24">
      <c r="A7304">
        <f>HYPERLINK("https://www.philgeps.gov.ph/GEPSNONPILOT/Tender/SplashBidNoticeAbstractUI.aspx?menuIndex=3&amp;refID=7032368&amp;Result=3","7032368")</f>
        <v>0</v>
      </c>
      <c r="B7304" t="s">
        <v>753</v>
      </c>
      <c r="C7304" t="s">
        <v>9658</v>
      </c>
      <c r="D7304" t="s">
        <v>13040</v>
      </c>
      <c r="E7304" t="s">
        <v>19513</v>
      </c>
      <c r="F7304" t="s">
        <v>22436</v>
      </c>
      <c r="G7304" t="s">
        <v>22444</v>
      </c>
      <c r="H7304" t="s">
        <v>22454</v>
      </c>
      <c r="I7304" t="s">
        <v>7738</v>
      </c>
      <c r="J7304" t="s">
        <v>27307</v>
      </c>
      <c r="K7304" t="s">
        <v>29388</v>
      </c>
      <c r="M7304" t="s">
        <v>31938</v>
      </c>
      <c r="N7304" t="s">
        <v>32524</v>
      </c>
      <c r="O7304" t="s">
        <v>32525</v>
      </c>
      <c r="P7304">
        <v>0</v>
      </c>
      <c r="Q7304">
        <v>6</v>
      </c>
      <c r="R7304" t="s">
        <v>32533</v>
      </c>
      <c r="S7304" t="s">
        <v>32667</v>
      </c>
      <c r="T7304" t="s">
        <v>33191</v>
      </c>
      <c r="U7304" t="s">
        <v>39743</v>
      </c>
      <c r="W7304" t="s">
        <v>43746</v>
      </c>
      <c r="X7304" t="s">
        <v>32535</v>
      </c>
    </row>
    <row r="7305" spans="1:24">
      <c r="A7305">
        <f>HYPERLINK("https://www.philgeps.gov.ph/GEPSNONPILOT/Tender/SplashBidNoticeAbstractUI.aspx?menuIndex=3&amp;refID=7032187&amp;Result=3","7032187")</f>
        <v>0</v>
      </c>
      <c r="B7305" t="s">
        <v>46</v>
      </c>
      <c r="C7305" t="s">
        <v>9659</v>
      </c>
      <c r="D7305" t="s">
        <v>13006</v>
      </c>
      <c r="E7305" t="s">
        <v>19514</v>
      </c>
      <c r="F7305" t="s">
        <v>22436</v>
      </c>
      <c r="G7305" t="s">
        <v>22444</v>
      </c>
      <c r="H7305" t="s">
        <v>22454</v>
      </c>
      <c r="I7305" t="s">
        <v>7738</v>
      </c>
      <c r="J7305" t="s">
        <v>27308</v>
      </c>
      <c r="K7305" t="s">
        <v>29362</v>
      </c>
      <c r="M7305" t="s">
        <v>31245</v>
      </c>
      <c r="N7305" t="s">
        <v>32524</v>
      </c>
      <c r="O7305" t="s">
        <v>32525</v>
      </c>
      <c r="P7305">
        <v>0</v>
      </c>
      <c r="Q7305">
        <v>1</v>
      </c>
      <c r="R7305" t="s">
        <v>32533</v>
      </c>
      <c r="S7305" t="s">
        <v>32667</v>
      </c>
      <c r="T7305" t="s">
        <v>33259</v>
      </c>
      <c r="U7305" t="s">
        <v>35793</v>
      </c>
      <c r="V7305" t="s">
        <v>42461</v>
      </c>
      <c r="W7305" t="s">
        <v>31245</v>
      </c>
      <c r="X7305" t="s">
        <v>32536</v>
      </c>
    </row>
    <row r="7306" spans="1:24">
      <c r="A7306">
        <f>HYPERLINK("https://www.philgeps.gov.ph/GEPSNONPILOT/Tender/SplashBidNoticeAbstractUI.aspx?menuIndex=3&amp;refID=7032189&amp;Result=3","7032189")</f>
        <v>0</v>
      </c>
      <c r="B7306" t="s">
        <v>46</v>
      </c>
      <c r="C7306" t="s">
        <v>9660</v>
      </c>
      <c r="D7306" t="s">
        <v>13006</v>
      </c>
      <c r="E7306" t="s">
        <v>19515</v>
      </c>
      <c r="F7306" t="s">
        <v>22436</v>
      </c>
      <c r="G7306" t="s">
        <v>22444</v>
      </c>
      <c r="H7306" t="s">
        <v>22454</v>
      </c>
      <c r="I7306" t="s">
        <v>7738</v>
      </c>
      <c r="J7306" t="s">
        <v>27309</v>
      </c>
      <c r="K7306" t="s">
        <v>29441</v>
      </c>
      <c r="M7306" t="s">
        <v>31245</v>
      </c>
      <c r="N7306" t="s">
        <v>32524</v>
      </c>
      <c r="O7306" t="s">
        <v>32525</v>
      </c>
      <c r="P7306">
        <v>0</v>
      </c>
      <c r="Q7306">
        <v>3</v>
      </c>
      <c r="R7306" t="s">
        <v>32533</v>
      </c>
      <c r="S7306" t="s">
        <v>32667</v>
      </c>
      <c r="T7306" t="s">
        <v>33259</v>
      </c>
      <c r="U7306" t="s">
        <v>35793</v>
      </c>
      <c r="V7306" t="s">
        <v>42461</v>
      </c>
      <c r="W7306" t="s">
        <v>31245</v>
      </c>
      <c r="X7306" t="s">
        <v>32536</v>
      </c>
    </row>
    <row r="7307" spans="1:24">
      <c r="A7307">
        <f>HYPERLINK("https://www.philgeps.gov.ph/GEPSNONPILOT/Tender/SplashBidNoticeAbstractUI.aspx?menuIndex=3&amp;refID=7032185&amp;Result=3","7032185")</f>
        <v>0</v>
      </c>
      <c r="B7307" t="s">
        <v>46</v>
      </c>
      <c r="C7307" t="s">
        <v>9661</v>
      </c>
      <c r="D7307" t="s">
        <v>13006</v>
      </c>
      <c r="E7307" t="s">
        <v>19516</v>
      </c>
      <c r="F7307" t="s">
        <v>22436</v>
      </c>
      <c r="G7307" t="s">
        <v>22444</v>
      </c>
      <c r="H7307" t="s">
        <v>22454</v>
      </c>
      <c r="I7307" t="s">
        <v>7738</v>
      </c>
      <c r="J7307" t="s">
        <v>27310</v>
      </c>
      <c r="K7307" t="s">
        <v>29351</v>
      </c>
      <c r="M7307" t="s">
        <v>31245</v>
      </c>
      <c r="N7307" t="s">
        <v>32524</v>
      </c>
      <c r="O7307" t="s">
        <v>32525</v>
      </c>
      <c r="P7307">
        <v>0</v>
      </c>
      <c r="Q7307">
        <v>2</v>
      </c>
      <c r="R7307" t="s">
        <v>32533</v>
      </c>
      <c r="S7307" t="s">
        <v>32667</v>
      </c>
      <c r="T7307" t="s">
        <v>33259</v>
      </c>
      <c r="U7307" t="s">
        <v>35793</v>
      </c>
      <c r="V7307" t="s">
        <v>42461</v>
      </c>
      <c r="W7307" t="s">
        <v>31245</v>
      </c>
      <c r="X7307" t="s">
        <v>32536</v>
      </c>
    </row>
    <row r="7308" spans="1:24">
      <c r="A7308">
        <f>HYPERLINK("https://www.philgeps.gov.ph/GEPSNONPILOT/Tender/SplashBidNoticeAbstractUI.aspx?menuIndex=3&amp;refID=7032182&amp;Result=3","7032182")</f>
        <v>0</v>
      </c>
      <c r="B7308" t="s">
        <v>46</v>
      </c>
      <c r="C7308" t="s">
        <v>9662</v>
      </c>
      <c r="D7308" t="s">
        <v>13006</v>
      </c>
      <c r="E7308" t="s">
        <v>19517</v>
      </c>
      <c r="F7308" t="s">
        <v>22436</v>
      </c>
      <c r="G7308" t="s">
        <v>22444</v>
      </c>
      <c r="H7308" t="s">
        <v>22454</v>
      </c>
      <c r="I7308" t="s">
        <v>7738</v>
      </c>
      <c r="J7308" t="s">
        <v>27311</v>
      </c>
      <c r="K7308" t="s">
        <v>29400</v>
      </c>
      <c r="M7308" t="s">
        <v>31245</v>
      </c>
      <c r="N7308" t="s">
        <v>32524</v>
      </c>
      <c r="O7308" t="s">
        <v>32525</v>
      </c>
      <c r="P7308">
        <v>0</v>
      </c>
      <c r="Q7308">
        <v>0</v>
      </c>
      <c r="R7308" t="s">
        <v>32533</v>
      </c>
      <c r="S7308" t="s">
        <v>32667</v>
      </c>
      <c r="T7308" t="s">
        <v>33259</v>
      </c>
      <c r="U7308" t="s">
        <v>35793</v>
      </c>
      <c r="V7308" t="s">
        <v>42461</v>
      </c>
      <c r="W7308" t="s">
        <v>31245</v>
      </c>
      <c r="X7308" t="s">
        <v>32536</v>
      </c>
    </row>
    <row r="7309" spans="1:24">
      <c r="A7309">
        <f>HYPERLINK("https://www.philgeps.gov.ph/GEPSNONPILOT/Tender/SplashBidNoticeAbstractUI.aspx?menuIndex=3&amp;refID=7032178&amp;Result=3","7032178")</f>
        <v>0</v>
      </c>
      <c r="B7309" t="s">
        <v>46</v>
      </c>
      <c r="C7309" t="s">
        <v>9663</v>
      </c>
      <c r="D7309" t="s">
        <v>13006</v>
      </c>
      <c r="E7309" t="s">
        <v>19518</v>
      </c>
      <c r="F7309" t="s">
        <v>22436</v>
      </c>
      <c r="G7309" t="s">
        <v>22444</v>
      </c>
      <c r="H7309" t="s">
        <v>22454</v>
      </c>
      <c r="I7309" t="s">
        <v>7738</v>
      </c>
      <c r="J7309" t="s">
        <v>22634</v>
      </c>
      <c r="K7309" t="s">
        <v>29329</v>
      </c>
      <c r="M7309" t="s">
        <v>31245</v>
      </c>
      <c r="N7309" t="s">
        <v>32524</v>
      </c>
      <c r="O7309" t="s">
        <v>32525</v>
      </c>
      <c r="P7309">
        <v>0</v>
      </c>
      <c r="Q7309">
        <v>0</v>
      </c>
      <c r="R7309" t="s">
        <v>32533</v>
      </c>
      <c r="S7309" t="s">
        <v>32667</v>
      </c>
      <c r="T7309" t="s">
        <v>33259</v>
      </c>
      <c r="U7309" t="s">
        <v>35793</v>
      </c>
      <c r="V7309" t="s">
        <v>42461</v>
      </c>
      <c r="W7309" t="s">
        <v>31245</v>
      </c>
      <c r="X7309" t="s">
        <v>32536</v>
      </c>
    </row>
    <row r="7310" spans="1:24">
      <c r="A7310">
        <f>HYPERLINK("https://www.philgeps.gov.ph/GEPSNONPILOT/Tender/SplashBidNoticeAbstractUI.aspx?menuIndex=3&amp;refID=7032176&amp;Result=3","7032176")</f>
        <v>0</v>
      </c>
      <c r="B7310" t="s">
        <v>46</v>
      </c>
      <c r="C7310" t="s">
        <v>9664</v>
      </c>
      <c r="D7310" t="s">
        <v>13006</v>
      </c>
      <c r="E7310" t="s">
        <v>19519</v>
      </c>
      <c r="F7310" t="s">
        <v>22436</v>
      </c>
      <c r="G7310" t="s">
        <v>22444</v>
      </c>
      <c r="H7310" t="s">
        <v>22454</v>
      </c>
      <c r="I7310" t="s">
        <v>7738</v>
      </c>
      <c r="J7310" t="s">
        <v>25134</v>
      </c>
      <c r="K7310" t="s">
        <v>29333</v>
      </c>
      <c r="M7310" t="s">
        <v>31245</v>
      </c>
      <c r="N7310" t="s">
        <v>32524</v>
      </c>
      <c r="O7310" t="s">
        <v>32525</v>
      </c>
      <c r="P7310">
        <v>0</v>
      </c>
      <c r="Q7310">
        <v>3</v>
      </c>
      <c r="R7310" t="s">
        <v>32533</v>
      </c>
      <c r="S7310" t="s">
        <v>32667</v>
      </c>
      <c r="T7310" t="s">
        <v>33238</v>
      </c>
      <c r="U7310" t="s">
        <v>35793</v>
      </c>
      <c r="V7310" t="s">
        <v>42461</v>
      </c>
      <c r="W7310" t="s">
        <v>31245</v>
      </c>
      <c r="X7310" t="s">
        <v>32536</v>
      </c>
    </row>
    <row r="7311" spans="1:24">
      <c r="A7311">
        <f>HYPERLINK("https://www.philgeps.gov.ph/GEPSNONPILOT/Tender/SplashBidNoticeAbstractUI.aspx?menuIndex=3&amp;refID=7032165&amp;Result=3","7032165")</f>
        <v>0</v>
      </c>
      <c r="B7311" t="s">
        <v>46</v>
      </c>
      <c r="C7311" t="s">
        <v>9665</v>
      </c>
      <c r="D7311" t="s">
        <v>13006</v>
      </c>
      <c r="E7311" t="s">
        <v>19520</v>
      </c>
      <c r="F7311" t="s">
        <v>22436</v>
      </c>
      <c r="G7311" t="s">
        <v>22444</v>
      </c>
      <c r="H7311" t="s">
        <v>22454</v>
      </c>
      <c r="I7311" t="s">
        <v>7738</v>
      </c>
      <c r="J7311" t="s">
        <v>23278</v>
      </c>
      <c r="K7311" t="s">
        <v>29373</v>
      </c>
      <c r="M7311" t="s">
        <v>31245</v>
      </c>
      <c r="N7311" t="s">
        <v>32524</v>
      </c>
      <c r="O7311" t="s">
        <v>32525</v>
      </c>
      <c r="P7311">
        <v>0</v>
      </c>
      <c r="Q7311">
        <v>0</v>
      </c>
      <c r="R7311" t="s">
        <v>32533</v>
      </c>
      <c r="S7311" t="s">
        <v>32667</v>
      </c>
      <c r="T7311" t="s">
        <v>33259</v>
      </c>
      <c r="U7311" t="s">
        <v>35793</v>
      </c>
      <c r="V7311" t="s">
        <v>42461</v>
      </c>
      <c r="W7311" t="s">
        <v>31245</v>
      </c>
      <c r="X7311" t="s">
        <v>32536</v>
      </c>
    </row>
    <row r="7312" spans="1:24">
      <c r="A7312">
        <f>HYPERLINK("https://www.philgeps.gov.ph/GEPSNONPILOT/Tender/SplashBidNoticeAbstractUI.aspx?menuIndex=3&amp;refID=7032171&amp;Result=3","7032171")</f>
        <v>0</v>
      </c>
      <c r="B7312" t="s">
        <v>46</v>
      </c>
      <c r="C7312" t="s">
        <v>9666</v>
      </c>
      <c r="D7312" t="s">
        <v>13006</v>
      </c>
      <c r="E7312" t="s">
        <v>19521</v>
      </c>
      <c r="F7312" t="s">
        <v>22436</v>
      </c>
      <c r="G7312" t="s">
        <v>22444</v>
      </c>
      <c r="H7312" t="s">
        <v>22454</v>
      </c>
      <c r="I7312" t="s">
        <v>7738</v>
      </c>
      <c r="J7312" t="s">
        <v>26195</v>
      </c>
      <c r="K7312" t="s">
        <v>29507</v>
      </c>
      <c r="M7312" t="s">
        <v>31245</v>
      </c>
      <c r="N7312" t="s">
        <v>32524</v>
      </c>
      <c r="O7312" t="s">
        <v>32525</v>
      </c>
      <c r="P7312">
        <v>0</v>
      </c>
      <c r="Q7312">
        <v>0</v>
      </c>
      <c r="R7312" t="s">
        <v>32533</v>
      </c>
      <c r="S7312" t="s">
        <v>32667</v>
      </c>
      <c r="T7312" t="s">
        <v>33259</v>
      </c>
      <c r="U7312" t="s">
        <v>35793</v>
      </c>
      <c r="V7312" t="s">
        <v>42461</v>
      </c>
      <c r="W7312" t="s">
        <v>31245</v>
      </c>
      <c r="X7312" t="s">
        <v>32536</v>
      </c>
    </row>
    <row r="7313" spans="1:24">
      <c r="A7313">
        <f>HYPERLINK("https://www.philgeps.gov.ph/GEPSNONPILOT/Tender/SplashBidNoticeAbstractUI.aspx?menuIndex=3&amp;refID=7032175&amp;Result=3","7032175")</f>
        <v>0</v>
      </c>
      <c r="B7313" t="s">
        <v>46</v>
      </c>
      <c r="C7313" t="s">
        <v>9667</v>
      </c>
      <c r="D7313" t="s">
        <v>13006</v>
      </c>
      <c r="E7313" t="s">
        <v>19522</v>
      </c>
      <c r="F7313" t="s">
        <v>22436</v>
      </c>
      <c r="G7313" t="s">
        <v>22444</v>
      </c>
      <c r="H7313" t="s">
        <v>22454</v>
      </c>
      <c r="I7313" t="s">
        <v>7738</v>
      </c>
      <c r="J7313" t="s">
        <v>23356</v>
      </c>
      <c r="K7313" t="s">
        <v>29329</v>
      </c>
      <c r="M7313" t="s">
        <v>31245</v>
      </c>
      <c r="N7313" t="s">
        <v>32524</v>
      </c>
      <c r="O7313" t="s">
        <v>32525</v>
      </c>
      <c r="P7313">
        <v>0</v>
      </c>
      <c r="Q7313">
        <v>0</v>
      </c>
      <c r="R7313" t="s">
        <v>32533</v>
      </c>
      <c r="S7313" t="s">
        <v>32667</v>
      </c>
      <c r="T7313" t="s">
        <v>33238</v>
      </c>
      <c r="U7313" t="s">
        <v>35793</v>
      </c>
      <c r="V7313" t="s">
        <v>42461</v>
      </c>
      <c r="W7313" t="s">
        <v>31245</v>
      </c>
      <c r="X7313" t="s">
        <v>32536</v>
      </c>
    </row>
    <row r="7314" spans="1:24">
      <c r="A7314">
        <f>HYPERLINK("https://www.philgeps.gov.ph/GEPSNONPILOT/Tender/SplashBidNoticeAbstractUI.aspx?menuIndex=3&amp;refID=7032395&amp;Result=3","7032395")</f>
        <v>0</v>
      </c>
      <c r="B7314" t="s">
        <v>140</v>
      </c>
      <c r="C7314" t="s">
        <v>9668</v>
      </c>
      <c r="D7314" t="s">
        <v>12988</v>
      </c>
      <c r="E7314" t="s">
        <v>19523</v>
      </c>
      <c r="F7314" t="s">
        <v>22436</v>
      </c>
      <c r="G7314" t="s">
        <v>22444</v>
      </c>
      <c r="H7314" t="s">
        <v>22452</v>
      </c>
      <c r="I7314" t="s">
        <v>12358</v>
      </c>
      <c r="J7314" t="s">
        <v>27312</v>
      </c>
      <c r="K7314" t="s">
        <v>29338</v>
      </c>
      <c r="M7314" t="s">
        <v>30489</v>
      </c>
      <c r="N7314" t="s">
        <v>32524</v>
      </c>
      <c r="O7314" t="s">
        <v>32525</v>
      </c>
      <c r="P7314">
        <v>0</v>
      </c>
      <c r="Q7314">
        <v>0</v>
      </c>
      <c r="R7314" t="s">
        <v>32533</v>
      </c>
      <c r="S7314" t="s">
        <v>32667</v>
      </c>
      <c r="T7314" t="s">
        <v>33259</v>
      </c>
      <c r="U7314" t="s">
        <v>39744</v>
      </c>
      <c r="W7314" t="s">
        <v>30489</v>
      </c>
      <c r="X7314" t="s">
        <v>32535</v>
      </c>
    </row>
    <row r="7315" spans="1:24">
      <c r="A7315">
        <f>HYPERLINK("https://www.philgeps.gov.ph/GEPSNONPILOT/Tender/SplashBidNoticeAbstractUI.aspx?menuIndex=3&amp;refID=7032164&amp;Result=3","7032164")</f>
        <v>0</v>
      </c>
      <c r="B7315" t="s">
        <v>46</v>
      </c>
      <c r="C7315" t="s">
        <v>9669</v>
      </c>
      <c r="D7315" t="s">
        <v>13006</v>
      </c>
      <c r="E7315" t="s">
        <v>19524</v>
      </c>
      <c r="F7315" t="s">
        <v>22436</v>
      </c>
      <c r="G7315" t="s">
        <v>22444</v>
      </c>
      <c r="H7315" t="s">
        <v>22454</v>
      </c>
      <c r="I7315" t="s">
        <v>7738</v>
      </c>
      <c r="J7315" t="s">
        <v>24344</v>
      </c>
      <c r="K7315" t="s">
        <v>29507</v>
      </c>
      <c r="M7315" t="s">
        <v>31245</v>
      </c>
      <c r="N7315" t="s">
        <v>32524</v>
      </c>
      <c r="O7315" t="s">
        <v>32525</v>
      </c>
      <c r="P7315">
        <v>0</v>
      </c>
      <c r="Q7315">
        <v>0</v>
      </c>
      <c r="R7315" t="s">
        <v>32533</v>
      </c>
      <c r="S7315" t="s">
        <v>32667</v>
      </c>
      <c r="T7315" t="s">
        <v>33259</v>
      </c>
      <c r="U7315" t="s">
        <v>35793</v>
      </c>
      <c r="V7315" t="s">
        <v>42461</v>
      </c>
      <c r="W7315" t="s">
        <v>31245</v>
      </c>
      <c r="X7315" t="s">
        <v>32536</v>
      </c>
    </row>
    <row r="7316" spans="1:24">
      <c r="A7316">
        <f>HYPERLINK("https://www.philgeps.gov.ph/GEPSNONPILOT/Tender/SplashBidNoticeAbstractUI.aspx?menuIndex=3&amp;refID=7032180&amp;Result=3","7032180")</f>
        <v>0</v>
      </c>
      <c r="B7316" t="s">
        <v>46</v>
      </c>
      <c r="C7316" t="s">
        <v>9670</v>
      </c>
      <c r="D7316" t="s">
        <v>13006</v>
      </c>
      <c r="E7316" t="s">
        <v>19525</v>
      </c>
      <c r="F7316" t="s">
        <v>22436</v>
      </c>
      <c r="G7316" t="s">
        <v>22444</v>
      </c>
      <c r="H7316" t="s">
        <v>22454</v>
      </c>
      <c r="I7316" t="s">
        <v>7738</v>
      </c>
      <c r="J7316" t="s">
        <v>24406</v>
      </c>
      <c r="K7316" t="s">
        <v>29346</v>
      </c>
      <c r="M7316" t="s">
        <v>31245</v>
      </c>
      <c r="N7316" t="s">
        <v>32524</v>
      </c>
      <c r="O7316" t="s">
        <v>32525</v>
      </c>
      <c r="P7316">
        <v>0</v>
      </c>
      <c r="Q7316">
        <v>0</v>
      </c>
      <c r="R7316" t="s">
        <v>32533</v>
      </c>
      <c r="S7316" t="s">
        <v>32667</v>
      </c>
      <c r="T7316" t="s">
        <v>33259</v>
      </c>
      <c r="U7316" t="s">
        <v>35793</v>
      </c>
      <c r="V7316" t="s">
        <v>42461</v>
      </c>
      <c r="W7316" t="s">
        <v>31245</v>
      </c>
      <c r="X7316" t="s">
        <v>32536</v>
      </c>
    </row>
    <row r="7317" spans="1:24">
      <c r="A7317">
        <f>HYPERLINK("https://www.philgeps.gov.ph/GEPSNONPILOT/Tender/SplashBidNoticeAbstractUI.aspx?menuIndex=3&amp;refID=7032407&amp;Result=3","7032407")</f>
        <v>0</v>
      </c>
      <c r="B7317" t="s">
        <v>140</v>
      </c>
      <c r="C7317" t="s">
        <v>9671</v>
      </c>
      <c r="D7317" t="s">
        <v>12988</v>
      </c>
      <c r="E7317" t="s">
        <v>19526</v>
      </c>
      <c r="F7317" t="s">
        <v>22436</v>
      </c>
      <c r="G7317" t="s">
        <v>22444</v>
      </c>
      <c r="H7317" t="s">
        <v>22452</v>
      </c>
      <c r="I7317" t="s">
        <v>22501</v>
      </c>
      <c r="J7317" t="s">
        <v>27313</v>
      </c>
      <c r="K7317" t="s">
        <v>29338</v>
      </c>
      <c r="M7317" t="s">
        <v>30489</v>
      </c>
      <c r="N7317" t="s">
        <v>32524</v>
      </c>
      <c r="O7317" t="s">
        <v>32525</v>
      </c>
      <c r="P7317">
        <v>0</v>
      </c>
      <c r="Q7317">
        <v>2</v>
      </c>
      <c r="R7317" t="s">
        <v>32533</v>
      </c>
      <c r="S7317" t="s">
        <v>32667</v>
      </c>
      <c r="T7317" t="s">
        <v>33259</v>
      </c>
      <c r="U7317" t="s">
        <v>39745</v>
      </c>
      <c r="W7317" t="s">
        <v>30489</v>
      </c>
      <c r="X7317" t="s">
        <v>32535</v>
      </c>
    </row>
    <row r="7318" spans="1:24">
      <c r="A7318">
        <f>HYPERLINK("https://www.philgeps.gov.ph/GEPSNONPILOT/Tender/SplashBidNoticeAbstractUI.aspx?menuIndex=3&amp;refID=7032768&amp;Result=3","7032768")</f>
        <v>0</v>
      </c>
      <c r="B7318" t="s">
        <v>82</v>
      </c>
      <c r="C7318" t="s">
        <v>9111</v>
      </c>
      <c r="D7318" t="s">
        <v>13024</v>
      </c>
      <c r="E7318" t="s">
        <v>19527</v>
      </c>
      <c r="F7318" t="s">
        <v>22436</v>
      </c>
      <c r="G7318" t="s">
        <v>22443</v>
      </c>
      <c r="H7318" t="s">
        <v>22452</v>
      </c>
      <c r="I7318" t="s">
        <v>3840</v>
      </c>
      <c r="J7318" t="s">
        <v>27314</v>
      </c>
      <c r="K7318" t="s">
        <v>29336</v>
      </c>
      <c r="M7318" t="s">
        <v>31939</v>
      </c>
      <c r="N7318" t="s">
        <v>32524</v>
      </c>
      <c r="O7318" t="s">
        <v>32525</v>
      </c>
      <c r="P7318">
        <v>0</v>
      </c>
      <c r="Q7318">
        <v>0</v>
      </c>
      <c r="R7318" t="s">
        <v>32533</v>
      </c>
      <c r="S7318" t="s">
        <v>32667</v>
      </c>
      <c r="T7318" t="s">
        <v>33238</v>
      </c>
      <c r="U7318" t="s">
        <v>39746</v>
      </c>
      <c r="W7318" t="s">
        <v>31939</v>
      </c>
      <c r="X7318" t="s">
        <v>32534</v>
      </c>
    </row>
    <row r="7319" spans="1:24">
      <c r="A7319">
        <f>HYPERLINK("https://www.philgeps.gov.ph/GEPSNONPILOT/Tender/SplashBidNoticeAbstractUI.aspx?menuIndex=3&amp;refID=7032599&amp;Result=3","7032599")</f>
        <v>0</v>
      </c>
      <c r="B7319" t="s">
        <v>140</v>
      </c>
      <c r="C7319" t="s">
        <v>9672</v>
      </c>
      <c r="D7319" t="s">
        <v>12988</v>
      </c>
      <c r="E7319" t="s">
        <v>19528</v>
      </c>
      <c r="F7319" t="s">
        <v>22436</v>
      </c>
      <c r="G7319" t="s">
        <v>22444</v>
      </c>
      <c r="H7319" t="s">
        <v>22452</v>
      </c>
      <c r="I7319" t="s">
        <v>2981</v>
      </c>
      <c r="J7319" t="s">
        <v>27315</v>
      </c>
      <c r="K7319" t="s">
        <v>29338</v>
      </c>
      <c r="M7319" t="s">
        <v>31239</v>
      </c>
      <c r="N7319" t="s">
        <v>32524</v>
      </c>
      <c r="O7319" t="s">
        <v>32525</v>
      </c>
      <c r="P7319">
        <v>0</v>
      </c>
      <c r="Q7319">
        <v>1</v>
      </c>
      <c r="R7319" t="s">
        <v>32533</v>
      </c>
      <c r="S7319" t="s">
        <v>32667</v>
      </c>
      <c r="T7319" t="s">
        <v>33259</v>
      </c>
      <c r="U7319" t="s">
        <v>39747</v>
      </c>
      <c r="W7319" t="s">
        <v>31239</v>
      </c>
      <c r="X7319" t="s">
        <v>32535</v>
      </c>
    </row>
    <row r="7320" spans="1:24">
      <c r="A7320">
        <f>HYPERLINK("https://www.philgeps.gov.ph/GEPSNONPILOT/Tender/SplashBidNoticeAbstractUI.aspx?menuIndex=3&amp;refID=7032793&amp;Result=3","7032793")</f>
        <v>0</v>
      </c>
      <c r="B7320" t="s">
        <v>2178</v>
      </c>
      <c r="C7320" t="s">
        <v>9673</v>
      </c>
      <c r="D7320" t="s">
        <v>12988</v>
      </c>
      <c r="E7320" t="s">
        <v>19529</v>
      </c>
      <c r="F7320" t="s">
        <v>22436</v>
      </c>
      <c r="G7320" t="s">
        <v>22444</v>
      </c>
      <c r="H7320" t="s">
        <v>22452</v>
      </c>
      <c r="I7320" t="s">
        <v>22502</v>
      </c>
      <c r="J7320" t="s">
        <v>27316</v>
      </c>
      <c r="K7320" t="s">
        <v>29338</v>
      </c>
      <c r="M7320" t="s">
        <v>31940</v>
      </c>
      <c r="N7320" t="s">
        <v>32524</v>
      </c>
      <c r="O7320" t="s">
        <v>32525</v>
      </c>
      <c r="P7320">
        <v>0</v>
      </c>
      <c r="Q7320">
        <v>24</v>
      </c>
      <c r="R7320" t="s">
        <v>32533</v>
      </c>
      <c r="S7320" t="s">
        <v>32667</v>
      </c>
      <c r="T7320" t="s">
        <v>33340</v>
      </c>
      <c r="U7320" t="s">
        <v>39748</v>
      </c>
      <c r="W7320" t="s">
        <v>31940</v>
      </c>
      <c r="X7320" t="s">
        <v>32534</v>
      </c>
    </row>
    <row r="7321" spans="1:24">
      <c r="A7321">
        <f>HYPERLINK("https://www.philgeps.gov.ph/GEPSNONPILOT/Tender/SplashBidNoticeAbstractUI.aspx?menuIndex=3&amp;refID=7032174&amp;Result=3","7032174")</f>
        <v>0</v>
      </c>
      <c r="B7321" t="s">
        <v>46</v>
      </c>
      <c r="C7321" t="s">
        <v>9674</v>
      </c>
      <c r="D7321" t="s">
        <v>13006</v>
      </c>
      <c r="E7321" t="s">
        <v>19530</v>
      </c>
      <c r="F7321" t="s">
        <v>22436</v>
      </c>
      <c r="G7321" t="s">
        <v>22444</v>
      </c>
      <c r="H7321" t="s">
        <v>22454</v>
      </c>
      <c r="I7321" t="s">
        <v>7738</v>
      </c>
      <c r="J7321" t="s">
        <v>27309</v>
      </c>
      <c r="K7321" t="s">
        <v>29483</v>
      </c>
      <c r="M7321" t="s">
        <v>31245</v>
      </c>
      <c r="N7321" t="s">
        <v>32524</v>
      </c>
      <c r="O7321" t="s">
        <v>32525</v>
      </c>
      <c r="P7321">
        <v>0</v>
      </c>
      <c r="Q7321">
        <v>3</v>
      </c>
      <c r="R7321" t="s">
        <v>32533</v>
      </c>
      <c r="S7321" t="s">
        <v>32667</v>
      </c>
      <c r="T7321" t="s">
        <v>33259</v>
      </c>
      <c r="U7321" t="s">
        <v>35793</v>
      </c>
      <c r="V7321" t="s">
        <v>42461</v>
      </c>
      <c r="W7321" t="s">
        <v>31245</v>
      </c>
      <c r="X7321" t="s">
        <v>32536</v>
      </c>
    </row>
    <row r="7322" spans="1:24">
      <c r="A7322">
        <f>HYPERLINK("https://www.philgeps.gov.ph/GEPSNONPILOT/Tender/SplashBidNoticeAbstractUI.aspx?menuIndex=3&amp;refID=7032766&amp;Result=3","7032766")</f>
        <v>0</v>
      </c>
      <c r="B7322" t="s">
        <v>82</v>
      </c>
      <c r="C7322" t="s">
        <v>4225</v>
      </c>
      <c r="D7322" t="s">
        <v>13024</v>
      </c>
      <c r="E7322" t="s">
        <v>19531</v>
      </c>
      <c r="F7322" t="s">
        <v>22436</v>
      </c>
      <c r="G7322" t="s">
        <v>22443</v>
      </c>
      <c r="H7322" t="s">
        <v>22452</v>
      </c>
      <c r="I7322" t="s">
        <v>6421</v>
      </c>
      <c r="J7322" t="s">
        <v>27317</v>
      </c>
      <c r="K7322" t="s">
        <v>29336</v>
      </c>
      <c r="M7322" t="s">
        <v>31939</v>
      </c>
      <c r="N7322" t="s">
        <v>32524</v>
      </c>
      <c r="O7322" t="s">
        <v>32525</v>
      </c>
      <c r="P7322">
        <v>0</v>
      </c>
      <c r="Q7322">
        <v>0</v>
      </c>
      <c r="R7322" t="s">
        <v>32533</v>
      </c>
      <c r="S7322" t="s">
        <v>32667</v>
      </c>
      <c r="T7322" t="s">
        <v>33238</v>
      </c>
      <c r="U7322" t="s">
        <v>39749</v>
      </c>
      <c r="W7322" t="s">
        <v>31939</v>
      </c>
      <c r="X7322" t="s">
        <v>32535</v>
      </c>
    </row>
    <row r="7323" spans="1:24">
      <c r="A7323">
        <f>HYPERLINK("https://www.philgeps.gov.ph/GEPSNONPILOT/Tender/SplashBidNoticeAbstractUI.aspx?menuIndex=3&amp;refID=7032757&amp;Result=3","7032757")</f>
        <v>0</v>
      </c>
      <c r="B7323" t="s">
        <v>82</v>
      </c>
      <c r="C7323" t="s">
        <v>4225</v>
      </c>
      <c r="D7323" t="s">
        <v>13024</v>
      </c>
      <c r="E7323" t="s">
        <v>19532</v>
      </c>
      <c r="F7323" t="s">
        <v>22436</v>
      </c>
      <c r="G7323" t="s">
        <v>22443</v>
      </c>
      <c r="H7323" t="s">
        <v>22452</v>
      </c>
      <c r="I7323" t="s">
        <v>6421</v>
      </c>
      <c r="J7323" t="s">
        <v>27318</v>
      </c>
      <c r="K7323" t="s">
        <v>29336</v>
      </c>
      <c r="M7323" t="s">
        <v>31939</v>
      </c>
      <c r="N7323" t="s">
        <v>32524</v>
      </c>
      <c r="O7323" t="s">
        <v>32525</v>
      </c>
      <c r="P7323">
        <v>0</v>
      </c>
      <c r="Q7323">
        <v>0</v>
      </c>
      <c r="R7323" t="s">
        <v>32533</v>
      </c>
      <c r="S7323" t="s">
        <v>32667</v>
      </c>
      <c r="T7323" t="s">
        <v>33238</v>
      </c>
      <c r="U7323" t="s">
        <v>39750</v>
      </c>
      <c r="W7323" t="s">
        <v>31939</v>
      </c>
      <c r="X7323" t="s">
        <v>32535</v>
      </c>
    </row>
    <row r="7324" spans="1:24">
      <c r="A7324">
        <f>HYPERLINK("https://www.philgeps.gov.ph/GEPSNONPILOT/Tender/SplashBidNoticeAbstractUI.aspx?menuIndex=3&amp;refID=7032746&amp;Result=3","7032746")</f>
        <v>0</v>
      </c>
      <c r="B7324" t="s">
        <v>82</v>
      </c>
      <c r="C7324" t="s">
        <v>9675</v>
      </c>
      <c r="D7324" t="s">
        <v>13024</v>
      </c>
      <c r="E7324" t="s">
        <v>19533</v>
      </c>
      <c r="F7324" t="s">
        <v>22436</v>
      </c>
      <c r="G7324" t="s">
        <v>22443</v>
      </c>
      <c r="H7324" t="s">
        <v>22452</v>
      </c>
      <c r="I7324" t="s">
        <v>22463</v>
      </c>
      <c r="J7324" t="s">
        <v>27319</v>
      </c>
      <c r="K7324" t="s">
        <v>29336</v>
      </c>
      <c r="M7324" t="s">
        <v>31939</v>
      </c>
      <c r="N7324" t="s">
        <v>32524</v>
      </c>
      <c r="O7324" t="s">
        <v>32525</v>
      </c>
      <c r="P7324">
        <v>0</v>
      </c>
      <c r="Q7324">
        <v>3</v>
      </c>
      <c r="R7324" t="s">
        <v>32533</v>
      </c>
      <c r="S7324" t="s">
        <v>32667</v>
      </c>
      <c r="T7324" t="s">
        <v>33238</v>
      </c>
      <c r="U7324" t="s">
        <v>39751</v>
      </c>
      <c r="W7324" t="s">
        <v>31939</v>
      </c>
      <c r="X7324" t="s">
        <v>32535</v>
      </c>
    </row>
    <row r="7325" spans="1:24">
      <c r="A7325">
        <f>HYPERLINK("https://www.philgeps.gov.ph/GEPSNONPILOT/Tender/SplashBidNoticeAbstractUI.aspx?menuIndex=3&amp;refID=7032698&amp;Result=3","7032698")</f>
        <v>0</v>
      </c>
      <c r="B7325" t="s">
        <v>2179</v>
      </c>
      <c r="C7325" t="s">
        <v>9676</v>
      </c>
      <c r="D7325" t="s">
        <v>13039</v>
      </c>
      <c r="E7325" t="s">
        <v>13487</v>
      </c>
      <c r="F7325" t="s">
        <v>22437</v>
      </c>
      <c r="G7325" t="s">
        <v>22444</v>
      </c>
      <c r="H7325" t="s">
        <v>22454</v>
      </c>
      <c r="I7325" t="s">
        <v>3529</v>
      </c>
      <c r="J7325" t="s">
        <v>22640</v>
      </c>
      <c r="K7325" t="s">
        <v>29434</v>
      </c>
      <c r="M7325" t="s">
        <v>31941</v>
      </c>
      <c r="N7325" t="s">
        <v>32524</v>
      </c>
      <c r="O7325" t="s">
        <v>32525</v>
      </c>
      <c r="P7325">
        <v>0</v>
      </c>
      <c r="Q7325">
        <v>0</v>
      </c>
      <c r="R7325" t="s">
        <v>32533</v>
      </c>
      <c r="S7325" t="s">
        <v>32667</v>
      </c>
      <c r="T7325" t="s">
        <v>33385</v>
      </c>
      <c r="U7325" t="s">
        <v>39752</v>
      </c>
      <c r="W7325" t="s">
        <v>31941</v>
      </c>
      <c r="X7325" t="s">
        <v>32535</v>
      </c>
    </row>
    <row r="7326" spans="1:24">
      <c r="A7326">
        <f>HYPERLINK("https://www.philgeps.gov.ph/GEPSNONPILOT/Tender/SplashBidNoticeAbstractUI.aspx?menuIndex=3&amp;refID=7032624&amp;Result=3","7032624")</f>
        <v>0</v>
      </c>
      <c r="B7326" t="s">
        <v>2180</v>
      </c>
      <c r="C7326" t="s">
        <v>9677</v>
      </c>
      <c r="D7326" t="s">
        <v>12992</v>
      </c>
      <c r="E7326" t="s">
        <v>19534</v>
      </c>
      <c r="F7326" t="s">
        <v>22436</v>
      </c>
      <c r="G7326" t="s">
        <v>22444</v>
      </c>
      <c r="H7326" t="s">
        <v>22452</v>
      </c>
      <c r="I7326" t="s">
        <v>5194</v>
      </c>
      <c r="J7326" t="s">
        <v>27320</v>
      </c>
      <c r="K7326" t="s">
        <v>29335</v>
      </c>
      <c r="M7326" t="s">
        <v>31942</v>
      </c>
      <c r="N7326" t="s">
        <v>32524</v>
      </c>
      <c r="O7326" t="s">
        <v>32525</v>
      </c>
      <c r="P7326">
        <v>0</v>
      </c>
      <c r="Q7326">
        <v>5</v>
      </c>
      <c r="R7326" t="s">
        <v>32533</v>
      </c>
      <c r="S7326" t="s">
        <v>32667</v>
      </c>
      <c r="T7326" t="s">
        <v>33487</v>
      </c>
      <c r="U7326" t="s">
        <v>39753</v>
      </c>
      <c r="W7326" t="s">
        <v>31942</v>
      </c>
      <c r="X7326" t="s">
        <v>32535</v>
      </c>
    </row>
    <row r="7327" spans="1:24">
      <c r="A7327">
        <f>HYPERLINK("https://www.philgeps.gov.ph/GEPSNONPILOT/Tender/SplashBidNoticeAbstractUI.aspx?menuIndex=3&amp;refID=7032598&amp;Result=3","7032598")</f>
        <v>0</v>
      </c>
      <c r="B7327" t="s">
        <v>2181</v>
      </c>
      <c r="C7327" t="s">
        <v>9678</v>
      </c>
      <c r="D7327" t="s">
        <v>12995</v>
      </c>
      <c r="E7327" t="s">
        <v>19535</v>
      </c>
      <c r="F7327" t="s">
        <v>22436</v>
      </c>
      <c r="G7327" t="s">
        <v>22444</v>
      </c>
      <c r="H7327" t="s">
        <v>22454</v>
      </c>
      <c r="I7327" t="s">
        <v>7738</v>
      </c>
      <c r="J7327" t="s">
        <v>22669</v>
      </c>
      <c r="K7327" t="s">
        <v>29344</v>
      </c>
      <c r="M7327" t="s">
        <v>31943</v>
      </c>
      <c r="N7327" t="s">
        <v>32524</v>
      </c>
      <c r="O7327" t="s">
        <v>32525</v>
      </c>
      <c r="P7327">
        <v>0</v>
      </c>
      <c r="Q7327">
        <v>2</v>
      </c>
      <c r="R7327" t="s">
        <v>32533</v>
      </c>
      <c r="S7327" t="s">
        <v>32667</v>
      </c>
      <c r="T7327" t="s">
        <v>33329</v>
      </c>
      <c r="U7327" t="s">
        <v>39754</v>
      </c>
      <c r="W7327" t="s">
        <v>31943</v>
      </c>
      <c r="X7327" t="s">
        <v>32535</v>
      </c>
    </row>
    <row r="7328" spans="1:24">
      <c r="A7328">
        <f>HYPERLINK("https://www.philgeps.gov.ph/GEPSNONPILOT/Tender/SplashBidNoticeAbstractUI.aspx?menuIndex=3&amp;refID=7032633&amp;Result=3","7032633")</f>
        <v>0</v>
      </c>
      <c r="B7328" t="s">
        <v>2180</v>
      </c>
      <c r="C7328" t="s">
        <v>9679</v>
      </c>
      <c r="D7328" t="s">
        <v>12992</v>
      </c>
      <c r="E7328" t="s">
        <v>19536</v>
      </c>
      <c r="F7328" t="s">
        <v>22436</v>
      </c>
      <c r="G7328" t="s">
        <v>22444</v>
      </c>
      <c r="H7328" t="s">
        <v>22452</v>
      </c>
      <c r="I7328" t="s">
        <v>22482</v>
      </c>
      <c r="J7328" t="s">
        <v>27321</v>
      </c>
      <c r="K7328" t="s">
        <v>29335</v>
      </c>
      <c r="M7328" t="s">
        <v>31942</v>
      </c>
      <c r="N7328" t="s">
        <v>32524</v>
      </c>
      <c r="O7328" t="s">
        <v>32525</v>
      </c>
      <c r="P7328">
        <v>0</v>
      </c>
      <c r="Q7328">
        <v>7</v>
      </c>
      <c r="R7328" t="s">
        <v>32533</v>
      </c>
      <c r="S7328" t="s">
        <v>32667</v>
      </c>
      <c r="T7328" t="s">
        <v>33524</v>
      </c>
      <c r="U7328" t="s">
        <v>39755</v>
      </c>
      <c r="W7328" t="s">
        <v>31942</v>
      </c>
      <c r="X7328" t="s">
        <v>32535</v>
      </c>
    </row>
    <row r="7329" spans="1:24">
      <c r="A7329">
        <f>HYPERLINK("https://www.philgeps.gov.ph/GEPSNONPILOT/Tender/SplashBidNoticeAbstractUI.aspx?menuIndex=3&amp;refID=7032594&amp;Result=3","7032594")</f>
        <v>0</v>
      </c>
      <c r="B7329" t="s">
        <v>43</v>
      </c>
      <c r="C7329" t="s">
        <v>9680</v>
      </c>
      <c r="D7329" t="s">
        <v>13003</v>
      </c>
      <c r="E7329" t="s">
        <v>19537</v>
      </c>
      <c r="F7329" t="s">
        <v>22436</v>
      </c>
      <c r="G7329" t="s">
        <v>22444</v>
      </c>
      <c r="H7329" t="s">
        <v>22454</v>
      </c>
      <c r="I7329" t="s">
        <v>7738</v>
      </c>
      <c r="J7329" t="s">
        <v>27322</v>
      </c>
      <c r="K7329" t="s">
        <v>29347</v>
      </c>
      <c r="M7329" t="s">
        <v>29614</v>
      </c>
      <c r="N7329" t="s">
        <v>32524</v>
      </c>
      <c r="O7329" t="s">
        <v>32525</v>
      </c>
      <c r="P7329">
        <v>0</v>
      </c>
      <c r="Q7329">
        <v>0</v>
      </c>
      <c r="R7329" t="s">
        <v>32533</v>
      </c>
      <c r="S7329" t="s">
        <v>32667</v>
      </c>
      <c r="T7329" t="s">
        <v>33168</v>
      </c>
      <c r="U7329" t="s">
        <v>39756</v>
      </c>
      <c r="W7329" t="s">
        <v>29614</v>
      </c>
      <c r="X7329" t="s">
        <v>32535</v>
      </c>
    </row>
    <row r="7330" spans="1:24">
      <c r="A7330">
        <f>HYPERLINK("https://www.philgeps.gov.ph/GEPSNONPILOT/Tender/SplashBidNoticeAbstractUI.aspx?menuIndex=3&amp;refID=7032589&amp;Result=3","7032589")</f>
        <v>0</v>
      </c>
      <c r="B7330" t="s">
        <v>2181</v>
      </c>
      <c r="C7330" t="s">
        <v>9681</v>
      </c>
      <c r="D7330" t="s">
        <v>12995</v>
      </c>
      <c r="E7330" t="s">
        <v>19538</v>
      </c>
      <c r="F7330" t="s">
        <v>22436</v>
      </c>
      <c r="G7330" t="s">
        <v>22444</v>
      </c>
      <c r="H7330" t="s">
        <v>22454</v>
      </c>
      <c r="I7330" t="s">
        <v>7738</v>
      </c>
      <c r="J7330" t="s">
        <v>22970</v>
      </c>
      <c r="K7330" t="s">
        <v>29466</v>
      </c>
      <c r="M7330" t="s">
        <v>31943</v>
      </c>
      <c r="N7330" t="s">
        <v>32524</v>
      </c>
      <c r="O7330" t="s">
        <v>32525</v>
      </c>
      <c r="P7330">
        <v>0</v>
      </c>
      <c r="Q7330">
        <v>2</v>
      </c>
      <c r="R7330" t="s">
        <v>32533</v>
      </c>
      <c r="S7330" t="s">
        <v>32667</v>
      </c>
      <c r="T7330" t="s">
        <v>33329</v>
      </c>
      <c r="U7330" t="s">
        <v>39754</v>
      </c>
      <c r="W7330" t="s">
        <v>31943</v>
      </c>
      <c r="X7330" t="s">
        <v>32535</v>
      </c>
    </row>
    <row r="7331" spans="1:24">
      <c r="A7331">
        <f>HYPERLINK("https://www.philgeps.gov.ph/GEPSNONPILOT/Tender/SplashBidNoticeAbstractUI.aspx?menuIndex=3&amp;refID=7032748&amp;Result=3","7032748")</f>
        <v>0</v>
      </c>
      <c r="B7331" t="s">
        <v>82</v>
      </c>
      <c r="C7331" t="s">
        <v>9675</v>
      </c>
      <c r="D7331" t="s">
        <v>13024</v>
      </c>
      <c r="E7331" t="s">
        <v>19539</v>
      </c>
      <c r="F7331" t="s">
        <v>22436</v>
      </c>
      <c r="G7331" t="s">
        <v>22443</v>
      </c>
      <c r="H7331" t="s">
        <v>22452</v>
      </c>
      <c r="I7331" t="s">
        <v>22463</v>
      </c>
      <c r="J7331" t="s">
        <v>27323</v>
      </c>
      <c r="K7331" t="s">
        <v>29336</v>
      </c>
      <c r="M7331" t="s">
        <v>31939</v>
      </c>
      <c r="N7331" t="s">
        <v>32524</v>
      </c>
      <c r="O7331" t="s">
        <v>32525</v>
      </c>
      <c r="P7331">
        <v>0</v>
      </c>
      <c r="Q7331">
        <v>2</v>
      </c>
      <c r="R7331" t="s">
        <v>32533</v>
      </c>
      <c r="S7331" t="s">
        <v>32667</v>
      </c>
      <c r="T7331" t="s">
        <v>33238</v>
      </c>
      <c r="U7331" t="s">
        <v>39757</v>
      </c>
      <c r="W7331" t="s">
        <v>31939</v>
      </c>
      <c r="X7331" t="s">
        <v>32535</v>
      </c>
    </row>
    <row r="7332" spans="1:24">
      <c r="A7332">
        <f>HYPERLINK("https://www.philgeps.gov.ph/GEPSNONPILOT/Tender/SplashBidNoticeAbstractUI.aspx?menuIndex=3&amp;refID=7032582&amp;Result=3","7032582")</f>
        <v>0</v>
      </c>
      <c r="B7332" t="s">
        <v>2181</v>
      </c>
      <c r="C7332" t="s">
        <v>9682</v>
      </c>
      <c r="D7332" t="s">
        <v>12995</v>
      </c>
      <c r="E7332" t="s">
        <v>19540</v>
      </c>
      <c r="F7332" t="s">
        <v>22436</v>
      </c>
      <c r="G7332" t="s">
        <v>22444</v>
      </c>
      <c r="H7332" t="s">
        <v>22454</v>
      </c>
      <c r="I7332" t="s">
        <v>7738</v>
      </c>
      <c r="J7332" t="s">
        <v>23350</v>
      </c>
      <c r="K7332" t="s">
        <v>29449</v>
      </c>
      <c r="M7332" t="s">
        <v>31943</v>
      </c>
      <c r="N7332" t="s">
        <v>32524</v>
      </c>
      <c r="O7332" t="s">
        <v>32525</v>
      </c>
      <c r="P7332">
        <v>0</v>
      </c>
      <c r="Q7332">
        <v>2</v>
      </c>
      <c r="R7332" t="s">
        <v>32533</v>
      </c>
      <c r="S7332" t="s">
        <v>32667</v>
      </c>
      <c r="T7332" t="s">
        <v>33329</v>
      </c>
      <c r="U7332" t="s">
        <v>39754</v>
      </c>
      <c r="W7332" t="s">
        <v>31943</v>
      </c>
      <c r="X7332" t="s">
        <v>32535</v>
      </c>
    </row>
    <row r="7333" spans="1:24">
      <c r="A7333">
        <f>HYPERLINK("https://www.philgeps.gov.ph/GEPSNONPILOT/Tender/SplashBidNoticeAbstractUI.aspx?menuIndex=3&amp;refID=7032591&amp;Result=3","7032591")</f>
        <v>0</v>
      </c>
      <c r="B7333" t="s">
        <v>140</v>
      </c>
      <c r="C7333" t="s">
        <v>9683</v>
      </c>
      <c r="D7333" t="s">
        <v>12988</v>
      </c>
      <c r="E7333" t="s">
        <v>19541</v>
      </c>
      <c r="F7333" t="s">
        <v>22436</v>
      </c>
      <c r="G7333" t="s">
        <v>22444</v>
      </c>
      <c r="H7333" t="s">
        <v>22452</v>
      </c>
      <c r="I7333" t="s">
        <v>22458</v>
      </c>
      <c r="J7333" t="s">
        <v>27324</v>
      </c>
      <c r="K7333" t="s">
        <v>29338</v>
      </c>
      <c r="M7333" t="s">
        <v>31239</v>
      </c>
      <c r="N7333" t="s">
        <v>32524</v>
      </c>
      <c r="O7333" t="s">
        <v>32525</v>
      </c>
      <c r="P7333">
        <v>0</v>
      </c>
      <c r="Q7333">
        <v>10</v>
      </c>
      <c r="R7333" t="s">
        <v>32533</v>
      </c>
      <c r="S7333" t="s">
        <v>32667</v>
      </c>
      <c r="T7333" t="s">
        <v>33259</v>
      </c>
      <c r="U7333" t="s">
        <v>39758</v>
      </c>
      <c r="W7333" t="s">
        <v>31239</v>
      </c>
      <c r="X7333" t="s">
        <v>32535</v>
      </c>
    </row>
    <row r="7334" spans="1:24">
      <c r="A7334">
        <f>HYPERLINK("https://www.philgeps.gov.ph/GEPSNONPILOT/Tender/SplashBidNoticeAbstractUI.aspx?menuIndex=3&amp;refID=7032590&amp;Result=3","7032590")</f>
        <v>0</v>
      </c>
      <c r="B7334" t="s">
        <v>2181</v>
      </c>
      <c r="C7334" t="s">
        <v>9684</v>
      </c>
      <c r="D7334" t="s">
        <v>12995</v>
      </c>
      <c r="E7334" t="s">
        <v>19542</v>
      </c>
      <c r="F7334" t="s">
        <v>22436</v>
      </c>
      <c r="G7334" t="s">
        <v>22444</v>
      </c>
      <c r="H7334" t="s">
        <v>22454</v>
      </c>
      <c r="I7334" t="s">
        <v>7738</v>
      </c>
      <c r="J7334" t="s">
        <v>23356</v>
      </c>
      <c r="K7334" t="s">
        <v>29333</v>
      </c>
      <c r="M7334" t="s">
        <v>31943</v>
      </c>
      <c r="N7334" t="s">
        <v>32524</v>
      </c>
      <c r="O7334" t="s">
        <v>32525</v>
      </c>
      <c r="P7334">
        <v>0</v>
      </c>
      <c r="Q7334">
        <v>2</v>
      </c>
      <c r="R7334" t="s">
        <v>32533</v>
      </c>
      <c r="S7334" t="s">
        <v>32667</v>
      </c>
      <c r="T7334" t="s">
        <v>33329</v>
      </c>
      <c r="U7334" t="s">
        <v>39754</v>
      </c>
      <c r="W7334" t="s">
        <v>31943</v>
      </c>
      <c r="X7334" t="s">
        <v>32535</v>
      </c>
    </row>
    <row r="7335" spans="1:24">
      <c r="A7335">
        <f>HYPERLINK("https://www.philgeps.gov.ph/GEPSNONPILOT/Tender/SplashBidNoticeAbstractUI.aspx?menuIndex=3&amp;refID=7032868&amp;Result=3","7032868")</f>
        <v>0</v>
      </c>
      <c r="B7335" t="s">
        <v>1362</v>
      </c>
      <c r="C7335" t="s">
        <v>9685</v>
      </c>
      <c r="D7335" t="s">
        <v>13027</v>
      </c>
      <c r="E7335" t="s">
        <v>19543</v>
      </c>
      <c r="F7335" t="s">
        <v>22436</v>
      </c>
      <c r="G7335" t="s">
        <v>22444</v>
      </c>
      <c r="H7335" t="s">
        <v>22452</v>
      </c>
      <c r="I7335" t="s">
        <v>2981</v>
      </c>
      <c r="J7335" t="s">
        <v>27325</v>
      </c>
      <c r="K7335" t="s">
        <v>29333</v>
      </c>
      <c r="M7335" t="s">
        <v>31018</v>
      </c>
      <c r="N7335" t="s">
        <v>32524</v>
      </c>
      <c r="O7335" t="s">
        <v>32525</v>
      </c>
      <c r="P7335">
        <v>0</v>
      </c>
      <c r="Q7335">
        <v>4</v>
      </c>
      <c r="R7335" t="s">
        <v>32533</v>
      </c>
      <c r="S7335" t="s">
        <v>32667</v>
      </c>
      <c r="T7335" t="s">
        <v>33249</v>
      </c>
      <c r="U7335" t="s">
        <v>39759</v>
      </c>
      <c r="W7335" t="s">
        <v>31018</v>
      </c>
      <c r="X7335" t="s">
        <v>32534</v>
      </c>
    </row>
    <row r="7336" spans="1:24">
      <c r="A7336">
        <f>HYPERLINK("https://www.philgeps.gov.ph/GEPSNONPILOT/Tender/SplashBidNoticeAbstractUI.aspx?menuIndex=3&amp;refID=7032861&amp;Result=3","7032861")</f>
        <v>0</v>
      </c>
      <c r="B7336" t="s">
        <v>2182</v>
      </c>
      <c r="C7336" t="s">
        <v>9686</v>
      </c>
      <c r="D7336" t="s">
        <v>12995</v>
      </c>
      <c r="E7336" t="s">
        <v>19544</v>
      </c>
      <c r="F7336" t="s">
        <v>22436</v>
      </c>
      <c r="G7336" t="s">
        <v>22444</v>
      </c>
      <c r="H7336" t="s">
        <v>22452</v>
      </c>
      <c r="I7336" t="s">
        <v>22518</v>
      </c>
      <c r="J7336" t="s">
        <v>24216</v>
      </c>
      <c r="K7336" t="s">
        <v>29329</v>
      </c>
      <c r="M7336" t="s">
        <v>31944</v>
      </c>
      <c r="N7336" t="s">
        <v>32524</v>
      </c>
      <c r="O7336" t="s">
        <v>32525</v>
      </c>
      <c r="Q7336">
        <v>10</v>
      </c>
      <c r="R7336" t="s">
        <v>32533</v>
      </c>
      <c r="S7336" t="s">
        <v>32681</v>
      </c>
      <c r="T7336" t="s">
        <v>33234</v>
      </c>
      <c r="U7336" t="s">
        <v>39760</v>
      </c>
      <c r="W7336" t="s">
        <v>31944</v>
      </c>
      <c r="X7336" t="s">
        <v>32534</v>
      </c>
    </row>
    <row r="7337" spans="1:24">
      <c r="A7337">
        <f>HYPERLINK("https://www.philgeps.gov.ph/GEPSNONPILOT/Tender/SplashBidNoticeAbstractUI.aspx?menuIndex=3&amp;refID=7032587&amp;Result=3","7032587")</f>
        <v>0</v>
      </c>
      <c r="B7337" t="s">
        <v>2181</v>
      </c>
      <c r="C7337" t="s">
        <v>9687</v>
      </c>
      <c r="D7337" t="s">
        <v>12995</v>
      </c>
      <c r="E7337" t="s">
        <v>19545</v>
      </c>
      <c r="F7337" t="s">
        <v>22436</v>
      </c>
      <c r="G7337" t="s">
        <v>22444</v>
      </c>
      <c r="H7337" t="s">
        <v>22454</v>
      </c>
      <c r="I7337" t="s">
        <v>7738</v>
      </c>
      <c r="J7337" t="s">
        <v>22970</v>
      </c>
      <c r="K7337" t="s">
        <v>29466</v>
      </c>
      <c r="M7337" t="s">
        <v>31943</v>
      </c>
      <c r="N7337" t="s">
        <v>32524</v>
      </c>
      <c r="O7337" t="s">
        <v>32525</v>
      </c>
      <c r="P7337">
        <v>0</v>
      </c>
      <c r="Q7337">
        <v>2</v>
      </c>
      <c r="R7337" t="s">
        <v>32533</v>
      </c>
      <c r="S7337" t="s">
        <v>32667</v>
      </c>
      <c r="T7337" t="s">
        <v>33329</v>
      </c>
      <c r="U7337" t="s">
        <v>39754</v>
      </c>
      <c r="W7337" t="s">
        <v>31943</v>
      </c>
      <c r="X7337" t="s">
        <v>32535</v>
      </c>
    </row>
    <row r="7338" spans="1:24">
      <c r="A7338">
        <f>HYPERLINK("https://www.philgeps.gov.ph/GEPSNONPILOT/Tender/SplashBidNoticeAbstractUI.aspx?menuIndex=3&amp;refID=7032159&amp;Result=3","7032159")</f>
        <v>0</v>
      </c>
      <c r="B7338" t="s">
        <v>46</v>
      </c>
      <c r="C7338" t="s">
        <v>9688</v>
      </c>
      <c r="D7338" t="s">
        <v>13006</v>
      </c>
      <c r="E7338" t="s">
        <v>19546</v>
      </c>
      <c r="F7338" t="s">
        <v>22436</v>
      </c>
      <c r="G7338" t="s">
        <v>22444</v>
      </c>
      <c r="H7338" t="s">
        <v>22454</v>
      </c>
      <c r="I7338" t="s">
        <v>7738</v>
      </c>
      <c r="J7338" t="s">
        <v>27326</v>
      </c>
      <c r="K7338" t="s">
        <v>29400</v>
      </c>
      <c r="M7338" t="s">
        <v>31245</v>
      </c>
      <c r="N7338" t="s">
        <v>32524</v>
      </c>
      <c r="O7338" t="s">
        <v>32525</v>
      </c>
      <c r="P7338">
        <v>0</v>
      </c>
      <c r="Q7338">
        <v>4</v>
      </c>
      <c r="R7338" t="s">
        <v>32533</v>
      </c>
      <c r="S7338" t="s">
        <v>32667</v>
      </c>
      <c r="T7338" t="s">
        <v>33259</v>
      </c>
      <c r="U7338" t="s">
        <v>35793</v>
      </c>
      <c r="V7338" t="s">
        <v>42461</v>
      </c>
      <c r="W7338" t="s">
        <v>31245</v>
      </c>
      <c r="X7338" t="s">
        <v>32536</v>
      </c>
    </row>
    <row r="7339" spans="1:24">
      <c r="A7339">
        <f>HYPERLINK("https://www.philgeps.gov.ph/GEPSNONPILOT/Tender/SplashBidNoticeAbstractUI.aspx?menuIndex=3&amp;refID=7032851&amp;Result=3","7032851")</f>
        <v>0</v>
      </c>
      <c r="B7339" t="s">
        <v>706</v>
      </c>
      <c r="C7339" t="s">
        <v>9689</v>
      </c>
      <c r="D7339" t="s">
        <v>12993</v>
      </c>
      <c r="E7339" t="s">
        <v>19547</v>
      </c>
      <c r="F7339" t="s">
        <v>22436</v>
      </c>
      <c r="G7339" t="s">
        <v>22444</v>
      </c>
      <c r="H7339" t="s">
        <v>22452</v>
      </c>
      <c r="I7339" t="s">
        <v>2962</v>
      </c>
      <c r="J7339" t="s">
        <v>24815</v>
      </c>
      <c r="K7339" t="s">
        <v>29331</v>
      </c>
      <c r="M7339" t="s">
        <v>30303</v>
      </c>
      <c r="N7339" t="s">
        <v>32524</v>
      </c>
      <c r="O7339" t="s">
        <v>32525</v>
      </c>
      <c r="P7339">
        <v>0</v>
      </c>
      <c r="Q7339">
        <v>0</v>
      </c>
      <c r="R7339" t="s">
        <v>32533</v>
      </c>
      <c r="S7339" t="s">
        <v>32667</v>
      </c>
      <c r="T7339" t="s">
        <v>33167</v>
      </c>
      <c r="U7339" t="s">
        <v>39761</v>
      </c>
      <c r="W7339" t="s">
        <v>30303</v>
      </c>
      <c r="X7339" t="s">
        <v>32534</v>
      </c>
    </row>
    <row r="7340" spans="1:24">
      <c r="A7340">
        <f>HYPERLINK("https://www.philgeps.gov.ph/GEPSNONPILOT/Tender/SplashBidNoticeAbstractUI.aspx?menuIndex=3&amp;refID=7032797&amp;Result=3","7032797")</f>
        <v>0</v>
      </c>
      <c r="B7340" t="s">
        <v>2178</v>
      </c>
      <c r="C7340" t="s">
        <v>9690</v>
      </c>
      <c r="D7340" t="s">
        <v>12988</v>
      </c>
      <c r="E7340" t="s">
        <v>19548</v>
      </c>
      <c r="F7340" t="s">
        <v>22436</v>
      </c>
      <c r="G7340" t="s">
        <v>22444</v>
      </c>
      <c r="H7340" t="s">
        <v>22452</v>
      </c>
      <c r="I7340" t="s">
        <v>22502</v>
      </c>
      <c r="J7340" t="s">
        <v>27327</v>
      </c>
      <c r="K7340" t="s">
        <v>29338</v>
      </c>
      <c r="M7340" t="s">
        <v>31940</v>
      </c>
      <c r="N7340" t="s">
        <v>32524</v>
      </c>
      <c r="O7340" t="s">
        <v>32525</v>
      </c>
      <c r="P7340">
        <v>0</v>
      </c>
      <c r="Q7340">
        <v>24</v>
      </c>
      <c r="R7340" t="s">
        <v>32533</v>
      </c>
      <c r="S7340" t="s">
        <v>32667</v>
      </c>
      <c r="T7340" t="s">
        <v>33340</v>
      </c>
      <c r="U7340" t="s">
        <v>39762</v>
      </c>
      <c r="W7340" t="s">
        <v>31940</v>
      </c>
      <c r="X7340" t="s">
        <v>32534</v>
      </c>
    </row>
    <row r="7341" spans="1:24">
      <c r="A7341">
        <f>HYPERLINK("https://www.philgeps.gov.ph/GEPSNONPILOT/Tender/SplashBidNoticeAbstractUI.aspx?menuIndex=3&amp;refID=7032854&amp;Result=3","7032854")</f>
        <v>0</v>
      </c>
      <c r="B7341" t="s">
        <v>2183</v>
      </c>
      <c r="C7341" t="s">
        <v>9691</v>
      </c>
      <c r="D7341" t="s">
        <v>13015</v>
      </c>
      <c r="E7341" t="s">
        <v>19549</v>
      </c>
      <c r="F7341" t="s">
        <v>22436</v>
      </c>
      <c r="G7341" t="s">
        <v>22444</v>
      </c>
      <c r="H7341" t="s">
        <v>22454</v>
      </c>
      <c r="I7341" t="s">
        <v>7738</v>
      </c>
      <c r="J7341" t="s">
        <v>22877</v>
      </c>
      <c r="K7341" t="s">
        <v>29508</v>
      </c>
      <c r="M7341" t="s">
        <v>31945</v>
      </c>
      <c r="N7341" t="s">
        <v>32524</v>
      </c>
      <c r="O7341" t="s">
        <v>32525</v>
      </c>
      <c r="P7341">
        <v>0</v>
      </c>
      <c r="Q7341">
        <v>0</v>
      </c>
      <c r="R7341" t="s">
        <v>32533</v>
      </c>
      <c r="S7341" t="s">
        <v>32667</v>
      </c>
      <c r="T7341" t="s">
        <v>33155</v>
      </c>
      <c r="U7341" t="s">
        <v>39763</v>
      </c>
      <c r="W7341" t="s">
        <v>31945</v>
      </c>
      <c r="X7341" t="s">
        <v>32534</v>
      </c>
    </row>
    <row r="7342" spans="1:24">
      <c r="A7342">
        <f>HYPERLINK("https://www.philgeps.gov.ph/GEPSNONPILOT/Tender/SplashBidNoticeAbstractUI.aspx?menuIndex=3&amp;refID=7032595&amp;Result=3","7032595")</f>
        <v>0</v>
      </c>
      <c r="B7342" t="s">
        <v>2181</v>
      </c>
      <c r="C7342" t="s">
        <v>9692</v>
      </c>
      <c r="D7342" t="s">
        <v>12995</v>
      </c>
      <c r="E7342" t="s">
        <v>19550</v>
      </c>
      <c r="F7342" t="s">
        <v>22436</v>
      </c>
      <c r="G7342" t="s">
        <v>22444</v>
      </c>
      <c r="H7342" t="s">
        <v>22454</v>
      </c>
      <c r="I7342" t="s">
        <v>7738</v>
      </c>
      <c r="J7342" t="s">
        <v>22893</v>
      </c>
      <c r="K7342" t="s">
        <v>29329</v>
      </c>
      <c r="M7342" t="s">
        <v>31943</v>
      </c>
      <c r="N7342" t="s">
        <v>32524</v>
      </c>
      <c r="O7342" t="s">
        <v>32525</v>
      </c>
      <c r="P7342">
        <v>0</v>
      </c>
      <c r="Q7342">
        <v>2</v>
      </c>
      <c r="R7342" t="s">
        <v>32533</v>
      </c>
      <c r="S7342" t="s">
        <v>32667</v>
      </c>
      <c r="T7342" t="s">
        <v>33329</v>
      </c>
      <c r="U7342" t="s">
        <v>39754</v>
      </c>
      <c r="W7342" t="s">
        <v>31943</v>
      </c>
      <c r="X7342" t="s">
        <v>32535</v>
      </c>
    </row>
    <row r="7343" spans="1:24">
      <c r="A7343">
        <f>HYPERLINK("https://www.philgeps.gov.ph/GEPSNONPILOT/Tender/SplashBidNoticeAbstractUI.aspx?menuIndex=3&amp;refID=7032902&amp;Result=3","7032902")</f>
        <v>0</v>
      </c>
      <c r="B7343" t="s">
        <v>2184</v>
      </c>
      <c r="C7343" t="s">
        <v>9693</v>
      </c>
      <c r="D7343" t="s">
        <v>13065</v>
      </c>
      <c r="E7343" t="s">
        <v>19551</v>
      </c>
      <c r="F7343" t="s">
        <v>22436</v>
      </c>
      <c r="G7343" t="s">
        <v>22444</v>
      </c>
      <c r="H7343" t="s">
        <v>22454</v>
      </c>
      <c r="I7343" t="s">
        <v>7738</v>
      </c>
      <c r="J7343" t="s">
        <v>27328</v>
      </c>
      <c r="K7343" t="s">
        <v>29388</v>
      </c>
      <c r="M7343" t="s">
        <v>31946</v>
      </c>
      <c r="N7343" t="s">
        <v>32524</v>
      </c>
      <c r="O7343" t="s">
        <v>32525</v>
      </c>
      <c r="P7343">
        <v>0</v>
      </c>
      <c r="Q7343">
        <v>2</v>
      </c>
      <c r="R7343" t="s">
        <v>32533</v>
      </c>
      <c r="S7343" t="s">
        <v>32667</v>
      </c>
      <c r="T7343" t="s">
        <v>33242</v>
      </c>
      <c r="U7343" t="s">
        <v>39764</v>
      </c>
      <c r="W7343" t="s">
        <v>31946</v>
      </c>
      <c r="X7343" t="s">
        <v>32534</v>
      </c>
    </row>
    <row r="7344" spans="1:24">
      <c r="A7344">
        <f>HYPERLINK("https://www.philgeps.gov.ph/GEPSNONPILOT/Tender/SplashBidNoticeAbstractUI.aspx?menuIndex=3&amp;refID=7032845&amp;Result=3","7032845")</f>
        <v>0</v>
      </c>
      <c r="B7344" t="s">
        <v>2185</v>
      </c>
      <c r="C7344" t="s">
        <v>9694</v>
      </c>
      <c r="D7344" t="s">
        <v>13074</v>
      </c>
      <c r="E7344" t="s">
        <v>19552</v>
      </c>
      <c r="F7344" t="s">
        <v>22436</v>
      </c>
      <c r="G7344" t="s">
        <v>22444</v>
      </c>
      <c r="H7344" t="s">
        <v>22452</v>
      </c>
      <c r="I7344" t="s">
        <v>22464</v>
      </c>
      <c r="J7344" t="s">
        <v>25475</v>
      </c>
      <c r="K7344" t="s">
        <v>29345</v>
      </c>
      <c r="M7344" t="s">
        <v>31947</v>
      </c>
      <c r="N7344" t="s">
        <v>32524</v>
      </c>
      <c r="O7344" t="s">
        <v>32525</v>
      </c>
      <c r="P7344">
        <v>0</v>
      </c>
      <c r="Q7344">
        <v>10</v>
      </c>
      <c r="R7344" t="s">
        <v>32533</v>
      </c>
      <c r="S7344" t="s">
        <v>32667</v>
      </c>
      <c r="T7344" t="s">
        <v>33242</v>
      </c>
      <c r="U7344" t="s">
        <v>39765</v>
      </c>
      <c r="W7344" t="s">
        <v>31947</v>
      </c>
      <c r="X7344" t="s">
        <v>32534</v>
      </c>
    </row>
    <row r="7345" spans="1:24">
      <c r="A7345">
        <f>HYPERLINK("https://www.philgeps.gov.ph/GEPSNONPILOT/Tender/SplashBidNoticeAbstractUI.aspx?menuIndex=3&amp;refID=7032862&amp;Result=3","7032862")</f>
        <v>0</v>
      </c>
      <c r="B7345" t="s">
        <v>1934</v>
      </c>
      <c r="C7345" t="s">
        <v>5522</v>
      </c>
      <c r="D7345" t="s">
        <v>13019</v>
      </c>
      <c r="E7345" t="s">
        <v>19553</v>
      </c>
      <c r="F7345" t="s">
        <v>22436</v>
      </c>
      <c r="G7345" t="s">
        <v>22444</v>
      </c>
      <c r="H7345" t="s">
        <v>22454</v>
      </c>
      <c r="I7345" t="s">
        <v>7738</v>
      </c>
      <c r="J7345" t="s">
        <v>27329</v>
      </c>
      <c r="K7345" t="s">
        <v>29427</v>
      </c>
      <c r="M7345" t="s">
        <v>31662</v>
      </c>
      <c r="N7345" t="s">
        <v>32524</v>
      </c>
      <c r="O7345" t="s">
        <v>32525</v>
      </c>
      <c r="P7345">
        <v>0</v>
      </c>
      <c r="Q7345">
        <v>0</v>
      </c>
      <c r="R7345" t="s">
        <v>32533</v>
      </c>
      <c r="S7345" t="s">
        <v>32667</v>
      </c>
      <c r="T7345" t="s">
        <v>33185</v>
      </c>
      <c r="U7345" t="s">
        <v>39766</v>
      </c>
      <c r="W7345" t="s">
        <v>31662</v>
      </c>
      <c r="X7345" t="s">
        <v>32534</v>
      </c>
    </row>
    <row r="7346" spans="1:24">
      <c r="A7346">
        <f>HYPERLINK("https://www.philgeps.gov.ph/GEPSNONPILOT/Tender/SplashBidNoticeAbstractUI.aspx?menuIndex=3&amp;refID=7032876&amp;Result=3","7032876")</f>
        <v>0</v>
      </c>
      <c r="B7346" t="s">
        <v>2186</v>
      </c>
      <c r="C7346" t="s">
        <v>9695</v>
      </c>
      <c r="D7346" t="s">
        <v>13018</v>
      </c>
      <c r="E7346" t="s">
        <v>13137</v>
      </c>
      <c r="F7346" t="s">
        <v>22437</v>
      </c>
      <c r="G7346" t="s">
        <v>22444</v>
      </c>
      <c r="H7346" t="s">
        <v>22454</v>
      </c>
      <c r="I7346" t="s">
        <v>7738</v>
      </c>
      <c r="J7346" t="s">
        <v>23612</v>
      </c>
      <c r="K7346" t="s">
        <v>29334</v>
      </c>
      <c r="M7346" t="s">
        <v>31948</v>
      </c>
      <c r="N7346" t="s">
        <v>32524</v>
      </c>
      <c r="O7346" t="s">
        <v>32525</v>
      </c>
      <c r="P7346">
        <v>0</v>
      </c>
      <c r="Q7346">
        <v>1</v>
      </c>
      <c r="R7346" t="s">
        <v>32533</v>
      </c>
      <c r="S7346" t="s">
        <v>32667</v>
      </c>
      <c r="T7346" t="s">
        <v>33181</v>
      </c>
      <c r="U7346" t="s">
        <v>39767</v>
      </c>
      <c r="W7346" t="s">
        <v>31948</v>
      </c>
      <c r="X7346" t="s">
        <v>32534</v>
      </c>
    </row>
    <row r="7347" spans="1:24">
      <c r="A7347">
        <f>HYPERLINK("https://www.philgeps.gov.ph/GEPSNONPILOT/Tender/SplashBidNoticeAbstractUI.aspx?menuIndex=3&amp;refID=7032872&amp;Result=3","7032872")</f>
        <v>0</v>
      </c>
      <c r="B7347" t="s">
        <v>706</v>
      </c>
      <c r="C7347" t="s">
        <v>9696</v>
      </c>
      <c r="D7347" t="s">
        <v>12993</v>
      </c>
      <c r="E7347" t="s">
        <v>19554</v>
      </c>
      <c r="F7347" t="s">
        <v>22436</v>
      </c>
      <c r="G7347" t="s">
        <v>22444</v>
      </c>
      <c r="H7347" t="s">
        <v>22452</v>
      </c>
      <c r="I7347" t="s">
        <v>3122</v>
      </c>
      <c r="J7347" t="s">
        <v>27330</v>
      </c>
      <c r="K7347" t="s">
        <v>29331</v>
      </c>
      <c r="M7347" t="s">
        <v>30303</v>
      </c>
      <c r="N7347" t="s">
        <v>32524</v>
      </c>
      <c r="O7347" t="s">
        <v>32525</v>
      </c>
      <c r="P7347">
        <v>0</v>
      </c>
      <c r="Q7347">
        <v>0</v>
      </c>
      <c r="R7347" t="s">
        <v>32533</v>
      </c>
      <c r="S7347" t="s">
        <v>32667</v>
      </c>
      <c r="T7347" t="s">
        <v>33167</v>
      </c>
      <c r="U7347" t="s">
        <v>39768</v>
      </c>
      <c r="W7347" t="s">
        <v>30303</v>
      </c>
      <c r="X7347" t="s">
        <v>32534</v>
      </c>
    </row>
    <row r="7348" spans="1:24">
      <c r="A7348">
        <f>HYPERLINK("https://www.philgeps.gov.ph/GEPSNONPILOT/Tender/SplashBidNoticeAbstractUI.aspx?menuIndex=3&amp;refID=7032892&amp;Result=3","7032892")</f>
        <v>0</v>
      </c>
      <c r="B7348" t="s">
        <v>706</v>
      </c>
      <c r="C7348" t="s">
        <v>9696</v>
      </c>
      <c r="D7348" t="s">
        <v>12993</v>
      </c>
      <c r="E7348" t="s">
        <v>19555</v>
      </c>
      <c r="F7348" t="s">
        <v>22436</v>
      </c>
      <c r="G7348" t="s">
        <v>22444</v>
      </c>
      <c r="H7348" t="s">
        <v>22452</v>
      </c>
      <c r="I7348" t="s">
        <v>3122</v>
      </c>
      <c r="J7348" t="s">
        <v>27331</v>
      </c>
      <c r="K7348" t="s">
        <v>29331</v>
      </c>
      <c r="M7348" t="s">
        <v>30303</v>
      </c>
      <c r="N7348" t="s">
        <v>32524</v>
      </c>
      <c r="O7348" t="s">
        <v>32525</v>
      </c>
      <c r="P7348">
        <v>0</v>
      </c>
      <c r="Q7348">
        <v>0</v>
      </c>
      <c r="R7348" t="s">
        <v>32533</v>
      </c>
      <c r="S7348" t="s">
        <v>32667</v>
      </c>
      <c r="T7348" t="s">
        <v>33167</v>
      </c>
      <c r="U7348" t="s">
        <v>39769</v>
      </c>
      <c r="W7348" t="s">
        <v>30303</v>
      </c>
      <c r="X7348" t="s">
        <v>32534</v>
      </c>
    </row>
    <row r="7349" spans="1:24">
      <c r="A7349">
        <f>HYPERLINK("https://www.philgeps.gov.ph/GEPSNONPILOT/Tender/SplashBidNoticeAbstractUI.aspx?menuIndex=3&amp;refID=7032817&amp;Result=3","7032817")</f>
        <v>0</v>
      </c>
      <c r="B7349" t="s">
        <v>2187</v>
      </c>
      <c r="C7349" t="s">
        <v>9697</v>
      </c>
      <c r="D7349" t="s">
        <v>13019</v>
      </c>
      <c r="E7349" t="s">
        <v>19556</v>
      </c>
      <c r="F7349" t="s">
        <v>22436</v>
      </c>
      <c r="G7349" t="s">
        <v>22444</v>
      </c>
      <c r="H7349" t="s">
        <v>22454</v>
      </c>
      <c r="I7349" t="s">
        <v>7738</v>
      </c>
      <c r="J7349" t="s">
        <v>27332</v>
      </c>
      <c r="K7349" t="s">
        <v>29370</v>
      </c>
      <c r="M7349" t="s">
        <v>31949</v>
      </c>
      <c r="N7349" t="s">
        <v>32524</v>
      </c>
      <c r="O7349" t="s">
        <v>32525</v>
      </c>
      <c r="P7349">
        <v>0</v>
      </c>
      <c r="Q7349">
        <v>0</v>
      </c>
      <c r="R7349" t="s">
        <v>32533</v>
      </c>
      <c r="S7349" t="s">
        <v>32667</v>
      </c>
      <c r="T7349" t="s">
        <v>33185</v>
      </c>
      <c r="U7349" t="s">
        <v>39770</v>
      </c>
      <c r="W7349" t="s">
        <v>31949</v>
      </c>
      <c r="X7349" t="s">
        <v>32534</v>
      </c>
    </row>
    <row r="7350" spans="1:24">
      <c r="A7350">
        <f>HYPERLINK("https://www.philgeps.gov.ph/GEPSNONPILOT/Tender/SplashBidNoticeAbstractUI.aspx?menuIndex=3&amp;refID=7032844&amp;Result=3","7032844")</f>
        <v>0</v>
      </c>
      <c r="B7350" t="s">
        <v>1943</v>
      </c>
      <c r="C7350" t="s">
        <v>9698</v>
      </c>
      <c r="D7350" t="s">
        <v>13039</v>
      </c>
      <c r="E7350" t="s">
        <v>19557</v>
      </c>
      <c r="F7350" t="s">
        <v>22436</v>
      </c>
      <c r="G7350" t="s">
        <v>22444</v>
      </c>
      <c r="H7350" t="s">
        <v>22452</v>
      </c>
      <c r="I7350" t="s">
        <v>3529</v>
      </c>
      <c r="J7350" t="s">
        <v>27333</v>
      </c>
      <c r="K7350" t="s">
        <v>29335</v>
      </c>
      <c r="M7350" t="s">
        <v>31672</v>
      </c>
      <c r="N7350" t="s">
        <v>32524</v>
      </c>
      <c r="O7350" t="s">
        <v>32525</v>
      </c>
      <c r="P7350">
        <v>0</v>
      </c>
      <c r="Q7350">
        <v>0</v>
      </c>
      <c r="R7350" t="s">
        <v>32533</v>
      </c>
      <c r="S7350" t="s">
        <v>32667</v>
      </c>
      <c r="T7350" t="s">
        <v>33310</v>
      </c>
      <c r="U7350" t="s">
        <v>39771</v>
      </c>
      <c r="W7350" t="s">
        <v>31672</v>
      </c>
      <c r="X7350" t="s">
        <v>32534</v>
      </c>
    </row>
    <row r="7351" spans="1:24">
      <c r="A7351">
        <f>HYPERLINK("https://www.philgeps.gov.ph/GEPSNONPILOT/Tender/SplashBidNoticeAbstractUI.aspx?menuIndex=3&amp;refID=7032814&amp;Result=3","7032814")</f>
        <v>0</v>
      </c>
      <c r="B7351" t="s">
        <v>954</v>
      </c>
      <c r="C7351" t="s">
        <v>9699</v>
      </c>
      <c r="D7351" t="s">
        <v>13046</v>
      </c>
      <c r="E7351" t="s">
        <v>19558</v>
      </c>
      <c r="F7351" t="s">
        <v>22436</v>
      </c>
      <c r="G7351" t="s">
        <v>22446</v>
      </c>
      <c r="H7351" t="s">
        <v>22452</v>
      </c>
      <c r="I7351" t="s">
        <v>22460</v>
      </c>
      <c r="J7351" t="s">
        <v>27334</v>
      </c>
      <c r="K7351" t="s">
        <v>29338</v>
      </c>
      <c r="M7351" t="s">
        <v>30570</v>
      </c>
      <c r="N7351" t="s">
        <v>32524</v>
      </c>
      <c r="O7351" t="s">
        <v>32525</v>
      </c>
      <c r="P7351">
        <v>0</v>
      </c>
      <c r="Q7351">
        <v>0</v>
      </c>
      <c r="R7351" t="s">
        <v>32533</v>
      </c>
      <c r="S7351" t="s">
        <v>32667</v>
      </c>
      <c r="T7351" t="s">
        <v>33296</v>
      </c>
      <c r="U7351" t="s">
        <v>39772</v>
      </c>
      <c r="W7351" t="s">
        <v>43701</v>
      </c>
      <c r="X7351" t="s">
        <v>32534</v>
      </c>
    </row>
    <row r="7352" spans="1:24">
      <c r="A7352">
        <f>HYPERLINK("https://www.philgeps.gov.ph/GEPSNONPILOT/Tender/SplashBidNoticeAbstractUI.aspx?menuIndex=3&amp;refID=7032885&amp;Result=3","7032885")</f>
        <v>0</v>
      </c>
      <c r="B7352" t="s">
        <v>1943</v>
      </c>
      <c r="C7352" t="s">
        <v>9700</v>
      </c>
      <c r="D7352" t="s">
        <v>13039</v>
      </c>
      <c r="E7352" t="s">
        <v>19559</v>
      </c>
      <c r="F7352" t="s">
        <v>22436</v>
      </c>
      <c r="G7352" t="s">
        <v>22444</v>
      </c>
      <c r="H7352" t="s">
        <v>22452</v>
      </c>
      <c r="I7352" t="s">
        <v>3529</v>
      </c>
      <c r="J7352" t="s">
        <v>27335</v>
      </c>
      <c r="K7352" t="s">
        <v>29335</v>
      </c>
      <c r="M7352" t="s">
        <v>31672</v>
      </c>
      <c r="N7352" t="s">
        <v>32524</v>
      </c>
      <c r="O7352" t="s">
        <v>32525</v>
      </c>
      <c r="P7352">
        <v>0</v>
      </c>
      <c r="Q7352">
        <v>0</v>
      </c>
      <c r="R7352" t="s">
        <v>32533</v>
      </c>
      <c r="S7352" t="s">
        <v>32667</v>
      </c>
      <c r="T7352" t="s">
        <v>33310</v>
      </c>
      <c r="U7352" t="s">
        <v>39773</v>
      </c>
      <c r="W7352" t="s">
        <v>31672</v>
      </c>
      <c r="X7352" t="s">
        <v>32534</v>
      </c>
    </row>
    <row r="7353" spans="1:24">
      <c r="A7353">
        <f>HYPERLINK("https://www.philgeps.gov.ph/GEPSNONPILOT/Tender/SplashBidNoticeAbstractUI.aspx?menuIndex=3&amp;refID=7032810&amp;Result=3","7032810")</f>
        <v>0</v>
      </c>
      <c r="B7353" t="s">
        <v>449</v>
      </c>
      <c r="C7353" t="s">
        <v>9701</v>
      </c>
      <c r="D7353" t="s">
        <v>12999</v>
      </c>
      <c r="E7353" t="s">
        <v>19560</v>
      </c>
      <c r="F7353" t="s">
        <v>22436</v>
      </c>
      <c r="G7353" t="s">
        <v>22443</v>
      </c>
      <c r="H7353" t="s">
        <v>22452</v>
      </c>
      <c r="I7353" t="s">
        <v>22460</v>
      </c>
      <c r="J7353" t="s">
        <v>27336</v>
      </c>
      <c r="K7353" t="s">
        <v>29335</v>
      </c>
      <c r="M7353" t="s">
        <v>31950</v>
      </c>
      <c r="N7353" t="s">
        <v>32524</v>
      </c>
      <c r="O7353" t="s">
        <v>32525</v>
      </c>
      <c r="P7353">
        <v>0</v>
      </c>
      <c r="Q7353">
        <v>2</v>
      </c>
      <c r="R7353" t="s">
        <v>32533</v>
      </c>
      <c r="S7353" t="s">
        <v>32667</v>
      </c>
      <c r="T7353" t="s">
        <v>33230</v>
      </c>
      <c r="U7353" t="s">
        <v>39774</v>
      </c>
      <c r="W7353" t="s">
        <v>43747</v>
      </c>
      <c r="X7353" t="s">
        <v>32534</v>
      </c>
    </row>
    <row r="7354" spans="1:24">
      <c r="A7354">
        <f>HYPERLINK("https://www.philgeps.gov.ph/GEPSNONPILOT/Tender/SplashBidNoticeAbstractUI.aspx?menuIndex=3&amp;refID=7032918&amp;Result=3","7032918")</f>
        <v>0</v>
      </c>
      <c r="B7354" t="s">
        <v>130</v>
      </c>
      <c r="C7354" t="s">
        <v>9702</v>
      </c>
      <c r="D7354" t="s">
        <v>12988</v>
      </c>
      <c r="E7354" t="s">
        <v>19561</v>
      </c>
      <c r="F7354" t="s">
        <v>22436</v>
      </c>
      <c r="G7354" t="s">
        <v>22444</v>
      </c>
      <c r="H7354" t="s">
        <v>22452</v>
      </c>
      <c r="I7354" t="s">
        <v>22474</v>
      </c>
      <c r="J7354" t="s">
        <v>23387</v>
      </c>
      <c r="K7354" t="s">
        <v>29335</v>
      </c>
      <c r="M7354" t="s">
        <v>31951</v>
      </c>
      <c r="N7354" t="s">
        <v>32524</v>
      </c>
      <c r="O7354" t="s">
        <v>32525</v>
      </c>
      <c r="P7354">
        <v>0</v>
      </c>
      <c r="Q7354">
        <v>5</v>
      </c>
      <c r="R7354" t="s">
        <v>32533</v>
      </c>
      <c r="S7354" t="s">
        <v>32667</v>
      </c>
      <c r="T7354" t="s">
        <v>33245</v>
      </c>
      <c r="U7354" t="s">
        <v>39775</v>
      </c>
      <c r="W7354" t="s">
        <v>31951</v>
      </c>
      <c r="X7354" t="s">
        <v>32534</v>
      </c>
    </row>
    <row r="7355" spans="1:24">
      <c r="A7355">
        <f>HYPERLINK("https://www.philgeps.gov.ph/GEPSNONPILOT/Tender/SplashBidNoticeAbstractUI.aspx?menuIndex=3&amp;refID=7032834&amp;Result=3","7032834")</f>
        <v>0</v>
      </c>
      <c r="B7355" t="s">
        <v>1462</v>
      </c>
      <c r="C7355" t="s">
        <v>9703</v>
      </c>
      <c r="D7355" t="s">
        <v>13041</v>
      </c>
      <c r="E7355" t="s">
        <v>19562</v>
      </c>
      <c r="F7355" t="s">
        <v>22436</v>
      </c>
      <c r="G7355" t="s">
        <v>22444</v>
      </c>
      <c r="H7355" t="s">
        <v>22452</v>
      </c>
      <c r="I7355" t="s">
        <v>22471</v>
      </c>
      <c r="J7355" t="s">
        <v>27337</v>
      </c>
      <c r="K7355" t="s">
        <v>29335</v>
      </c>
      <c r="M7355" t="s">
        <v>31130</v>
      </c>
      <c r="N7355" t="s">
        <v>32524</v>
      </c>
      <c r="O7355" t="s">
        <v>32525</v>
      </c>
      <c r="Q7355">
        <v>2</v>
      </c>
      <c r="R7355" t="s">
        <v>32533</v>
      </c>
      <c r="S7355" t="s">
        <v>32682</v>
      </c>
      <c r="T7355" t="s">
        <v>33406</v>
      </c>
      <c r="U7355" t="s">
        <v>39776</v>
      </c>
      <c r="W7355" t="s">
        <v>31130</v>
      </c>
      <c r="X7355" t="s">
        <v>32534</v>
      </c>
    </row>
    <row r="7356" spans="1:24">
      <c r="A7356">
        <f>HYPERLINK("https://www.philgeps.gov.ph/GEPSNONPILOT/Tender/SplashBidNoticeAbstractUI.aspx?menuIndex=3&amp;refID=7032906&amp;Result=3","7032906")</f>
        <v>0</v>
      </c>
      <c r="B7356" t="s">
        <v>706</v>
      </c>
      <c r="C7356" t="s">
        <v>9704</v>
      </c>
      <c r="D7356" t="s">
        <v>12993</v>
      </c>
      <c r="E7356" t="s">
        <v>19563</v>
      </c>
      <c r="F7356" t="s">
        <v>22436</v>
      </c>
      <c r="G7356" t="s">
        <v>22444</v>
      </c>
      <c r="H7356" t="s">
        <v>22452</v>
      </c>
      <c r="I7356" t="s">
        <v>6421</v>
      </c>
      <c r="J7356" t="s">
        <v>22809</v>
      </c>
      <c r="K7356" t="s">
        <v>29331</v>
      </c>
      <c r="M7356" t="s">
        <v>30303</v>
      </c>
      <c r="N7356" t="s">
        <v>32524</v>
      </c>
      <c r="O7356" t="s">
        <v>32525</v>
      </c>
      <c r="P7356">
        <v>0</v>
      </c>
      <c r="Q7356">
        <v>1</v>
      </c>
      <c r="R7356" t="s">
        <v>32533</v>
      </c>
      <c r="S7356" t="s">
        <v>32667</v>
      </c>
      <c r="T7356" t="s">
        <v>33167</v>
      </c>
      <c r="U7356" t="s">
        <v>39777</v>
      </c>
      <c r="W7356" t="s">
        <v>30303</v>
      </c>
      <c r="X7356" t="s">
        <v>32534</v>
      </c>
    </row>
    <row r="7357" spans="1:24">
      <c r="A7357">
        <f>HYPERLINK("https://www.philgeps.gov.ph/GEPSNONPILOT/Tender/SplashBidNoticeAbstractUI.aspx?menuIndex=3&amp;refID=7032936&amp;Result=3","7032936")</f>
        <v>0</v>
      </c>
      <c r="B7357" t="s">
        <v>2188</v>
      </c>
      <c r="C7357" t="s">
        <v>9705</v>
      </c>
      <c r="D7357" t="s">
        <v>13057</v>
      </c>
      <c r="E7357" t="s">
        <v>18981</v>
      </c>
      <c r="F7357" t="s">
        <v>22436</v>
      </c>
      <c r="G7357" t="s">
        <v>22444</v>
      </c>
      <c r="H7357" t="s">
        <v>22454</v>
      </c>
      <c r="I7357" t="s">
        <v>7738</v>
      </c>
      <c r="J7357" t="s">
        <v>22960</v>
      </c>
      <c r="K7357" t="s">
        <v>29347</v>
      </c>
      <c r="M7357" t="s">
        <v>31952</v>
      </c>
      <c r="N7357" t="s">
        <v>32524</v>
      </c>
      <c r="O7357" t="s">
        <v>32525</v>
      </c>
      <c r="P7357">
        <v>0</v>
      </c>
      <c r="Q7357">
        <v>1</v>
      </c>
      <c r="R7357" t="s">
        <v>32533</v>
      </c>
      <c r="S7357" t="s">
        <v>32667</v>
      </c>
      <c r="T7357" t="s">
        <v>33218</v>
      </c>
      <c r="U7357" t="s">
        <v>39778</v>
      </c>
      <c r="W7357" t="s">
        <v>31952</v>
      </c>
      <c r="X7357" t="s">
        <v>32534</v>
      </c>
    </row>
    <row r="7358" spans="1:24">
      <c r="A7358">
        <f>HYPERLINK("https://www.philgeps.gov.ph/GEPSNONPILOT/Tender/SplashBidNoticeAbstractUI.aspx?menuIndex=3&amp;refID=7032946&amp;Result=3","7032946")</f>
        <v>0</v>
      </c>
      <c r="B7358" t="s">
        <v>706</v>
      </c>
      <c r="C7358" t="s">
        <v>9706</v>
      </c>
      <c r="D7358" t="s">
        <v>12993</v>
      </c>
      <c r="E7358" t="s">
        <v>19564</v>
      </c>
      <c r="F7358" t="s">
        <v>22436</v>
      </c>
      <c r="G7358" t="s">
        <v>22444</v>
      </c>
      <c r="H7358" t="s">
        <v>22452</v>
      </c>
      <c r="I7358" t="s">
        <v>3529</v>
      </c>
      <c r="J7358" t="s">
        <v>27338</v>
      </c>
      <c r="K7358" t="s">
        <v>29331</v>
      </c>
      <c r="M7358" t="s">
        <v>30303</v>
      </c>
      <c r="N7358" t="s">
        <v>32524</v>
      </c>
      <c r="O7358" t="s">
        <v>32525</v>
      </c>
      <c r="P7358">
        <v>0</v>
      </c>
      <c r="Q7358">
        <v>1</v>
      </c>
      <c r="R7358" t="s">
        <v>32533</v>
      </c>
      <c r="S7358" t="s">
        <v>32667</v>
      </c>
      <c r="T7358" t="s">
        <v>33167</v>
      </c>
      <c r="U7358" t="s">
        <v>39779</v>
      </c>
      <c r="W7358" t="s">
        <v>30303</v>
      </c>
      <c r="X7358" t="s">
        <v>32534</v>
      </c>
    </row>
    <row r="7359" spans="1:24">
      <c r="A7359">
        <f>HYPERLINK("https://www.philgeps.gov.ph/GEPSNONPILOT/Tender/SplashBidNoticeAbstractUI.aspx?menuIndex=3&amp;refID=7032928&amp;Result=3","7032928")</f>
        <v>0</v>
      </c>
      <c r="B7359" t="s">
        <v>286</v>
      </c>
      <c r="C7359" t="s">
        <v>9707</v>
      </c>
      <c r="D7359" t="s">
        <v>12988</v>
      </c>
      <c r="E7359" t="s">
        <v>19565</v>
      </c>
      <c r="F7359" t="s">
        <v>22436</v>
      </c>
      <c r="G7359" t="s">
        <v>22444</v>
      </c>
      <c r="H7359" t="s">
        <v>22452</v>
      </c>
      <c r="I7359" t="s">
        <v>7110</v>
      </c>
      <c r="J7359" t="s">
        <v>27339</v>
      </c>
      <c r="K7359" t="s">
        <v>29335</v>
      </c>
      <c r="M7359" t="s">
        <v>29860</v>
      </c>
      <c r="N7359" t="s">
        <v>32524</v>
      </c>
      <c r="O7359" t="s">
        <v>32525</v>
      </c>
      <c r="P7359">
        <v>0</v>
      </c>
      <c r="Q7359">
        <v>9</v>
      </c>
      <c r="R7359" t="s">
        <v>32533</v>
      </c>
      <c r="S7359" t="s">
        <v>32667</v>
      </c>
      <c r="T7359" t="s">
        <v>33259</v>
      </c>
      <c r="U7359" t="s">
        <v>39780</v>
      </c>
      <c r="V7359" t="s">
        <v>43228</v>
      </c>
      <c r="W7359" t="s">
        <v>29860</v>
      </c>
      <c r="X7359" t="s">
        <v>32534</v>
      </c>
    </row>
    <row r="7360" spans="1:24">
      <c r="A7360">
        <f>HYPERLINK("https://www.philgeps.gov.ph/GEPSNONPILOT/Tender/SplashBidNoticeAbstractUI.aspx?menuIndex=3&amp;refID=7032910&amp;Result=3","7032910")</f>
        <v>0</v>
      </c>
      <c r="B7360" t="s">
        <v>2189</v>
      </c>
      <c r="C7360" t="s">
        <v>9708</v>
      </c>
      <c r="D7360" t="s">
        <v>12988</v>
      </c>
      <c r="E7360" t="s">
        <v>16231</v>
      </c>
      <c r="F7360" t="s">
        <v>22436</v>
      </c>
      <c r="G7360" t="s">
        <v>22444</v>
      </c>
      <c r="H7360" t="s">
        <v>22452</v>
      </c>
      <c r="I7360" t="s">
        <v>22463</v>
      </c>
      <c r="J7360" t="s">
        <v>22802</v>
      </c>
      <c r="K7360" t="s">
        <v>29335</v>
      </c>
      <c r="M7360" t="s">
        <v>31953</v>
      </c>
      <c r="N7360" t="s">
        <v>32524</v>
      </c>
      <c r="O7360" t="s">
        <v>32525</v>
      </c>
      <c r="P7360">
        <v>0</v>
      </c>
      <c r="Q7360">
        <v>4</v>
      </c>
      <c r="R7360" t="s">
        <v>32533</v>
      </c>
      <c r="S7360" t="s">
        <v>32667</v>
      </c>
      <c r="T7360" t="s">
        <v>33220</v>
      </c>
      <c r="U7360" t="s">
        <v>39781</v>
      </c>
      <c r="W7360" t="s">
        <v>31953</v>
      </c>
      <c r="X7360" t="s">
        <v>32534</v>
      </c>
    </row>
    <row r="7361" spans="1:24">
      <c r="A7361">
        <f>HYPERLINK("https://www.philgeps.gov.ph/GEPSNONPILOT/Tender/SplashBidNoticeAbstractUI.aspx?menuIndex=3&amp;refID=7032819&amp;Result=3","7032819")</f>
        <v>0</v>
      </c>
      <c r="B7361" t="s">
        <v>954</v>
      </c>
      <c r="C7361" t="s">
        <v>9709</v>
      </c>
      <c r="D7361" t="s">
        <v>13046</v>
      </c>
      <c r="E7361" t="s">
        <v>19566</v>
      </c>
      <c r="F7361" t="s">
        <v>22436</v>
      </c>
      <c r="G7361" t="s">
        <v>22446</v>
      </c>
      <c r="H7361" t="s">
        <v>22452</v>
      </c>
      <c r="I7361" t="s">
        <v>3529</v>
      </c>
      <c r="J7361" t="s">
        <v>27340</v>
      </c>
      <c r="K7361" t="s">
        <v>29338</v>
      </c>
      <c r="M7361" t="s">
        <v>30570</v>
      </c>
      <c r="N7361" t="s">
        <v>32524</v>
      </c>
      <c r="O7361" t="s">
        <v>32525</v>
      </c>
      <c r="P7361">
        <v>0</v>
      </c>
      <c r="Q7361">
        <v>0</v>
      </c>
      <c r="R7361" t="s">
        <v>32533</v>
      </c>
      <c r="S7361" t="s">
        <v>32667</v>
      </c>
      <c r="T7361" t="s">
        <v>33296</v>
      </c>
      <c r="U7361" t="s">
        <v>39782</v>
      </c>
      <c r="W7361" t="s">
        <v>43701</v>
      </c>
      <c r="X7361" t="s">
        <v>32534</v>
      </c>
    </row>
    <row r="7362" spans="1:24">
      <c r="A7362">
        <f>HYPERLINK("https://www.philgeps.gov.ph/GEPSNONPILOT/Tender/SplashBidNoticeAbstractUI.aspx?menuIndex=3&amp;refID=7032942&amp;Result=3","7032942")</f>
        <v>0</v>
      </c>
      <c r="B7362" t="s">
        <v>2190</v>
      </c>
      <c r="C7362" t="s">
        <v>9710</v>
      </c>
      <c r="D7362" t="s">
        <v>13044</v>
      </c>
      <c r="E7362" t="s">
        <v>19567</v>
      </c>
      <c r="F7362" t="s">
        <v>22436</v>
      </c>
      <c r="G7362" t="s">
        <v>22444</v>
      </c>
      <c r="H7362" t="s">
        <v>22454</v>
      </c>
      <c r="I7362" t="s">
        <v>7738</v>
      </c>
      <c r="J7362" t="s">
        <v>27341</v>
      </c>
      <c r="K7362" t="s">
        <v>29333</v>
      </c>
      <c r="M7362" t="s">
        <v>31954</v>
      </c>
      <c r="N7362" t="s">
        <v>32524</v>
      </c>
      <c r="O7362" t="s">
        <v>32525</v>
      </c>
      <c r="P7362">
        <v>0</v>
      </c>
      <c r="Q7362">
        <v>0</v>
      </c>
      <c r="R7362" t="s">
        <v>32533</v>
      </c>
      <c r="S7362" t="s">
        <v>32667</v>
      </c>
      <c r="T7362" t="s">
        <v>33238</v>
      </c>
      <c r="U7362" t="s">
        <v>39783</v>
      </c>
      <c r="W7362" t="s">
        <v>31954</v>
      </c>
      <c r="X7362" t="s">
        <v>32534</v>
      </c>
    </row>
    <row r="7363" spans="1:24">
      <c r="A7363">
        <f>HYPERLINK("https://www.philgeps.gov.ph/GEPSNONPILOT/Tender/SplashBidNoticeAbstractUI.aspx?menuIndex=3&amp;refID=7032935&amp;Result=3","7032935")</f>
        <v>0</v>
      </c>
      <c r="B7363" t="s">
        <v>432</v>
      </c>
      <c r="C7363" t="s">
        <v>9711</v>
      </c>
      <c r="D7363" t="s">
        <v>13028</v>
      </c>
      <c r="E7363" t="s">
        <v>19568</v>
      </c>
      <c r="F7363" t="s">
        <v>22436</v>
      </c>
      <c r="G7363" t="s">
        <v>22444</v>
      </c>
      <c r="H7363" t="s">
        <v>22454</v>
      </c>
      <c r="I7363" t="s">
        <v>7738</v>
      </c>
      <c r="J7363" t="s">
        <v>27342</v>
      </c>
      <c r="K7363" t="s">
        <v>29509</v>
      </c>
      <c r="M7363" t="s">
        <v>30013</v>
      </c>
      <c r="N7363" t="s">
        <v>32524</v>
      </c>
      <c r="O7363" t="s">
        <v>32525</v>
      </c>
      <c r="P7363">
        <v>0</v>
      </c>
      <c r="Q7363">
        <v>5</v>
      </c>
      <c r="R7363" t="s">
        <v>32533</v>
      </c>
      <c r="S7363" t="s">
        <v>32667</v>
      </c>
      <c r="T7363" t="s">
        <v>33249</v>
      </c>
      <c r="U7363" t="s">
        <v>34672</v>
      </c>
      <c r="V7363" t="s">
        <v>43229</v>
      </c>
      <c r="W7363" t="s">
        <v>30013</v>
      </c>
      <c r="X7363" t="s">
        <v>32534</v>
      </c>
    </row>
    <row r="7364" spans="1:24">
      <c r="A7364">
        <f>HYPERLINK("https://www.philgeps.gov.ph/GEPSNONPILOT/Tender/SplashBidNoticeAbstractUI.aspx?menuIndex=3&amp;refID=7032827&amp;Result=3","7032827")</f>
        <v>0</v>
      </c>
      <c r="B7364" t="s">
        <v>2191</v>
      </c>
      <c r="C7364" t="s">
        <v>9712</v>
      </c>
      <c r="D7364" t="s">
        <v>13054</v>
      </c>
      <c r="E7364" t="s">
        <v>19569</v>
      </c>
      <c r="F7364" t="s">
        <v>22436</v>
      </c>
      <c r="G7364" t="s">
        <v>22444</v>
      </c>
      <c r="H7364" t="s">
        <v>22454</v>
      </c>
      <c r="I7364" t="s">
        <v>22471</v>
      </c>
      <c r="J7364" t="s">
        <v>27343</v>
      </c>
      <c r="K7364" t="s">
        <v>29335</v>
      </c>
      <c r="M7364" t="s">
        <v>31955</v>
      </c>
      <c r="N7364" t="s">
        <v>32524</v>
      </c>
      <c r="O7364" t="s">
        <v>32525</v>
      </c>
      <c r="P7364">
        <v>0</v>
      </c>
      <c r="Q7364">
        <v>1</v>
      </c>
      <c r="R7364" t="s">
        <v>32533</v>
      </c>
      <c r="S7364" t="s">
        <v>32667</v>
      </c>
      <c r="T7364" t="s">
        <v>33552</v>
      </c>
      <c r="U7364" t="s">
        <v>39784</v>
      </c>
      <c r="W7364" t="s">
        <v>31955</v>
      </c>
      <c r="X7364" t="s">
        <v>32534</v>
      </c>
    </row>
    <row r="7365" spans="1:24">
      <c r="A7365">
        <f>HYPERLINK("https://www.philgeps.gov.ph/GEPSNONPILOT/Tender/SplashBidNoticeAbstractUI.aspx?menuIndex=3&amp;refID=7032873&amp;Result=3","7032873")</f>
        <v>0</v>
      </c>
      <c r="B7365" t="s">
        <v>2192</v>
      </c>
      <c r="C7365" t="s">
        <v>9713</v>
      </c>
      <c r="D7365" t="s">
        <v>13008</v>
      </c>
      <c r="E7365" t="s">
        <v>14621</v>
      </c>
      <c r="F7365" t="s">
        <v>22436</v>
      </c>
      <c r="G7365" t="s">
        <v>22444</v>
      </c>
      <c r="H7365" t="s">
        <v>22452</v>
      </c>
      <c r="I7365" t="s">
        <v>3529</v>
      </c>
      <c r="J7365" t="s">
        <v>27344</v>
      </c>
      <c r="K7365" t="s">
        <v>29331</v>
      </c>
      <c r="M7365" t="s">
        <v>31956</v>
      </c>
      <c r="N7365" t="s">
        <v>32524</v>
      </c>
      <c r="O7365" t="s">
        <v>32525</v>
      </c>
      <c r="P7365">
        <v>0</v>
      </c>
      <c r="Q7365">
        <v>2</v>
      </c>
      <c r="R7365" t="s">
        <v>32533</v>
      </c>
      <c r="S7365" t="s">
        <v>32667</v>
      </c>
      <c r="T7365" t="s">
        <v>33234</v>
      </c>
      <c r="U7365" t="s">
        <v>39785</v>
      </c>
      <c r="W7365" t="s">
        <v>31956</v>
      </c>
      <c r="X7365" t="s">
        <v>32534</v>
      </c>
    </row>
    <row r="7366" spans="1:24">
      <c r="A7366">
        <f>HYPERLINK("https://www.philgeps.gov.ph/GEPSNONPILOT/Tender/SplashBidNoticeAbstractUI.aspx?menuIndex=3&amp;refID=7033025&amp;Result=3","7033025")</f>
        <v>0</v>
      </c>
      <c r="B7366" t="s">
        <v>706</v>
      </c>
      <c r="C7366" t="s">
        <v>9714</v>
      </c>
      <c r="D7366" t="s">
        <v>12993</v>
      </c>
      <c r="E7366" t="s">
        <v>19570</v>
      </c>
      <c r="F7366" t="s">
        <v>22436</v>
      </c>
      <c r="G7366" t="s">
        <v>22444</v>
      </c>
      <c r="H7366" t="s">
        <v>22452</v>
      </c>
      <c r="I7366" t="s">
        <v>22474</v>
      </c>
      <c r="J7366" t="s">
        <v>22779</v>
      </c>
      <c r="K7366" t="s">
        <v>29335</v>
      </c>
      <c r="M7366" t="s">
        <v>30303</v>
      </c>
      <c r="N7366" t="s">
        <v>32524</v>
      </c>
      <c r="O7366" t="s">
        <v>32525</v>
      </c>
      <c r="P7366">
        <v>0</v>
      </c>
      <c r="Q7366">
        <v>3</v>
      </c>
      <c r="R7366" t="s">
        <v>32533</v>
      </c>
      <c r="S7366" t="s">
        <v>32667</v>
      </c>
      <c r="T7366" t="s">
        <v>33345</v>
      </c>
      <c r="U7366" t="s">
        <v>39786</v>
      </c>
      <c r="W7366" t="s">
        <v>30303</v>
      </c>
      <c r="X7366" t="s">
        <v>32534</v>
      </c>
    </row>
    <row r="7367" spans="1:24">
      <c r="A7367">
        <f>HYPERLINK("https://www.philgeps.gov.ph/GEPSNONPILOT/Tender/SplashBidNoticeAbstractUI.aspx?menuIndex=3&amp;refID=7033049&amp;Result=3","7033049")</f>
        <v>0</v>
      </c>
      <c r="B7367" t="s">
        <v>199</v>
      </c>
      <c r="C7367" t="s">
        <v>3197</v>
      </c>
      <c r="D7367" t="s">
        <v>13009</v>
      </c>
      <c r="E7367" t="s">
        <v>19571</v>
      </c>
      <c r="F7367" t="s">
        <v>22436</v>
      </c>
      <c r="G7367" t="s">
        <v>22444</v>
      </c>
      <c r="H7367" t="s">
        <v>22452</v>
      </c>
      <c r="I7367" t="s">
        <v>22474</v>
      </c>
      <c r="J7367" t="s">
        <v>25556</v>
      </c>
      <c r="K7367" t="s">
        <v>29338</v>
      </c>
      <c r="M7367" t="s">
        <v>29772</v>
      </c>
      <c r="N7367" t="s">
        <v>32524</v>
      </c>
      <c r="O7367" t="s">
        <v>32525</v>
      </c>
      <c r="P7367">
        <v>0</v>
      </c>
      <c r="Q7367">
        <v>4</v>
      </c>
      <c r="R7367" t="s">
        <v>32533</v>
      </c>
      <c r="S7367" t="s">
        <v>32667</v>
      </c>
      <c r="T7367" t="s">
        <v>33188</v>
      </c>
      <c r="U7367" t="s">
        <v>39787</v>
      </c>
      <c r="V7367" t="s">
        <v>43230</v>
      </c>
      <c r="W7367" t="s">
        <v>29772</v>
      </c>
      <c r="X7367" t="s">
        <v>32534</v>
      </c>
    </row>
    <row r="7368" spans="1:24">
      <c r="A7368">
        <f>HYPERLINK("https://www.philgeps.gov.ph/GEPSNONPILOT/Tender/SplashBidNoticeAbstractUI.aspx?menuIndex=3&amp;refID=7032978&amp;Result=3","7032978")</f>
        <v>0</v>
      </c>
      <c r="B7368" t="s">
        <v>2185</v>
      </c>
      <c r="C7368" t="s">
        <v>9715</v>
      </c>
      <c r="D7368" t="s">
        <v>12988</v>
      </c>
      <c r="E7368" t="s">
        <v>19572</v>
      </c>
      <c r="F7368" t="s">
        <v>22436</v>
      </c>
      <c r="G7368" t="s">
        <v>22444</v>
      </c>
      <c r="H7368" t="s">
        <v>22454</v>
      </c>
      <c r="I7368" t="s">
        <v>3529</v>
      </c>
      <c r="J7368" t="s">
        <v>27345</v>
      </c>
      <c r="K7368" t="s">
        <v>29345</v>
      </c>
      <c r="M7368" t="s">
        <v>31947</v>
      </c>
      <c r="N7368" t="s">
        <v>32524</v>
      </c>
      <c r="O7368" t="s">
        <v>32525</v>
      </c>
      <c r="P7368">
        <v>0</v>
      </c>
      <c r="Q7368">
        <v>3</v>
      </c>
      <c r="R7368" t="s">
        <v>32533</v>
      </c>
      <c r="S7368" t="s">
        <v>32667</v>
      </c>
      <c r="T7368" t="s">
        <v>33242</v>
      </c>
      <c r="U7368" t="s">
        <v>39765</v>
      </c>
      <c r="W7368" t="s">
        <v>31947</v>
      </c>
      <c r="X7368" t="s">
        <v>32534</v>
      </c>
    </row>
    <row r="7369" spans="1:24">
      <c r="A7369">
        <f>HYPERLINK("https://www.philgeps.gov.ph/GEPSNONPILOT/Tender/SplashBidNoticeAbstractUI.aspx?menuIndex=3&amp;refID=7033024&amp;Result=3","7033024")</f>
        <v>0</v>
      </c>
      <c r="B7369" t="s">
        <v>2193</v>
      </c>
      <c r="C7369" t="s">
        <v>9716</v>
      </c>
      <c r="D7369" t="s">
        <v>13019</v>
      </c>
      <c r="E7369" t="s">
        <v>14269</v>
      </c>
      <c r="F7369" t="s">
        <v>22436</v>
      </c>
      <c r="G7369" t="s">
        <v>22444</v>
      </c>
      <c r="H7369" t="s">
        <v>22454</v>
      </c>
      <c r="I7369" t="s">
        <v>7738</v>
      </c>
      <c r="J7369" t="s">
        <v>22785</v>
      </c>
      <c r="K7369" t="s">
        <v>29370</v>
      </c>
      <c r="M7369" t="s">
        <v>31957</v>
      </c>
      <c r="N7369" t="s">
        <v>32524</v>
      </c>
      <c r="O7369" t="s">
        <v>32525</v>
      </c>
      <c r="P7369">
        <v>0</v>
      </c>
      <c r="Q7369">
        <v>1</v>
      </c>
      <c r="R7369" t="s">
        <v>32533</v>
      </c>
      <c r="S7369" t="s">
        <v>32667</v>
      </c>
      <c r="T7369" t="s">
        <v>33185</v>
      </c>
      <c r="U7369" t="s">
        <v>39788</v>
      </c>
      <c r="W7369" t="s">
        <v>31957</v>
      </c>
      <c r="X7369" t="s">
        <v>32534</v>
      </c>
    </row>
    <row r="7370" spans="1:24">
      <c r="A7370">
        <f>HYPERLINK("https://www.philgeps.gov.ph/GEPSNONPILOT/Tender/SplashBidNoticeAbstractUI.aspx?menuIndex=3&amp;refID=7032948&amp;Result=3","7032948")</f>
        <v>0</v>
      </c>
      <c r="B7370" t="s">
        <v>2112</v>
      </c>
      <c r="C7370" t="s">
        <v>9717</v>
      </c>
      <c r="E7370" t="s">
        <v>19573</v>
      </c>
      <c r="F7370" t="s">
        <v>22436</v>
      </c>
      <c r="G7370" t="s">
        <v>22444</v>
      </c>
      <c r="H7370" t="s">
        <v>22452</v>
      </c>
      <c r="I7370" t="s">
        <v>2981</v>
      </c>
      <c r="J7370" t="s">
        <v>22806</v>
      </c>
      <c r="K7370" t="s">
        <v>29338</v>
      </c>
      <c r="M7370" t="s">
        <v>31863</v>
      </c>
      <c r="N7370" t="s">
        <v>32524</v>
      </c>
      <c r="O7370" t="s">
        <v>32525</v>
      </c>
      <c r="P7370">
        <v>0</v>
      </c>
      <c r="Q7370">
        <v>0</v>
      </c>
      <c r="R7370" t="s">
        <v>32533</v>
      </c>
      <c r="S7370" t="s">
        <v>32667</v>
      </c>
      <c r="T7370" t="s">
        <v>33182</v>
      </c>
      <c r="U7370" t="s">
        <v>39789</v>
      </c>
      <c r="W7370" t="s">
        <v>31863</v>
      </c>
      <c r="X7370" t="s">
        <v>32534</v>
      </c>
    </row>
    <row r="7371" spans="1:24">
      <c r="A7371">
        <f>HYPERLINK("https://www.philgeps.gov.ph/GEPSNONPILOT/Tender/SplashBidNoticeAbstractUI.aspx?menuIndex=3&amp;refID=7032997&amp;Result=3","7032997")</f>
        <v>0</v>
      </c>
      <c r="B7371" t="s">
        <v>706</v>
      </c>
      <c r="C7371" t="s">
        <v>9718</v>
      </c>
      <c r="D7371" t="s">
        <v>12993</v>
      </c>
      <c r="E7371" t="s">
        <v>19574</v>
      </c>
      <c r="F7371" t="s">
        <v>22436</v>
      </c>
      <c r="G7371" t="s">
        <v>22444</v>
      </c>
      <c r="H7371" t="s">
        <v>22452</v>
      </c>
      <c r="I7371" t="s">
        <v>3529</v>
      </c>
      <c r="J7371" t="s">
        <v>27346</v>
      </c>
      <c r="K7371" t="s">
        <v>29331</v>
      </c>
      <c r="M7371" t="s">
        <v>30303</v>
      </c>
      <c r="N7371" t="s">
        <v>32524</v>
      </c>
      <c r="O7371" t="s">
        <v>32525</v>
      </c>
      <c r="P7371">
        <v>0</v>
      </c>
      <c r="Q7371">
        <v>0</v>
      </c>
      <c r="R7371" t="s">
        <v>32533</v>
      </c>
      <c r="S7371" t="s">
        <v>32667</v>
      </c>
      <c r="T7371" t="s">
        <v>33167</v>
      </c>
      <c r="U7371" t="s">
        <v>39790</v>
      </c>
      <c r="W7371" t="s">
        <v>30303</v>
      </c>
      <c r="X7371" t="s">
        <v>32534</v>
      </c>
    </row>
    <row r="7372" spans="1:24">
      <c r="A7372">
        <f>HYPERLINK("https://www.philgeps.gov.ph/GEPSNONPILOT/Tender/SplashBidNoticeAbstractUI.aspx?menuIndex=3&amp;refID=7033013&amp;Result=3","7033013")</f>
        <v>0</v>
      </c>
      <c r="B7372" t="s">
        <v>317</v>
      </c>
      <c r="C7372" t="s">
        <v>9719</v>
      </c>
      <c r="D7372" t="s">
        <v>13031</v>
      </c>
      <c r="E7372" t="s">
        <v>19575</v>
      </c>
      <c r="F7372" t="s">
        <v>22436</v>
      </c>
      <c r="G7372" t="s">
        <v>22444</v>
      </c>
      <c r="H7372" t="s">
        <v>22452</v>
      </c>
      <c r="I7372" t="s">
        <v>6387</v>
      </c>
      <c r="J7372" t="s">
        <v>27347</v>
      </c>
      <c r="K7372" t="s">
        <v>29334</v>
      </c>
      <c r="M7372" t="s">
        <v>29893</v>
      </c>
      <c r="N7372" t="s">
        <v>32524</v>
      </c>
      <c r="O7372" t="s">
        <v>32525</v>
      </c>
      <c r="P7372">
        <v>0</v>
      </c>
      <c r="Q7372">
        <v>6</v>
      </c>
      <c r="R7372" t="s">
        <v>32533</v>
      </c>
      <c r="S7372" t="s">
        <v>32667</v>
      </c>
      <c r="T7372" t="s">
        <v>33212</v>
      </c>
      <c r="U7372" t="s">
        <v>39791</v>
      </c>
      <c r="W7372" t="s">
        <v>43677</v>
      </c>
      <c r="X7372" t="s">
        <v>32534</v>
      </c>
    </row>
    <row r="7373" spans="1:24">
      <c r="A7373">
        <f>HYPERLINK("https://www.philgeps.gov.ph/GEPSNONPILOT/Tender/SplashBidNoticeAbstractUI.aspx?menuIndex=3&amp;refID=7033062&amp;Result=3","7033062")</f>
        <v>0</v>
      </c>
      <c r="B7373" t="s">
        <v>706</v>
      </c>
      <c r="C7373" t="s">
        <v>9720</v>
      </c>
      <c r="D7373" t="s">
        <v>12993</v>
      </c>
      <c r="E7373" t="s">
        <v>19576</v>
      </c>
      <c r="F7373" t="s">
        <v>22436</v>
      </c>
      <c r="G7373" t="s">
        <v>22444</v>
      </c>
      <c r="H7373" t="s">
        <v>22452</v>
      </c>
      <c r="I7373" t="s">
        <v>3529</v>
      </c>
      <c r="J7373" t="s">
        <v>27348</v>
      </c>
      <c r="K7373" t="s">
        <v>29331</v>
      </c>
      <c r="M7373" t="s">
        <v>30303</v>
      </c>
      <c r="N7373" t="s">
        <v>32524</v>
      </c>
      <c r="O7373" t="s">
        <v>32525</v>
      </c>
      <c r="P7373">
        <v>0</v>
      </c>
      <c r="Q7373">
        <v>2</v>
      </c>
      <c r="R7373" t="s">
        <v>32533</v>
      </c>
      <c r="S7373" t="s">
        <v>32667</v>
      </c>
      <c r="T7373" t="s">
        <v>33345</v>
      </c>
      <c r="U7373" t="s">
        <v>39792</v>
      </c>
      <c r="W7373" t="s">
        <v>30303</v>
      </c>
      <c r="X7373" t="s">
        <v>32534</v>
      </c>
    </row>
    <row r="7374" spans="1:24">
      <c r="A7374">
        <f>HYPERLINK("https://www.philgeps.gov.ph/GEPSNONPILOT/Tender/SplashBidNoticeAbstractUI.aspx?menuIndex=3&amp;refID=7032979&amp;Result=3","7032979")</f>
        <v>0</v>
      </c>
      <c r="B7374" t="s">
        <v>2194</v>
      </c>
      <c r="C7374" t="s">
        <v>9721</v>
      </c>
      <c r="D7374" t="s">
        <v>13045</v>
      </c>
      <c r="E7374" t="s">
        <v>17763</v>
      </c>
      <c r="F7374" t="s">
        <v>22436</v>
      </c>
      <c r="G7374" t="s">
        <v>22444</v>
      </c>
      <c r="H7374" t="s">
        <v>22452</v>
      </c>
      <c r="I7374" t="s">
        <v>12358</v>
      </c>
      <c r="J7374" t="s">
        <v>27349</v>
      </c>
      <c r="K7374" t="s">
        <v>29335</v>
      </c>
      <c r="M7374" t="s">
        <v>31958</v>
      </c>
      <c r="N7374" t="s">
        <v>32524</v>
      </c>
      <c r="O7374" t="s">
        <v>32525</v>
      </c>
      <c r="P7374">
        <v>0</v>
      </c>
      <c r="Q7374">
        <v>1</v>
      </c>
      <c r="R7374" t="s">
        <v>32533</v>
      </c>
      <c r="S7374" t="s">
        <v>32667</v>
      </c>
      <c r="T7374" t="s">
        <v>33371</v>
      </c>
      <c r="U7374" t="s">
        <v>39793</v>
      </c>
      <c r="W7374" t="s">
        <v>31958</v>
      </c>
      <c r="X7374" t="s">
        <v>32534</v>
      </c>
    </row>
    <row r="7375" spans="1:24">
      <c r="A7375">
        <f>HYPERLINK("https://www.philgeps.gov.ph/GEPSNONPILOT/Tender/SplashBidNoticeAbstractUI.aspx?menuIndex=3&amp;refID=7032923&amp;Result=3","7032923")</f>
        <v>0</v>
      </c>
      <c r="B7375" t="s">
        <v>706</v>
      </c>
      <c r="C7375" t="s">
        <v>9722</v>
      </c>
      <c r="D7375" t="s">
        <v>12993</v>
      </c>
      <c r="E7375" t="s">
        <v>19577</v>
      </c>
      <c r="F7375" t="s">
        <v>22436</v>
      </c>
      <c r="G7375" t="s">
        <v>22444</v>
      </c>
      <c r="H7375" t="s">
        <v>22452</v>
      </c>
      <c r="I7375" t="s">
        <v>3358</v>
      </c>
      <c r="J7375" t="s">
        <v>27350</v>
      </c>
      <c r="K7375" t="s">
        <v>29331</v>
      </c>
      <c r="M7375" t="s">
        <v>30303</v>
      </c>
      <c r="N7375" t="s">
        <v>32524</v>
      </c>
      <c r="O7375" t="s">
        <v>32525</v>
      </c>
      <c r="P7375">
        <v>0</v>
      </c>
      <c r="Q7375">
        <v>0</v>
      </c>
      <c r="R7375" t="s">
        <v>32533</v>
      </c>
      <c r="S7375" t="s">
        <v>32667</v>
      </c>
      <c r="T7375" t="s">
        <v>33167</v>
      </c>
      <c r="U7375" t="s">
        <v>39794</v>
      </c>
      <c r="W7375" t="s">
        <v>30303</v>
      </c>
      <c r="X7375" t="s">
        <v>32534</v>
      </c>
    </row>
    <row r="7376" spans="1:24">
      <c r="A7376">
        <f>HYPERLINK("https://www.philgeps.gov.ph/GEPSNONPILOT/Tender/SplashBidNoticeAbstractUI.aspx?menuIndex=3&amp;refID=7032956&amp;Result=3","7032956")</f>
        <v>0</v>
      </c>
      <c r="B7376" t="s">
        <v>2194</v>
      </c>
      <c r="C7376" t="s">
        <v>9723</v>
      </c>
      <c r="D7376" t="s">
        <v>13045</v>
      </c>
      <c r="E7376" t="s">
        <v>17716</v>
      </c>
      <c r="F7376" t="s">
        <v>22436</v>
      </c>
      <c r="G7376" t="s">
        <v>22444</v>
      </c>
      <c r="H7376" t="s">
        <v>22452</v>
      </c>
      <c r="I7376" t="s">
        <v>22467</v>
      </c>
      <c r="J7376" t="s">
        <v>27351</v>
      </c>
      <c r="K7376" t="s">
        <v>29371</v>
      </c>
      <c r="M7376" t="s">
        <v>31958</v>
      </c>
      <c r="N7376" t="s">
        <v>32524</v>
      </c>
      <c r="O7376" t="s">
        <v>32525</v>
      </c>
      <c r="P7376">
        <v>0</v>
      </c>
      <c r="Q7376">
        <v>0</v>
      </c>
      <c r="R7376" t="s">
        <v>32533</v>
      </c>
      <c r="S7376" t="s">
        <v>32667</v>
      </c>
      <c r="T7376" t="s">
        <v>33397</v>
      </c>
      <c r="U7376" t="s">
        <v>39793</v>
      </c>
      <c r="W7376" t="s">
        <v>31958</v>
      </c>
      <c r="X7376" t="s">
        <v>32534</v>
      </c>
    </row>
    <row r="7377" spans="1:24">
      <c r="A7377">
        <f>HYPERLINK("https://www.philgeps.gov.ph/GEPSNONPILOT/Tender/SplashBidNoticeAbstractUI.aspx?menuIndex=3&amp;refID=7033117&amp;Result=3","7033117")</f>
        <v>0</v>
      </c>
      <c r="B7377" t="s">
        <v>82</v>
      </c>
      <c r="C7377" t="s">
        <v>9675</v>
      </c>
      <c r="D7377" t="s">
        <v>13024</v>
      </c>
      <c r="E7377" t="s">
        <v>19578</v>
      </c>
      <c r="F7377" t="s">
        <v>22436</v>
      </c>
      <c r="G7377" t="s">
        <v>22443</v>
      </c>
      <c r="H7377" t="s">
        <v>22452</v>
      </c>
      <c r="I7377" t="s">
        <v>22463</v>
      </c>
      <c r="J7377" t="s">
        <v>27352</v>
      </c>
      <c r="K7377" t="s">
        <v>29336</v>
      </c>
      <c r="M7377" t="s">
        <v>31939</v>
      </c>
      <c r="N7377" t="s">
        <v>32524</v>
      </c>
      <c r="O7377" t="s">
        <v>32525</v>
      </c>
      <c r="P7377">
        <v>0</v>
      </c>
      <c r="Q7377">
        <v>2</v>
      </c>
      <c r="R7377" t="s">
        <v>32533</v>
      </c>
      <c r="S7377" t="s">
        <v>32667</v>
      </c>
      <c r="T7377" t="s">
        <v>33238</v>
      </c>
      <c r="U7377" t="s">
        <v>39795</v>
      </c>
      <c r="W7377" t="s">
        <v>31939</v>
      </c>
      <c r="X7377" t="s">
        <v>32534</v>
      </c>
    </row>
    <row r="7378" spans="1:24">
      <c r="A7378">
        <f>HYPERLINK("https://www.philgeps.gov.ph/GEPSNONPILOT/Tender/SplashBidNoticeAbstractUI.aspx?menuIndex=3&amp;refID=7033111&amp;Result=3","7033111")</f>
        <v>0</v>
      </c>
      <c r="B7378" t="s">
        <v>676</v>
      </c>
      <c r="C7378" t="s">
        <v>9724</v>
      </c>
      <c r="D7378" t="s">
        <v>13025</v>
      </c>
      <c r="E7378" t="s">
        <v>19579</v>
      </c>
      <c r="F7378" t="s">
        <v>22436</v>
      </c>
      <c r="G7378" t="s">
        <v>22444</v>
      </c>
      <c r="H7378" t="s">
        <v>22454</v>
      </c>
      <c r="I7378" t="s">
        <v>7738</v>
      </c>
      <c r="J7378" t="s">
        <v>27353</v>
      </c>
      <c r="K7378" t="s">
        <v>29338</v>
      </c>
      <c r="M7378" t="s">
        <v>30270</v>
      </c>
      <c r="N7378" t="s">
        <v>32524</v>
      </c>
      <c r="O7378" t="s">
        <v>32525</v>
      </c>
      <c r="P7378">
        <v>0</v>
      </c>
      <c r="Q7378">
        <v>0</v>
      </c>
      <c r="R7378" t="s">
        <v>32533</v>
      </c>
      <c r="S7378" t="s">
        <v>32667</v>
      </c>
      <c r="T7378" t="s">
        <v>33234</v>
      </c>
      <c r="U7378" t="s">
        <v>39796</v>
      </c>
      <c r="W7378" t="s">
        <v>30270</v>
      </c>
      <c r="X7378" t="s">
        <v>32534</v>
      </c>
    </row>
    <row r="7379" spans="1:24">
      <c r="A7379">
        <f>HYPERLINK("https://www.philgeps.gov.ph/GEPSNONPILOT/Tender/SplashBidNoticeAbstractUI.aspx?menuIndex=3&amp;refID=7032951&amp;Result=3","7032951")</f>
        <v>0</v>
      </c>
      <c r="B7379" t="s">
        <v>2185</v>
      </c>
      <c r="C7379" t="s">
        <v>9725</v>
      </c>
      <c r="D7379" t="s">
        <v>12988</v>
      </c>
      <c r="E7379" t="s">
        <v>19580</v>
      </c>
      <c r="F7379" t="s">
        <v>22436</v>
      </c>
      <c r="G7379" t="s">
        <v>22444</v>
      </c>
      <c r="H7379" t="s">
        <v>22454</v>
      </c>
      <c r="I7379" t="s">
        <v>3529</v>
      </c>
      <c r="J7379" t="s">
        <v>27354</v>
      </c>
      <c r="K7379" t="s">
        <v>29333</v>
      </c>
      <c r="M7379" t="s">
        <v>31947</v>
      </c>
      <c r="N7379" t="s">
        <v>32524</v>
      </c>
      <c r="O7379" t="s">
        <v>32525</v>
      </c>
      <c r="P7379">
        <v>0</v>
      </c>
      <c r="Q7379">
        <v>1</v>
      </c>
      <c r="R7379" t="s">
        <v>32533</v>
      </c>
      <c r="S7379" t="s">
        <v>32667</v>
      </c>
      <c r="T7379" t="s">
        <v>33242</v>
      </c>
      <c r="U7379" t="s">
        <v>39765</v>
      </c>
      <c r="W7379" t="s">
        <v>31947</v>
      </c>
      <c r="X7379" t="s">
        <v>32534</v>
      </c>
    </row>
    <row r="7380" spans="1:24">
      <c r="A7380">
        <f>HYPERLINK("https://www.philgeps.gov.ph/GEPSNONPILOT/Tender/SplashBidNoticeAbstractUI.aspx?menuIndex=3&amp;refID=7033053&amp;Result=3","7033053")</f>
        <v>0</v>
      </c>
      <c r="B7380" t="s">
        <v>1595</v>
      </c>
      <c r="C7380" t="s">
        <v>9726</v>
      </c>
      <c r="D7380" t="s">
        <v>12999</v>
      </c>
      <c r="E7380" t="s">
        <v>13487</v>
      </c>
      <c r="F7380" t="s">
        <v>22436</v>
      </c>
      <c r="G7380" t="s">
        <v>22444</v>
      </c>
      <c r="H7380" t="s">
        <v>22452</v>
      </c>
      <c r="I7380" t="s">
        <v>22480</v>
      </c>
      <c r="J7380" t="s">
        <v>22704</v>
      </c>
      <c r="K7380" t="s">
        <v>29335</v>
      </c>
      <c r="M7380" t="s">
        <v>31278</v>
      </c>
      <c r="N7380" t="s">
        <v>32524</v>
      </c>
      <c r="O7380" t="s">
        <v>32525</v>
      </c>
      <c r="P7380">
        <v>0</v>
      </c>
      <c r="Q7380">
        <v>0</v>
      </c>
      <c r="R7380" t="s">
        <v>32533</v>
      </c>
      <c r="S7380" t="s">
        <v>32667</v>
      </c>
      <c r="T7380" t="s">
        <v>33203</v>
      </c>
      <c r="U7380" t="s">
        <v>39797</v>
      </c>
      <c r="W7380" t="s">
        <v>31278</v>
      </c>
      <c r="X7380" t="s">
        <v>32534</v>
      </c>
    </row>
    <row r="7381" spans="1:24">
      <c r="A7381">
        <f>HYPERLINK("https://www.philgeps.gov.ph/GEPSNONPILOT/Tender/SplashBidNoticeAbstractUI.aspx?menuIndex=3&amp;refID=7032970&amp;Result=3","7032970")</f>
        <v>0</v>
      </c>
      <c r="B7381" t="s">
        <v>706</v>
      </c>
      <c r="C7381" t="s">
        <v>9727</v>
      </c>
      <c r="D7381" t="s">
        <v>12993</v>
      </c>
      <c r="E7381" t="s">
        <v>19581</v>
      </c>
      <c r="F7381" t="s">
        <v>22436</v>
      </c>
      <c r="G7381" t="s">
        <v>22444</v>
      </c>
      <c r="H7381" t="s">
        <v>22452</v>
      </c>
      <c r="I7381" t="s">
        <v>3529</v>
      </c>
      <c r="J7381" t="s">
        <v>27355</v>
      </c>
      <c r="K7381" t="s">
        <v>29331</v>
      </c>
      <c r="M7381" t="s">
        <v>30303</v>
      </c>
      <c r="N7381" t="s">
        <v>32524</v>
      </c>
      <c r="O7381" t="s">
        <v>32525</v>
      </c>
      <c r="P7381">
        <v>0</v>
      </c>
      <c r="Q7381">
        <v>1</v>
      </c>
      <c r="R7381" t="s">
        <v>32533</v>
      </c>
      <c r="S7381" t="s">
        <v>32667</v>
      </c>
      <c r="T7381" t="s">
        <v>33167</v>
      </c>
      <c r="U7381" t="s">
        <v>39798</v>
      </c>
      <c r="W7381" t="s">
        <v>30303</v>
      </c>
      <c r="X7381" t="s">
        <v>32534</v>
      </c>
    </row>
    <row r="7382" spans="1:24">
      <c r="A7382">
        <f>HYPERLINK("https://www.philgeps.gov.ph/GEPSNONPILOT/Tender/SplashBidNoticeAbstractUI.aspx?menuIndex=3&amp;refID=7033106&amp;Result=3","7033106")</f>
        <v>0</v>
      </c>
      <c r="B7382" t="s">
        <v>1914</v>
      </c>
      <c r="C7382" t="s">
        <v>9728</v>
      </c>
      <c r="D7382" t="s">
        <v>13065</v>
      </c>
      <c r="E7382" t="s">
        <v>19582</v>
      </c>
      <c r="F7382" t="s">
        <v>22436</v>
      </c>
      <c r="G7382" t="s">
        <v>22444</v>
      </c>
      <c r="H7382" t="s">
        <v>22454</v>
      </c>
      <c r="I7382" t="s">
        <v>7738</v>
      </c>
      <c r="J7382" t="s">
        <v>27356</v>
      </c>
      <c r="K7382" t="s">
        <v>29344</v>
      </c>
      <c r="M7382" t="s">
        <v>31638</v>
      </c>
      <c r="N7382" t="s">
        <v>32524</v>
      </c>
      <c r="O7382" t="s">
        <v>32525</v>
      </c>
      <c r="P7382">
        <v>0</v>
      </c>
      <c r="Q7382">
        <v>1</v>
      </c>
      <c r="R7382" t="s">
        <v>32533</v>
      </c>
      <c r="S7382" t="s">
        <v>32667</v>
      </c>
      <c r="T7382" t="s">
        <v>33259</v>
      </c>
      <c r="U7382" t="s">
        <v>39799</v>
      </c>
      <c r="V7382" t="s">
        <v>43231</v>
      </c>
      <c r="W7382" t="s">
        <v>31638</v>
      </c>
      <c r="X7382" t="s">
        <v>32534</v>
      </c>
    </row>
    <row r="7383" spans="1:24">
      <c r="A7383">
        <f>HYPERLINK("https://www.philgeps.gov.ph/GEPSNONPILOT/Tender/SplashBidNoticeAbstractUI.aspx?menuIndex=3&amp;refID=7033112&amp;Result=3","7033112")</f>
        <v>0</v>
      </c>
      <c r="B7383" t="s">
        <v>2195</v>
      </c>
      <c r="C7383" t="s">
        <v>9729</v>
      </c>
      <c r="E7383" t="s">
        <v>19583</v>
      </c>
      <c r="F7383" t="s">
        <v>22436</v>
      </c>
      <c r="G7383" t="s">
        <v>22444</v>
      </c>
      <c r="H7383" t="s">
        <v>22452</v>
      </c>
      <c r="I7383" t="s">
        <v>6387</v>
      </c>
      <c r="J7383" t="s">
        <v>22788</v>
      </c>
      <c r="K7383" t="s">
        <v>29338</v>
      </c>
      <c r="M7383" t="s">
        <v>31959</v>
      </c>
      <c r="N7383" t="s">
        <v>32524</v>
      </c>
      <c r="O7383" t="s">
        <v>32525</v>
      </c>
      <c r="P7383">
        <v>0</v>
      </c>
      <c r="Q7383">
        <v>0</v>
      </c>
      <c r="R7383" t="s">
        <v>32533</v>
      </c>
      <c r="S7383" t="s">
        <v>32667</v>
      </c>
      <c r="T7383" t="s">
        <v>33296</v>
      </c>
      <c r="U7383" t="s">
        <v>39800</v>
      </c>
      <c r="W7383" t="s">
        <v>31959</v>
      </c>
      <c r="X7383" t="s">
        <v>32534</v>
      </c>
    </row>
    <row r="7384" spans="1:24">
      <c r="A7384">
        <f>HYPERLINK("https://www.philgeps.gov.ph/GEPSNONPILOT/Tender/SplashBidNoticeAbstractUI.aspx?menuIndex=3&amp;refID=7033103&amp;Result=3","7033103")</f>
        <v>0</v>
      </c>
      <c r="B7384" t="s">
        <v>1346</v>
      </c>
      <c r="C7384" t="s">
        <v>9730</v>
      </c>
      <c r="D7384" t="s">
        <v>13059</v>
      </c>
      <c r="E7384" t="s">
        <v>19584</v>
      </c>
      <c r="F7384" t="s">
        <v>22436</v>
      </c>
      <c r="G7384" t="s">
        <v>22444</v>
      </c>
      <c r="H7384" t="s">
        <v>22452</v>
      </c>
      <c r="I7384" t="s">
        <v>22456</v>
      </c>
      <c r="J7384" t="s">
        <v>27357</v>
      </c>
      <c r="K7384" t="s">
        <v>29341</v>
      </c>
      <c r="M7384" t="s">
        <v>31001</v>
      </c>
      <c r="N7384" t="s">
        <v>32524</v>
      </c>
      <c r="O7384" t="s">
        <v>32525</v>
      </c>
      <c r="P7384">
        <v>0</v>
      </c>
      <c r="Q7384">
        <v>4</v>
      </c>
      <c r="R7384" t="s">
        <v>32533</v>
      </c>
      <c r="S7384" t="s">
        <v>32667</v>
      </c>
      <c r="T7384" t="s">
        <v>33322</v>
      </c>
      <c r="U7384" t="s">
        <v>39801</v>
      </c>
      <c r="W7384" t="s">
        <v>31001</v>
      </c>
      <c r="X7384" t="s">
        <v>32534</v>
      </c>
    </row>
    <row r="7385" spans="1:24">
      <c r="A7385">
        <f>HYPERLINK("https://www.philgeps.gov.ph/GEPSNONPILOT/Tender/SplashBidNoticeAbstractUI.aspx?menuIndex=3&amp;refID=7033113&amp;Result=3","7033113")</f>
        <v>0</v>
      </c>
      <c r="B7385" t="s">
        <v>2196</v>
      </c>
      <c r="C7385" t="s">
        <v>9731</v>
      </c>
      <c r="D7385" t="s">
        <v>13067</v>
      </c>
      <c r="E7385" t="s">
        <v>19585</v>
      </c>
      <c r="F7385" t="s">
        <v>22436</v>
      </c>
      <c r="G7385" t="s">
        <v>22444</v>
      </c>
      <c r="H7385" t="s">
        <v>22452</v>
      </c>
      <c r="I7385" t="s">
        <v>22488</v>
      </c>
      <c r="J7385" t="s">
        <v>22640</v>
      </c>
      <c r="K7385" t="s">
        <v>29335</v>
      </c>
      <c r="M7385" t="s">
        <v>31960</v>
      </c>
      <c r="N7385" t="s">
        <v>32524</v>
      </c>
      <c r="O7385" t="s">
        <v>32525</v>
      </c>
      <c r="P7385">
        <v>0</v>
      </c>
      <c r="Q7385">
        <v>0</v>
      </c>
      <c r="R7385" t="s">
        <v>32533</v>
      </c>
      <c r="S7385" t="s">
        <v>32667</v>
      </c>
      <c r="T7385" t="s">
        <v>33521</v>
      </c>
      <c r="U7385" t="s">
        <v>39802</v>
      </c>
      <c r="W7385" t="s">
        <v>31960</v>
      </c>
      <c r="X7385" t="s">
        <v>32534</v>
      </c>
    </row>
    <row r="7386" spans="1:24">
      <c r="A7386">
        <f>HYPERLINK("https://www.philgeps.gov.ph/GEPSNONPILOT/Tender/SplashBidNoticeAbstractUI.aspx?menuIndex=3&amp;refID=7033150&amp;Result=3","7033150")</f>
        <v>0</v>
      </c>
      <c r="B7386" t="s">
        <v>1494</v>
      </c>
      <c r="C7386" t="s">
        <v>9732</v>
      </c>
      <c r="E7386" t="s">
        <v>19586</v>
      </c>
      <c r="F7386" t="s">
        <v>22436</v>
      </c>
      <c r="G7386" t="s">
        <v>22443</v>
      </c>
      <c r="H7386" t="s">
        <v>22452</v>
      </c>
      <c r="I7386" t="s">
        <v>22476</v>
      </c>
      <c r="J7386" t="s">
        <v>26845</v>
      </c>
      <c r="K7386" t="s">
        <v>29338</v>
      </c>
      <c r="M7386" t="s">
        <v>31961</v>
      </c>
      <c r="N7386" t="s">
        <v>32524</v>
      </c>
      <c r="O7386" t="s">
        <v>32525</v>
      </c>
      <c r="P7386">
        <v>0</v>
      </c>
      <c r="Q7386">
        <v>7</v>
      </c>
      <c r="R7386" t="s">
        <v>32533</v>
      </c>
      <c r="S7386" t="s">
        <v>32667</v>
      </c>
      <c r="T7386" t="s">
        <v>33328</v>
      </c>
      <c r="U7386" t="s">
        <v>39803</v>
      </c>
      <c r="V7386" t="s">
        <v>42892</v>
      </c>
      <c r="W7386" t="s">
        <v>43723</v>
      </c>
      <c r="X7386" t="s">
        <v>32534</v>
      </c>
    </row>
    <row r="7387" spans="1:24">
      <c r="A7387">
        <f>HYPERLINK("https://www.philgeps.gov.ph/GEPSNONPILOT/Tender/SplashBidNoticeAbstractUI.aspx?menuIndex=3&amp;refID=7033109&amp;Result=3","7033109")</f>
        <v>0</v>
      </c>
      <c r="B7387" t="s">
        <v>199</v>
      </c>
      <c r="C7387" t="s">
        <v>3197</v>
      </c>
      <c r="D7387" t="s">
        <v>13009</v>
      </c>
      <c r="E7387" t="s">
        <v>19587</v>
      </c>
      <c r="F7387" t="s">
        <v>22436</v>
      </c>
      <c r="G7387" t="s">
        <v>22444</v>
      </c>
      <c r="H7387" t="s">
        <v>22452</v>
      </c>
      <c r="I7387" t="s">
        <v>22474</v>
      </c>
      <c r="J7387" t="s">
        <v>24712</v>
      </c>
      <c r="K7387" t="s">
        <v>29338</v>
      </c>
      <c r="M7387" t="s">
        <v>29772</v>
      </c>
      <c r="N7387" t="s">
        <v>32524</v>
      </c>
      <c r="O7387" t="s">
        <v>32525</v>
      </c>
      <c r="P7387">
        <v>0</v>
      </c>
      <c r="Q7387">
        <v>4</v>
      </c>
      <c r="R7387" t="s">
        <v>32533</v>
      </c>
      <c r="S7387" t="s">
        <v>32667</v>
      </c>
      <c r="T7387" t="s">
        <v>33188</v>
      </c>
      <c r="U7387" t="s">
        <v>39804</v>
      </c>
      <c r="V7387" t="s">
        <v>43232</v>
      </c>
      <c r="W7387" t="s">
        <v>29772</v>
      </c>
      <c r="X7387" t="s">
        <v>32534</v>
      </c>
    </row>
    <row r="7388" spans="1:24">
      <c r="A7388">
        <f>HYPERLINK("https://www.philgeps.gov.ph/GEPSNONPILOT/Tender/SplashBidNoticeAbstractUI.aspx?menuIndex=3&amp;refID=7033105&amp;Result=3","7033105")</f>
        <v>0</v>
      </c>
      <c r="B7388" t="s">
        <v>1044</v>
      </c>
      <c r="C7388" t="s">
        <v>9733</v>
      </c>
      <c r="D7388" t="s">
        <v>12991</v>
      </c>
      <c r="E7388" t="s">
        <v>19588</v>
      </c>
      <c r="F7388" t="s">
        <v>22436</v>
      </c>
      <c r="G7388" t="s">
        <v>22446</v>
      </c>
      <c r="H7388" t="s">
        <v>22452</v>
      </c>
      <c r="I7388" t="s">
        <v>3529</v>
      </c>
      <c r="J7388" t="s">
        <v>27358</v>
      </c>
      <c r="K7388" t="s">
        <v>29331</v>
      </c>
      <c r="M7388" t="s">
        <v>30676</v>
      </c>
      <c r="N7388" t="s">
        <v>32524</v>
      </c>
      <c r="O7388" t="s">
        <v>32525</v>
      </c>
      <c r="P7388">
        <v>0</v>
      </c>
      <c r="Q7388">
        <v>0</v>
      </c>
      <c r="R7388" t="s">
        <v>32533</v>
      </c>
      <c r="S7388" t="s">
        <v>32667</v>
      </c>
      <c r="T7388" t="s">
        <v>33178</v>
      </c>
      <c r="U7388" t="s">
        <v>39805</v>
      </c>
      <c r="W7388" t="s">
        <v>30676</v>
      </c>
      <c r="X7388" t="s">
        <v>32534</v>
      </c>
    </row>
    <row r="7389" spans="1:24">
      <c r="A7389">
        <f>HYPERLINK("https://www.philgeps.gov.ph/GEPSNONPILOT/Tender/SplashBidNoticeAbstractUI.aspx?menuIndex=3&amp;refID=7033092&amp;Result=3","7033092")</f>
        <v>0</v>
      </c>
      <c r="B7389" t="s">
        <v>1438</v>
      </c>
      <c r="C7389" t="s">
        <v>9734</v>
      </c>
      <c r="D7389" t="s">
        <v>13007</v>
      </c>
      <c r="E7389" t="s">
        <v>19589</v>
      </c>
      <c r="F7389" t="s">
        <v>22436</v>
      </c>
      <c r="G7389" t="s">
        <v>22444</v>
      </c>
      <c r="H7389" t="s">
        <v>22452</v>
      </c>
      <c r="I7389" t="s">
        <v>22474</v>
      </c>
      <c r="J7389" t="s">
        <v>24714</v>
      </c>
      <c r="K7389" t="s">
        <v>29335</v>
      </c>
      <c r="M7389" t="s">
        <v>31101</v>
      </c>
      <c r="N7389" t="s">
        <v>32524</v>
      </c>
      <c r="O7389" t="s">
        <v>32525</v>
      </c>
      <c r="P7389">
        <v>0</v>
      </c>
      <c r="Q7389">
        <v>1</v>
      </c>
      <c r="R7389" t="s">
        <v>32533</v>
      </c>
      <c r="S7389" t="s">
        <v>32667</v>
      </c>
      <c r="T7389" t="s">
        <v>33261</v>
      </c>
      <c r="U7389" t="s">
        <v>39806</v>
      </c>
      <c r="W7389" t="s">
        <v>31101</v>
      </c>
      <c r="X7389" t="s">
        <v>32534</v>
      </c>
    </row>
    <row r="7390" spans="1:24">
      <c r="A7390">
        <f>HYPERLINK("https://www.philgeps.gov.ph/GEPSNONPILOT/Tender/SplashBidNoticeAbstractUI.aspx?menuIndex=3&amp;refID=7033156&amp;Result=3","7033156")</f>
        <v>0</v>
      </c>
      <c r="B7390" t="s">
        <v>2197</v>
      </c>
      <c r="C7390" t="s">
        <v>9735</v>
      </c>
      <c r="D7390" t="s">
        <v>13031</v>
      </c>
      <c r="E7390" t="s">
        <v>15628</v>
      </c>
      <c r="F7390" t="s">
        <v>22436</v>
      </c>
      <c r="G7390" t="s">
        <v>22444</v>
      </c>
      <c r="H7390" t="s">
        <v>22454</v>
      </c>
      <c r="I7390" t="s">
        <v>7738</v>
      </c>
      <c r="J7390" t="s">
        <v>24216</v>
      </c>
      <c r="K7390" t="s">
        <v>29335</v>
      </c>
      <c r="M7390" t="s">
        <v>31962</v>
      </c>
      <c r="N7390" t="s">
        <v>32524</v>
      </c>
      <c r="O7390" t="s">
        <v>32525</v>
      </c>
      <c r="P7390">
        <v>0</v>
      </c>
      <c r="Q7390">
        <v>0</v>
      </c>
      <c r="R7390" t="s">
        <v>32533</v>
      </c>
      <c r="S7390" t="s">
        <v>32667</v>
      </c>
      <c r="T7390" t="s">
        <v>33235</v>
      </c>
      <c r="U7390" t="s">
        <v>39807</v>
      </c>
      <c r="W7390" t="s">
        <v>31962</v>
      </c>
      <c r="X7390" t="s">
        <v>32534</v>
      </c>
    </row>
    <row r="7391" spans="1:24">
      <c r="A7391">
        <f>HYPERLINK("https://www.philgeps.gov.ph/GEPSNONPILOT/Tender/SplashBidNoticeAbstractUI.aspx?menuIndex=3&amp;refID=7033128&amp;Result=3","7033128")</f>
        <v>0</v>
      </c>
      <c r="B7391" t="s">
        <v>1346</v>
      </c>
      <c r="C7391" t="s">
        <v>9736</v>
      </c>
      <c r="D7391" t="s">
        <v>13059</v>
      </c>
      <c r="E7391" t="s">
        <v>19590</v>
      </c>
      <c r="F7391" t="s">
        <v>22436</v>
      </c>
      <c r="G7391" t="s">
        <v>22444</v>
      </c>
      <c r="H7391" t="s">
        <v>22452</v>
      </c>
      <c r="I7391" t="s">
        <v>22456</v>
      </c>
      <c r="J7391" t="s">
        <v>27359</v>
      </c>
      <c r="K7391" t="s">
        <v>29341</v>
      </c>
      <c r="M7391" t="s">
        <v>31001</v>
      </c>
      <c r="N7391" t="s">
        <v>32524</v>
      </c>
      <c r="O7391" t="s">
        <v>32525</v>
      </c>
      <c r="P7391">
        <v>0</v>
      </c>
      <c r="Q7391">
        <v>2</v>
      </c>
      <c r="R7391" t="s">
        <v>32533</v>
      </c>
      <c r="S7391" t="s">
        <v>32667</v>
      </c>
      <c r="T7391" t="s">
        <v>33322</v>
      </c>
      <c r="U7391" t="s">
        <v>34065</v>
      </c>
      <c r="W7391" t="s">
        <v>31001</v>
      </c>
      <c r="X7391" t="s">
        <v>32534</v>
      </c>
    </row>
    <row r="7392" spans="1:24">
      <c r="A7392">
        <f>HYPERLINK("https://www.philgeps.gov.ph/GEPSNONPILOT/Tender/SplashBidNoticeAbstractUI.aspx?menuIndex=3&amp;refID=7033085&amp;Result=3","7033085")</f>
        <v>0</v>
      </c>
      <c r="B7392" t="s">
        <v>1595</v>
      </c>
      <c r="C7392" t="s">
        <v>9737</v>
      </c>
      <c r="D7392" t="s">
        <v>12999</v>
      </c>
      <c r="E7392" t="s">
        <v>13521</v>
      </c>
      <c r="F7392" t="s">
        <v>22436</v>
      </c>
      <c r="G7392" t="s">
        <v>22444</v>
      </c>
      <c r="H7392" t="s">
        <v>22452</v>
      </c>
      <c r="I7392" t="s">
        <v>22474</v>
      </c>
      <c r="J7392" t="s">
        <v>22704</v>
      </c>
      <c r="K7392" t="s">
        <v>29335</v>
      </c>
      <c r="M7392" t="s">
        <v>31278</v>
      </c>
      <c r="N7392" t="s">
        <v>32524</v>
      </c>
      <c r="O7392" t="s">
        <v>32525</v>
      </c>
      <c r="P7392">
        <v>0</v>
      </c>
      <c r="Q7392">
        <v>0</v>
      </c>
      <c r="R7392" t="s">
        <v>32533</v>
      </c>
      <c r="S7392" t="s">
        <v>32667</v>
      </c>
      <c r="T7392" t="s">
        <v>33203</v>
      </c>
      <c r="U7392" t="s">
        <v>39808</v>
      </c>
      <c r="W7392" t="s">
        <v>31278</v>
      </c>
      <c r="X7392" t="s">
        <v>32534</v>
      </c>
    </row>
    <row r="7393" spans="1:24">
      <c r="A7393">
        <f>HYPERLINK("https://www.philgeps.gov.ph/GEPSNONPILOT/Tender/SplashBidNoticeAbstractUI.aspx?menuIndex=3&amp;refID=7033170&amp;Result=3","7033170")</f>
        <v>0</v>
      </c>
      <c r="B7393" t="s">
        <v>199</v>
      </c>
      <c r="C7393" t="s">
        <v>9738</v>
      </c>
      <c r="D7393" t="s">
        <v>13009</v>
      </c>
      <c r="E7393" t="s">
        <v>19591</v>
      </c>
      <c r="F7393" t="s">
        <v>22436</v>
      </c>
      <c r="G7393" t="s">
        <v>22444</v>
      </c>
      <c r="H7393" t="s">
        <v>22452</v>
      </c>
      <c r="I7393" t="s">
        <v>22479</v>
      </c>
      <c r="J7393" t="s">
        <v>22779</v>
      </c>
      <c r="K7393" t="s">
        <v>29338</v>
      </c>
      <c r="M7393" t="s">
        <v>29772</v>
      </c>
      <c r="N7393" t="s">
        <v>32524</v>
      </c>
      <c r="O7393" t="s">
        <v>32525</v>
      </c>
      <c r="P7393">
        <v>0</v>
      </c>
      <c r="Q7393">
        <v>2</v>
      </c>
      <c r="R7393" t="s">
        <v>32533</v>
      </c>
      <c r="S7393" t="s">
        <v>32667</v>
      </c>
      <c r="T7393" t="s">
        <v>33188</v>
      </c>
      <c r="U7393" t="s">
        <v>39809</v>
      </c>
      <c r="V7393" t="s">
        <v>43233</v>
      </c>
      <c r="W7393" t="s">
        <v>29772</v>
      </c>
      <c r="X7393" t="s">
        <v>32534</v>
      </c>
    </row>
    <row r="7394" spans="1:24">
      <c r="A7394">
        <f>HYPERLINK("https://www.philgeps.gov.ph/GEPSNONPILOT/Tender/SplashBidNoticeAbstractUI.aspx?menuIndex=3&amp;refID=7033081&amp;Result=3","7033081")</f>
        <v>0</v>
      </c>
      <c r="B7394" t="s">
        <v>742</v>
      </c>
      <c r="C7394" t="s">
        <v>9739</v>
      </c>
      <c r="D7394" t="s">
        <v>13000</v>
      </c>
      <c r="E7394" t="s">
        <v>19592</v>
      </c>
      <c r="F7394" t="s">
        <v>22436</v>
      </c>
      <c r="G7394" t="s">
        <v>22444</v>
      </c>
      <c r="H7394" t="s">
        <v>22452</v>
      </c>
      <c r="I7394" t="s">
        <v>22476</v>
      </c>
      <c r="J7394" t="s">
        <v>23093</v>
      </c>
      <c r="K7394" t="s">
        <v>29336</v>
      </c>
      <c r="M7394" t="s">
        <v>31963</v>
      </c>
      <c r="N7394" t="s">
        <v>32524</v>
      </c>
      <c r="O7394" t="s">
        <v>32525</v>
      </c>
      <c r="P7394">
        <v>0</v>
      </c>
      <c r="Q7394">
        <v>4</v>
      </c>
      <c r="R7394" t="s">
        <v>32533</v>
      </c>
      <c r="S7394" t="s">
        <v>32667</v>
      </c>
      <c r="T7394" t="s">
        <v>33296</v>
      </c>
      <c r="U7394" t="s">
        <v>39810</v>
      </c>
      <c r="W7394" t="s">
        <v>31963</v>
      </c>
      <c r="X7394" t="s">
        <v>32534</v>
      </c>
    </row>
    <row r="7395" spans="1:24">
      <c r="A7395">
        <f>HYPERLINK("https://www.philgeps.gov.ph/GEPSNONPILOT/Tender/SplashBidNoticeAbstractUI.aspx?menuIndex=3&amp;refID=7033133&amp;Result=3","7033133")</f>
        <v>0</v>
      </c>
      <c r="B7395" t="s">
        <v>2198</v>
      </c>
      <c r="C7395" t="s">
        <v>9740</v>
      </c>
      <c r="D7395" t="s">
        <v>12992</v>
      </c>
      <c r="E7395" t="s">
        <v>19593</v>
      </c>
      <c r="F7395" t="s">
        <v>22436</v>
      </c>
      <c r="G7395" t="s">
        <v>22444</v>
      </c>
      <c r="H7395" t="s">
        <v>22454</v>
      </c>
      <c r="I7395" t="s">
        <v>7738</v>
      </c>
      <c r="J7395" t="s">
        <v>22960</v>
      </c>
      <c r="K7395" t="s">
        <v>29344</v>
      </c>
      <c r="M7395" t="s">
        <v>31964</v>
      </c>
      <c r="N7395" t="s">
        <v>32524</v>
      </c>
      <c r="O7395" t="s">
        <v>32525</v>
      </c>
      <c r="P7395">
        <v>0</v>
      </c>
      <c r="Q7395">
        <v>0</v>
      </c>
      <c r="R7395" t="s">
        <v>32533</v>
      </c>
      <c r="S7395" t="s">
        <v>32667</v>
      </c>
      <c r="T7395" t="s">
        <v>33153</v>
      </c>
      <c r="U7395" t="s">
        <v>39811</v>
      </c>
      <c r="W7395" t="s">
        <v>31964</v>
      </c>
      <c r="X7395" t="s">
        <v>32534</v>
      </c>
    </row>
    <row r="7396" spans="1:24">
      <c r="A7396">
        <f>HYPERLINK("https://www.philgeps.gov.ph/GEPSNONPILOT/Tender/SplashBidNoticeAbstractUI.aspx?menuIndex=3&amp;refID=7033178&amp;Result=3","7033178")</f>
        <v>0</v>
      </c>
      <c r="B7396" t="s">
        <v>1965</v>
      </c>
      <c r="C7396" t="s">
        <v>9741</v>
      </c>
      <c r="D7396" t="s">
        <v>13068</v>
      </c>
      <c r="E7396" t="s">
        <v>16114</v>
      </c>
      <c r="F7396" t="s">
        <v>22437</v>
      </c>
      <c r="G7396" t="s">
        <v>22444</v>
      </c>
      <c r="H7396" t="s">
        <v>22452</v>
      </c>
      <c r="I7396" t="s">
        <v>22457</v>
      </c>
      <c r="J7396" t="s">
        <v>27360</v>
      </c>
      <c r="K7396" t="s">
        <v>29336</v>
      </c>
      <c r="M7396" t="s">
        <v>31696</v>
      </c>
      <c r="N7396" t="s">
        <v>32524</v>
      </c>
      <c r="O7396" t="s">
        <v>32525</v>
      </c>
      <c r="P7396">
        <v>0</v>
      </c>
      <c r="Q7396">
        <v>3</v>
      </c>
      <c r="R7396" t="s">
        <v>32533</v>
      </c>
      <c r="S7396" t="s">
        <v>32667</v>
      </c>
      <c r="T7396" t="s">
        <v>33423</v>
      </c>
      <c r="U7396" t="s">
        <v>38851</v>
      </c>
      <c r="W7396" t="s">
        <v>31696</v>
      </c>
      <c r="X7396" t="s">
        <v>32534</v>
      </c>
    </row>
    <row r="7397" spans="1:24">
      <c r="A7397">
        <f>HYPERLINK("https://www.philgeps.gov.ph/GEPSNONPILOT/Tender/SplashBidNoticeAbstractUI.aspx?menuIndex=3&amp;refID=7033091&amp;Result=3","7033091")</f>
        <v>0</v>
      </c>
      <c r="B7397" t="s">
        <v>2199</v>
      </c>
      <c r="C7397" t="s">
        <v>9742</v>
      </c>
      <c r="E7397" t="s">
        <v>19594</v>
      </c>
      <c r="F7397" t="s">
        <v>22436</v>
      </c>
      <c r="G7397" t="s">
        <v>22444</v>
      </c>
      <c r="H7397" t="s">
        <v>22452</v>
      </c>
      <c r="I7397" t="s">
        <v>4688</v>
      </c>
      <c r="J7397" t="s">
        <v>27361</v>
      </c>
      <c r="K7397" t="s">
        <v>29333</v>
      </c>
      <c r="M7397" t="s">
        <v>31965</v>
      </c>
      <c r="N7397" t="s">
        <v>32524</v>
      </c>
      <c r="O7397" t="s">
        <v>32525</v>
      </c>
      <c r="P7397">
        <v>0</v>
      </c>
      <c r="Q7397">
        <v>9</v>
      </c>
      <c r="R7397" t="s">
        <v>32533</v>
      </c>
      <c r="S7397" t="s">
        <v>32667</v>
      </c>
      <c r="T7397" t="s">
        <v>33234</v>
      </c>
      <c r="U7397" t="s">
        <v>39812</v>
      </c>
      <c r="V7397" t="s">
        <v>43234</v>
      </c>
      <c r="W7397" t="s">
        <v>31965</v>
      </c>
      <c r="X7397" t="s">
        <v>32534</v>
      </c>
    </row>
    <row r="7398" spans="1:24">
      <c r="A7398">
        <f>HYPERLINK("https://www.philgeps.gov.ph/GEPSNONPILOT/Tender/SplashBidNoticeAbstractUI.aspx?menuIndex=3&amp;refID=7033063&amp;Result=3","7033063")</f>
        <v>0</v>
      </c>
      <c r="B7398" t="s">
        <v>962</v>
      </c>
      <c r="C7398" t="s">
        <v>9743</v>
      </c>
      <c r="D7398" t="s">
        <v>13008</v>
      </c>
      <c r="E7398" t="s">
        <v>18104</v>
      </c>
      <c r="F7398" t="s">
        <v>22436</v>
      </c>
      <c r="G7398" t="s">
        <v>22444</v>
      </c>
      <c r="H7398" t="s">
        <v>22454</v>
      </c>
      <c r="I7398" t="s">
        <v>7738</v>
      </c>
      <c r="J7398" t="s">
        <v>22779</v>
      </c>
      <c r="K7398" t="s">
        <v>29373</v>
      </c>
      <c r="M7398" t="s">
        <v>30578</v>
      </c>
      <c r="N7398" t="s">
        <v>32524</v>
      </c>
      <c r="O7398" t="s">
        <v>32525</v>
      </c>
      <c r="P7398">
        <v>0</v>
      </c>
      <c r="Q7398">
        <v>0</v>
      </c>
      <c r="R7398" t="s">
        <v>32533</v>
      </c>
      <c r="S7398" t="s">
        <v>32667</v>
      </c>
      <c r="T7398" t="s">
        <v>33249</v>
      </c>
      <c r="U7398" t="s">
        <v>39813</v>
      </c>
      <c r="W7398" t="s">
        <v>30578</v>
      </c>
      <c r="X7398" t="s">
        <v>32534</v>
      </c>
    </row>
    <row r="7399" spans="1:24">
      <c r="A7399">
        <f>HYPERLINK("https://www.philgeps.gov.ph/GEPSNONPILOT/Tender/SplashBidNoticeAbstractUI.aspx?menuIndex=3&amp;refID=7033172&amp;Result=3","7033172")</f>
        <v>0</v>
      </c>
      <c r="B7399" t="s">
        <v>414</v>
      </c>
      <c r="C7399" t="s">
        <v>9744</v>
      </c>
      <c r="D7399" t="s">
        <v>13039</v>
      </c>
      <c r="E7399" t="s">
        <v>19595</v>
      </c>
      <c r="F7399" t="s">
        <v>22436</v>
      </c>
      <c r="G7399" t="s">
        <v>22444</v>
      </c>
      <c r="H7399" t="s">
        <v>22452</v>
      </c>
      <c r="I7399" t="s">
        <v>3529</v>
      </c>
      <c r="J7399" t="s">
        <v>27362</v>
      </c>
      <c r="K7399" t="s">
        <v>29335</v>
      </c>
      <c r="M7399" t="s">
        <v>29994</v>
      </c>
      <c r="N7399" t="s">
        <v>32524</v>
      </c>
      <c r="O7399" t="s">
        <v>32525</v>
      </c>
      <c r="P7399">
        <v>0</v>
      </c>
      <c r="Q7399">
        <v>0</v>
      </c>
      <c r="R7399" t="s">
        <v>32533</v>
      </c>
      <c r="S7399" t="s">
        <v>32667</v>
      </c>
      <c r="T7399" t="s">
        <v>33338</v>
      </c>
      <c r="U7399" t="s">
        <v>39814</v>
      </c>
      <c r="W7399" t="s">
        <v>29994</v>
      </c>
      <c r="X7399" t="s">
        <v>32534</v>
      </c>
    </row>
    <row r="7400" spans="1:24">
      <c r="A7400">
        <f>HYPERLINK("https://www.philgeps.gov.ph/GEPSNONPILOT/Tender/SplashBidNoticeAbstractUI.aspx?menuIndex=3&amp;refID=7033165&amp;Result=3","7033165")</f>
        <v>0</v>
      </c>
      <c r="B7400" t="s">
        <v>2200</v>
      </c>
      <c r="C7400" t="s">
        <v>8807</v>
      </c>
      <c r="E7400" t="s">
        <v>19596</v>
      </c>
      <c r="F7400" t="s">
        <v>22436</v>
      </c>
      <c r="G7400" t="s">
        <v>22444</v>
      </c>
      <c r="H7400" t="s">
        <v>22452</v>
      </c>
      <c r="I7400" t="s">
        <v>7738</v>
      </c>
      <c r="J7400" t="s">
        <v>27363</v>
      </c>
      <c r="K7400" t="s">
        <v>29338</v>
      </c>
      <c r="M7400" t="s">
        <v>31966</v>
      </c>
      <c r="N7400" t="s">
        <v>32524</v>
      </c>
      <c r="O7400" t="s">
        <v>32525</v>
      </c>
      <c r="P7400">
        <v>0</v>
      </c>
      <c r="Q7400">
        <v>0</v>
      </c>
      <c r="R7400" t="s">
        <v>32533</v>
      </c>
      <c r="S7400" t="s">
        <v>32667</v>
      </c>
      <c r="T7400" t="s">
        <v>33249</v>
      </c>
      <c r="U7400" t="s">
        <v>39815</v>
      </c>
      <c r="W7400" t="s">
        <v>31966</v>
      </c>
      <c r="X7400" t="s">
        <v>32534</v>
      </c>
    </row>
    <row r="7401" spans="1:24">
      <c r="A7401">
        <f>HYPERLINK("https://www.philgeps.gov.ph/GEPSNONPILOT/Tender/SplashBidNoticeAbstractUI.aspx?menuIndex=3&amp;refID=7033175&amp;Result=3","7033175")</f>
        <v>0</v>
      </c>
      <c r="B7401" t="s">
        <v>1937</v>
      </c>
      <c r="C7401" t="s">
        <v>9745</v>
      </c>
      <c r="D7401" t="s">
        <v>13033</v>
      </c>
      <c r="E7401" t="s">
        <v>19597</v>
      </c>
      <c r="F7401" t="s">
        <v>22436</v>
      </c>
      <c r="G7401" t="s">
        <v>22444</v>
      </c>
      <c r="H7401" t="s">
        <v>22452</v>
      </c>
      <c r="I7401" t="s">
        <v>22482</v>
      </c>
      <c r="J7401" t="s">
        <v>27364</v>
      </c>
      <c r="K7401" t="s">
        <v>29336</v>
      </c>
      <c r="L7401" t="s">
        <v>1937</v>
      </c>
      <c r="M7401" t="s">
        <v>31666</v>
      </c>
      <c r="N7401" t="s">
        <v>32524</v>
      </c>
      <c r="O7401" t="s">
        <v>32525</v>
      </c>
      <c r="P7401">
        <v>0</v>
      </c>
      <c r="Q7401">
        <v>2</v>
      </c>
      <c r="R7401" t="s">
        <v>32533</v>
      </c>
      <c r="S7401" t="s">
        <v>32667</v>
      </c>
      <c r="T7401" t="s">
        <v>33227</v>
      </c>
      <c r="U7401" t="s">
        <v>39816</v>
      </c>
      <c r="W7401" t="s">
        <v>31666</v>
      </c>
      <c r="X7401" t="s">
        <v>32534</v>
      </c>
    </row>
    <row r="7402" spans="1:24">
      <c r="A7402">
        <f>HYPERLINK("https://www.philgeps.gov.ph/GEPSNONPILOT/Tender/SplashBidNoticeAbstractUI.aspx?menuIndex=3&amp;refID=7033179&amp;Result=3","7033179")</f>
        <v>0</v>
      </c>
      <c r="B7402" t="s">
        <v>742</v>
      </c>
      <c r="C7402" t="s">
        <v>9746</v>
      </c>
      <c r="D7402" t="s">
        <v>13000</v>
      </c>
      <c r="E7402" t="s">
        <v>19598</v>
      </c>
      <c r="F7402" t="s">
        <v>22436</v>
      </c>
      <c r="G7402" t="s">
        <v>22444</v>
      </c>
      <c r="H7402" t="s">
        <v>22454</v>
      </c>
      <c r="I7402" t="s">
        <v>7738</v>
      </c>
      <c r="J7402" t="s">
        <v>22877</v>
      </c>
      <c r="K7402" t="s">
        <v>29399</v>
      </c>
      <c r="M7402" t="s">
        <v>31963</v>
      </c>
      <c r="N7402" t="s">
        <v>32524</v>
      </c>
      <c r="O7402" t="s">
        <v>32525</v>
      </c>
      <c r="P7402">
        <v>0</v>
      </c>
      <c r="Q7402">
        <v>0</v>
      </c>
      <c r="R7402" t="s">
        <v>32533</v>
      </c>
      <c r="S7402" t="s">
        <v>32667</v>
      </c>
      <c r="T7402" t="s">
        <v>33249</v>
      </c>
      <c r="U7402" t="s">
        <v>39817</v>
      </c>
      <c r="W7402" t="s">
        <v>31963</v>
      </c>
      <c r="X7402" t="s">
        <v>32534</v>
      </c>
    </row>
    <row r="7403" spans="1:24">
      <c r="A7403">
        <f>HYPERLINK("https://www.philgeps.gov.ph/GEPSNONPILOT/Tender/SplashBidNoticeAbstractUI.aspx?menuIndex=3&amp;refID=7033217&amp;Result=3","7033217")</f>
        <v>0</v>
      </c>
      <c r="B7403" t="s">
        <v>351</v>
      </c>
      <c r="C7403" t="s">
        <v>9747</v>
      </c>
      <c r="D7403" t="s">
        <v>12996</v>
      </c>
      <c r="E7403" t="s">
        <v>19599</v>
      </c>
      <c r="F7403" t="s">
        <v>22436</v>
      </c>
      <c r="G7403" t="s">
        <v>22444</v>
      </c>
      <c r="H7403" t="s">
        <v>22452</v>
      </c>
      <c r="I7403" t="s">
        <v>3529</v>
      </c>
      <c r="J7403" t="s">
        <v>27365</v>
      </c>
      <c r="K7403" t="s">
        <v>29331</v>
      </c>
      <c r="M7403" t="s">
        <v>29928</v>
      </c>
      <c r="N7403" t="s">
        <v>32524</v>
      </c>
      <c r="O7403" t="s">
        <v>32525</v>
      </c>
      <c r="P7403">
        <v>0</v>
      </c>
      <c r="Q7403">
        <v>1</v>
      </c>
      <c r="R7403" t="s">
        <v>32533</v>
      </c>
      <c r="S7403" t="s">
        <v>32667</v>
      </c>
      <c r="T7403" t="s">
        <v>33261</v>
      </c>
      <c r="U7403" t="s">
        <v>37721</v>
      </c>
      <c r="W7403" t="s">
        <v>29928</v>
      </c>
      <c r="X7403" t="s">
        <v>32534</v>
      </c>
    </row>
    <row r="7404" spans="1:24">
      <c r="A7404">
        <f>HYPERLINK("https://www.philgeps.gov.ph/GEPSNONPILOT/Tender/SplashBidNoticeAbstractUI.aspx?menuIndex=3&amp;refID=7033198&amp;Result=3","7033198")</f>
        <v>0</v>
      </c>
      <c r="B7404" t="s">
        <v>2201</v>
      </c>
      <c r="C7404" t="s">
        <v>9748</v>
      </c>
      <c r="D7404" t="s">
        <v>13050</v>
      </c>
      <c r="E7404" t="s">
        <v>13416</v>
      </c>
      <c r="F7404" t="s">
        <v>22436</v>
      </c>
      <c r="G7404" t="s">
        <v>22443</v>
      </c>
      <c r="H7404" t="s">
        <v>22452</v>
      </c>
      <c r="I7404" t="s">
        <v>22465</v>
      </c>
      <c r="J7404" t="s">
        <v>22704</v>
      </c>
      <c r="K7404" t="s">
        <v>29335</v>
      </c>
      <c r="M7404" t="s">
        <v>31967</v>
      </c>
      <c r="N7404" t="s">
        <v>32524</v>
      </c>
      <c r="O7404" t="s">
        <v>32525</v>
      </c>
      <c r="P7404">
        <v>0</v>
      </c>
      <c r="Q7404">
        <v>3</v>
      </c>
      <c r="R7404" t="s">
        <v>32533</v>
      </c>
      <c r="S7404" t="s">
        <v>32667</v>
      </c>
      <c r="T7404" t="s">
        <v>33196</v>
      </c>
      <c r="U7404" t="s">
        <v>39818</v>
      </c>
      <c r="W7404" t="s">
        <v>31967</v>
      </c>
      <c r="X7404" t="s">
        <v>32534</v>
      </c>
    </row>
    <row r="7405" spans="1:24">
      <c r="A7405">
        <f>HYPERLINK("https://www.philgeps.gov.ph/GEPSNONPILOT/Tender/SplashBidNoticeAbstractUI.aspx?menuIndex=3&amp;refID=7033205&amp;Result=3","7033205")</f>
        <v>0</v>
      </c>
      <c r="B7405" t="s">
        <v>339</v>
      </c>
      <c r="C7405" t="s">
        <v>9749</v>
      </c>
      <c r="D7405" t="s">
        <v>12990</v>
      </c>
      <c r="E7405" t="s">
        <v>19600</v>
      </c>
      <c r="F7405" t="s">
        <v>22436</v>
      </c>
      <c r="G7405" t="s">
        <v>22444</v>
      </c>
      <c r="H7405" t="s">
        <v>22454</v>
      </c>
      <c r="I7405" t="s">
        <v>7738</v>
      </c>
      <c r="J7405" t="s">
        <v>27366</v>
      </c>
      <c r="K7405" t="s">
        <v>29329</v>
      </c>
      <c r="M7405" t="s">
        <v>29915</v>
      </c>
      <c r="N7405" t="s">
        <v>32524</v>
      </c>
      <c r="O7405" t="s">
        <v>32525</v>
      </c>
      <c r="P7405">
        <v>0</v>
      </c>
      <c r="Q7405">
        <v>0</v>
      </c>
      <c r="R7405" t="s">
        <v>32533</v>
      </c>
      <c r="S7405" t="s">
        <v>32667</v>
      </c>
      <c r="T7405" t="s">
        <v>33182</v>
      </c>
      <c r="U7405" t="s">
        <v>39819</v>
      </c>
      <c r="W7405" t="s">
        <v>29915</v>
      </c>
      <c r="X7405" t="s">
        <v>32534</v>
      </c>
    </row>
    <row r="7406" spans="1:24">
      <c r="A7406">
        <f>HYPERLINK("https://www.philgeps.gov.ph/GEPSNONPILOT/Tender/SplashBidNoticeAbstractUI.aspx?menuIndex=3&amp;refID=7033207&amp;Result=3","7033207")</f>
        <v>0</v>
      </c>
      <c r="B7406" t="s">
        <v>1493</v>
      </c>
      <c r="C7406" t="s">
        <v>9750</v>
      </c>
      <c r="D7406" t="s">
        <v>13010</v>
      </c>
      <c r="E7406" t="s">
        <v>19601</v>
      </c>
      <c r="F7406" t="s">
        <v>22436</v>
      </c>
      <c r="G7406" t="s">
        <v>22444</v>
      </c>
      <c r="H7406" t="s">
        <v>22452</v>
      </c>
      <c r="I7406" t="s">
        <v>22461</v>
      </c>
      <c r="J7406" t="s">
        <v>23093</v>
      </c>
      <c r="K7406" t="s">
        <v>29341</v>
      </c>
      <c r="M7406" t="s">
        <v>31167</v>
      </c>
      <c r="N7406" t="s">
        <v>32524</v>
      </c>
      <c r="O7406" t="s">
        <v>32525</v>
      </c>
      <c r="P7406">
        <v>0</v>
      </c>
      <c r="Q7406">
        <v>2</v>
      </c>
      <c r="R7406" t="s">
        <v>32533</v>
      </c>
      <c r="S7406" t="s">
        <v>32667</v>
      </c>
      <c r="T7406" t="s">
        <v>33167</v>
      </c>
      <c r="U7406" t="s">
        <v>39820</v>
      </c>
      <c r="V7406" t="s">
        <v>43235</v>
      </c>
      <c r="W7406" t="s">
        <v>31167</v>
      </c>
      <c r="X7406" t="s">
        <v>32534</v>
      </c>
    </row>
    <row r="7407" spans="1:24">
      <c r="A7407">
        <f>HYPERLINK("https://www.philgeps.gov.ph/GEPSNONPILOT/Tender/SplashBidNoticeAbstractUI.aspx?menuIndex=3&amp;refID=7033191&amp;Result=3","7033191")</f>
        <v>0</v>
      </c>
      <c r="B7407" t="s">
        <v>63</v>
      </c>
      <c r="C7407" t="s">
        <v>9751</v>
      </c>
      <c r="D7407" t="s">
        <v>13013</v>
      </c>
      <c r="E7407" t="s">
        <v>19602</v>
      </c>
      <c r="F7407" t="s">
        <v>22436</v>
      </c>
      <c r="G7407" t="s">
        <v>22444</v>
      </c>
      <c r="H7407" t="s">
        <v>22452</v>
      </c>
      <c r="I7407" t="s">
        <v>22467</v>
      </c>
      <c r="J7407" t="s">
        <v>27367</v>
      </c>
      <c r="K7407" t="s">
        <v>29345</v>
      </c>
      <c r="M7407" t="s">
        <v>29635</v>
      </c>
      <c r="N7407" t="s">
        <v>32524</v>
      </c>
      <c r="O7407" t="s">
        <v>32525</v>
      </c>
      <c r="P7407">
        <v>0</v>
      </c>
      <c r="Q7407">
        <v>2</v>
      </c>
      <c r="R7407" t="s">
        <v>32533</v>
      </c>
      <c r="S7407" t="s">
        <v>32667</v>
      </c>
      <c r="T7407" t="s">
        <v>33234</v>
      </c>
      <c r="U7407" t="s">
        <v>39821</v>
      </c>
      <c r="W7407" t="s">
        <v>29635</v>
      </c>
      <c r="X7407" t="s">
        <v>32534</v>
      </c>
    </row>
    <row r="7408" spans="1:24">
      <c r="A7408">
        <f>HYPERLINK("https://www.philgeps.gov.ph/GEPSNONPILOT/Tender/SplashBidNoticeAbstractUI.aspx?menuIndex=3&amp;refID=7033183&amp;Result=3","7033183")</f>
        <v>0</v>
      </c>
      <c r="B7408" t="s">
        <v>601</v>
      </c>
      <c r="C7408" t="s">
        <v>9752</v>
      </c>
      <c r="D7408" t="s">
        <v>12988</v>
      </c>
      <c r="E7408" t="s">
        <v>19603</v>
      </c>
      <c r="F7408" t="s">
        <v>22436</v>
      </c>
      <c r="G7408" t="s">
        <v>22444</v>
      </c>
      <c r="H7408" t="s">
        <v>22454</v>
      </c>
      <c r="I7408" t="s">
        <v>7738</v>
      </c>
      <c r="J7408" t="s">
        <v>27368</v>
      </c>
      <c r="K7408" t="s">
        <v>29344</v>
      </c>
      <c r="M7408" t="s">
        <v>30191</v>
      </c>
      <c r="N7408" t="s">
        <v>32524</v>
      </c>
      <c r="O7408" t="s">
        <v>32525</v>
      </c>
      <c r="Q7408">
        <v>57</v>
      </c>
      <c r="R7408" t="s">
        <v>32533</v>
      </c>
      <c r="S7408" t="s">
        <v>32683</v>
      </c>
      <c r="T7408" t="s">
        <v>33484</v>
      </c>
      <c r="U7408" t="s">
        <v>39822</v>
      </c>
      <c r="V7408" t="s">
        <v>43236</v>
      </c>
      <c r="W7408" t="s">
        <v>30191</v>
      </c>
      <c r="X7408" t="s">
        <v>32534</v>
      </c>
    </row>
    <row r="7409" spans="1:24">
      <c r="A7409">
        <f>HYPERLINK("https://www.philgeps.gov.ph/GEPSNONPILOT/Tender/SplashBidNoticeAbstractUI.aspx?menuIndex=3&amp;refID=7033268&amp;Result=3","7033268")</f>
        <v>0</v>
      </c>
      <c r="B7409" t="s">
        <v>601</v>
      </c>
      <c r="C7409" t="s">
        <v>9753</v>
      </c>
      <c r="D7409" t="s">
        <v>12988</v>
      </c>
      <c r="E7409" t="s">
        <v>19604</v>
      </c>
      <c r="F7409" t="s">
        <v>22436</v>
      </c>
      <c r="G7409" t="s">
        <v>22444</v>
      </c>
      <c r="H7409" t="s">
        <v>22454</v>
      </c>
      <c r="I7409" t="s">
        <v>7738</v>
      </c>
      <c r="J7409" t="s">
        <v>27369</v>
      </c>
      <c r="K7409" t="s">
        <v>29344</v>
      </c>
      <c r="M7409" t="s">
        <v>30191</v>
      </c>
      <c r="N7409" t="s">
        <v>32524</v>
      </c>
      <c r="O7409" t="s">
        <v>32525</v>
      </c>
      <c r="Q7409">
        <v>60</v>
      </c>
      <c r="R7409" t="s">
        <v>32533</v>
      </c>
      <c r="S7409" t="s">
        <v>32684</v>
      </c>
      <c r="T7409" t="s">
        <v>33484</v>
      </c>
      <c r="U7409" t="s">
        <v>39823</v>
      </c>
      <c r="V7409" t="s">
        <v>43236</v>
      </c>
      <c r="W7409" t="s">
        <v>30191</v>
      </c>
      <c r="X7409" t="s">
        <v>32534</v>
      </c>
    </row>
    <row r="7410" spans="1:24">
      <c r="A7410">
        <f>HYPERLINK("https://www.philgeps.gov.ph/GEPSNONPILOT/Tender/SplashBidNoticeAbstractUI.aspx?menuIndex=3&amp;refID=7033200&amp;Result=3","7033200")</f>
        <v>0</v>
      </c>
      <c r="B7410" t="s">
        <v>2066</v>
      </c>
      <c r="C7410" t="s">
        <v>9754</v>
      </c>
      <c r="D7410" t="s">
        <v>13073</v>
      </c>
      <c r="E7410" t="s">
        <v>19605</v>
      </c>
      <c r="F7410" t="s">
        <v>22436</v>
      </c>
      <c r="G7410" t="s">
        <v>22443</v>
      </c>
      <c r="H7410" t="s">
        <v>22452</v>
      </c>
      <c r="I7410" t="s">
        <v>22465</v>
      </c>
      <c r="J7410" t="s">
        <v>27370</v>
      </c>
      <c r="K7410" t="s">
        <v>29337</v>
      </c>
      <c r="M7410" t="s">
        <v>31809</v>
      </c>
      <c r="N7410" t="s">
        <v>32524</v>
      </c>
      <c r="O7410" t="s">
        <v>32525</v>
      </c>
      <c r="P7410">
        <v>0</v>
      </c>
      <c r="Q7410">
        <v>0</v>
      </c>
      <c r="R7410" t="s">
        <v>32533</v>
      </c>
      <c r="S7410" t="s">
        <v>32667</v>
      </c>
      <c r="T7410" t="s">
        <v>33167</v>
      </c>
      <c r="U7410" t="s">
        <v>39824</v>
      </c>
      <c r="W7410" t="s">
        <v>31809</v>
      </c>
      <c r="X7410" t="s">
        <v>32534</v>
      </c>
    </row>
    <row r="7411" spans="1:24">
      <c r="A7411">
        <f>HYPERLINK("https://www.philgeps.gov.ph/GEPSNONPILOT/Tender/SplashBidNoticeAbstractUI.aspx?menuIndex=3&amp;refID=7033240&amp;Result=3","7033240")</f>
        <v>0</v>
      </c>
      <c r="B7411" t="s">
        <v>1609</v>
      </c>
      <c r="C7411" t="s">
        <v>9755</v>
      </c>
      <c r="D7411" t="s">
        <v>13001</v>
      </c>
      <c r="E7411" t="s">
        <v>19606</v>
      </c>
      <c r="F7411" t="s">
        <v>22436</v>
      </c>
      <c r="G7411" t="s">
        <v>22444</v>
      </c>
      <c r="H7411" t="s">
        <v>22454</v>
      </c>
      <c r="I7411" t="s">
        <v>7738</v>
      </c>
      <c r="J7411" t="s">
        <v>27371</v>
      </c>
      <c r="K7411" t="s">
        <v>29338</v>
      </c>
      <c r="M7411" t="s">
        <v>31293</v>
      </c>
      <c r="N7411" t="s">
        <v>32524</v>
      </c>
      <c r="O7411" t="s">
        <v>32525</v>
      </c>
      <c r="P7411">
        <v>0</v>
      </c>
      <c r="Q7411">
        <v>67</v>
      </c>
      <c r="R7411" t="s">
        <v>32533</v>
      </c>
      <c r="S7411" t="s">
        <v>32667</v>
      </c>
      <c r="T7411" t="s">
        <v>33220</v>
      </c>
      <c r="U7411" t="s">
        <v>39825</v>
      </c>
      <c r="W7411" t="s">
        <v>31293</v>
      </c>
      <c r="X7411" t="s">
        <v>32534</v>
      </c>
    </row>
    <row r="7412" spans="1:24">
      <c r="A7412">
        <f>HYPERLINK("https://www.philgeps.gov.ph/GEPSNONPILOT/Tender/SplashBidNoticeAbstractUI.aspx?menuIndex=3&amp;refID=7033263&amp;Result=3","7033263")</f>
        <v>0</v>
      </c>
      <c r="B7412" t="s">
        <v>1609</v>
      </c>
      <c r="C7412" t="s">
        <v>9756</v>
      </c>
      <c r="D7412" t="s">
        <v>13001</v>
      </c>
      <c r="E7412" t="s">
        <v>19607</v>
      </c>
      <c r="F7412" t="s">
        <v>22436</v>
      </c>
      <c r="G7412" t="s">
        <v>22444</v>
      </c>
      <c r="H7412" t="s">
        <v>22454</v>
      </c>
      <c r="I7412" t="s">
        <v>7738</v>
      </c>
      <c r="J7412" t="s">
        <v>27372</v>
      </c>
      <c r="K7412" t="s">
        <v>29338</v>
      </c>
      <c r="M7412" t="s">
        <v>31293</v>
      </c>
      <c r="N7412" t="s">
        <v>32524</v>
      </c>
      <c r="O7412" t="s">
        <v>32525</v>
      </c>
      <c r="P7412">
        <v>0</v>
      </c>
      <c r="Q7412">
        <v>66</v>
      </c>
      <c r="R7412" t="s">
        <v>32533</v>
      </c>
      <c r="S7412" t="s">
        <v>32667</v>
      </c>
      <c r="T7412" t="s">
        <v>33220</v>
      </c>
      <c r="U7412" t="s">
        <v>39826</v>
      </c>
      <c r="W7412" t="s">
        <v>31293</v>
      </c>
      <c r="X7412" t="s">
        <v>32534</v>
      </c>
    </row>
    <row r="7413" spans="1:24">
      <c r="A7413">
        <f>HYPERLINK("https://www.philgeps.gov.ph/GEPSNONPILOT/Tender/SplashBidNoticeAbstractUI.aspx?menuIndex=3&amp;refID=7033223&amp;Result=3","7033223")</f>
        <v>0</v>
      </c>
      <c r="B7413" t="s">
        <v>26</v>
      </c>
      <c r="C7413" t="s">
        <v>2962</v>
      </c>
      <c r="D7413" t="s">
        <v>12990</v>
      </c>
      <c r="E7413" t="s">
        <v>19608</v>
      </c>
      <c r="F7413" t="s">
        <v>22436</v>
      </c>
      <c r="G7413" t="s">
        <v>22444</v>
      </c>
      <c r="H7413" t="s">
        <v>22452</v>
      </c>
      <c r="I7413" t="s">
        <v>2962</v>
      </c>
      <c r="J7413" t="s">
        <v>22836</v>
      </c>
      <c r="K7413" t="s">
        <v>29331</v>
      </c>
      <c r="M7413" t="s">
        <v>29596</v>
      </c>
      <c r="N7413" t="s">
        <v>32524</v>
      </c>
      <c r="O7413" t="s">
        <v>32525</v>
      </c>
      <c r="P7413">
        <v>0</v>
      </c>
      <c r="Q7413">
        <v>0</v>
      </c>
      <c r="R7413" t="s">
        <v>32533</v>
      </c>
      <c r="S7413" t="s">
        <v>32667</v>
      </c>
      <c r="T7413" t="s">
        <v>33252</v>
      </c>
      <c r="U7413" t="s">
        <v>39827</v>
      </c>
      <c r="W7413" t="s">
        <v>29596</v>
      </c>
      <c r="X7413" t="s">
        <v>32534</v>
      </c>
    </row>
    <row r="7414" spans="1:24">
      <c r="A7414">
        <f>HYPERLINK("https://www.philgeps.gov.ph/GEPSNONPILOT/Tender/SplashBidNoticeAbstractUI.aspx?menuIndex=3&amp;refID=7033242&amp;Result=3","7033242")</f>
        <v>0</v>
      </c>
      <c r="B7414" t="s">
        <v>1965</v>
      </c>
      <c r="C7414" t="s">
        <v>9757</v>
      </c>
      <c r="D7414" t="s">
        <v>13068</v>
      </c>
      <c r="E7414" t="s">
        <v>13915</v>
      </c>
      <c r="F7414" t="s">
        <v>22437</v>
      </c>
      <c r="G7414" t="s">
        <v>22444</v>
      </c>
      <c r="H7414" t="s">
        <v>22452</v>
      </c>
      <c r="I7414" t="s">
        <v>22475</v>
      </c>
      <c r="J7414" t="s">
        <v>23387</v>
      </c>
      <c r="K7414" t="s">
        <v>29333</v>
      </c>
      <c r="M7414" t="s">
        <v>31696</v>
      </c>
      <c r="N7414" t="s">
        <v>32524</v>
      </c>
      <c r="O7414" t="s">
        <v>32525</v>
      </c>
      <c r="P7414">
        <v>0</v>
      </c>
      <c r="Q7414">
        <v>4</v>
      </c>
      <c r="R7414" t="s">
        <v>32533</v>
      </c>
      <c r="S7414" t="s">
        <v>32667</v>
      </c>
      <c r="T7414" t="s">
        <v>33423</v>
      </c>
      <c r="U7414" t="s">
        <v>38851</v>
      </c>
      <c r="W7414" t="s">
        <v>31696</v>
      </c>
      <c r="X7414" t="s">
        <v>32534</v>
      </c>
    </row>
    <row r="7415" spans="1:24">
      <c r="A7415">
        <f>HYPERLINK("https://www.philgeps.gov.ph/GEPSNONPILOT/Tender/SplashBidNoticeAbstractUI.aspx?menuIndex=3&amp;refID=7033273&amp;Result=3","7033273")</f>
        <v>0</v>
      </c>
      <c r="B7415" t="s">
        <v>82</v>
      </c>
      <c r="C7415" t="s">
        <v>9675</v>
      </c>
      <c r="D7415" t="s">
        <v>13024</v>
      </c>
      <c r="E7415" t="s">
        <v>19609</v>
      </c>
      <c r="F7415" t="s">
        <v>22436</v>
      </c>
      <c r="G7415" t="s">
        <v>22443</v>
      </c>
      <c r="H7415" t="s">
        <v>22452</v>
      </c>
      <c r="I7415" t="s">
        <v>22463</v>
      </c>
      <c r="J7415" t="s">
        <v>27373</v>
      </c>
      <c r="K7415" t="s">
        <v>29336</v>
      </c>
      <c r="M7415" t="s">
        <v>31939</v>
      </c>
      <c r="N7415" t="s">
        <v>32524</v>
      </c>
      <c r="O7415" t="s">
        <v>32525</v>
      </c>
      <c r="P7415">
        <v>0</v>
      </c>
      <c r="Q7415">
        <v>1</v>
      </c>
      <c r="R7415" t="s">
        <v>32533</v>
      </c>
      <c r="S7415" t="s">
        <v>32667</v>
      </c>
      <c r="T7415" t="s">
        <v>33238</v>
      </c>
      <c r="U7415" t="s">
        <v>39828</v>
      </c>
      <c r="W7415" t="s">
        <v>31939</v>
      </c>
      <c r="X7415" t="s">
        <v>32534</v>
      </c>
    </row>
    <row r="7416" spans="1:24">
      <c r="A7416">
        <f>HYPERLINK("https://www.philgeps.gov.ph/GEPSNONPILOT/Tender/SplashBidNoticeAbstractUI.aspx?menuIndex=3&amp;refID=7033245&amp;Result=3","7033245")</f>
        <v>0</v>
      </c>
      <c r="B7416" t="s">
        <v>2202</v>
      </c>
      <c r="C7416" t="s">
        <v>9758</v>
      </c>
      <c r="D7416" t="s">
        <v>12999</v>
      </c>
      <c r="E7416" t="s">
        <v>13521</v>
      </c>
      <c r="F7416" t="s">
        <v>22436</v>
      </c>
      <c r="G7416" t="s">
        <v>22444</v>
      </c>
      <c r="H7416" t="s">
        <v>22454</v>
      </c>
      <c r="I7416" t="s">
        <v>7738</v>
      </c>
      <c r="J7416" t="s">
        <v>27374</v>
      </c>
      <c r="K7416" t="s">
        <v>29329</v>
      </c>
      <c r="M7416" t="s">
        <v>31968</v>
      </c>
      <c r="N7416" t="s">
        <v>32524</v>
      </c>
      <c r="O7416" t="s">
        <v>32525</v>
      </c>
      <c r="P7416">
        <v>0</v>
      </c>
      <c r="Q7416">
        <v>0</v>
      </c>
      <c r="R7416" t="s">
        <v>32533</v>
      </c>
      <c r="S7416" t="s">
        <v>32667</v>
      </c>
      <c r="T7416" t="s">
        <v>33203</v>
      </c>
      <c r="U7416" t="s">
        <v>39829</v>
      </c>
      <c r="W7416" t="s">
        <v>31968</v>
      </c>
      <c r="X7416" t="s">
        <v>32534</v>
      </c>
    </row>
    <row r="7417" spans="1:24">
      <c r="A7417">
        <f>HYPERLINK("https://www.philgeps.gov.ph/GEPSNONPILOT/Tender/SplashBidNoticeAbstractUI.aspx?menuIndex=3&amp;refID=7033296&amp;Result=3","7033296")</f>
        <v>0</v>
      </c>
      <c r="B7417" t="s">
        <v>601</v>
      </c>
      <c r="C7417" t="s">
        <v>9759</v>
      </c>
      <c r="D7417" t="s">
        <v>12988</v>
      </c>
      <c r="E7417" t="s">
        <v>19610</v>
      </c>
      <c r="F7417" t="s">
        <v>22436</v>
      </c>
      <c r="G7417" t="s">
        <v>22444</v>
      </c>
      <c r="H7417" t="s">
        <v>22454</v>
      </c>
      <c r="I7417" t="s">
        <v>7738</v>
      </c>
      <c r="J7417" t="s">
        <v>27375</v>
      </c>
      <c r="K7417" t="s">
        <v>29344</v>
      </c>
      <c r="M7417" t="s">
        <v>30191</v>
      </c>
      <c r="N7417" t="s">
        <v>32524</v>
      </c>
      <c r="O7417" t="s">
        <v>32525</v>
      </c>
      <c r="Q7417">
        <v>58</v>
      </c>
      <c r="R7417" t="s">
        <v>32533</v>
      </c>
      <c r="S7417" t="s">
        <v>32685</v>
      </c>
      <c r="T7417" t="s">
        <v>33484</v>
      </c>
      <c r="U7417" t="s">
        <v>39830</v>
      </c>
      <c r="V7417" t="s">
        <v>43236</v>
      </c>
      <c r="W7417" t="s">
        <v>30191</v>
      </c>
      <c r="X7417" t="s">
        <v>32534</v>
      </c>
    </row>
    <row r="7418" spans="1:24">
      <c r="A7418">
        <f>HYPERLINK("https://www.philgeps.gov.ph/GEPSNONPILOT/Tender/SplashBidNoticeAbstractUI.aspx?menuIndex=3&amp;refID=7033292&amp;Result=3","7033292")</f>
        <v>0</v>
      </c>
      <c r="B7418" t="s">
        <v>1965</v>
      </c>
      <c r="C7418" t="s">
        <v>9760</v>
      </c>
      <c r="D7418" t="s">
        <v>13068</v>
      </c>
      <c r="E7418" t="s">
        <v>14073</v>
      </c>
      <c r="F7418" t="s">
        <v>22437</v>
      </c>
      <c r="G7418" t="s">
        <v>22444</v>
      </c>
      <c r="H7418" t="s">
        <v>22452</v>
      </c>
      <c r="I7418" t="s">
        <v>22489</v>
      </c>
      <c r="J7418" t="s">
        <v>27376</v>
      </c>
      <c r="K7418" t="s">
        <v>29333</v>
      </c>
      <c r="M7418" t="s">
        <v>31696</v>
      </c>
      <c r="N7418" t="s">
        <v>32524</v>
      </c>
      <c r="O7418" t="s">
        <v>32525</v>
      </c>
      <c r="P7418">
        <v>0</v>
      </c>
      <c r="Q7418">
        <v>6</v>
      </c>
      <c r="R7418" t="s">
        <v>32533</v>
      </c>
      <c r="S7418" t="s">
        <v>32667</v>
      </c>
      <c r="T7418" t="s">
        <v>33423</v>
      </c>
      <c r="U7418" t="s">
        <v>38851</v>
      </c>
      <c r="W7418" t="s">
        <v>31696</v>
      </c>
      <c r="X7418" t="s">
        <v>32534</v>
      </c>
    </row>
    <row r="7419" spans="1:24">
      <c r="A7419">
        <f>HYPERLINK("https://www.philgeps.gov.ph/GEPSNONPILOT/Tender/SplashBidNoticeAbstractUI.aspx?menuIndex=3&amp;refID=7033274&amp;Result=3","7033274")</f>
        <v>0</v>
      </c>
      <c r="B7419" t="s">
        <v>1686</v>
      </c>
      <c r="C7419" t="s">
        <v>9761</v>
      </c>
      <c r="D7419" t="s">
        <v>13000</v>
      </c>
      <c r="E7419" t="s">
        <v>19611</v>
      </c>
      <c r="F7419" t="s">
        <v>22436</v>
      </c>
      <c r="G7419" t="s">
        <v>22443</v>
      </c>
      <c r="H7419" t="s">
        <v>22452</v>
      </c>
      <c r="I7419" t="s">
        <v>22558</v>
      </c>
      <c r="J7419" t="s">
        <v>27377</v>
      </c>
      <c r="K7419" t="s">
        <v>29336</v>
      </c>
      <c r="L7419" t="s">
        <v>1686</v>
      </c>
      <c r="M7419" t="s">
        <v>31386</v>
      </c>
      <c r="N7419" t="s">
        <v>32524</v>
      </c>
      <c r="O7419" t="s">
        <v>32525</v>
      </c>
      <c r="P7419">
        <v>0</v>
      </c>
      <c r="Q7419">
        <v>0</v>
      </c>
      <c r="R7419" t="s">
        <v>32533</v>
      </c>
      <c r="S7419" t="s">
        <v>32667</v>
      </c>
      <c r="T7419" t="s">
        <v>33213</v>
      </c>
      <c r="U7419" t="s">
        <v>37842</v>
      </c>
      <c r="W7419" t="s">
        <v>31386</v>
      </c>
      <c r="X7419" t="s">
        <v>32534</v>
      </c>
    </row>
    <row r="7420" spans="1:24">
      <c r="A7420">
        <f>HYPERLINK("https://www.philgeps.gov.ph/GEPSNONPILOT/Tender/SplashBidNoticeAbstractUI.aspx?menuIndex=3&amp;refID=7033289&amp;Result=3","7033289")</f>
        <v>0</v>
      </c>
      <c r="B7420" t="s">
        <v>2203</v>
      </c>
      <c r="C7420" t="s">
        <v>9762</v>
      </c>
      <c r="D7420" t="s">
        <v>12988</v>
      </c>
      <c r="E7420" t="s">
        <v>19612</v>
      </c>
      <c r="F7420" t="s">
        <v>22436</v>
      </c>
      <c r="G7420" t="s">
        <v>22443</v>
      </c>
      <c r="H7420" t="s">
        <v>22452</v>
      </c>
      <c r="I7420" t="s">
        <v>22547</v>
      </c>
      <c r="J7420" t="s">
        <v>22861</v>
      </c>
      <c r="K7420" t="s">
        <v>29357</v>
      </c>
      <c r="M7420" t="s">
        <v>31969</v>
      </c>
      <c r="N7420" t="s">
        <v>32524</v>
      </c>
      <c r="O7420" t="s">
        <v>32525</v>
      </c>
      <c r="P7420">
        <v>0</v>
      </c>
      <c r="Q7420">
        <v>5</v>
      </c>
      <c r="R7420" t="s">
        <v>32533</v>
      </c>
      <c r="S7420" t="s">
        <v>32667</v>
      </c>
      <c r="T7420" t="s">
        <v>33185</v>
      </c>
      <c r="U7420" t="s">
        <v>39831</v>
      </c>
      <c r="W7420" t="s">
        <v>31969</v>
      </c>
      <c r="X7420" t="s">
        <v>32534</v>
      </c>
    </row>
    <row r="7421" spans="1:24">
      <c r="A7421">
        <f>HYPERLINK("https://www.philgeps.gov.ph/GEPSNONPILOT/Tender/SplashBidNoticeAbstractUI.aspx?menuIndex=3&amp;refID=7033281&amp;Result=3","7033281")</f>
        <v>0</v>
      </c>
      <c r="B7421" t="s">
        <v>2202</v>
      </c>
      <c r="C7421" t="s">
        <v>9763</v>
      </c>
      <c r="D7421" t="s">
        <v>12999</v>
      </c>
      <c r="E7421" t="s">
        <v>13487</v>
      </c>
      <c r="F7421" t="s">
        <v>22436</v>
      </c>
      <c r="G7421" t="s">
        <v>22447</v>
      </c>
      <c r="H7421" t="s">
        <v>22452</v>
      </c>
      <c r="I7421" t="s">
        <v>3529</v>
      </c>
      <c r="J7421" t="s">
        <v>27378</v>
      </c>
      <c r="K7421" t="s">
        <v>29335</v>
      </c>
      <c r="M7421" t="s">
        <v>31968</v>
      </c>
      <c r="N7421" t="s">
        <v>32524</v>
      </c>
      <c r="O7421" t="s">
        <v>32525</v>
      </c>
      <c r="P7421">
        <v>0</v>
      </c>
      <c r="Q7421">
        <v>0</v>
      </c>
      <c r="R7421" t="s">
        <v>32533</v>
      </c>
      <c r="S7421" t="s">
        <v>32667</v>
      </c>
      <c r="T7421" t="s">
        <v>33203</v>
      </c>
      <c r="U7421" t="s">
        <v>39832</v>
      </c>
      <c r="W7421" t="s">
        <v>31968</v>
      </c>
      <c r="X7421" t="s">
        <v>32534</v>
      </c>
    </row>
    <row r="7422" spans="1:24">
      <c r="A7422">
        <f>HYPERLINK("https://www.philgeps.gov.ph/GEPSNONPILOT/Tender/SplashBidNoticeAbstractUI.aspx?menuIndex=3&amp;refID=7033277&amp;Result=3","7033277")</f>
        <v>0</v>
      </c>
      <c r="B7422" t="s">
        <v>601</v>
      </c>
      <c r="C7422" t="s">
        <v>9764</v>
      </c>
      <c r="D7422" t="s">
        <v>12988</v>
      </c>
      <c r="E7422" t="s">
        <v>19613</v>
      </c>
      <c r="F7422" t="s">
        <v>22436</v>
      </c>
      <c r="G7422" t="s">
        <v>22444</v>
      </c>
      <c r="H7422" t="s">
        <v>22454</v>
      </c>
      <c r="I7422" t="s">
        <v>7738</v>
      </c>
      <c r="J7422" t="s">
        <v>27379</v>
      </c>
      <c r="K7422" t="s">
        <v>29346</v>
      </c>
      <c r="M7422" t="s">
        <v>30191</v>
      </c>
      <c r="N7422" t="s">
        <v>32524</v>
      </c>
      <c r="O7422" t="s">
        <v>32525</v>
      </c>
      <c r="Q7422">
        <v>61</v>
      </c>
      <c r="R7422" t="s">
        <v>32533</v>
      </c>
      <c r="S7422" t="s">
        <v>32686</v>
      </c>
      <c r="T7422" t="s">
        <v>33484</v>
      </c>
      <c r="U7422" t="s">
        <v>39833</v>
      </c>
      <c r="V7422" t="s">
        <v>43236</v>
      </c>
      <c r="W7422" t="s">
        <v>30191</v>
      </c>
      <c r="X7422" t="s">
        <v>32534</v>
      </c>
    </row>
    <row r="7423" spans="1:24">
      <c r="A7423">
        <f>HYPERLINK("https://www.philgeps.gov.ph/GEPSNONPILOT/Tender/SplashBidNoticeAbstractUI.aspx?menuIndex=3&amp;refID=7033328&amp;Result=3","7033328")</f>
        <v>0</v>
      </c>
      <c r="B7423" t="s">
        <v>286</v>
      </c>
      <c r="C7423" t="s">
        <v>9765</v>
      </c>
      <c r="D7423" t="s">
        <v>12988</v>
      </c>
      <c r="E7423" t="s">
        <v>19614</v>
      </c>
      <c r="F7423" t="s">
        <v>22436</v>
      </c>
      <c r="G7423" t="s">
        <v>22444</v>
      </c>
      <c r="H7423" t="s">
        <v>22452</v>
      </c>
      <c r="I7423" t="s">
        <v>22540</v>
      </c>
      <c r="J7423" t="s">
        <v>23789</v>
      </c>
      <c r="K7423" t="s">
        <v>29333</v>
      </c>
      <c r="M7423" t="s">
        <v>29860</v>
      </c>
      <c r="N7423" t="s">
        <v>32524</v>
      </c>
      <c r="O7423" t="s">
        <v>32525</v>
      </c>
      <c r="P7423">
        <v>0</v>
      </c>
      <c r="Q7423">
        <v>14</v>
      </c>
      <c r="R7423" t="s">
        <v>32533</v>
      </c>
      <c r="S7423" t="s">
        <v>32667</v>
      </c>
      <c r="T7423" t="s">
        <v>33259</v>
      </c>
      <c r="U7423" t="s">
        <v>39834</v>
      </c>
      <c r="W7423" t="s">
        <v>29860</v>
      </c>
      <c r="X7423" t="s">
        <v>32534</v>
      </c>
    </row>
    <row r="7424" spans="1:24">
      <c r="A7424">
        <f>HYPERLINK("https://www.philgeps.gov.ph/GEPSNONPILOT/Tender/SplashBidNoticeAbstractUI.aspx?menuIndex=3&amp;refID=7033326&amp;Result=3","7033326")</f>
        <v>0</v>
      </c>
      <c r="B7424" t="s">
        <v>1686</v>
      </c>
      <c r="C7424" t="s">
        <v>9766</v>
      </c>
      <c r="D7424" t="s">
        <v>13000</v>
      </c>
      <c r="E7424" t="s">
        <v>19615</v>
      </c>
      <c r="F7424" t="s">
        <v>22436</v>
      </c>
      <c r="G7424" t="s">
        <v>22443</v>
      </c>
      <c r="H7424" t="s">
        <v>22452</v>
      </c>
      <c r="I7424" t="s">
        <v>3529</v>
      </c>
      <c r="J7424" t="s">
        <v>27380</v>
      </c>
      <c r="K7424" t="s">
        <v>29331</v>
      </c>
      <c r="L7424" t="s">
        <v>1686</v>
      </c>
      <c r="M7424" t="s">
        <v>31386</v>
      </c>
      <c r="N7424" t="s">
        <v>32524</v>
      </c>
      <c r="O7424" t="s">
        <v>32525</v>
      </c>
      <c r="P7424">
        <v>0</v>
      </c>
      <c r="Q7424">
        <v>1</v>
      </c>
      <c r="R7424" t="s">
        <v>32533</v>
      </c>
      <c r="S7424" t="s">
        <v>32667</v>
      </c>
      <c r="T7424" t="s">
        <v>33213</v>
      </c>
      <c r="U7424" t="s">
        <v>37842</v>
      </c>
      <c r="W7424" t="s">
        <v>31386</v>
      </c>
      <c r="X7424" t="s">
        <v>32534</v>
      </c>
    </row>
    <row r="7425" spans="1:24">
      <c r="A7425">
        <f>HYPERLINK("https://www.philgeps.gov.ph/GEPSNONPILOT/Tender/SplashBidNoticeAbstractUI.aspx?menuIndex=3&amp;refID=7033322&amp;Result=3","7033322")</f>
        <v>0</v>
      </c>
      <c r="B7425" t="s">
        <v>2204</v>
      </c>
      <c r="C7425" t="s">
        <v>9767</v>
      </c>
      <c r="D7425" t="s">
        <v>13025</v>
      </c>
      <c r="E7425" t="s">
        <v>19616</v>
      </c>
      <c r="F7425" t="s">
        <v>22436</v>
      </c>
      <c r="G7425" t="s">
        <v>22444</v>
      </c>
      <c r="H7425" t="s">
        <v>22452</v>
      </c>
      <c r="I7425" t="s">
        <v>3529</v>
      </c>
      <c r="J7425" t="s">
        <v>27381</v>
      </c>
      <c r="K7425" t="s">
        <v>29335</v>
      </c>
      <c r="M7425" t="s">
        <v>31970</v>
      </c>
      <c r="N7425" t="s">
        <v>32524</v>
      </c>
      <c r="O7425" t="s">
        <v>32525</v>
      </c>
      <c r="P7425">
        <v>0</v>
      </c>
      <c r="Q7425">
        <v>0</v>
      </c>
      <c r="R7425" t="s">
        <v>32533</v>
      </c>
      <c r="S7425" t="s">
        <v>32667</v>
      </c>
      <c r="T7425" t="s">
        <v>33181</v>
      </c>
      <c r="U7425" t="s">
        <v>39835</v>
      </c>
      <c r="W7425" t="s">
        <v>31970</v>
      </c>
      <c r="X7425" t="s">
        <v>32534</v>
      </c>
    </row>
    <row r="7426" spans="1:24">
      <c r="A7426">
        <f>HYPERLINK("https://www.philgeps.gov.ph/GEPSNONPILOT/Tender/SplashBidNoticeAbstractUI.aspx?menuIndex=3&amp;refID=7033325&amp;Result=3","7033325")</f>
        <v>0</v>
      </c>
      <c r="B7426" t="s">
        <v>2205</v>
      </c>
      <c r="C7426" t="s">
        <v>9768</v>
      </c>
      <c r="D7426" t="s">
        <v>13018</v>
      </c>
      <c r="E7426" t="s">
        <v>14881</v>
      </c>
      <c r="F7426" t="s">
        <v>22436</v>
      </c>
      <c r="G7426" t="s">
        <v>22444</v>
      </c>
      <c r="H7426" t="s">
        <v>22454</v>
      </c>
      <c r="I7426" t="s">
        <v>7738</v>
      </c>
      <c r="J7426" t="s">
        <v>24391</v>
      </c>
      <c r="K7426" t="s">
        <v>29333</v>
      </c>
      <c r="M7426" t="s">
        <v>31971</v>
      </c>
      <c r="N7426" t="s">
        <v>32524</v>
      </c>
      <c r="O7426" t="s">
        <v>32525</v>
      </c>
      <c r="P7426">
        <v>0</v>
      </c>
      <c r="Q7426">
        <v>0</v>
      </c>
      <c r="R7426" t="s">
        <v>32533</v>
      </c>
      <c r="S7426" t="s">
        <v>32667</v>
      </c>
      <c r="T7426" t="s">
        <v>33293</v>
      </c>
      <c r="U7426" t="s">
        <v>36907</v>
      </c>
      <c r="W7426" t="s">
        <v>31971</v>
      </c>
      <c r="X7426" t="s">
        <v>32534</v>
      </c>
    </row>
    <row r="7427" spans="1:24">
      <c r="A7427">
        <f>HYPERLINK("https://www.philgeps.gov.ph/GEPSNONPILOT/Tender/SplashBidNoticeAbstractUI.aspx?menuIndex=3&amp;refID=7033278&amp;Result=3","7033278")</f>
        <v>0</v>
      </c>
      <c r="B7427" t="s">
        <v>1462</v>
      </c>
      <c r="C7427" t="s">
        <v>9769</v>
      </c>
      <c r="D7427" t="s">
        <v>13041</v>
      </c>
      <c r="E7427" t="s">
        <v>19617</v>
      </c>
      <c r="F7427" t="s">
        <v>22436</v>
      </c>
      <c r="G7427" t="s">
        <v>22444</v>
      </c>
      <c r="H7427" t="s">
        <v>22452</v>
      </c>
      <c r="I7427" t="s">
        <v>22502</v>
      </c>
      <c r="J7427" t="s">
        <v>22747</v>
      </c>
      <c r="K7427" t="s">
        <v>29335</v>
      </c>
      <c r="M7427" t="s">
        <v>31130</v>
      </c>
      <c r="N7427" t="s">
        <v>32524</v>
      </c>
      <c r="O7427" t="s">
        <v>32525</v>
      </c>
      <c r="Q7427">
        <v>6</v>
      </c>
      <c r="R7427" t="s">
        <v>32533</v>
      </c>
      <c r="S7427" t="s">
        <v>32687</v>
      </c>
      <c r="T7427" t="s">
        <v>33530</v>
      </c>
      <c r="U7427" t="s">
        <v>39836</v>
      </c>
      <c r="W7427" t="s">
        <v>31130</v>
      </c>
      <c r="X7427" t="s">
        <v>32534</v>
      </c>
    </row>
    <row r="7428" spans="1:24">
      <c r="A7428">
        <f>HYPERLINK("https://www.philgeps.gov.ph/GEPSNONPILOT/Tender/SplashBidNoticeAbstractUI.aspx?menuIndex=3&amp;refID=7033312&amp;Result=3","7033312")</f>
        <v>0</v>
      </c>
      <c r="B7428" t="s">
        <v>2205</v>
      </c>
      <c r="C7428" t="s">
        <v>9770</v>
      </c>
      <c r="D7428" t="s">
        <v>13018</v>
      </c>
      <c r="E7428" t="s">
        <v>14881</v>
      </c>
      <c r="F7428" t="s">
        <v>22436</v>
      </c>
      <c r="G7428" t="s">
        <v>22444</v>
      </c>
      <c r="H7428" t="s">
        <v>22454</v>
      </c>
      <c r="I7428" t="s">
        <v>7738</v>
      </c>
      <c r="J7428" t="s">
        <v>22617</v>
      </c>
      <c r="K7428" t="s">
        <v>29329</v>
      </c>
      <c r="M7428" t="s">
        <v>31971</v>
      </c>
      <c r="N7428" t="s">
        <v>32524</v>
      </c>
      <c r="O7428" t="s">
        <v>32525</v>
      </c>
      <c r="P7428">
        <v>0</v>
      </c>
      <c r="Q7428">
        <v>0</v>
      </c>
      <c r="R7428" t="s">
        <v>32533</v>
      </c>
      <c r="S7428" t="s">
        <v>32667</v>
      </c>
      <c r="T7428" t="s">
        <v>33293</v>
      </c>
      <c r="U7428" t="s">
        <v>36907</v>
      </c>
      <c r="W7428" t="s">
        <v>31971</v>
      </c>
      <c r="X7428" t="s">
        <v>32534</v>
      </c>
    </row>
    <row r="7429" spans="1:24">
      <c r="A7429">
        <f>HYPERLINK("https://www.philgeps.gov.ph/GEPSNONPILOT/Tender/SplashBidNoticeAbstractUI.aspx?menuIndex=3&amp;refID=7033308&amp;Result=3","7033308")</f>
        <v>0</v>
      </c>
      <c r="B7429" t="s">
        <v>140</v>
      </c>
      <c r="C7429" t="s">
        <v>9771</v>
      </c>
      <c r="D7429" t="s">
        <v>12988</v>
      </c>
      <c r="E7429" t="s">
        <v>19618</v>
      </c>
      <c r="F7429" t="s">
        <v>22436</v>
      </c>
      <c r="G7429" t="s">
        <v>22444</v>
      </c>
      <c r="H7429" t="s">
        <v>22452</v>
      </c>
      <c r="I7429" t="s">
        <v>3027</v>
      </c>
      <c r="J7429" t="s">
        <v>27382</v>
      </c>
      <c r="K7429" t="s">
        <v>29338</v>
      </c>
      <c r="M7429" t="s">
        <v>30340</v>
      </c>
      <c r="N7429" t="s">
        <v>32524</v>
      </c>
      <c r="O7429" t="s">
        <v>32525</v>
      </c>
      <c r="P7429">
        <v>0</v>
      </c>
      <c r="Q7429">
        <v>4</v>
      </c>
      <c r="R7429" t="s">
        <v>32533</v>
      </c>
      <c r="S7429" t="s">
        <v>32667</v>
      </c>
      <c r="T7429" t="s">
        <v>33259</v>
      </c>
      <c r="U7429" t="s">
        <v>39837</v>
      </c>
      <c r="V7429" t="s">
        <v>42600</v>
      </c>
      <c r="W7429" t="s">
        <v>30340</v>
      </c>
      <c r="X7429" t="s">
        <v>32534</v>
      </c>
    </row>
    <row r="7430" spans="1:24">
      <c r="A7430">
        <f>HYPERLINK("https://www.philgeps.gov.ph/GEPSNONPILOT/Tender/SplashBidNoticeAbstractUI.aspx?menuIndex=3&amp;refID=7033318&amp;Result=3","7033318")</f>
        <v>0</v>
      </c>
      <c r="B7430" t="s">
        <v>399</v>
      </c>
      <c r="C7430" t="s">
        <v>9772</v>
      </c>
      <c r="D7430" t="s">
        <v>13025</v>
      </c>
      <c r="E7430" t="s">
        <v>19619</v>
      </c>
      <c r="F7430" t="s">
        <v>22436</v>
      </c>
      <c r="G7430" t="s">
        <v>22444</v>
      </c>
      <c r="H7430" t="s">
        <v>22452</v>
      </c>
      <c r="I7430" t="s">
        <v>22474</v>
      </c>
      <c r="J7430" t="s">
        <v>23350</v>
      </c>
      <c r="K7430" t="s">
        <v>29338</v>
      </c>
      <c r="M7430" t="s">
        <v>29978</v>
      </c>
      <c r="N7430" t="s">
        <v>32524</v>
      </c>
      <c r="O7430" t="s">
        <v>32525</v>
      </c>
      <c r="P7430">
        <v>0</v>
      </c>
      <c r="Q7430">
        <v>5</v>
      </c>
      <c r="R7430" t="s">
        <v>32533</v>
      </c>
      <c r="S7430" t="s">
        <v>32667</v>
      </c>
      <c r="T7430" t="s">
        <v>33486</v>
      </c>
      <c r="U7430" t="s">
        <v>39838</v>
      </c>
      <c r="W7430" t="s">
        <v>29978</v>
      </c>
      <c r="X7430" t="s">
        <v>32534</v>
      </c>
    </row>
    <row r="7431" spans="1:24">
      <c r="A7431">
        <f>HYPERLINK("https://www.philgeps.gov.ph/GEPSNONPILOT/Tender/SplashBidNoticeAbstractUI.aspx?menuIndex=3&amp;refID=7033332&amp;Result=3","7033332")</f>
        <v>0</v>
      </c>
      <c r="B7431" t="s">
        <v>2206</v>
      </c>
      <c r="C7431" t="s">
        <v>9773</v>
      </c>
      <c r="D7431" t="s">
        <v>13039</v>
      </c>
      <c r="E7431" t="s">
        <v>19620</v>
      </c>
      <c r="F7431" t="s">
        <v>22436</v>
      </c>
      <c r="G7431" t="s">
        <v>22444</v>
      </c>
      <c r="H7431" t="s">
        <v>22454</v>
      </c>
      <c r="I7431" t="s">
        <v>7738</v>
      </c>
      <c r="J7431" t="s">
        <v>27383</v>
      </c>
      <c r="K7431" t="s">
        <v>29334</v>
      </c>
      <c r="M7431" t="s">
        <v>31972</v>
      </c>
      <c r="N7431" t="s">
        <v>32524</v>
      </c>
      <c r="O7431" t="s">
        <v>32525</v>
      </c>
      <c r="P7431">
        <v>0</v>
      </c>
      <c r="Q7431">
        <v>3</v>
      </c>
      <c r="R7431" t="s">
        <v>32533</v>
      </c>
      <c r="S7431" t="s">
        <v>32667</v>
      </c>
      <c r="T7431" t="s">
        <v>33234</v>
      </c>
      <c r="U7431" t="s">
        <v>39839</v>
      </c>
      <c r="W7431" t="s">
        <v>31972</v>
      </c>
      <c r="X7431" t="s">
        <v>32534</v>
      </c>
    </row>
    <row r="7432" spans="1:24">
      <c r="A7432">
        <f>HYPERLINK("https://www.philgeps.gov.ph/GEPSNONPILOT/Tender/SplashBidNoticeAbstractUI.aspx?menuIndex=3&amp;refID=7033303&amp;Result=3","7033303")</f>
        <v>0</v>
      </c>
      <c r="B7432" t="s">
        <v>1686</v>
      </c>
      <c r="C7432" t="s">
        <v>9774</v>
      </c>
      <c r="D7432" t="s">
        <v>13000</v>
      </c>
      <c r="E7432" t="s">
        <v>19621</v>
      </c>
      <c r="F7432" t="s">
        <v>22436</v>
      </c>
      <c r="G7432" t="s">
        <v>22443</v>
      </c>
      <c r="H7432" t="s">
        <v>22452</v>
      </c>
      <c r="I7432" t="s">
        <v>3529</v>
      </c>
      <c r="J7432" t="s">
        <v>27384</v>
      </c>
      <c r="K7432" t="s">
        <v>29336</v>
      </c>
      <c r="L7432" t="s">
        <v>1686</v>
      </c>
      <c r="M7432" t="s">
        <v>31386</v>
      </c>
      <c r="N7432" t="s">
        <v>32524</v>
      </c>
      <c r="O7432" t="s">
        <v>32525</v>
      </c>
      <c r="P7432">
        <v>0</v>
      </c>
      <c r="Q7432">
        <v>2</v>
      </c>
      <c r="R7432" t="s">
        <v>32533</v>
      </c>
      <c r="S7432" t="s">
        <v>32667</v>
      </c>
      <c r="T7432" t="s">
        <v>33213</v>
      </c>
      <c r="U7432" t="s">
        <v>37842</v>
      </c>
      <c r="W7432" t="s">
        <v>31386</v>
      </c>
      <c r="X7432" t="s">
        <v>32534</v>
      </c>
    </row>
    <row r="7433" spans="1:24">
      <c r="A7433">
        <f>HYPERLINK("https://www.philgeps.gov.ph/GEPSNONPILOT/Tender/SplashBidNoticeAbstractUI.aspx?menuIndex=3&amp;refID=7033310&amp;Result=3","7033310")</f>
        <v>0</v>
      </c>
      <c r="B7433" t="s">
        <v>2207</v>
      </c>
      <c r="C7433" t="s">
        <v>9775</v>
      </c>
      <c r="D7433" t="s">
        <v>13049</v>
      </c>
      <c r="E7433" t="s">
        <v>19622</v>
      </c>
      <c r="F7433" t="s">
        <v>22436</v>
      </c>
      <c r="G7433" t="s">
        <v>22444</v>
      </c>
      <c r="H7433" t="s">
        <v>22454</v>
      </c>
      <c r="I7433" t="s">
        <v>7738</v>
      </c>
      <c r="J7433" t="s">
        <v>22587</v>
      </c>
      <c r="K7433" t="s">
        <v>29510</v>
      </c>
      <c r="M7433" t="s">
        <v>31973</v>
      </c>
      <c r="N7433" t="s">
        <v>32524</v>
      </c>
      <c r="O7433" t="s">
        <v>32525</v>
      </c>
      <c r="P7433">
        <v>0</v>
      </c>
      <c r="Q7433">
        <v>0</v>
      </c>
      <c r="R7433" t="s">
        <v>32533</v>
      </c>
      <c r="S7433" t="s">
        <v>32667</v>
      </c>
      <c r="T7433" t="s">
        <v>33553</v>
      </c>
      <c r="U7433" t="s">
        <v>39840</v>
      </c>
      <c r="W7433" t="s">
        <v>31973</v>
      </c>
      <c r="X7433" t="s">
        <v>32534</v>
      </c>
    </row>
    <row r="7434" spans="1:24">
      <c r="A7434">
        <f>HYPERLINK("https://www.philgeps.gov.ph/GEPSNONPILOT/Tender/SplashBidNoticeAbstractUI.aspx?menuIndex=3&amp;refID=7033311&amp;Result=3","7033311")</f>
        <v>0</v>
      </c>
      <c r="B7434" t="s">
        <v>339</v>
      </c>
      <c r="C7434" t="s">
        <v>9776</v>
      </c>
      <c r="D7434" t="s">
        <v>12990</v>
      </c>
      <c r="E7434" t="s">
        <v>13774</v>
      </c>
      <c r="F7434" t="s">
        <v>22436</v>
      </c>
      <c r="G7434" t="s">
        <v>22444</v>
      </c>
      <c r="H7434" t="s">
        <v>22454</v>
      </c>
      <c r="I7434" t="s">
        <v>7738</v>
      </c>
      <c r="J7434" t="s">
        <v>23829</v>
      </c>
      <c r="K7434" t="s">
        <v>29329</v>
      </c>
      <c r="M7434" t="s">
        <v>29915</v>
      </c>
      <c r="N7434" t="s">
        <v>32524</v>
      </c>
      <c r="O7434" t="s">
        <v>32525</v>
      </c>
      <c r="P7434">
        <v>0</v>
      </c>
      <c r="Q7434">
        <v>0</v>
      </c>
      <c r="R7434" t="s">
        <v>32533</v>
      </c>
      <c r="S7434" t="s">
        <v>32667</v>
      </c>
      <c r="T7434" t="s">
        <v>33206</v>
      </c>
      <c r="U7434" t="s">
        <v>39841</v>
      </c>
      <c r="W7434" t="s">
        <v>29915</v>
      </c>
      <c r="X7434" t="s">
        <v>32534</v>
      </c>
    </row>
    <row r="7435" spans="1:24">
      <c r="A7435">
        <f>HYPERLINK("https://www.philgeps.gov.ph/GEPSNONPILOT/Tender/SplashBidNoticeAbstractUI.aspx?menuIndex=3&amp;refID=7033297&amp;Result=3","7033297")</f>
        <v>0</v>
      </c>
      <c r="B7435" t="s">
        <v>2205</v>
      </c>
      <c r="C7435" t="s">
        <v>9777</v>
      </c>
      <c r="D7435" t="s">
        <v>13018</v>
      </c>
      <c r="E7435" t="s">
        <v>19623</v>
      </c>
      <c r="F7435" t="s">
        <v>22436</v>
      </c>
      <c r="G7435" t="s">
        <v>22444</v>
      </c>
      <c r="H7435" t="s">
        <v>22454</v>
      </c>
      <c r="I7435" t="s">
        <v>7738</v>
      </c>
      <c r="J7435" t="s">
        <v>22605</v>
      </c>
      <c r="K7435" t="s">
        <v>29333</v>
      </c>
      <c r="M7435" t="s">
        <v>31971</v>
      </c>
      <c r="N7435" t="s">
        <v>32524</v>
      </c>
      <c r="O7435" t="s">
        <v>32525</v>
      </c>
      <c r="P7435">
        <v>0</v>
      </c>
      <c r="Q7435">
        <v>0</v>
      </c>
      <c r="R7435" t="s">
        <v>32533</v>
      </c>
      <c r="S7435" t="s">
        <v>32667</v>
      </c>
      <c r="T7435" t="s">
        <v>33293</v>
      </c>
      <c r="U7435" t="s">
        <v>36907</v>
      </c>
      <c r="W7435" t="s">
        <v>31971</v>
      </c>
      <c r="X7435" t="s">
        <v>32534</v>
      </c>
    </row>
    <row r="7436" spans="1:24">
      <c r="A7436">
        <f>HYPERLINK("https://www.philgeps.gov.ph/GEPSNONPILOT/Tender/SplashBidNoticeAbstractUI.aspx?menuIndex=3&amp;refID=7033362&amp;Result=3","7033362")</f>
        <v>0</v>
      </c>
      <c r="B7436" t="s">
        <v>998</v>
      </c>
      <c r="C7436" t="s">
        <v>9778</v>
      </c>
      <c r="D7436" t="s">
        <v>12992</v>
      </c>
      <c r="E7436" t="s">
        <v>19624</v>
      </c>
      <c r="F7436" t="s">
        <v>22436</v>
      </c>
      <c r="G7436" t="s">
        <v>22443</v>
      </c>
      <c r="H7436" t="s">
        <v>22452</v>
      </c>
      <c r="I7436" t="s">
        <v>22529</v>
      </c>
      <c r="J7436" t="s">
        <v>27385</v>
      </c>
      <c r="K7436" t="s">
        <v>29331</v>
      </c>
      <c r="M7436" t="s">
        <v>30624</v>
      </c>
      <c r="N7436" t="s">
        <v>32524</v>
      </c>
      <c r="O7436" t="s">
        <v>32525</v>
      </c>
      <c r="P7436">
        <v>0</v>
      </c>
      <c r="Q7436">
        <v>2</v>
      </c>
      <c r="R7436" t="s">
        <v>32533</v>
      </c>
      <c r="S7436" t="s">
        <v>32667</v>
      </c>
      <c r="T7436" t="s">
        <v>33372</v>
      </c>
      <c r="U7436" t="s">
        <v>39842</v>
      </c>
      <c r="V7436" t="s">
        <v>43237</v>
      </c>
      <c r="W7436" t="s">
        <v>30624</v>
      </c>
      <c r="X7436" t="s">
        <v>32534</v>
      </c>
    </row>
    <row r="7437" spans="1:24">
      <c r="A7437">
        <f>HYPERLINK("https://www.philgeps.gov.ph/GEPSNONPILOT/Tender/SplashBidNoticeAbstractUI.aspx?menuIndex=3&amp;refID=7033324&amp;Result=3","7033324")</f>
        <v>0</v>
      </c>
      <c r="B7437" t="s">
        <v>2208</v>
      </c>
      <c r="C7437" t="s">
        <v>9779</v>
      </c>
      <c r="D7437" t="s">
        <v>13037</v>
      </c>
      <c r="E7437" t="s">
        <v>19625</v>
      </c>
      <c r="F7437" t="s">
        <v>22436</v>
      </c>
      <c r="G7437" t="s">
        <v>22444</v>
      </c>
      <c r="H7437" t="s">
        <v>22454</v>
      </c>
      <c r="I7437" t="s">
        <v>7738</v>
      </c>
      <c r="J7437" t="s">
        <v>27386</v>
      </c>
      <c r="K7437" t="s">
        <v>29344</v>
      </c>
      <c r="M7437" t="s">
        <v>31974</v>
      </c>
      <c r="N7437" t="s">
        <v>32524</v>
      </c>
      <c r="O7437" t="s">
        <v>32525</v>
      </c>
      <c r="P7437">
        <v>0</v>
      </c>
      <c r="Q7437">
        <v>0</v>
      </c>
      <c r="R7437" t="s">
        <v>32533</v>
      </c>
      <c r="S7437" t="s">
        <v>32667</v>
      </c>
      <c r="T7437" t="s">
        <v>33429</v>
      </c>
      <c r="U7437" t="s">
        <v>39843</v>
      </c>
      <c r="W7437" t="s">
        <v>31974</v>
      </c>
      <c r="X7437" t="s">
        <v>32534</v>
      </c>
    </row>
    <row r="7438" spans="1:24">
      <c r="A7438">
        <f>HYPERLINK("https://www.philgeps.gov.ph/GEPSNONPILOT/Tender/SplashBidNoticeAbstractUI.aspx?menuIndex=3&amp;refID=7033356&amp;Result=3","7033356")</f>
        <v>0</v>
      </c>
      <c r="B7438" t="s">
        <v>2205</v>
      </c>
      <c r="C7438" t="s">
        <v>9780</v>
      </c>
      <c r="D7438" t="s">
        <v>13018</v>
      </c>
      <c r="E7438" t="s">
        <v>19623</v>
      </c>
      <c r="F7438" t="s">
        <v>22436</v>
      </c>
      <c r="G7438" t="s">
        <v>22444</v>
      </c>
      <c r="H7438" t="s">
        <v>22454</v>
      </c>
      <c r="I7438" t="s">
        <v>7738</v>
      </c>
      <c r="J7438" t="s">
        <v>22785</v>
      </c>
      <c r="K7438" t="s">
        <v>29333</v>
      </c>
      <c r="M7438" t="s">
        <v>31971</v>
      </c>
      <c r="N7438" t="s">
        <v>32524</v>
      </c>
      <c r="O7438" t="s">
        <v>32525</v>
      </c>
      <c r="P7438">
        <v>0</v>
      </c>
      <c r="Q7438">
        <v>0</v>
      </c>
      <c r="R7438" t="s">
        <v>32533</v>
      </c>
      <c r="S7438" t="s">
        <v>32667</v>
      </c>
      <c r="T7438" t="s">
        <v>33293</v>
      </c>
      <c r="U7438" t="s">
        <v>36907</v>
      </c>
      <c r="W7438" t="s">
        <v>31971</v>
      </c>
      <c r="X7438" t="s">
        <v>32534</v>
      </c>
    </row>
    <row r="7439" spans="1:24">
      <c r="A7439">
        <f>HYPERLINK("https://www.philgeps.gov.ph/GEPSNONPILOT/Tender/SplashBidNoticeAbstractUI.aspx?menuIndex=3&amp;refID=7033259&amp;Result=3","7033259")</f>
        <v>0</v>
      </c>
      <c r="B7439" t="s">
        <v>601</v>
      </c>
      <c r="C7439" t="s">
        <v>9781</v>
      </c>
      <c r="D7439" t="s">
        <v>12988</v>
      </c>
      <c r="E7439" t="s">
        <v>19626</v>
      </c>
      <c r="F7439" t="s">
        <v>22436</v>
      </c>
      <c r="G7439" t="s">
        <v>22444</v>
      </c>
      <c r="H7439" t="s">
        <v>22454</v>
      </c>
      <c r="I7439" t="s">
        <v>7738</v>
      </c>
      <c r="J7439" t="s">
        <v>27387</v>
      </c>
      <c r="K7439" t="s">
        <v>29344</v>
      </c>
      <c r="M7439" t="s">
        <v>30191</v>
      </c>
      <c r="N7439" t="s">
        <v>32524</v>
      </c>
      <c r="O7439" t="s">
        <v>32525</v>
      </c>
      <c r="Q7439">
        <v>56</v>
      </c>
      <c r="R7439" t="s">
        <v>32533</v>
      </c>
      <c r="S7439" t="s">
        <v>32688</v>
      </c>
      <c r="T7439" t="s">
        <v>33484</v>
      </c>
      <c r="U7439" t="s">
        <v>39844</v>
      </c>
      <c r="V7439" t="s">
        <v>43236</v>
      </c>
      <c r="W7439" t="s">
        <v>30191</v>
      </c>
      <c r="X7439" t="s">
        <v>32534</v>
      </c>
    </row>
    <row r="7440" spans="1:24">
      <c r="A7440">
        <f>HYPERLINK("https://www.philgeps.gov.ph/GEPSNONPILOT/Tender/SplashBidNoticeAbstractUI.aspx?menuIndex=3&amp;refID=7033361&amp;Result=3","7033361")</f>
        <v>0</v>
      </c>
      <c r="B7440" t="s">
        <v>2207</v>
      </c>
      <c r="C7440" t="s">
        <v>9782</v>
      </c>
      <c r="D7440" t="s">
        <v>13049</v>
      </c>
      <c r="E7440" t="s">
        <v>19627</v>
      </c>
      <c r="F7440" t="s">
        <v>22436</v>
      </c>
      <c r="G7440" t="s">
        <v>22444</v>
      </c>
      <c r="H7440" t="s">
        <v>22454</v>
      </c>
      <c r="I7440" t="s">
        <v>7738</v>
      </c>
      <c r="J7440" t="s">
        <v>27388</v>
      </c>
      <c r="K7440" t="s">
        <v>29432</v>
      </c>
      <c r="M7440" t="s">
        <v>31973</v>
      </c>
      <c r="N7440" t="s">
        <v>32524</v>
      </c>
      <c r="O7440" t="s">
        <v>32525</v>
      </c>
      <c r="P7440">
        <v>0</v>
      </c>
      <c r="Q7440">
        <v>0</v>
      </c>
      <c r="R7440" t="s">
        <v>32533</v>
      </c>
      <c r="S7440" t="s">
        <v>32667</v>
      </c>
      <c r="T7440" t="s">
        <v>33553</v>
      </c>
      <c r="U7440" t="s">
        <v>39845</v>
      </c>
      <c r="W7440" t="s">
        <v>31973</v>
      </c>
      <c r="X7440" t="s">
        <v>32534</v>
      </c>
    </row>
    <row r="7441" spans="1:24">
      <c r="A7441">
        <f>HYPERLINK("https://www.philgeps.gov.ph/GEPSNONPILOT/Tender/SplashBidNoticeAbstractUI.aspx?menuIndex=3&amp;refID=7033373&amp;Result=3","7033373")</f>
        <v>0</v>
      </c>
      <c r="B7441" t="s">
        <v>2209</v>
      </c>
      <c r="C7441" t="s">
        <v>9783</v>
      </c>
      <c r="D7441" t="s">
        <v>13006</v>
      </c>
      <c r="E7441" t="s">
        <v>19628</v>
      </c>
      <c r="F7441" t="s">
        <v>22436</v>
      </c>
      <c r="G7441" t="s">
        <v>22447</v>
      </c>
      <c r="H7441" t="s">
        <v>22452</v>
      </c>
      <c r="I7441" t="s">
        <v>3529</v>
      </c>
      <c r="J7441" t="s">
        <v>27389</v>
      </c>
      <c r="K7441" t="s">
        <v>29336</v>
      </c>
      <c r="M7441" t="s">
        <v>31975</v>
      </c>
      <c r="N7441" t="s">
        <v>32524</v>
      </c>
      <c r="O7441" t="s">
        <v>32525</v>
      </c>
      <c r="P7441">
        <v>0</v>
      </c>
      <c r="Q7441">
        <v>0</v>
      </c>
      <c r="R7441" t="s">
        <v>32533</v>
      </c>
      <c r="S7441" t="s">
        <v>32667</v>
      </c>
      <c r="T7441" t="s">
        <v>33392</v>
      </c>
      <c r="U7441" t="s">
        <v>39846</v>
      </c>
      <c r="V7441" t="s">
        <v>43238</v>
      </c>
      <c r="W7441" t="s">
        <v>31975</v>
      </c>
      <c r="X7441" t="s">
        <v>32534</v>
      </c>
    </row>
    <row r="7442" spans="1:24">
      <c r="A7442">
        <f>HYPERLINK("https://www.philgeps.gov.ph/GEPSNONPILOT/Tender/SplashBidNoticeAbstractUI.aspx?menuIndex=3&amp;refID=7033358&amp;Result=3","7033358")</f>
        <v>0</v>
      </c>
      <c r="B7442" t="s">
        <v>399</v>
      </c>
      <c r="C7442" t="s">
        <v>9784</v>
      </c>
      <c r="D7442" t="s">
        <v>13025</v>
      </c>
      <c r="E7442" t="s">
        <v>19629</v>
      </c>
      <c r="F7442" t="s">
        <v>22436</v>
      </c>
      <c r="G7442" t="s">
        <v>22444</v>
      </c>
      <c r="H7442" t="s">
        <v>22452</v>
      </c>
      <c r="I7442" t="s">
        <v>22474</v>
      </c>
      <c r="J7442" t="s">
        <v>23350</v>
      </c>
      <c r="K7442" t="s">
        <v>29338</v>
      </c>
      <c r="M7442" t="s">
        <v>29978</v>
      </c>
      <c r="N7442" t="s">
        <v>32524</v>
      </c>
      <c r="O7442" t="s">
        <v>32525</v>
      </c>
      <c r="P7442">
        <v>0</v>
      </c>
      <c r="Q7442">
        <v>4</v>
      </c>
      <c r="R7442" t="s">
        <v>32533</v>
      </c>
      <c r="S7442" t="s">
        <v>32667</v>
      </c>
      <c r="T7442" t="s">
        <v>33486</v>
      </c>
      <c r="U7442" t="s">
        <v>39838</v>
      </c>
      <c r="W7442" t="s">
        <v>29978</v>
      </c>
      <c r="X7442" t="s">
        <v>32534</v>
      </c>
    </row>
    <row r="7443" spans="1:24">
      <c r="A7443">
        <f>HYPERLINK("https://www.philgeps.gov.ph/GEPSNONPILOT/Tender/SplashBidNoticeAbstractUI.aspx?menuIndex=3&amp;refID=7033251&amp;Result=3","7033251")</f>
        <v>0</v>
      </c>
      <c r="B7443" t="s">
        <v>2206</v>
      </c>
      <c r="C7443" t="s">
        <v>9785</v>
      </c>
      <c r="D7443" t="s">
        <v>13039</v>
      </c>
      <c r="E7443" t="s">
        <v>19630</v>
      </c>
      <c r="F7443" t="s">
        <v>22436</v>
      </c>
      <c r="G7443" t="s">
        <v>22444</v>
      </c>
      <c r="H7443" t="s">
        <v>22452</v>
      </c>
      <c r="I7443" t="s">
        <v>3827</v>
      </c>
      <c r="J7443" t="s">
        <v>27390</v>
      </c>
      <c r="K7443" t="s">
        <v>29335</v>
      </c>
      <c r="M7443" t="s">
        <v>31972</v>
      </c>
      <c r="N7443" t="s">
        <v>32524</v>
      </c>
      <c r="O7443" t="s">
        <v>32525</v>
      </c>
      <c r="P7443">
        <v>0</v>
      </c>
      <c r="Q7443">
        <v>2</v>
      </c>
      <c r="R7443" t="s">
        <v>32533</v>
      </c>
      <c r="S7443" t="s">
        <v>32667</v>
      </c>
      <c r="T7443" t="s">
        <v>33234</v>
      </c>
      <c r="U7443" t="s">
        <v>39847</v>
      </c>
      <c r="W7443" t="s">
        <v>31972</v>
      </c>
      <c r="X7443" t="s">
        <v>32534</v>
      </c>
    </row>
    <row r="7444" spans="1:24">
      <c r="A7444">
        <f>HYPERLINK("https://www.philgeps.gov.ph/GEPSNONPILOT/Tender/SplashBidNoticeAbstractUI.aspx?menuIndex=3&amp;refID=7033364&amp;Result=3","7033364")</f>
        <v>0</v>
      </c>
      <c r="B7444" t="s">
        <v>1914</v>
      </c>
      <c r="C7444" t="s">
        <v>9786</v>
      </c>
      <c r="D7444" t="s">
        <v>13065</v>
      </c>
      <c r="E7444" t="s">
        <v>14443</v>
      </c>
      <c r="F7444" t="s">
        <v>22436</v>
      </c>
      <c r="G7444" t="s">
        <v>22444</v>
      </c>
      <c r="H7444" t="s">
        <v>22454</v>
      </c>
      <c r="I7444" t="s">
        <v>7738</v>
      </c>
      <c r="J7444" t="s">
        <v>23316</v>
      </c>
      <c r="K7444" t="s">
        <v>29344</v>
      </c>
      <c r="M7444" t="s">
        <v>31638</v>
      </c>
      <c r="N7444" t="s">
        <v>32524</v>
      </c>
      <c r="O7444" t="s">
        <v>32525</v>
      </c>
      <c r="P7444">
        <v>0</v>
      </c>
      <c r="Q7444">
        <v>0</v>
      </c>
      <c r="R7444" t="s">
        <v>32533</v>
      </c>
      <c r="S7444" t="s">
        <v>32667</v>
      </c>
      <c r="T7444" t="s">
        <v>33259</v>
      </c>
      <c r="U7444" t="s">
        <v>39848</v>
      </c>
      <c r="V7444" t="s">
        <v>43093</v>
      </c>
      <c r="W7444" t="s">
        <v>31638</v>
      </c>
      <c r="X7444" t="s">
        <v>32534</v>
      </c>
    </row>
    <row r="7445" spans="1:24">
      <c r="A7445">
        <f>HYPERLINK("https://www.philgeps.gov.ph/GEPSNONPILOT/Tender/SplashBidNoticeAbstractUI.aspx?menuIndex=3&amp;refID=7033397&amp;Result=3","7033397")</f>
        <v>0</v>
      </c>
      <c r="B7445" t="s">
        <v>1584</v>
      </c>
      <c r="C7445" t="s">
        <v>9787</v>
      </c>
      <c r="D7445" t="s">
        <v>13033</v>
      </c>
      <c r="E7445" t="s">
        <v>19631</v>
      </c>
      <c r="F7445" t="s">
        <v>22436</v>
      </c>
      <c r="G7445" t="s">
        <v>22444</v>
      </c>
      <c r="H7445" t="s">
        <v>22454</v>
      </c>
      <c r="I7445" t="s">
        <v>7738</v>
      </c>
      <c r="J7445" t="s">
        <v>22911</v>
      </c>
      <c r="K7445" t="s">
        <v>29333</v>
      </c>
      <c r="M7445" t="s">
        <v>31266</v>
      </c>
      <c r="N7445" t="s">
        <v>32524</v>
      </c>
      <c r="O7445" t="s">
        <v>32525</v>
      </c>
      <c r="P7445">
        <v>0</v>
      </c>
      <c r="Q7445">
        <v>0</v>
      </c>
      <c r="R7445" t="s">
        <v>32533</v>
      </c>
      <c r="S7445" t="s">
        <v>32667</v>
      </c>
      <c r="T7445" t="s">
        <v>33361</v>
      </c>
      <c r="U7445" t="s">
        <v>39849</v>
      </c>
      <c r="W7445" t="s">
        <v>31266</v>
      </c>
      <c r="X7445" t="s">
        <v>32534</v>
      </c>
    </row>
    <row r="7446" spans="1:24">
      <c r="A7446">
        <f>HYPERLINK("https://www.philgeps.gov.ph/GEPSNONPILOT/Tender/SplashBidNoticeAbstractUI.aspx?menuIndex=3&amp;refID=7033350&amp;Result=3","7033350")</f>
        <v>0</v>
      </c>
      <c r="B7446" t="s">
        <v>2210</v>
      </c>
      <c r="C7446" t="s">
        <v>9788</v>
      </c>
      <c r="D7446" t="s">
        <v>13026</v>
      </c>
      <c r="E7446" t="s">
        <v>19632</v>
      </c>
      <c r="F7446" t="s">
        <v>22436</v>
      </c>
      <c r="G7446" t="s">
        <v>22443</v>
      </c>
      <c r="H7446" t="s">
        <v>22452</v>
      </c>
      <c r="I7446" t="s">
        <v>22469</v>
      </c>
      <c r="J7446" t="s">
        <v>22700</v>
      </c>
      <c r="K7446" t="s">
        <v>29335</v>
      </c>
      <c r="M7446" t="s">
        <v>31976</v>
      </c>
      <c r="N7446" t="s">
        <v>32524</v>
      </c>
      <c r="O7446" t="s">
        <v>32525</v>
      </c>
      <c r="P7446">
        <v>0</v>
      </c>
      <c r="Q7446">
        <v>3</v>
      </c>
      <c r="R7446" t="s">
        <v>32533</v>
      </c>
      <c r="S7446" t="s">
        <v>32667</v>
      </c>
      <c r="T7446" t="s">
        <v>33530</v>
      </c>
      <c r="U7446" t="s">
        <v>39850</v>
      </c>
      <c r="W7446" t="s">
        <v>31976</v>
      </c>
      <c r="X7446" t="s">
        <v>32534</v>
      </c>
    </row>
    <row r="7447" spans="1:24">
      <c r="A7447">
        <f>HYPERLINK("https://www.philgeps.gov.ph/GEPSNONPILOT/Tender/SplashBidNoticeAbstractUI.aspx?menuIndex=3&amp;refID=7033372&amp;Result=3","7033372")</f>
        <v>0</v>
      </c>
      <c r="B7447" t="s">
        <v>2211</v>
      </c>
      <c r="C7447" t="s">
        <v>9789</v>
      </c>
      <c r="D7447" t="s">
        <v>13006</v>
      </c>
      <c r="E7447" t="s">
        <v>13539</v>
      </c>
      <c r="F7447" t="s">
        <v>22436</v>
      </c>
      <c r="G7447" t="s">
        <v>22444</v>
      </c>
      <c r="H7447" t="s">
        <v>22454</v>
      </c>
      <c r="I7447" t="s">
        <v>7738</v>
      </c>
      <c r="J7447" t="s">
        <v>22614</v>
      </c>
      <c r="K7447" t="s">
        <v>29334</v>
      </c>
      <c r="L7447" t="s">
        <v>2211</v>
      </c>
      <c r="M7447" t="s">
        <v>31977</v>
      </c>
      <c r="N7447" t="s">
        <v>32524</v>
      </c>
      <c r="O7447" t="s">
        <v>32525</v>
      </c>
      <c r="P7447">
        <v>0</v>
      </c>
      <c r="Q7447">
        <v>1</v>
      </c>
      <c r="R7447" t="s">
        <v>32533</v>
      </c>
      <c r="S7447" t="s">
        <v>32667</v>
      </c>
      <c r="T7447" t="s">
        <v>33234</v>
      </c>
      <c r="U7447" t="s">
        <v>39851</v>
      </c>
      <c r="W7447" t="s">
        <v>31977</v>
      </c>
      <c r="X7447" t="s">
        <v>32534</v>
      </c>
    </row>
    <row r="7448" spans="1:24">
      <c r="A7448">
        <f>HYPERLINK("https://www.philgeps.gov.ph/GEPSNONPILOT/Tender/SplashBidNoticeAbstractUI.aspx?menuIndex=3&amp;refID=7033396&amp;Result=3","7033396")</f>
        <v>0</v>
      </c>
      <c r="B7448" t="s">
        <v>1974</v>
      </c>
      <c r="C7448" t="s">
        <v>9790</v>
      </c>
      <c r="D7448" t="s">
        <v>13039</v>
      </c>
      <c r="E7448" t="s">
        <v>19633</v>
      </c>
      <c r="F7448" t="s">
        <v>22436</v>
      </c>
      <c r="G7448" t="s">
        <v>22444</v>
      </c>
      <c r="H7448" t="s">
        <v>22452</v>
      </c>
      <c r="I7448" t="s">
        <v>22482</v>
      </c>
      <c r="J7448" t="s">
        <v>22640</v>
      </c>
      <c r="K7448" t="s">
        <v>29338</v>
      </c>
      <c r="M7448" t="s">
        <v>31706</v>
      </c>
      <c r="N7448" t="s">
        <v>32524</v>
      </c>
      <c r="O7448" t="s">
        <v>32525</v>
      </c>
      <c r="P7448">
        <v>0</v>
      </c>
      <c r="Q7448">
        <v>1</v>
      </c>
      <c r="R7448" t="s">
        <v>32533</v>
      </c>
      <c r="S7448" t="s">
        <v>32667</v>
      </c>
      <c r="T7448" t="s">
        <v>33230</v>
      </c>
      <c r="U7448" t="s">
        <v>39852</v>
      </c>
      <c r="W7448" t="s">
        <v>31706</v>
      </c>
      <c r="X7448" t="s">
        <v>32534</v>
      </c>
    </row>
    <row r="7449" spans="1:24">
      <c r="A7449">
        <f>HYPERLINK("https://www.philgeps.gov.ph/GEPSNONPILOT/Tender/SplashBidNoticeAbstractUI.aspx?menuIndex=3&amp;refID=7033403&amp;Result=3","7033403")</f>
        <v>0</v>
      </c>
      <c r="B7449" t="s">
        <v>1045</v>
      </c>
      <c r="C7449" t="s">
        <v>9791</v>
      </c>
      <c r="D7449" t="s">
        <v>12988</v>
      </c>
      <c r="E7449" t="s">
        <v>19634</v>
      </c>
      <c r="F7449" t="s">
        <v>22436</v>
      </c>
      <c r="G7449" t="s">
        <v>22443</v>
      </c>
      <c r="H7449" t="s">
        <v>22455</v>
      </c>
      <c r="I7449" t="s">
        <v>22577</v>
      </c>
      <c r="J7449" t="s">
        <v>22585</v>
      </c>
      <c r="K7449" t="s">
        <v>29338</v>
      </c>
      <c r="M7449" t="s">
        <v>30677</v>
      </c>
      <c r="N7449" t="s">
        <v>32524</v>
      </c>
      <c r="O7449" t="s">
        <v>32525</v>
      </c>
      <c r="Q7449">
        <v>3</v>
      </c>
      <c r="R7449" t="s">
        <v>32533</v>
      </c>
      <c r="S7449" t="s">
        <v>32689</v>
      </c>
      <c r="T7449" t="s">
        <v>33169</v>
      </c>
      <c r="U7449" t="s">
        <v>39853</v>
      </c>
      <c r="V7449" t="s">
        <v>42696</v>
      </c>
      <c r="W7449" t="s">
        <v>43705</v>
      </c>
      <c r="X7449" t="s">
        <v>32534</v>
      </c>
    </row>
    <row r="7450" spans="1:24">
      <c r="A7450">
        <f>HYPERLINK("https://www.philgeps.gov.ph/GEPSNONPILOT/Tender/SplashBidNoticeAbstractUI.aspx?menuIndex=3&amp;refID=7033376&amp;Result=3","7033376")</f>
        <v>0</v>
      </c>
      <c r="B7450" t="s">
        <v>2212</v>
      </c>
      <c r="C7450" t="s">
        <v>9792</v>
      </c>
      <c r="D7450" t="s">
        <v>13032</v>
      </c>
      <c r="E7450" t="s">
        <v>19635</v>
      </c>
      <c r="F7450" t="s">
        <v>22437</v>
      </c>
      <c r="G7450" t="s">
        <v>22444</v>
      </c>
      <c r="H7450" t="s">
        <v>22454</v>
      </c>
      <c r="I7450" t="s">
        <v>7738</v>
      </c>
      <c r="J7450" t="s">
        <v>23885</v>
      </c>
      <c r="K7450" t="s">
        <v>29398</v>
      </c>
      <c r="L7450" t="s">
        <v>2212</v>
      </c>
      <c r="M7450" t="s">
        <v>31978</v>
      </c>
      <c r="N7450" t="s">
        <v>32524</v>
      </c>
      <c r="O7450" t="s">
        <v>32525</v>
      </c>
      <c r="P7450">
        <v>0</v>
      </c>
      <c r="Q7450">
        <v>0</v>
      </c>
      <c r="R7450" t="s">
        <v>32533</v>
      </c>
      <c r="S7450" t="s">
        <v>32667</v>
      </c>
      <c r="T7450" t="s">
        <v>33171</v>
      </c>
      <c r="U7450" t="s">
        <v>39854</v>
      </c>
      <c r="W7450" t="s">
        <v>31978</v>
      </c>
      <c r="X7450" t="s">
        <v>32534</v>
      </c>
    </row>
    <row r="7451" spans="1:24">
      <c r="A7451">
        <f>HYPERLINK("https://www.philgeps.gov.ph/GEPSNONPILOT/Tender/SplashBidNoticeAbstractUI.aspx?menuIndex=3&amp;refID=7033346&amp;Result=3","7033346")</f>
        <v>0</v>
      </c>
      <c r="B7451" t="s">
        <v>1686</v>
      </c>
      <c r="C7451" t="s">
        <v>9793</v>
      </c>
      <c r="D7451" t="s">
        <v>13000</v>
      </c>
      <c r="E7451" t="s">
        <v>19636</v>
      </c>
      <c r="F7451" t="s">
        <v>22436</v>
      </c>
      <c r="G7451" t="s">
        <v>22443</v>
      </c>
      <c r="H7451" t="s">
        <v>22452</v>
      </c>
      <c r="I7451" t="s">
        <v>3529</v>
      </c>
      <c r="J7451" t="s">
        <v>27391</v>
      </c>
      <c r="K7451" t="s">
        <v>29336</v>
      </c>
      <c r="L7451" t="s">
        <v>1686</v>
      </c>
      <c r="M7451" t="s">
        <v>31386</v>
      </c>
      <c r="N7451" t="s">
        <v>32524</v>
      </c>
      <c r="O7451" t="s">
        <v>32525</v>
      </c>
      <c r="P7451">
        <v>0</v>
      </c>
      <c r="Q7451">
        <v>2</v>
      </c>
      <c r="R7451" t="s">
        <v>32533</v>
      </c>
      <c r="S7451" t="s">
        <v>32667</v>
      </c>
      <c r="T7451" t="s">
        <v>33213</v>
      </c>
      <c r="U7451" t="s">
        <v>37842</v>
      </c>
      <c r="W7451" t="s">
        <v>31386</v>
      </c>
      <c r="X7451" t="s">
        <v>32534</v>
      </c>
    </row>
    <row r="7452" spans="1:24">
      <c r="A7452">
        <f>HYPERLINK("https://www.philgeps.gov.ph/GEPSNONPILOT/Tender/SplashBidNoticeAbstractUI.aspx?menuIndex=3&amp;refID=7033338&amp;Result=3","7033338")</f>
        <v>0</v>
      </c>
      <c r="B7452" t="s">
        <v>2205</v>
      </c>
      <c r="C7452" t="s">
        <v>9794</v>
      </c>
      <c r="D7452" t="s">
        <v>13018</v>
      </c>
      <c r="E7452" t="s">
        <v>19637</v>
      </c>
      <c r="F7452" t="s">
        <v>22436</v>
      </c>
      <c r="G7452" t="s">
        <v>22444</v>
      </c>
      <c r="H7452" t="s">
        <v>22454</v>
      </c>
      <c r="I7452" t="s">
        <v>7738</v>
      </c>
      <c r="J7452" t="s">
        <v>27392</v>
      </c>
      <c r="K7452" t="s">
        <v>29333</v>
      </c>
      <c r="M7452" t="s">
        <v>31971</v>
      </c>
      <c r="N7452" t="s">
        <v>32524</v>
      </c>
      <c r="O7452" t="s">
        <v>32525</v>
      </c>
      <c r="P7452">
        <v>0</v>
      </c>
      <c r="Q7452">
        <v>0</v>
      </c>
      <c r="R7452" t="s">
        <v>32533</v>
      </c>
      <c r="S7452" t="s">
        <v>32667</v>
      </c>
      <c r="T7452" t="s">
        <v>33293</v>
      </c>
      <c r="U7452" t="s">
        <v>36907</v>
      </c>
      <c r="W7452" t="s">
        <v>31971</v>
      </c>
      <c r="X7452" t="s">
        <v>32534</v>
      </c>
    </row>
    <row r="7453" spans="1:24">
      <c r="A7453">
        <f>HYPERLINK("https://www.philgeps.gov.ph/GEPSNONPILOT/Tender/SplashBidNoticeAbstractUI.aspx?menuIndex=3&amp;refID=7033405&amp;Result=3","7033405")</f>
        <v>0</v>
      </c>
      <c r="B7453" t="s">
        <v>2210</v>
      </c>
      <c r="C7453" t="s">
        <v>9795</v>
      </c>
      <c r="D7453" t="s">
        <v>13026</v>
      </c>
      <c r="E7453" t="s">
        <v>19638</v>
      </c>
      <c r="F7453" t="s">
        <v>22436</v>
      </c>
      <c r="G7453" t="s">
        <v>22443</v>
      </c>
      <c r="H7453" t="s">
        <v>22452</v>
      </c>
      <c r="I7453" t="s">
        <v>22474</v>
      </c>
      <c r="J7453" t="s">
        <v>24356</v>
      </c>
      <c r="K7453" t="s">
        <v>29335</v>
      </c>
      <c r="M7453" t="s">
        <v>31976</v>
      </c>
      <c r="N7453" t="s">
        <v>32524</v>
      </c>
      <c r="O7453" t="s">
        <v>32525</v>
      </c>
      <c r="P7453">
        <v>0</v>
      </c>
      <c r="Q7453">
        <v>0</v>
      </c>
      <c r="R7453" t="s">
        <v>32533</v>
      </c>
      <c r="S7453" t="s">
        <v>32667</v>
      </c>
      <c r="T7453" t="s">
        <v>33359</v>
      </c>
      <c r="U7453" t="s">
        <v>39855</v>
      </c>
      <c r="W7453" t="s">
        <v>31976</v>
      </c>
      <c r="X7453" t="s">
        <v>32534</v>
      </c>
    </row>
    <row r="7454" spans="1:24">
      <c r="A7454">
        <f>HYPERLINK("https://www.philgeps.gov.ph/GEPSNONPILOT/Tender/SplashBidNoticeAbstractUI.aspx?menuIndex=3&amp;refID=7033391&amp;Result=3","7033391")</f>
        <v>0</v>
      </c>
      <c r="B7454" t="s">
        <v>82</v>
      </c>
      <c r="C7454" t="s">
        <v>9796</v>
      </c>
      <c r="D7454" t="s">
        <v>13024</v>
      </c>
      <c r="E7454" t="s">
        <v>19639</v>
      </c>
      <c r="F7454" t="s">
        <v>22436</v>
      </c>
      <c r="G7454" t="s">
        <v>22443</v>
      </c>
      <c r="H7454" t="s">
        <v>22452</v>
      </c>
      <c r="I7454" t="s">
        <v>22463</v>
      </c>
      <c r="J7454" t="s">
        <v>27319</v>
      </c>
      <c r="K7454" t="s">
        <v>29336</v>
      </c>
      <c r="M7454" t="s">
        <v>31939</v>
      </c>
      <c r="N7454" t="s">
        <v>32524</v>
      </c>
      <c r="O7454" t="s">
        <v>32525</v>
      </c>
      <c r="P7454">
        <v>0</v>
      </c>
      <c r="Q7454">
        <v>1</v>
      </c>
      <c r="R7454" t="s">
        <v>32533</v>
      </c>
      <c r="S7454" t="s">
        <v>32667</v>
      </c>
      <c r="T7454" t="s">
        <v>33238</v>
      </c>
      <c r="U7454" t="s">
        <v>39856</v>
      </c>
      <c r="W7454" t="s">
        <v>31939</v>
      </c>
      <c r="X7454" t="s">
        <v>32534</v>
      </c>
    </row>
    <row r="7455" spans="1:24">
      <c r="A7455">
        <f>HYPERLINK("https://www.philgeps.gov.ph/GEPSNONPILOT/Tender/SplashBidNoticeAbstractUI.aspx?menuIndex=3&amp;refID=7033388&amp;Result=3","7033388")</f>
        <v>0</v>
      </c>
      <c r="B7455" t="s">
        <v>1686</v>
      </c>
      <c r="C7455" t="s">
        <v>9797</v>
      </c>
      <c r="D7455" t="s">
        <v>13000</v>
      </c>
      <c r="E7455" t="s">
        <v>19640</v>
      </c>
      <c r="F7455" t="s">
        <v>22436</v>
      </c>
      <c r="G7455" t="s">
        <v>22443</v>
      </c>
      <c r="H7455" t="s">
        <v>22452</v>
      </c>
      <c r="I7455" t="s">
        <v>3529</v>
      </c>
      <c r="J7455" t="s">
        <v>27393</v>
      </c>
      <c r="K7455" t="s">
        <v>29357</v>
      </c>
      <c r="L7455" t="s">
        <v>1686</v>
      </c>
      <c r="M7455" t="s">
        <v>31386</v>
      </c>
      <c r="N7455" t="s">
        <v>32524</v>
      </c>
      <c r="O7455" t="s">
        <v>32525</v>
      </c>
      <c r="P7455">
        <v>0</v>
      </c>
      <c r="Q7455">
        <v>0</v>
      </c>
      <c r="R7455" t="s">
        <v>32533</v>
      </c>
      <c r="S7455" t="s">
        <v>32667</v>
      </c>
      <c r="T7455" t="s">
        <v>33213</v>
      </c>
      <c r="U7455" t="s">
        <v>37842</v>
      </c>
      <c r="W7455" t="s">
        <v>31386</v>
      </c>
      <c r="X7455" t="s">
        <v>32534</v>
      </c>
    </row>
    <row r="7456" spans="1:24">
      <c r="A7456">
        <f>HYPERLINK("https://www.philgeps.gov.ph/GEPSNONPILOT/Tender/SplashBidNoticeAbstractUI.aspx?menuIndex=3&amp;refID=7033371&amp;Result=3","7033371")</f>
        <v>0</v>
      </c>
      <c r="B7456" t="s">
        <v>1686</v>
      </c>
      <c r="C7456" t="s">
        <v>9798</v>
      </c>
      <c r="D7456" t="s">
        <v>13000</v>
      </c>
      <c r="E7456" t="s">
        <v>19641</v>
      </c>
      <c r="F7456" t="s">
        <v>22436</v>
      </c>
      <c r="G7456" t="s">
        <v>22443</v>
      </c>
      <c r="H7456" t="s">
        <v>22452</v>
      </c>
      <c r="I7456" t="s">
        <v>3529</v>
      </c>
      <c r="J7456" t="s">
        <v>27377</v>
      </c>
      <c r="K7456" t="s">
        <v>29336</v>
      </c>
      <c r="L7456" t="s">
        <v>1686</v>
      </c>
      <c r="M7456" t="s">
        <v>31386</v>
      </c>
      <c r="N7456" t="s">
        <v>32524</v>
      </c>
      <c r="O7456" t="s">
        <v>32525</v>
      </c>
      <c r="P7456">
        <v>0</v>
      </c>
      <c r="Q7456">
        <v>0</v>
      </c>
      <c r="R7456" t="s">
        <v>32533</v>
      </c>
      <c r="S7456" t="s">
        <v>32667</v>
      </c>
      <c r="T7456" t="s">
        <v>33213</v>
      </c>
      <c r="U7456" t="s">
        <v>37842</v>
      </c>
      <c r="W7456" t="s">
        <v>31386</v>
      </c>
      <c r="X7456" t="s">
        <v>32534</v>
      </c>
    </row>
    <row r="7457" spans="1:24">
      <c r="A7457">
        <f>HYPERLINK("https://www.philgeps.gov.ph/GEPSNONPILOT/Tender/SplashBidNoticeAbstractUI.aspx?menuIndex=3&amp;refID=7033389&amp;Result=3","7033389")</f>
        <v>0</v>
      </c>
      <c r="B7457" t="s">
        <v>2213</v>
      </c>
      <c r="C7457" t="s">
        <v>9799</v>
      </c>
      <c r="D7457" t="s">
        <v>13030</v>
      </c>
      <c r="E7457" t="s">
        <v>19642</v>
      </c>
      <c r="F7457" t="s">
        <v>22436</v>
      </c>
      <c r="G7457" t="s">
        <v>22444</v>
      </c>
      <c r="H7457" t="s">
        <v>22452</v>
      </c>
      <c r="I7457" t="s">
        <v>3529</v>
      </c>
      <c r="J7457" t="s">
        <v>27394</v>
      </c>
      <c r="K7457" t="s">
        <v>29335</v>
      </c>
      <c r="M7457" t="s">
        <v>31979</v>
      </c>
      <c r="N7457" t="s">
        <v>32524</v>
      </c>
      <c r="O7457" t="s">
        <v>32525</v>
      </c>
      <c r="P7457">
        <v>0</v>
      </c>
      <c r="Q7457">
        <v>3</v>
      </c>
      <c r="R7457" t="s">
        <v>32533</v>
      </c>
      <c r="S7457" t="s">
        <v>32667</v>
      </c>
      <c r="T7457" t="s">
        <v>33403</v>
      </c>
      <c r="U7457" t="s">
        <v>39857</v>
      </c>
      <c r="W7457" t="s">
        <v>31979</v>
      </c>
      <c r="X7457" t="s">
        <v>32534</v>
      </c>
    </row>
    <row r="7458" spans="1:24">
      <c r="A7458">
        <f>HYPERLINK("https://www.philgeps.gov.ph/GEPSNONPILOT/Tender/SplashBidNoticeAbstractUI.aspx?menuIndex=3&amp;refID=7033471&amp;Result=3","7033471")</f>
        <v>0</v>
      </c>
      <c r="B7458" t="s">
        <v>2214</v>
      </c>
      <c r="C7458" t="s">
        <v>9800</v>
      </c>
      <c r="D7458" t="s">
        <v>13029</v>
      </c>
      <c r="E7458" t="s">
        <v>14016</v>
      </c>
      <c r="F7458" t="s">
        <v>22436</v>
      </c>
      <c r="G7458" t="s">
        <v>22444</v>
      </c>
      <c r="H7458" t="s">
        <v>22454</v>
      </c>
      <c r="I7458" t="s">
        <v>7738</v>
      </c>
      <c r="J7458" t="s">
        <v>24712</v>
      </c>
      <c r="K7458" t="s">
        <v>29344</v>
      </c>
      <c r="M7458" t="s">
        <v>31980</v>
      </c>
      <c r="N7458" t="s">
        <v>32524</v>
      </c>
      <c r="O7458" t="s">
        <v>32525</v>
      </c>
      <c r="P7458">
        <v>0</v>
      </c>
      <c r="Q7458">
        <v>0</v>
      </c>
      <c r="R7458" t="s">
        <v>32533</v>
      </c>
      <c r="S7458" t="s">
        <v>32667</v>
      </c>
      <c r="T7458" t="s">
        <v>33227</v>
      </c>
      <c r="U7458" t="s">
        <v>39858</v>
      </c>
      <c r="V7458" t="s">
        <v>43239</v>
      </c>
      <c r="W7458" t="s">
        <v>31980</v>
      </c>
      <c r="X7458" t="s">
        <v>32534</v>
      </c>
    </row>
    <row r="7459" spans="1:24">
      <c r="A7459">
        <f>HYPERLINK("https://www.philgeps.gov.ph/GEPSNONPILOT/Tender/SplashBidNoticeAbstractUI.aspx?menuIndex=3&amp;refID=7033386&amp;Result=3","7033386")</f>
        <v>0</v>
      </c>
      <c r="B7459" t="s">
        <v>2215</v>
      </c>
      <c r="C7459" t="s">
        <v>9801</v>
      </c>
      <c r="D7459" t="s">
        <v>12995</v>
      </c>
      <c r="E7459" t="s">
        <v>19643</v>
      </c>
      <c r="F7459" t="s">
        <v>22436</v>
      </c>
      <c r="G7459" t="s">
        <v>22446</v>
      </c>
      <c r="H7459" t="s">
        <v>22452</v>
      </c>
      <c r="I7459" t="s">
        <v>22469</v>
      </c>
      <c r="J7459" t="s">
        <v>27395</v>
      </c>
      <c r="K7459" t="s">
        <v>29336</v>
      </c>
      <c r="M7459" t="s">
        <v>31981</v>
      </c>
      <c r="N7459" t="s">
        <v>32524</v>
      </c>
      <c r="O7459" t="s">
        <v>32525</v>
      </c>
      <c r="Q7459">
        <v>2</v>
      </c>
      <c r="R7459" t="s">
        <v>32533</v>
      </c>
      <c r="S7459" t="s">
        <v>32690</v>
      </c>
      <c r="T7459" t="s">
        <v>33215</v>
      </c>
      <c r="U7459" t="s">
        <v>39859</v>
      </c>
      <c r="W7459" t="s">
        <v>31981</v>
      </c>
      <c r="X7459" t="s">
        <v>32534</v>
      </c>
    </row>
    <row r="7460" spans="1:24">
      <c r="A7460">
        <f>HYPERLINK("https://www.philgeps.gov.ph/GEPSNONPILOT/Tender/SplashBidNoticeAbstractUI.aspx?menuIndex=3&amp;refID=7033408&amp;Result=3","7033408")</f>
        <v>0</v>
      </c>
      <c r="B7460" t="s">
        <v>2216</v>
      </c>
      <c r="C7460" t="s">
        <v>9802</v>
      </c>
      <c r="D7460" t="s">
        <v>13037</v>
      </c>
      <c r="E7460" t="s">
        <v>19644</v>
      </c>
      <c r="F7460" t="s">
        <v>22436</v>
      </c>
      <c r="G7460" t="s">
        <v>22444</v>
      </c>
      <c r="H7460" t="s">
        <v>22452</v>
      </c>
      <c r="I7460" t="s">
        <v>2993</v>
      </c>
      <c r="J7460" t="s">
        <v>27396</v>
      </c>
      <c r="K7460" t="s">
        <v>29335</v>
      </c>
      <c r="M7460" t="s">
        <v>31982</v>
      </c>
      <c r="N7460" t="s">
        <v>32524</v>
      </c>
      <c r="O7460" t="s">
        <v>32525</v>
      </c>
      <c r="P7460">
        <v>0</v>
      </c>
      <c r="Q7460">
        <v>4</v>
      </c>
      <c r="R7460" t="s">
        <v>32533</v>
      </c>
      <c r="S7460" t="s">
        <v>32667</v>
      </c>
      <c r="T7460" t="s">
        <v>33550</v>
      </c>
      <c r="U7460" t="s">
        <v>39860</v>
      </c>
      <c r="W7460" t="s">
        <v>31982</v>
      </c>
      <c r="X7460" t="s">
        <v>32534</v>
      </c>
    </row>
    <row r="7461" spans="1:24">
      <c r="A7461">
        <f>HYPERLINK("https://www.philgeps.gov.ph/GEPSNONPILOT/Tender/SplashBidNoticeAbstractUI.aspx?menuIndex=3&amp;refID=7033455&amp;Result=3","7033455")</f>
        <v>0</v>
      </c>
      <c r="B7461" t="s">
        <v>2217</v>
      </c>
      <c r="C7461" t="s">
        <v>9803</v>
      </c>
      <c r="D7461" t="s">
        <v>13021</v>
      </c>
      <c r="E7461" t="s">
        <v>19645</v>
      </c>
      <c r="F7461" t="s">
        <v>22436</v>
      </c>
      <c r="G7461" t="s">
        <v>22444</v>
      </c>
      <c r="H7461" t="s">
        <v>22452</v>
      </c>
      <c r="I7461" t="s">
        <v>22486</v>
      </c>
      <c r="J7461" t="s">
        <v>27397</v>
      </c>
      <c r="K7461" t="s">
        <v>29335</v>
      </c>
      <c r="M7461" t="s">
        <v>31983</v>
      </c>
      <c r="N7461" t="s">
        <v>32524</v>
      </c>
      <c r="O7461" t="s">
        <v>32525</v>
      </c>
      <c r="P7461">
        <v>0</v>
      </c>
      <c r="Q7461">
        <v>0</v>
      </c>
      <c r="R7461" t="s">
        <v>32533</v>
      </c>
      <c r="S7461" t="s">
        <v>32667</v>
      </c>
      <c r="T7461" t="s">
        <v>33197</v>
      </c>
      <c r="U7461" t="s">
        <v>39861</v>
      </c>
      <c r="W7461" t="s">
        <v>31983</v>
      </c>
      <c r="X7461" t="s">
        <v>32534</v>
      </c>
    </row>
    <row r="7462" spans="1:24">
      <c r="A7462">
        <f>HYPERLINK("https://www.philgeps.gov.ph/GEPSNONPILOT/Tender/SplashBidNoticeAbstractUI.aspx?menuIndex=3&amp;refID=7033453&amp;Result=3","7033453")</f>
        <v>0</v>
      </c>
      <c r="B7462" t="s">
        <v>297</v>
      </c>
      <c r="C7462" t="s">
        <v>9804</v>
      </c>
      <c r="D7462" t="s">
        <v>13032</v>
      </c>
      <c r="E7462" t="s">
        <v>13685</v>
      </c>
      <c r="F7462" t="s">
        <v>22437</v>
      </c>
      <c r="G7462" t="s">
        <v>22446</v>
      </c>
      <c r="H7462" t="s">
        <v>22454</v>
      </c>
      <c r="I7462" t="s">
        <v>22493</v>
      </c>
      <c r="J7462" t="s">
        <v>27398</v>
      </c>
      <c r="K7462" t="s">
        <v>29341</v>
      </c>
      <c r="L7462" t="s">
        <v>297</v>
      </c>
      <c r="M7462" t="s">
        <v>29871</v>
      </c>
      <c r="N7462" t="s">
        <v>32524</v>
      </c>
      <c r="O7462" t="s">
        <v>32525</v>
      </c>
      <c r="P7462">
        <v>0</v>
      </c>
      <c r="Q7462">
        <v>0</v>
      </c>
      <c r="R7462" t="s">
        <v>32533</v>
      </c>
      <c r="S7462" t="s">
        <v>32667</v>
      </c>
      <c r="T7462" t="s">
        <v>33249</v>
      </c>
      <c r="U7462" t="s">
        <v>39862</v>
      </c>
      <c r="W7462" t="s">
        <v>29871</v>
      </c>
      <c r="X7462" t="s">
        <v>32534</v>
      </c>
    </row>
    <row r="7463" spans="1:24">
      <c r="A7463">
        <f>HYPERLINK("https://www.philgeps.gov.ph/GEPSNONPILOT/Tender/SplashBidNoticeAbstractUI.aspx?menuIndex=3&amp;refID=7033441&amp;Result=3","7033441")</f>
        <v>0</v>
      </c>
      <c r="B7463" t="s">
        <v>2208</v>
      </c>
      <c r="C7463" t="s">
        <v>9805</v>
      </c>
      <c r="D7463" t="s">
        <v>13037</v>
      </c>
      <c r="E7463" t="s">
        <v>19646</v>
      </c>
      <c r="F7463" t="s">
        <v>22436</v>
      </c>
      <c r="G7463" t="s">
        <v>22444</v>
      </c>
      <c r="H7463" t="s">
        <v>22454</v>
      </c>
      <c r="I7463" t="s">
        <v>7738</v>
      </c>
      <c r="J7463" t="s">
        <v>27399</v>
      </c>
      <c r="K7463" t="s">
        <v>29344</v>
      </c>
      <c r="M7463" t="s">
        <v>31974</v>
      </c>
      <c r="N7463" t="s">
        <v>32524</v>
      </c>
      <c r="O7463" t="s">
        <v>32525</v>
      </c>
      <c r="P7463">
        <v>0</v>
      </c>
      <c r="Q7463">
        <v>0</v>
      </c>
      <c r="R7463" t="s">
        <v>32533</v>
      </c>
      <c r="S7463" t="s">
        <v>32667</v>
      </c>
      <c r="T7463" t="s">
        <v>33218</v>
      </c>
      <c r="U7463" t="s">
        <v>39863</v>
      </c>
      <c r="W7463" t="s">
        <v>31974</v>
      </c>
      <c r="X7463" t="s">
        <v>32534</v>
      </c>
    </row>
    <row r="7464" spans="1:24">
      <c r="A7464">
        <f>HYPERLINK("https://www.philgeps.gov.ph/GEPSNONPILOT/Tender/SplashBidNoticeAbstractUI.aspx?menuIndex=3&amp;refID=7033439&amp;Result=3","7033439")</f>
        <v>0</v>
      </c>
      <c r="B7464" t="s">
        <v>1914</v>
      </c>
      <c r="C7464" t="s">
        <v>9806</v>
      </c>
      <c r="D7464" t="s">
        <v>13065</v>
      </c>
      <c r="E7464" t="s">
        <v>19647</v>
      </c>
      <c r="F7464" t="s">
        <v>22436</v>
      </c>
      <c r="G7464" t="s">
        <v>22444</v>
      </c>
      <c r="H7464" t="s">
        <v>22454</v>
      </c>
      <c r="I7464" t="s">
        <v>7738</v>
      </c>
      <c r="J7464" t="s">
        <v>22936</v>
      </c>
      <c r="K7464" t="s">
        <v>29344</v>
      </c>
      <c r="M7464" t="s">
        <v>31638</v>
      </c>
      <c r="N7464" t="s">
        <v>32524</v>
      </c>
      <c r="O7464" t="s">
        <v>32525</v>
      </c>
      <c r="P7464">
        <v>0</v>
      </c>
      <c r="Q7464">
        <v>0</v>
      </c>
      <c r="R7464" t="s">
        <v>32533</v>
      </c>
      <c r="S7464" t="s">
        <v>32667</v>
      </c>
      <c r="T7464" t="s">
        <v>33259</v>
      </c>
      <c r="U7464" t="s">
        <v>39864</v>
      </c>
      <c r="V7464" t="s">
        <v>43093</v>
      </c>
      <c r="W7464" t="s">
        <v>31638</v>
      </c>
      <c r="X7464" t="s">
        <v>32534</v>
      </c>
    </row>
    <row r="7465" spans="1:24">
      <c r="A7465">
        <f>HYPERLINK("https://www.philgeps.gov.ph/GEPSNONPILOT/Tender/SplashBidNoticeAbstractUI.aspx?menuIndex=3&amp;refID=7033500&amp;Result=3","7033500")</f>
        <v>0</v>
      </c>
      <c r="B7465" t="s">
        <v>1770</v>
      </c>
      <c r="C7465" t="s">
        <v>9807</v>
      </c>
      <c r="D7465" t="s">
        <v>13040</v>
      </c>
      <c r="E7465" t="s">
        <v>19648</v>
      </c>
      <c r="F7465" t="s">
        <v>22436</v>
      </c>
      <c r="G7465" t="s">
        <v>22444</v>
      </c>
      <c r="H7465" t="s">
        <v>22452</v>
      </c>
      <c r="I7465" t="s">
        <v>22474</v>
      </c>
      <c r="J7465" t="s">
        <v>22669</v>
      </c>
      <c r="K7465" t="s">
        <v>29338</v>
      </c>
      <c r="M7465" t="s">
        <v>31477</v>
      </c>
      <c r="N7465" t="s">
        <v>32524</v>
      </c>
      <c r="O7465" t="s">
        <v>32525</v>
      </c>
      <c r="P7465">
        <v>0</v>
      </c>
      <c r="Q7465">
        <v>4</v>
      </c>
      <c r="R7465" t="s">
        <v>32533</v>
      </c>
      <c r="S7465" t="s">
        <v>32667</v>
      </c>
      <c r="T7465" t="s">
        <v>33455</v>
      </c>
      <c r="U7465" t="s">
        <v>39865</v>
      </c>
      <c r="W7465" t="s">
        <v>31477</v>
      </c>
      <c r="X7465" t="s">
        <v>32534</v>
      </c>
    </row>
    <row r="7466" spans="1:24">
      <c r="A7466">
        <f>HYPERLINK("https://www.philgeps.gov.ph/GEPSNONPILOT/Tender/SplashBidNoticeAbstractUI.aspx?menuIndex=3&amp;refID=7033463&amp;Result=3","7033463")</f>
        <v>0</v>
      </c>
      <c r="B7466" t="s">
        <v>2218</v>
      </c>
      <c r="C7466" t="s">
        <v>9808</v>
      </c>
      <c r="D7466" t="s">
        <v>13007</v>
      </c>
      <c r="E7466" t="s">
        <v>19649</v>
      </c>
      <c r="F7466" t="s">
        <v>22436</v>
      </c>
      <c r="G7466" t="s">
        <v>22444</v>
      </c>
      <c r="H7466" t="s">
        <v>22454</v>
      </c>
      <c r="I7466" t="s">
        <v>7738</v>
      </c>
      <c r="J7466" t="s">
        <v>22605</v>
      </c>
      <c r="K7466" t="s">
        <v>29335</v>
      </c>
      <c r="M7466" t="s">
        <v>31984</v>
      </c>
      <c r="N7466" t="s">
        <v>32524</v>
      </c>
      <c r="O7466" t="s">
        <v>32525</v>
      </c>
      <c r="P7466">
        <v>0</v>
      </c>
      <c r="Q7466">
        <v>1</v>
      </c>
      <c r="R7466" t="s">
        <v>32533</v>
      </c>
      <c r="S7466" t="s">
        <v>32667</v>
      </c>
      <c r="T7466" t="s">
        <v>33196</v>
      </c>
      <c r="U7466" t="s">
        <v>39866</v>
      </c>
      <c r="V7466" t="s">
        <v>43240</v>
      </c>
      <c r="W7466" t="s">
        <v>31984</v>
      </c>
      <c r="X7466" t="s">
        <v>32534</v>
      </c>
    </row>
    <row r="7467" spans="1:24">
      <c r="A7467">
        <f>HYPERLINK("https://www.philgeps.gov.ph/GEPSNONPILOT/Tender/SplashBidNoticeAbstractUI.aspx?menuIndex=3&amp;refID=7033442&amp;Result=3","7033442")</f>
        <v>0</v>
      </c>
      <c r="B7467" t="s">
        <v>2219</v>
      </c>
      <c r="C7467" t="s">
        <v>9809</v>
      </c>
      <c r="D7467" t="s">
        <v>12988</v>
      </c>
      <c r="E7467" t="s">
        <v>15273</v>
      </c>
      <c r="F7467" t="s">
        <v>22441</v>
      </c>
      <c r="G7467" t="s">
        <v>22444</v>
      </c>
      <c r="H7467" t="s">
        <v>22452</v>
      </c>
      <c r="I7467" t="s">
        <v>22460</v>
      </c>
      <c r="J7467" t="s">
        <v>27400</v>
      </c>
      <c r="K7467" t="s">
        <v>29336</v>
      </c>
      <c r="M7467" t="s">
        <v>31985</v>
      </c>
      <c r="N7467" t="s">
        <v>32524</v>
      </c>
      <c r="O7467" t="s">
        <v>32525</v>
      </c>
      <c r="P7467">
        <v>0</v>
      </c>
      <c r="Q7467">
        <v>1</v>
      </c>
      <c r="R7467" t="s">
        <v>32533</v>
      </c>
      <c r="S7467" t="s">
        <v>32667</v>
      </c>
      <c r="T7467" t="s">
        <v>33163</v>
      </c>
      <c r="U7467" t="s">
        <v>39867</v>
      </c>
      <c r="W7467" t="s">
        <v>31985</v>
      </c>
      <c r="X7467" t="s">
        <v>32534</v>
      </c>
    </row>
    <row r="7468" spans="1:24">
      <c r="A7468">
        <f>HYPERLINK("https://www.philgeps.gov.ph/GEPSNONPILOT/Tender/SplashBidNoticeAbstractUI.aspx?menuIndex=3&amp;refID=7033431&amp;Result=3","7033431")</f>
        <v>0</v>
      </c>
      <c r="B7468" t="s">
        <v>2210</v>
      </c>
      <c r="C7468" t="s">
        <v>9810</v>
      </c>
      <c r="D7468" t="s">
        <v>13026</v>
      </c>
      <c r="E7468" t="s">
        <v>19650</v>
      </c>
      <c r="F7468" t="s">
        <v>22436</v>
      </c>
      <c r="G7468" t="s">
        <v>22443</v>
      </c>
      <c r="H7468" t="s">
        <v>22452</v>
      </c>
      <c r="I7468" t="s">
        <v>22469</v>
      </c>
      <c r="J7468" t="s">
        <v>22640</v>
      </c>
      <c r="K7468" t="s">
        <v>29335</v>
      </c>
      <c r="M7468" t="s">
        <v>31976</v>
      </c>
      <c r="N7468" t="s">
        <v>32524</v>
      </c>
      <c r="O7468" t="s">
        <v>32525</v>
      </c>
      <c r="P7468">
        <v>0</v>
      </c>
      <c r="Q7468">
        <v>4</v>
      </c>
      <c r="R7468" t="s">
        <v>32533</v>
      </c>
      <c r="S7468" t="s">
        <v>32667</v>
      </c>
      <c r="T7468" t="s">
        <v>33241</v>
      </c>
      <c r="U7468" t="s">
        <v>39868</v>
      </c>
      <c r="W7468" t="s">
        <v>31976</v>
      </c>
      <c r="X7468" t="s">
        <v>32534</v>
      </c>
    </row>
    <row r="7469" spans="1:24">
      <c r="A7469">
        <f>HYPERLINK("https://www.philgeps.gov.ph/GEPSNONPILOT/Tender/SplashBidNoticeAbstractUI.aspx?menuIndex=3&amp;refID=7033430&amp;Result=3","7033430")</f>
        <v>0</v>
      </c>
      <c r="B7469" t="s">
        <v>2138</v>
      </c>
      <c r="C7469" t="s">
        <v>9811</v>
      </c>
      <c r="D7469" t="s">
        <v>13002</v>
      </c>
      <c r="E7469" t="s">
        <v>19651</v>
      </c>
      <c r="F7469" t="s">
        <v>22436</v>
      </c>
      <c r="G7469" t="s">
        <v>22446</v>
      </c>
      <c r="H7469" t="s">
        <v>22452</v>
      </c>
      <c r="I7469" t="s">
        <v>22458</v>
      </c>
      <c r="J7469" t="s">
        <v>27401</v>
      </c>
      <c r="K7469" t="s">
        <v>29341</v>
      </c>
      <c r="M7469" t="s">
        <v>31890</v>
      </c>
      <c r="N7469" t="s">
        <v>32524</v>
      </c>
      <c r="O7469" t="s">
        <v>32525</v>
      </c>
      <c r="P7469">
        <v>0</v>
      </c>
      <c r="Q7469">
        <v>6</v>
      </c>
      <c r="R7469" t="s">
        <v>32533</v>
      </c>
      <c r="S7469" t="s">
        <v>32667</v>
      </c>
      <c r="T7469" t="s">
        <v>33220</v>
      </c>
      <c r="U7469" t="s">
        <v>39869</v>
      </c>
      <c r="W7469" t="s">
        <v>31890</v>
      </c>
      <c r="X7469" t="s">
        <v>32534</v>
      </c>
    </row>
    <row r="7470" spans="1:24">
      <c r="A7470">
        <f>HYPERLINK("https://www.philgeps.gov.ph/GEPSNONPILOT/Tender/SplashBidNoticeAbstractUI.aspx?menuIndex=3&amp;refID=7033422&amp;Result=3","7033422")</f>
        <v>0</v>
      </c>
      <c r="B7470" t="s">
        <v>2220</v>
      </c>
      <c r="C7470" t="s">
        <v>9812</v>
      </c>
      <c r="D7470" t="s">
        <v>13015</v>
      </c>
      <c r="E7470" t="s">
        <v>19652</v>
      </c>
      <c r="F7470" t="s">
        <v>22436</v>
      </c>
      <c r="G7470" t="s">
        <v>22444</v>
      </c>
      <c r="H7470" t="s">
        <v>22454</v>
      </c>
      <c r="I7470" t="s">
        <v>3529</v>
      </c>
      <c r="J7470" t="s">
        <v>27402</v>
      </c>
      <c r="K7470" t="s">
        <v>29341</v>
      </c>
      <c r="M7470" t="s">
        <v>31986</v>
      </c>
      <c r="N7470" t="s">
        <v>32524</v>
      </c>
      <c r="O7470" t="s">
        <v>32525</v>
      </c>
      <c r="P7470">
        <v>0</v>
      </c>
      <c r="Q7470">
        <v>1</v>
      </c>
      <c r="R7470" t="s">
        <v>32533</v>
      </c>
      <c r="S7470" t="s">
        <v>32667</v>
      </c>
      <c r="T7470" t="s">
        <v>33187</v>
      </c>
      <c r="U7470" t="s">
        <v>39870</v>
      </c>
      <c r="V7470" t="s">
        <v>43241</v>
      </c>
      <c r="W7470" t="s">
        <v>31986</v>
      </c>
      <c r="X7470" t="s">
        <v>32534</v>
      </c>
    </row>
    <row r="7471" spans="1:24">
      <c r="A7471">
        <f>HYPERLINK("https://www.philgeps.gov.ph/GEPSNONPILOT/Tender/SplashBidNoticeAbstractUI.aspx?menuIndex=3&amp;refID=7033435&amp;Result=3","7033435")</f>
        <v>0</v>
      </c>
      <c r="B7471" t="s">
        <v>244</v>
      </c>
      <c r="C7471" t="s">
        <v>9813</v>
      </c>
      <c r="D7471" t="s">
        <v>13019</v>
      </c>
      <c r="E7471" t="s">
        <v>19653</v>
      </c>
      <c r="F7471" t="s">
        <v>22436</v>
      </c>
      <c r="G7471" t="s">
        <v>22444</v>
      </c>
      <c r="H7471" t="s">
        <v>22452</v>
      </c>
      <c r="I7471" t="s">
        <v>22469</v>
      </c>
      <c r="J7471" t="s">
        <v>22936</v>
      </c>
      <c r="K7471" t="s">
        <v>29434</v>
      </c>
      <c r="M7471" t="s">
        <v>29818</v>
      </c>
      <c r="N7471" t="s">
        <v>32524</v>
      </c>
      <c r="O7471" t="s">
        <v>32525</v>
      </c>
      <c r="P7471">
        <v>0</v>
      </c>
      <c r="Q7471">
        <v>5</v>
      </c>
      <c r="R7471" t="s">
        <v>32533</v>
      </c>
      <c r="S7471" t="s">
        <v>32667</v>
      </c>
      <c r="T7471" t="s">
        <v>33259</v>
      </c>
      <c r="U7471" t="s">
        <v>39871</v>
      </c>
      <c r="W7471" t="s">
        <v>29818</v>
      </c>
      <c r="X7471" t="s">
        <v>32534</v>
      </c>
    </row>
    <row r="7472" spans="1:24">
      <c r="A7472">
        <f>HYPERLINK("https://www.philgeps.gov.ph/GEPSNONPILOT/Tender/SplashBidNoticeAbstractUI.aspx?menuIndex=3&amp;refID=7033492&amp;Result=3","7033492")</f>
        <v>0</v>
      </c>
      <c r="B7472" t="s">
        <v>2221</v>
      </c>
      <c r="C7472" t="s">
        <v>9814</v>
      </c>
      <c r="D7472" t="s">
        <v>13037</v>
      </c>
      <c r="E7472" t="s">
        <v>13106</v>
      </c>
      <c r="F7472" t="s">
        <v>22436</v>
      </c>
      <c r="G7472" t="s">
        <v>22444</v>
      </c>
      <c r="H7472" t="s">
        <v>22452</v>
      </c>
      <c r="I7472" t="s">
        <v>2981</v>
      </c>
      <c r="J7472" t="s">
        <v>27403</v>
      </c>
      <c r="K7472" t="s">
        <v>29335</v>
      </c>
      <c r="M7472" t="s">
        <v>31987</v>
      </c>
      <c r="N7472" t="s">
        <v>32524</v>
      </c>
      <c r="O7472" t="s">
        <v>32525</v>
      </c>
      <c r="P7472">
        <v>0</v>
      </c>
      <c r="Q7472">
        <v>2</v>
      </c>
      <c r="R7472" t="s">
        <v>32533</v>
      </c>
      <c r="S7472" t="s">
        <v>32667</v>
      </c>
      <c r="T7472" t="s">
        <v>33218</v>
      </c>
      <c r="U7472" t="s">
        <v>39872</v>
      </c>
      <c r="V7472" t="s">
        <v>43242</v>
      </c>
      <c r="W7472" t="s">
        <v>31987</v>
      </c>
      <c r="X7472" t="s">
        <v>32534</v>
      </c>
    </row>
    <row r="7473" spans="1:24">
      <c r="A7473">
        <f>HYPERLINK("https://www.philgeps.gov.ph/GEPSNONPILOT/Tender/SplashBidNoticeAbstractUI.aspx?menuIndex=3&amp;refID=7033429&amp;Result=3","7033429")</f>
        <v>0</v>
      </c>
      <c r="B7473" t="s">
        <v>82</v>
      </c>
      <c r="C7473" t="s">
        <v>4225</v>
      </c>
      <c r="D7473" t="s">
        <v>13024</v>
      </c>
      <c r="E7473" t="s">
        <v>19654</v>
      </c>
      <c r="F7473" t="s">
        <v>22436</v>
      </c>
      <c r="G7473" t="s">
        <v>22443</v>
      </c>
      <c r="H7473" t="s">
        <v>22452</v>
      </c>
      <c r="I7473" t="s">
        <v>6421</v>
      </c>
      <c r="J7473" t="s">
        <v>27404</v>
      </c>
      <c r="K7473" t="s">
        <v>29336</v>
      </c>
      <c r="M7473" t="s">
        <v>31939</v>
      </c>
      <c r="N7473" t="s">
        <v>32524</v>
      </c>
      <c r="O7473" t="s">
        <v>32525</v>
      </c>
      <c r="P7473">
        <v>0</v>
      </c>
      <c r="Q7473">
        <v>0</v>
      </c>
      <c r="R7473" t="s">
        <v>32533</v>
      </c>
      <c r="S7473" t="s">
        <v>32667</v>
      </c>
      <c r="T7473" t="s">
        <v>33238</v>
      </c>
      <c r="U7473" t="s">
        <v>39873</v>
      </c>
      <c r="W7473" t="s">
        <v>31939</v>
      </c>
      <c r="X7473" t="s">
        <v>32534</v>
      </c>
    </row>
    <row r="7474" spans="1:24">
      <c r="A7474">
        <f>HYPERLINK("https://www.philgeps.gov.ph/GEPSNONPILOT/Tender/SplashBidNoticeAbstractUI.aspx?menuIndex=3&amp;refID=7033508&amp;Result=3","7033508")</f>
        <v>0</v>
      </c>
      <c r="B7474" t="s">
        <v>244</v>
      </c>
      <c r="C7474" t="s">
        <v>9815</v>
      </c>
      <c r="D7474" t="s">
        <v>13019</v>
      </c>
      <c r="E7474" t="s">
        <v>19655</v>
      </c>
      <c r="F7474" t="s">
        <v>22436</v>
      </c>
      <c r="G7474" t="s">
        <v>22444</v>
      </c>
      <c r="H7474" t="s">
        <v>22452</v>
      </c>
      <c r="I7474" t="s">
        <v>22504</v>
      </c>
      <c r="J7474" t="s">
        <v>23205</v>
      </c>
      <c r="K7474" t="s">
        <v>29434</v>
      </c>
      <c r="M7474" t="s">
        <v>29818</v>
      </c>
      <c r="N7474" t="s">
        <v>32524</v>
      </c>
      <c r="O7474" t="s">
        <v>32525</v>
      </c>
      <c r="P7474">
        <v>0</v>
      </c>
      <c r="Q7474">
        <v>5</v>
      </c>
      <c r="R7474" t="s">
        <v>32533</v>
      </c>
      <c r="S7474" t="s">
        <v>32667</v>
      </c>
      <c r="T7474" t="s">
        <v>33259</v>
      </c>
      <c r="U7474" t="s">
        <v>39874</v>
      </c>
      <c r="W7474" t="s">
        <v>29818</v>
      </c>
      <c r="X7474" t="s">
        <v>32534</v>
      </c>
    </row>
    <row r="7475" spans="1:24">
      <c r="A7475">
        <f>HYPERLINK("https://www.philgeps.gov.ph/GEPSNONPILOT/Tender/SplashBidNoticeAbstractUI.aspx?menuIndex=3&amp;refID=7033423&amp;Result=3","7033423")</f>
        <v>0</v>
      </c>
      <c r="B7475" t="s">
        <v>2222</v>
      </c>
      <c r="C7475" t="s">
        <v>9816</v>
      </c>
      <c r="E7475" t="s">
        <v>19656</v>
      </c>
      <c r="F7475" t="s">
        <v>22436</v>
      </c>
      <c r="G7475" t="s">
        <v>22444</v>
      </c>
      <c r="H7475" t="s">
        <v>22452</v>
      </c>
      <c r="I7475" t="s">
        <v>22469</v>
      </c>
      <c r="J7475" t="s">
        <v>27405</v>
      </c>
      <c r="K7475" t="s">
        <v>29329</v>
      </c>
      <c r="M7475" t="s">
        <v>31988</v>
      </c>
      <c r="N7475" t="s">
        <v>32524</v>
      </c>
      <c r="O7475" t="s">
        <v>32525</v>
      </c>
      <c r="Q7475">
        <v>1</v>
      </c>
      <c r="R7475" t="s">
        <v>32533</v>
      </c>
      <c r="S7475" t="s">
        <v>32691</v>
      </c>
      <c r="T7475" t="s">
        <v>33249</v>
      </c>
      <c r="U7475" t="s">
        <v>39875</v>
      </c>
      <c r="W7475" t="s">
        <v>31988</v>
      </c>
      <c r="X7475" t="s">
        <v>32534</v>
      </c>
    </row>
    <row r="7476" spans="1:24">
      <c r="A7476">
        <f>HYPERLINK("https://www.philgeps.gov.ph/GEPSNONPILOT/Tender/SplashBidNoticeAbstractUI.aspx?menuIndex=3&amp;refID=7033501&amp;Result=3","7033501")</f>
        <v>0</v>
      </c>
      <c r="B7476" t="s">
        <v>2210</v>
      </c>
      <c r="C7476" t="s">
        <v>9817</v>
      </c>
      <c r="D7476" t="s">
        <v>13026</v>
      </c>
      <c r="E7476" t="s">
        <v>19657</v>
      </c>
      <c r="F7476" t="s">
        <v>22436</v>
      </c>
      <c r="G7476" t="s">
        <v>22443</v>
      </c>
      <c r="H7476" t="s">
        <v>22452</v>
      </c>
      <c r="I7476" t="s">
        <v>22469</v>
      </c>
      <c r="J7476" t="s">
        <v>23215</v>
      </c>
      <c r="K7476" t="s">
        <v>29335</v>
      </c>
      <c r="M7476" t="s">
        <v>31976</v>
      </c>
      <c r="N7476" t="s">
        <v>32524</v>
      </c>
      <c r="O7476" t="s">
        <v>32525</v>
      </c>
      <c r="P7476">
        <v>0</v>
      </c>
      <c r="Q7476">
        <v>6</v>
      </c>
      <c r="R7476" t="s">
        <v>32533</v>
      </c>
      <c r="S7476" t="s">
        <v>32667</v>
      </c>
      <c r="T7476" t="s">
        <v>33236</v>
      </c>
      <c r="U7476" t="s">
        <v>39876</v>
      </c>
      <c r="W7476" t="s">
        <v>31976</v>
      </c>
      <c r="X7476" t="s">
        <v>32534</v>
      </c>
    </row>
    <row r="7477" spans="1:24">
      <c r="A7477">
        <f>HYPERLINK("https://www.philgeps.gov.ph/GEPSNONPILOT/Tender/SplashBidNoticeAbstractUI.aspx?menuIndex=3&amp;refID=7033567&amp;Result=3","7033567")</f>
        <v>0</v>
      </c>
      <c r="B7477" t="s">
        <v>1914</v>
      </c>
      <c r="C7477" t="s">
        <v>9818</v>
      </c>
      <c r="D7477" t="s">
        <v>13065</v>
      </c>
      <c r="E7477" t="s">
        <v>19658</v>
      </c>
      <c r="F7477" t="s">
        <v>22436</v>
      </c>
      <c r="G7477" t="s">
        <v>22444</v>
      </c>
      <c r="H7477" t="s">
        <v>22454</v>
      </c>
      <c r="I7477" t="s">
        <v>7738</v>
      </c>
      <c r="J7477" t="s">
        <v>27406</v>
      </c>
      <c r="K7477" t="s">
        <v>29344</v>
      </c>
      <c r="M7477" t="s">
        <v>31638</v>
      </c>
      <c r="N7477" t="s">
        <v>32524</v>
      </c>
      <c r="O7477" t="s">
        <v>32525</v>
      </c>
      <c r="P7477">
        <v>0</v>
      </c>
      <c r="Q7477">
        <v>0</v>
      </c>
      <c r="R7477" t="s">
        <v>32533</v>
      </c>
      <c r="S7477" t="s">
        <v>32667</v>
      </c>
      <c r="T7477" t="s">
        <v>33259</v>
      </c>
      <c r="U7477" t="s">
        <v>39877</v>
      </c>
      <c r="V7477" t="s">
        <v>43093</v>
      </c>
      <c r="W7477" t="s">
        <v>31638</v>
      </c>
      <c r="X7477" t="s">
        <v>32534</v>
      </c>
    </row>
    <row r="7478" spans="1:24">
      <c r="A7478">
        <f>HYPERLINK("https://www.philgeps.gov.ph/GEPSNONPILOT/Tender/SplashBidNoticeAbstractUI.aspx?menuIndex=3&amp;refID=7033506&amp;Result=3","7033506")</f>
        <v>0</v>
      </c>
      <c r="B7478" t="s">
        <v>1462</v>
      </c>
      <c r="C7478" t="s">
        <v>9819</v>
      </c>
      <c r="D7478" t="s">
        <v>13041</v>
      </c>
      <c r="E7478" t="s">
        <v>19659</v>
      </c>
      <c r="F7478" t="s">
        <v>22436</v>
      </c>
      <c r="G7478" t="s">
        <v>22444</v>
      </c>
      <c r="H7478" t="s">
        <v>22453</v>
      </c>
      <c r="I7478" t="s">
        <v>7738</v>
      </c>
      <c r="J7478" t="s">
        <v>24712</v>
      </c>
      <c r="K7478" t="s">
        <v>29438</v>
      </c>
      <c r="M7478" t="s">
        <v>31130</v>
      </c>
      <c r="N7478" t="s">
        <v>32524</v>
      </c>
      <c r="O7478" t="s">
        <v>32525</v>
      </c>
      <c r="Q7478">
        <v>0</v>
      </c>
      <c r="R7478" t="s">
        <v>32533</v>
      </c>
      <c r="S7478" t="s">
        <v>32692</v>
      </c>
      <c r="T7478" t="s">
        <v>33530</v>
      </c>
      <c r="U7478" t="s">
        <v>39878</v>
      </c>
      <c r="W7478" t="s">
        <v>31130</v>
      </c>
      <c r="X7478" t="s">
        <v>32534</v>
      </c>
    </row>
    <row r="7479" spans="1:24">
      <c r="A7479">
        <f>HYPERLINK("https://www.philgeps.gov.ph/GEPSNONPILOT/Tender/SplashBidNoticeAbstractUI.aspx?menuIndex=3&amp;refID=7033547&amp;Result=3","7033547")</f>
        <v>0</v>
      </c>
      <c r="B7479" t="s">
        <v>283</v>
      </c>
      <c r="C7479" t="s">
        <v>9820</v>
      </c>
      <c r="D7479" t="s">
        <v>13001</v>
      </c>
      <c r="E7479" t="s">
        <v>13661</v>
      </c>
      <c r="F7479" t="s">
        <v>22436</v>
      </c>
      <c r="G7479" t="s">
        <v>22444</v>
      </c>
      <c r="H7479" t="s">
        <v>22452</v>
      </c>
      <c r="I7479" t="s">
        <v>3529</v>
      </c>
      <c r="J7479" t="s">
        <v>27407</v>
      </c>
      <c r="K7479" t="s">
        <v>29331</v>
      </c>
      <c r="L7479" t="s">
        <v>283</v>
      </c>
      <c r="M7479" t="s">
        <v>29857</v>
      </c>
      <c r="N7479" t="s">
        <v>32524</v>
      </c>
      <c r="O7479" t="s">
        <v>32525</v>
      </c>
      <c r="P7479">
        <v>0</v>
      </c>
      <c r="Q7479">
        <v>5</v>
      </c>
      <c r="R7479" t="s">
        <v>32533</v>
      </c>
      <c r="S7479" t="s">
        <v>32667</v>
      </c>
      <c r="T7479" t="s">
        <v>33323</v>
      </c>
      <c r="U7479" t="s">
        <v>39879</v>
      </c>
      <c r="W7479" t="s">
        <v>29857</v>
      </c>
      <c r="X7479" t="s">
        <v>32534</v>
      </c>
    </row>
    <row r="7480" spans="1:24">
      <c r="A7480">
        <f>HYPERLINK("https://www.philgeps.gov.ph/GEPSNONPILOT/Tender/SplashBidNoticeAbstractUI.aspx?menuIndex=3&amp;refID=7033561&amp;Result=3","7033561")</f>
        <v>0</v>
      </c>
      <c r="B7480" t="s">
        <v>2223</v>
      </c>
      <c r="C7480" t="s">
        <v>9821</v>
      </c>
      <c r="D7480" t="s">
        <v>13002</v>
      </c>
      <c r="E7480" t="s">
        <v>19660</v>
      </c>
      <c r="F7480" t="s">
        <v>22436</v>
      </c>
      <c r="G7480" t="s">
        <v>22444</v>
      </c>
      <c r="H7480" t="s">
        <v>22454</v>
      </c>
      <c r="I7480" t="s">
        <v>7738</v>
      </c>
      <c r="J7480" t="s">
        <v>27408</v>
      </c>
      <c r="K7480" t="s">
        <v>29329</v>
      </c>
      <c r="M7480" t="s">
        <v>31989</v>
      </c>
      <c r="N7480" t="s">
        <v>32524</v>
      </c>
      <c r="O7480" t="s">
        <v>32525</v>
      </c>
      <c r="P7480">
        <v>0</v>
      </c>
      <c r="Q7480">
        <v>0</v>
      </c>
      <c r="R7480" t="s">
        <v>32533</v>
      </c>
      <c r="S7480" t="s">
        <v>32667</v>
      </c>
      <c r="T7480" t="s">
        <v>33259</v>
      </c>
      <c r="U7480" t="s">
        <v>39880</v>
      </c>
      <c r="W7480" t="s">
        <v>31989</v>
      </c>
      <c r="X7480" t="s">
        <v>32534</v>
      </c>
    </row>
    <row r="7481" spans="1:24">
      <c r="A7481">
        <f>HYPERLINK("https://www.philgeps.gov.ph/GEPSNONPILOT/Tender/SplashBidNoticeAbstractUI.aspx?menuIndex=3&amp;refID=7033593&amp;Result=3","7033593")</f>
        <v>0</v>
      </c>
      <c r="B7481" t="s">
        <v>1686</v>
      </c>
      <c r="C7481" t="s">
        <v>9822</v>
      </c>
      <c r="D7481" t="s">
        <v>13000</v>
      </c>
      <c r="E7481" t="s">
        <v>19661</v>
      </c>
      <c r="F7481" t="s">
        <v>22436</v>
      </c>
      <c r="G7481" t="s">
        <v>22444</v>
      </c>
      <c r="H7481" t="s">
        <v>22452</v>
      </c>
      <c r="I7481" t="s">
        <v>22493</v>
      </c>
      <c r="J7481" t="s">
        <v>27409</v>
      </c>
      <c r="K7481" t="s">
        <v>29344</v>
      </c>
      <c r="L7481" t="s">
        <v>1686</v>
      </c>
      <c r="M7481" t="s">
        <v>31386</v>
      </c>
      <c r="N7481" t="s">
        <v>32524</v>
      </c>
      <c r="O7481" t="s">
        <v>32525</v>
      </c>
      <c r="P7481">
        <v>0</v>
      </c>
      <c r="Q7481">
        <v>3</v>
      </c>
      <c r="R7481" t="s">
        <v>32533</v>
      </c>
      <c r="S7481" t="s">
        <v>32667</v>
      </c>
      <c r="T7481" t="s">
        <v>33259</v>
      </c>
      <c r="U7481" t="s">
        <v>39881</v>
      </c>
      <c r="W7481" t="s">
        <v>31386</v>
      </c>
      <c r="X7481" t="s">
        <v>32534</v>
      </c>
    </row>
    <row r="7482" spans="1:24">
      <c r="A7482">
        <f>HYPERLINK("https://www.philgeps.gov.ph/GEPSNONPILOT/Tender/SplashBidNoticeAbstractUI.aspx?menuIndex=3&amp;refID=7033539&amp;Result=3","7033539")</f>
        <v>0</v>
      </c>
      <c r="B7482" t="s">
        <v>2208</v>
      </c>
      <c r="C7482" t="s">
        <v>9823</v>
      </c>
      <c r="D7482" t="s">
        <v>13037</v>
      </c>
      <c r="E7482" t="s">
        <v>19662</v>
      </c>
      <c r="F7482" t="s">
        <v>22436</v>
      </c>
      <c r="G7482" t="s">
        <v>22444</v>
      </c>
      <c r="H7482" t="s">
        <v>22454</v>
      </c>
      <c r="I7482" t="s">
        <v>7738</v>
      </c>
      <c r="J7482" t="s">
        <v>27410</v>
      </c>
      <c r="K7482" t="s">
        <v>29334</v>
      </c>
      <c r="M7482" t="s">
        <v>31974</v>
      </c>
      <c r="N7482" t="s">
        <v>32524</v>
      </c>
      <c r="O7482" t="s">
        <v>32525</v>
      </c>
      <c r="P7482">
        <v>0</v>
      </c>
      <c r="Q7482">
        <v>0</v>
      </c>
      <c r="R7482" t="s">
        <v>32533</v>
      </c>
      <c r="S7482" t="s">
        <v>32667</v>
      </c>
      <c r="T7482" t="s">
        <v>33309</v>
      </c>
      <c r="U7482" t="s">
        <v>39882</v>
      </c>
      <c r="W7482" t="s">
        <v>31974</v>
      </c>
      <c r="X7482" t="s">
        <v>32534</v>
      </c>
    </row>
    <row r="7483" spans="1:24">
      <c r="A7483">
        <f>HYPERLINK("https://www.philgeps.gov.ph/GEPSNONPILOT/Tender/SplashBidNoticeAbstractUI.aspx?menuIndex=3&amp;refID=7033585&amp;Result=3","7033585")</f>
        <v>0</v>
      </c>
      <c r="B7483" t="s">
        <v>2208</v>
      </c>
      <c r="C7483" t="s">
        <v>9824</v>
      </c>
      <c r="D7483" t="s">
        <v>13037</v>
      </c>
      <c r="E7483" t="s">
        <v>19663</v>
      </c>
      <c r="F7483" t="s">
        <v>22436</v>
      </c>
      <c r="G7483" t="s">
        <v>22444</v>
      </c>
      <c r="H7483" t="s">
        <v>22454</v>
      </c>
      <c r="I7483" t="s">
        <v>7738</v>
      </c>
      <c r="J7483" t="s">
        <v>27411</v>
      </c>
      <c r="K7483" t="s">
        <v>29344</v>
      </c>
      <c r="M7483" t="s">
        <v>31974</v>
      </c>
      <c r="N7483" t="s">
        <v>32524</v>
      </c>
      <c r="O7483" t="s">
        <v>32525</v>
      </c>
      <c r="P7483">
        <v>0</v>
      </c>
      <c r="Q7483">
        <v>0</v>
      </c>
      <c r="R7483" t="s">
        <v>32533</v>
      </c>
      <c r="S7483" t="s">
        <v>32667</v>
      </c>
      <c r="T7483" t="s">
        <v>33486</v>
      </c>
      <c r="U7483" t="s">
        <v>39883</v>
      </c>
      <c r="W7483" t="s">
        <v>31974</v>
      </c>
      <c r="X7483" t="s">
        <v>32534</v>
      </c>
    </row>
    <row r="7484" spans="1:24">
      <c r="A7484">
        <f>HYPERLINK("https://www.philgeps.gov.ph/GEPSNONPILOT/Tender/SplashBidNoticeAbstractUI.aspx?menuIndex=3&amp;refID=7033587&amp;Result=3","7033587")</f>
        <v>0</v>
      </c>
      <c r="B7484" t="s">
        <v>2224</v>
      </c>
      <c r="C7484" t="s">
        <v>9825</v>
      </c>
      <c r="D7484" t="s">
        <v>13031</v>
      </c>
      <c r="E7484" t="s">
        <v>19664</v>
      </c>
      <c r="F7484" t="s">
        <v>22436</v>
      </c>
      <c r="G7484" t="s">
        <v>22443</v>
      </c>
      <c r="H7484" t="s">
        <v>22452</v>
      </c>
      <c r="I7484" t="s">
        <v>3827</v>
      </c>
      <c r="J7484" t="s">
        <v>27412</v>
      </c>
      <c r="K7484" t="s">
        <v>29333</v>
      </c>
      <c r="M7484" t="s">
        <v>31990</v>
      </c>
      <c r="N7484" t="s">
        <v>32524</v>
      </c>
      <c r="O7484" t="s">
        <v>32525</v>
      </c>
      <c r="P7484">
        <v>0</v>
      </c>
      <c r="Q7484">
        <v>11</v>
      </c>
      <c r="R7484" t="s">
        <v>32533</v>
      </c>
      <c r="S7484" t="s">
        <v>32667</v>
      </c>
      <c r="T7484" t="s">
        <v>33419</v>
      </c>
      <c r="U7484" t="s">
        <v>33733</v>
      </c>
      <c r="W7484" t="s">
        <v>31990</v>
      </c>
      <c r="X7484" t="s">
        <v>32534</v>
      </c>
    </row>
    <row r="7485" spans="1:24">
      <c r="A7485">
        <f>HYPERLINK("https://www.philgeps.gov.ph/GEPSNONPILOT/Tender/SplashBidNoticeAbstractUI.aspx?menuIndex=3&amp;refID=7033538&amp;Result=3","7033538")</f>
        <v>0</v>
      </c>
      <c r="B7485" t="s">
        <v>283</v>
      </c>
      <c r="C7485" t="s">
        <v>9826</v>
      </c>
      <c r="D7485" t="s">
        <v>13001</v>
      </c>
      <c r="E7485" t="s">
        <v>13661</v>
      </c>
      <c r="F7485" t="s">
        <v>22436</v>
      </c>
      <c r="G7485" t="s">
        <v>22444</v>
      </c>
      <c r="H7485" t="s">
        <v>22452</v>
      </c>
      <c r="I7485" t="s">
        <v>3529</v>
      </c>
      <c r="J7485" t="s">
        <v>22788</v>
      </c>
      <c r="K7485" t="s">
        <v>29331</v>
      </c>
      <c r="L7485" t="s">
        <v>283</v>
      </c>
      <c r="M7485" t="s">
        <v>29857</v>
      </c>
      <c r="N7485" t="s">
        <v>32524</v>
      </c>
      <c r="O7485" t="s">
        <v>32525</v>
      </c>
      <c r="P7485">
        <v>0</v>
      </c>
      <c r="Q7485">
        <v>4</v>
      </c>
      <c r="R7485" t="s">
        <v>32533</v>
      </c>
      <c r="S7485" t="s">
        <v>32667</v>
      </c>
      <c r="T7485" t="s">
        <v>33323</v>
      </c>
      <c r="U7485" t="s">
        <v>39884</v>
      </c>
      <c r="W7485" t="s">
        <v>29857</v>
      </c>
      <c r="X7485" t="s">
        <v>32534</v>
      </c>
    </row>
    <row r="7486" spans="1:24">
      <c r="A7486">
        <f>HYPERLINK("https://www.philgeps.gov.ph/GEPSNONPILOT/Tender/SplashBidNoticeAbstractUI.aspx?menuIndex=3&amp;refID=7033532&amp;Result=3","7033532")</f>
        <v>0</v>
      </c>
      <c r="B7486" t="s">
        <v>1914</v>
      </c>
      <c r="C7486" t="s">
        <v>9827</v>
      </c>
      <c r="D7486" t="s">
        <v>13065</v>
      </c>
      <c r="E7486" t="s">
        <v>19665</v>
      </c>
      <c r="F7486" t="s">
        <v>22436</v>
      </c>
      <c r="G7486" t="s">
        <v>22444</v>
      </c>
      <c r="H7486" t="s">
        <v>22454</v>
      </c>
      <c r="I7486" t="s">
        <v>7738</v>
      </c>
      <c r="J7486" t="s">
        <v>22634</v>
      </c>
      <c r="K7486" t="s">
        <v>29344</v>
      </c>
      <c r="M7486" t="s">
        <v>31638</v>
      </c>
      <c r="N7486" t="s">
        <v>32524</v>
      </c>
      <c r="O7486" t="s">
        <v>32525</v>
      </c>
      <c r="P7486">
        <v>0</v>
      </c>
      <c r="Q7486">
        <v>0</v>
      </c>
      <c r="R7486" t="s">
        <v>32533</v>
      </c>
      <c r="S7486" t="s">
        <v>32667</v>
      </c>
      <c r="T7486" t="s">
        <v>33259</v>
      </c>
      <c r="U7486" t="s">
        <v>39885</v>
      </c>
      <c r="V7486" t="s">
        <v>43093</v>
      </c>
      <c r="W7486" t="s">
        <v>31638</v>
      </c>
      <c r="X7486" t="s">
        <v>32534</v>
      </c>
    </row>
    <row r="7487" spans="1:24">
      <c r="A7487">
        <f>HYPERLINK("https://www.philgeps.gov.ph/GEPSNONPILOT/Tender/SplashBidNoticeAbstractUI.aspx?menuIndex=3&amp;refID=7033556&amp;Result=3","7033556")</f>
        <v>0</v>
      </c>
      <c r="B7487" t="s">
        <v>2225</v>
      </c>
      <c r="C7487" t="s">
        <v>9828</v>
      </c>
      <c r="D7487" t="s">
        <v>13032</v>
      </c>
      <c r="E7487" t="s">
        <v>19666</v>
      </c>
      <c r="F7487" t="s">
        <v>22436</v>
      </c>
      <c r="G7487" t="s">
        <v>22444</v>
      </c>
      <c r="H7487" t="s">
        <v>22452</v>
      </c>
      <c r="I7487" t="s">
        <v>22474</v>
      </c>
      <c r="J7487" t="s">
        <v>23350</v>
      </c>
      <c r="K7487" t="s">
        <v>29335</v>
      </c>
      <c r="M7487" t="s">
        <v>31991</v>
      </c>
      <c r="N7487" t="s">
        <v>32524</v>
      </c>
      <c r="O7487" t="s">
        <v>32525</v>
      </c>
      <c r="P7487">
        <v>0</v>
      </c>
      <c r="Q7487">
        <v>6</v>
      </c>
      <c r="R7487" t="s">
        <v>32533</v>
      </c>
      <c r="S7487" t="s">
        <v>32667</v>
      </c>
      <c r="T7487" t="s">
        <v>33554</v>
      </c>
      <c r="U7487" t="s">
        <v>39886</v>
      </c>
      <c r="W7487" t="s">
        <v>31991</v>
      </c>
      <c r="X7487" t="s">
        <v>32534</v>
      </c>
    </row>
    <row r="7488" spans="1:24">
      <c r="A7488">
        <f>HYPERLINK("https://www.philgeps.gov.ph/GEPSNONPILOT/Tender/SplashBidNoticeAbstractUI.aspx?menuIndex=3&amp;refID=7033529&amp;Result=3","7033529")</f>
        <v>0</v>
      </c>
      <c r="B7488" t="s">
        <v>2206</v>
      </c>
      <c r="C7488" t="s">
        <v>9829</v>
      </c>
      <c r="D7488" t="s">
        <v>13039</v>
      </c>
      <c r="E7488" t="s">
        <v>19667</v>
      </c>
      <c r="F7488" t="s">
        <v>22436</v>
      </c>
      <c r="G7488" t="s">
        <v>22444</v>
      </c>
      <c r="H7488" t="s">
        <v>22452</v>
      </c>
      <c r="I7488" t="s">
        <v>3027</v>
      </c>
      <c r="J7488" t="s">
        <v>22779</v>
      </c>
      <c r="K7488" t="s">
        <v>29412</v>
      </c>
      <c r="M7488" t="s">
        <v>31972</v>
      </c>
      <c r="N7488" t="s">
        <v>32524</v>
      </c>
      <c r="O7488" t="s">
        <v>32525</v>
      </c>
      <c r="P7488">
        <v>0</v>
      </c>
      <c r="Q7488">
        <v>0</v>
      </c>
      <c r="R7488" t="s">
        <v>32533</v>
      </c>
      <c r="S7488" t="s">
        <v>32667</v>
      </c>
      <c r="T7488" t="s">
        <v>33234</v>
      </c>
      <c r="U7488" t="s">
        <v>39887</v>
      </c>
      <c r="W7488" t="s">
        <v>31972</v>
      </c>
      <c r="X7488" t="s">
        <v>32534</v>
      </c>
    </row>
    <row r="7489" spans="1:24">
      <c r="A7489">
        <f>HYPERLINK("https://www.philgeps.gov.ph/GEPSNONPILOT/Tender/SplashBidNoticeAbstractUI.aspx?menuIndex=3&amp;refID=7033584&amp;Result=3","7033584")</f>
        <v>0</v>
      </c>
      <c r="B7489" t="s">
        <v>2226</v>
      </c>
      <c r="C7489" t="s">
        <v>7682</v>
      </c>
      <c r="D7489" t="s">
        <v>13037</v>
      </c>
      <c r="E7489" t="s">
        <v>19668</v>
      </c>
      <c r="F7489" t="s">
        <v>22436</v>
      </c>
      <c r="G7489" t="s">
        <v>22443</v>
      </c>
      <c r="H7489" t="s">
        <v>22452</v>
      </c>
      <c r="I7489" t="s">
        <v>3827</v>
      </c>
      <c r="J7489" t="s">
        <v>22788</v>
      </c>
      <c r="K7489" t="s">
        <v>29335</v>
      </c>
      <c r="M7489" t="s">
        <v>31992</v>
      </c>
      <c r="N7489" t="s">
        <v>32524</v>
      </c>
      <c r="O7489" t="s">
        <v>32525</v>
      </c>
      <c r="P7489">
        <v>0</v>
      </c>
      <c r="Q7489">
        <v>4</v>
      </c>
      <c r="R7489" t="s">
        <v>32533</v>
      </c>
      <c r="S7489" t="s">
        <v>32667</v>
      </c>
      <c r="T7489" t="s">
        <v>33184</v>
      </c>
      <c r="U7489" t="s">
        <v>39888</v>
      </c>
      <c r="W7489" t="s">
        <v>31992</v>
      </c>
      <c r="X7489" t="s">
        <v>32534</v>
      </c>
    </row>
    <row r="7490" spans="1:24">
      <c r="A7490">
        <f>HYPERLINK("https://www.philgeps.gov.ph/GEPSNONPILOT/Tender/SplashBidNoticeAbstractUI.aspx?menuIndex=3&amp;refID=7033524&amp;Result=3","7033524")</f>
        <v>0</v>
      </c>
      <c r="B7490" t="s">
        <v>2227</v>
      </c>
      <c r="C7490" t="s">
        <v>9830</v>
      </c>
      <c r="D7490" t="s">
        <v>13010</v>
      </c>
      <c r="E7490" t="s">
        <v>16052</v>
      </c>
      <c r="F7490" t="s">
        <v>22436</v>
      </c>
      <c r="G7490" t="s">
        <v>22444</v>
      </c>
      <c r="H7490" t="s">
        <v>22452</v>
      </c>
      <c r="I7490" t="s">
        <v>3529</v>
      </c>
      <c r="J7490" t="s">
        <v>27413</v>
      </c>
      <c r="K7490" t="s">
        <v>29331</v>
      </c>
      <c r="M7490" t="s">
        <v>31993</v>
      </c>
      <c r="N7490" t="s">
        <v>32524</v>
      </c>
      <c r="O7490" t="s">
        <v>32525</v>
      </c>
      <c r="P7490">
        <v>0</v>
      </c>
      <c r="Q7490">
        <v>0</v>
      </c>
      <c r="R7490" t="s">
        <v>32533</v>
      </c>
      <c r="S7490" t="s">
        <v>32667</v>
      </c>
      <c r="T7490" t="s">
        <v>33242</v>
      </c>
      <c r="U7490" t="s">
        <v>39889</v>
      </c>
      <c r="V7490" t="s">
        <v>43243</v>
      </c>
      <c r="W7490" t="s">
        <v>31993</v>
      </c>
      <c r="X7490" t="s">
        <v>32534</v>
      </c>
    </row>
    <row r="7491" spans="1:24">
      <c r="A7491">
        <f>HYPERLINK("https://www.philgeps.gov.ph/GEPSNONPILOT/Tender/SplashBidNoticeAbstractUI.aspx?menuIndex=3&amp;refID=7033531&amp;Result=3","7033531")</f>
        <v>0</v>
      </c>
      <c r="B7491" t="s">
        <v>768</v>
      </c>
      <c r="C7491" t="s">
        <v>9831</v>
      </c>
      <c r="D7491" t="s">
        <v>13046</v>
      </c>
      <c r="E7491" t="s">
        <v>19669</v>
      </c>
      <c r="F7491" t="s">
        <v>22436</v>
      </c>
      <c r="G7491" t="s">
        <v>22444</v>
      </c>
      <c r="H7491" t="s">
        <v>22452</v>
      </c>
      <c r="I7491" t="s">
        <v>12358</v>
      </c>
      <c r="J7491" t="s">
        <v>27414</v>
      </c>
      <c r="K7491" t="s">
        <v>29341</v>
      </c>
      <c r="L7491" t="s">
        <v>768</v>
      </c>
      <c r="M7491" t="s">
        <v>30369</v>
      </c>
      <c r="N7491" t="s">
        <v>32524</v>
      </c>
      <c r="O7491" t="s">
        <v>32525</v>
      </c>
      <c r="P7491">
        <v>0</v>
      </c>
      <c r="Q7491">
        <v>3</v>
      </c>
      <c r="R7491" t="s">
        <v>32533</v>
      </c>
      <c r="S7491" t="s">
        <v>32667</v>
      </c>
      <c r="T7491" t="s">
        <v>33486</v>
      </c>
      <c r="U7491" t="s">
        <v>39890</v>
      </c>
      <c r="V7491" t="s">
        <v>43244</v>
      </c>
      <c r="W7491" t="s">
        <v>30369</v>
      </c>
      <c r="X7491" t="s">
        <v>32534</v>
      </c>
    </row>
    <row r="7492" spans="1:24">
      <c r="A7492">
        <f>HYPERLINK("https://www.philgeps.gov.ph/GEPSNONPILOT/Tender/SplashBidNoticeAbstractUI.aspx?menuIndex=3&amp;refID=7033579&amp;Result=3","7033579")</f>
        <v>0</v>
      </c>
      <c r="B7492" t="s">
        <v>2228</v>
      </c>
      <c r="C7492" t="s">
        <v>9832</v>
      </c>
      <c r="D7492" t="s">
        <v>13045</v>
      </c>
      <c r="E7492" t="s">
        <v>19670</v>
      </c>
      <c r="F7492" t="s">
        <v>22436</v>
      </c>
      <c r="G7492" t="s">
        <v>22450</v>
      </c>
      <c r="H7492" t="s">
        <v>22454</v>
      </c>
      <c r="I7492" t="s">
        <v>7738</v>
      </c>
      <c r="J7492" t="s">
        <v>23387</v>
      </c>
      <c r="K7492" t="s">
        <v>29344</v>
      </c>
      <c r="M7492" t="s">
        <v>31994</v>
      </c>
      <c r="N7492" t="s">
        <v>32524</v>
      </c>
      <c r="O7492" t="s">
        <v>32525</v>
      </c>
      <c r="P7492">
        <v>0</v>
      </c>
      <c r="Q7492">
        <v>2</v>
      </c>
      <c r="R7492" t="s">
        <v>32533</v>
      </c>
      <c r="S7492" t="s">
        <v>32667</v>
      </c>
      <c r="T7492" t="s">
        <v>33249</v>
      </c>
      <c r="U7492" t="s">
        <v>39891</v>
      </c>
      <c r="W7492" t="s">
        <v>31994</v>
      </c>
      <c r="X7492" t="s">
        <v>32534</v>
      </c>
    </row>
    <row r="7493" spans="1:24">
      <c r="A7493">
        <f>HYPERLINK("https://www.philgeps.gov.ph/GEPSNONPILOT/Tender/SplashBidNoticeAbstractUI.aspx?menuIndex=3&amp;refID=7033609&amp;Result=3","7033609")</f>
        <v>0</v>
      </c>
      <c r="B7493" t="s">
        <v>1686</v>
      </c>
      <c r="C7493" t="s">
        <v>9833</v>
      </c>
      <c r="D7493" t="s">
        <v>13000</v>
      </c>
      <c r="E7493" t="s">
        <v>19671</v>
      </c>
      <c r="F7493" t="s">
        <v>22436</v>
      </c>
      <c r="G7493" t="s">
        <v>22444</v>
      </c>
      <c r="H7493" t="s">
        <v>22452</v>
      </c>
      <c r="I7493" t="s">
        <v>22493</v>
      </c>
      <c r="J7493" t="s">
        <v>24887</v>
      </c>
      <c r="K7493" t="s">
        <v>29335</v>
      </c>
      <c r="L7493" t="s">
        <v>1686</v>
      </c>
      <c r="M7493" t="s">
        <v>31386</v>
      </c>
      <c r="N7493" t="s">
        <v>32524</v>
      </c>
      <c r="O7493" t="s">
        <v>32525</v>
      </c>
      <c r="P7493">
        <v>0</v>
      </c>
      <c r="Q7493">
        <v>3</v>
      </c>
      <c r="R7493" t="s">
        <v>32533</v>
      </c>
      <c r="S7493" t="s">
        <v>32667</v>
      </c>
      <c r="T7493" t="s">
        <v>33259</v>
      </c>
      <c r="U7493" t="s">
        <v>39892</v>
      </c>
      <c r="W7493" t="s">
        <v>31386</v>
      </c>
      <c r="X7493" t="s">
        <v>32534</v>
      </c>
    </row>
    <row r="7494" spans="1:24">
      <c r="A7494">
        <f>HYPERLINK("https://www.philgeps.gov.ph/GEPSNONPILOT/Tender/SplashBidNoticeAbstractUI.aspx?menuIndex=3&amp;refID=7033528&amp;Result=3","7033528")</f>
        <v>0</v>
      </c>
      <c r="B7494" t="s">
        <v>2229</v>
      </c>
      <c r="C7494" t="s">
        <v>9834</v>
      </c>
      <c r="D7494" t="s">
        <v>13006</v>
      </c>
      <c r="E7494" t="s">
        <v>19672</v>
      </c>
      <c r="F7494" t="s">
        <v>22436</v>
      </c>
      <c r="G7494" t="s">
        <v>22444</v>
      </c>
      <c r="H7494" t="s">
        <v>22452</v>
      </c>
      <c r="I7494" t="s">
        <v>3529</v>
      </c>
      <c r="J7494" t="s">
        <v>27415</v>
      </c>
      <c r="K7494" t="s">
        <v>29335</v>
      </c>
      <c r="M7494" t="s">
        <v>31995</v>
      </c>
      <c r="N7494" t="s">
        <v>32524</v>
      </c>
      <c r="O7494" t="s">
        <v>32525</v>
      </c>
      <c r="P7494">
        <v>0</v>
      </c>
      <c r="Q7494">
        <v>0</v>
      </c>
      <c r="R7494" t="s">
        <v>32533</v>
      </c>
      <c r="S7494" t="s">
        <v>32667</v>
      </c>
      <c r="T7494" t="s">
        <v>33555</v>
      </c>
      <c r="U7494" t="s">
        <v>39893</v>
      </c>
      <c r="V7494" t="s">
        <v>43238</v>
      </c>
      <c r="W7494" t="s">
        <v>31995</v>
      </c>
      <c r="X7494" t="s">
        <v>32534</v>
      </c>
    </row>
    <row r="7495" spans="1:24">
      <c r="A7495">
        <f>HYPERLINK("https://www.philgeps.gov.ph/GEPSNONPILOT/Tender/SplashBidNoticeAbstractUI.aspx?menuIndex=3&amp;refID=7033663&amp;Result=3","7033663")</f>
        <v>0</v>
      </c>
      <c r="B7495" t="s">
        <v>1563</v>
      </c>
      <c r="C7495" t="s">
        <v>9835</v>
      </c>
      <c r="D7495" t="s">
        <v>13006</v>
      </c>
      <c r="E7495" t="s">
        <v>19673</v>
      </c>
      <c r="F7495" t="s">
        <v>22436</v>
      </c>
      <c r="G7495" t="s">
        <v>22443</v>
      </c>
      <c r="H7495" t="s">
        <v>22452</v>
      </c>
      <c r="I7495" t="s">
        <v>2981</v>
      </c>
      <c r="J7495" t="s">
        <v>27416</v>
      </c>
      <c r="K7495" t="s">
        <v>29338</v>
      </c>
      <c r="M7495" t="s">
        <v>31692</v>
      </c>
      <c r="N7495" t="s">
        <v>32524</v>
      </c>
      <c r="O7495" t="s">
        <v>32525</v>
      </c>
      <c r="P7495">
        <v>0</v>
      </c>
      <c r="Q7495">
        <v>1</v>
      </c>
      <c r="R7495" t="s">
        <v>32533</v>
      </c>
      <c r="S7495" t="s">
        <v>32667</v>
      </c>
      <c r="T7495" t="s">
        <v>33220</v>
      </c>
      <c r="U7495" t="s">
        <v>38843</v>
      </c>
      <c r="W7495" t="s">
        <v>31692</v>
      </c>
      <c r="X7495" t="s">
        <v>32534</v>
      </c>
    </row>
    <row r="7496" spans="1:24">
      <c r="A7496">
        <f>HYPERLINK("https://www.philgeps.gov.ph/GEPSNONPILOT/Tender/SplashBidNoticeAbstractUI.aspx?menuIndex=3&amp;refID=7033618&amp;Result=3","7033618")</f>
        <v>0</v>
      </c>
      <c r="B7496" t="s">
        <v>2224</v>
      </c>
      <c r="C7496" t="s">
        <v>9836</v>
      </c>
      <c r="D7496" t="s">
        <v>13031</v>
      </c>
      <c r="E7496" t="s">
        <v>19674</v>
      </c>
      <c r="F7496" t="s">
        <v>22436</v>
      </c>
      <c r="G7496" t="s">
        <v>22443</v>
      </c>
      <c r="H7496" t="s">
        <v>22452</v>
      </c>
      <c r="I7496" t="s">
        <v>3827</v>
      </c>
      <c r="J7496" t="s">
        <v>25668</v>
      </c>
      <c r="K7496" t="s">
        <v>29333</v>
      </c>
      <c r="M7496" t="s">
        <v>31990</v>
      </c>
      <c r="N7496" t="s">
        <v>32524</v>
      </c>
      <c r="O7496" t="s">
        <v>32525</v>
      </c>
      <c r="P7496">
        <v>0</v>
      </c>
      <c r="Q7496">
        <v>4</v>
      </c>
      <c r="R7496" t="s">
        <v>32533</v>
      </c>
      <c r="S7496" t="s">
        <v>32667</v>
      </c>
      <c r="T7496" t="s">
        <v>33210</v>
      </c>
      <c r="U7496" t="s">
        <v>33733</v>
      </c>
      <c r="W7496" t="s">
        <v>31990</v>
      </c>
      <c r="X7496" t="s">
        <v>32534</v>
      </c>
    </row>
    <row r="7497" spans="1:24">
      <c r="A7497">
        <f>HYPERLINK("https://www.philgeps.gov.ph/GEPSNONPILOT/Tender/SplashBidNoticeAbstractUI.aspx?menuIndex=3&amp;refID=7033662&amp;Result=3","7033662")</f>
        <v>0</v>
      </c>
      <c r="B7497" t="s">
        <v>2230</v>
      </c>
      <c r="C7497" t="s">
        <v>9837</v>
      </c>
      <c r="D7497" t="s">
        <v>13022</v>
      </c>
      <c r="E7497" t="s">
        <v>14018</v>
      </c>
      <c r="F7497" t="s">
        <v>22436</v>
      </c>
      <c r="G7497" t="s">
        <v>22444</v>
      </c>
      <c r="H7497" t="s">
        <v>22452</v>
      </c>
      <c r="I7497" t="s">
        <v>3529</v>
      </c>
      <c r="J7497" t="s">
        <v>27417</v>
      </c>
      <c r="K7497" t="s">
        <v>29342</v>
      </c>
      <c r="M7497" t="s">
        <v>31996</v>
      </c>
      <c r="N7497" t="s">
        <v>32524</v>
      </c>
      <c r="O7497" t="s">
        <v>32525</v>
      </c>
      <c r="P7497">
        <v>0</v>
      </c>
      <c r="Q7497">
        <v>0</v>
      </c>
      <c r="R7497" t="s">
        <v>32533</v>
      </c>
      <c r="S7497" t="s">
        <v>32667</v>
      </c>
      <c r="T7497" t="s">
        <v>33259</v>
      </c>
      <c r="U7497" t="s">
        <v>39894</v>
      </c>
      <c r="V7497" t="s">
        <v>43245</v>
      </c>
      <c r="W7497" t="s">
        <v>31996</v>
      </c>
      <c r="X7497" t="s">
        <v>32534</v>
      </c>
    </row>
    <row r="7498" spans="1:24">
      <c r="A7498">
        <f>HYPERLINK("https://www.philgeps.gov.ph/GEPSNONPILOT/Tender/SplashBidNoticeAbstractUI.aspx?menuIndex=3&amp;refID=7033696&amp;Result=3","7033696")</f>
        <v>0</v>
      </c>
      <c r="B7498" t="s">
        <v>2231</v>
      </c>
      <c r="C7498" t="s">
        <v>9838</v>
      </c>
      <c r="D7498" t="s">
        <v>13018</v>
      </c>
      <c r="E7498" t="s">
        <v>19675</v>
      </c>
      <c r="F7498" t="s">
        <v>22436</v>
      </c>
      <c r="G7498" t="s">
        <v>22443</v>
      </c>
      <c r="H7498" t="s">
        <v>22452</v>
      </c>
      <c r="I7498" t="s">
        <v>22476</v>
      </c>
      <c r="J7498" t="s">
        <v>22605</v>
      </c>
      <c r="K7498" t="s">
        <v>29331</v>
      </c>
      <c r="M7498" t="s">
        <v>31997</v>
      </c>
      <c r="N7498" t="s">
        <v>32524</v>
      </c>
      <c r="O7498" t="s">
        <v>32525</v>
      </c>
      <c r="P7498">
        <v>0</v>
      </c>
      <c r="Q7498">
        <v>2</v>
      </c>
      <c r="R7498" t="s">
        <v>32533</v>
      </c>
      <c r="S7498" t="s">
        <v>32667</v>
      </c>
      <c r="T7498" t="s">
        <v>33310</v>
      </c>
      <c r="U7498" t="s">
        <v>39895</v>
      </c>
      <c r="W7498" t="s">
        <v>31997</v>
      </c>
      <c r="X7498" t="s">
        <v>32534</v>
      </c>
    </row>
    <row r="7499" spans="1:24">
      <c r="A7499">
        <f>HYPERLINK("https://www.philgeps.gov.ph/GEPSNONPILOT/Tender/SplashBidNoticeAbstractUI.aspx?menuIndex=3&amp;refID=7033604&amp;Result=3","7033604")</f>
        <v>0</v>
      </c>
      <c r="B7499" t="s">
        <v>608</v>
      </c>
      <c r="C7499" t="s">
        <v>9839</v>
      </c>
      <c r="E7499" t="s">
        <v>19676</v>
      </c>
      <c r="F7499" t="s">
        <v>22436</v>
      </c>
      <c r="G7499" t="s">
        <v>22444</v>
      </c>
      <c r="H7499" t="s">
        <v>22452</v>
      </c>
      <c r="I7499" t="s">
        <v>3827</v>
      </c>
      <c r="J7499" t="s">
        <v>24478</v>
      </c>
      <c r="K7499" t="s">
        <v>29338</v>
      </c>
      <c r="M7499" t="s">
        <v>30198</v>
      </c>
      <c r="N7499" t="s">
        <v>32524</v>
      </c>
      <c r="O7499" t="s">
        <v>32525</v>
      </c>
      <c r="P7499">
        <v>0</v>
      </c>
      <c r="Q7499">
        <v>2</v>
      </c>
      <c r="R7499" t="s">
        <v>32533</v>
      </c>
      <c r="S7499" t="s">
        <v>32667</v>
      </c>
      <c r="T7499" t="s">
        <v>33304</v>
      </c>
      <c r="U7499" t="s">
        <v>39896</v>
      </c>
      <c r="V7499" t="s">
        <v>43246</v>
      </c>
      <c r="W7499" t="s">
        <v>30198</v>
      </c>
      <c r="X7499" t="s">
        <v>32534</v>
      </c>
    </row>
    <row r="7500" spans="1:24">
      <c r="A7500">
        <f>HYPERLINK("https://www.philgeps.gov.ph/GEPSNONPILOT/Tender/SplashBidNoticeAbstractUI.aspx?menuIndex=3&amp;refID=7033693&amp;Result=3","7033693")</f>
        <v>0</v>
      </c>
      <c r="B7500" t="s">
        <v>2219</v>
      </c>
      <c r="C7500" t="s">
        <v>9840</v>
      </c>
      <c r="D7500" t="s">
        <v>12988</v>
      </c>
      <c r="E7500" t="s">
        <v>15273</v>
      </c>
      <c r="F7500" t="s">
        <v>22442</v>
      </c>
      <c r="G7500" t="s">
        <v>22444</v>
      </c>
      <c r="H7500" t="s">
        <v>22452</v>
      </c>
      <c r="I7500" t="s">
        <v>22553</v>
      </c>
      <c r="J7500" t="s">
        <v>27418</v>
      </c>
      <c r="K7500" t="s">
        <v>29336</v>
      </c>
      <c r="M7500" t="s">
        <v>31985</v>
      </c>
      <c r="N7500" t="s">
        <v>32524</v>
      </c>
      <c r="O7500" t="s">
        <v>32525</v>
      </c>
      <c r="P7500">
        <v>0</v>
      </c>
      <c r="Q7500">
        <v>1</v>
      </c>
      <c r="R7500" t="s">
        <v>32533</v>
      </c>
      <c r="S7500" t="s">
        <v>32667</v>
      </c>
      <c r="T7500" t="s">
        <v>33163</v>
      </c>
      <c r="U7500" t="s">
        <v>39897</v>
      </c>
      <c r="W7500" t="s">
        <v>31985</v>
      </c>
      <c r="X7500" t="s">
        <v>32534</v>
      </c>
    </row>
    <row r="7501" spans="1:24">
      <c r="A7501">
        <f>HYPERLINK("https://www.philgeps.gov.ph/GEPSNONPILOT/Tender/SplashBidNoticeAbstractUI.aspx?menuIndex=3&amp;refID=7033672&amp;Result=3","7033672")</f>
        <v>0</v>
      </c>
      <c r="B7501" t="s">
        <v>2232</v>
      </c>
      <c r="C7501" t="s">
        <v>9841</v>
      </c>
      <c r="D7501" t="s">
        <v>13012</v>
      </c>
      <c r="E7501" t="s">
        <v>19677</v>
      </c>
      <c r="F7501" t="s">
        <v>22436</v>
      </c>
      <c r="G7501" t="s">
        <v>22444</v>
      </c>
      <c r="H7501" t="s">
        <v>22454</v>
      </c>
      <c r="I7501" t="s">
        <v>7738</v>
      </c>
      <c r="J7501" t="s">
        <v>22970</v>
      </c>
      <c r="K7501" t="s">
        <v>29334</v>
      </c>
      <c r="M7501" t="s">
        <v>31998</v>
      </c>
      <c r="N7501" t="s">
        <v>32524</v>
      </c>
      <c r="O7501" t="s">
        <v>32525</v>
      </c>
      <c r="P7501">
        <v>0</v>
      </c>
      <c r="Q7501">
        <v>0</v>
      </c>
      <c r="R7501" t="s">
        <v>32533</v>
      </c>
      <c r="S7501" t="s">
        <v>32667</v>
      </c>
      <c r="T7501" t="s">
        <v>33360</v>
      </c>
      <c r="U7501" t="s">
        <v>39898</v>
      </c>
      <c r="W7501" t="s">
        <v>31998</v>
      </c>
      <c r="X7501" t="s">
        <v>32534</v>
      </c>
    </row>
    <row r="7502" spans="1:24">
      <c r="A7502">
        <f>HYPERLINK("https://www.philgeps.gov.ph/GEPSNONPILOT/Tender/SplashBidNoticeAbstractUI.aspx?menuIndex=3&amp;refID=7033517&amp;Result=3","7033517")</f>
        <v>0</v>
      </c>
      <c r="B7502" t="s">
        <v>166</v>
      </c>
      <c r="C7502" t="s">
        <v>9842</v>
      </c>
      <c r="E7502" t="s">
        <v>19678</v>
      </c>
      <c r="F7502" t="s">
        <v>22436</v>
      </c>
      <c r="G7502" t="s">
        <v>22443</v>
      </c>
      <c r="H7502" t="s">
        <v>22452</v>
      </c>
      <c r="I7502" t="s">
        <v>2981</v>
      </c>
      <c r="J7502" t="s">
        <v>24816</v>
      </c>
      <c r="K7502" t="s">
        <v>29338</v>
      </c>
      <c r="M7502" t="s">
        <v>29738</v>
      </c>
      <c r="N7502" t="s">
        <v>32524</v>
      </c>
      <c r="O7502" t="s">
        <v>32525</v>
      </c>
      <c r="P7502">
        <v>0</v>
      </c>
      <c r="Q7502">
        <v>0</v>
      </c>
      <c r="R7502" t="s">
        <v>32533</v>
      </c>
      <c r="S7502" t="s">
        <v>32667</v>
      </c>
      <c r="T7502" t="s">
        <v>33238</v>
      </c>
      <c r="U7502" t="s">
        <v>39899</v>
      </c>
      <c r="W7502" t="s">
        <v>29738</v>
      </c>
      <c r="X7502" t="s">
        <v>32534</v>
      </c>
    </row>
    <row r="7503" spans="1:24">
      <c r="A7503">
        <f>HYPERLINK("https://www.philgeps.gov.ph/GEPSNONPILOT/Tender/SplashBidNoticeAbstractUI.aspx?menuIndex=3&amp;refID=7033653&amp;Result=3","7033653")</f>
        <v>0</v>
      </c>
      <c r="B7503" t="s">
        <v>1750</v>
      </c>
      <c r="C7503" t="s">
        <v>9843</v>
      </c>
      <c r="D7503" t="s">
        <v>13066</v>
      </c>
      <c r="E7503" t="s">
        <v>19679</v>
      </c>
      <c r="F7503" t="s">
        <v>22436</v>
      </c>
      <c r="G7503" t="s">
        <v>22444</v>
      </c>
      <c r="H7503" t="s">
        <v>22454</v>
      </c>
      <c r="I7503" t="s">
        <v>7738</v>
      </c>
      <c r="J7503" t="s">
        <v>23316</v>
      </c>
      <c r="K7503" t="s">
        <v>29446</v>
      </c>
      <c r="M7503" t="s">
        <v>31455</v>
      </c>
      <c r="N7503" t="s">
        <v>32524</v>
      </c>
      <c r="O7503" t="s">
        <v>32525</v>
      </c>
      <c r="P7503">
        <v>0</v>
      </c>
      <c r="Q7503">
        <v>1</v>
      </c>
      <c r="R7503" t="s">
        <v>32533</v>
      </c>
      <c r="S7503" t="s">
        <v>32667</v>
      </c>
      <c r="T7503" t="s">
        <v>33218</v>
      </c>
      <c r="U7503" t="s">
        <v>39900</v>
      </c>
      <c r="W7503" t="s">
        <v>31455</v>
      </c>
      <c r="X7503" t="s">
        <v>32534</v>
      </c>
    </row>
    <row r="7504" spans="1:24">
      <c r="A7504">
        <f>HYPERLINK("https://www.philgeps.gov.ph/GEPSNONPILOT/Tender/SplashBidNoticeAbstractUI.aspx?menuIndex=3&amp;refID=7033685&amp;Result=3","7033685")</f>
        <v>0</v>
      </c>
      <c r="B7504" t="s">
        <v>349</v>
      </c>
      <c r="C7504" t="s">
        <v>9844</v>
      </c>
      <c r="D7504" t="s">
        <v>12994</v>
      </c>
      <c r="E7504" t="s">
        <v>19680</v>
      </c>
      <c r="F7504" t="s">
        <v>22436</v>
      </c>
      <c r="G7504" t="s">
        <v>22444</v>
      </c>
      <c r="H7504" t="s">
        <v>22452</v>
      </c>
      <c r="I7504" t="s">
        <v>22470</v>
      </c>
      <c r="J7504" t="s">
        <v>27419</v>
      </c>
      <c r="K7504" t="s">
        <v>29335</v>
      </c>
      <c r="M7504" t="s">
        <v>29926</v>
      </c>
      <c r="N7504" t="s">
        <v>32524</v>
      </c>
      <c r="O7504" t="s">
        <v>32525</v>
      </c>
      <c r="P7504">
        <v>0</v>
      </c>
      <c r="Q7504">
        <v>2</v>
      </c>
      <c r="R7504" t="s">
        <v>32533</v>
      </c>
      <c r="S7504" t="s">
        <v>32667</v>
      </c>
      <c r="T7504" t="s">
        <v>33170</v>
      </c>
      <c r="U7504" t="s">
        <v>39901</v>
      </c>
      <c r="W7504" t="s">
        <v>29926</v>
      </c>
      <c r="X7504" t="s">
        <v>32534</v>
      </c>
    </row>
    <row r="7505" spans="1:24">
      <c r="A7505">
        <f>HYPERLINK("https://www.philgeps.gov.ph/GEPSNONPILOT/Tender/SplashBidNoticeAbstractUI.aspx?menuIndex=3&amp;refID=7033474&amp;Result=3","7033474")</f>
        <v>0</v>
      </c>
      <c r="B7505" t="s">
        <v>2233</v>
      </c>
      <c r="C7505" t="s">
        <v>9845</v>
      </c>
      <c r="D7505" t="s">
        <v>13056</v>
      </c>
      <c r="E7505" t="s">
        <v>19681</v>
      </c>
      <c r="F7505" t="s">
        <v>22436</v>
      </c>
      <c r="G7505" t="s">
        <v>22444</v>
      </c>
      <c r="H7505" t="s">
        <v>22452</v>
      </c>
      <c r="I7505" t="s">
        <v>3529</v>
      </c>
      <c r="J7505" t="s">
        <v>27420</v>
      </c>
      <c r="K7505" t="s">
        <v>29331</v>
      </c>
      <c r="M7505" t="s">
        <v>31999</v>
      </c>
      <c r="N7505" t="s">
        <v>32524</v>
      </c>
      <c r="O7505" t="s">
        <v>32525</v>
      </c>
      <c r="P7505">
        <v>0</v>
      </c>
      <c r="Q7505">
        <v>0</v>
      </c>
      <c r="R7505" t="s">
        <v>32533</v>
      </c>
      <c r="S7505" t="s">
        <v>32667</v>
      </c>
      <c r="T7505" t="s">
        <v>33556</v>
      </c>
      <c r="U7505" t="s">
        <v>39902</v>
      </c>
      <c r="V7505" t="s">
        <v>43247</v>
      </c>
      <c r="W7505" t="s">
        <v>31999</v>
      </c>
      <c r="X7505" t="s">
        <v>32534</v>
      </c>
    </row>
    <row r="7506" spans="1:24">
      <c r="A7506">
        <f>HYPERLINK("https://www.philgeps.gov.ph/GEPSNONPILOT/Tender/SplashBidNoticeAbstractUI.aspx?menuIndex=3&amp;refID=7033652&amp;Result=3","7033652")</f>
        <v>0</v>
      </c>
      <c r="B7506" t="s">
        <v>1750</v>
      </c>
      <c r="C7506" t="s">
        <v>9846</v>
      </c>
      <c r="D7506" t="s">
        <v>13066</v>
      </c>
      <c r="E7506" t="s">
        <v>19682</v>
      </c>
      <c r="F7506" t="s">
        <v>22436</v>
      </c>
      <c r="G7506" t="s">
        <v>22444</v>
      </c>
      <c r="H7506" t="s">
        <v>22454</v>
      </c>
      <c r="I7506" t="s">
        <v>7738</v>
      </c>
      <c r="J7506" t="s">
        <v>27421</v>
      </c>
      <c r="K7506" t="s">
        <v>29347</v>
      </c>
      <c r="M7506" t="s">
        <v>31455</v>
      </c>
      <c r="N7506" t="s">
        <v>32524</v>
      </c>
      <c r="O7506" t="s">
        <v>32525</v>
      </c>
      <c r="P7506">
        <v>0</v>
      </c>
      <c r="Q7506">
        <v>1</v>
      </c>
      <c r="R7506" t="s">
        <v>32533</v>
      </c>
      <c r="S7506" t="s">
        <v>32667</v>
      </c>
      <c r="T7506" t="s">
        <v>33218</v>
      </c>
      <c r="U7506" t="s">
        <v>39903</v>
      </c>
      <c r="W7506" t="s">
        <v>31455</v>
      </c>
      <c r="X7506" t="s">
        <v>32534</v>
      </c>
    </row>
    <row r="7507" spans="1:24">
      <c r="A7507">
        <f>HYPERLINK("https://www.philgeps.gov.ph/GEPSNONPILOT/Tender/SplashBidNoticeAbstractUI.aspx?menuIndex=3&amp;refID=7033476&amp;Result=3","7033476")</f>
        <v>0</v>
      </c>
      <c r="B7507" t="s">
        <v>244</v>
      </c>
      <c r="C7507" t="s">
        <v>9847</v>
      </c>
      <c r="D7507" t="s">
        <v>13019</v>
      </c>
      <c r="E7507" t="s">
        <v>19683</v>
      </c>
      <c r="F7507" t="s">
        <v>22436</v>
      </c>
      <c r="G7507" t="s">
        <v>22444</v>
      </c>
      <c r="H7507" t="s">
        <v>22452</v>
      </c>
      <c r="I7507" t="s">
        <v>22474</v>
      </c>
      <c r="J7507" t="s">
        <v>27422</v>
      </c>
      <c r="K7507" t="s">
        <v>29434</v>
      </c>
      <c r="M7507" t="s">
        <v>29818</v>
      </c>
      <c r="N7507" t="s">
        <v>32524</v>
      </c>
      <c r="O7507" t="s">
        <v>32525</v>
      </c>
      <c r="P7507">
        <v>0</v>
      </c>
      <c r="Q7507">
        <v>7</v>
      </c>
      <c r="R7507" t="s">
        <v>32533</v>
      </c>
      <c r="S7507" t="s">
        <v>32667</v>
      </c>
      <c r="T7507" t="s">
        <v>33259</v>
      </c>
      <c r="U7507" t="s">
        <v>39904</v>
      </c>
      <c r="W7507" t="s">
        <v>29818</v>
      </c>
      <c r="X7507" t="s">
        <v>32534</v>
      </c>
    </row>
    <row r="7508" spans="1:24">
      <c r="A7508">
        <f>HYPERLINK("https://www.philgeps.gov.ph/GEPSNONPILOT/Tender/SplashBidNoticeAbstractUI.aspx?menuIndex=3&amp;refID=7033659&amp;Result=3","7033659")</f>
        <v>0</v>
      </c>
      <c r="B7508" t="s">
        <v>1563</v>
      </c>
      <c r="C7508" t="s">
        <v>9848</v>
      </c>
      <c r="D7508" t="s">
        <v>13006</v>
      </c>
      <c r="E7508" t="s">
        <v>19684</v>
      </c>
      <c r="F7508" t="s">
        <v>22436</v>
      </c>
      <c r="G7508" t="s">
        <v>22443</v>
      </c>
      <c r="H7508" t="s">
        <v>22452</v>
      </c>
      <c r="I7508" t="s">
        <v>2981</v>
      </c>
      <c r="J7508" t="s">
        <v>22654</v>
      </c>
      <c r="K7508" t="s">
        <v>29338</v>
      </c>
      <c r="M7508" t="s">
        <v>31692</v>
      </c>
      <c r="N7508" t="s">
        <v>32524</v>
      </c>
      <c r="O7508" t="s">
        <v>32525</v>
      </c>
      <c r="P7508">
        <v>0</v>
      </c>
      <c r="Q7508">
        <v>2</v>
      </c>
      <c r="R7508" t="s">
        <v>32533</v>
      </c>
      <c r="S7508" t="s">
        <v>32667</v>
      </c>
      <c r="T7508" t="s">
        <v>33220</v>
      </c>
      <c r="U7508" t="s">
        <v>38843</v>
      </c>
      <c r="W7508" t="s">
        <v>31692</v>
      </c>
      <c r="X7508" t="s">
        <v>32534</v>
      </c>
    </row>
    <row r="7509" spans="1:24">
      <c r="A7509">
        <f>HYPERLINK("https://www.philgeps.gov.ph/GEPSNONPILOT/Tender/SplashBidNoticeAbstractUI.aspx?menuIndex=3&amp;refID=7033648&amp;Result=3","7033648")</f>
        <v>0</v>
      </c>
      <c r="B7509" t="s">
        <v>2234</v>
      </c>
      <c r="C7509" t="s">
        <v>9849</v>
      </c>
      <c r="D7509" t="s">
        <v>13067</v>
      </c>
      <c r="E7509" t="s">
        <v>19685</v>
      </c>
      <c r="F7509" t="s">
        <v>22436</v>
      </c>
      <c r="G7509" t="s">
        <v>22444</v>
      </c>
      <c r="H7509" t="s">
        <v>22452</v>
      </c>
      <c r="I7509" t="s">
        <v>12358</v>
      </c>
      <c r="J7509" t="s">
        <v>27423</v>
      </c>
      <c r="K7509" t="s">
        <v>29336</v>
      </c>
      <c r="M7509" t="s">
        <v>32000</v>
      </c>
      <c r="N7509" t="s">
        <v>32524</v>
      </c>
      <c r="O7509" t="s">
        <v>32525</v>
      </c>
      <c r="P7509">
        <v>0</v>
      </c>
      <c r="Q7509">
        <v>0</v>
      </c>
      <c r="R7509" t="s">
        <v>32533</v>
      </c>
      <c r="S7509" t="s">
        <v>32667</v>
      </c>
      <c r="T7509" t="s">
        <v>33188</v>
      </c>
      <c r="U7509" t="s">
        <v>39905</v>
      </c>
      <c r="W7509" t="s">
        <v>32000</v>
      </c>
      <c r="X7509" t="s">
        <v>32534</v>
      </c>
    </row>
    <row r="7510" spans="1:24">
      <c r="A7510">
        <f>HYPERLINK("https://www.philgeps.gov.ph/GEPSNONPILOT/Tender/SplashBidNoticeAbstractUI.aspx?menuIndex=3&amp;refID=7033472&amp;Result=3","7033472")</f>
        <v>0</v>
      </c>
      <c r="B7510" t="s">
        <v>1044</v>
      </c>
      <c r="C7510" t="s">
        <v>9850</v>
      </c>
      <c r="D7510" t="s">
        <v>12991</v>
      </c>
      <c r="E7510" t="s">
        <v>19686</v>
      </c>
      <c r="F7510" t="s">
        <v>22436</v>
      </c>
      <c r="G7510" t="s">
        <v>22446</v>
      </c>
      <c r="H7510" t="s">
        <v>22452</v>
      </c>
      <c r="I7510" t="s">
        <v>3529</v>
      </c>
      <c r="J7510" t="s">
        <v>27424</v>
      </c>
      <c r="K7510" t="s">
        <v>29331</v>
      </c>
      <c r="M7510" t="s">
        <v>30676</v>
      </c>
      <c r="N7510" t="s">
        <v>32524</v>
      </c>
      <c r="O7510" t="s">
        <v>32525</v>
      </c>
      <c r="P7510">
        <v>0</v>
      </c>
      <c r="Q7510">
        <v>0</v>
      </c>
      <c r="R7510" t="s">
        <v>32533</v>
      </c>
      <c r="S7510" t="s">
        <v>32667</v>
      </c>
      <c r="T7510" t="s">
        <v>33162</v>
      </c>
      <c r="U7510" t="s">
        <v>37254</v>
      </c>
      <c r="W7510" t="s">
        <v>30676</v>
      </c>
      <c r="X7510" t="s">
        <v>32534</v>
      </c>
    </row>
    <row r="7511" spans="1:24">
      <c r="A7511">
        <f>HYPERLINK("https://www.philgeps.gov.ph/GEPSNONPILOT/Tender/SplashBidNoticeAbstractUI.aspx?menuIndex=3&amp;refID=7033625&amp;Result=3","7033625")</f>
        <v>0</v>
      </c>
      <c r="B7511" t="s">
        <v>2228</v>
      </c>
      <c r="C7511" t="s">
        <v>9851</v>
      </c>
      <c r="D7511" t="s">
        <v>13045</v>
      </c>
      <c r="E7511" t="s">
        <v>19687</v>
      </c>
      <c r="F7511" t="s">
        <v>22436</v>
      </c>
      <c r="G7511" t="s">
        <v>22450</v>
      </c>
      <c r="H7511" t="s">
        <v>22454</v>
      </c>
      <c r="I7511" t="s">
        <v>7738</v>
      </c>
      <c r="J7511" t="s">
        <v>27425</v>
      </c>
      <c r="K7511" t="s">
        <v>29333</v>
      </c>
      <c r="M7511" t="s">
        <v>31994</v>
      </c>
      <c r="N7511" t="s">
        <v>32524</v>
      </c>
      <c r="O7511" t="s">
        <v>32525</v>
      </c>
      <c r="P7511">
        <v>0</v>
      </c>
      <c r="Q7511">
        <v>0</v>
      </c>
      <c r="R7511" t="s">
        <v>32533</v>
      </c>
      <c r="S7511" t="s">
        <v>32667</v>
      </c>
      <c r="T7511" t="s">
        <v>33249</v>
      </c>
      <c r="U7511" t="s">
        <v>39906</v>
      </c>
      <c r="W7511" t="s">
        <v>31994</v>
      </c>
      <c r="X7511" t="s">
        <v>32534</v>
      </c>
    </row>
    <row r="7512" spans="1:24">
      <c r="A7512">
        <f>HYPERLINK("https://www.philgeps.gov.ph/GEPSNONPILOT/Tender/SplashBidNoticeAbstractUI.aspx?menuIndex=3&amp;refID=7033649&amp;Result=3","7033649")</f>
        <v>0</v>
      </c>
      <c r="B7512" t="s">
        <v>998</v>
      </c>
      <c r="C7512" t="s">
        <v>9852</v>
      </c>
      <c r="D7512" t="s">
        <v>13001</v>
      </c>
      <c r="E7512" t="s">
        <v>19688</v>
      </c>
      <c r="F7512" t="s">
        <v>22436</v>
      </c>
      <c r="G7512" t="s">
        <v>22443</v>
      </c>
      <c r="H7512" t="s">
        <v>22452</v>
      </c>
      <c r="I7512" t="s">
        <v>22557</v>
      </c>
      <c r="J7512" t="s">
        <v>27426</v>
      </c>
      <c r="K7512" t="s">
        <v>29331</v>
      </c>
      <c r="M7512" t="s">
        <v>30624</v>
      </c>
      <c r="N7512" t="s">
        <v>32524</v>
      </c>
      <c r="O7512" t="s">
        <v>32525</v>
      </c>
      <c r="P7512">
        <v>0</v>
      </c>
      <c r="Q7512">
        <v>1</v>
      </c>
      <c r="R7512" t="s">
        <v>32533</v>
      </c>
      <c r="S7512" t="s">
        <v>32667</v>
      </c>
      <c r="T7512" t="s">
        <v>33372</v>
      </c>
      <c r="U7512" t="s">
        <v>39907</v>
      </c>
      <c r="V7512" t="s">
        <v>43248</v>
      </c>
      <c r="W7512" t="s">
        <v>30624</v>
      </c>
      <c r="X7512" t="s">
        <v>32534</v>
      </c>
    </row>
    <row r="7513" spans="1:24">
      <c r="A7513">
        <f>HYPERLINK("https://www.philgeps.gov.ph/GEPSNONPILOT/Tender/SplashBidNoticeAbstractUI.aspx?menuIndex=3&amp;refID=7033643&amp;Result=3","7033643")</f>
        <v>0</v>
      </c>
      <c r="B7513" t="s">
        <v>2235</v>
      </c>
      <c r="C7513" t="s">
        <v>9853</v>
      </c>
      <c r="D7513" t="s">
        <v>13038</v>
      </c>
      <c r="E7513" t="s">
        <v>19689</v>
      </c>
      <c r="F7513" t="s">
        <v>22436</v>
      </c>
      <c r="G7513" t="s">
        <v>22444</v>
      </c>
      <c r="H7513" t="s">
        <v>22452</v>
      </c>
      <c r="I7513" t="s">
        <v>2981</v>
      </c>
      <c r="J7513" t="s">
        <v>27427</v>
      </c>
      <c r="K7513" t="s">
        <v>29333</v>
      </c>
      <c r="M7513" t="s">
        <v>32001</v>
      </c>
      <c r="N7513" t="s">
        <v>32524</v>
      </c>
      <c r="O7513" t="s">
        <v>32525</v>
      </c>
      <c r="P7513">
        <v>0</v>
      </c>
      <c r="Q7513">
        <v>1</v>
      </c>
      <c r="R7513" t="s">
        <v>32533</v>
      </c>
      <c r="S7513" t="s">
        <v>32667</v>
      </c>
      <c r="T7513" t="s">
        <v>33340</v>
      </c>
      <c r="U7513" t="s">
        <v>39908</v>
      </c>
      <c r="W7513" t="s">
        <v>32001</v>
      </c>
      <c r="X7513" t="s">
        <v>32534</v>
      </c>
    </row>
    <row r="7514" spans="1:24">
      <c r="A7514">
        <f>HYPERLINK("https://www.philgeps.gov.ph/GEPSNONPILOT/Tender/SplashBidNoticeAbstractUI.aspx?menuIndex=3&amp;refID=7033619&amp;Result=3","7033619")</f>
        <v>0</v>
      </c>
      <c r="B7514" t="s">
        <v>1686</v>
      </c>
      <c r="C7514" t="s">
        <v>9854</v>
      </c>
      <c r="D7514" t="s">
        <v>13000</v>
      </c>
      <c r="E7514" t="s">
        <v>19690</v>
      </c>
      <c r="F7514" t="s">
        <v>22436</v>
      </c>
      <c r="G7514" t="s">
        <v>22444</v>
      </c>
      <c r="H7514" t="s">
        <v>22452</v>
      </c>
      <c r="I7514" t="s">
        <v>22482</v>
      </c>
      <c r="J7514" t="s">
        <v>22779</v>
      </c>
      <c r="K7514" t="s">
        <v>29335</v>
      </c>
      <c r="L7514" t="s">
        <v>1686</v>
      </c>
      <c r="M7514" t="s">
        <v>31386</v>
      </c>
      <c r="N7514" t="s">
        <v>32524</v>
      </c>
      <c r="O7514" t="s">
        <v>32525</v>
      </c>
      <c r="P7514">
        <v>0</v>
      </c>
      <c r="Q7514">
        <v>11</v>
      </c>
      <c r="R7514" t="s">
        <v>32533</v>
      </c>
      <c r="S7514" t="s">
        <v>32667</v>
      </c>
      <c r="T7514" t="s">
        <v>33259</v>
      </c>
      <c r="U7514" t="s">
        <v>39909</v>
      </c>
      <c r="W7514" t="s">
        <v>31386</v>
      </c>
      <c r="X7514" t="s">
        <v>32534</v>
      </c>
    </row>
    <row r="7515" spans="1:24">
      <c r="A7515">
        <f>HYPERLINK("https://www.philgeps.gov.ph/GEPSNONPILOT/Tender/SplashBidNoticeAbstractUI.aspx?menuIndex=3&amp;refID=7033791&amp;Result=3","7033791")</f>
        <v>0</v>
      </c>
      <c r="B7515" t="s">
        <v>250</v>
      </c>
      <c r="C7515" t="s">
        <v>9855</v>
      </c>
      <c r="D7515" t="s">
        <v>12999</v>
      </c>
      <c r="E7515" t="s">
        <v>13551</v>
      </c>
      <c r="F7515" t="s">
        <v>22436</v>
      </c>
      <c r="G7515" t="s">
        <v>22444</v>
      </c>
      <c r="H7515" t="s">
        <v>22452</v>
      </c>
      <c r="I7515" t="s">
        <v>22461</v>
      </c>
      <c r="J7515" t="s">
        <v>27428</v>
      </c>
      <c r="K7515" t="s">
        <v>29335</v>
      </c>
      <c r="M7515" t="s">
        <v>32002</v>
      </c>
      <c r="N7515" t="s">
        <v>32524</v>
      </c>
      <c r="O7515" t="s">
        <v>32525</v>
      </c>
      <c r="P7515">
        <v>0</v>
      </c>
      <c r="Q7515">
        <v>4</v>
      </c>
      <c r="R7515" t="s">
        <v>32533</v>
      </c>
      <c r="S7515" t="s">
        <v>32667</v>
      </c>
      <c r="T7515" t="s">
        <v>33484</v>
      </c>
      <c r="U7515" t="s">
        <v>39910</v>
      </c>
      <c r="V7515" t="s">
        <v>43249</v>
      </c>
      <c r="W7515" t="s">
        <v>32002</v>
      </c>
      <c r="X7515" t="s">
        <v>32534</v>
      </c>
    </row>
    <row r="7516" spans="1:24">
      <c r="A7516">
        <f>HYPERLINK("https://www.philgeps.gov.ph/GEPSNONPILOT/Tender/SplashBidNoticeAbstractUI.aspx?menuIndex=3&amp;refID=7033776&amp;Result=3","7033776")</f>
        <v>0</v>
      </c>
      <c r="B7516" t="s">
        <v>1269</v>
      </c>
      <c r="C7516" t="s">
        <v>9856</v>
      </c>
      <c r="D7516" t="s">
        <v>13000</v>
      </c>
      <c r="E7516" t="s">
        <v>19691</v>
      </c>
      <c r="F7516" t="s">
        <v>22436</v>
      </c>
      <c r="G7516" t="s">
        <v>22444</v>
      </c>
      <c r="H7516" t="s">
        <v>22454</v>
      </c>
      <c r="I7516" t="s">
        <v>7738</v>
      </c>
      <c r="J7516" t="s">
        <v>27429</v>
      </c>
      <c r="K7516" t="s">
        <v>29333</v>
      </c>
      <c r="M7516" t="s">
        <v>30922</v>
      </c>
      <c r="N7516" t="s">
        <v>32524</v>
      </c>
      <c r="O7516" t="s">
        <v>32525</v>
      </c>
      <c r="P7516">
        <v>0</v>
      </c>
      <c r="Q7516">
        <v>0</v>
      </c>
      <c r="R7516" t="s">
        <v>32533</v>
      </c>
      <c r="S7516" t="s">
        <v>32667</v>
      </c>
      <c r="T7516" t="s">
        <v>33242</v>
      </c>
      <c r="U7516" t="s">
        <v>39911</v>
      </c>
      <c r="V7516" t="s">
        <v>42776</v>
      </c>
      <c r="W7516" t="s">
        <v>30922</v>
      </c>
      <c r="X7516" t="s">
        <v>32534</v>
      </c>
    </row>
    <row r="7517" spans="1:24">
      <c r="A7517">
        <f>HYPERLINK("https://www.philgeps.gov.ph/GEPSNONPILOT/Tender/SplashBidNoticeAbstractUI.aspx?menuIndex=3&amp;refID=7033650&amp;Result=3","7033650")</f>
        <v>0</v>
      </c>
      <c r="B7517" t="s">
        <v>1750</v>
      </c>
      <c r="C7517" t="s">
        <v>9857</v>
      </c>
      <c r="D7517" t="s">
        <v>13066</v>
      </c>
      <c r="E7517" t="s">
        <v>19692</v>
      </c>
      <c r="F7517" t="s">
        <v>22436</v>
      </c>
      <c r="G7517" t="s">
        <v>22444</v>
      </c>
      <c r="H7517" t="s">
        <v>22454</v>
      </c>
      <c r="I7517" t="s">
        <v>7738</v>
      </c>
      <c r="J7517" t="s">
        <v>27430</v>
      </c>
      <c r="K7517" t="s">
        <v>29334</v>
      </c>
      <c r="M7517" t="s">
        <v>31455</v>
      </c>
      <c r="N7517" t="s">
        <v>32524</v>
      </c>
      <c r="O7517" t="s">
        <v>32525</v>
      </c>
      <c r="P7517">
        <v>0</v>
      </c>
      <c r="Q7517">
        <v>0</v>
      </c>
      <c r="R7517" t="s">
        <v>32533</v>
      </c>
      <c r="S7517" t="s">
        <v>32667</v>
      </c>
      <c r="T7517" t="s">
        <v>33218</v>
      </c>
      <c r="U7517" t="s">
        <v>39912</v>
      </c>
      <c r="W7517" t="s">
        <v>31455</v>
      </c>
      <c r="X7517" t="s">
        <v>32534</v>
      </c>
    </row>
    <row r="7518" spans="1:24">
      <c r="A7518">
        <f>HYPERLINK("https://www.philgeps.gov.ph/GEPSNONPILOT/Tender/SplashBidNoticeAbstractUI.aspx?menuIndex=3&amp;refID=7033772&amp;Result=3","7033772")</f>
        <v>0</v>
      </c>
      <c r="B7518" t="s">
        <v>2227</v>
      </c>
      <c r="C7518" t="s">
        <v>9858</v>
      </c>
      <c r="D7518" t="s">
        <v>13010</v>
      </c>
      <c r="E7518" t="s">
        <v>16052</v>
      </c>
      <c r="F7518" t="s">
        <v>22436</v>
      </c>
      <c r="G7518" t="s">
        <v>22444</v>
      </c>
      <c r="H7518" t="s">
        <v>22452</v>
      </c>
      <c r="I7518" t="s">
        <v>3529</v>
      </c>
      <c r="J7518" t="s">
        <v>27431</v>
      </c>
      <c r="K7518" t="s">
        <v>29331</v>
      </c>
      <c r="M7518" t="s">
        <v>31993</v>
      </c>
      <c r="N7518" t="s">
        <v>32524</v>
      </c>
      <c r="O7518" t="s">
        <v>32525</v>
      </c>
      <c r="P7518">
        <v>0</v>
      </c>
      <c r="Q7518">
        <v>0</v>
      </c>
      <c r="R7518" t="s">
        <v>32533</v>
      </c>
      <c r="S7518" t="s">
        <v>32667</v>
      </c>
      <c r="T7518" t="s">
        <v>33242</v>
      </c>
      <c r="U7518" t="s">
        <v>39913</v>
      </c>
      <c r="V7518" t="s">
        <v>43250</v>
      </c>
      <c r="W7518" t="s">
        <v>31993</v>
      </c>
      <c r="X7518" t="s">
        <v>32534</v>
      </c>
    </row>
    <row r="7519" spans="1:24">
      <c r="A7519">
        <f>HYPERLINK("https://www.philgeps.gov.ph/GEPSNONPILOT/Tender/SplashBidNoticeAbstractUI.aspx?menuIndex=3&amp;refID=7033769&amp;Result=3","7033769")</f>
        <v>0</v>
      </c>
      <c r="B7519" t="s">
        <v>2236</v>
      </c>
      <c r="C7519" t="s">
        <v>9859</v>
      </c>
      <c r="D7519" t="s">
        <v>13059</v>
      </c>
      <c r="E7519" t="s">
        <v>19693</v>
      </c>
      <c r="F7519" t="s">
        <v>22436</v>
      </c>
      <c r="G7519" t="s">
        <v>22444</v>
      </c>
      <c r="H7519" t="s">
        <v>22454</v>
      </c>
      <c r="I7519" t="s">
        <v>7738</v>
      </c>
      <c r="J7519" t="s">
        <v>22669</v>
      </c>
      <c r="K7519" t="s">
        <v>29388</v>
      </c>
      <c r="L7519" t="s">
        <v>2236</v>
      </c>
      <c r="M7519" t="s">
        <v>32003</v>
      </c>
      <c r="N7519" t="s">
        <v>32524</v>
      </c>
      <c r="O7519" t="s">
        <v>32525</v>
      </c>
      <c r="P7519">
        <v>0</v>
      </c>
      <c r="Q7519">
        <v>1</v>
      </c>
      <c r="R7519" t="s">
        <v>32533</v>
      </c>
      <c r="S7519" t="s">
        <v>32667</v>
      </c>
      <c r="T7519" t="s">
        <v>33249</v>
      </c>
      <c r="U7519" t="s">
        <v>39914</v>
      </c>
      <c r="V7519" t="s">
        <v>43251</v>
      </c>
      <c r="W7519" t="s">
        <v>32003</v>
      </c>
      <c r="X7519" t="s">
        <v>32534</v>
      </c>
    </row>
    <row r="7520" spans="1:24">
      <c r="A7520">
        <f>HYPERLINK("https://www.philgeps.gov.ph/GEPSNONPILOT/Tender/SplashBidNoticeAbstractUI.aspx?menuIndex=3&amp;refID=7033786&amp;Result=3","7033786")</f>
        <v>0</v>
      </c>
      <c r="B7520" t="s">
        <v>166</v>
      </c>
      <c r="C7520" t="s">
        <v>9860</v>
      </c>
      <c r="E7520" t="s">
        <v>19694</v>
      </c>
      <c r="F7520" t="s">
        <v>22436</v>
      </c>
      <c r="G7520" t="s">
        <v>22443</v>
      </c>
      <c r="H7520" t="s">
        <v>22455</v>
      </c>
      <c r="I7520" t="s">
        <v>22486</v>
      </c>
      <c r="J7520" t="s">
        <v>23093</v>
      </c>
      <c r="K7520" t="s">
        <v>29338</v>
      </c>
      <c r="M7520" t="s">
        <v>29738</v>
      </c>
      <c r="N7520" t="s">
        <v>32524</v>
      </c>
      <c r="O7520" t="s">
        <v>32525</v>
      </c>
      <c r="P7520">
        <v>0</v>
      </c>
      <c r="Q7520">
        <v>1</v>
      </c>
      <c r="R7520" t="s">
        <v>32533</v>
      </c>
      <c r="S7520" t="s">
        <v>32667</v>
      </c>
      <c r="T7520" t="s">
        <v>33238</v>
      </c>
      <c r="U7520" t="s">
        <v>39915</v>
      </c>
      <c r="W7520" t="s">
        <v>29738</v>
      </c>
      <c r="X7520" t="s">
        <v>32534</v>
      </c>
    </row>
    <row r="7521" spans="1:24">
      <c r="A7521">
        <f>HYPERLINK("https://www.philgeps.gov.ph/GEPSNONPILOT/Tender/SplashBidNoticeAbstractUI.aspx?menuIndex=3&amp;refID=7033620&amp;Result=3","7033620")</f>
        <v>0</v>
      </c>
      <c r="B7521" t="s">
        <v>2237</v>
      </c>
      <c r="C7521" t="s">
        <v>9861</v>
      </c>
      <c r="D7521" t="s">
        <v>13007</v>
      </c>
      <c r="E7521" t="s">
        <v>19695</v>
      </c>
      <c r="F7521" t="s">
        <v>22436</v>
      </c>
      <c r="G7521" t="s">
        <v>22444</v>
      </c>
      <c r="H7521" t="s">
        <v>22452</v>
      </c>
      <c r="I7521" t="s">
        <v>2981</v>
      </c>
      <c r="J7521" t="s">
        <v>22605</v>
      </c>
      <c r="K7521" t="s">
        <v>29376</v>
      </c>
      <c r="M7521" t="s">
        <v>32004</v>
      </c>
      <c r="N7521" t="s">
        <v>32524</v>
      </c>
      <c r="O7521" t="s">
        <v>32525</v>
      </c>
      <c r="P7521">
        <v>0</v>
      </c>
      <c r="Q7521">
        <v>0</v>
      </c>
      <c r="R7521" t="s">
        <v>32533</v>
      </c>
      <c r="S7521" t="s">
        <v>32667</v>
      </c>
      <c r="T7521" t="s">
        <v>33324</v>
      </c>
      <c r="U7521" t="s">
        <v>39916</v>
      </c>
      <c r="W7521" t="s">
        <v>32004</v>
      </c>
      <c r="X7521" t="s">
        <v>32534</v>
      </c>
    </row>
    <row r="7522" spans="1:24">
      <c r="A7522">
        <f>HYPERLINK("https://www.philgeps.gov.ph/GEPSNONPILOT/Tender/SplashBidNoticeAbstractUI.aspx?menuIndex=3&amp;refID=7033770&amp;Result=3","7033770")</f>
        <v>0</v>
      </c>
      <c r="B7522" t="s">
        <v>2238</v>
      </c>
      <c r="C7522" t="s">
        <v>9862</v>
      </c>
      <c r="D7522" t="s">
        <v>13006</v>
      </c>
      <c r="E7522" t="s">
        <v>19696</v>
      </c>
      <c r="F7522" t="s">
        <v>22436</v>
      </c>
      <c r="G7522" t="s">
        <v>22446</v>
      </c>
      <c r="H7522" t="s">
        <v>22452</v>
      </c>
      <c r="I7522" t="s">
        <v>22465</v>
      </c>
      <c r="J7522" t="s">
        <v>27432</v>
      </c>
      <c r="K7522" t="s">
        <v>29336</v>
      </c>
      <c r="M7522" t="s">
        <v>32005</v>
      </c>
      <c r="N7522" t="s">
        <v>32524</v>
      </c>
      <c r="O7522" t="s">
        <v>32525</v>
      </c>
      <c r="P7522">
        <v>0</v>
      </c>
      <c r="Q7522">
        <v>0</v>
      </c>
      <c r="R7522" t="s">
        <v>32533</v>
      </c>
      <c r="S7522" t="s">
        <v>32667</v>
      </c>
      <c r="T7522" t="s">
        <v>33209</v>
      </c>
      <c r="U7522" t="s">
        <v>39917</v>
      </c>
      <c r="W7522" t="s">
        <v>32005</v>
      </c>
      <c r="X7522" t="s">
        <v>32534</v>
      </c>
    </row>
    <row r="7523" spans="1:24">
      <c r="A7523">
        <f>HYPERLINK("https://www.philgeps.gov.ph/GEPSNONPILOT/Tender/SplashBidNoticeAbstractUI.aspx?menuIndex=3&amp;refID=7033788&amp;Result=3","7033788")</f>
        <v>0</v>
      </c>
      <c r="B7523" t="s">
        <v>2239</v>
      </c>
      <c r="C7523" t="s">
        <v>9863</v>
      </c>
      <c r="E7523" t="s">
        <v>19697</v>
      </c>
      <c r="F7523" t="s">
        <v>22436</v>
      </c>
      <c r="G7523" t="s">
        <v>22444</v>
      </c>
      <c r="H7523" t="s">
        <v>22452</v>
      </c>
      <c r="I7523" t="s">
        <v>3529</v>
      </c>
      <c r="J7523" t="s">
        <v>27433</v>
      </c>
      <c r="K7523" t="s">
        <v>29335</v>
      </c>
      <c r="M7523" t="s">
        <v>32006</v>
      </c>
      <c r="N7523" t="s">
        <v>32524</v>
      </c>
      <c r="O7523" t="s">
        <v>32525</v>
      </c>
      <c r="P7523">
        <v>0</v>
      </c>
      <c r="Q7523">
        <v>0</v>
      </c>
      <c r="R7523" t="s">
        <v>32533</v>
      </c>
      <c r="S7523" t="s">
        <v>32667</v>
      </c>
      <c r="T7523" t="s">
        <v>33218</v>
      </c>
      <c r="U7523" t="s">
        <v>37597</v>
      </c>
      <c r="W7523" t="s">
        <v>32006</v>
      </c>
      <c r="X7523" t="s">
        <v>32534</v>
      </c>
    </row>
    <row r="7524" spans="1:24">
      <c r="A7524">
        <f>HYPERLINK("https://www.philgeps.gov.ph/GEPSNONPILOT/Tender/SplashBidNoticeAbstractUI.aspx?menuIndex=3&amp;refID=7033750&amp;Result=3","7033750")</f>
        <v>0</v>
      </c>
      <c r="B7524" t="s">
        <v>1015</v>
      </c>
      <c r="C7524" t="s">
        <v>9864</v>
      </c>
      <c r="E7524" t="s">
        <v>19698</v>
      </c>
      <c r="F7524" t="s">
        <v>22436</v>
      </c>
      <c r="G7524" t="s">
        <v>22443</v>
      </c>
      <c r="H7524" t="s">
        <v>22452</v>
      </c>
      <c r="I7524" t="s">
        <v>22531</v>
      </c>
      <c r="J7524" t="s">
        <v>27434</v>
      </c>
      <c r="K7524" t="s">
        <v>29338</v>
      </c>
      <c r="M7524" t="s">
        <v>31848</v>
      </c>
      <c r="N7524" t="s">
        <v>32524</v>
      </c>
      <c r="O7524" t="s">
        <v>32525</v>
      </c>
      <c r="P7524">
        <v>0</v>
      </c>
      <c r="Q7524">
        <v>1</v>
      </c>
      <c r="R7524" t="s">
        <v>32533</v>
      </c>
      <c r="S7524" t="s">
        <v>32667</v>
      </c>
      <c r="T7524" t="s">
        <v>33338</v>
      </c>
      <c r="U7524" t="s">
        <v>39400</v>
      </c>
      <c r="W7524" t="s">
        <v>31848</v>
      </c>
      <c r="X7524" t="s">
        <v>32534</v>
      </c>
    </row>
    <row r="7525" spans="1:24">
      <c r="A7525">
        <f>HYPERLINK("https://www.philgeps.gov.ph/GEPSNONPILOT/Tender/SplashBidNoticeAbstractUI.aspx?menuIndex=3&amp;refID=7033629&amp;Result=3","7033629")</f>
        <v>0</v>
      </c>
      <c r="B7525" t="s">
        <v>2237</v>
      </c>
      <c r="C7525" t="s">
        <v>9865</v>
      </c>
      <c r="D7525" t="s">
        <v>13007</v>
      </c>
      <c r="E7525" t="s">
        <v>19699</v>
      </c>
      <c r="F7525" t="s">
        <v>22436</v>
      </c>
      <c r="G7525" t="s">
        <v>22444</v>
      </c>
      <c r="H7525" t="s">
        <v>22452</v>
      </c>
      <c r="I7525" t="s">
        <v>2981</v>
      </c>
      <c r="J7525" t="s">
        <v>27435</v>
      </c>
      <c r="K7525" t="s">
        <v>29376</v>
      </c>
      <c r="M7525" t="s">
        <v>32004</v>
      </c>
      <c r="N7525" t="s">
        <v>32524</v>
      </c>
      <c r="O7525" t="s">
        <v>32525</v>
      </c>
      <c r="P7525">
        <v>0</v>
      </c>
      <c r="Q7525">
        <v>0</v>
      </c>
      <c r="R7525" t="s">
        <v>32533</v>
      </c>
      <c r="S7525" t="s">
        <v>32667</v>
      </c>
      <c r="T7525" t="s">
        <v>33324</v>
      </c>
      <c r="U7525" t="s">
        <v>39918</v>
      </c>
      <c r="W7525" t="s">
        <v>32004</v>
      </c>
      <c r="X7525" t="s">
        <v>32534</v>
      </c>
    </row>
    <row r="7526" spans="1:24">
      <c r="A7526">
        <f>HYPERLINK("https://www.philgeps.gov.ph/GEPSNONPILOT/Tender/SplashBidNoticeAbstractUI.aspx?menuIndex=3&amp;refID=7033749&amp;Result=3","7033749")</f>
        <v>0</v>
      </c>
      <c r="B7526" t="s">
        <v>1384</v>
      </c>
      <c r="C7526" t="s">
        <v>9866</v>
      </c>
      <c r="D7526" t="s">
        <v>13054</v>
      </c>
      <c r="E7526" t="s">
        <v>19700</v>
      </c>
      <c r="F7526" t="s">
        <v>22436</v>
      </c>
      <c r="G7526" t="s">
        <v>22444</v>
      </c>
      <c r="H7526" t="s">
        <v>22454</v>
      </c>
      <c r="I7526" t="s">
        <v>7738</v>
      </c>
      <c r="J7526" t="s">
        <v>27436</v>
      </c>
      <c r="K7526" t="s">
        <v>29471</v>
      </c>
      <c r="M7526" t="s">
        <v>31042</v>
      </c>
      <c r="N7526" t="s">
        <v>32524</v>
      </c>
      <c r="O7526" t="s">
        <v>32525</v>
      </c>
      <c r="P7526">
        <v>0</v>
      </c>
      <c r="Q7526">
        <v>1</v>
      </c>
      <c r="R7526" t="s">
        <v>32533</v>
      </c>
      <c r="S7526" t="s">
        <v>32667</v>
      </c>
      <c r="T7526" t="s">
        <v>33190</v>
      </c>
      <c r="U7526" t="s">
        <v>39919</v>
      </c>
      <c r="V7526" t="s">
        <v>42823</v>
      </c>
      <c r="W7526" t="s">
        <v>31042</v>
      </c>
      <c r="X7526" t="s">
        <v>32534</v>
      </c>
    </row>
    <row r="7527" spans="1:24">
      <c r="A7527">
        <f>HYPERLINK("https://www.philgeps.gov.ph/GEPSNONPILOT/Tender/SplashBidNoticeAbstractUI.aspx?menuIndex=3&amp;refID=7033746&amp;Result=3","7033746")</f>
        <v>0</v>
      </c>
      <c r="B7527" t="s">
        <v>768</v>
      </c>
      <c r="C7527" t="s">
        <v>9867</v>
      </c>
      <c r="D7527" t="s">
        <v>13046</v>
      </c>
      <c r="E7527" t="s">
        <v>19701</v>
      </c>
      <c r="F7527" t="s">
        <v>22436</v>
      </c>
      <c r="G7527" t="s">
        <v>22444</v>
      </c>
      <c r="H7527" t="s">
        <v>22452</v>
      </c>
      <c r="I7527" t="s">
        <v>22467</v>
      </c>
      <c r="J7527" t="s">
        <v>27437</v>
      </c>
      <c r="K7527" t="s">
        <v>29344</v>
      </c>
      <c r="L7527" t="s">
        <v>768</v>
      </c>
      <c r="M7527" t="s">
        <v>30369</v>
      </c>
      <c r="N7527" t="s">
        <v>32524</v>
      </c>
      <c r="O7527" t="s">
        <v>32525</v>
      </c>
      <c r="P7527">
        <v>0</v>
      </c>
      <c r="Q7527">
        <v>0</v>
      </c>
      <c r="R7527" t="s">
        <v>32533</v>
      </c>
      <c r="S7527" t="s">
        <v>32667</v>
      </c>
      <c r="T7527" t="s">
        <v>33486</v>
      </c>
      <c r="U7527" t="s">
        <v>39920</v>
      </c>
      <c r="V7527" t="s">
        <v>43244</v>
      </c>
      <c r="W7527" t="s">
        <v>30369</v>
      </c>
      <c r="X7527" t="s">
        <v>32534</v>
      </c>
    </row>
    <row r="7528" spans="1:24">
      <c r="A7528">
        <f>HYPERLINK("https://www.philgeps.gov.ph/GEPSNONPILOT/Tender/SplashBidNoticeAbstractUI.aspx?menuIndex=3&amp;refID=7033764&amp;Result=3","7033764")</f>
        <v>0</v>
      </c>
      <c r="B7528" t="s">
        <v>2039</v>
      </c>
      <c r="C7528" t="s">
        <v>9868</v>
      </c>
      <c r="D7528" t="s">
        <v>13003</v>
      </c>
      <c r="E7528" t="s">
        <v>19702</v>
      </c>
      <c r="F7528" t="s">
        <v>22436</v>
      </c>
      <c r="G7528" t="s">
        <v>22444</v>
      </c>
      <c r="H7528" t="s">
        <v>22454</v>
      </c>
      <c r="I7528" t="s">
        <v>7738</v>
      </c>
      <c r="J7528" t="s">
        <v>27438</v>
      </c>
      <c r="K7528" t="s">
        <v>29337</v>
      </c>
      <c r="M7528" t="s">
        <v>31774</v>
      </c>
      <c r="N7528" t="s">
        <v>32524</v>
      </c>
      <c r="O7528" t="s">
        <v>32525</v>
      </c>
      <c r="P7528">
        <v>0</v>
      </c>
      <c r="Q7528">
        <v>0</v>
      </c>
      <c r="R7528" t="s">
        <v>32533</v>
      </c>
      <c r="S7528" t="s">
        <v>32667</v>
      </c>
      <c r="T7528" t="s">
        <v>33238</v>
      </c>
      <c r="U7528" t="s">
        <v>39111</v>
      </c>
      <c r="W7528" t="s">
        <v>31774</v>
      </c>
      <c r="X7528" t="s">
        <v>32534</v>
      </c>
    </row>
    <row r="7529" spans="1:24">
      <c r="A7529">
        <f>HYPERLINK("https://www.philgeps.gov.ph/GEPSNONPILOT/Tender/SplashBidNoticeAbstractUI.aspx?menuIndex=3&amp;refID=7033726&amp;Result=3","7033726")</f>
        <v>0</v>
      </c>
      <c r="B7529" t="s">
        <v>250</v>
      </c>
      <c r="C7529" t="s">
        <v>9869</v>
      </c>
      <c r="D7529" t="s">
        <v>12999</v>
      </c>
      <c r="E7529" t="s">
        <v>14961</v>
      </c>
      <c r="F7529" t="s">
        <v>22436</v>
      </c>
      <c r="G7529" t="s">
        <v>22444</v>
      </c>
      <c r="H7529" t="s">
        <v>22452</v>
      </c>
      <c r="I7529" t="s">
        <v>22492</v>
      </c>
      <c r="J7529" t="s">
        <v>27439</v>
      </c>
      <c r="K7529" t="s">
        <v>29375</v>
      </c>
      <c r="M7529" t="s">
        <v>32002</v>
      </c>
      <c r="N7529" t="s">
        <v>32524</v>
      </c>
      <c r="O7529" t="s">
        <v>32525</v>
      </c>
      <c r="P7529">
        <v>0</v>
      </c>
      <c r="Q7529">
        <v>2</v>
      </c>
      <c r="R7529" t="s">
        <v>32533</v>
      </c>
      <c r="S7529" t="s">
        <v>32667</v>
      </c>
      <c r="T7529" t="s">
        <v>33484</v>
      </c>
      <c r="U7529" t="s">
        <v>39921</v>
      </c>
      <c r="V7529" t="s">
        <v>43249</v>
      </c>
      <c r="W7529" t="s">
        <v>32002</v>
      </c>
      <c r="X7529" t="s">
        <v>32534</v>
      </c>
    </row>
    <row r="7530" spans="1:24">
      <c r="A7530">
        <f>HYPERLINK("https://www.philgeps.gov.ph/GEPSNONPILOT/Tender/SplashBidNoticeAbstractUI.aspx?menuIndex=3&amp;refID=7033707&amp;Result=3","7033707")</f>
        <v>0</v>
      </c>
      <c r="B7530" t="s">
        <v>2240</v>
      </c>
      <c r="C7530" t="s">
        <v>9870</v>
      </c>
      <c r="D7530" t="s">
        <v>13068</v>
      </c>
      <c r="E7530" t="s">
        <v>19703</v>
      </c>
      <c r="F7530" t="s">
        <v>22436</v>
      </c>
      <c r="G7530" t="s">
        <v>22444</v>
      </c>
      <c r="H7530" t="s">
        <v>22454</v>
      </c>
      <c r="I7530" t="s">
        <v>3529</v>
      </c>
      <c r="J7530" t="s">
        <v>27440</v>
      </c>
      <c r="K7530" t="s">
        <v>29388</v>
      </c>
      <c r="M7530" t="s">
        <v>32007</v>
      </c>
      <c r="N7530" t="s">
        <v>32524</v>
      </c>
      <c r="O7530" t="s">
        <v>32525</v>
      </c>
      <c r="P7530">
        <v>0</v>
      </c>
      <c r="Q7530">
        <v>5</v>
      </c>
      <c r="R7530" t="s">
        <v>32533</v>
      </c>
      <c r="S7530" t="s">
        <v>32667</v>
      </c>
      <c r="T7530" t="s">
        <v>33227</v>
      </c>
      <c r="U7530" t="s">
        <v>39922</v>
      </c>
      <c r="W7530" t="s">
        <v>32007</v>
      </c>
      <c r="X7530" t="s">
        <v>32534</v>
      </c>
    </row>
    <row r="7531" spans="1:24">
      <c r="A7531">
        <f>HYPERLINK("https://www.philgeps.gov.ph/GEPSNONPILOT/Tender/SplashBidNoticeAbstractUI.aspx?menuIndex=3&amp;refID=7033704&amp;Result=3","7033704")</f>
        <v>0</v>
      </c>
      <c r="B7531" t="s">
        <v>2241</v>
      </c>
      <c r="C7531" t="s">
        <v>9871</v>
      </c>
      <c r="D7531" t="s">
        <v>13050</v>
      </c>
      <c r="E7531" t="s">
        <v>19704</v>
      </c>
      <c r="F7531" t="s">
        <v>22436</v>
      </c>
      <c r="G7531" t="s">
        <v>22444</v>
      </c>
      <c r="H7531" t="s">
        <v>22454</v>
      </c>
      <c r="I7531" t="s">
        <v>7738</v>
      </c>
      <c r="J7531" t="s">
        <v>27441</v>
      </c>
      <c r="K7531" t="s">
        <v>29338</v>
      </c>
      <c r="M7531" t="s">
        <v>32008</v>
      </c>
      <c r="N7531" t="s">
        <v>32524</v>
      </c>
      <c r="O7531" t="s">
        <v>32525</v>
      </c>
      <c r="P7531">
        <v>0</v>
      </c>
      <c r="Q7531">
        <v>1</v>
      </c>
      <c r="R7531" t="s">
        <v>32533</v>
      </c>
      <c r="S7531" t="s">
        <v>32667</v>
      </c>
      <c r="T7531" t="s">
        <v>33304</v>
      </c>
      <c r="U7531" t="s">
        <v>39923</v>
      </c>
      <c r="W7531" t="s">
        <v>32008</v>
      </c>
      <c r="X7531" t="s">
        <v>32534</v>
      </c>
    </row>
    <row r="7532" spans="1:24">
      <c r="A7532">
        <f>HYPERLINK("https://www.philgeps.gov.ph/GEPSNONPILOT/Tender/SplashBidNoticeAbstractUI.aspx?menuIndex=3&amp;refID=7033735&amp;Result=3","7033735")</f>
        <v>0</v>
      </c>
      <c r="B7532" t="s">
        <v>1381</v>
      </c>
      <c r="C7532" t="s">
        <v>9872</v>
      </c>
      <c r="D7532" t="s">
        <v>13035</v>
      </c>
      <c r="E7532" t="s">
        <v>19705</v>
      </c>
      <c r="F7532" t="s">
        <v>22436</v>
      </c>
      <c r="G7532" t="s">
        <v>22444</v>
      </c>
      <c r="H7532" t="s">
        <v>22454</v>
      </c>
      <c r="I7532" t="s">
        <v>7738</v>
      </c>
      <c r="J7532" t="s">
        <v>27442</v>
      </c>
      <c r="K7532" t="s">
        <v>29345</v>
      </c>
      <c r="M7532" t="s">
        <v>31460</v>
      </c>
      <c r="N7532" t="s">
        <v>32524</v>
      </c>
      <c r="O7532" t="s">
        <v>32525</v>
      </c>
      <c r="P7532">
        <v>0</v>
      </c>
      <c r="Q7532">
        <v>0</v>
      </c>
      <c r="R7532" t="s">
        <v>32533</v>
      </c>
      <c r="S7532" t="s">
        <v>32667</v>
      </c>
      <c r="T7532" t="s">
        <v>33465</v>
      </c>
      <c r="U7532" t="s">
        <v>39924</v>
      </c>
      <c r="V7532" t="s">
        <v>42994</v>
      </c>
      <c r="W7532" t="s">
        <v>31460</v>
      </c>
      <c r="X7532" t="s">
        <v>32534</v>
      </c>
    </row>
    <row r="7533" spans="1:24">
      <c r="A7533">
        <f>HYPERLINK("https://www.philgeps.gov.ph/GEPSNONPILOT/Tender/SplashBidNoticeAbstractUI.aspx?menuIndex=3&amp;refID=7033835&amp;Result=3","7033835")</f>
        <v>0</v>
      </c>
      <c r="B7533" t="s">
        <v>2239</v>
      </c>
      <c r="C7533" t="s">
        <v>9873</v>
      </c>
      <c r="E7533" t="s">
        <v>19706</v>
      </c>
      <c r="F7533" t="s">
        <v>22436</v>
      </c>
      <c r="G7533" t="s">
        <v>22444</v>
      </c>
      <c r="H7533" t="s">
        <v>22454</v>
      </c>
      <c r="I7533" t="s">
        <v>7738</v>
      </c>
      <c r="J7533" t="s">
        <v>25355</v>
      </c>
      <c r="K7533" t="s">
        <v>29345</v>
      </c>
      <c r="M7533" t="s">
        <v>32006</v>
      </c>
      <c r="N7533" t="s">
        <v>32524</v>
      </c>
      <c r="O7533" t="s">
        <v>32525</v>
      </c>
      <c r="P7533">
        <v>0</v>
      </c>
      <c r="Q7533">
        <v>2</v>
      </c>
      <c r="R7533" t="s">
        <v>32533</v>
      </c>
      <c r="S7533" t="s">
        <v>32667</v>
      </c>
      <c r="T7533" t="s">
        <v>33218</v>
      </c>
      <c r="U7533" t="s">
        <v>37597</v>
      </c>
      <c r="W7533" t="s">
        <v>32006</v>
      </c>
      <c r="X7533" t="s">
        <v>32534</v>
      </c>
    </row>
    <row r="7534" spans="1:24">
      <c r="A7534">
        <f>HYPERLINK("https://www.philgeps.gov.ph/GEPSNONPILOT/Tender/SplashBidNoticeAbstractUI.aspx?menuIndex=3&amp;refID=7033824&amp;Result=3","7033824")</f>
        <v>0</v>
      </c>
      <c r="B7534" t="s">
        <v>660</v>
      </c>
      <c r="C7534" t="s">
        <v>9874</v>
      </c>
      <c r="D7534" t="s">
        <v>13013</v>
      </c>
      <c r="E7534" t="s">
        <v>19707</v>
      </c>
      <c r="F7534" t="s">
        <v>22436</v>
      </c>
      <c r="G7534" t="s">
        <v>22444</v>
      </c>
      <c r="H7534" t="s">
        <v>22454</v>
      </c>
      <c r="I7534" t="s">
        <v>7738</v>
      </c>
      <c r="J7534" t="s">
        <v>23604</v>
      </c>
      <c r="K7534" t="s">
        <v>29402</v>
      </c>
      <c r="M7534" t="s">
        <v>30252</v>
      </c>
      <c r="N7534" t="s">
        <v>32524</v>
      </c>
      <c r="O7534" t="s">
        <v>32525</v>
      </c>
      <c r="P7534">
        <v>0</v>
      </c>
      <c r="Q7534">
        <v>1</v>
      </c>
      <c r="R7534" t="s">
        <v>32533</v>
      </c>
      <c r="S7534" t="s">
        <v>32667</v>
      </c>
      <c r="T7534" t="s">
        <v>33249</v>
      </c>
      <c r="U7534" t="s">
        <v>38142</v>
      </c>
      <c r="W7534" t="s">
        <v>30252</v>
      </c>
      <c r="X7534" t="s">
        <v>32534</v>
      </c>
    </row>
    <row r="7535" spans="1:24">
      <c r="A7535">
        <f>HYPERLINK("https://www.philgeps.gov.ph/GEPSNONPILOT/Tender/SplashBidNoticeAbstractUI.aspx?menuIndex=3&amp;refID=7033742&amp;Result=3","7033742")</f>
        <v>0</v>
      </c>
      <c r="B7535" t="s">
        <v>997</v>
      </c>
      <c r="C7535" t="s">
        <v>9875</v>
      </c>
      <c r="D7535" t="s">
        <v>13025</v>
      </c>
      <c r="E7535" t="s">
        <v>19708</v>
      </c>
      <c r="F7535" t="s">
        <v>22436</v>
      </c>
      <c r="G7535" t="s">
        <v>22447</v>
      </c>
      <c r="H7535" t="s">
        <v>22454</v>
      </c>
      <c r="I7535" t="s">
        <v>22486</v>
      </c>
      <c r="J7535" t="s">
        <v>27443</v>
      </c>
      <c r="K7535" t="s">
        <v>29346</v>
      </c>
      <c r="M7535" t="s">
        <v>30623</v>
      </c>
      <c r="N7535" t="s">
        <v>32524</v>
      </c>
      <c r="O7535" t="s">
        <v>32525</v>
      </c>
      <c r="P7535">
        <v>0</v>
      </c>
      <c r="Q7535">
        <v>1</v>
      </c>
      <c r="R7535" t="s">
        <v>32533</v>
      </c>
      <c r="S7535" t="s">
        <v>32667</v>
      </c>
      <c r="T7535" t="s">
        <v>33227</v>
      </c>
      <c r="U7535" t="s">
        <v>39925</v>
      </c>
      <c r="W7535" t="s">
        <v>30623</v>
      </c>
      <c r="X7535" t="s">
        <v>32534</v>
      </c>
    </row>
    <row r="7536" spans="1:24">
      <c r="A7536">
        <f>HYPERLINK("https://www.philgeps.gov.ph/GEPSNONPILOT/Tender/SplashBidNoticeAbstractUI.aspx?menuIndex=3&amp;refID=7033792&amp;Result=3","7033792")</f>
        <v>0</v>
      </c>
      <c r="B7536" t="s">
        <v>2242</v>
      </c>
      <c r="C7536" t="s">
        <v>2961</v>
      </c>
      <c r="D7536" t="s">
        <v>13060</v>
      </c>
      <c r="E7536" t="s">
        <v>19709</v>
      </c>
      <c r="F7536" t="s">
        <v>22436</v>
      </c>
      <c r="G7536" t="s">
        <v>22447</v>
      </c>
      <c r="H7536" t="s">
        <v>22452</v>
      </c>
      <c r="I7536" t="s">
        <v>6421</v>
      </c>
      <c r="J7536" t="s">
        <v>27444</v>
      </c>
      <c r="K7536" t="s">
        <v>29335</v>
      </c>
      <c r="M7536" t="s">
        <v>32009</v>
      </c>
      <c r="N7536" t="s">
        <v>32524</v>
      </c>
      <c r="O7536" t="s">
        <v>32525</v>
      </c>
      <c r="P7536">
        <v>0</v>
      </c>
      <c r="Q7536">
        <v>1</v>
      </c>
      <c r="R7536" t="s">
        <v>32533</v>
      </c>
      <c r="S7536" t="s">
        <v>32667</v>
      </c>
      <c r="T7536" t="s">
        <v>33429</v>
      </c>
      <c r="U7536" t="s">
        <v>39926</v>
      </c>
      <c r="V7536" t="s">
        <v>43252</v>
      </c>
      <c r="W7536" t="s">
        <v>32009</v>
      </c>
      <c r="X7536" t="s">
        <v>32534</v>
      </c>
    </row>
    <row r="7537" spans="1:24">
      <c r="A7537">
        <f>HYPERLINK("https://www.philgeps.gov.ph/GEPSNONPILOT/Tender/SplashBidNoticeAbstractUI.aspx?menuIndex=3&amp;refID=7033820&amp;Result=3","7033820")</f>
        <v>0</v>
      </c>
      <c r="B7537" t="s">
        <v>2242</v>
      </c>
      <c r="C7537" t="s">
        <v>9876</v>
      </c>
      <c r="D7537" t="s">
        <v>13060</v>
      </c>
      <c r="E7537" t="s">
        <v>19710</v>
      </c>
      <c r="F7537" t="s">
        <v>22436</v>
      </c>
      <c r="G7537" t="s">
        <v>22447</v>
      </c>
      <c r="H7537" t="s">
        <v>22452</v>
      </c>
      <c r="I7537" t="s">
        <v>3529</v>
      </c>
      <c r="J7537" t="s">
        <v>27445</v>
      </c>
      <c r="K7537" t="s">
        <v>29500</v>
      </c>
      <c r="M7537" t="s">
        <v>32009</v>
      </c>
      <c r="N7537" t="s">
        <v>32524</v>
      </c>
      <c r="O7537" t="s">
        <v>32525</v>
      </c>
      <c r="P7537">
        <v>0</v>
      </c>
      <c r="Q7537">
        <v>0</v>
      </c>
      <c r="R7537" t="s">
        <v>32533</v>
      </c>
      <c r="S7537" t="s">
        <v>32667</v>
      </c>
      <c r="T7537" t="s">
        <v>33429</v>
      </c>
      <c r="U7537" t="s">
        <v>39927</v>
      </c>
      <c r="V7537" t="s">
        <v>43252</v>
      </c>
      <c r="W7537" t="s">
        <v>32009</v>
      </c>
      <c r="X7537" t="s">
        <v>32534</v>
      </c>
    </row>
    <row r="7538" spans="1:24">
      <c r="A7538">
        <f>HYPERLINK("https://www.philgeps.gov.ph/GEPSNONPILOT/Tender/SplashBidNoticeAbstractUI.aspx?menuIndex=3&amp;refID=7033720&amp;Result=3","7033720")</f>
        <v>0</v>
      </c>
      <c r="B7538" t="s">
        <v>242</v>
      </c>
      <c r="C7538" t="s">
        <v>9877</v>
      </c>
      <c r="D7538" t="s">
        <v>13039</v>
      </c>
      <c r="E7538" t="s">
        <v>19711</v>
      </c>
      <c r="F7538" t="s">
        <v>22437</v>
      </c>
      <c r="G7538" t="s">
        <v>22446</v>
      </c>
      <c r="H7538" t="s">
        <v>22452</v>
      </c>
      <c r="I7538" t="s">
        <v>6421</v>
      </c>
      <c r="J7538" t="s">
        <v>27446</v>
      </c>
      <c r="K7538" t="s">
        <v>29331</v>
      </c>
      <c r="M7538" t="s">
        <v>29816</v>
      </c>
      <c r="N7538" t="s">
        <v>32524</v>
      </c>
      <c r="O7538" t="s">
        <v>32525</v>
      </c>
      <c r="P7538">
        <v>0</v>
      </c>
      <c r="Q7538">
        <v>1</v>
      </c>
      <c r="R7538" t="s">
        <v>32533</v>
      </c>
      <c r="S7538" t="s">
        <v>32667</v>
      </c>
      <c r="T7538" t="s">
        <v>33181</v>
      </c>
      <c r="U7538" t="s">
        <v>39928</v>
      </c>
      <c r="W7538" t="s">
        <v>29816</v>
      </c>
      <c r="X7538" t="s">
        <v>32534</v>
      </c>
    </row>
    <row r="7539" spans="1:24">
      <c r="A7539">
        <f>HYPERLINK("https://www.philgeps.gov.ph/GEPSNONPILOT/Tender/SplashBidNoticeAbstractUI.aspx?menuIndex=3&amp;refID=7033823&amp;Result=3","7033823")</f>
        <v>0</v>
      </c>
      <c r="B7539" t="s">
        <v>2227</v>
      </c>
      <c r="C7539" t="s">
        <v>9878</v>
      </c>
      <c r="D7539" t="s">
        <v>13010</v>
      </c>
      <c r="E7539" t="s">
        <v>16052</v>
      </c>
      <c r="F7539" t="s">
        <v>22436</v>
      </c>
      <c r="G7539" t="s">
        <v>22444</v>
      </c>
      <c r="H7539" t="s">
        <v>22452</v>
      </c>
      <c r="I7539" t="s">
        <v>3529</v>
      </c>
      <c r="J7539" t="s">
        <v>27447</v>
      </c>
      <c r="K7539" t="s">
        <v>29331</v>
      </c>
      <c r="M7539" t="s">
        <v>31993</v>
      </c>
      <c r="N7539" t="s">
        <v>32524</v>
      </c>
      <c r="O7539" t="s">
        <v>32525</v>
      </c>
      <c r="P7539">
        <v>0</v>
      </c>
      <c r="Q7539">
        <v>0</v>
      </c>
      <c r="R7539" t="s">
        <v>32533</v>
      </c>
      <c r="S7539" t="s">
        <v>32667</v>
      </c>
      <c r="T7539" t="s">
        <v>33242</v>
      </c>
      <c r="U7539" t="s">
        <v>39929</v>
      </c>
      <c r="V7539" t="s">
        <v>43250</v>
      </c>
      <c r="W7539" t="s">
        <v>31993</v>
      </c>
      <c r="X7539" t="s">
        <v>32534</v>
      </c>
    </row>
    <row r="7540" spans="1:24">
      <c r="A7540">
        <f>HYPERLINK("https://www.philgeps.gov.ph/GEPSNONPILOT/Tender/SplashBidNoticeAbstractUI.aspx?menuIndex=3&amp;refID=7033863&amp;Result=3","7033863")</f>
        <v>0</v>
      </c>
      <c r="B7540" t="s">
        <v>2228</v>
      </c>
      <c r="C7540" t="s">
        <v>9879</v>
      </c>
      <c r="D7540" t="s">
        <v>13045</v>
      </c>
      <c r="E7540" t="s">
        <v>19712</v>
      </c>
      <c r="F7540" t="s">
        <v>22436</v>
      </c>
      <c r="G7540" t="s">
        <v>22450</v>
      </c>
      <c r="H7540" t="s">
        <v>22454</v>
      </c>
      <c r="I7540" t="s">
        <v>7738</v>
      </c>
      <c r="J7540" t="s">
        <v>27448</v>
      </c>
      <c r="K7540" t="s">
        <v>29334</v>
      </c>
      <c r="M7540" t="s">
        <v>31994</v>
      </c>
      <c r="N7540" t="s">
        <v>32524</v>
      </c>
      <c r="O7540" t="s">
        <v>32525</v>
      </c>
      <c r="P7540">
        <v>0</v>
      </c>
      <c r="Q7540">
        <v>0</v>
      </c>
      <c r="R7540" t="s">
        <v>32533</v>
      </c>
      <c r="S7540" t="s">
        <v>32667</v>
      </c>
      <c r="T7540" t="s">
        <v>33249</v>
      </c>
      <c r="U7540" t="s">
        <v>39930</v>
      </c>
      <c r="W7540" t="s">
        <v>31994</v>
      </c>
      <c r="X7540" t="s">
        <v>32534</v>
      </c>
    </row>
    <row r="7541" spans="1:24">
      <c r="A7541">
        <f>HYPERLINK("https://www.philgeps.gov.ph/GEPSNONPILOT/Tender/SplashBidNoticeAbstractUI.aspx?menuIndex=3&amp;refID=7033860&amp;Result=3","7033860")</f>
        <v>0</v>
      </c>
      <c r="B7541" t="s">
        <v>2243</v>
      </c>
      <c r="C7541" t="s">
        <v>9880</v>
      </c>
      <c r="D7541" t="s">
        <v>13006</v>
      </c>
      <c r="E7541" t="s">
        <v>19713</v>
      </c>
      <c r="F7541" t="s">
        <v>22436</v>
      </c>
      <c r="G7541" t="s">
        <v>22444</v>
      </c>
      <c r="H7541" t="s">
        <v>22452</v>
      </c>
      <c r="I7541" t="s">
        <v>5194</v>
      </c>
      <c r="J7541" t="s">
        <v>27449</v>
      </c>
      <c r="K7541" t="s">
        <v>29337</v>
      </c>
      <c r="M7541" t="s">
        <v>32010</v>
      </c>
      <c r="N7541" t="s">
        <v>32524</v>
      </c>
      <c r="O7541" t="s">
        <v>32525</v>
      </c>
      <c r="P7541">
        <v>0</v>
      </c>
      <c r="Q7541">
        <v>2</v>
      </c>
      <c r="R7541" t="s">
        <v>32533</v>
      </c>
      <c r="S7541" t="s">
        <v>32667</v>
      </c>
      <c r="T7541" t="s">
        <v>33211</v>
      </c>
      <c r="U7541" t="s">
        <v>39931</v>
      </c>
      <c r="W7541" t="s">
        <v>32010</v>
      </c>
      <c r="X7541" t="s">
        <v>32534</v>
      </c>
    </row>
    <row r="7542" spans="1:24">
      <c r="A7542">
        <f>HYPERLINK("https://www.philgeps.gov.ph/GEPSNONPILOT/Tender/SplashBidNoticeAbstractUI.aspx?menuIndex=3&amp;refID=7033845&amp;Result=3","7033845")</f>
        <v>0</v>
      </c>
      <c r="B7542" t="s">
        <v>2236</v>
      </c>
      <c r="C7542" t="s">
        <v>9881</v>
      </c>
      <c r="E7542" t="s">
        <v>19714</v>
      </c>
      <c r="F7542" t="s">
        <v>22436</v>
      </c>
      <c r="G7542" t="s">
        <v>22444</v>
      </c>
      <c r="H7542" t="s">
        <v>22454</v>
      </c>
      <c r="I7542" t="s">
        <v>7738</v>
      </c>
      <c r="J7542" t="s">
        <v>22669</v>
      </c>
      <c r="K7542" t="s">
        <v>29388</v>
      </c>
      <c r="L7542" t="s">
        <v>2236</v>
      </c>
      <c r="M7542" t="s">
        <v>32003</v>
      </c>
      <c r="N7542" t="s">
        <v>32524</v>
      </c>
      <c r="O7542" t="s">
        <v>32525</v>
      </c>
      <c r="P7542">
        <v>0</v>
      </c>
      <c r="Q7542">
        <v>0</v>
      </c>
      <c r="R7542" t="s">
        <v>32533</v>
      </c>
      <c r="S7542" t="s">
        <v>32667</v>
      </c>
      <c r="T7542" t="s">
        <v>33249</v>
      </c>
      <c r="U7542" t="s">
        <v>39914</v>
      </c>
      <c r="V7542" t="s">
        <v>43251</v>
      </c>
      <c r="W7542" t="s">
        <v>32003</v>
      </c>
      <c r="X7542" t="s">
        <v>32534</v>
      </c>
    </row>
    <row r="7543" spans="1:24">
      <c r="A7543">
        <f>HYPERLINK("https://www.philgeps.gov.ph/GEPSNONPILOT/Tender/SplashBidNoticeAbstractUI.aspx?menuIndex=3&amp;refID=7033853&amp;Result=3","7033853")</f>
        <v>0</v>
      </c>
      <c r="B7543" t="s">
        <v>350</v>
      </c>
      <c r="C7543" t="s">
        <v>9882</v>
      </c>
      <c r="D7543" t="s">
        <v>13031</v>
      </c>
      <c r="E7543" t="s">
        <v>19715</v>
      </c>
      <c r="F7543" t="s">
        <v>22436</v>
      </c>
      <c r="G7543" t="s">
        <v>22446</v>
      </c>
      <c r="H7543" t="s">
        <v>22452</v>
      </c>
      <c r="I7543" t="s">
        <v>3529</v>
      </c>
      <c r="J7543" t="s">
        <v>27450</v>
      </c>
      <c r="K7543" t="s">
        <v>29338</v>
      </c>
      <c r="M7543" t="s">
        <v>29927</v>
      </c>
      <c r="N7543" t="s">
        <v>32524</v>
      </c>
      <c r="O7543" t="s">
        <v>32525</v>
      </c>
      <c r="Q7543">
        <v>3</v>
      </c>
      <c r="R7543" t="s">
        <v>32533</v>
      </c>
      <c r="S7543" t="s">
        <v>32693</v>
      </c>
      <c r="T7543" t="s">
        <v>33209</v>
      </c>
      <c r="U7543" t="s">
        <v>34315</v>
      </c>
      <c r="W7543" t="s">
        <v>29927</v>
      </c>
      <c r="X7543" t="s">
        <v>32534</v>
      </c>
    </row>
    <row r="7544" spans="1:24">
      <c r="A7544">
        <f>HYPERLINK("https://www.philgeps.gov.ph/GEPSNONPILOT/Tender/SplashBidNoticeAbstractUI.aspx?menuIndex=3&amp;refID=7033819&amp;Result=3","7033819")</f>
        <v>0</v>
      </c>
      <c r="B7544" t="s">
        <v>1384</v>
      </c>
      <c r="C7544" t="s">
        <v>9883</v>
      </c>
      <c r="D7544" t="s">
        <v>13054</v>
      </c>
      <c r="E7544" t="s">
        <v>19716</v>
      </c>
      <c r="F7544" t="s">
        <v>22436</v>
      </c>
      <c r="G7544" t="s">
        <v>22444</v>
      </c>
      <c r="H7544" t="s">
        <v>22454</v>
      </c>
      <c r="I7544" t="s">
        <v>7738</v>
      </c>
      <c r="J7544" t="s">
        <v>27451</v>
      </c>
      <c r="K7544" t="s">
        <v>29346</v>
      </c>
      <c r="M7544" t="s">
        <v>31042</v>
      </c>
      <c r="N7544" t="s">
        <v>32524</v>
      </c>
      <c r="O7544" t="s">
        <v>32525</v>
      </c>
      <c r="P7544">
        <v>0</v>
      </c>
      <c r="Q7544">
        <v>0</v>
      </c>
      <c r="R7544" t="s">
        <v>32533</v>
      </c>
      <c r="S7544" t="s">
        <v>32667</v>
      </c>
      <c r="T7544" t="s">
        <v>33190</v>
      </c>
      <c r="U7544" t="s">
        <v>39932</v>
      </c>
      <c r="V7544" t="s">
        <v>42823</v>
      </c>
      <c r="W7544" t="s">
        <v>31042</v>
      </c>
      <c r="X7544" t="s">
        <v>32534</v>
      </c>
    </row>
    <row r="7545" spans="1:24">
      <c r="A7545">
        <f>HYPERLINK("https://www.philgeps.gov.ph/GEPSNONPILOT/Tender/SplashBidNoticeAbstractUI.aspx?menuIndex=3&amp;refID=7033747&amp;Result=3","7033747")</f>
        <v>0</v>
      </c>
      <c r="B7545" t="s">
        <v>2242</v>
      </c>
      <c r="C7545" t="s">
        <v>9884</v>
      </c>
      <c r="D7545" t="s">
        <v>13060</v>
      </c>
      <c r="E7545" t="s">
        <v>19717</v>
      </c>
      <c r="F7545" t="s">
        <v>22436</v>
      </c>
      <c r="G7545" t="s">
        <v>22447</v>
      </c>
      <c r="H7545" t="s">
        <v>22452</v>
      </c>
      <c r="I7545" t="s">
        <v>3529</v>
      </c>
      <c r="J7545" t="s">
        <v>27452</v>
      </c>
      <c r="K7545" t="s">
        <v>29410</v>
      </c>
      <c r="M7545" t="s">
        <v>32009</v>
      </c>
      <c r="N7545" t="s">
        <v>32524</v>
      </c>
      <c r="O7545" t="s">
        <v>32525</v>
      </c>
      <c r="P7545">
        <v>0</v>
      </c>
      <c r="Q7545">
        <v>0</v>
      </c>
      <c r="R7545" t="s">
        <v>32533</v>
      </c>
      <c r="S7545" t="s">
        <v>32667</v>
      </c>
      <c r="T7545" t="s">
        <v>33429</v>
      </c>
      <c r="U7545" t="s">
        <v>39933</v>
      </c>
      <c r="V7545" t="s">
        <v>43252</v>
      </c>
      <c r="W7545" t="s">
        <v>32009</v>
      </c>
      <c r="X7545" t="s">
        <v>32534</v>
      </c>
    </row>
    <row r="7546" spans="1:24">
      <c r="A7546">
        <f>HYPERLINK("https://www.philgeps.gov.ph/GEPSNONPILOT/Tender/SplashBidNoticeAbstractUI.aspx?menuIndex=3&amp;refID=7033809&amp;Result=3","7033809")</f>
        <v>0</v>
      </c>
      <c r="B7546" t="s">
        <v>2244</v>
      </c>
      <c r="C7546" t="s">
        <v>9885</v>
      </c>
      <c r="D7546" t="s">
        <v>12999</v>
      </c>
      <c r="E7546" t="s">
        <v>14914</v>
      </c>
      <c r="F7546" t="s">
        <v>22436</v>
      </c>
      <c r="G7546" t="s">
        <v>22444</v>
      </c>
      <c r="H7546" t="s">
        <v>22452</v>
      </c>
      <c r="I7546" t="s">
        <v>5194</v>
      </c>
      <c r="J7546" t="s">
        <v>27453</v>
      </c>
      <c r="K7546" t="s">
        <v>29341</v>
      </c>
      <c r="M7546" t="s">
        <v>32011</v>
      </c>
      <c r="N7546" t="s">
        <v>32524</v>
      </c>
      <c r="O7546" t="s">
        <v>32525</v>
      </c>
      <c r="P7546">
        <v>0</v>
      </c>
      <c r="Q7546">
        <v>7</v>
      </c>
      <c r="R7546" t="s">
        <v>32533</v>
      </c>
      <c r="S7546" t="s">
        <v>32667</v>
      </c>
      <c r="T7546" t="s">
        <v>33227</v>
      </c>
      <c r="U7546" t="s">
        <v>39934</v>
      </c>
      <c r="W7546" t="s">
        <v>32011</v>
      </c>
      <c r="X7546" t="s">
        <v>32534</v>
      </c>
    </row>
    <row r="7547" spans="1:24">
      <c r="A7547">
        <f>HYPERLINK("https://www.philgeps.gov.ph/GEPSNONPILOT/Tender/SplashBidNoticeAbstractUI.aspx?menuIndex=3&amp;refID=7033859&amp;Result=3","7033859")</f>
        <v>0</v>
      </c>
      <c r="B7547" t="s">
        <v>166</v>
      </c>
      <c r="C7547" t="s">
        <v>9886</v>
      </c>
      <c r="E7547" t="s">
        <v>19718</v>
      </c>
      <c r="F7547" t="s">
        <v>22436</v>
      </c>
      <c r="G7547" t="s">
        <v>22443</v>
      </c>
      <c r="H7547" t="s">
        <v>22452</v>
      </c>
      <c r="I7547" t="s">
        <v>3358</v>
      </c>
      <c r="J7547" t="s">
        <v>27454</v>
      </c>
      <c r="K7547" t="s">
        <v>29338</v>
      </c>
      <c r="M7547" t="s">
        <v>29738</v>
      </c>
      <c r="N7547" t="s">
        <v>32524</v>
      </c>
      <c r="O7547" t="s">
        <v>32525</v>
      </c>
      <c r="P7547">
        <v>0</v>
      </c>
      <c r="Q7547">
        <v>0</v>
      </c>
      <c r="R7547" t="s">
        <v>32533</v>
      </c>
      <c r="S7547" t="s">
        <v>32667</v>
      </c>
      <c r="T7547" t="s">
        <v>33238</v>
      </c>
      <c r="U7547" t="s">
        <v>39935</v>
      </c>
      <c r="W7547" t="s">
        <v>29738</v>
      </c>
      <c r="X7547" t="s">
        <v>32534</v>
      </c>
    </row>
    <row r="7548" spans="1:24">
      <c r="A7548">
        <f>HYPERLINK("https://www.philgeps.gov.ph/GEPSNONPILOT/Tender/SplashBidNoticeAbstractUI.aspx?menuIndex=3&amp;refID=7033844&amp;Result=3","7033844")</f>
        <v>0</v>
      </c>
      <c r="B7548" t="s">
        <v>2232</v>
      </c>
      <c r="C7548" t="s">
        <v>9887</v>
      </c>
      <c r="D7548" t="s">
        <v>13012</v>
      </c>
      <c r="E7548" t="s">
        <v>19719</v>
      </c>
      <c r="F7548" t="s">
        <v>22436</v>
      </c>
      <c r="G7548" t="s">
        <v>22444</v>
      </c>
      <c r="H7548" t="s">
        <v>22454</v>
      </c>
      <c r="I7548" t="s">
        <v>7738</v>
      </c>
      <c r="J7548" t="s">
        <v>22960</v>
      </c>
      <c r="K7548" t="s">
        <v>29345</v>
      </c>
      <c r="M7548" t="s">
        <v>31998</v>
      </c>
      <c r="N7548" t="s">
        <v>32524</v>
      </c>
      <c r="O7548" t="s">
        <v>32525</v>
      </c>
      <c r="P7548">
        <v>0</v>
      </c>
      <c r="Q7548">
        <v>0</v>
      </c>
      <c r="R7548" t="s">
        <v>32533</v>
      </c>
      <c r="S7548" t="s">
        <v>32667</v>
      </c>
      <c r="T7548" t="s">
        <v>33227</v>
      </c>
      <c r="U7548" t="s">
        <v>39936</v>
      </c>
      <c r="W7548" t="s">
        <v>31998</v>
      </c>
      <c r="X7548" t="s">
        <v>32534</v>
      </c>
    </row>
    <row r="7549" spans="1:24">
      <c r="A7549">
        <f>HYPERLINK("https://www.philgeps.gov.ph/GEPSNONPILOT/Tender/SplashBidNoticeAbstractUI.aspx?menuIndex=3&amp;refID=7033800&amp;Result=3","7033800")</f>
        <v>0</v>
      </c>
      <c r="B7549" t="s">
        <v>140</v>
      </c>
      <c r="C7549" t="s">
        <v>9888</v>
      </c>
      <c r="D7549" t="s">
        <v>12988</v>
      </c>
      <c r="E7549" t="s">
        <v>19720</v>
      </c>
      <c r="F7549" t="s">
        <v>22436</v>
      </c>
      <c r="G7549" t="s">
        <v>22444</v>
      </c>
      <c r="H7549" t="s">
        <v>22452</v>
      </c>
      <c r="I7549" t="s">
        <v>3827</v>
      </c>
      <c r="J7549" t="s">
        <v>27455</v>
      </c>
      <c r="K7549" t="s">
        <v>29338</v>
      </c>
      <c r="M7549" t="s">
        <v>31482</v>
      </c>
      <c r="N7549" t="s">
        <v>32524</v>
      </c>
      <c r="O7549" t="s">
        <v>32525</v>
      </c>
      <c r="P7549">
        <v>0</v>
      </c>
      <c r="Q7549">
        <v>6</v>
      </c>
      <c r="R7549" t="s">
        <v>32533</v>
      </c>
      <c r="S7549" t="s">
        <v>32667</v>
      </c>
      <c r="T7549" t="s">
        <v>33340</v>
      </c>
      <c r="U7549" t="s">
        <v>39937</v>
      </c>
      <c r="W7549" t="s">
        <v>31482</v>
      </c>
      <c r="X7549" t="s">
        <v>32534</v>
      </c>
    </row>
    <row r="7550" spans="1:24">
      <c r="A7550">
        <f>HYPERLINK("https://www.philgeps.gov.ph/GEPSNONPILOT/Tender/SplashBidNoticeAbstractUI.aspx?menuIndex=3&amp;refID=7033814&amp;Result=3","7033814")</f>
        <v>0</v>
      </c>
      <c r="B7550" t="s">
        <v>2231</v>
      </c>
      <c r="C7550" t="s">
        <v>9889</v>
      </c>
      <c r="D7550" t="s">
        <v>13018</v>
      </c>
      <c r="E7550" t="s">
        <v>19721</v>
      </c>
      <c r="F7550" t="s">
        <v>22436</v>
      </c>
      <c r="G7550" t="s">
        <v>22447</v>
      </c>
      <c r="H7550" t="s">
        <v>22452</v>
      </c>
      <c r="I7550" t="s">
        <v>22565</v>
      </c>
      <c r="J7550" t="s">
        <v>24199</v>
      </c>
      <c r="K7550" t="s">
        <v>29331</v>
      </c>
      <c r="M7550" t="s">
        <v>31997</v>
      </c>
      <c r="N7550" t="s">
        <v>32524</v>
      </c>
      <c r="O7550" t="s">
        <v>32525</v>
      </c>
      <c r="P7550">
        <v>0</v>
      </c>
      <c r="Q7550">
        <v>1</v>
      </c>
      <c r="R7550" t="s">
        <v>32533</v>
      </c>
      <c r="S7550" t="s">
        <v>32667</v>
      </c>
      <c r="T7550" t="s">
        <v>33310</v>
      </c>
      <c r="U7550" t="s">
        <v>39938</v>
      </c>
      <c r="W7550" t="s">
        <v>31997</v>
      </c>
      <c r="X7550" t="s">
        <v>32534</v>
      </c>
    </row>
    <row r="7551" spans="1:24">
      <c r="A7551">
        <f>HYPERLINK("https://www.philgeps.gov.ph/GEPSNONPILOT/Tender/SplashBidNoticeAbstractUI.aspx?menuIndex=3&amp;refID=7033795&amp;Result=3","7033795")</f>
        <v>0</v>
      </c>
      <c r="B7551" t="s">
        <v>2245</v>
      </c>
      <c r="C7551" t="s">
        <v>3624</v>
      </c>
      <c r="D7551" t="s">
        <v>12994</v>
      </c>
      <c r="E7551" t="s">
        <v>13368</v>
      </c>
      <c r="F7551" t="s">
        <v>22437</v>
      </c>
      <c r="G7551" t="s">
        <v>22444</v>
      </c>
      <c r="H7551" t="s">
        <v>22452</v>
      </c>
      <c r="I7551" t="s">
        <v>22465</v>
      </c>
      <c r="J7551" t="s">
        <v>27456</v>
      </c>
      <c r="K7551" t="s">
        <v>29336</v>
      </c>
      <c r="M7551" t="s">
        <v>32012</v>
      </c>
      <c r="N7551" t="s">
        <v>32524</v>
      </c>
      <c r="O7551" t="s">
        <v>32525</v>
      </c>
      <c r="P7551">
        <v>0</v>
      </c>
      <c r="Q7551">
        <v>0</v>
      </c>
      <c r="R7551" t="s">
        <v>32533</v>
      </c>
      <c r="S7551" t="s">
        <v>32667</v>
      </c>
      <c r="T7551" t="s">
        <v>33233</v>
      </c>
      <c r="U7551" t="s">
        <v>39939</v>
      </c>
      <c r="W7551" t="s">
        <v>32012</v>
      </c>
      <c r="X7551" t="s">
        <v>32534</v>
      </c>
    </row>
    <row r="7552" spans="1:24">
      <c r="A7552">
        <f>HYPERLINK("https://www.philgeps.gov.ph/GEPSNONPILOT/Tender/SplashBidNoticeAbstractUI.aspx?menuIndex=3&amp;refID=7033847&amp;Result=3","7033847")</f>
        <v>0</v>
      </c>
      <c r="B7552" t="s">
        <v>2242</v>
      </c>
      <c r="C7552" t="s">
        <v>9890</v>
      </c>
      <c r="D7552" t="s">
        <v>13060</v>
      </c>
      <c r="E7552" t="s">
        <v>19722</v>
      </c>
      <c r="F7552" t="s">
        <v>22436</v>
      </c>
      <c r="G7552" t="s">
        <v>22447</v>
      </c>
      <c r="H7552" t="s">
        <v>22452</v>
      </c>
      <c r="I7552" t="s">
        <v>3529</v>
      </c>
      <c r="J7552" t="s">
        <v>27457</v>
      </c>
      <c r="K7552" t="s">
        <v>29333</v>
      </c>
      <c r="M7552" t="s">
        <v>32009</v>
      </c>
      <c r="N7552" t="s">
        <v>32524</v>
      </c>
      <c r="O7552" t="s">
        <v>32525</v>
      </c>
      <c r="P7552">
        <v>0</v>
      </c>
      <c r="Q7552">
        <v>0</v>
      </c>
      <c r="R7552" t="s">
        <v>32533</v>
      </c>
      <c r="S7552" t="s">
        <v>32667</v>
      </c>
      <c r="T7552" t="s">
        <v>33492</v>
      </c>
      <c r="U7552" t="s">
        <v>39940</v>
      </c>
      <c r="V7552" t="s">
        <v>43252</v>
      </c>
      <c r="W7552" t="s">
        <v>32009</v>
      </c>
      <c r="X7552" t="s">
        <v>32534</v>
      </c>
    </row>
    <row r="7553" spans="1:24">
      <c r="A7553">
        <f>HYPERLINK("https://www.philgeps.gov.ph/GEPSNONPILOT/Tender/SplashBidNoticeAbstractUI.aspx?menuIndex=3&amp;refID=7033808&amp;Result=3","7033808")</f>
        <v>0</v>
      </c>
      <c r="B7553" t="s">
        <v>2246</v>
      </c>
      <c r="C7553" t="s">
        <v>9891</v>
      </c>
      <c r="D7553" t="s">
        <v>13032</v>
      </c>
      <c r="E7553" t="s">
        <v>19723</v>
      </c>
      <c r="F7553" t="s">
        <v>22436</v>
      </c>
      <c r="G7553" t="s">
        <v>22444</v>
      </c>
      <c r="H7553" t="s">
        <v>22454</v>
      </c>
      <c r="I7553" t="s">
        <v>7738</v>
      </c>
      <c r="J7553" t="s">
        <v>25584</v>
      </c>
      <c r="K7553" t="s">
        <v>29380</v>
      </c>
      <c r="M7553" t="s">
        <v>32013</v>
      </c>
      <c r="N7553" t="s">
        <v>32524</v>
      </c>
      <c r="O7553" t="s">
        <v>32525</v>
      </c>
      <c r="P7553">
        <v>0</v>
      </c>
      <c r="Q7553">
        <v>2</v>
      </c>
      <c r="R7553" t="s">
        <v>32533</v>
      </c>
      <c r="S7553" t="s">
        <v>32667</v>
      </c>
      <c r="T7553" t="s">
        <v>33487</v>
      </c>
      <c r="U7553" t="s">
        <v>39941</v>
      </c>
      <c r="W7553" t="s">
        <v>32013</v>
      </c>
      <c r="X7553" t="s">
        <v>32534</v>
      </c>
    </row>
    <row r="7554" spans="1:24">
      <c r="A7554">
        <f>HYPERLINK("https://www.philgeps.gov.ph/GEPSNONPILOT/Tender/SplashBidNoticeAbstractUI.aspx?menuIndex=3&amp;refID=7033964&amp;Result=3","7033964")</f>
        <v>0</v>
      </c>
      <c r="B7554" t="s">
        <v>350</v>
      </c>
      <c r="C7554" t="s">
        <v>9892</v>
      </c>
      <c r="D7554" t="s">
        <v>13031</v>
      </c>
      <c r="E7554" t="s">
        <v>19724</v>
      </c>
      <c r="F7554" t="s">
        <v>22436</v>
      </c>
      <c r="G7554" t="s">
        <v>22446</v>
      </c>
      <c r="H7554" t="s">
        <v>22452</v>
      </c>
      <c r="I7554" t="s">
        <v>22471</v>
      </c>
      <c r="J7554" t="s">
        <v>27458</v>
      </c>
      <c r="K7554" t="s">
        <v>29335</v>
      </c>
      <c r="M7554" t="s">
        <v>29927</v>
      </c>
      <c r="N7554" t="s">
        <v>32524</v>
      </c>
      <c r="O7554" t="s">
        <v>32525</v>
      </c>
      <c r="Q7554">
        <v>5</v>
      </c>
      <c r="R7554" t="s">
        <v>32533</v>
      </c>
      <c r="S7554" t="s">
        <v>32694</v>
      </c>
      <c r="T7554" t="s">
        <v>33209</v>
      </c>
      <c r="U7554" t="s">
        <v>34315</v>
      </c>
      <c r="W7554" t="s">
        <v>29927</v>
      </c>
      <c r="X7554" t="s">
        <v>32534</v>
      </c>
    </row>
    <row r="7555" spans="1:24">
      <c r="A7555">
        <f>HYPERLINK("https://www.philgeps.gov.ph/GEPSNONPILOT/Tender/SplashBidNoticeAbstractUI.aspx?menuIndex=3&amp;refID=7033960&amp;Result=3","7033960")</f>
        <v>0</v>
      </c>
      <c r="B7555" t="s">
        <v>2247</v>
      </c>
      <c r="C7555" t="s">
        <v>9893</v>
      </c>
      <c r="E7555" t="s">
        <v>19725</v>
      </c>
      <c r="F7555" t="s">
        <v>22436</v>
      </c>
      <c r="G7555" t="s">
        <v>22444</v>
      </c>
      <c r="H7555" t="s">
        <v>22452</v>
      </c>
      <c r="I7555" t="s">
        <v>2981</v>
      </c>
      <c r="J7555" t="s">
        <v>25145</v>
      </c>
      <c r="K7555" t="s">
        <v>29336</v>
      </c>
      <c r="M7555" t="s">
        <v>32014</v>
      </c>
      <c r="N7555" t="s">
        <v>32524</v>
      </c>
      <c r="O7555" t="s">
        <v>32525</v>
      </c>
      <c r="P7555">
        <v>0</v>
      </c>
      <c r="Q7555">
        <v>0</v>
      </c>
      <c r="R7555" t="s">
        <v>32533</v>
      </c>
      <c r="S7555" t="s">
        <v>32667</v>
      </c>
      <c r="T7555" t="s">
        <v>33521</v>
      </c>
      <c r="U7555" t="s">
        <v>39942</v>
      </c>
      <c r="W7555" t="s">
        <v>32014</v>
      </c>
      <c r="X7555" t="s">
        <v>32534</v>
      </c>
    </row>
    <row r="7556" spans="1:24">
      <c r="A7556">
        <f>HYPERLINK("https://www.philgeps.gov.ph/GEPSNONPILOT/Tender/SplashBidNoticeAbstractUI.aspx?menuIndex=3&amp;refID=7033962&amp;Result=3","7033962")</f>
        <v>0</v>
      </c>
      <c r="B7556" t="s">
        <v>660</v>
      </c>
      <c r="C7556" t="s">
        <v>9894</v>
      </c>
      <c r="D7556" t="s">
        <v>13013</v>
      </c>
      <c r="E7556" t="s">
        <v>19726</v>
      </c>
      <c r="F7556" t="s">
        <v>22436</v>
      </c>
      <c r="G7556" t="s">
        <v>22444</v>
      </c>
      <c r="H7556" t="s">
        <v>22454</v>
      </c>
      <c r="I7556" t="s">
        <v>7738</v>
      </c>
      <c r="J7556" t="s">
        <v>23604</v>
      </c>
      <c r="K7556" t="s">
        <v>29402</v>
      </c>
      <c r="M7556" t="s">
        <v>30252</v>
      </c>
      <c r="N7556" t="s">
        <v>32524</v>
      </c>
      <c r="O7556" t="s">
        <v>32525</v>
      </c>
      <c r="P7556">
        <v>0</v>
      </c>
      <c r="Q7556">
        <v>2</v>
      </c>
      <c r="R7556" t="s">
        <v>32533</v>
      </c>
      <c r="S7556" t="s">
        <v>32667</v>
      </c>
      <c r="T7556" t="s">
        <v>33249</v>
      </c>
      <c r="U7556" t="s">
        <v>39943</v>
      </c>
      <c r="W7556" t="s">
        <v>30252</v>
      </c>
      <c r="X7556" t="s">
        <v>32534</v>
      </c>
    </row>
    <row r="7557" spans="1:24">
      <c r="A7557">
        <f>HYPERLINK("https://www.philgeps.gov.ph/GEPSNONPILOT/Tender/SplashBidNoticeAbstractUI.aspx?menuIndex=3&amp;refID=7033951&amp;Result=3","7033951")</f>
        <v>0</v>
      </c>
      <c r="B7557" t="s">
        <v>350</v>
      </c>
      <c r="C7557" t="s">
        <v>9895</v>
      </c>
      <c r="D7557" t="s">
        <v>13031</v>
      </c>
      <c r="E7557" t="s">
        <v>19727</v>
      </c>
      <c r="F7557" t="s">
        <v>22436</v>
      </c>
      <c r="G7557" t="s">
        <v>22446</v>
      </c>
      <c r="H7557" t="s">
        <v>22452</v>
      </c>
      <c r="I7557" t="s">
        <v>22471</v>
      </c>
      <c r="J7557" t="s">
        <v>27459</v>
      </c>
      <c r="K7557" t="s">
        <v>29335</v>
      </c>
      <c r="M7557" t="s">
        <v>29927</v>
      </c>
      <c r="N7557" t="s">
        <v>32524</v>
      </c>
      <c r="O7557" t="s">
        <v>32525</v>
      </c>
      <c r="Q7557">
        <v>4</v>
      </c>
      <c r="R7557" t="s">
        <v>32533</v>
      </c>
      <c r="S7557" t="s">
        <v>32695</v>
      </c>
      <c r="T7557" t="s">
        <v>33209</v>
      </c>
      <c r="U7557" t="s">
        <v>34315</v>
      </c>
      <c r="W7557" t="s">
        <v>29927</v>
      </c>
      <c r="X7557" t="s">
        <v>32534</v>
      </c>
    </row>
    <row r="7558" spans="1:24">
      <c r="A7558">
        <f>HYPERLINK("https://www.philgeps.gov.ph/GEPSNONPILOT/Tender/SplashBidNoticeAbstractUI.aspx?menuIndex=3&amp;refID=7033902&amp;Result=3","7033902")</f>
        <v>0</v>
      </c>
      <c r="B7558" t="s">
        <v>2248</v>
      </c>
      <c r="C7558" t="s">
        <v>9896</v>
      </c>
      <c r="D7558" t="s">
        <v>13008</v>
      </c>
      <c r="E7558" t="s">
        <v>19728</v>
      </c>
      <c r="F7558" t="s">
        <v>22436</v>
      </c>
      <c r="G7558" t="s">
        <v>22444</v>
      </c>
      <c r="H7558" t="s">
        <v>22452</v>
      </c>
      <c r="I7558" t="s">
        <v>22464</v>
      </c>
      <c r="J7558" t="s">
        <v>27460</v>
      </c>
      <c r="K7558" t="s">
        <v>29335</v>
      </c>
      <c r="M7558" t="s">
        <v>32015</v>
      </c>
      <c r="N7558" t="s">
        <v>32524</v>
      </c>
      <c r="O7558" t="s">
        <v>32525</v>
      </c>
      <c r="P7558">
        <v>0</v>
      </c>
      <c r="Q7558">
        <v>2</v>
      </c>
      <c r="R7558" t="s">
        <v>32533</v>
      </c>
      <c r="S7558" t="s">
        <v>32667</v>
      </c>
      <c r="T7558" t="s">
        <v>33242</v>
      </c>
      <c r="U7558" t="s">
        <v>39944</v>
      </c>
      <c r="W7558" t="s">
        <v>32015</v>
      </c>
      <c r="X7558" t="s">
        <v>32534</v>
      </c>
    </row>
    <row r="7559" spans="1:24">
      <c r="A7559">
        <f>HYPERLINK("https://www.philgeps.gov.ph/GEPSNONPILOT/Tender/SplashBidNoticeAbstractUI.aspx?menuIndex=3&amp;refID=7033936&amp;Result=3","7033936")</f>
        <v>0</v>
      </c>
      <c r="B7559" t="s">
        <v>2249</v>
      </c>
      <c r="C7559" t="s">
        <v>9897</v>
      </c>
      <c r="D7559" t="s">
        <v>13026</v>
      </c>
      <c r="E7559" t="s">
        <v>19729</v>
      </c>
      <c r="F7559" t="s">
        <v>22436</v>
      </c>
      <c r="G7559" t="s">
        <v>22444</v>
      </c>
      <c r="H7559" t="s">
        <v>22454</v>
      </c>
      <c r="I7559" t="s">
        <v>7738</v>
      </c>
      <c r="J7559" t="s">
        <v>22853</v>
      </c>
      <c r="K7559" t="s">
        <v>29335</v>
      </c>
      <c r="M7559" t="s">
        <v>32016</v>
      </c>
      <c r="N7559" t="s">
        <v>32524</v>
      </c>
      <c r="O7559" t="s">
        <v>32525</v>
      </c>
      <c r="P7559">
        <v>0</v>
      </c>
      <c r="Q7559">
        <v>0</v>
      </c>
      <c r="R7559" t="s">
        <v>32533</v>
      </c>
      <c r="S7559" t="s">
        <v>32667</v>
      </c>
      <c r="T7559" t="s">
        <v>33238</v>
      </c>
      <c r="U7559" t="s">
        <v>39945</v>
      </c>
      <c r="W7559" t="s">
        <v>32016</v>
      </c>
      <c r="X7559" t="s">
        <v>32534</v>
      </c>
    </row>
    <row r="7560" spans="1:24">
      <c r="A7560">
        <f>HYPERLINK("https://www.philgeps.gov.ph/GEPSNONPILOT/Tender/SplashBidNoticeAbstractUI.aspx?menuIndex=3&amp;refID=7033927&amp;Result=3","7033927")</f>
        <v>0</v>
      </c>
      <c r="B7560" t="s">
        <v>2247</v>
      </c>
      <c r="C7560" t="s">
        <v>9898</v>
      </c>
      <c r="D7560" t="s">
        <v>12988</v>
      </c>
      <c r="E7560" t="s">
        <v>19730</v>
      </c>
      <c r="F7560" t="s">
        <v>22436</v>
      </c>
      <c r="G7560" t="s">
        <v>22444</v>
      </c>
      <c r="H7560" t="s">
        <v>22452</v>
      </c>
      <c r="I7560" t="s">
        <v>2981</v>
      </c>
      <c r="J7560" t="s">
        <v>22605</v>
      </c>
      <c r="K7560" t="s">
        <v>29336</v>
      </c>
      <c r="M7560" t="s">
        <v>32014</v>
      </c>
      <c r="N7560" t="s">
        <v>32524</v>
      </c>
      <c r="O7560" t="s">
        <v>32525</v>
      </c>
      <c r="P7560">
        <v>0</v>
      </c>
      <c r="Q7560">
        <v>1</v>
      </c>
      <c r="R7560" t="s">
        <v>32533</v>
      </c>
      <c r="S7560" t="s">
        <v>32667</v>
      </c>
      <c r="T7560" t="s">
        <v>33521</v>
      </c>
      <c r="U7560" t="s">
        <v>39946</v>
      </c>
      <c r="W7560" t="s">
        <v>32014</v>
      </c>
      <c r="X7560" t="s">
        <v>32534</v>
      </c>
    </row>
    <row r="7561" spans="1:24">
      <c r="A7561">
        <f>HYPERLINK("https://www.philgeps.gov.ph/GEPSNONPILOT/Tender/SplashBidNoticeAbstractUI.aspx?menuIndex=3&amp;refID=7033932&amp;Result=3","7033932")</f>
        <v>0</v>
      </c>
      <c r="B7561" t="s">
        <v>350</v>
      </c>
      <c r="C7561" t="s">
        <v>9899</v>
      </c>
      <c r="D7561" t="s">
        <v>13031</v>
      </c>
      <c r="E7561" t="s">
        <v>19731</v>
      </c>
      <c r="F7561" t="s">
        <v>22436</v>
      </c>
      <c r="G7561" t="s">
        <v>22446</v>
      </c>
      <c r="H7561" t="s">
        <v>22452</v>
      </c>
      <c r="I7561" t="s">
        <v>3529</v>
      </c>
      <c r="J7561" t="s">
        <v>22640</v>
      </c>
      <c r="K7561" t="s">
        <v>29338</v>
      </c>
      <c r="M7561" t="s">
        <v>29927</v>
      </c>
      <c r="N7561" t="s">
        <v>32524</v>
      </c>
      <c r="O7561" t="s">
        <v>32525</v>
      </c>
      <c r="Q7561">
        <v>2</v>
      </c>
      <c r="R7561" t="s">
        <v>32533</v>
      </c>
      <c r="S7561" t="s">
        <v>32695</v>
      </c>
      <c r="T7561" t="s">
        <v>33209</v>
      </c>
      <c r="U7561" t="s">
        <v>34315</v>
      </c>
      <c r="W7561" t="s">
        <v>29927</v>
      </c>
      <c r="X7561" t="s">
        <v>32534</v>
      </c>
    </row>
    <row r="7562" spans="1:24">
      <c r="A7562">
        <f>HYPERLINK("https://www.philgeps.gov.ph/GEPSNONPILOT/Tender/SplashBidNoticeAbstractUI.aspx?menuIndex=3&amp;refID=7033923&amp;Result=3","7033923")</f>
        <v>0</v>
      </c>
      <c r="B7562" t="s">
        <v>2231</v>
      </c>
      <c r="C7562" t="s">
        <v>9900</v>
      </c>
      <c r="D7562" t="s">
        <v>13018</v>
      </c>
      <c r="E7562" t="s">
        <v>19732</v>
      </c>
      <c r="F7562" t="s">
        <v>22436</v>
      </c>
      <c r="G7562" t="s">
        <v>22443</v>
      </c>
      <c r="H7562" t="s">
        <v>22452</v>
      </c>
      <c r="I7562" t="s">
        <v>22512</v>
      </c>
      <c r="J7562" t="s">
        <v>22605</v>
      </c>
      <c r="K7562" t="s">
        <v>29331</v>
      </c>
      <c r="M7562" t="s">
        <v>31997</v>
      </c>
      <c r="N7562" t="s">
        <v>32524</v>
      </c>
      <c r="O7562" t="s">
        <v>32525</v>
      </c>
      <c r="P7562">
        <v>0</v>
      </c>
      <c r="Q7562">
        <v>2</v>
      </c>
      <c r="R7562" t="s">
        <v>32533</v>
      </c>
      <c r="S7562" t="s">
        <v>32667</v>
      </c>
      <c r="T7562" t="s">
        <v>33220</v>
      </c>
      <c r="U7562" t="s">
        <v>39947</v>
      </c>
      <c r="W7562" t="s">
        <v>31997</v>
      </c>
      <c r="X7562" t="s">
        <v>32534</v>
      </c>
    </row>
    <row r="7563" spans="1:24">
      <c r="A7563">
        <f>HYPERLINK("https://www.philgeps.gov.ph/GEPSNONPILOT/Tender/SplashBidNoticeAbstractUI.aspx?menuIndex=3&amp;refID=7033944&amp;Result=3","7033944")</f>
        <v>0</v>
      </c>
      <c r="B7563" t="s">
        <v>2242</v>
      </c>
      <c r="C7563" t="s">
        <v>9901</v>
      </c>
      <c r="D7563" t="s">
        <v>13060</v>
      </c>
      <c r="E7563" t="s">
        <v>19733</v>
      </c>
      <c r="F7563" t="s">
        <v>22436</v>
      </c>
      <c r="G7563" t="s">
        <v>22450</v>
      </c>
      <c r="H7563" t="s">
        <v>22452</v>
      </c>
      <c r="I7563" t="s">
        <v>3529</v>
      </c>
      <c r="J7563" t="s">
        <v>27461</v>
      </c>
      <c r="K7563" t="s">
        <v>29335</v>
      </c>
      <c r="M7563" t="s">
        <v>32009</v>
      </c>
      <c r="N7563" t="s">
        <v>32524</v>
      </c>
      <c r="O7563" t="s">
        <v>32525</v>
      </c>
      <c r="P7563">
        <v>0</v>
      </c>
      <c r="Q7563">
        <v>0</v>
      </c>
      <c r="R7563" t="s">
        <v>32533</v>
      </c>
      <c r="S7563" t="s">
        <v>32667</v>
      </c>
      <c r="T7563" t="s">
        <v>33492</v>
      </c>
      <c r="U7563" t="s">
        <v>39948</v>
      </c>
      <c r="V7563" t="s">
        <v>43252</v>
      </c>
      <c r="W7563" t="s">
        <v>32009</v>
      </c>
      <c r="X7563" t="s">
        <v>32534</v>
      </c>
    </row>
    <row r="7564" spans="1:24">
      <c r="A7564">
        <f>HYPERLINK("https://www.philgeps.gov.ph/GEPSNONPILOT/Tender/SplashBidNoticeAbstractUI.aspx?menuIndex=3&amp;refID=7033905&amp;Result=3","7033905")</f>
        <v>0</v>
      </c>
      <c r="B7564" t="s">
        <v>2227</v>
      </c>
      <c r="C7564" t="s">
        <v>9902</v>
      </c>
      <c r="D7564" t="s">
        <v>13010</v>
      </c>
      <c r="E7564" t="s">
        <v>16052</v>
      </c>
      <c r="F7564" t="s">
        <v>22436</v>
      </c>
      <c r="G7564" t="s">
        <v>22444</v>
      </c>
      <c r="H7564" t="s">
        <v>22452</v>
      </c>
      <c r="I7564" t="s">
        <v>22467</v>
      </c>
      <c r="J7564" t="s">
        <v>27462</v>
      </c>
      <c r="K7564" t="s">
        <v>29331</v>
      </c>
      <c r="M7564" t="s">
        <v>31993</v>
      </c>
      <c r="N7564" t="s">
        <v>32524</v>
      </c>
      <c r="O7564" t="s">
        <v>32525</v>
      </c>
      <c r="P7564">
        <v>0</v>
      </c>
      <c r="Q7564">
        <v>0</v>
      </c>
      <c r="R7564" t="s">
        <v>32533</v>
      </c>
      <c r="S7564" t="s">
        <v>32667</v>
      </c>
      <c r="T7564" t="s">
        <v>33242</v>
      </c>
      <c r="U7564" t="s">
        <v>39949</v>
      </c>
      <c r="V7564" t="s">
        <v>43250</v>
      </c>
      <c r="W7564" t="s">
        <v>31993</v>
      </c>
      <c r="X7564" t="s">
        <v>32534</v>
      </c>
    </row>
    <row r="7565" spans="1:24">
      <c r="A7565">
        <f>HYPERLINK("https://www.philgeps.gov.ph/GEPSNONPILOT/Tender/SplashBidNoticeAbstractUI.aspx?menuIndex=3&amp;refID=7033910&amp;Result=3","7033910")</f>
        <v>0</v>
      </c>
      <c r="B7565" t="s">
        <v>2250</v>
      </c>
      <c r="C7565" t="s">
        <v>9903</v>
      </c>
      <c r="D7565" t="s">
        <v>13019</v>
      </c>
      <c r="E7565" t="s">
        <v>19734</v>
      </c>
      <c r="F7565" t="s">
        <v>22436</v>
      </c>
      <c r="G7565" t="s">
        <v>22444</v>
      </c>
      <c r="H7565" t="s">
        <v>22454</v>
      </c>
      <c r="I7565" t="s">
        <v>7738</v>
      </c>
      <c r="J7565" t="s">
        <v>27463</v>
      </c>
      <c r="K7565" t="s">
        <v>29489</v>
      </c>
      <c r="M7565" t="s">
        <v>32017</v>
      </c>
      <c r="N7565" t="s">
        <v>32524</v>
      </c>
      <c r="O7565" t="s">
        <v>32525</v>
      </c>
      <c r="P7565">
        <v>0</v>
      </c>
      <c r="Q7565">
        <v>0</v>
      </c>
      <c r="R7565" t="s">
        <v>32533</v>
      </c>
      <c r="S7565" t="s">
        <v>32667</v>
      </c>
      <c r="T7565" t="s">
        <v>33191</v>
      </c>
      <c r="U7565" t="s">
        <v>39950</v>
      </c>
      <c r="W7565" t="s">
        <v>32017</v>
      </c>
      <c r="X7565" t="s">
        <v>32534</v>
      </c>
    </row>
    <row r="7566" spans="1:24">
      <c r="A7566">
        <f>HYPERLINK("https://www.philgeps.gov.ph/GEPSNONPILOT/Tender/SplashBidNoticeAbstractUI.aspx?menuIndex=3&amp;refID=7033916&amp;Result=3","7033916")</f>
        <v>0</v>
      </c>
      <c r="B7566" t="s">
        <v>2242</v>
      </c>
      <c r="C7566" t="s">
        <v>9904</v>
      </c>
      <c r="D7566" t="s">
        <v>13060</v>
      </c>
      <c r="E7566" t="s">
        <v>19735</v>
      </c>
      <c r="F7566" t="s">
        <v>22436</v>
      </c>
      <c r="G7566" t="s">
        <v>22450</v>
      </c>
      <c r="H7566" t="s">
        <v>22452</v>
      </c>
      <c r="I7566" t="s">
        <v>3529</v>
      </c>
      <c r="J7566" t="s">
        <v>27464</v>
      </c>
      <c r="K7566" t="s">
        <v>29335</v>
      </c>
      <c r="M7566" t="s">
        <v>32009</v>
      </c>
      <c r="N7566" t="s">
        <v>32524</v>
      </c>
      <c r="O7566" t="s">
        <v>32525</v>
      </c>
      <c r="P7566">
        <v>0</v>
      </c>
      <c r="Q7566">
        <v>0</v>
      </c>
      <c r="R7566" t="s">
        <v>32533</v>
      </c>
      <c r="S7566" t="s">
        <v>32667</v>
      </c>
      <c r="T7566" t="s">
        <v>33492</v>
      </c>
      <c r="U7566" t="s">
        <v>39951</v>
      </c>
      <c r="V7566" t="s">
        <v>43252</v>
      </c>
      <c r="W7566" t="s">
        <v>32009</v>
      </c>
      <c r="X7566" t="s">
        <v>32534</v>
      </c>
    </row>
    <row r="7567" spans="1:24">
      <c r="A7567">
        <f>HYPERLINK("https://www.philgeps.gov.ph/GEPSNONPILOT/Tender/SplashBidNoticeAbstractUI.aspx?menuIndex=3&amp;refID=7033818&amp;Result=3","7033818")</f>
        <v>0</v>
      </c>
      <c r="B7567" t="s">
        <v>2239</v>
      </c>
      <c r="C7567" t="s">
        <v>9905</v>
      </c>
      <c r="E7567" t="s">
        <v>19736</v>
      </c>
      <c r="F7567" t="s">
        <v>22436</v>
      </c>
      <c r="G7567" t="s">
        <v>22444</v>
      </c>
      <c r="H7567" t="s">
        <v>22454</v>
      </c>
      <c r="I7567" t="s">
        <v>7738</v>
      </c>
      <c r="J7567" t="s">
        <v>27465</v>
      </c>
      <c r="K7567" t="s">
        <v>29334</v>
      </c>
      <c r="M7567" t="s">
        <v>32006</v>
      </c>
      <c r="N7567" t="s">
        <v>32524</v>
      </c>
      <c r="O7567" t="s">
        <v>32525</v>
      </c>
      <c r="P7567">
        <v>0</v>
      </c>
      <c r="Q7567">
        <v>0</v>
      </c>
      <c r="R7567" t="s">
        <v>32533</v>
      </c>
      <c r="S7567" t="s">
        <v>32667</v>
      </c>
      <c r="T7567" t="s">
        <v>33218</v>
      </c>
      <c r="U7567" t="s">
        <v>37597</v>
      </c>
      <c r="W7567" t="s">
        <v>32006</v>
      </c>
      <c r="X7567" t="s">
        <v>32534</v>
      </c>
    </row>
    <row r="7568" spans="1:24">
      <c r="A7568">
        <f>HYPERLINK("https://www.philgeps.gov.ph/GEPSNONPILOT/Tender/SplashBidNoticeAbstractUI.aspx?menuIndex=3&amp;refID=7033917&amp;Result=3","7033917")</f>
        <v>0</v>
      </c>
      <c r="B7568" t="s">
        <v>1384</v>
      </c>
      <c r="C7568" t="s">
        <v>9906</v>
      </c>
      <c r="D7568" t="s">
        <v>13054</v>
      </c>
      <c r="E7568" t="s">
        <v>19737</v>
      </c>
      <c r="F7568" t="s">
        <v>22436</v>
      </c>
      <c r="G7568" t="s">
        <v>22444</v>
      </c>
      <c r="H7568" t="s">
        <v>22454</v>
      </c>
      <c r="I7568" t="s">
        <v>7738</v>
      </c>
      <c r="J7568" t="s">
        <v>27466</v>
      </c>
      <c r="K7568" t="s">
        <v>29334</v>
      </c>
      <c r="M7568" t="s">
        <v>31042</v>
      </c>
      <c r="N7568" t="s">
        <v>32524</v>
      </c>
      <c r="O7568" t="s">
        <v>32525</v>
      </c>
      <c r="P7568">
        <v>0</v>
      </c>
      <c r="Q7568">
        <v>0</v>
      </c>
      <c r="R7568" t="s">
        <v>32533</v>
      </c>
      <c r="S7568" t="s">
        <v>32667</v>
      </c>
      <c r="T7568" t="s">
        <v>33190</v>
      </c>
      <c r="U7568" t="s">
        <v>39952</v>
      </c>
      <c r="V7568" t="s">
        <v>42823</v>
      </c>
      <c r="W7568" t="s">
        <v>31042</v>
      </c>
      <c r="X7568" t="s">
        <v>32534</v>
      </c>
    </row>
    <row r="7569" spans="1:24">
      <c r="A7569">
        <f>HYPERLINK("https://www.philgeps.gov.ph/GEPSNONPILOT/Tender/SplashBidNoticeAbstractUI.aspx?menuIndex=3&amp;refID=7033881&amp;Result=3","7033881")</f>
        <v>0</v>
      </c>
      <c r="B7569" t="s">
        <v>299</v>
      </c>
      <c r="C7569" t="s">
        <v>9907</v>
      </c>
      <c r="D7569" t="s">
        <v>13026</v>
      </c>
      <c r="E7569" t="s">
        <v>19738</v>
      </c>
      <c r="F7569" t="s">
        <v>22436</v>
      </c>
      <c r="G7569" t="s">
        <v>22444</v>
      </c>
      <c r="H7569" t="s">
        <v>22452</v>
      </c>
      <c r="I7569" t="s">
        <v>6387</v>
      </c>
      <c r="J7569" t="s">
        <v>27467</v>
      </c>
      <c r="K7569" t="s">
        <v>29336</v>
      </c>
      <c r="M7569" t="s">
        <v>29873</v>
      </c>
      <c r="N7569" t="s">
        <v>32524</v>
      </c>
      <c r="O7569" t="s">
        <v>32525</v>
      </c>
      <c r="P7569">
        <v>0</v>
      </c>
      <c r="Q7569">
        <v>5</v>
      </c>
      <c r="R7569" t="s">
        <v>32533</v>
      </c>
      <c r="S7569" t="s">
        <v>32667</v>
      </c>
      <c r="T7569" t="s">
        <v>33422</v>
      </c>
      <c r="U7569" t="s">
        <v>39953</v>
      </c>
      <c r="W7569" t="s">
        <v>29873</v>
      </c>
      <c r="X7569" t="s">
        <v>32534</v>
      </c>
    </row>
    <row r="7570" spans="1:24">
      <c r="A7570">
        <f>HYPERLINK("https://www.philgeps.gov.ph/GEPSNONPILOT/Tender/SplashBidNoticeAbstractUI.aspx?menuIndex=3&amp;refID=7033850&amp;Result=3","7033850")</f>
        <v>0</v>
      </c>
      <c r="B7570" t="s">
        <v>2243</v>
      </c>
      <c r="C7570" t="s">
        <v>9908</v>
      </c>
      <c r="D7570" t="s">
        <v>13006</v>
      </c>
      <c r="E7570" t="s">
        <v>19739</v>
      </c>
      <c r="F7570" t="s">
        <v>22436</v>
      </c>
      <c r="G7570" t="s">
        <v>22444</v>
      </c>
      <c r="H7570" t="s">
        <v>22452</v>
      </c>
      <c r="I7570" t="s">
        <v>22467</v>
      </c>
      <c r="J7570" t="s">
        <v>24863</v>
      </c>
      <c r="K7570" t="s">
        <v>29331</v>
      </c>
      <c r="M7570" t="s">
        <v>32010</v>
      </c>
      <c r="N7570" t="s">
        <v>32524</v>
      </c>
      <c r="O7570" t="s">
        <v>32525</v>
      </c>
      <c r="P7570">
        <v>0</v>
      </c>
      <c r="Q7570">
        <v>0</v>
      </c>
      <c r="R7570" t="s">
        <v>32533</v>
      </c>
      <c r="S7570" t="s">
        <v>32667</v>
      </c>
      <c r="T7570" t="s">
        <v>33211</v>
      </c>
      <c r="U7570" t="s">
        <v>39931</v>
      </c>
      <c r="W7570" t="s">
        <v>32010</v>
      </c>
      <c r="X7570" t="s">
        <v>32534</v>
      </c>
    </row>
    <row r="7571" spans="1:24">
      <c r="A7571">
        <f>HYPERLINK("https://www.philgeps.gov.ph/GEPSNONPILOT/Tender/SplashBidNoticeAbstractUI.aspx?menuIndex=3&amp;refID=7033715&amp;Result=3","7033715")</f>
        <v>0</v>
      </c>
      <c r="B7571" t="s">
        <v>1381</v>
      </c>
      <c r="C7571" t="s">
        <v>9909</v>
      </c>
      <c r="D7571" t="s">
        <v>13035</v>
      </c>
      <c r="E7571" t="s">
        <v>19740</v>
      </c>
      <c r="F7571" t="s">
        <v>22436</v>
      </c>
      <c r="G7571" t="s">
        <v>22444</v>
      </c>
      <c r="H7571" t="s">
        <v>22454</v>
      </c>
      <c r="I7571" t="s">
        <v>7738</v>
      </c>
      <c r="J7571" t="s">
        <v>27468</v>
      </c>
      <c r="K7571" t="s">
        <v>29429</v>
      </c>
      <c r="M7571" t="s">
        <v>31460</v>
      </c>
      <c r="N7571" t="s">
        <v>32524</v>
      </c>
      <c r="O7571" t="s">
        <v>32525</v>
      </c>
      <c r="P7571">
        <v>0</v>
      </c>
      <c r="Q7571">
        <v>0</v>
      </c>
      <c r="R7571" t="s">
        <v>32533</v>
      </c>
      <c r="S7571" t="s">
        <v>32667</v>
      </c>
      <c r="T7571" t="s">
        <v>33465</v>
      </c>
      <c r="U7571" t="s">
        <v>39954</v>
      </c>
      <c r="V7571" t="s">
        <v>42994</v>
      </c>
      <c r="W7571" t="s">
        <v>31460</v>
      </c>
      <c r="X7571" t="s">
        <v>32534</v>
      </c>
    </row>
    <row r="7572" spans="1:24">
      <c r="A7572">
        <f>HYPERLINK("https://www.philgeps.gov.ph/GEPSNONPILOT/Tender/SplashBidNoticeAbstractUI.aspx?menuIndex=3&amp;refID=7034005&amp;Result=3","7034005")</f>
        <v>0</v>
      </c>
      <c r="B7572" t="s">
        <v>2242</v>
      </c>
      <c r="C7572" t="s">
        <v>9901</v>
      </c>
      <c r="D7572" t="s">
        <v>13060</v>
      </c>
      <c r="E7572" t="s">
        <v>19741</v>
      </c>
      <c r="F7572" t="s">
        <v>22436</v>
      </c>
      <c r="G7572" t="s">
        <v>22450</v>
      </c>
      <c r="H7572" t="s">
        <v>22452</v>
      </c>
      <c r="I7572" t="s">
        <v>3529</v>
      </c>
      <c r="J7572" t="s">
        <v>27469</v>
      </c>
      <c r="K7572" t="s">
        <v>29335</v>
      </c>
      <c r="M7572" t="s">
        <v>32009</v>
      </c>
      <c r="N7572" t="s">
        <v>32524</v>
      </c>
      <c r="O7572" t="s">
        <v>32525</v>
      </c>
      <c r="P7572">
        <v>0</v>
      </c>
      <c r="Q7572">
        <v>0</v>
      </c>
      <c r="R7572" t="s">
        <v>32533</v>
      </c>
      <c r="S7572" t="s">
        <v>32667</v>
      </c>
      <c r="T7572" t="s">
        <v>33492</v>
      </c>
      <c r="U7572" t="s">
        <v>39955</v>
      </c>
      <c r="V7572" t="s">
        <v>43252</v>
      </c>
      <c r="W7572" t="s">
        <v>32009</v>
      </c>
      <c r="X7572" t="s">
        <v>32534</v>
      </c>
    </row>
    <row r="7573" spans="1:24">
      <c r="A7573">
        <f>HYPERLINK("https://www.philgeps.gov.ph/GEPSNONPILOT/Tender/SplashBidNoticeAbstractUI.aspx?menuIndex=3&amp;refID=7034019&amp;Result=3","7034019")</f>
        <v>0</v>
      </c>
      <c r="B7573" t="s">
        <v>1974</v>
      </c>
      <c r="C7573" t="s">
        <v>9910</v>
      </c>
      <c r="D7573" t="s">
        <v>13039</v>
      </c>
      <c r="E7573" t="s">
        <v>19742</v>
      </c>
      <c r="F7573" t="s">
        <v>22436</v>
      </c>
      <c r="G7573" t="s">
        <v>22444</v>
      </c>
      <c r="H7573" t="s">
        <v>22452</v>
      </c>
      <c r="I7573" t="s">
        <v>3529</v>
      </c>
      <c r="J7573" t="s">
        <v>27470</v>
      </c>
      <c r="K7573" t="s">
        <v>29338</v>
      </c>
      <c r="M7573" t="s">
        <v>31706</v>
      </c>
      <c r="N7573" t="s">
        <v>32524</v>
      </c>
      <c r="O7573" t="s">
        <v>32525</v>
      </c>
      <c r="P7573">
        <v>0</v>
      </c>
      <c r="Q7573">
        <v>0</v>
      </c>
      <c r="R7573" t="s">
        <v>32533</v>
      </c>
      <c r="S7573" t="s">
        <v>32667</v>
      </c>
      <c r="T7573" t="s">
        <v>33249</v>
      </c>
      <c r="U7573" t="s">
        <v>39956</v>
      </c>
      <c r="W7573" t="s">
        <v>31706</v>
      </c>
      <c r="X7573" t="s">
        <v>32534</v>
      </c>
    </row>
    <row r="7574" spans="1:24">
      <c r="A7574">
        <f>HYPERLINK("https://www.philgeps.gov.ph/GEPSNONPILOT/Tender/SplashBidNoticeAbstractUI.aspx?menuIndex=3&amp;refID=7034034&amp;Result=3","7034034")</f>
        <v>0</v>
      </c>
      <c r="B7574" t="s">
        <v>350</v>
      </c>
      <c r="C7574" t="s">
        <v>9911</v>
      </c>
      <c r="D7574" t="s">
        <v>13031</v>
      </c>
      <c r="E7574" t="s">
        <v>19743</v>
      </c>
      <c r="F7574" t="s">
        <v>22436</v>
      </c>
      <c r="G7574" t="s">
        <v>22446</v>
      </c>
      <c r="H7574" t="s">
        <v>22452</v>
      </c>
      <c r="I7574" t="s">
        <v>22471</v>
      </c>
      <c r="J7574" t="s">
        <v>27471</v>
      </c>
      <c r="K7574" t="s">
        <v>29335</v>
      </c>
      <c r="M7574" t="s">
        <v>29927</v>
      </c>
      <c r="N7574" t="s">
        <v>32524</v>
      </c>
      <c r="O7574" t="s">
        <v>32525</v>
      </c>
      <c r="Q7574">
        <v>8</v>
      </c>
      <c r="R7574" t="s">
        <v>32533</v>
      </c>
      <c r="S7574" t="s">
        <v>32694</v>
      </c>
      <c r="T7574" t="s">
        <v>33209</v>
      </c>
      <c r="U7574" t="s">
        <v>34315</v>
      </c>
      <c r="W7574" t="s">
        <v>29927</v>
      </c>
      <c r="X7574" t="s">
        <v>32534</v>
      </c>
    </row>
    <row r="7575" spans="1:24">
      <c r="A7575">
        <f>HYPERLINK("https://www.philgeps.gov.ph/GEPSNONPILOT/Tender/SplashBidNoticeAbstractUI.aspx?menuIndex=3&amp;refID=7033891&amp;Result=3","7033891")</f>
        <v>0</v>
      </c>
      <c r="B7575" t="s">
        <v>2242</v>
      </c>
      <c r="C7575" t="s">
        <v>9912</v>
      </c>
      <c r="D7575" t="s">
        <v>13060</v>
      </c>
      <c r="E7575" t="s">
        <v>19192</v>
      </c>
      <c r="F7575" t="s">
        <v>22436</v>
      </c>
      <c r="G7575" t="s">
        <v>22444</v>
      </c>
      <c r="H7575" t="s">
        <v>22452</v>
      </c>
      <c r="I7575" t="s">
        <v>3529</v>
      </c>
      <c r="J7575" t="s">
        <v>27472</v>
      </c>
      <c r="K7575" t="s">
        <v>29335</v>
      </c>
      <c r="M7575" t="s">
        <v>32009</v>
      </c>
      <c r="N7575" t="s">
        <v>32524</v>
      </c>
      <c r="O7575" t="s">
        <v>32525</v>
      </c>
      <c r="P7575">
        <v>0</v>
      </c>
      <c r="Q7575">
        <v>0</v>
      </c>
      <c r="R7575" t="s">
        <v>32533</v>
      </c>
      <c r="S7575" t="s">
        <v>32667</v>
      </c>
      <c r="T7575" t="s">
        <v>33492</v>
      </c>
      <c r="U7575" t="s">
        <v>39957</v>
      </c>
      <c r="V7575" t="s">
        <v>43252</v>
      </c>
      <c r="W7575" t="s">
        <v>32009</v>
      </c>
      <c r="X7575" t="s">
        <v>32534</v>
      </c>
    </row>
    <row r="7576" spans="1:24">
      <c r="A7576">
        <f>HYPERLINK("https://www.philgeps.gov.ph/GEPSNONPILOT/Tender/SplashBidNoticeAbstractUI.aspx?menuIndex=3&amp;refID=7034013&amp;Result=3","7034013")</f>
        <v>0</v>
      </c>
      <c r="B7576" t="s">
        <v>333</v>
      </c>
      <c r="C7576" t="s">
        <v>9913</v>
      </c>
      <c r="D7576" t="s">
        <v>13000</v>
      </c>
      <c r="E7576" t="s">
        <v>13092</v>
      </c>
      <c r="F7576" t="s">
        <v>22436</v>
      </c>
      <c r="G7576" t="s">
        <v>22444</v>
      </c>
      <c r="H7576" t="s">
        <v>22454</v>
      </c>
      <c r="I7576" t="s">
        <v>7738</v>
      </c>
      <c r="J7576" t="s">
        <v>27473</v>
      </c>
      <c r="K7576" t="s">
        <v>29338</v>
      </c>
      <c r="M7576" t="s">
        <v>29909</v>
      </c>
      <c r="N7576" t="s">
        <v>32524</v>
      </c>
      <c r="O7576" t="s">
        <v>32525</v>
      </c>
      <c r="P7576">
        <v>0</v>
      </c>
      <c r="Q7576">
        <v>0</v>
      </c>
      <c r="R7576" t="s">
        <v>32533</v>
      </c>
      <c r="S7576" t="s">
        <v>32667</v>
      </c>
      <c r="T7576" t="s">
        <v>33249</v>
      </c>
      <c r="U7576" t="s">
        <v>39958</v>
      </c>
      <c r="W7576" t="s">
        <v>29909</v>
      </c>
      <c r="X7576" t="s">
        <v>32534</v>
      </c>
    </row>
    <row r="7577" spans="1:24">
      <c r="A7577">
        <f>HYPERLINK("https://www.philgeps.gov.ph/GEPSNONPILOT/Tender/SplashBidNoticeAbstractUI.aspx?menuIndex=3&amp;refID=7034000&amp;Result=3","7034000")</f>
        <v>0</v>
      </c>
      <c r="B7577" t="s">
        <v>2251</v>
      </c>
      <c r="C7577" t="s">
        <v>9914</v>
      </c>
      <c r="D7577" t="s">
        <v>13026</v>
      </c>
      <c r="E7577" t="s">
        <v>19744</v>
      </c>
      <c r="F7577" t="s">
        <v>22436</v>
      </c>
      <c r="G7577" t="s">
        <v>22444</v>
      </c>
      <c r="H7577" t="s">
        <v>22452</v>
      </c>
      <c r="I7577" t="s">
        <v>22474</v>
      </c>
      <c r="J7577" t="s">
        <v>27474</v>
      </c>
      <c r="K7577" t="s">
        <v>29329</v>
      </c>
      <c r="M7577" t="s">
        <v>32018</v>
      </c>
      <c r="N7577" t="s">
        <v>32524</v>
      </c>
      <c r="O7577" t="s">
        <v>32525</v>
      </c>
      <c r="P7577">
        <v>0</v>
      </c>
      <c r="Q7577">
        <v>6</v>
      </c>
      <c r="R7577" t="s">
        <v>32533</v>
      </c>
      <c r="S7577" t="s">
        <v>32667</v>
      </c>
      <c r="T7577" t="s">
        <v>33188</v>
      </c>
      <c r="U7577" t="s">
        <v>39959</v>
      </c>
      <c r="V7577" t="s">
        <v>43253</v>
      </c>
      <c r="W7577" t="s">
        <v>32018</v>
      </c>
      <c r="X7577" t="s">
        <v>32534</v>
      </c>
    </row>
    <row r="7578" spans="1:24">
      <c r="A7578">
        <f>HYPERLINK("https://www.philgeps.gov.ph/GEPSNONPILOT/Tender/SplashBidNoticeAbstractUI.aspx?menuIndex=3&amp;refID=7034031&amp;Result=3","7034031")</f>
        <v>0</v>
      </c>
      <c r="B7578" t="s">
        <v>2242</v>
      </c>
      <c r="C7578" t="s">
        <v>9915</v>
      </c>
      <c r="D7578" t="s">
        <v>13060</v>
      </c>
      <c r="E7578" t="s">
        <v>19745</v>
      </c>
      <c r="F7578" t="s">
        <v>22436</v>
      </c>
      <c r="G7578" t="s">
        <v>22445</v>
      </c>
      <c r="H7578" t="s">
        <v>22452</v>
      </c>
      <c r="I7578" t="s">
        <v>22471</v>
      </c>
      <c r="J7578" t="s">
        <v>23011</v>
      </c>
      <c r="K7578" t="s">
        <v>29335</v>
      </c>
      <c r="M7578" t="s">
        <v>32009</v>
      </c>
      <c r="N7578" t="s">
        <v>32524</v>
      </c>
      <c r="O7578" t="s">
        <v>32525</v>
      </c>
      <c r="P7578">
        <v>0</v>
      </c>
      <c r="Q7578">
        <v>1</v>
      </c>
      <c r="R7578" t="s">
        <v>32533</v>
      </c>
      <c r="S7578" t="s">
        <v>32667</v>
      </c>
      <c r="T7578" t="s">
        <v>33492</v>
      </c>
      <c r="U7578" t="s">
        <v>39960</v>
      </c>
      <c r="V7578" t="s">
        <v>43252</v>
      </c>
      <c r="W7578" t="s">
        <v>32009</v>
      </c>
      <c r="X7578" t="s">
        <v>32534</v>
      </c>
    </row>
    <row r="7579" spans="1:24">
      <c r="A7579">
        <f>HYPERLINK("https://www.philgeps.gov.ph/GEPSNONPILOT/Tender/SplashBidNoticeAbstractUI.aspx?menuIndex=3&amp;refID=7034009&amp;Result=3","7034009")</f>
        <v>0</v>
      </c>
      <c r="B7579" t="s">
        <v>2252</v>
      </c>
      <c r="C7579" t="s">
        <v>9916</v>
      </c>
      <c r="D7579" t="s">
        <v>13039</v>
      </c>
      <c r="E7579" t="s">
        <v>13137</v>
      </c>
      <c r="F7579" t="s">
        <v>22436</v>
      </c>
      <c r="G7579" t="s">
        <v>22444</v>
      </c>
      <c r="H7579" t="s">
        <v>22454</v>
      </c>
      <c r="I7579" t="s">
        <v>7738</v>
      </c>
      <c r="J7579" t="s">
        <v>27475</v>
      </c>
      <c r="K7579" t="s">
        <v>29330</v>
      </c>
      <c r="M7579" t="s">
        <v>32019</v>
      </c>
      <c r="N7579" t="s">
        <v>32524</v>
      </c>
      <c r="O7579" t="s">
        <v>32525</v>
      </c>
      <c r="P7579">
        <v>0</v>
      </c>
      <c r="Q7579">
        <v>0</v>
      </c>
      <c r="R7579" t="s">
        <v>32533</v>
      </c>
      <c r="S7579" t="s">
        <v>32667</v>
      </c>
      <c r="T7579" t="s">
        <v>33180</v>
      </c>
      <c r="U7579" t="s">
        <v>39961</v>
      </c>
      <c r="W7579" t="s">
        <v>32019</v>
      </c>
      <c r="X7579" t="s">
        <v>32534</v>
      </c>
    </row>
    <row r="7580" spans="1:24">
      <c r="A7580">
        <f>HYPERLINK("https://www.philgeps.gov.ph/GEPSNONPILOT/Tender/SplashBidNoticeAbstractUI.aspx?menuIndex=3&amp;refID=7033998&amp;Result=3","7033998")</f>
        <v>0</v>
      </c>
      <c r="B7580" t="s">
        <v>166</v>
      </c>
      <c r="C7580" t="s">
        <v>9917</v>
      </c>
      <c r="E7580" t="s">
        <v>19746</v>
      </c>
      <c r="F7580" t="s">
        <v>22436</v>
      </c>
      <c r="G7580" t="s">
        <v>22443</v>
      </c>
      <c r="H7580" t="s">
        <v>22452</v>
      </c>
      <c r="I7580" t="s">
        <v>3358</v>
      </c>
      <c r="J7580" t="s">
        <v>23884</v>
      </c>
      <c r="K7580" t="s">
        <v>29338</v>
      </c>
      <c r="M7580" t="s">
        <v>29738</v>
      </c>
      <c r="N7580" t="s">
        <v>32524</v>
      </c>
      <c r="O7580" t="s">
        <v>32525</v>
      </c>
      <c r="P7580">
        <v>0</v>
      </c>
      <c r="Q7580">
        <v>0</v>
      </c>
      <c r="R7580" t="s">
        <v>32533</v>
      </c>
      <c r="S7580" t="s">
        <v>32667</v>
      </c>
      <c r="T7580" t="s">
        <v>33238</v>
      </c>
      <c r="U7580" t="s">
        <v>39962</v>
      </c>
      <c r="W7580" t="s">
        <v>29738</v>
      </c>
      <c r="X7580" t="s">
        <v>32534</v>
      </c>
    </row>
    <row r="7581" spans="1:24">
      <c r="A7581">
        <f>HYPERLINK("https://www.philgeps.gov.ph/GEPSNONPILOT/Tender/SplashBidNoticeAbstractUI.aspx?menuIndex=3&amp;refID=7034004&amp;Result=3","7034004")</f>
        <v>0</v>
      </c>
      <c r="B7581" t="s">
        <v>679</v>
      </c>
      <c r="C7581" t="s">
        <v>9918</v>
      </c>
      <c r="D7581" t="s">
        <v>13045</v>
      </c>
      <c r="E7581" t="s">
        <v>19747</v>
      </c>
      <c r="F7581" t="s">
        <v>22436</v>
      </c>
      <c r="G7581" t="s">
        <v>22444</v>
      </c>
      <c r="H7581" t="s">
        <v>22452</v>
      </c>
      <c r="I7581" t="s">
        <v>22460</v>
      </c>
      <c r="J7581" t="s">
        <v>22742</v>
      </c>
      <c r="K7581" t="s">
        <v>29335</v>
      </c>
      <c r="M7581" t="s">
        <v>30273</v>
      </c>
      <c r="N7581" t="s">
        <v>32524</v>
      </c>
      <c r="O7581" t="s">
        <v>32525</v>
      </c>
      <c r="P7581">
        <v>0</v>
      </c>
      <c r="Q7581">
        <v>6</v>
      </c>
      <c r="R7581" t="s">
        <v>32533</v>
      </c>
      <c r="S7581" t="s">
        <v>32667</v>
      </c>
      <c r="T7581" t="s">
        <v>33351</v>
      </c>
      <c r="U7581" t="s">
        <v>35062</v>
      </c>
      <c r="W7581" t="s">
        <v>30273</v>
      </c>
      <c r="X7581" t="s">
        <v>32534</v>
      </c>
    </row>
    <row r="7582" spans="1:24">
      <c r="A7582">
        <f>HYPERLINK("https://www.philgeps.gov.ph/GEPSNONPILOT/Tender/SplashBidNoticeAbstractUI.aspx?menuIndex=3&amp;refID=7033996&amp;Result=3","7033996")</f>
        <v>0</v>
      </c>
      <c r="B7582" t="s">
        <v>669</v>
      </c>
      <c r="C7582" t="s">
        <v>9919</v>
      </c>
      <c r="D7582" t="s">
        <v>12988</v>
      </c>
      <c r="E7582" t="s">
        <v>19748</v>
      </c>
      <c r="F7582" t="s">
        <v>22436</v>
      </c>
      <c r="G7582" t="s">
        <v>22447</v>
      </c>
      <c r="H7582" t="s">
        <v>22452</v>
      </c>
      <c r="I7582" t="s">
        <v>22501</v>
      </c>
      <c r="J7582" t="s">
        <v>27476</v>
      </c>
      <c r="K7582" t="s">
        <v>29333</v>
      </c>
      <c r="M7582" t="s">
        <v>32020</v>
      </c>
      <c r="N7582" t="s">
        <v>32524</v>
      </c>
      <c r="O7582" t="s">
        <v>32525</v>
      </c>
      <c r="P7582">
        <v>0</v>
      </c>
      <c r="Q7582">
        <v>0</v>
      </c>
      <c r="R7582" t="s">
        <v>32533</v>
      </c>
      <c r="S7582" t="s">
        <v>32667</v>
      </c>
      <c r="T7582" t="s">
        <v>33230</v>
      </c>
      <c r="U7582" t="s">
        <v>39963</v>
      </c>
      <c r="W7582" t="s">
        <v>32020</v>
      </c>
      <c r="X7582" t="s">
        <v>32534</v>
      </c>
    </row>
    <row r="7583" spans="1:24">
      <c r="A7583">
        <f>HYPERLINK("https://www.philgeps.gov.ph/GEPSNONPILOT/Tender/SplashBidNoticeAbstractUI.aspx?menuIndex=3&amp;refID=7033986&amp;Result=3","7033986")</f>
        <v>0</v>
      </c>
      <c r="B7583" t="s">
        <v>2253</v>
      </c>
      <c r="C7583" t="s">
        <v>9920</v>
      </c>
      <c r="D7583" t="s">
        <v>13037</v>
      </c>
      <c r="E7583" t="s">
        <v>19146</v>
      </c>
      <c r="F7583" t="s">
        <v>22436</v>
      </c>
      <c r="G7583" t="s">
        <v>22444</v>
      </c>
      <c r="H7583" t="s">
        <v>22454</v>
      </c>
      <c r="I7583" t="s">
        <v>7738</v>
      </c>
      <c r="J7583" t="s">
        <v>23399</v>
      </c>
      <c r="K7583" t="s">
        <v>29388</v>
      </c>
      <c r="M7583" t="s">
        <v>32021</v>
      </c>
      <c r="N7583" t="s">
        <v>32524</v>
      </c>
      <c r="O7583" t="s">
        <v>32525</v>
      </c>
      <c r="P7583">
        <v>0</v>
      </c>
      <c r="Q7583">
        <v>0</v>
      </c>
      <c r="R7583" t="s">
        <v>32533</v>
      </c>
      <c r="S7583" t="s">
        <v>32667</v>
      </c>
      <c r="T7583" t="s">
        <v>33218</v>
      </c>
      <c r="U7583" t="s">
        <v>39964</v>
      </c>
      <c r="V7583" t="s">
        <v>43254</v>
      </c>
      <c r="W7583" t="s">
        <v>32021</v>
      </c>
      <c r="X7583" t="s">
        <v>32534</v>
      </c>
    </row>
    <row r="7584" spans="1:24">
      <c r="A7584">
        <f>HYPERLINK("https://www.philgeps.gov.ph/GEPSNONPILOT/Tender/SplashBidNoticeAbstractUI.aspx?menuIndex=3&amp;refID=7034033&amp;Result=3","7034033")</f>
        <v>0</v>
      </c>
      <c r="B7584" t="s">
        <v>282</v>
      </c>
      <c r="C7584" t="s">
        <v>9921</v>
      </c>
      <c r="D7584" t="s">
        <v>13002</v>
      </c>
      <c r="E7584" t="s">
        <v>19749</v>
      </c>
      <c r="F7584" t="s">
        <v>22436</v>
      </c>
      <c r="G7584" t="s">
        <v>22444</v>
      </c>
      <c r="H7584" t="s">
        <v>22452</v>
      </c>
      <c r="I7584" t="s">
        <v>22502</v>
      </c>
      <c r="J7584" t="s">
        <v>22587</v>
      </c>
      <c r="K7584" t="s">
        <v>29333</v>
      </c>
      <c r="M7584" t="s">
        <v>31069</v>
      </c>
      <c r="N7584" t="s">
        <v>32524</v>
      </c>
      <c r="O7584" t="s">
        <v>32525</v>
      </c>
      <c r="P7584">
        <v>0</v>
      </c>
      <c r="Q7584">
        <v>32</v>
      </c>
      <c r="R7584" t="s">
        <v>32533</v>
      </c>
      <c r="S7584" t="s">
        <v>32667</v>
      </c>
      <c r="T7584" t="s">
        <v>33191</v>
      </c>
      <c r="U7584" t="s">
        <v>36972</v>
      </c>
      <c r="V7584" t="s">
        <v>43255</v>
      </c>
      <c r="W7584" t="s">
        <v>31069</v>
      </c>
      <c r="X7584" t="s">
        <v>32534</v>
      </c>
    </row>
    <row r="7585" spans="1:24">
      <c r="A7585">
        <f>HYPERLINK("https://www.philgeps.gov.ph/GEPSNONPILOT/Tender/SplashBidNoticeAbstractUI.aspx?menuIndex=3&amp;refID=7033987&amp;Result=3","7033987")</f>
        <v>0</v>
      </c>
      <c r="B7585" t="s">
        <v>282</v>
      </c>
      <c r="C7585" t="s">
        <v>9922</v>
      </c>
      <c r="D7585" t="s">
        <v>13002</v>
      </c>
      <c r="E7585" t="s">
        <v>19750</v>
      </c>
      <c r="F7585" t="s">
        <v>22436</v>
      </c>
      <c r="G7585" t="s">
        <v>22444</v>
      </c>
      <c r="H7585" t="s">
        <v>22453</v>
      </c>
      <c r="I7585" t="s">
        <v>22482</v>
      </c>
      <c r="J7585" t="s">
        <v>27477</v>
      </c>
      <c r="K7585" t="s">
        <v>29334</v>
      </c>
      <c r="M7585" t="s">
        <v>31069</v>
      </c>
      <c r="N7585" t="s">
        <v>32524</v>
      </c>
      <c r="O7585" t="s">
        <v>32525</v>
      </c>
      <c r="P7585">
        <v>0</v>
      </c>
      <c r="Q7585">
        <v>8</v>
      </c>
      <c r="R7585" t="s">
        <v>32533</v>
      </c>
      <c r="S7585" t="s">
        <v>32667</v>
      </c>
      <c r="T7585" t="s">
        <v>33191</v>
      </c>
      <c r="U7585" t="s">
        <v>36972</v>
      </c>
      <c r="V7585" t="s">
        <v>43255</v>
      </c>
      <c r="W7585" t="s">
        <v>31069</v>
      </c>
      <c r="X7585" t="s">
        <v>32534</v>
      </c>
    </row>
    <row r="7586" spans="1:24">
      <c r="A7586">
        <f>HYPERLINK("https://www.philgeps.gov.ph/GEPSNONPILOT/Tender/SplashBidNoticeAbstractUI.aspx?menuIndex=3&amp;refID=7034027&amp;Result=3","7034027")</f>
        <v>0</v>
      </c>
      <c r="B7586" t="s">
        <v>2254</v>
      </c>
      <c r="C7586" t="s">
        <v>9923</v>
      </c>
      <c r="D7586" t="s">
        <v>13053</v>
      </c>
      <c r="E7586" t="s">
        <v>19751</v>
      </c>
      <c r="F7586" t="s">
        <v>22436</v>
      </c>
      <c r="G7586" t="s">
        <v>22444</v>
      </c>
      <c r="H7586" t="s">
        <v>22452</v>
      </c>
      <c r="I7586" t="s">
        <v>7738</v>
      </c>
      <c r="J7586" t="s">
        <v>27478</v>
      </c>
      <c r="K7586" t="s">
        <v>29338</v>
      </c>
      <c r="M7586" t="s">
        <v>32022</v>
      </c>
      <c r="N7586" t="s">
        <v>32524</v>
      </c>
      <c r="O7586" t="s">
        <v>32525</v>
      </c>
      <c r="P7586">
        <v>0</v>
      </c>
      <c r="Q7586">
        <v>1</v>
      </c>
      <c r="R7586" t="s">
        <v>32533</v>
      </c>
      <c r="S7586" t="s">
        <v>32667</v>
      </c>
      <c r="T7586" t="s">
        <v>33234</v>
      </c>
      <c r="U7586" t="s">
        <v>39965</v>
      </c>
      <c r="W7586" t="s">
        <v>32022</v>
      </c>
      <c r="X7586" t="s">
        <v>32534</v>
      </c>
    </row>
    <row r="7587" spans="1:24">
      <c r="A7587">
        <f>HYPERLINK("https://www.philgeps.gov.ph/GEPSNONPILOT/Tender/SplashBidNoticeAbstractUI.aspx?menuIndex=3&amp;refID=7033983&amp;Result=3","7033983")</f>
        <v>0</v>
      </c>
      <c r="B7587" t="s">
        <v>2255</v>
      </c>
      <c r="C7587" t="s">
        <v>9924</v>
      </c>
      <c r="D7587" t="s">
        <v>13026</v>
      </c>
      <c r="E7587" t="s">
        <v>19752</v>
      </c>
      <c r="F7587" t="s">
        <v>22436</v>
      </c>
      <c r="G7587" t="s">
        <v>22443</v>
      </c>
      <c r="H7587" t="s">
        <v>22452</v>
      </c>
      <c r="I7587" t="s">
        <v>22474</v>
      </c>
      <c r="J7587" t="s">
        <v>22640</v>
      </c>
      <c r="K7587" t="s">
        <v>29336</v>
      </c>
      <c r="M7587" t="s">
        <v>32023</v>
      </c>
      <c r="N7587" t="s">
        <v>32524</v>
      </c>
      <c r="O7587" t="s">
        <v>32525</v>
      </c>
      <c r="P7587">
        <v>0</v>
      </c>
      <c r="Q7587">
        <v>0</v>
      </c>
      <c r="R7587" t="s">
        <v>32533</v>
      </c>
      <c r="S7587" t="s">
        <v>32667</v>
      </c>
      <c r="T7587" t="s">
        <v>33238</v>
      </c>
      <c r="U7587" t="s">
        <v>39966</v>
      </c>
      <c r="W7587" t="s">
        <v>32023</v>
      </c>
      <c r="X7587" t="s">
        <v>32534</v>
      </c>
    </row>
    <row r="7588" spans="1:24">
      <c r="A7588">
        <f>HYPERLINK("https://www.philgeps.gov.ph/GEPSNONPILOT/Tender/SplashBidNoticeAbstractUI.aspx?menuIndex=3&amp;refID=7034044&amp;Result=3","7034044")</f>
        <v>0</v>
      </c>
      <c r="B7588" t="s">
        <v>2256</v>
      </c>
      <c r="C7588" t="s">
        <v>9925</v>
      </c>
      <c r="D7588" t="s">
        <v>13021</v>
      </c>
      <c r="E7588" t="s">
        <v>15948</v>
      </c>
      <c r="F7588" t="s">
        <v>22436</v>
      </c>
      <c r="G7588" t="s">
        <v>22444</v>
      </c>
      <c r="H7588" t="s">
        <v>22452</v>
      </c>
      <c r="I7588" t="s">
        <v>22479</v>
      </c>
      <c r="J7588" t="s">
        <v>22779</v>
      </c>
      <c r="K7588" t="s">
        <v>29335</v>
      </c>
      <c r="M7588" t="s">
        <v>32024</v>
      </c>
      <c r="N7588" t="s">
        <v>32524</v>
      </c>
      <c r="O7588" t="s">
        <v>32525</v>
      </c>
      <c r="P7588">
        <v>0</v>
      </c>
      <c r="Q7588">
        <v>4</v>
      </c>
      <c r="R7588" t="s">
        <v>32533</v>
      </c>
      <c r="S7588" t="s">
        <v>32667</v>
      </c>
      <c r="T7588" t="s">
        <v>33259</v>
      </c>
      <c r="U7588" t="s">
        <v>39967</v>
      </c>
      <c r="W7588" t="s">
        <v>32024</v>
      </c>
      <c r="X7588" t="s">
        <v>32534</v>
      </c>
    </row>
    <row r="7589" spans="1:24">
      <c r="A7589">
        <f>HYPERLINK("https://www.philgeps.gov.ph/GEPSNONPILOT/Tender/SplashBidNoticeAbstractUI.aspx?menuIndex=3&amp;refID=7033980&amp;Result=3","7033980")</f>
        <v>0</v>
      </c>
      <c r="B7589" t="s">
        <v>2242</v>
      </c>
      <c r="C7589" t="s">
        <v>9901</v>
      </c>
      <c r="D7589" t="s">
        <v>13060</v>
      </c>
      <c r="E7589" t="s">
        <v>15349</v>
      </c>
      <c r="F7589" t="s">
        <v>22436</v>
      </c>
      <c r="G7589" t="s">
        <v>22450</v>
      </c>
      <c r="H7589" t="s">
        <v>22452</v>
      </c>
      <c r="I7589" t="s">
        <v>3529</v>
      </c>
      <c r="J7589" t="s">
        <v>27469</v>
      </c>
      <c r="K7589" t="s">
        <v>29335</v>
      </c>
      <c r="M7589" t="s">
        <v>32009</v>
      </c>
      <c r="N7589" t="s">
        <v>32524</v>
      </c>
      <c r="O7589" t="s">
        <v>32525</v>
      </c>
      <c r="P7589">
        <v>0</v>
      </c>
      <c r="Q7589">
        <v>0</v>
      </c>
      <c r="R7589" t="s">
        <v>32533</v>
      </c>
      <c r="S7589" t="s">
        <v>32667</v>
      </c>
      <c r="T7589" t="s">
        <v>33492</v>
      </c>
      <c r="U7589" t="s">
        <v>39968</v>
      </c>
      <c r="V7589" t="s">
        <v>43252</v>
      </c>
      <c r="W7589" t="s">
        <v>32009</v>
      </c>
      <c r="X7589" t="s">
        <v>32534</v>
      </c>
    </row>
    <row r="7590" spans="1:24">
      <c r="A7590">
        <f>HYPERLINK("https://www.philgeps.gov.ph/GEPSNONPILOT/Tender/SplashBidNoticeAbstractUI.aspx?menuIndex=3&amp;refID=7033994&amp;Result=3","7033994")</f>
        <v>0</v>
      </c>
      <c r="B7590" t="s">
        <v>1384</v>
      </c>
      <c r="C7590" t="s">
        <v>9926</v>
      </c>
      <c r="D7590" t="s">
        <v>13054</v>
      </c>
      <c r="E7590" t="s">
        <v>19753</v>
      </c>
      <c r="F7590" t="s">
        <v>22436</v>
      </c>
      <c r="G7590" t="s">
        <v>22444</v>
      </c>
      <c r="H7590" t="s">
        <v>22454</v>
      </c>
      <c r="I7590" t="s">
        <v>7738</v>
      </c>
      <c r="J7590" t="s">
        <v>27479</v>
      </c>
      <c r="K7590" t="s">
        <v>29400</v>
      </c>
      <c r="M7590" t="s">
        <v>31042</v>
      </c>
      <c r="N7590" t="s">
        <v>32524</v>
      </c>
      <c r="O7590" t="s">
        <v>32525</v>
      </c>
      <c r="P7590">
        <v>0</v>
      </c>
      <c r="Q7590">
        <v>0</v>
      </c>
      <c r="R7590" t="s">
        <v>32533</v>
      </c>
      <c r="S7590" t="s">
        <v>32667</v>
      </c>
      <c r="T7590" t="s">
        <v>33190</v>
      </c>
      <c r="U7590" t="s">
        <v>39969</v>
      </c>
      <c r="V7590" t="s">
        <v>42823</v>
      </c>
      <c r="W7590" t="s">
        <v>31042</v>
      </c>
      <c r="X7590" t="s">
        <v>32534</v>
      </c>
    </row>
    <row r="7591" spans="1:24">
      <c r="A7591">
        <f>HYPERLINK("https://www.philgeps.gov.ph/GEPSNONPILOT/Tender/SplashBidNoticeAbstractUI.aspx?menuIndex=3&amp;refID=7033877&amp;Result=3","7033877")</f>
        <v>0</v>
      </c>
      <c r="B7591" t="s">
        <v>350</v>
      </c>
      <c r="C7591" t="s">
        <v>9927</v>
      </c>
      <c r="D7591" t="s">
        <v>13031</v>
      </c>
      <c r="E7591" t="s">
        <v>19754</v>
      </c>
      <c r="F7591" t="s">
        <v>22436</v>
      </c>
      <c r="G7591" t="s">
        <v>22446</v>
      </c>
      <c r="H7591" t="s">
        <v>22452</v>
      </c>
      <c r="I7591" t="s">
        <v>22471</v>
      </c>
      <c r="J7591" t="s">
        <v>22605</v>
      </c>
      <c r="K7591" t="s">
        <v>29338</v>
      </c>
      <c r="M7591" t="s">
        <v>29927</v>
      </c>
      <c r="N7591" t="s">
        <v>32524</v>
      </c>
      <c r="O7591" t="s">
        <v>32525</v>
      </c>
      <c r="Q7591">
        <v>2</v>
      </c>
      <c r="R7591" t="s">
        <v>32533</v>
      </c>
      <c r="S7591" t="s">
        <v>32696</v>
      </c>
      <c r="T7591" t="s">
        <v>33209</v>
      </c>
      <c r="U7591" t="s">
        <v>34315</v>
      </c>
      <c r="W7591" t="s">
        <v>29927</v>
      </c>
      <c r="X7591" t="s">
        <v>32534</v>
      </c>
    </row>
    <row r="7592" spans="1:24">
      <c r="A7592">
        <f>HYPERLINK("https://www.philgeps.gov.ph/GEPSNONPILOT/Tender/SplashBidNoticeAbstractUI.aspx?menuIndex=3&amp;refID=7033977&amp;Result=3","7033977")</f>
        <v>0</v>
      </c>
      <c r="B7592" t="s">
        <v>2257</v>
      </c>
      <c r="C7592" t="s">
        <v>5522</v>
      </c>
      <c r="D7592" t="s">
        <v>13006</v>
      </c>
      <c r="E7592" t="s">
        <v>19755</v>
      </c>
      <c r="F7592" t="s">
        <v>22436</v>
      </c>
      <c r="G7592" t="s">
        <v>22446</v>
      </c>
      <c r="H7592" t="s">
        <v>22452</v>
      </c>
      <c r="I7592" t="s">
        <v>3529</v>
      </c>
      <c r="J7592" t="s">
        <v>27480</v>
      </c>
      <c r="K7592" t="s">
        <v>29336</v>
      </c>
      <c r="M7592" t="s">
        <v>32025</v>
      </c>
      <c r="N7592" t="s">
        <v>32524</v>
      </c>
      <c r="O7592" t="s">
        <v>32525</v>
      </c>
      <c r="P7592">
        <v>0</v>
      </c>
      <c r="Q7592">
        <v>0</v>
      </c>
      <c r="R7592" t="s">
        <v>32533</v>
      </c>
      <c r="S7592" t="s">
        <v>32667</v>
      </c>
      <c r="T7592" t="s">
        <v>33209</v>
      </c>
      <c r="U7592" t="s">
        <v>39970</v>
      </c>
      <c r="W7592" t="s">
        <v>32025</v>
      </c>
      <c r="X7592" t="s">
        <v>32534</v>
      </c>
    </row>
    <row r="7593" spans="1:24">
      <c r="A7593">
        <f>HYPERLINK("https://www.philgeps.gov.ph/GEPSNONPILOT/Tender/SplashBidNoticeAbstractUI.aspx?menuIndex=3&amp;refID=7034058&amp;Result=3","7034058")</f>
        <v>0</v>
      </c>
      <c r="B7593" t="s">
        <v>304</v>
      </c>
      <c r="C7593" t="s">
        <v>9928</v>
      </c>
      <c r="D7593" t="s">
        <v>13000</v>
      </c>
      <c r="E7593" t="s">
        <v>19756</v>
      </c>
      <c r="F7593" t="s">
        <v>22436</v>
      </c>
      <c r="G7593" t="s">
        <v>22444</v>
      </c>
      <c r="H7593" t="s">
        <v>22454</v>
      </c>
      <c r="I7593" t="s">
        <v>7738</v>
      </c>
      <c r="J7593" t="s">
        <v>22779</v>
      </c>
      <c r="K7593" t="s">
        <v>29335</v>
      </c>
      <c r="M7593" t="s">
        <v>29878</v>
      </c>
      <c r="N7593" t="s">
        <v>32524</v>
      </c>
      <c r="O7593" t="s">
        <v>32525</v>
      </c>
      <c r="P7593">
        <v>0</v>
      </c>
      <c r="Q7593">
        <v>0</v>
      </c>
      <c r="R7593" t="s">
        <v>32533</v>
      </c>
      <c r="S7593" t="s">
        <v>32667</v>
      </c>
      <c r="T7593" t="s">
        <v>33234</v>
      </c>
      <c r="U7593" t="s">
        <v>39971</v>
      </c>
      <c r="V7593" t="s">
        <v>42522</v>
      </c>
      <c r="W7593" t="s">
        <v>29878</v>
      </c>
      <c r="X7593" t="s">
        <v>32534</v>
      </c>
    </row>
    <row r="7594" spans="1:24">
      <c r="A7594">
        <f>HYPERLINK("https://www.philgeps.gov.ph/GEPSNONPILOT/Tender/SplashBidNoticeAbstractUI.aspx?menuIndex=3&amp;refID=7034059&amp;Result=3","7034059")</f>
        <v>0</v>
      </c>
      <c r="B7594" t="s">
        <v>341</v>
      </c>
      <c r="C7594" t="s">
        <v>9929</v>
      </c>
      <c r="D7594" t="s">
        <v>12999</v>
      </c>
      <c r="E7594" t="s">
        <v>19757</v>
      </c>
      <c r="F7594" t="s">
        <v>22436</v>
      </c>
      <c r="G7594" t="s">
        <v>22444</v>
      </c>
      <c r="H7594" t="s">
        <v>22454</v>
      </c>
      <c r="I7594" t="s">
        <v>7738</v>
      </c>
      <c r="J7594" t="s">
        <v>27481</v>
      </c>
      <c r="K7594" t="s">
        <v>29344</v>
      </c>
      <c r="M7594" t="s">
        <v>32026</v>
      </c>
      <c r="N7594" t="s">
        <v>32524</v>
      </c>
      <c r="O7594" t="s">
        <v>32525</v>
      </c>
      <c r="P7594">
        <v>0</v>
      </c>
      <c r="Q7594">
        <v>3</v>
      </c>
      <c r="R7594" t="s">
        <v>32533</v>
      </c>
      <c r="S7594" t="s">
        <v>32667</v>
      </c>
      <c r="T7594" t="s">
        <v>33259</v>
      </c>
      <c r="U7594" t="s">
        <v>39972</v>
      </c>
      <c r="W7594" t="s">
        <v>32026</v>
      </c>
      <c r="X7594" t="s">
        <v>32534</v>
      </c>
    </row>
    <row r="7595" spans="1:24">
      <c r="A7595">
        <f>HYPERLINK("https://www.philgeps.gov.ph/GEPSNONPILOT/Tender/SplashBidNoticeAbstractUI.aspx?menuIndex=3&amp;refID=7034043&amp;Result=3","7034043")</f>
        <v>0</v>
      </c>
      <c r="B7595" t="s">
        <v>679</v>
      </c>
      <c r="C7595" t="s">
        <v>9930</v>
      </c>
      <c r="D7595" t="s">
        <v>13045</v>
      </c>
      <c r="E7595" t="s">
        <v>19758</v>
      </c>
      <c r="F7595" t="s">
        <v>22436</v>
      </c>
      <c r="G7595" t="s">
        <v>22444</v>
      </c>
      <c r="H7595" t="s">
        <v>22454</v>
      </c>
      <c r="I7595" t="s">
        <v>7738</v>
      </c>
      <c r="J7595" t="s">
        <v>27482</v>
      </c>
      <c r="K7595" t="s">
        <v>29333</v>
      </c>
      <c r="M7595" t="s">
        <v>30273</v>
      </c>
      <c r="N7595" t="s">
        <v>32524</v>
      </c>
      <c r="O7595" t="s">
        <v>32525</v>
      </c>
      <c r="P7595">
        <v>0</v>
      </c>
      <c r="Q7595">
        <v>0</v>
      </c>
      <c r="R7595" t="s">
        <v>32533</v>
      </c>
      <c r="S7595" t="s">
        <v>32667</v>
      </c>
      <c r="T7595" t="s">
        <v>33296</v>
      </c>
      <c r="U7595" t="s">
        <v>35062</v>
      </c>
      <c r="W7595" t="s">
        <v>30273</v>
      </c>
      <c r="X7595" t="s">
        <v>32534</v>
      </c>
    </row>
    <row r="7596" spans="1:24">
      <c r="A7596">
        <f>HYPERLINK("https://www.philgeps.gov.ph/GEPSNONPILOT/Tender/SplashBidNoticeAbstractUI.aspx?menuIndex=3&amp;refID=7034096&amp;Result=3","7034096")</f>
        <v>0</v>
      </c>
      <c r="B7596" t="s">
        <v>350</v>
      </c>
      <c r="C7596" t="s">
        <v>9931</v>
      </c>
      <c r="D7596" t="s">
        <v>13031</v>
      </c>
      <c r="E7596" t="s">
        <v>19759</v>
      </c>
      <c r="F7596" t="s">
        <v>22436</v>
      </c>
      <c r="G7596" t="s">
        <v>22446</v>
      </c>
      <c r="H7596" t="s">
        <v>22452</v>
      </c>
      <c r="I7596" t="s">
        <v>22471</v>
      </c>
      <c r="J7596" t="s">
        <v>27483</v>
      </c>
      <c r="K7596" t="s">
        <v>29335</v>
      </c>
      <c r="M7596" t="s">
        <v>29927</v>
      </c>
      <c r="N7596" t="s">
        <v>32524</v>
      </c>
      <c r="O7596" t="s">
        <v>32525</v>
      </c>
      <c r="Q7596">
        <v>6</v>
      </c>
      <c r="R7596" t="s">
        <v>32533</v>
      </c>
      <c r="S7596" t="s">
        <v>32569</v>
      </c>
      <c r="T7596" t="s">
        <v>33209</v>
      </c>
      <c r="U7596" t="s">
        <v>34315</v>
      </c>
      <c r="W7596" t="s">
        <v>29927</v>
      </c>
      <c r="X7596" t="s">
        <v>32534</v>
      </c>
    </row>
    <row r="7597" spans="1:24">
      <c r="A7597">
        <f>HYPERLINK("https://www.philgeps.gov.ph/GEPSNONPILOT/Tender/SplashBidNoticeAbstractUI.aspx?menuIndex=3&amp;refID=7034094&amp;Result=3","7034094")</f>
        <v>0</v>
      </c>
      <c r="B7597" t="s">
        <v>660</v>
      </c>
      <c r="C7597" t="s">
        <v>9932</v>
      </c>
      <c r="D7597" t="s">
        <v>13013</v>
      </c>
      <c r="E7597" t="s">
        <v>19760</v>
      </c>
      <c r="F7597" t="s">
        <v>22436</v>
      </c>
      <c r="G7597" t="s">
        <v>22444</v>
      </c>
      <c r="H7597" t="s">
        <v>22454</v>
      </c>
      <c r="I7597" t="s">
        <v>7738</v>
      </c>
      <c r="J7597" t="s">
        <v>24103</v>
      </c>
      <c r="K7597" t="s">
        <v>29334</v>
      </c>
      <c r="M7597" t="s">
        <v>30252</v>
      </c>
      <c r="N7597" t="s">
        <v>32524</v>
      </c>
      <c r="O7597" t="s">
        <v>32525</v>
      </c>
      <c r="P7597">
        <v>0</v>
      </c>
      <c r="Q7597">
        <v>0</v>
      </c>
      <c r="R7597" t="s">
        <v>32533</v>
      </c>
      <c r="S7597" t="s">
        <v>32667</v>
      </c>
      <c r="T7597" t="s">
        <v>33249</v>
      </c>
      <c r="U7597" t="s">
        <v>38142</v>
      </c>
      <c r="W7597" t="s">
        <v>30252</v>
      </c>
      <c r="X7597" t="s">
        <v>32534</v>
      </c>
    </row>
    <row r="7598" spans="1:24">
      <c r="A7598">
        <f>HYPERLINK("https://www.philgeps.gov.ph/GEPSNONPILOT/Tender/SplashBidNoticeAbstractUI.aspx?menuIndex=3&amp;refID=7034051&amp;Result=3","7034051")</f>
        <v>0</v>
      </c>
      <c r="B7598" t="s">
        <v>196</v>
      </c>
      <c r="C7598" t="s">
        <v>4514</v>
      </c>
      <c r="D7598" t="s">
        <v>13002</v>
      </c>
      <c r="E7598" t="s">
        <v>19761</v>
      </c>
      <c r="F7598" t="s">
        <v>22436</v>
      </c>
      <c r="G7598" t="s">
        <v>22443</v>
      </c>
      <c r="H7598" t="s">
        <v>22452</v>
      </c>
      <c r="I7598" t="s">
        <v>22463</v>
      </c>
      <c r="J7598" t="s">
        <v>27484</v>
      </c>
      <c r="K7598" t="s">
        <v>29331</v>
      </c>
      <c r="M7598" t="s">
        <v>31297</v>
      </c>
      <c r="N7598" t="s">
        <v>32524</v>
      </c>
      <c r="O7598" t="s">
        <v>32525</v>
      </c>
      <c r="P7598">
        <v>0</v>
      </c>
      <c r="Q7598">
        <v>12</v>
      </c>
      <c r="R7598" t="s">
        <v>32533</v>
      </c>
      <c r="S7598" t="s">
        <v>32667</v>
      </c>
      <c r="T7598" t="s">
        <v>33296</v>
      </c>
      <c r="U7598" t="s">
        <v>39973</v>
      </c>
      <c r="W7598" t="s">
        <v>31297</v>
      </c>
      <c r="X7598" t="s">
        <v>32534</v>
      </c>
    </row>
    <row r="7599" spans="1:24">
      <c r="A7599">
        <f>HYPERLINK("https://www.philgeps.gov.ph/GEPSNONPILOT/Tender/SplashBidNoticeAbstractUI.aspx?menuIndex=3&amp;refID=7034098&amp;Result=3","7034098")</f>
        <v>0</v>
      </c>
      <c r="B7599" t="s">
        <v>2258</v>
      </c>
      <c r="C7599" t="s">
        <v>9933</v>
      </c>
      <c r="D7599" t="s">
        <v>13067</v>
      </c>
      <c r="E7599" t="s">
        <v>19762</v>
      </c>
      <c r="F7599" t="s">
        <v>22436</v>
      </c>
      <c r="G7599" t="s">
        <v>22444</v>
      </c>
      <c r="H7599" t="s">
        <v>22452</v>
      </c>
      <c r="I7599" t="s">
        <v>3529</v>
      </c>
      <c r="J7599" t="s">
        <v>27485</v>
      </c>
      <c r="K7599" t="s">
        <v>29335</v>
      </c>
      <c r="L7599" t="s">
        <v>2258</v>
      </c>
      <c r="M7599" t="s">
        <v>32027</v>
      </c>
      <c r="N7599" t="s">
        <v>32524</v>
      </c>
      <c r="O7599" t="s">
        <v>32525</v>
      </c>
      <c r="P7599">
        <v>0</v>
      </c>
      <c r="Q7599">
        <v>1</v>
      </c>
      <c r="R7599" t="s">
        <v>32533</v>
      </c>
      <c r="S7599" t="s">
        <v>32667</v>
      </c>
      <c r="T7599" t="s">
        <v>33184</v>
      </c>
      <c r="U7599" t="s">
        <v>39974</v>
      </c>
      <c r="V7599" t="s">
        <v>43256</v>
      </c>
      <c r="W7599" t="s">
        <v>32027</v>
      </c>
      <c r="X7599" t="s">
        <v>32534</v>
      </c>
    </row>
    <row r="7600" spans="1:24">
      <c r="A7600">
        <f>HYPERLINK("https://www.philgeps.gov.ph/GEPSNONPILOT/Tender/SplashBidNoticeAbstractUI.aspx?menuIndex=3&amp;refID=7034045&amp;Result=3","7034045")</f>
        <v>0</v>
      </c>
      <c r="B7600" t="s">
        <v>2252</v>
      </c>
      <c r="C7600" t="s">
        <v>9934</v>
      </c>
      <c r="D7600" t="s">
        <v>13039</v>
      </c>
      <c r="E7600" t="s">
        <v>13165</v>
      </c>
      <c r="F7600" t="s">
        <v>22436</v>
      </c>
      <c r="G7600" t="s">
        <v>22444</v>
      </c>
      <c r="H7600" t="s">
        <v>22452</v>
      </c>
      <c r="I7600" t="s">
        <v>22482</v>
      </c>
      <c r="J7600" t="s">
        <v>27486</v>
      </c>
      <c r="K7600" t="s">
        <v>29330</v>
      </c>
      <c r="M7600" t="s">
        <v>32019</v>
      </c>
      <c r="N7600" t="s">
        <v>32524</v>
      </c>
      <c r="O7600" t="s">
        <v>32525</v>
      </c>
      <c r="P7600">
        <v>0</v>
      </c>
      <c r="Q7600">
        <v>1</v>
      </c>
      <c r="R7600" t="s">
        <v>32533</v>
      </c>
      <c r="S7600" t="s">
        <v>32667</v>
      </c>
      <c r="T7600" t="s">
        <v>33180</v>
      </c>
      <c r="U7600" t="s">
        <v>39961</v>
      </c>
      <c r="W7600" t="s">
        <v>32019</v>
      </c>
      <c r="X7600" t="s">
        <v>32534</v>
      </c>
    </row>
    <row r="7601" spans="1:24">
      <c r="A7601">
        <f>HYPERLINK("https://www.philgeps.gov.ph/GEPSNONPILOT/Tender/SplashBidNoticeAbstractUI.aspx?menuIndex=3&amp;refID=7034099&amp;Result=3","7034099")</f>
        <v>0</v>
      </c>
      <c r="B7601" t="s">
        <v>181</v>
      </c>
      <c r="C7601" t="s">
        <v>9935</v>
      </c>
      <c r="D7601" t="s">
        <v>13032</v>
      </c>
      <c r="E7601" t="s">
        <v>19763</v>
      </c>
      <c r="F7601" t="s">
        <v>22436</v>
      </c>
      <c r="G7601" t="s">
        <v>22444</v>
      </c>
      <c r="H7601" t="s">
        <v>22452</v>
      </c>
      <c r="I7601" t="s">
        <v>22463</v>
      </c>
      <c r="J7601" t="s">
        <v>27487</v>
      </c>
      <c r="K7601" t="s">
        <v>29341</v>
      </c>
      <c r="M7601" t="s">
        <v>29753</v>
      </c>
      <c r="N7601" t="s">
        <v>32524</v>
      </c>
      <c r="O7601" t="s">
        <v>32525</v>
      </c>
      <c r="P7601">
        <v>0</v>
      </c>
      <c r="Q7601">
        <v>1</v>
      </c>
      <c r="R7601" t="s">
        <v>32533</v>
      </c>
      <c r="S7601" t="s">
        <v>32667</v>
      </c>
      <c r="T7601" t="s">
        <v>33180</v>
      </c>
      <c r="U7601" t="s">
        <v>39975</v>
      </c>
      <c r="W7601" t="s">
        <v>29753</v>
      </c>
      <c r="X7601" t="s">
        <v>32534</v>
      </c>
    </row>
    <row r="7602" spans="1:24">
      <c r="A7602">
        <f>HYPERLINK("https://www.philgeps.gov.ph/GEPSNONPILOT/Tender/SplashBidNoticeAbstractUI.aspx?menuIndex=3&amp;refID=7034081&amp;Result=3","7034081")</f>
        <v>0</v>
      </c>
      <c r="B7602" t="s">
        <v>2242</v>
      </c>
      <c r="C7602" t="s">
        <v>9936</v>
      </c>
      <c r="D7602" t="s">
        <v>13060</v>
      </c>
      <c r="E7602" t="s">
        <v>13299</v>
      </c>
      <c r="F7602" t="s">
        <v>22436</v>
      </c>
      <c r="G7602" t="s">
        <v>22447</v>
      </c>
      <c r="H7602" t="s">
        <v>22454</v>
      </c>
      <c r="I7602" t="s">
        <v>7738</v>
      </c>
      <c r="J7602" t="s">
        <v>22634</v>
      </c>
      <c r="K7602" t="s">
        <v>29345</v>
      </c>
      <c r="M7602" t="s">
        <v>32009</v>
      </c>
      <c r="N7602" t="s">
        <v>32524</v>
      </c>
      <c r="O7602" t="s">
        <v>32525</v>
      </c>
      <c r="P7602">
        <v>0</v>
      </c>
      <c r="Q7602">
        <v>0</v>
      </c>
      <c r="R7602" t="s">
        <v>32533</v>
      </c>
      <c r="S7602" t="s">
        <v>32667</v>
      </c>
      <c r="T7602" t="s">
        <v>33429</v>
      </c>
      <c r="U7602" t="s">
        <v>39976</v>
      </c>
      <c r="V7602" t="s">
        <v>43252</v>
      </c>
      <c r="W7602" t="s">
        <v>32009</v>
      </c>
      <c r="X7602" t="s">
        <v>32534</v>
      </c>
    </row>
    <row r="7603" spans="1:24">
      <c r="A7603">
        <f>HYPERLINK("https://www.philgeps.gov.ph/GEPSNONPILOT/Tender/SplashBidNoticeAbstractUI.aspx?menuIndex=3&amp;refID=7034084&amp;Result=3","7034084")</f>
        <v>0</v>
      </c>
      <c r="B7603" t="s">
        <v>2259</v>
      </c>
      <c r="C7603" t="s">
        <v>9937</v>
      </c>
      <c r="D7603" t="s">
        <v>13031</v>
      </c>
      <c r="E7603" t="s">
        <v>13182</v>
      </c>
      <c r="F7603" t="s">
        <v>22436</v>
      </c>
      <c r="G7603" t="s">
        <v>22446</v>
      </c>
      <c r="H7603" t="s">
        <v>22452</v>
      </c>
      <c r="I7603" t="s">
        <v>22474</v>
      </c>
      <c r="J7603" t="s">
        <v>27488</v>
      </c>
      <c r="K7603" t="s">
        <v>29341</v>
      </c>
      <c r="M7603" t="s">
        <v>32028</v>
      </c>
      <c r="N7603" t="s">
        <v>32524</v>
      </c>
      <c r="O7603" t="s">
        <v>32525</v>
      </c>
      <c r="P7603">
        <v>0</v>
      </c>
      <c r="Q7603">
        <v>0</v>
      </c>
      <c r="R7603" t="s">
        <v>32533</v>
      </c>
      <c r="S7603" t="s">
        <v>32667</v>
      </c>
      <c r="T7603" t="s">
        <v>33215</v>
      </c>
      <c r="U7603" t="s">
        <v>39977</v>
      </c>
      <c r="W7603" t="s">
        <v>32028</v>
      </c>
      <c r="X7603" t="s">
        <v>32534</v>
      </c>
    </row>
    <row r="7604" spans="1:24">
      <c r="A7604">
        <f>HYPERLINK("https://www.philgeps.gov.ph/GEPSNONPILOT/Tender/SplashBidNoticeAbstractUI.aspx?menuIndex=3&amp;refID=7034064&amp;Result=3","7034064")</f>
        <v>0</v>
      </c>
      <c r="B7604" t="s">
        <v>2092</v>
      </c>
      <c r="C7604" t="s">
        <v>9938</v>
      </c>
      <c r="D7604" t="s">
        <v>13032</v>
      </c>
      <c r="E7604" t="s">
        <v>19764</v>
      </c>
      <c r="F7604" t="s">
        <v>22436</v>
      </c>
      <c r="G7604" t="s">
        <v>22443</v>
      </c>
      <c r="H7604" t="s">
        <v>22452</v>
      </c>
      <c r="I7604" t="s">
        <v>22461</v>
      </c>
      <c r="J7604" t="s">
        <v>27489</v>
      </c>
      <c r="K7604" t="s">
        <v>29338</v>
      </c>
      <c r="M7604" t="s">
        <v>31836</v>
      </c>
      <c r="N7604" t="s">
        <v>32524</v>
      </c>
      <c r="O7604" t="s">
        <v>32525</v>
      </c>
      <c r="Q7604">
        <v>1</v>
      </c>
      <c r="R7604" t="s">
        <v>32533</v>
      </c>
      <c r="S7604" t="s">
        <v>32697</v>
      </c>
      <c r="T7604" t="s">
        <v>33161</v>
      </c>
      <c r="U7604" t="s">
        <v>39353</v>
      </c>
      <c r="W7604" t="s">
        <v>31836</v>
      </c>
      <c r="X7604" t="s">
        <v>32534</v>
      </c>
    </row>
    <row r="7605" spans="1:24">
      <c r="A7605">
        <f>HYPERLINK("https://www.philgeps.gov.ph/GEPSNONPILOT/Tender/SplashBidNoticeAbstractUI.aspx?menuIndex=3&amp;refID=7034063&amp;Result=3","7034063")</f>
        <v>0</v>
      </c>
      <c r="B7605" t="s">
        <v>282</v>
      </c>
      <c r="C7605" t="s">
        <v>9939</v>
      </c>
      <c r="E7605" t="s">
        <v>19765</v>
      </c>
      <c r="F7605" t="s">
        <v>22436</v>
      </c>
      <c r="G7605" t="s">
        <v>22444</v>
      </c>
      <c r="H7605" t="s">
        <v>22452</v>
      </c>
      <c r="I7605" t="s">
        <v>3827</v>
      </c>
      <c r="J7605" t="s">
        <v>27490</v>
      </c>
      <c r="K7605" t="s">
        <v>29333</v>
      </c>
      <c r="M7605" t="s">
        <v>31069</v>
      </c>
      <c r="N7605" t="s">
        <v>32524</v>
      </c>
      <c r="O7605" t="s">
        <v>32525</v>
      </c>
      <c r="P7605">
        <v>0</v>
      </c>
      <c r="Q7605">
        <v>4</v>
      </c>
      <c r="R7605" t="s">
        <v>32533</v>
      </c>
      <c r="S7605" t="s">
        <v>32667</v>
      </c>
      <c r="T7605" t="s">
        <v>33191</v>
      </c>
      <c r="U7605" t="s">
        <v>36972</v>
      </c>
      <c r="V7605" t="s">
        <v>42839</v>
      </c>
      <c r="W7605" t="s">
        <v>31069</v>
      </c>
      <c r="X7605" t="s">
        <v>32534</v>
      </c>
    </row>
    <row r="7606" spans="1:24">
      <c r="A7606">
        <f>HYPERLINK("https://www.philgeps.gov.ph/GEPSNONPILOT/Tender/SplashBidNoticeAbstractUI.aspx?menuIndex=3&amp;refID=7034062&amp;Result=3","7034062")</f>
        <v>0</v>
      </c>
      <c r="B7606" t="s">
        <v>2254</v>
      </c>
      <c r="C7606" t="s">
        <v>9940</v>
      </c>
      <c r="D7606" t="s">
        <v>13053</v>
      </c>
      <c r="E7606" t="s">
        <v>19766</v>
      </c>
      <c r="F7606" t="s">
        <v>22436</v>
      </c>
      <c r="G7606" t="s">
        <v>22444</v>
      </c>
      <c r="H7606" t="s">
        <v>22452</v>
      </c>
      <c r="I7606" t="s">
        <v>22474</v>
      </c>
      <c r="J7606" t="s">
        <v>22669</v>
      </c>
      <c r="K7606" t="s">
        <v>29338</v>
      </c>
      <c r="M7606" t="s">
        <v>32022</v>
      </c>
      <c r="N7606" t="s">
        <v>32524</v>
      </c>
      <c r="O7606" t="s">
        <v>32525</v>
      </c>
      <c r="P7606">
        <v>0</v>
      </c>
      <c r="Q7606">
        <v>4</v>
      </c>
      <c r="R7606" t="s">
        <v>32533</v>
      </c>
      <c r="S7606" t="s">
        <v>32667</v>
      </c>
      <c r="T7606" t="s">
        <v>33234</v>
      </c>
      <c r="U7606" t="s">
        <v>39978</v>
      </c>
      <c r="W7606" t="s">
        <v>32022</v>
      </c>
      <c r="X7606" t="s">
        <v>32534</v>
      </c>
    </row>
    <row r="7607" spans="1:24">
      <c r="A7607">
        <f>HYPERLINK("https://www.philgeps.gov.ph/GEPSNONPILOT/Tender/SplashBidNoticeAbstractUI.aspx?menuIndex=3&amp;refID=7033968&amp;Result=3","7033968")</f>
        <v>0</v>
      </c>
      <c r="B7607" t="s">
        <v>2242</v>
      </c>
      <c r="C7607" t="s">
        <v>9901</v>
      </c>
      <c r="D7607" t="s">
        <v>13060</v>
      </c>
      <c r="E7607" t="s">
        <v>19767</v>
      </c>
      <c r="F7607" t="s">
        <v>22436</v>
      </c>
      <c r="G7607" t="s">
        <v>22450</v>
      </c>
      <c r="H7607" t="s">
        <v>22452</v>
      </c>
      <c r="I7607" t="s">
        <v>3529</v>
      </c>
      <c r="J7607" t="s">
        <v>27469</v>
      </c>
      <c r="K7607" t="s">
        <v>29335</v>
      </c>
      <c r="M7607" t="s">
        <v>32009</v>
      </c>
      <c r="N7607" t="s">
        <v>32524</v>
      </c>
      <c r="O7607" t="s">
        <v>32525</v>
      </c>
      <c r="P7607">
        <v>0</v>
      </c>
      <c r="Q7607">
        <v>0</v>
      </c>
      <c r="R7607" t="s">
        <v>32533</v>
      </c>
      <c r="S7607" t="s">
        <v>32667</v>
      </c>
      <c r="T7607" t="s">
        <v>33492</v>
      </c>
      <c r="U7607" t="s">
        <v>39979</v>
      </c>
      <c r="V7607" t="s">
        <v>43252</v>
      </c>
      <c r="W7607" t="s">
        <v>32009</v>
      </c>
      <c r="X7607" t="s">
        <v>32534</v>
      </c>
    </row>
    <row r="7608" spans="1:24">
      <c r="A7608">
        <f>HYPERLINK("https://www.philgeps.gov.ph/GEPSNONPILOT/Tender/SplashBidNoticeAbstractUI.aspx?menuIndex=3&amp;refID=7034039&amp;Result=3","7034039")</f>
        <v>0</v>
      </c>
      <c r="B7608" t="s">
        <v>1974</v>
      </c>
      <c r="C7608" t="s">
        <v>9941</v>
      </c>
      <c r="D7608" t="s">
        <v>13039</v>
      </c>
      <c r="E7608" t="s">
        <v>19768</v>
      </c>
      <c r="F7608" t="s">
        <v>22436</v>
      </c>
      <c r="G7608" t="s">
        <v>22444</v>
      </c>
      <c r="H7608" t="s">
        <v>22454</v>
      </c>
      <c r="I7608" t="s">
        <v>22464</v>
      </c>
      <c r="J7608" t="s">
        <v>27491</v>
      </c>
      <c r="K7608" t="s">
        <v>29338</v>
      </c>
      <c r="M7608" t="s">
        <v>31706</v>
      </c>
      <c r="N7608" t="s">
        <v>32524</v>
      </c>
      <c r="O7608" t="s">
        <v>32525</v>
      </c>
      <c r="P7608">
        <v>0</v>
      </c>
      <c r="Q7608">
        <v>0</v>
      </c>
      <c r="R7608" t="s">
        <v>32533</v>
      </c>
      <c r="S7608" t="s">
        <v>32667</v>
      </c>
      <c r="T7608" t="s">
        <v>33249</v>
      </c>
      <c r="U7608" t="s">
        <v>39956</v>
      </c>
      <c r="W7608" t="s">
        <v>31706</v>
      </c>
      <c r="X7608" t="s">
        <v>32534</v>
      </c>
    </row>
    <row r="7609" spans="1:24">
      <c r="A7609">
        <f>HYPERLINK("https://www.philgeps.gov.ph/GEPSNONPILOT/Tender/SplashBidNoticeAbstractUI.aspx?menuIndex=3&amp;refID=7034071&amp;Result=3","7034071")</f>
        <v>0</v>
      </c>
      <c r="B7609" t="s">
        <v>350</v>
      </c>
      <c r="C7609" t="s">
        <v>9942</v>
      </c>
      <c r="D7609" t="s">
        <v>13031</v>
      </c>
      <c r="E7609" t="s">
        <v>19769</v>
      </c>
      <c r="F7609" t="s">
        <v>22436</v>
      </c>
      <c r="G7609" t="s">
        <v>22446</v>
      </c>
      <c r="H7609" t="s">
        <v>22452</v>
      </c>
      <c r="I7609" t="s">
        <v>22471</v>
      </c>
      <c r="J7609" t="s">
        <v>22929</v>
      </c>
      <c r="K7609" t="s">
        <v>29335</v>
      </c>
      <c r="M7609" t="s">
        <v>29927</v>
      </c>
      <c r="N7609" t="s">
        <v>32524</v>
      </c>
      <c r="O7609" t="s">
        <v>32525</v>
      </c>
      <c r="Q7609">
        <v>7</v>
      </c>
      <c r="R7609" t="s">
        <v>32533</v>
      </c>
      <c r="S7609" t="s">
        <v>32698</v>
      </c>
      <c r="T7609" t="s">
        <v>33209</v>
      </c>
      <c r="U7609" t="s">
        <v>34315</v>
      </c>
      <c r="W7609" t="s">
        <v>29927</v>
      </c>
      <c r="X7609" t="s">
        <v>32534</v>
      </c>
    </row>
    <row r="7610" spans="1:24">
      <c r="A7610">
        <f>HYPERLINK("https://www.philgeps.gov.ph/GEPSNONPILOT/Tender/SplashBidNoticeAbstractUI.aspx?menuIndex=3&amp;refID=7034070&amp;Result=3","7034070")</f>
        <v>0</v>
      </c>
      <c r="B7610" t="s">
        <v>2257</v>
      </c>
      <c r="C7610" t="s">
        <v>9943</v>
      </c>
      <c r="D7610" t="s">
        <v>13006</v>
      </c>
      <c r="E7610" t="s">
        <v>19770</v>
      </c>
      <c r="F7610" t="s">
        <v>22436</v>
      </c>
      <c r="G7610" t="s">
        <v>22446</v>
      </c>
      <c r="H7610" t="s">
        <v>22452</v>
      </c>
      <c r="I7610" t="s">
        <v>3529</v>
      </c>
      <c r="J7610" t="s">
        <v>27492</v>
      </c>
      <c r="K7610" t="s">
        <v>29336</v>
      </c>
      <c r="M7610" t="s">
        <v>32025</v>
      </c>
      <c r="N7610" t="s">
        <v>32524</v>
      </c>
      <c r="O7610" t="s">
        <v>32525</v>
      </c>
      <c r="P7610">
        <v>0</v>
      </c>
      <c r="Q7610">
        <v>0</v>
      </c>
      <c r="R7610" t="s">
        <v>32533</v>
      </c>
      <c r="S7610" t="s">
        <v>32667</v>
      </c>
      <c r="T7610" t="s">
        <v>33209</v>
      </c>
      <c r="U7610" t="s">
        <v>39980</v>
      </c>
      <c r="W7610" t="s">
        <v>32025</v>
      </c>
      <c r="X7610" t="s">
        <v>32534</v>
      </c>
    </row>
    <row r="7611" spans="1:24">
      <c r="A7611">
        <f>HYPERLINK("https://www.philgeps.gov.ph/GEPSNONPILOT/Tender/SplashBidNoticeAbstractUI.aspx?menuIndex=3&amp;refID=7034137&amp;Result=3","7034137")</f>
        <v>0</v>
      </c>
      <c r="B7611" t="s">
        <v>2257</v>
      </c>
      <c r="C7611" t="s">
        <v>9944</v>
      </c>
      <c r="D7611" t="s">
        <v>13006</v>
      </c>
      <c r="E7611" t="s">
        <v>19771</v>
      </c>
      <c r="F7611" t="s">
        <v>22436</v>
      </c>
      <c r="G7611" t="s">
        <v>22446</v>
      </c>
      <c r="H7611" t="s">
        <v>22452</v>
      </c>
      <c r="I7611" t="s">
        <v>3529</v>
      </c>
      <c r="J7611" t="s">
        <v>27492</v>
      </c>
      <c r="K7611" t="s">
        <v>29336</v>
      </c>
      <c r="M7611" t="s">
        <v>32025</v>
      </c>
      <c r="N7611" t="s">
        <v>32524</v>
      </c>
      <c r="O7611" t="s">
        <v>32525</v>
      </c>
      <c r="P7611">
        <v>0</v>
      </c>
      <c r="Q7611">
        <v>0</v>
      </c>
      <c r="R7611" t="s">
        <v>32533</v>
      </c>
      <c r="S7611" t="s">
        <v>32667</v>
      </c>
      <c r="T7611" t="s">
        <v>33209</v>
      </c>
      <c r="U7611" t="s">
        <v>39980</v>
      </c>
      <c r="W7611" t="s">
        <v>32025</v>
      </c>
      <c r="X7611" t="s">
        <v>32534</v>
      </c>
    </row>
    <row r="7612" spans="1:24">
      <c r="A7612">
        <f>HYPERLINK("https://www.philgeps.gov.ph/GEPSNONPILOT/Tender/SplashBidNoticeAbstractUI.aspx?menuIndex=3&amp;refID=7033974&amp;Result=3","7033974")</f>
        <v>0</v>
      </c>
      <c r="B7612" t="s">
        <v>538</v>
      </c>
      <c r="C7612" t="s">
        <v>9945</v>
      </c>
      <c r="D7612" t="s">
        <v>13022</v>
      </c>
      <c r="E7612" t="s">
        <v>19772</v>
      </c>
      <c r="F7612" t="s">
        <v>22436</v>
      </c>
      <c r="G7612" t="s">
        <v>22444</v>
      </c>
      <c r="H7612" t="s">
        <v>22452</v>
      </c>
      <c r="I7612" t="s">
        <v>3027</v>
      </c>
      <c r="J7612" t="s">
        <v>24344</v>
      </c>
      <c r="K7612" t="s">
        <v>29333</v>
      </c>
      <c r="M7612" t="s">
        <v>30122</v>
      </c>
      <c r="N7612" t="s">
        <v>32524</v>
      </c>
      <c r="O7612" t="s">
        <v>32525</v>
      </c>
      <c r="P7612">
        <v>0</v>
      </c>
      <c r="Q7612">
        <v>3</v>
      </c>
      <c r="R7612" t="s">
        <v>32533</v>
      </c>
      <c r="S7612" t="s">
        <v>32667</v>
      </c>
      <c r="T7612" t="s">
        <v>33227</v>
      </c>
      <c r="U7612" t="s">
        <v>39981</v>
      </c>
      <c r="W7612" t="s">
        <v>30122</v>
      </c>
      <c r="X7612" t="s">
        <v>32534</v>
      </c>
    </row>
    <row r="7613" spans="1:24">
      <c r="A7613">
        <f>HYPERLINK("https://www.philgeps.gov.ph/GEPSNONPILOT/Tender/SplashBidNoticeAbstractUI.aspx?menuIndex=3&amp;refID=7034158&amp;Result=3","7034158")</f>
        <v>0</v>
      </c>
      <c r="B7613" t="s">
        <v>304</v>
      </c>
      <c r="C7613" t="s">
        <v>9946</v>
      </c>
      <c r="D7613" t="s">
        <v>13000</v>
      </c>
      <c r="E7613" t="s">
        <v>19773</v>
      </c>
      <c r="F7613" t="s">
        <v>22436</v>
      </c>
      <c r="G7613" t="s">
        <v>22444</v>
      </c>
      <c r="H7613" t="s">
        <v>22452</v>
      </c>
      <c r="I7613" t="s">
        <v>2981</v>
      </c>
      <c r="J7613" t="s">
        <v>22893</v>
      </c>
      <c r="K7613" t="s">
        <v>29331</v>
      </c>
      <c r="M7613" t="s">
        <v>29878</v>
      </c>
      <c r="N7613" t="s">
        <v>32524</v>
      </c>
      <c r="O7613" t="s">
        <v>32525</v>
      </c>
      <c r="P7613">
        <v>0</v>
      </c>
      <c r="Q7613">
        <v>3</v>
      </c>
      <c r="R7613" t="s">
        <v>32533</v>
      </c>
      <c r="S7613" t="s">
        <v>32667</v>
      </c>
      <c r="T7613" t="s">
        <v>33296</v>
      </c>
      <c r="U7613" t="s">
        <v>39982</v>
      </c>
      <c r="V7613" t="s">
        <v>42522</v>
      </c>
      <c r="W7613" t="s">
        <v>29878</v>
      </c>
      <c r="X7613" t="s">
        <v>32534</v>
      </c>
    </row>
    <row r="7614" spans="1:24">
      <c r="A7614">
        <f>HYPERLINK("https://www.philgeps.gov.ph/GEPSNONPILOT/Tender/SplashBidNoticeAbstractUI.aspx?menuIndex=3&amp;refID=7034156&amp;Result=3","7034156")</f>
        <v>0</v>
      </c>
      <c r="B7614" t="s">
        <v>2260</v>
      </c>
      <c r="C7614" t="s">
        <v>9947</v>
      </c>
      <c r="D7614" t="s">
        <v>13009</v>
      </c>
      <c r="E7614" t="s">
        <v>19774</v>
      </c>
      <c r="F7614" t="s">
        <v>22436</v>
      </c>
      <c r="G7614" t="s">
        <v>22444</v>
      </c>
      <c r="H7614" t="s">
        <v>22452</v>
      </c>
      <c r="I7614" t="s">
        <v>22482</v>
      </c>
      <c r="J7614" t="s">
        <v>24714</v>
      </c>
      <c r="K7614" t="s">
        <v>29334</v>
      </c>
      <c r="M7614" t="s">
        <v>32029</v>
      </c>
      <c r="N7614" t="s">
        <v>32524</v>
      </c>
      <c r="O7614" t="s">
        <v>32525</v>
      </c>
      <c r="Q7614">
        <v>7</v>
      </c>
      <c r="R7614" t="s">
        <v>32533</v>
      </c>
      <c r="S7614" t="s">
        <v>32699</v>
      </c>
      <c r="T7614" t="s">
        <v>33259</v>
      </c>
      <c r="U7614" t="s">
        <v>39983</v>
      </c>
      <c r="V7614" t="s">
        <v>43257</v>
      </c>
      <c r="W7614" t="s">
        <v>32029</v>
      </c>
      <c r="X7614" t="s">
        <v>32534</v>
      </c>
    </row>
    <row r="7615" spans="1:24">
      <c r="A7615">
        <f>HYPERLINK("https://www.philgeps.gov.ph/GEPSNONPILOT/Tender/SplashBidNoticeAbstractUI.aspx?menuIndex=3&amp;refID=7034150&amp;Result=3","7034150")</f>
        <v>0</v>
      </c>
      <c r="B7615" t="s">
        <v>2257</v>
      </c>
      <c r="C7615" t="s">
        <v>9948</v>
      </c>
      <c r="D7615" t="s">
        <v>13006</v>
      </c>
      <c r="E7615" t="s">
        <v>19775</v>
      </c>
      <c r="F7615" t="s">
        <v>22436</v>
      </c>
      <c r="G7615" t="s">
        <v>22446</v>
      </c>
      <c r="H7615" t="s">
        <v>22452</v>
      </c>
      <c r="I7615" t="s">
        <v>3529</v>
      </c>
      <c r="J7615" t="s">
        <v>27492</v>
      </c>
      <c r="K7615" t="s">
        <v>29336</v>
      </c>
      <c r="M7615" t="s">
        <v>32025</v>
      </c>
      <c r="N7615" t="s">
        <v>32524</v>
      </c>
      <c r="O7615" t="s">
        <v>32525</v>
      </c>
      <c r="P7615">
        <v>0</v>
      </c>
      <c r="Q7615">
        <v>0</v>
      </c>
      <c r="R7615" t="s">
        <v>32533</v>
      </c>
      <c r="S7615" t="s">
        <v>32667</v>
      </c>
      <c r="T7615" t="s">
        <v>33209</v>
      </c>
      <c r="U7615" t="s">
        <v>39980</v>
      </c>
      <c r="W7615" t="s">
        <v>32025</v>
      </c>
      <c r="X7615" t="s">
        <v>32534</v>
      </c>
    </row>
    <row r="7616" spans="1:24">
      <c r="A7616">
        <f>HYPERLINK("https://www.philgeps.gov.ph/GEPSNONPILOT/Tender/SplashBidNoticeAbstractUI.aspx?menuIndex=3&amp;refID=7034136&amp;Result=3","7034136")</f>
        <v>0</v>
      </c>
      <c r="B7616" t="s">
        <v>2246</v>
      </c>
      <c r="C7616" t="s">
        <v>9949</v>
      </c>
      <c r="D7616" t="s">
        <v>13032</v>
      </c>
      <c r="E7616" t="s">
        <v>19776</v>
      </c>
      <c r="F7616" t="s">
        <v>22436</v>
      </c>
      <c r="G7616" t="s">
        <v>22444</v>
      </c>
      <c r="H7616" t="s">
        <v>22454</v>
      </c>
      <c r="I7616" t="s">
        <v>7738</v>
      </c>
      <c r="J7616" t="s">
        <v>23397</v>
      </c>
      <c r="K7616" t="s">
        <v>29344</v>
      </c>
      <c r="M7616" t="s">
        <v>32013</v>
      </c>
      <c r="N7616" t="s">
        <v>32524</v>
      </c>
      <c r="O7616" t="s">
        <v>32525</v>
      </c>
      <c r="P7616">
        <v>0</v>
      </c>
      <c r="Q7616">
        <v>1</v>
      </c>
      <c r="R7616" t="s">
        <v>32533</v>
      </c>
      <c r="S7616" t="s">
        <v>32667</v>
      </c>
      <c r="T7616" t="s">
        <v>33487</v>
      </c>
      <c r="U7616" t="s">
        <v>39984</v>
      </c>
      <c r="W7616" t="s">
        <v>32013</v>
      </c>
      <c r="X7616" t="s">
        <v>32534</v>
      </c>
    </row>
    <row r="7617" spans="1:24">
      <c r="A7617">
        <f>HYPERLINK("https://www.philgeps.gov.ph/GEPSNONPILOT/Tender/SplashBidNoticeAbstractUI.aspx?menuIndex=3&amp;refID=7034142&amp;Result=3","7034142")</f>
        <v>0</v>
      </c>
      <c r="B7617" t="s">
        <v>350</v>
      </c>
      <c r="C7617" t="s">
        <v>9950</v>
      </c>
      <c r="D7617" t="s">
        <v>13031</v>
      </c>
      <c r="E7617" t="s">
        <v>19777</v>
      </c>
      <c r="F7617" t="s">
        <v>22436</v>
      </c>
      <c r="G7617" t="s">
        <v>22446</v>
      </c>
      <c r="H7617" t="s">
        <v>22452</v>
      </c>
      <c r="I7617" t="s">
        <v>22471</v>
      </c>
      <c r="J7617" t="s">
        <v>27493</v>
      </c>
      <c r="K7617" t="s">
        <v>29335</v>
      </c>
      <c r="M7617" t="s">
        <v>29927</v>
      </c>
      <c r="N7617" t="s">
        <v>32524</v>
      </c>
      <c r="O7617" t="s">
        <v>32525</v>
      </c>
      <c r="Q7617">
        <v>6</v>
      </c>
      <c r="R7617" t="s">
        <v>32533</v>
      </c>
      <c r="S7617" t="s">
        <v>32700</v>
      </c>
      <c r="T7617" t="s">
        <v>33209</v>
      </c>
      <c r="U7617" t="s">
        <v>34315</v>
      </c>
      <c r="W7617" t="s">
        <v>29927</v>
      </c>
      <c r="X7617" t="s">
        <v>32534</v>
      </c>
    </row>
    <row r="7618" spans="1:24">
      <c r="A7618">
        <f>HYPERLINK("https://www.philgeps.gov.ph/GEPSNONPILOT/Tender/SplashBidNoticeAbstractUI.aspx?menuIndex=3&amp;refID=7033872&amp;Result=3","7033872")</f>
        <v>0</v>
      </c>
      <c r="B7618" t="s">
        <v>2236</v>
      </c>
      <c r="C7618" t="s">
        <v>9951</v>
      </c>
      <c r="D7618" t="s">
        <v>13059</v>
      </c>
      <c r="E7618" t="s">
        <v>19778</v>
      </c>
      <c r="F7618" t="s">
        <v>22436</v>
      </c>
      <c r="G7618" t="s">
        <v>22444</v>
      </c>
      <c r="H7618" t="s">
        <v>22454</v>
      </c>
      <c r="I7618" t="s">
        <v>7738</v>
      </c>
      <c r="J7618" t="s">
        <v>22669</v>
      </c>
      <c r="K7618" t="s">
        <v>29388</v>
      </c>
      <c r="L7618" t="s">
        <v>2236</v>
      </c>
      <c r="M7618" t="s">
        <v>32003</v>
      </c>
      <c r="N7618" t="s">
        <v>32524</v>
      </c>
      <c r="O7618" t="s">
        <v>32525</v>
      </c>
      <c r="P7618">
        <v>0</v>
      </c>
      <c r="Q7618">
        <v>1</v>
      </c>
      <c r="R7618" t="s">
        <v>32533</v>
      </c>
      <c r="S7618" t="s">
        <v>32667</v>
      </c>
      <c r="T7618" t="s">
        <v>33249</v>
      </c>
      <c r="U7618" t="s">
        <v>39914</v>
      </c>
      <c r="V7618" t="s">
        <v>43251</v>
      </c>
      <c r="W7618" t="s">
        <v>32003</v>
      </c>
      <c r="X7618" t="s">
        <v>32534</v>
      </c>
    </row>
    <row r="7619" spans="1:24">
      <c r="A7619">
        <f>HYPERLINK("https://www.philgeps.gov.ph/GEPSNONPILOT/Tender/SplashBidNoticeAbstractUI.aspx?menuIndex=3&amp;refID=7034132&amp;Result=3","7034132")</f>
        <v>0</v>
      </c>
      <c r="B7619" t="s">
        <v>2216</v>
      </c>
      <c r="C7619" t="s">
        <v>9952</v>
      </c>
      <c r="D7619" t="s">
        <v>13037</v>
      </c>
      <c r="E7619" t="s">
        <v>19779</v>
      </c>
      <c r="F7619" t="s">
        <v>22436</v>
      </c>
      <c r="G7619" t="s">
        <v>22444</v>
      </c>
      <c r="H7619" t="s">
        <v>22452</v>
      </c>
      <c r="I7619" t="s">
        <v>22474</v>
      </c>
      <c r="J7619" t="s">
        <v>22970</v>
      </c>
      <c r="K7619" t="s">
        <v>29335</v>
      </c>
      <c r="M7619" t="s">
        <v>31982</v>
      </c>
      <c r="N7619" t="s">
        <v>32524</v>
      </c>
      <c r="O7619" t="s">
        <v>32525</v>
      </c>
      <c r="P7619">
        <v>0</v>
      </c>
      <c r="Q7619">
        <v>4</v>
      </c>
      <c r="R7619" t="s">
        <v>32533</v>
      </c>
      <c r="S7619" t="s">
        <v>32667</v>
      </c>
      <c r="T7619" t="s">
        <v>33550</v>
      </c>
      <c r="U7619" t="s">
        <v>39985</v>
      </c>
      <c r="W7619" t="s">
        <v>31982</v>
      </c>
      <c r="X7619" t="s">
        <v>32534</v>
      </c>
    </row>
    <row r="7620" spans="1:24">
      <c r="A7620">
        <f>HYPERLINK("https://www.philgeps.gov.ph/GEPSNONPILOT/Tender/SplashBidNoticeAbstractUI.aspx?menuIndex=3&amp;refID=7034146&amp;Result=3","7034146")</f>
        <v>0</v>
      </c>
      <c r="B7620" t="s">
        <v>2063</v>
      </c>
      <c r="C7620" t="s">
        <v>9953</v>
      </c>
      <c r="D7620" t="s">
        <v>13050</v>
      </c>
      <c r="E7620" t="s">
        <v>19780</v>
      </c>
      <c r="F7620" t="s">
        <v>22436</v>
      </c>
      <c r="G7620" t="s">
        <v>22446</v>
      </c>
      <c r="H7620" t="s">
        <v>22452</v>
      </c>
      <c r="I7620" t="s">
        <v>22476</v>
      </c>
      <c r="J7620" t="s">
        <v>27494</v>
      </c>
      <c r="K7620" t="s">
        <v>29336</v>
      </c>
      <c r="M7620" t="s">
        <v>31806</v>
      </c>
      <c r="N7620" t="s">
        <v>32524</v>
      </c>
      <c r="O7620" t="s">
        <v>32525</v>
      </c>
      <c r="P7620">
        <v>0</v>
      </c>
      <c r="Q7620">
        <v>4</v>
      </c>
      <c r="R7620" t="s">
        <v>32533</v>
      </c>
      <c r="S7620" t="s">
        <v>32667</v>
      </c>
      <c r="T7620" t="s">
        <v>33197</v>
      </c>
      <c r="U7620" t="s">
        <v>39986</v>
      </c>
      <c r="W7620" t="s">
        <v>31806</v>
      </c>
      <c r="X7620" t="s">
        <v>32534</v>
      </c>
    </row>
    <row r="7621" spans="1:24">
      <c r="A7621">
        <f>HYPERLINK("https://www.philgeps.gov.ph/GEPSNONPILOT/Tender/SplashBidNoticeAbstractUI.aspx?menuIndex=3&amp;refID=7034101&amp;Result=3","7034101")</f>
        <v>0</v>
      </c>
      <c r="B7621" t="s">
        <v>282</v>
      </c>
      <c r="C7621" t="s">
        <v>9954</v>
      </c>
      <c r="E7621" t="s">
        <v>19781</v>
      </c>
      <c r="F7621" t="s">
        <v>22436</v>
      </c>
      <c r="G7621" t="s">
        <v>22444</v>
      </c>
      <c r="H7621" t="s">
        <v>22452</v>
      </c>
      <c r="I7621" t="s">
        <v>22482</v>
      </c>
      <c r="J7621" t="s">
        <v>27495</v>
      </c>
      <c r="K7621" t="s">
        <v>29333</v>
      </c>
      <c r="M7621" t="s">
        <v>31069</v>
      </c>
      <c r="N7621" t="s">
        <v>32524</v>
      </c>
      <c r="O7621" t="s">
        <v>32525</v>
      </c>
      <c r="P7621">
        <v>0</v>
      </c>
      <c r="Q7621">
        <v>13</v>
      </c>
      <c r="R7621" t="s">
        <v>32533</v>
      </c>
      <c r="S7621" t="s">
        <v>32667</v>
      </c>
      <c r="T7621" t="s">
        <v>33191</v>
      </c>
      <c r="U7621" t="s">
        <v>36972</v>
      </c>
      <c r="V7621" t="s">
        <v>42839</v>
      </c>
      <c r="W7621" t="s">
        <v>31069</v>
      </c>
      <c r="X7621" t="s">
        <v>32534</v>
      </c>
    </row>
    <row r="7622" spans="1:24">
      <c r="A7622">
        <f>HYPERLINK("https://www.philgeps.gov.ph/GEPSNONPILOT/Tender/SplashBidNoticeAbstractUI.aspx?menuIndex=3&amp;refID=7034127&amp;Result=3","7034127")</f>
        <v>0</v>
      </c>
      <c r="B7622" t="s">
        <v>679</v>
      </c>
      <c r="C7622" t="s">
        <v>9955</v>
      </c>
      <c r="D7622" t="s">
        <v>13045</v>
      </c>
      <c r="E7622" t="s">
        <v>19782</v>
      </c>
      <c r="F7622" t="s">
        <v>22436</v>
      </c>
      <c r="G7622" t="s">
        <v>22444</v>
      </c>
      <c r="H7622" t="s">
        <v>22454</v>
      </c>
      <c r="I7622" t="s">
        <v>7738</v>
      </c>
      <c r="J7622" t="s">
        <v>27496</v>
      </c>
      <c r="K7622" t="s">
        <v>29334</v>
      </c>
      <c r="M7622" t="s">
        <v>30273</v>
      </c>
      <c r="N7622" t="s">
        <v>32524</v>
      </c>
      <c r="O7622" t="s">
        <v>32525</v>
      </c>
      <c r="P7622">
        <v>0</v>
      </c>
      <c r="Q7622">
        <v>0</v>
      </c>
      <c r="R7622" t="s">
        <v>32533</v>
      </c>
      <c r="S7622" t="s">
        <v>32667</v>
      </c>
      <c r="T7622" t="s">
        <v>33451</v>
      </c>
      <c r="U7622" t="s">
        <v>35062</v>
      </c>
      <c r="W7622" t="s">
        <v>30273</v>
      </c>
      <c r="X7622" t="s">
        <v>32534</v>
      </c>
    </row>
    <row r="7623" spans="1:24">
      <c r="A7623">
        <f>HYPERLINK("https://www.philgeps.gov.ph/GEPSNONPILOT/Tender/SplashBidNoticeAbstractUI.aspx?menuIndex=3&amp;refID=7034076&amp;Result=3","7034076")</f>
        <v>0</v>
      </c>
      <c r="B7623" t="s">
        <v>2251</v>
      </c>
      <c r="C7623" t="s">
        <v>9956</v>
      </c>
      <c r="D7623" t="s">
        <v>13026</v>
      </c>
      <c r="E7623" t="s">
        <v>19783</v>
      </c>
      <c r="F7623" t="s">
        <v>22436</v>
      </c>
      <c r="G7623" t="s">
        <v>22444</v>
      </c>
      <c r="H7623" t="s">
        <v>22452</v>
      </c>
      <c r="I7623" t="s">
        <v>22474</v>
      </c>
      <c r="J7623" t="s">
        <v>24169</v>
      </c>
      <c r="K7623" t="s">
        <v>29335</v>
      </c>
      <c r="M7623" t="s">
        <v>32018</v>
      </c>
      <c r="N7623" t="s">
        <v>32524</v>
      </c>
      <c r="O7623" t="s">
        <v>32525</v>
      </c>
      <c r="P7623">
        <v>0</v>
      </c>
      <c r="Q7623">
        <v>5</v>
      </c>
      <c r="R7623" t="s">
        <v>32533</v>
      </c>
      <c r="S7623" t="s">
        <v>32667</v>
      </c>
      <c r="T7623" t="s">
        <v>33188</v>
      </c>
      <c r="U7623" t="s">
        <v>39987</v>
      </c>
      <c r="V7623" t="s">
        <v>43253</v>
      </c>
      <c r="W7623" t="s">
        <v>32018</v>
      </c>
      <c r="X7623" t="s">
        <v>32534</v>
      </c>
    </row>
    <row r="7624" spans="1:24">
      <c r="A7624">
        <f>HYPERLINK("https://www.philgeps.gov.ph/GEPSNONPILOT/Tender/SplashBidNoticeAbstractUI.aspx?menuIndex=3&amp;refID=7034154&amp;Result=3","7034154")</f>
        <v>0</v>
      </c>
      <c r="B7624" t="s">
        <v>2261</v>
      </c>
      <c r="C7624" t="s">
        <v>9957</v>
      </c>
      <c r="D7624" t="s">
        <v>13050</v>
      </c>
      <c r="E7624" t="s">
        <v>19784</v>
      </c>
      <c r="F7624" t="s">
        <v>22436</v>
      </c>
      <c r="G7624" t="s">
        <v>22444</v>
      </c>
      <c r="H7624" t="s">
        <v>22454</v>
      </c>
      <c r="I7624" t="s">
        <v>7738</v>
      </c>
      <c r="J7624" t="s">
        <v>27497</v>
      </c>
      <c r="K7624" t="s">
        <v>29333</v>
      </c>
      <c r="M7624" t="s">
        <v>32030</v>
      </c>
      <c r="N7624" t="s">
        <v>32524</v>
      </c>
      <c r="O7624" t="s">
        <v>32525</v>
      </c>
      <c r="P7624">
        <v>0</v>
      </c>
      <c r="Q7624">
        <v>18</v>
      </c>
      <c r="R7624" t="s">
        <v>32533</v>
      </c>
      <c r="S7624" t="s">
        <v>32667</v>
      </c>
      <c r="T7624" t="s">
        <v>33234</v>
      </c>
      <c r="U7624" t="s">
        <v>39988</v>
      </c>
      <c r="W7624" t="s">
        <v>43748</v>
      </c>
      <c r="X7624" t="s">
        <v>32534</v>
      </c>
    </row>
    <row r="7625" spans="1:24">
      <c r="A7625">
        <f>HYPERLINK("https://www.philgeps.gov.ph/GEPSNONPILOT/Tender/SplashBidNoticeAbstractUI.aspx?menuIndex=3&amp;refID=7034072&amp;Result=3","7034072")</f>
        <v>0</v>
      </c>
      <c r="B7625" t="s">
        <v>679</v>
      </c>
      <c r="C7625" t="s">
        <v>9958</v>
      </c>
      <c r="D7625" t="s">
        <v>13045</v>
      </c>
      <c r="E7625" t="s">
        <v>19785</v>
      </c>
      <c r="F7625" t="s">
        <v>22436</v>
      </c>
      <c r="G7625" t="s">
        <v>22444</v>
      </c>
      <c r="H7625" t="s">
        <v>22454</v>
      </c>
      <c r="I7625" t="s">
        <v>7738</v>
      </c>
      <c r="J7625" t="s">
        <v>27498</v>
      </c>
      <c r="K7625" t="s">
        <v>29334</v>
      </c>
      <c r="M7625" t="s">
        <v>30273</v>
      </c>
      <c r="N7625" t="s">
        <v>32524</v>
      </c>
      <c r="O7625" t="s">
        <v>32525</v>
      </c>
      <c r="P7625">
        <v>0</v>
      </c>
      <c r="Q7625">
        <v>1</v>
      </c>
      <c r="R7625" t="s">
        <v>32533</v>
      </c>
      <c r="S7625" t="s">
        <v>32667</v>
      </c>
      <c r="T7625" t="s">
        <v>33385</v>
      </c>
      <c r="U7625" t="s">
        <v>35062</v>
      </c>
      <c r="W7625" t="s">
        <v>30273</v>
      </c>
      <c r="X7625" t="s">
        <v>32534</v>
      </c>
    </row>
    <row r="7626" spans="1:24">
      <c r="A7626">
        <f>HYPERLINK("https://www.philgeps.gov.ph/GEPSNONPILOT/Tender/SplashBidNoticeAbstractUI.aspx?menuIndex=3&amp;refID=7034122&amp;Result=3","7034122")</f>
        <v>0</v>
      </c>
      <c r="B7626" t="s">
        <v>2257</v>
      </c>
      <c r="C7626" t="s">
        <v>9959</v>
      </c>
      <c r="D7626" t="s">
        <v>13006</v>
      </c>
      <c r="E7626" t="s">
        <v>19786</v>
      </c>
      <c r="F7626" t="s">
        <v>22436</v>
      </c>
      <c r="G7626" t="s">
        <v>22446</v>
      </c>
      <c r="H7626" t="s">
        <v>22452</v>
      </c>
      <c r="I7626" t="s">
        <v>3529</v>
      </c>
      <c r="J7626" t="s">
        <v>27492</v>
      </c>
      <c r="K7626" t="s">
        <v>29336</v>
      </c>
      <c r="M7626" t="s">
        <v>32025</v>
      </c>
      <c r="N7626" t="s">
        <v>32524</v>
      </c>
      <c r="O7626" t="s">
        <v>32525</v>
      </c>
      <c r="P7626">
        <v>0</v>
      </c>
      <c r="Q7626">
        <v>0</v>
      </c>
      <c r="R7626" t="s">
        <v>32533</v>
      </c>
      <c r="S7626" t="s">
        <v>32667</v>
      </c>
      <c r="T7626" t="s">
        <v>33209</v>
      </c>
      <c r="U7626" t="s">
        <v>39980</v>
      </c>
      <c r="W7626" t="s">
        <v>32025</v>
      </c>
      <c r="X7626" t="s">
        <v>32534</v>
      </c>
    </row>
    <row r="7627" spans="1:24">
      <c r="A7627">
        <f>HYPERLINK("https://www.philgeps.gov.ph/GEPSNONPILOT/Tender/SplashBidNoticeAbstractUI.aspx?menuIndex=3&amp;refID=7034126&amp;Result=3","7034126")</f>
        <v>0</v>
      </c>
      <c r="B7627" t="s">
        <v>2261</v>
      </c>
      <c r="C7627" t="s">
        <v>9960</v>
      </c>
      <c r="D7627" t="s">
        <v>13050</v>
      </c>
      <c r="E7627" t="s">
        <v>19787</v>
      </c>
      <c r="F7627" t="s">
        <v>22436</v>
      </c>
      <c r="G7627" t="s">
        <v>22444</v>
      </c>
      <c r="H7627" t="s">
        <v>22454</v>
      </c>
      <c r="I7627" t="s">
        <v>7738</v>
      </c>
      <c r="J7627" t="s">
        <v>27499</v>
      </c>
      <c r="K7627" t="s">
        <v>29347</v>
      </c>
      <c r="M7627" t="s">
        <v>32030</v>
      </c>
      <c r="N7627" t="s">
        <v>32524</v>
      </c>
      <c r="O7627" t="s">
        <v>32525</v>
      </c>
      <c r="P7627">
        <v>0</v>
      </c>
      <c r="Q7627">
        <v>19</v>
      </c>
      <c r="R7627" t="s">
        <v>32533</v>
      </c>
      <c r="S7627" t="s">
        <v>32667</v>
      </c>
      <c r="T7627" t="s">
        <v>33234</v>
      </c>
      <c r="U7627" t="s">
        <v>39988</v>
      </c>
      <c r="W7627" t="s">
        <v>43748</v>
      </c>
      <c r="X7627" t="s">
        <v>32534</v>
      </c>
    </row>
    <row r="7628" spans="1:24">
      <c r="A7628">
        <f>HYPERLINK("https://www.philgeps.gov.ph/GEPSNONPILOT/Tender/SplashBidNoticeAbstractUI.aspx?menuIndex=3&amp;refID=7034110&amp;Result=3","7034110")</f>
        <v>0</v>
      </c>
      <c r="B7628" t="s">
        <v>337</v>
      </c>
      <c r="C7628" t="s">
        <v>9961</v>
      </c>
      <c r="D7628" t="s">
        <v>13022</v>
      </c>
      <c r="E7628" t="s">
        <v>14074</v>
      </c>
      <c r="F7628" t="s">
        <v>22436</v>
      </c>
      <c r="G7628" t="s">
        <v>22444</v>
      </c>
      <c r="H7628" t="s">
        <v>22454</v>
      </c>
      <c r="I7628" t="s">
        <v>7738</v>
      </c>
      <c r="J7628" t="s">
        <v>22674</v>
      </c>
      <c r="K7628" t="s">
        <v>29411</v>
      </c>
      <c r="M7628" t="s">
        <v>29913</v>
      </c>
      <c r="N7628" t="s">
        <v>32524</v>
      </c>
      <c r="O7628" t="s">
        <v>32525</v>
      </c>
      <c r="P7628">
        <v>0</v>
      </c>
      <c r="Q7628">
        <v>0</v>
      </c>
      <c r="R7628" t="s">
        <v>32533</v>
      </c>
      <c r="S7628" t="s">
        <v>32667</v>
      </c>
      <c r="T7628" t="s">
        <v>33259</v>
      </c>
      <c r="U7628" t="s">
        <v>39989</v>
      </c>
      <c r="W7628" t="s">
        <v>29913</v>
      </c>
      <c r="X7628" t="s">
        <v>32534</v>
      </c>
    </row>
    <row r="7629" spans="1:24">
      <c r="A7629">
        <f>HYPERLINK("https://www.philgeps.gov.ph/GEPSNONPILOT/Tender/SplashBidNoticeAbstractUI.aspx?menuIndex=3&amp;refID=7034212&amp;Result=3","7034212")</f>
        <v>0</v>
      </c>
      <c r="B7629" t="s">
        <v>2257</v>
      </c>
      <c r="C7629" t="s">
        <v>9962</v>
      </c>
      <c r="D7629" t="s">
        <v>13006</v>
      </c>
      <c r="E7629" t="s">
        <v>19788</v>
      </c>
      <c r="F7629" t="s">
        <v>22436</v>
      </c>
      <c r="G7629" t="s">
        <v>22446</v>
      </c>
      <c r="H7629" t="s">
        <v>22452</v>
      </c>
      <c r="I7629" t="s">
        <v>3529</v>
      </c>
      <c r="J7629" t="s">
        <v>27492</v>
      </c>
      <c r="K7629" t="s">
        <v>29336</v>
      </c>
      <c r="M7629" t="s">
        <v>32025</v>
      </c>
      <c r="N7629" t="s">
        <v>32524</v>
      </c>
      <c r="O7629" t="s">
        <v>32525</v>
      </c>
      <c r="P7629">
        <v>0</v>
      </c>
      <c r="Q7629">
        <v>0</v>
      </c>
      <c r="R7629" t="s">
        <v>32533</v>
      </c>
      <c r="S7629" t="s">
        <v>32667</v>
      </c>
      <c r="T7629" t="s">
        <v>33209</v>
      </c>
      <c r="U7629" t="s">
        <v>39980</v>
      </c>
      <c r="W7629" t="s">
        <v>32025</v>
      </c>
      <c r="X7629" t="s">
        <v>32534</v>
      </c>
    </row>
    <row r="7630" spans="1:24">
      <c r="A7630">
        <f>HYPERLINK("https://www.philgeps.gov.ph/GEPSNONPILOT/Tender/SplashBidNoticeAbstractUI.aspx?menuIndex=3&amp;refID=7034119&amp;Result=3","7034119")</f>
        <v>0</v>
      </c>
      <c r="B7630" t="s">
        <v>350</v>
      </c>
      <c r="C7630" t="s">
        <v>9963</v>
      </c>
      <c r="D7630" t="s">
        <v>13031</v>
      </c>
      <c r="E7630" t="s">
        <v>19789</v>
      </c>
      <c r="F7630" t="s">
        <v>22436</v>
      </c>
      <c r="G7630" t="s">
        <v>22446</v>
      </c>
      <c r="H7630" t="s">
        <v>22452</v>
      </c>
      <c r="I7630" t="s">
        <v>22471</v>
      </c>
      <c r="J7630" t="s">
        <v>24017</v>
      </c>
      <c r="K7630" t="s">
        <v>29335</v>
      </c>
      <c r="M7630" t="s">
        <v>29927</v>
      </c>
      <c r="N7630" t="s">
        <v>32524</v>
      </c>
      <c r="O7630" t="s">
        <v>32525</v>
      </c>
      <c r="Q7630">
        <v>2</v>
      </c>
      <c r="R7630" t="s">
        <v>32533</v>
      </c>
      <c r="S7630" t="s">
        <v>32701</v>
      </c>
      <c r="T7630" t="s">
        <v>33209</v>
      </c>
      <c r="U7630" t="s">
        <v>34315</v>
      </c>
      <c r="W7630" t="s">
        <v>29927</v>
      </c>
      <c r="X7630" t="s">
        <v>32534</v>
      </c>
    </row>
    <row r="7631" spans="1:24">
      <c r="A7631">
        <f>HYPERLINK("https://www.philgeps.gov.ph/GEPSNONPILOT/Tender/SplashBidNoticeAbstractUI.aspx?menuIndex=3&amp;refID=7034240&amp;Result=3","7034240")</f>
        <v>0</v>
      </c>
      <c r="B7631" t="s">
        <v>166</v>
      </c>
      <c r="C7631" t="s">
        <v>9964</v>
      </c>
      <c r="E7631" t="s">
        <v>19790</v>
      </c>
      <c r="F7631" t="s">
        <v>22436</v>
      </c>
      <c r="G7631" t="s">
        <v>22443</v>
      </c>
      <c r="H7631" t="s">
        <v>22452</v>
      </c>
      <c r="I7631" t="s">
        <v>2981</v>
      </c>
      <c r="J7631" t="s">
        <v>22605</v>
      </c>
      <c r="K7631" t="s">
        <v>29338</v>
      </c>
      <c r="M7631" t="s">
        <v>29738</v>
      </c>
      <c r="N7631" t="s">
        <v>32524</v>
      </c>
      <c r="O7631" t="s">
        <v>32525</v>
      </c>
      <c r="P7631">
        <v>0</v>
      </c>
      <c r="Q7631">
        <v>0</v>
      </c>
      <c r="R7631" t="s">
        <v>32533</v>
      </c>
      <c r="S7631" t="s">
        <v>32667</v>
      </c>
      <c r="T7631" t="s">
        <v>33238</v>
      </c>
      <c r="U7631" t="s">
        <v>39990</v>
      </c>
      <c r="W7631" t="s">
        <v>29738</v>
      </c>
      <c r="X7631" t="s">
        <v>32534</v>
      </c>
    </row>
    <row r="7632" spans="1:24">
      <c r="A7632">
        <f>HYPERLINK("https://www.philgeps.gov.ph/GEPSNONPILOT/Tender/SplashBidNoticeAbstractUI.aspx?menuIndex=3&amp;refID=7034239&amp;Result=3","7034239")</f>
        <v>0</v>
      </c>
      <c r="B7632" t="s">
        <v>1350</v>
      </c>
      <c r="C7632" t="s">
        <v>9965</v>
      </c>
      <c r="D7632" t="s">
        <v>13013</v>
      </c>
      <c r="E7632" t="s">
        <v>19791</v>
      </c>
      <c r="F7632" t="s">
        <v>22436</v>
      </c>
      <c r="G7632" t="s">
        <v>22446</v>
      </c>
      <c r="H7632" t="s">
        <v>22452</v>
      </c>
      <c r="I7632" t="s">
        <v>22467</v>
      </c>
      <c r="J7632" t="s">
        <v>27500</v>
      </c>
      <c r="K7632" t="s">
        <v>29335</v>
      </c>
      <c r="M7632" t="s">
        <v>31006</v>
      </c>
      <c r="N7632" t="s">
        <v>32524</v>
      </c>
      <c r="O7632" t="s">
        <v>32525</v>
      </c>
      <c r="P7632">
        <v>0</v>
      </c>
      <c r="Q7632">
        <v>0</v>
      </c>
      <c r="R7632" t="s">
        <v>32533</v>
      </c>
      <c r="S7632" t="s">
        <v>32667</v>
      </c>
      <c r="T7632" t="s">
        <v>33197</v>
      </c>
      <c r="U7632" t="s">
        <v>39991</v>
      </c>
      <c r="W7632" t="s">
        <v>31006</v>
      </c>
      <c r="X7632" t="s">
        <v>32534</v>
      </c>
    </row>
    <row r="7633" spans="1:24">
      <c r="A7633">
        <f>HYPERLINK("https://www.philgeps.gov.ph/GEPSNONPILOT/Tender/SplashBidNoticeAbstractUI.aspx?menuIndex=3&amp;refID=7034178&amp;Result=3","7034178")</f>
        <v>0</v>
      </c>
      <c r="B7633" t="s">
        <v>1015</v>
      </c>
      <c r="C7633" t="s">
        <v>9966</v>
      </c>
      <c r="E7633" t="s">
        <v>19792</v>
      </c>
      <c r="F7633" t="s">
        <v>22436</v>
      </c>
      <c r="G7633" t="s">
        <v>22443</v>
      </c>
      <c r="H7633" t="s">
        <v>22452</v>
      </c>
      <c r="I7633" t="s">
        <v>6421</v>
      </c>
      <c r="J7633" t="s">
        <v>27501</v>
      </c>
      <c r="K7633" t="s">
        <v>29338</v>
      </c>
      <c r="M7633" t="s">
        <v>31848</v>
      </c>
      <c r="N7633" t="s">
        <v>32524</v>
      </c>
      <c r="O7633" t="s">
        <v>32525</v>
      </c>
      <c r="P7633">
        <v>0</v>
      </c>
      <c r="Q7633">
        <v>4</v>
      </c>
      <c r="R7633" t="s">
        <v>32533</v>
      </c>
      <c r="S7633" t="s">
        <v>32667</v>
      </c>
      <c r="T7633" t="s">
        <v>33338</v>
      </c>
      <c r="U7633" t="s">
        <v>39400</v>
      </c>
      <c r="W7633" t="s">
        <v>31848</v>
      </c>
      <c r="X7633" t="s">
        <v>32534</v>
      </c>
    </row>
    <row r="7634" spans="1:24">
      <c r="A7634">
        <f>HYPERLINK("https://www.philgeps.gov.ph/GEPSNONPILOT/Tender/SplashBidNoticeAbstractUI.aspx?menuIndex=3&amp;refID=7034134&amp;Result=3","7034134")</f>
        <v>0</v>
      </c>
      <c r="B7634" t="s">
        <v>282</v>
      </c>
      <c r="C7634" t="s">
        <v>9967</v>
      </c>
      <c r="D7634" t="s">
        <v>13002</v>
      </c>
      <c r="E7634" t="s">
        <v>19793</v>
      </c>
      <c r="F7634" t="s">
        <v>22436</v>
      </c>
      <c r="G7634" t="s">
        <v>22444</v>
      </c>
      <c r="H7634" t="s">
        <v>22452</v>
      </c>
      <c r="I7634" t="s">
        <v>22502</v>
      </c>
      <c r="J7634" t="s">
        <v>27502</v>
      </c>
      <c r="K7634" t="s">
        <v>29333</v>
      </c>
      <c r="M7634" t="s">
        <v>31069</v>
      </c>
      <c r="N7634" t="s">
        <v>32524</v>
      </c>
      <c r="O7634" t="s">
        <v>32525</v>
      </c>
      <c r="P7634">
        <v>0</v>
      </c>
      <c r="Q7634">
        <v>35</v>
      </c>
      <c r="R7634" t="s">
        <v>32533</v>
      </c>
      <c r="S7634" t="s">
        <v>32667</v>
      </c>
      <c r="T7634" t="s">
        <v>33191</v>
      </c>
      <c r="U7634" t="s">
        <v>36972</v>
      </c>
      <c r="V7634" t="s">
        <v>42839</v>
      </c>
      <c r="W7634" t="s">
        <v>31069</v>
      </c>
      <c r="X7634" t="s">
        <v>32534</v>
      </c>
    </row>
    <row r="7635" spans="1:24">
      <c r="A7635">
        <f>HYPERLINK("https://www.philgeps.gov.ph/GEPSNONPILOT/Tender/SplashBidNoticeAbstractUI.aspx?menuIndex=3&amp;refID=7034238&amp;Result=3","7034238")</f>
        <v>0</v>
      </c>
      <c r="B7635" t="s">
        <v>181</v>
      </c>
      <c r="C7635" t="s">
        <v>9968</v>
      </c>
      <c r="D7635" t="s">
        <v>13032</v>
      </c>
      <c r="E7635" t="s">
        <v>19794</v>
      </c>
      <c r="F7635" t="s">
        <v>22436</v>
      </c>
      <c r="G7635" t="s">
        <v>22444</v>
      </c>
      <c r="H7635" t="s">
        <v>22452</v>
      </c>
      <c r="I7635" t="s">
        <v>3529</v>
      </c>
      <c r="J7635" t="s">
        <v>27503</v>
      </c>
      <c r="K7635" t="s">
        <v>29341</v>
      </c>
      <c r="M7635" t="s">
        <v>29753</v>
      </c>
      <c r="N7635" t="s">
        <v>32524</v>
      </c>
      <c r="O7635" t="s">
        <v>32525</v>
      </c>
      <c r="P7635">
        <v>0</v>
      </c>
      <c r="Q7635">
        <v>0</v>
      </c>
      <c r="R7635" t="s">
        <v>32533</v>
      </c>
      <c r="S7635" t="s">
        <v>32667</v>
      </c>
      <c r="T7635" t="s">
        <v>33180</v>
      </c>
      <c r="U7635" t="s">
        <v>39992</v>
      </c>
      <c r="W7635" t="s">
        <v>29753</v>
      </c>
      <c r="X7635" t="s">
        <v>32534</v>
      </c>
    </row>
    <row r="7636" spans="1:24">
      <c r="A7636">
        <f>HYPERLINK("https://www.philgeps.gov.ph/GEPSNONPILOT/Tender/SplashBidNoticeAbstractUI.aspx?menuIndex=3&amp;refID=7034117&amp;Result=3","7034117")</f>
        <v>0</v>
      </c>
      <c r="B7636" t="s">
        <v>2242</v>
      </c>
      <c r="C7636" t="s">
        <v>9969</v>
      </c>
      <c r="D7636" t="s">
        <v>13060</v>
      </c>
      <c r="E7636" t="s">
        <v>19795</v>
      </c>
      <c r="F7636" t="s">
        <v>22436</v>
      </c>
      <c r="G7636" t="s">
        <v>22444</v>
      </c>
      <c r="H7636" t="s">
        <v>22454</v>
      </c>
      <c r="I7636" t="s">
        <v>7738</v>
      </c>
      <c r="J7636" t="s">
        <v>27504</v>
      </c>
      <c r="K7636" t="s">
        <v>29345</v>
      </c>
      <c r="M7636" t="s">
        <v>32009</v>
      </c>
      <c r="N7636" t="s">
        <v>32524</v>
      </c>
      <c r="O7636" t="s">
        <v>32525</v>
      </c>
      <c r="P7636">
        <v>0</v>
      </c>
      <c r="Q7636">
        <v>0</v>
      </c>
      <c r="R7636" t="s">
        <v>32533</v>
      </c>
      <c r="S7636" t="s">
        <v>32667</v>
      </c>
      <c r="T7636" t="s">
        <v>33429</v>
      </c>
      <c r="U7636" t="s">
        <v>39993</v>
      </c>
      <c r="V7636" t="s">
        <v>43252</v>
      </c>
      <c r="W7636" t="s">
        <v>32009</v>
      </c>
      <c r="X7636" t="s">
        <v>32534</v>
      </c>
    </row>
    <row r="7637" spans="1:24">
      <c r="A7637">
        <f>HYPERLINK("https://www.philgeps.gov.ph/GEPSNONPILOT/Tender/SplashBidNoticeAbstractUI.aspx?menuIndex=3&amp;refID=7034221&amp;Result=3","7034221")</f>
        <v>0</v>
      </c>
      <c r="B7637" t="s">
        <v>717</v>
      </c>
      <c r="C7637" t="s">
        <v>9970</v>
      </c>
      <c r="D7637" t="s">
        <v>13024</v>
      </c>
      <c r="E7637" t="s">
        <v>19796</v>
      </c>
      <c r="F7637" t="s">
        <v>22436</v>
      </c>
      <c r="G7637" t="s">
        <v>22443</v>
      </c>
      <c r="H7637" t="s">
        <v>22452</v>
      </c>
      <c r="I7637" t="s">
        <v>22518</v>
      </c>
      <c r="J7637" t="s">
        <v>22605</v>
      </c>
      <c r="K7637" t="s">
        <v>29338</v>
      </c>
      <c r="M7637" t="s">
        <v>30314</v>
      </c>
      <c r="N7637" t="s">
        <v>32524</v>
      </c>
      <c r="O7637" t="s">
        <v>32525</v>
      </c>
      <c r="P7637">
        <v>0</v>
      </c>
      <c r="Q7637">
        <v>2</v>
      </c>
      <c r="R7637" t="s">
        <v>32533</v>
      </c>
      <c r="S7637" t="s">
        <v>32667</v>
      </c>
      <c r="T7637" t="s">
        <v>33344</v>
      </c>
      <c r="U7637" t="s">
        <v>39994</v>
      </c>
      <c r="W7637" t="s">
        <v>30314</v>
      </c>
      <c r="X7637" t="s">
        <v>32534</v>
      </c>
    </row>
    <row r="7638" spans="1:24">
      <c r="A7638">
        <f>HYPERLINK("https://www.philgeps.gov.ph/GEPSNONPILOT/Tender/SplashBidNoticeAbstractUI.aspx?menuIndex=3&amp;refID=7034234&amp;Result=3","7034234")</f>
        <v>0</v>
      </c>
      <c r="B7638" t="s">
        <v>1493</v>
      </c>
      <c r="C7638" t="s">
        <v>9971</v>
      </c>
      <c r="D7638" t="s">
        <v>13010</v>
      </c>
      <c r="E7638" t="s">
        <v>19797</v>
      </c>
      <c r="F7638" t="s">
        <v>22436</v>
      </c>
      <c r="G7638" t="s">
        <v>22444</v>
      </c>
      <c r="H7638" t="s">
        <v>22452</v>
      </c>
      <c r="I7638" t="s">
        <v>22492</v>
      </c>
      <c r="J7638" t="s">
        <v>22669</v>
      </c>
      <c r="K7638" t="s">
        <v>29341</v>
      </c>
      <c r="M7638" t="s">
        <v>31167</v>
      </c>
      <c r="N7638" t="s">
        <v>32524</v>
      </c>
      <c r="O7638" t="s">
        <v>32525</v>
      </c>
      <c r="P7638">
        <v>0</v>
      </c>
      <c r="Q7638">
        <v>2</v>
      </c>
      <c r="R7638" t="s">
        <v>32533</v>
      </c>
      <c r="S7638" t="s">
        <v>32667</v>
      </c>
      <c r="T7638" t="s">
        <v>33345</v>
      </c>
      <c r="U7638" t="s">
        <v>39995</v>
      </c>
      <c r="V7638" t="s">
        <v>43258</v>
      </c>
      <c r="W7638" t="s">
        <v>31167</v>
      </c>
      <c r="X7638" t="s">
        <v>32534</v>
      </c>
    </row>
    <row r="7639" spans="1:24">
      <c r="A7639">
        <f>HYPERLINK("https://www.philgeps.gov.ph/GEPSNONPILOT/Tender/SplashBidNoticeAbstractUI.aspx?menuIndex=3&amp;refID=7034169&amp;Result=3","7034169")</f>
        <v>0</v>
      </c>
      <c r="B7639" t="s">
        <v>350</v>
      </c>
      <c r="C7639" t="s">
        <v>9972</v>
      </c>
      <c r="D7639" t="s">
        <v>13031</v>
      </c>
      <c r="E7639" t="s">
        <v>19798</v>
      </c>
      <c r="F7639" t="s">
        <v>22436</v>
      </c>
      <c r="G7639" t="s">
        <v>22446</v>
      </c>
      <c r="H7639" t="s">
        <v>22452</v>
      </c>
      <c r="I7639" t="s">
        <v>22471</v>
      </c>
      <c r="J7639" t="s">
        <v>23353</v>
      </c>
      <c r="K7639" t="s">
        <v>29335</v>
      </c>
      <c r="M7639" t="s">
        <v>29927</v>
      </c>
      <c r="N7639" t="s">
        <v>32524</v>
      </c>
      <c r="O7639" t="s">
        <v>32525</v>
      </c>
      <c r="Q7639">
        <v>5</v>
      </c>
      <c r="R7639" t="s">
        <v>32533</v>
      </c>
      <c r="S7639" t="s">
        <v>32702</v>
      </c>
      <c r="T7639" t="s">
        <v>33209</v>
      </c>
      <c r="U7639" t="s">
        <v>34315</v>
      </c>
      <c r="W7639" t="s">
        <v>29927</v>
      </c>
      <c r="X7639" t="s">
        <v>32534</v>
      </c>
    </row>
    <row r="7640" spans="1:24">
      <c r="A7640">
        <f>HYPERLINK("https://www.philgeps.gov.ph/GEPSNONPILOT/Tender/SplashBidNoticeAbstractUI.aspx?menuIndex=3&amp;refID=7034191&amp;Result=3","7034191")</f>
        <v>0</v>
      </c>
      <c r="B7640" t="s">
        <v>1416</v>
      </c>
      <c r="C7640" t="s">
        <v>9973</v>
      </c>
      <c r="D7640" t="s">
        <v>13012</v>
      </c>
      <c r="E7640" t="s">
        <v>19799</v>
      </c>
      <c r="F7640" t="s">
        <v>22436</v>
      </c>
      <c r="G7640" t="s">
        <v>22444</v>
      </c>
      <c r="H7640" t="s">
        <v>22452</v>
      </c>
      <c r="I7640" t="s">
        <v>22474</v>
      </c>
      <c r="J7640" t="s">
        <v>25634</v>
      </c>
      <c r="K7640" t="s">
        <v>29335</v>
      </c>
      <c r="M7640" t="s">
        <v>31077</v>
      </c>
      <c r="N7640" t="s">
        <v>32524</v>
      </c>
      <c r="O7640" t="s">
        <v>32525</v>
      </c>
      <c r="P7640">
        <v>0</v>
      </c>
      <c r="Q7640">
        <v>1</v>
      </c>
      <c r="R7640" t="s">
        <v>32533</v>
      </c>
      <c r="S7640" t="s">
        <v>32667</v>
      </c>
      <c r="T7640" t="s">
        <v>33557</v>
      </c>
      <c r="U7640" t="s">
        <v>39996</v>
      </c>
      <c r="W7640" t="s">
        <v>31077</v>
      </c>
      <c r="X7640" t="s">
        <v>32534</v>
      </c>
    </row>
    <row r="7641" spans="1:24">
      <c r="A7641">
        <f>HYPERLINK("https://www.philgeps.gov.ph/GEPSNONPILOT/Tender/SplashBidNoticeAbstractUI.aspx?menuIndex=3&amp;refID=7034222&amp;Result=3","7034222")</f>
        <v>0</v>
      </c>
      <c r="B7641" t="s">
        <v>1494</v>
      </c>
      <c r="C7641" t="s">
        <v>9974</v>
      </c>
      <c r="E7641" t="s">
        <v>19800</v>
      </c>
      <c r="F7641" t="s">
        <v>22436</v>
      </c>
      <c r="G7641" t="s">
        <v>22443</v>
      </c>
      <c r="H7641" t="s">
        <v>22452</v>
      </c>
      <c r="I7641" t="s">
        <v>6236</v>
      </c>
      <c r="J7641" t="s">
        <v>27505</v>
      </c>
      <c r="K7641" t="s">
        <v>29338</v>
      </c>
      <c r="M7641" t="s">
        <v>31168</v>
      </c>
      <c r="N7641" t="s">
        <v>32524</v>
      </c>
      <c r="O7641" t="s">
        <v>32525</v>
      </c>
      <c r="P7641">
        <v>0</v>
      </c>
      <c r="Q7641">
        <v>0</v>
      </c>
      <c r="R7641" t="s">
        <v>32533</v>
      </c>
      <c r="S7641" t="s">
        <v>32667</v>
      </c>
      <c r="T7641" t="s">
        <v>33328</v>
      </c>
      <c r="U7641" t="s">
        <v>39997</v>
      </c>
      <c r="V7641" t="s">
        <v>42892</v>
      </c>
      <c r="W7641" t="s">
        <v>43723</v>
      </c>
      <c r="X7641" t="s">
        <v>32534</v>
      </c>
    </row>
    <row r="7642" spans="1:24">
      <c r="A7642">
        <f>HYPERLINK("https://www.philgeps.gov.ph/GEPSNONPILOT/Tender/SplashBidNoticeAbstractUI.aspx?menuIndex=3&amp;refID=7034186&amp;Result=3","7034186")</f>
        <v>0</v>
      </c>
      <c r="B7642" t="s">
        <v>350</v>
      </c>
      <c r="C7642" t="s">
        <v>9975</v>
      </c>
      <c r="D7642" t="s">
        <v>13031</v>
      </c>
      <c r="E7642" t="s">
        <v>19801</v>
      </c>
      <c r="F7642" t="s">
        <v>22436</v>
      </c>
      <c r="G7642" t="s">
        <v>22446</v>
      </c>
      <c r="H7642" t="s">
        <v>22452</v>
      </c>
      <c r="I7642" t="s">
        <v>22471</v>
      </c>
      <c r="J7642" t="s">
        <v>22954</v>
      </c>
      <c r="K7642" t="s">
        <v>29335</v>
      </c>
      <c r="M7642" t="s">
        <v>29927</v>
      </c>
      <c r="N7642" t="s">
        <v>32524</v>
      </c>
      <c r="O7642" t="s">
        <v>32525</v>
      </c>
      <c r="Q7642">
        <v>6</v>
      </c>
      <c r="R7642" t="s">
        <v>32533</v>
      </c>
      <c r="S7642" t="s">
        <v>32703</v>
      </c>
      <c r="T7642" t="s">
        <v>33209</v>
      </c>
      <c r="U7642" t="s">
        <v>34315</v>
      </c>
      <c r="W7642" t="s">
        <v>29927</v>
      </c>
      <c r="X7642" t="s">
        <v>32534</v>
      </c>
    </row>
    <row r="7643" spans="1:24">
      <c r="A7643">
        <f>HYPERLINK("https://www.philgeps.gov.ph/GEPSNONPILOT/Tender/SplashBidNoticeAbstractUI.aspx?menuIndex=3&amp;refID=7034194&amp;Result=3","7034194")</f>
        <v>0</v>
      </c>
      <c r="B7643" t="s">
        <v>282</v>
      </c>
      <c r="C7643" t="s">
        <v>9976</v>
      </c>
      <c r="D7643" t="s">
        <v>13002</v>
      </c>
      <c r="E7643" t="s">
        <v>19802</v>
      </c>
      <c r="F7643" t="s">
        <v>22436</v>
      </c>
      <c r="G7643" t="s">
        <v>22444</v>
      </c>
      <c r="H7643" t="s">
        <v>22452</v>
      </c>
      <c r="I7643" t="s">
        <v>22469</v>
      </c>
      <c r="J7643" t="s">
        <v>22960</v>
      </c>
      <c r="K7643" t="s">
        <v>29335</v>
      </c>
      <c r="M7643" t="s">
        <v>31069</v>
      </c>
      <c r="N7643" t="s">
        <v>32524</v>
      </c>
      <c r="O7643" t="s">
        <v>32525</v>
      </c>
      <c r="P7643">
        <v>0</v>
      </c>
      <c r="Q7643">
        <v>6</v>
      </c>
      <c r="R7643" t="s">
        <v>32533</v>
      </c>
      <c r="S7643" t="s">
        <v>32667</v>
      </c>
      <c r="T7643" t="s">
        <v>33191</v>
      </c>
      <c r="U7643" t="s">
        <v>39998</v>
      </c>
      <c r="V7643" t="s">
        <v>43255</v>
      </c>
      <c r="W7643" t="s">
        <v>31069</v>
      </c>
      <c r="X7643" t="s">
        <v>32534</v>
      </c>
    </row>
    <row r="7644" spans="1:24">
      <c r="A7644">
        <f>HYPERLINK("https://www.philgeps.gov.ph/GEPSNONPILOT/Tender/SplashBidNoticeAbstractUI.aspx?menuIndex=3&amp;refID=7034164&amp;Result=3","7034164")</f>
        <v>0</v>
      </c>
      <c r="B7644" t="s">
        <v>282</v>
      </c>
      <c r="C7644" t="s">
        <v>9977</v>
      </c>
      <c r="D7644" t="s">
        <v>13002</v>
      </c>
      <c r="E7644" t="s">
        <v>19803</v>
      </c>
      <c r="F7644" t="s">
        <v>22436</v>
      </c>
      <c r="G7644" t="s">
        <v>22444</v>
      </c>
      <c r="H7644" t="s">
        <v>22452</v>
      </c>
      <c r="I7644" t="s">
        <v>22502</v>
      </c>
      <c r="J7644" t="s">
        <v>27506</v>
      </c>
      <c r="K7644" t="s">
        <v>29333</v>
      </c>
      <c r="M7644" t="s">
        <v>31069</v>
      </c>
      <c r="N7644" t="s">
        <v>32524</v>
      </c>
      <c r="O7644" t="s">
        <v>32525</v>
      </c>
      <c r="P7644">
        <v>0</v>
      </c>
      <c r="Q7644">
        <v>30</v>
      </c>
      <c r="R7644" t="s">
        <v>32533</v>
      </c>
      <c r="S7644" t="s">
        <v>32667</v>
      </c>
      <c r="T7644" t="s">
        <v>33191</v>
      </c>
      <c r="U7644" t="s">
        <v>36972</v>
      </c>
      <c r="V7644" t="s">
        <v>42839</v>
      </c>
      <c r="W7644" t="s">
        <v>31069</v>
      </c>
      <c r="X7644" t="s">
        <v>32534</v>
      </c>
    </row>
    <row r="7645" spans="1:24">
      <c r="A7645">
        <f>HYPERLINK("https://www.philgeps.gov.ph/GEPSNONPILOT/Tender/SplashBidNoticeAbstractUI.aspx?menuIndex=3&amp;refID=7034193&amp;Result=3","7034193")</f>
        <v>0</v>
      </c>
      <c r="B7645" t="s">
        <v>746</v>
      </c>
      <c r="C7645" t="s">
        <v>9978</v>
      </c>
      <c r="D7645" t="s">
        <v>12999</v>
      </c>
      <c r="E7645" t="s">
        <v>19804</v>
      </c>
      <c r="F7645" t="s">
        <v>22436</v>
      </c>
      <c r="G7645" t="s">
        <v>22444</v>
      </c>
      <c r="H7645" t="s">
        <v>22452</v>
      </c>
      <c r="I7645" t="s">
        <v>22463</v>
      </c>
      <c r="J7645" t="s">
        <v>27507</v>
      </c>
      <c r="K7645" t="s">
        <v>29338</v>
      </c>
      <c r="M7645" t="s">
        <v>32031</v>
      </c>
      <c r="N7645" t="s">
        <v>32524</v>
      </c>
      <c r="O7645" t="s">
        <v>32525</v>
      </c>
      <c r="P7645">
        <v>0</v>
      </c>
      <c r="Q7645">
        <v>5</v>
      </c>
      <c r="R7645" t="s">
        <v>32533</v>
      </c>
      <c r="S7645" t="s">
        <v>32667</v>
      </c>
      <c r="T7645" t="s">
        <v>33242</v>
      </c>
      <c r="U7645" t="s">
        <v>39999</v>
      </c>
      <c r="V7645" t="s">
        <v>43259</v>
      </c>
      <c r="W7645" t="s">
        <v>32031</v>
      </c>
      <c r="X7645" t="s">
        <v>32534</v>
      </c>
    </row>
    <row r="7646" spans="1:24">
      <c r="A7646">
        <f>HYPERLINK("https://www.philgeps.gov.ph/GEPSNONPILOT/Tender/SplashBidNoticeAbstractUI.aspx?menuIndex=3&amp;refID=7034201&amp;Result=3","7034201")</f>
        <v>0</v>
      </c>
      <c r="B7646" t="s">
        <v>2262</v>
      </c>
      <c r="C7646" t="s">
        <v>9979</v>
      </c>
      <c r="D7646" t="s">
        <v>13020</v>
      </c>
      <c r="E7646" t="s">
        <v>19805</v>
      </c>
      <c r="F7646" t="s">
        <v>22436</v>
      </c>
      <c r="G7646" t="s">
        <v>22444</v>
      </c>
      <c r="H7646" t="s">
        <v>22454</v>
      </c>
      <c r="I7646" t="s">
        <v>7738</v>
      </c>
      <c r="J7646" t="s">
        <v>23347</v>
      </c>
      <c r="K7646" t="s">
        <v>29402</v>
      </c>
      <c r="L7646" t="s">
        <v>2262</v>
      </c>
      <c r="M7646" t="s">
        <v>32032</v>
      </c>
      <c r="N7646" t="s">
        <v>32524</v>
      </c>
      <c r="O7646" t="s">
        <v>32525</v>
      </c>
      <c r="P7646">
        <v>0</v>
      </c>
      <c r="Q7646">
        <v>9</v>
      </c>
      <c r="R7646" t="s">
        <v>32533</v>
      </c>
      <c r="S7646" t="s">
        <v>32667</v>
      </c>
      <c r="T7646" t="s">
        <v>33345</v>
      </c>
      <c r="U7646" t="s">
        <v>40000</v>
      </c>
      <c r="W7646" t="s">
        <v>32032</v>
      </c>
      <c r="X7646" t="s">
        <v>32534</v>
      </c>
    </row>
    <row r="7647" spans="1:24">
      <c r="A7647">
        <f>HYPERLINK("https://www.philgeps.gov.ph/GEPSNONPILOT/Tender/SplashBidNoticeAbstractUI.aspx?menuIndex=3&amp;refID=7034107&amp;Result=3","7034107")</f>
        <v>0</v>
      </c>
      <c r="B7647" t="s">
        <v>727</v>
      </c>
      <c r="C7647" t="s">
        <v>9980</v>
      </c>
      <c r="D7647" t="s">
        <v>13019</v>
      </c>
      <c r="E7647" t="s">
        <v>19806</v>
      </c>
      <c r="F7647" t="s">
        <v>22436</v>
      </c>
      <c r="G7647" t="s">
        <v>22444</v>
      </c>
      <c r="H7647" t="s">
        <v>22452</v>
      </c>
      <c r="I7647" t="s">
        <v>22474</v>
      </c>
      <c r="J7647" t="s">
        <v>27508</v>
      </c>
      <c r="K7647" t="s">
        <v>29335</v>
      </c>
      <c r="M7647" t="s">
        <v>30325</v>
      </c>
      <c r="N7647" t="s">
        <v>32524</v>
      </c>
      <c r="O7647" t="s">
        <v>32525</v>
      </c>
      <c r="P7647">
        <v>0</v>
      </c>
      <c r="Q7647">
        <v>11</v>
      </c>
      <c r="R7647" t="s">
        <v>32533</v>
      </c>
      <c r="S7647" t="s">
        <v>32667</v>
      </c>
      <c r="T7647" t="s">
        <v>33206</v>
      </c>
      <c r="U7647" t="s">
        <v>40001</v>
      </c>
      <c r="W7647" t="s">
        <v>30325</v>
      </c>
      <c r="X7647" t="s">
        <v>32534</v>
      </c>
    </row>
    <row r="7648" spans="1:24">
      <c r="A7648">
        <f>HYPERLINK("https://www.philgeps.gov.ph/GEPSNONPILOT/Tender/SplashBidNoticeAbstractUI.aspx?menuIndex=3&amp;refID=7034182&amp;Result=3","7034182")</f>
        <v>0</v>
      </c>
      <c r="B7648" t="s">
        <v>2257</v>
      </c>
      <c r="C7648" t="s">
        <v>9981</v>
      </c>
      <c r="D7648" t="s">
        <v>13006</v>
      </c>
      <c r="E7648" t="s">
        <v>19807</v>
      </c>
      <c r="F7648" t="s">
        <v>22436</v>
      </c>
      <c r="G7648" t="s">
        <v>22446</v>
      </c>
      <c r="H7648" t="s">
        <v>22452</v>
      </c>
      <c r="I7648" t="s">
        <v>3529</v>
      </c>
      <c r="J7648" t="s">
        <v>27492</v>
      </c>
      <c r="K7648" t="s">
        <v>29336</v>
      </c>
      <c r="M7648" t="s">
        <v>32025</v>
      </c>
      <c r="N7648" t="s">
        <v>32524</v>
      </c>
      <c r="O7648" t="s">
        <v>32525</v>
      </c>
      <c r="P7648">
        <v>0</v>
      </c>
      <c r="Q7648">
        <v>0</v>
      </c>
      <c r="R7648" t="s">
        <v>32533</v>
      </c>
      <c r="S7648" t="s">
        <v>32667</v>
      </c>
      <c r="T7648" t="s">
        <v>33209</v>
      </c>
      <c r="U7648" t="s">
        <v>39980</v>
      </c>
      <c r="W7648" t="s">
        <v>32025</v>
      </c>
      <c r="X7648" t="s">
        <v>32534</v>
      </c>
    </row>
    <row r="7649" spans="1:24">
      <c r="A7649">
        <f>HYPERLINK("https://www.philgeps.gov.ph/GEPSNONPILOT/Tender/SplashBidNoticeAbstractUI.aspx?menuIndex=3&amp;refID=7034208&amp;Result=3","7034208")</f>
        <v>0</v>
      </c>
      <c r="B7649" t="s">
        <v>304</v>
      </c>
      <c r="C7649" t="s">
        <v>9982</v>
      </c>
      <c r="D7649" t="s">
        <v>13000</v>
      </c>
      <c r="E7649" t="s">
        <v>19808</v>
      </c>
      <c r="F7649" t="s">
        <v>22436</v>
      </c>
      <c r="G7649" t="s">
        <v>22444</v>
      </c>
      <c r="H7649" t="s">
        <v>22452</v>
      </c>
      <c r="I7649" t="s">
        <v>6421</v>
      </c>
      <c r="J7649" t="s">
        <v>27509</v>
      </c>
      <c r="K7649" t="s">
        <v>29331</v>
      </c>
      <c r="M7649" t="s">
        <v>29878</v>
      </c>
      <c r="N7649" t="s">
        <v>32524</v>
      </c>
      <c r="O7649" t="s">
        <v>32525</v>
      </c>
      <c r="P7649">
        <v>0</v>
      </c>
      <c r="Q7649">
        <v>0</v>
      </c>
      <c r="R7649" t="s">
        <v>32533</v>
      </c>
      <c r="S7649" t="s">
        <v>32667</v>
      </c>
      <c r="T7649" t="s">
        <v>33459</v>
      </c>
      <c r="U7649" t="s">
        <v>40002</v>
      </c>
      <c r="V7649" t="s">
        <v>42522</v>
      </c>
      <c r="W7649" t="s">
        <v>29878</v>
      </c>
      <c r="X7649" t="s">
        <v>32534</v>
      </c>
    </row>
    <row r="7650" spans="1:24">
      <c r="A7650">
        <f>HYPERLINK("https://www.philgeps.gov.ph/GEPSNONPILOT/Tender/SplashBidNoticeAbstractUI.aspx?menuIndex=3&amp;refID=7034183&amp;Result=3","7034183")</f>
        <v>0</v>
      </c>
      <c r="B7650" t="s">
        <v>130</v>
      </c>
      <c r="C7650" t="s">
        <v>9983</v>
      </c>
      <c r="D7650" t="s">
        <v>12988</v>
      </c>
      <c r="E7650" t="s">
        <v>19809</v>
      </c>
      <c r="F7650" t="s">
        <v>22436</v>
      </c>
      <c r="G7650" t="s">
        <v>22444</v>
      </c>
      <c r="H7650" t="s">
        <v>22452</v>
      </c>
      <c r="I7650" t="s">
        <v>22466</v>
      </c>
      <c r="J7650" t="s">
        <v>27510</v>
      </c>
      <c r="K7650" t="s">
        <v>29335</v>
      </c>
      <c r="M7650" t="s">
        <v>31951</v>
      </c>
      <c r="N7650" t="s">
        <v>32524</v>
      </c>
      <c r="O7650" t="s">
        <v>32525</v>
      </c>
      <c r="P7650">
        <v>0</v>
      </c>
      <c r="Q7650">
        <v>8</v>
      </c>
      <c r="R7650" t="s">
        <v>32533</v>
      </c>
      <c r="S7650" t="s">
        <v>32667</v>
      </c>
      <c r="T7650" t="s">
        <v>33245</v>
      </c>
      <c r="U7650" t="s">
        <v>40003</v>
      </c>
      <c r="W7650" t="s">
        <v>31951</v>
      </c>
      <c r="X7650" t="s">
        <v>32534</v>
      </c>
    </row>
    <row r="7651" spans="1:24">
      <c r="A7651">
        <f>HYPERLINK("https://www.philgeps.gov.ph/GEPSNONPILOT/Tender/SplashBidNoticeAbstractUI.aspx?menuIndex=3&amp;refID=7034356&amp;Result=3","7034356")</f>
        <v>0</v>
      </c>
      <c r="B7651" t="s">
        <v>1601</v>
      </c>
      <c r="C7651" t="s">
        <v>9984</v>
      </c>
      <c r="D7651" t="s">
        <v>13001</v>
      </c>
      <c r="E7651" t="s">
        <v>19810</v>
      </c>
      <c r="F7651" t="s">
        <v>22436</v>
      </c>
      <c r="G7651" t="s">
        <v>22444</v>
      </c>
      <c r="H7651" t="s">
        <v>22452</v>
      </c>
      <c r="I7651" t="s">
        <v>22555</v>
      </c>
      <c r="J7651" t="s">
        <v>27511</v>
      </c>
      <c r="K7651" t="s">
        <v>29341</v>
      </c>
      <c r="M7651" t="s">
        <v>31285</v>
      </c>
      <c r="N7651" t="s">
        <v>32524</v>
      </c>
      <c r="O7651" t="s">
        <v>32525</v>
      </c>
      <c r="P7651">
        <v>0</v>
      </c>
      <c r="Q7651">
        <v>3</v>
      </c>
      <c r="R7651" t="s">
        <v>32533</v>
      </c>
      <c r="S7651" t="s">
        <v>32667</v>
      </c>
      <c r="T7651" t="s">
        <v>33249</v>
      </c>
      <c r="U7651" t="s">
        <v>40004</v>
      </c>
      <c r="W7651" t="s">
        <v>43749</v>
      </c>
      <c r="X7651" t="s">
        <v>32534</v>
      </c>
    </row>
    <row r="7652" spans="1:24">
      <c r="A7652">
        <f>HYPERLINK("https://www.philgeps.gov.ph/GEPSNONPILOT/Tender/SplashBidNoticeAbstractUI.aspx?menuIndex=3&amp;refID=7034344&amp;Result=3","7034344")</f>
        <v>0</v>
      </c>
      <c r="B7652" t="s">
        <v>2263</v>
      </c>
      <c r="C7652" t="s">
        <v>4471</v>
      </c>
      <c r="D7652" t="s">
        <v>12990</v>
      </c>
      <c r="E7652" t="s">
        <v>14777</v>
      </c>
      <c r="F7652" t="s">
        <v>22436</v>
      </c>
      <c r="G7652" t="s">
        <v>22444</v>
      </c>
      <c r="H7652" t="s">
        <v>22452</v>
      </c>
      <c r="I7652" t="s">
        <v>2981</v>
      </c>
      <c r="J7652" t="s">
        <v>27512</v>
      </c>
      <c r="K7652" t="s">
        <v>29338</v>
      </c>
      <c r="M7652" t="s">
        <v>32033</v>
      </c>
      <c r="N7652" t="s">
        <v>32524</v>
      </c>
      <c r="O7652" t="s">
        <v>32525</v>
      </c>
      <c r="P7652">
        <v>0</v>
      </c>
      <c r="Q7652">
        <v>0</v>
      </c>
      <c r="R7652" t="s">
        <v>32533</v>
      </c>
      <c r="S7652" t="s">
        <v>32667</v>
      </c>
      <c r="T7652" t="s">
        <v>33419</v>
      </c>
      <c r="U7652" t="s">
        <v>40005</v>
      </c>
      <c r="W7652" t="s">
        <v>32033</v>
      </c>
      <c r="X7652" t="s">
        <v>32534</v>
      </c>
    </row>
    <row r="7653" spans="1:24">
      <c r="A7653">
        <f>HYPERLINK("https://www.philgeps.gov.ph/GEPSNONPILOT/Tender/SplashBidNoticeAbstractUI.aspx?menuIndex=3&amp;refID=7034253&amp;Result=3","7034253")</f>
        <v>0</v>
      </c>
      <c r="B7653" t="s">
        <v>2264</v>
      </c>
      <c r="C7653" t="s">
        <v>9985</v>
      </c>
      <c r="E7653" t="s">
        <v>19811</v>
      </c>
      <c r="F7653" t="s">
        <v>22436</v>
      </c>
      <c r="G7653" t="s">
        <v>22444</v>
      </c>
      <c r="H7653" t="s">
        <v>22454</v>
      </c>
      <c r="I7653" t="s">
        <v>7738</v>
      </c>
      <c r="J7653" t="s">
        <v>23489</v>
      </c>
      <c r="K7653" t="s">
        <v>29404</v>
      </c>
      <c r="M7653" t="s">
        <v>32034</v>
      </c>
      <c r="N7653" t="s">
        <v>32524</v>
      </c>
      <c r="O7653" t="s">
        <v>32525</v>
      </c>
      <c r="P7653">
        <v>0</v>
      </c>
      <c r="Q7653">
        <v>1</v>
      </c>
      <c r="R7653" t="s">
        <v>32533</v>
      </c>
      <c r="S7653" t="s">
        <v>32667</v>
      </c>
      <c r="T7653" t="s">
        <v>33328</v>
      </c>
      <c r="U7653" t="s">
        <v>40006</v>
      </c>
      <c r="W7653" t="s">
        <v>32034</v>
      </c>
      <c r="X7653" t="s">
        <v>32534</v>
      </c>
    </row>
    <row r="7654" spans="1:24">
      <c r="A7654">
        <f>HYPERLINK("https://www.philgeps.gov.ph/GEPSNONPILOT/Tender/SplashBidNoticeAbstractUI.aspx?menuIndex=3&amp;refID=7034357&amp;Result=3","7034357")</f>
        <v>0</v>
      </c>
      <c r="B7654" t="s">
        <v>2262</v>
      </c>
      <c r="C7654" t="s">
        <v>9986</v>
      </c>
      <c r="D7654" t="s">
        <v>13020</v>
      </c>
      <c r="E7654" t="s">
        <v>19812</v>
      </c>
      <c r="F7654" t="s">
        <v>22436</v>
      </c>
      <c r="G7654" t="s">
        <v>22444</v>
      </c>
      <c r="H7654" t="s">
        <v>22454</v>
      </c>
      <c r="I7654" t="s">
        <v>7738</v>
      </c>
      <c r="J7654" t="s">
        <v>23347</v>
      </c>
      <c r="K7654" t="s">
        <v>29391</v>
      </c>
      <c r="L7654" t="s">
        <v>2262</v>
      </c>
      <c r="M7654" t="s">
        <v>32032</v>
      </c>
      <c r="N7654" t="s">
        <v>32524</v>
      </c>
      <c r="O7654" t="s">
        <v>32525</v>
      </c>
      <c r="P7654">
        <v>0</v>
      </c>
      <c r="Q7654">
        <v>8</v>
      </c>
      <c r="R7654" t="s">
        <v>32533</v>
      </c>
      <c r="S7654" t="s">
        <v>32667</v>
      </c>
      <c r="T7654" t="s">
        <v>33345</v>
      </c>
      <c r="U7654" t="s">
        <v>40007</v>
      </c>
      <c r="W7654" t="s">
        <v>32032</v>
      </c>
      <c r="X7654" t="s">
        <v>32534</v>
      </c>
    </row>
    <row r="7655" spans="1:24">
      <c r="A7655">
        <f>HYPERLINK("https://www.philgeps.gov.ph/GEPSNONPILOT/Tender/SplashBidNoticeAbstractUI.aspx?menuIndex=3&amp;refID=7034347&amp;Result=3","7034347")</f>
        <v>0</v>
      </c>
      <c r="B7655" t="s">
        <v>71</v>
      </c>
      <c r="C7655" t="s">
        <v>9987</v>
      </c>
      <c r="D7655" t="s">
        <v>13007</v>
      </c>
      <c r="E7655" t="s">
        <v>19813</v>
      </c>
      <c r="F7655" t="s">
        <v>22436</v>
      </c>
      <c r="G7655" t="s">
        <v>22444</v>
      </c>
      <c r="H7655" t="s">
        <v>22452</v>
      </c>
      <c r="I7655" t="s">
        <v>6421</v>
      </c>
      <c r="J7655" t="s">
        <v>27513</v>
      </c>
      <c r="K7655" t="s">
        <v>29338</v>
      </c>
      <c r="M7655" t="s">
        <v>29643</v>
      </c>
      <c r="N7655" t="s">
        <v>32524</v>
      </c>
      <c r="O7655" t="s">
        <v>32525</v>
      </c>
      <c r="P7655">
        <v>0</v>
      </c>
      <c r="Q7655">
        <v>3</v>
      </c>
      <c r="R7655" t="s">
        <v>32533</v>
      </c>
      <c r="S7655" t="s">
        <v>32667</v>
      </c>
      <c r="T7655" t="s">
        <v>33486</v>
      </c>
      <c r="U7655" t="s">
        <v>40008</v>
      </c>
      <c r="V7655" t="s">
        <v>42441</v>
      </c>
      <c r="W7655" t="s">
        <v>29643</v>
      </c>
      <c r="X7655" t="s">
        <v>32534</v>
      </c>
    </row>
    <row r="7656" spans="1:24">
      <c r="A7656">
        <f>HYPERLINK("https://www.philgeps.gov.ph/GEPSNONPILOT/Tender/SplashBidNoticeAbstractUI.aspx?menuIndex=3&amp;refID=7034328&amp;Result=3","7034328")</f>
        <v>0</v>
      </c>
      <c r="B7656" t="s">
        <v>59</v>
      </c>
      <c r="C7656" t="s">
        <v>9988</v>
      </c>
      <c r="D7656" t="s">
        <v>13004</v>
      </c>
      <c r="E7656" t="s">
        <v>19814</v>
      </c>
      <c r="F7656" t="s">
        <v>22436</v>
      </c>
      <c r="G7656" t="s">
        <v>22450</v>
      </c>
      <c r="H7656" t="s">
        <v>22455</v>
      </c>
      <c r="I7656" t="s">
        <v>22455</v>
      </c>
      <c r="J7656" t="s">
        <v>27514</v>
      </c>
      <c r="K7656" t="s">
        <v>29338</v>
      </c>
      <c r="L7656" t="s">
        <v>59</v>
      </c>
      <c r="M7656" t="s">
        <v>31345</v>
      </c>
      <c r="N7656" t="s">
        <v>32524</v>
      </c>
      <c r="O7656" t="s">
        <v>32525</v>
      </c>
      <c r="Q7656">
        <v>4</v>
      </c>
      <c r="R7656" t="s">
        <v>32533</v>
      </c>
      <c r="S7656" t="s">
        <v>32704</v>
      </c>
      <c r="T7656" t="s">
        <v>33558</v>
      </c>
      <c r="U7656" t="s">
        <v>40009</v>
      </c>
      <c r="W7656" t="s">
        <v>31345</v>
      </c>
      <c r="X7656" t="s">
        <v>32534</v>
      </c>
    </row>
    <row r="7657" spans="1:24">
      <c r="A7657">
        <f>HYPERLINK("https://www.philgeps.gov.ph/GEPSNONPILOT/Tender/SplashBidNoticeAbstractUI.aspx?menuIndex=3&amp;refID=7034104&amp;Result=3","7034104")</f>
        <v>0</v>
      </c>
      <c r="B7657" t="s">
        <v>2265</v>
      </c>
      <c r="C7657" t="s">
        <v>9989</v>
      </c>
      <c r="E7657" t="s">
        <v>19815</v>
      </c>
      <c r="F7657" t="s">
        <v>22436</v>
      </c>
      <c r="G7657" t="s">
        <v>22444</v>
      </c>
      <c r="H7657" t="s">
        <v>22454</v>
      </c>
      <c r="I7657" t="s">
        <v>7738</v>
      </c>
      <c r="J7657" t="s">
        <v>22605</v>
      </c>
      <c r="K7657" t="s">
        <v>29411</v>
      </c>
      <c r="M7657" t="s">
        <v>32035</v>
      </c>
      <c r="N7657" t="s">
        <v>32524</v>
      </c>
      <c r="O7657" t="s">
        <v>32525</v>
      </c>
      <c r="P7657">
        <v>0</v>
      </c>
      <c r="Q7657">
        <v>0</v>
      </c>
      <c r="R7657" t="s">
        <v>32533</v>
      </c>
      <c r="S7657" t="s">
        <v>32667</v>
      </c>
      <c r="T7657" t="s">
        <v>33328</v>
      </c>
      <c r="U7657" t="s">
        <v>40010</v>
      </c>
      <c r="W7657" t="s">
        <v>32035</v>
      </c>
      <c r="X7657" t="s">
        <v>32534</v>
      </c>
    </row>
    <row r="7658" spans="1:24">
      <c r="A7658">
        <f>HYPERLINK("https://www.philgeps.gov.ph/GEPSNONPILOT/Tender/SplashBidNoticeAbstractUI.aspx?menuIndex=3&amp;refID=7034249&amp;Result=3","7034249")</f>
        <v>0</v>
      </c>
      <c r="B7658" t="s">
        <v>2257</v>
      </c>
      <c r="C7658" t="s">
        <v>9990</v>
      </c>
      <c r="D7658" t="s">
        <v>13006</v>
      </c>
      <c r="E7658" t="s">
        <v>18868</v>
      </c>
      <c r="F7658" t="s">
        <v>22436</v>
      </c>
      <c r="G7658" t="s">
        <v>22446</v>
      </c>
      <c r="H7658" t="s">
        <v>22452</v>
      </c>
      <c r="I7658" t="s">
        <v>3529</v>
      </c>
      <c r="J7658" t="s">
        <v>27492</v>
      </c>
      <c r="K7658" t="s">
        <v>29336</v>
      </c>
      <c r="M7658" t="s">
        <v>32025</v>
      </c>
      <c r="N7658" t="s">
        <v>32524</v>
      </c>
      <c r="O7658" t="s">
        <v>32525</v>
      </c>
      <c r="P7658">
        <v>0</v>
      </c>
      <c r="Q7658">
        <v>0</v>
      </c>
      <c r="R7658" t="s">
        <v>32533</v>
      </c>
      <c r="S7658" t="s">
        <v>32667</v>
      </c>
      <c r="T7658" t="s">
        <v>33209</v>
      </c>
      <c r="U7658" t="s">
        <v>39980</v>
      </c>
      <c r="W7658" t="s">
        <v>32025</v>
      </c>
      <c r="X7658" t="s">
        <v>32534</v>
      </c>
    </row>
    <row r="7659" spans="1:24">
      <c r="A7659">
        <f>HYPERLINK("https://www.philgeps.gov.ph/GEPSNONPILOT/Tender/SplashBidNoticeAbstractUI.aspx?menuIndex=3&amp;refID=7034353&amp;Result=3","7034353")</f>
        <v>0</v>
      </c>
      <c r="B7659" t="s">
        <v>2266</v>
      </c>
      <c r="C7659" t="s">
        <v>9991</v>
      </c>
      <c r="D7659" t="s">
        <v>13032</v>
      </c>
      <c r="E7659" t="s">
        <v>13368</v>
      </c>
      <c r="F7659" t="s">
        <v>22436</v>
      </c>
      <c r="G7659" t="s">
        <v>22444</v>
      </c>
      <c r="H7659" t="s">
        <v>22454</v>
      </c>
      <c r="I7659" t="s">
        <v>7738</v>
      </c>
      <c r="J7659" t="s">
        <v>27515</v>
      </c>
      <c r="K7659" t="s">
        <v>29337</v>
      </c>
      <c r="M7659" t="s">
        <v>32036</v>
      </c>
      <c r="N7659" t="s">
        <v>32524</v>
      </c>
      <c r="O7659" t="s">
        <v>32525</v>
      </c>
      <c r="Q7659">
        <v>0</v>
      </c>
      <c r="R7659" t="s">
        <v>32533</v>
      </c>
      <c r="S7659" t="s">
        <v>32705</v>
      </c>
      <c r="T7659" t="s">
        <v>33161</v>
      </c>
      <c r="U7659" t="s">
        <v>40011</v>
      </c>
      <c r="W7659" t="s">
        <v>32036</v>
      </c>
      <c r="X7659" t="s">
        <v>32534</v>
      </c>
    </row>
    <row r="7660" spans="1:24">
      <c r="A7660">
        <f>HYPERLINK("https://www.philgeps.gov.ph/GEPSNONPILOT/Tender/SplashBidNoticeAbstractUI.aspx?menuIndex=3&amp;refID=7034358&amp;Result=3","7034358")</f>
        <v>0</v>
      </c>
      <c r="B7660" t="s">
        <v>497</v>
      </c>
      <c r="C7660" t="s">
        <v>9992</v>
      </c>
      <c r="D7660" t="s">
        <v>13018</v>
      </c>
      <c r="E7660" t="s">
        <v>19816</v>
      </c>
      <c r="F7660" t="s">
        <v>22436</v>
      </c>
      <c r="G7660" t="s">
        <v>22444</v>
      </c>
      <c r="H7660" t="s">
        <v>22452</v>
      </c>
      <c r="I7660" t="s">
        <v>3827</v>
      </c>
      <c r="J7660" t="s">
        <v>27516</v>
      </c>
      <c r="K7660" t="s">
        <v>29335</v>
      </c>
      <c r="M7660" t="s">
        <v>30081</v>
      </c>
      <c r="N7660" t="s">
        <v>32524</v>
      </c>
      <c r="O7660" t="s">
        <v>32525</v>
      </c>
      <c r="P7660">
        <v>0</v>
      </c>
      <c r="Q7660">
        <v>0</v>
      </c>
      <c r="R7660" t="s">
        <v>32533</v>
      </c>
      <c r="S7660" t="s">
        <v>32667</v>
      </c>
      <c r="T7660" t="s">
        <v>33259</v>
      </c>
      <c r="U7660" t="s">
        <v>40012</v>
      </c>
      <c r="W7660" t="s">
        <v>30081</v>
      </c>
      <c r="X7660" t="s">
        <v>32534</v>
      </c>
    </row>
    <row r="7661" spans="1:24">
      <c r="A7661">
        <f>HYPERLINK("https://www.philgeps.gov.ph/GEPSNONPILOT/Tender/SplashBidNoticeAbstractUI.aspx?menuIndex=3&amp;refID=7034326&amp;Result=3","7034326")</f>
        <v>0</v>
      </c>
      <c r="B7661" t="s">
        <v>2267</v>
      </c>
      <c r="C7661" t="s">
        <v>9993</v>
      </c>
      <c r="D7661" t="s">
        <v>12988</v>
      </c>
      <c r="E7661" t="s">
        <v>13318</v>
      </c>
      <c r="F7661" t="s">
        <v>22437</v>
      </c>
      <c r="G7661" t="s">
        <v>22444</v>
      </c>
      <c r="H7661" t="s">
        <v>22452</v>
      </c>
      <c r="I7661" t="s">
        <v>3840</v>
      </c>
      <c r="J7661" t="s">
        <v>27517</v>
      </c>
      <c r="K7661" t="s">
        <v>29336</v>
      </c>
      <c r="M7661" t="s">
        <v>32037</v>
      </c>
      <c r="N7661" t="s">
        <v>32524</v>
      </c>
      <c r="O7661" t="s">
        <v>32525</v>
      </c>
      <c r="P7661">
        <v>0</v>
      </c>
      <c r="Q7661">
        <v>8</v>
      </c>
      <c r="R7661" t="s">
        <v>32533</v>
      </c>
      <c r="S7661" t="s">
        <v>32667</v>
      </c>
      <c r="T7661" t="s">
        <v>33168</v>
      </c>
      <c r="U7661" t="s">
        <v>40013</v>
      </c>
      <c r="W7661" t="s">
        <v>32037</v>
      </c>
      <c r="X7661" t="s">
        <v>32534</v>
      </c>
    </row>
    <row r="7662" spans="1:24">
      <c r="A7662">
        <f>HYPERLINK("https://www.philgeps.gov.ph/GEPSNONPILOT/Tender/SplashBidNoticeAbstractUI.aspx?menuIndex=3&amp;refID=7034350&amp;Result=3","7034350")</f>
        <v>0</v>
      </c>
      <c r="B7662" t="s">
        <v>88</v>
      </c>
      <c r="C7662" t="s">
        <v>4425</v>
      </c>
      <c r="D7662" t="s">
        <v>13025</v>
      </c>
      <c r="E7662" t="s">
        <v>19817</v>
      </c>
      <c r="F7662" t="s">
        <v>22436</v>
      </c>
      <c r="G7662" t="s">
        <v>22444</v>
      </c>
      <c r="H7662" t="s">
        <v>22452</v>
      </c>
      <c r="I7662" t="s">
        <v>22460</v>
      </c>
      <c r="J7662" t="s">
        <v>27518</v>
      </c>
      <c r="K7662" t="s">
        <v>29338</v>
      </c>
      <c r="M7662" t="s">
        <v>29660</v>
      </c>
      <c r="N7662" t="s">
        <v>32524</v>
      </c>
      <c r="O7662" t="s">
        <v>32525</v>
      </c>
      <c r="P7662">
        <v>0</v>
      </c>
      <c r="Q7662">
        <v>0</v>
      </c>
      <c r="R7662" t="s">
        <v>32533</v>
      </c>
      <c r="S7662" t="s">
        <v>32667</v>
      </c>
      <c r="T7662" t="s">
        <v>33323</v>
      </c>
      <c r="U7662" t="s">
        <v>35181</v>
      </c>
      <c r="W7662" t="s">
        <v>29660</v>
      </c>
      <c r="X7662" t="s">
        <v>32534</v>
      </c>
    </row>
    <row r="7663" spans="1:24">
      <c r="A7663">
        <f>HYPERLINK("https://www.philgeps.gov.ph/GEPSNONPILOT/Tender/SplashBidNoticeAbstractUI.aspx?menuIndex=3&amp;refID=7034290&amp;Result=3","7034290")</f>
        <v>0</v>
      </c>
      <c r="B7663" t="s">
        <v>88</v>
      </c>
      <c r="C7663" t="s">
        <v>9994</v>
      </c>
      <c r="D7663" t="s">
        <v>13025</v>
      </c>
      <c r="E7663" t="s">
        <v>19818</v>
      </c>
      <c r="F7663" t="s">
        <v>22436</v>
      </c>
      <c r="G7663" t="s">
        <v>22444</v>
      </c>
      <c r="H7663" t="s">
        <v>22452</v>
      </c>
      <c r="I7663" t="s">
        <v>22460</v>
      </c>
      <c r="J7663" t="s">
        <v>27519</v>
      </c>
      <c r="K7663" t="s">
        <v>29338</v>
      </c>
      <c r="M7663" t="s">
        <v>29660</v>
      </c>
      <c r="N7663" t="s">
        <v>32524</v>
      </c>
      <c r="O7663" t="s">
        <v>32525</v>
      </c>
      <c r="P7663">
        <v>0</v>
      </c>
      <c r="Q7663">
        <v>0</v>
      </c>
      <c r="R7663" t="s">
        <v>32533</v>
      </c>
      <c r="S7663" t="s">
        <v>32667</v>
      </c>
      <c r="T7663" t="s">
        <v>33323</v>
      </c>
      <c r="U7663" t="s">
        <v>35181</v>
      </c>
      <c r="W7663" t="s">
        <v>29660</v>
      </c>
      <c r="X7663" t="s">
        <v>32534</v>
      </c>
    </row>
    <row r="7664" spans="1:24">
      <c r="A7664">
        <f>HYPERLINK("https://www.philgeps.gov.ph/GEPSNONPILOT/Tender/SplashBidNoticeAbstractUI.aspx?menuIndex=3&amp;refID=7034297&amp;Result=3","7034297")</f>
        <v>0</v>
      </c>
      <c r="B7664" t="s">
        <v>1350</v>
      </c>
      <c r="C7664" t="s">
        <v>9995</v>
      </c>
      <c r="D7664" t="s">
        <v>13013</v>
      </c>
      <c r="E7664" t="s">
        <v>19819</v>
      </c>
      <c r="F7664" t="s">
        <v>22436</v>
      </c>
      <c r="G7664" t="s">
        <v>22446</v>
      </c>
      <c r="H7664" t="s">
        <v>22452</v>
      </c>
      <c r="I7664" t="s">
        <v>22467</v>
      </c>
      <c r="J7664" t="s">
        <v>27520</v>
      </c>
      <c r="K7664" t="s">
        <v>29330</v>
      </c>
      <c r="M7664" t="s">
        <v>31006</v>
      </c>
      <c r="N7664" t="s">
        <v>32524</v>
      </c>
      <c r="O7664" t="s">
        <v>32525</v>
      </c>
      <c r="P7664">
        <v>0</v>
      </c>
      <c r="Q7664">
        <v>0</v>
      </c>
      <c r="R7664" t="s">
        <v>32533</v>
      </c>
      <c r="S7664" t="s">
        <v>32667</v>
      </c>
      <c r="T7664" t="s">
        <v>33197</v>
      </c>
      <c r="U7664" t="s">
        <v>40014</v>
      </c>
      <c r="W7664" t="s">
        <v>31006</v>
      </c>
      <c r="X7664" t="s">
        <v>32534</v>
      </c>
    </row>
    <row r="7665" spans="1:24">
      <c r="A7665">
        <f>HYPERLINK("https://www.philgeps.gov.ph/GEPSNONPILOT/Tender/SplashBidNoticeAbstractUI.aspx?menuIndex=3&amp;refID=7034279&amp;Result=3","7034279")</f>
        <v>0</v>
      </c>
      <c r="B7665" t="s">
        <v>332</v>
      </c>
      <c r="C7665" t="s">
        <v>9996</v>
      </c>
      <c r="D7665" t="s">
        <v>13013</v>
      </c>
      <c r="E7665" t="s">
        <v>19820</v>
      </c>
      <c r="F7665" t="s">
        <v>22436</v>
      </c>
      <c r="G7665" t="s">
        <v>22443</v>
      </c>
      <c r="H7665" t="s">
        <v>22452</v>
      </c>
      <c r="I7665" t="s">
        <v>2962</v>
      </c>
      <c r="J7665" t="s">
        <v>23779</v>
      </c>
      <c r="K7665" t="s">
        <v>29353</v>
      </c>
      <c r="M7665" t="s">
        <v>29908</v>
      </c>
      <c r="N7665" t="s">
        <v>32524</v>
      </c>
      <c r="O7665" t="s">
        <v>32525</v>
      </c>
      <c r="P7665">
        <v>0</v>
      </c>
      <c r="Q7665">
        <v>0</v>
      </c>
      <c r="R7665" t="s">
        <v>32533</v>
      </c>
      <c r="S7665" t="s">
        <v>32667</v>
      </c>
      <c r="T7665" t="s">
        <v>33185</v>
      </c>
      <c r="U7665" t="s">
        <v>40015</v>
      </c>
      <c r="W7665" t="s">
        <v>43678</v>
      </c>
      <c r="X7665" t="s">
        <v>32534</v>
      </c>
    </row>
    <row r="7666" spans="1:24">
      <c r="A7666">
        <f>HYPERLINK("https://www.philgeps.gov.ph/GEPSNONPILOT/Tender/SplashBidNoticeAbstractUI.aspx?menuIndex=3&amp;refID=7034296&amp;Result=3","7034296")</f>
        <v>0</v>
      </c>
      <c r="B7666" t="s">
        <v>1486</v>
      </c>
      <c r="C7666" t="s">
        <v>9997</v>
      </c>
      <c r="D7666" t="s">
        <v>13037</v>
      </c>
      <c r="E7666" t="s">
        <v>19821</v>
      </c>
      <c r="F7666" t="s">
        <v>22436</v>
      </c>
      <c r="G7666" t="s">
        <v>22444</v>
      </c>
      <c r="H7666" t="s">
        <v>22454</v>
      </c>
      <c r="I7666" t="s">
        <v>7738</v>
      </c>
      <c r="J7666" t="s">
        <v>22624</v>
      </c>
      <c r="K7666" t="s">
        <v>29333</v>
      </c>
      <c r="M7666" t="s">
        <v>31159</v>
      </c>
      <c r="N7666" t="s">
        <v>32524</v>
      </c>
      <c r="O7666" t="s">
        <v>32525</v>
      </c>
      <c r="P7666">
        <v>0</v>
      </c>
      <c r="Q7666">
        <v>0</v>
      </c>
      <c r="R7666" t="s">
        <v>32533</v>
      </c>
      <c r="S7666" t="s">
        <v>32667</v>
      </c>
      <c r="T7666" t="s">
        <v>33249</v>
      </c>
      <c r="U7666" t="s">
        <v>40016</v>
      </c>
      <c r="W7666" t="s">
        <v>31159</v>
      </c>
      <c r="X7666" t="s">
        <v>32534</v>
      </c>
    </row>
    <row r="7667" spans="1:24">
      <c r="A7667">
        <f>HYPERLINK("https://www.philgeps.gov.ph/GEPSNONPILOT/Tender/SplashBidNoticeAbstractUI.aspx?menuIndex=3&amp;refID=7034294&amp;Result=3","7034294")</f>
        <v>0</v>
      </c>
      <c r="B7667" t="s">
        <v>2268</v>
      </c>
      <c r="C7667" t="s">
        <v>4471</v>
      </c>
      <c r="D7667" t="s">
        <v>12990</v>
      </c>
      <c r="E7667" t="s">
        <v>14777</v>
      </c>
      <c r="F7667" t="s">
        <v>22436</v>
      </c>
      <c r="G7667" t="s">
        <v>22444</v>
      </c>
      <c r="H7667" t="s">
        <v>22452</v>
      </c>
      <c r="I7667" t="s">
        <v>2981</v>
      </c>
      <c r="J7667" t="s">
        <v>27521</v>
      </c>
      <c r="K7667" t="s">
        <v>29338</v>
      </c>
      <c r="M7667" t="s">
        <v>32038</v>
      </c>
      <c r="N7667" t="s">
        <v>32524</v>
      </c>
      <c r="O7667" t="s">
        <v>32525</v>
      </c>
      <c r="P7667">
        <v>0</v>
      </c>
      <c r="Q7667">
        <v>0</v>
      </c>
      <c r="R7667" t="s">
        <v>32533</v>
      </c>
      <c r="S7667" t="s">
        <v>32667</v>
      </c>
      <c r="T7667" t="s">
        <v>33323</v>
      </c>
      <c r="U7667" t="s">
        <v>40017</v>
      </c>
      <c r="W7667" t="s">
        <v>32038</v>
      </c>
      <c r="X7667" t="s">
        <v>32534</v>
      </c>
    </row>
    <row r="7668" spans="1:24">
      <c r="A7668">
        <f>HYPERLINK("https://www.philgeps.gov.ph/GEPSNONPILOT/Tender/SplashBidNoticeAbstractUI.aspx?menuIndex=3&amp;refID=7034302&amp;Result=3","7034302")</f>
        <v>0</v>
      </c>
      <c r="B7668" t="s">
        <v>717</v>
      </c>
      <c r="C7668" t="s">
        <v>9998</v>
      </c>
      <c r="D7668" t="s">
        <v>13024</v>
      </c>
      <c r="E7668" t="s">
        <v>19822</v>
      </c>
      <c r="F7668" t="s">
        <v>22436</v>
      </c>
      <c r="G7668" t="s">
        <v>22447</v>
      </c>
      <c r="H7668" t="s">
        <v>22452</v>
      </c>
      <c r="I7668" t="s">
        <v>3529</v>
      </c>
      <c r="J7668" t="s">
        <v>27522</v>
      </c>
      <c r="K7668" t="s">
        <v>29335</v>
      </c>
      <c r="M7668" t="s">
        <v>32039</v>
      </c>
      <c r="N7668" t="s">
        <v>32524</v>
      </c>
      <c r="O7668" t="s">
        <v>32525</v>
      </c>
      <c r="P7668">
        <v>0</v>
      </c>
      <c r="Q7668">
        <v>1</v>
      </c>
      <c r="R7668" t="s">
        <v>32533</v>
      </c>
      <c r="S7668" t="s">
        <v>32667</v>
      </c>
      <c r="T7668" t="s">
        <v>33406</v>
      </c>
      <c r="U7668" t="s">
        <v>40018</v>
      </c>
      <c r="W7668" t="s">
        <v>32039</v>
      </c>
      <c r="X7668" t="s">
        <v>32534</v>
      </c>
    </row>
    <row r="7669" spans="1:24">
      <c r="A7669">
        <f>HYPERLINK("https://www.philgeps.gov.ph/GEPSNONPILOT/Tender/SplashBidNoticeAbstractUI.aspx?menuIndex=3&amp;refID=7034265&amp;Result=3","7034265")</f>
        <v>0</v>
      </c>
      <c r="B7669" t="s">
        <v>59</v>
      </c>
      <c r="C7669" t="s">
        <v>9999</v>
      </c>
      <c r="D7669" t="s">
        <v>13016</v>
      </c>
      <c r="E7669" t="s">
        <v>19823</v>
      </c>
      <c r="F7669" t="s">
        <v>22436</v>
      </c>
      <c r="G7669" t="s">
        <v>22450</v>
      </c>
      <c r="H7669" t="s">
        <v>22455</v>
      </c>
      <c r="I7669" t="s">
        <v>22455</v>
      </c>
      <c r="J7669" t="s">
        <v>27523</v>
      </c>
      <c r="K7669" t="s">
        <v>29338</v>
      </c>
      <c r="L7669" t="s">
        <v>59</v>
      </c>
      <c r="M7669" t="s">
        <v>31345</v>
      </c>
      <c r="N7669" t="s">
        <v>32524</v>
      </c>
      <c r="O7669" t="s">
        <v>32525</v>
      </c>
      <c r="Q7669">
        <v>4</v>
      </c>
      <c r="R7669" t="s">
        <v>32533</v>
      </c>
      <c r="S7669" t="s">
        <v>32706</v>
      </c>
      <c r="T7669" t="s">
        <v>33157</v>
      </c>
      <c r="U7669" t="s">
        <v>40019</v>
      </c>
      <c r="W7669" t="s">
        <v>31345</v>
      </c>
      <c r="X7669" t="s">
        <v>32534</v>
      </c>
    </row>
    <row r="7670" spans="1:24">
      <c r="A7670">
        <f>HYPERLINK("https://www.philgeps.gov.ph/GEPSNONPILOT/Tender/SplashBidNoticeAbstractUI.aspx?menuIndex=3&amp;refID=7034322&amp;Result=3","7034322")</f>
        <v>0</v>
      </c>
      <c r="B7670" t="s">
        <v>88</v>
      </c>
      <c r="C7670" t="s">
        <v>10000</v>
      </c>
      <c r="D7670" t="s">
        <v>13025</v>
      </c>
      <c r="E7670" t="s">
        <v>19824</v>
      </c>
      <c r="F7670" t="s">
        <v>22436</v>
      </c>
      <c r="G7670" t="s">
        <v>22444</v>
      </c>
      <c r="H7670" t="s">
        <v>22452</v>
      </c>
      <c r="I7670" t="s">
        <v>22460</v>
      </c>
      <c r="J7670" t="s">
        <v>27524</v>
      </c>
      <c r="K7670" t="s">
        <v>29338</v>
      </c>
      <c r="M7670" t="s">
        <v>29660</v>
      </c>
      <c r="N7670" t="s">
        <v>32524</v>
      </c>
      <c r="O7670" t="s">
        <v>32525</v>
      </c>
      <c r="P7670">
        <v>0</v>
      </c>
      <c r="Q7670">
        <v>0</v>
      </c>
      <c r="R7670" t="s">
        <v>32533</v>
      </c>
      <c r="S7670" t="s">
        <v>32667</v>
      </c>
      <c r="T7670" t="s">
        <v>33323</v>
      </c>
      <c r="U7670" t="s">
        <v>35181</v>
      </c>
      <c r="W7670" t="s">
        <v>29660</v>
      </c>
      <c r="X7670" t="s">
        <v>32534</v>
      </c>
    </row>
    <row r="7671" spans="1:24">
      <c r="A7671">
        <f>HYPERLINK("https://www.philgeps.gov.ph/GEPSNONPILOT/Tender/SplashBidNoticeAbstractUI.aspx?menuIndex=3&amp;refID=7034261&amp;Result=3","7034261")</f>
        <v>0</v>
      </c>
      <c r="B7671" t="s">
        <v>714</v>
      </c>
      <c r="C7671" t="s">
        <v>10001</v>
      </c>
      <c r="D7671" t="s">
        <v>13016</v>
      </c>
      <c r="E7671" t="s">
        <v>19825</v>
      </c>
      <c r="F7671" t="s">
        <v>22436</v>
      </c>
      <c r="G7671" t="s">
        <v>22444</v>
      </c>
      <c r="H7671" t="s">
        <v>22454</v>
      </c>
      <c r="I7671" t="s">
        <v>3529</v>
      </c>
      <c r="J7671" t="s">
        <v>27525</v>
      </c>
      <c r="K7671" t="s">
        <v>29333</v>
      </c>
      <c r="M7671" t="s">
        <v>30311</v>
      </c>
      <c r="N7671" t="s">
        <v>32524</v>
      </c>
      <c r="O7671" t="s">
        <v>32525</v>
      </c>
      <c r="P7671">
        <v>0</v>
      </c>
      <c r="Q7671">
        <v>0</v>
      </c>
      <c r="R7671" t="s">
        <v>32533</v>
      </c>
      <c r="S7671" t="s">
        <v>32667</v>
      </c>
      <c r="T7671" t="s">
        <v>33230</v>
      </c>
      <c r="U7671" t="s">
        <v>40020</v>
      </c>
      <c r="W7671" t="s">
        <v>30311</v>
      </c>
      <c r="X7671" t="s">
        <v>32534</v>
      </c>
    </row>
    <row r="7672" spans="1:24">
      <c r="A7672">
        <f>HYPERLINK("https://www.philgeps.gov.ph/GEPSNONPILOT/Tender/SplashBidNoticeAbstractUI.aspx?menuIndex=3&amp;refID=7034378&amp;Result=3","7034378")</f>
        <v>0</v>
      </c>
      <c r="B7672" t="s">
        <v>88</v>
      </c>
      <c r="C7672" t="s">
        <v>10002</v>
      </c>
      <c r="D7672" t="s">
        <v>13025</v>
      </c>
      <c r="E7672" t="s">
        <v>19826</v>
      </c>
      <c r="F7672" t="s">
        <v>22436</v>
      </c>
      <c r="G7672" t="s">
        <v>22444</v>
      </c>
      <c r="H7672" t="s">
        <v>22452</v>
      </c>
      <c r="I7672" t="s">
        <v>3827</v>
      </c>
      <c r="J7672" t="s">
        <v>22619</v>
      </c>
      <c r="K7672" t="s">
        <v>29338</v>
      </c>
      <c r="M7672" t="s">
        <v>29660</v>
      </c>
      <c r="N7672" t="s">
        <v>32524</v>
      </c>
      <c r="O7672" t="s">
        <v>32525</v>
      </c>
      <c r="P7672">
        <v>0</v>
      </c>
      <c r="Q7672">
        <v>0</v>
      </c>
      <c r="R7672" t="s">
        <v>32533</v>
      </c>
      <c r="S7672" t="s">
        <v>32667</v>
      </c>
      <c r="T7672" t="s">
        <v>33323</v>
      </c>
      <c r="U7672" t="s">
        <v>35181</v>
      </c>
      <c r="W7672" t="s">
        <v>29660</v>
      </c>
      <c r="X7672" t="s">
        <v>32534</v>
      </c>
    </row>
    <row r="7673" spans="1:24">
      <c r="A7673">
        <f>HYPERLINK("https://www.philgeps.gov.ph/GEPSNONPILOT/Tender/SplashBidNoticeAbstractUI.aspx?menuIndex=3&amp;refID=7034312&amp;Result=3","7034312")</f>
        <v>0</v>
      </c>
      <c r="B7673" t="s">
        <v>2269</v>
      </c>
      <c r="C7673" t="s">
        <v>10003</v>
      </c>
      <c r="D7673" t="s">
        <v>13007</v>
      </c>
      <c r="E7673" t="s">
        <v>19827</v>
      </c>
      <c r="F7673" t="s">
        <v>22436</v>
      </c>
      <c r="G7673" t="s">
        <v>22443</v>
      </c>
      <c r="H7673" t="s">
        <v>22452</v>
      </c>
      <c r="I7673" t="s">
        <v>3529</v>
      </c>
      <c r="J7673" t="s">
        <v>27526</v>
      </c>
      <c r="K7673" t="s">
        <v>29331</v>
      </c>
      <c r="M7673" t="s">
        <v>32040</v>
      </c>
      <c r="N7673" t="s">
        <v>32524</v>
      </c>
      <c r="O7673" t="s">
        <v>32525</v>
      </c>
      <c r="P7673">
        <v>0</v>
      </c>
      <c r="Q7673">
        <v>0</v>
      </c>
      <c r="R7673" t="s">
        <v>32533</v>
      </c>
      <c r="S7673" t="s">
        <v>32667</v>
      </c>
      <c r="T7673" t="s">
        <v>33234</v>
      </c>
      <c r="U7673" t="s">
        <v>40021</v>
      </c>
      <c r="W7673" t="s">
        <v>32040</v>
      </c>
      <c r="X7673" t="s">
        <v>32534</v>
      </c>
    </row>
    <row r="7674" spans="1:24">
      <c r="A7674">
        <f>HYPERLINK("https://www.philgeps.gov.ph/GEPSNONPILOT/Tender/SplashBidNoticeAbstractUI.aspx?menuIndex=3&amp;refID=7034403&amp;Result=3","7034403")</f>
        <v>0</v>
      </c>
      <c r="B7674" t="s">
        <v>88</v>
      </c>
      <c r="C7674" t="s">
        <v>10004</v>
      </c>
      <c r="D7674" t="s">
        <v>13025</v>
      </c>
      <c r="E7674" t="s">
        <v>19828</v>
      </c>
      <c r="F7674" t="s">
        <v>22436</v>
      </c>
      <c r="G7674" t="s">
        <v>22444</v>
      </c>
      <c r="H7674" t="s">
        <v>22452</v>
      </c>
      <c r="I7674" t="s">
        <v>3827</v>
      </c>
      <c r="J7674" t="s">
        <v>22878</v>
      </c>
      <c r="K7674" t="s">
        <v>29338</v>
      </c>
      <c r="M7674" t="s">
        <v>29660</v>
      </c>
      <c r="N7674" t="s">
        <v>32524</v>
      </c>
      <c r="O7674" t="s">
        <v>32525</v>
      </c>
      <c r="P7674">
        <v>0</v>
      </c>
      <c r="Q7674">
        <v>0</v>
      </c>
      <c r="R7674" t="s">
        <v>32533</v>
      </c>
      <c r="S7674" t="s">
        <v>32667</v>
      </c>
      <c r="T7674" t="s">
        <v>33323</v>
      </c>
      <c r="U7674" t="s">
        <v>35181</v>
      </c>
      <c r="W7674" t="s">
        <v>29660</v>
      </c>
      <c r="X7674" t="s">
        <v>32534</v>
      </c>
    </row>
    <row r="7675" spans="1:24">
      <c r="A7675">
        <f>HYPERLINK("https://www.philgeps.gov.ph/GEPSNONPILOT/Tender/SplashBidNoticeAbstractUI.aspx?menuIndex=3&amp;refID=7034448&amp;Result=3","7034448")</f>
        <v>0</v>
      </c>
      <c r="B7675" t="s">
        <v>2094</v>
      </c>
      <c r="C7675" t="s">
        <v>10005</v>
      </c>
      <c r="D7675" t="s">
        <v>13056</v>
      </c>
      <c r="E7675" t="s">
        <v>13182</v>
      </c>
      <c r="F7675" t="s">
        <v>22436</v>
      </c>
      <c r="G7675" t="s">
        <v>22444</v>
      </c>
      <c r="H7675" t="s">
        <v>22452</v>
      </c>
      <c r="I7675" t="s">
        <v>3529</v>
      </c>
      <c r="J7675" t="s">
        <v>27527</v>
      </c>
      <c r="K7675" t="s">
        <v>29341</v>
      </c>
      <c r="M7675" t="s">
        <v>31840</v>
      </c>
      <c r="N7675" t="s">
        <v>32524</v>
      </c>
      <c r="O7675" t="s">
        <v>32525</v>
      </c>
      <c r="P7675">
        <v>0</v>
      </c>
      <c r="Q7675">
        <v>0</v>
      </c>
      <c r="R7675" t="s">
        <v>32533</v>
      </c>
      <c r="S7675" t="s">
        <v>32667</v>
      </c>
      <c r="T7675" t="s">
        <v>33230</v>
      </c>
      <c r="U7675" t="s">
        <v>40022</v>
      </c>
      <c r="W7675" t="s">
        <v>31840</v>
      </c>
      <c r="X7675" t="s">
        <v>32534</v>
      </c>
    </row>
    <row r="7676" spans="1:24">
      <c r="A7676">
        <f>HYPERLINK("https://www.philgeps.gov.ph/GEPSNONPILOT/Tender/SplashBidNoticeAbstractUI.aspx?menuIndex=3&amp;refID=7034408&amp;Result=3","7034408")</f>
        <v>0</v>
      </c>
      <c r="B7676" t="s">
        <v>2266</v>
      </c>
      <c r="C7676" t="s">
        <v>10006</v>
      </c>
      <c r="D7676" t="s">
        <v>13032</v>
      </c>
      <c r="E7676" t="s">
        <v>13743</v>
      </c>
      <c r="F7676" t="s">
        <v>22436</v>
      </c>
      <c r="G7676" t="s">
        <v>22444</v>
      </c>
      <c r="H7676" t="s">
        <v>22454</v>
      </c>
      <c r="I7676" t="s">
        <v>7738</v>
      </c>
      <c r="J7676" t="s">
        <v>22657</v>
      </c>
      <c r="K7676" t="s">
        <v>29337</v>
      </c>
      <c r="M7676" t="s">
        <v>32036</v>
      </c>
      <c r="N7676" t="s">
        <v>32524</v>
      </c>
      <c r="O7676" t="s">
        <v>32525</v>
      </c>
      <c r="P7676">
        <v>0</v>
      </c>
      <c r="Q7676">
        <v>0</v>
      </c>
      <c r="R7676" t="s">
        <v>32533</v>
      </c>
      <c r="S7676" t="s">
        <v>32667</v>
      </c>
      <c r="T7676" t="s">
        <v>33238</v>
      </c>
      <c r="U7676" t="s">
        <v>40023</v>
      </c>
      <c r="W7676" t="s">
        <v>32036</v>
      </c>
      <c r="X7676" t="s">
        <v>32534</v>
      </c>
    </row>
    <row r="7677" spans="1:24">
      <c r="A7677">
        <f>HYPERLINK("https://www.philgeps.gov.ph/GEPSNONPILOT/Tender/SplashBidNoticeAbstractUI.aspx?menuIndex=3&amp;refID=7034361&amp;Result=3","7034361")</f>
        <v>0</v>
      </c>
      <c r="B7677" t="s">
        <v>714</v>
      </c>
      <c r="C7677" t="s">
        <v>10007</v>
      </c>
      <c r="D7677" t="s">
        <v>13016</v>
      </c>
      <c r="E7677" t="s">
        <v>19829</v>
      </c>
      <c r="F7677" t="s">
        <v>22436</v>
      </c>
      <c r="G7677" t="s">
        <v>22444</v>
      </c>
      <c r="H7677" t="s">
        <v>22454</v>
      </c>
      <c r="I7677" t="s">
        <v>3529</v>
      </c>
      <c r="J7677" t="s">
        <v>27528</v>
      </c>
      <c r="K7677" t="s">
        <v>29329</v>
      </c>
      <c r="M7677" t="s">
        <v>30311</v>
      </c>
      <c r="N7677" t="s">
        <v>32524</v>
      </c>
      <c r="O7677" t="s">
        <v>32525</v>
      </c>
      <c r="P7677">
        <v>0</v>
      </c>
      <c r="Q7677">
        <v>0</v>
      </c>
      <c r="R7677" t="s">
        <v>32533</v>
      </c>
      <c r="S7677" t="s">
        <v>32667</v>
      </c>
      <c r="T7677" t="s">
        <v>33293</v>
      </c>
      <c r="U7677" t="s">
        <v>40024</v>
      </c>
      <c r="W7677" t="s">
        <v>30311</v>
      </c>
      <c r="X7677" t="s">
        <v>32534</v>
      </c>
    </row>
    <row r="7678" spans="1:24">
      <c r="A7678">
        <f>HYPERLINK("https://www.philgeps.gov.ph/GEPSNONPILOT/Tender/SplashBidNoticeAbstractUI.aspx?menuIndex=3&amp;refID=7034446&amp;Result=3","7034446")</f>
        <v>0</v>
      </c>
      <c r="B7678" t="s">
        <v>2270</v>
      </c>
      <c r="C7678" t="s">
        <v>10008</v>
      </c>
      <c r="D7678" t="s">
        <v>13018</v>
      </c>
      <c r="E7678" t="s">
        <v>19830</v>
      </c>
      <c r="F7678" t="s">
        <v>22437</v>
      </c>
      <c r="G7678" t="s">
        <v>22444</v>
      </c>
      <c r="H7678" t="s">
        <v>22452</v>
      </c>
      <c r="I7678" t="s">
        <v>22508</v>
      </c>
      <c r="J7678" t="s">
        <v>27529</v>
      </c>
      <c r="K7678" t="s">
        <v>29329</v>
      </c>
      <c r="M7678" t="s">
        <v>32041</v>
      </c>
      <c r="N7678" t="s">
        <v>32524</v>
      </c>
      <c r="O7678" t="s">
        <v>32525</v>
      </c>
      <c r="P7678">
        <v>0</v>
      </c>
      <c r="Q7678">
        <v>2</v>
      </c>
      <c r="R7678" t="s">
        <v>32533</v>
      </c>
      <c r="S7678" t="s">
        <v>32667</v>
      </c>
      <c r="T7678" t="s">
        <v>33268</v>
      </c>
      <c r="U7678" t="s">
        <v>40025</v>
      </c>
      <c r="V7678" t="s">
        <v>43260</v>
      </c>
      <c r="W7678" t="s">
        <v>32041</v>
      </c>
      <c r="X7678" t="s">
        <v>32534</v>
      </c>
    </row>
    <row r="7679" spans="1:24">
      <c r="A7679">
        <f>HYPERLINK("https://www.philgeps.gov.ph/GEPSNONPILOT/Tender/SplashBidNoticeAbstractUI.aspx?menuIndex=3&amp;refID=7034439&amp;Result=3","7034439")</f>
        <v>0</v>
      </c>
      <c r="B7679" t="s">
        <v>1350</v>
      </c>
      <c r="C7679" t="s">
        <v>10009</v>
      </c>
      <c r="D7679" t="s">
        <v>13013</v>
      </c>
      <c r="E7679" t="s">
        <v>19831</v>
      </c>
      <c r="F7679" t="s">
        <v>22436</v>
      </c>
      <c r="G7679" t="s">
        <v>22446</v>
      </c>
      <c r="H7679" t="s">
        <v>22452</v>
      </c>
      <c r="I7679" t="s">
        <v>5194</v>
      </c>
      <c r="J7679" t="s">
        <v>27530</v>
      </c>
      <c r="K7679" t="s">
        <v>29335</v>
      </c>
      <c r="M7679" t="s">
        <v>31006</v>
      </c>
      <c r="N7679" t="s">
        <v>32524</v>
      </c>
      <c r="O7679" t="s">
        <v>32525</v>
      </c>
      <c r="P7679">
        <v>0</v>
      </c>
      <c r="Q7679">
        <v>0</v>
      </c>
      <c r="R7679" t="s">
        <v>32533</v>
      </c>
      <c r="S7679" t="s">
        <v>32667</v>
      </c>
      <c r="T7679" t="s">
        <v>33197</v>
      </c>
      <c r="U7679" t="s">
        <v>40014</v>
      </c>
      <c r="W7679" t="s">
        <v>31006</v>
      </c>
      <c r="X7679" t="s">
        <v>32534</v>
      </c>
    </row>
    <row r="7680" spans="1:24">
      <c r="A7680">
        <f>HYPERLINK("https://www.philgeps.gov.ph/GEPSNONPILOT/Tender/SplashBidNoticeAbstractUI.aspx?menuIndex=3&amp;refID=7034435&amp;Result=3","7034435")</f>
        <v>0</v>
      </c>
      <c r="B7680" t="s">
        <v>71</v>
      </c>
      <c r="C7680" t="s">
        <v>10010</v>
      </c>
      <c r="D7680" t="s">
        <v>13007</v>
      </c>
      <c r="E7680" t="s">
        <v>19832</v>
      </c>
      <c r="F7680" t="s">
        <v>22436</v>
      </c>
      <c r="G7680" t="s">
        <v>22444</v>
      </c>
      <c r="H7680" t="s">
        <v>22452</v>
      </c>
      <c r="I7680" t="s">
        <v>3529</v>
      </c>
      <c r="J7680" t="s">
        <v>27531</v>
      </c>
      <c r="K7680" t="s">
        <v>29338</v>
      </c>
      <c r="M7680" t="s">
        <v>29643</v>
      </c>
      <c r="N7680" t="s">
        <v>32524</v>
      </c>
      <c r="O7680" t="s">
        <v>32525</v>
      </c>
      <c r="P7680">
        <v>0</v>
      </c>
      <c r="Q7680">
        <v>1</v>
      </c>
      <c r="R7680" t="s">
        <v>32533</v>
      </c>
      <c r="S7680" t="s">
        <v>32667</v>
      </c>
      <c r="T7680" t="s">
        <v>33486</v>
      </c>
      <c r="U7680" t="s">
        <v>40026</v>
      </c>
      <c r="V7680" t="s">
        <v>42441</v>
      </c>
      <c r="W7680" t="s">
        <v>29643</v>
      </c>
      <c r="X7680" t="s">
        <v>32534</v>
      </c>
    </row>
    <row r="7681" spans="1:24">
      <c r="A7681">
        <f>HYPERLINK("https://www.philgeps.gov.ph/GEPSNONPILOT/Tender/SplashBidNoticeAbstractUI.aspx?menuIndex=3&amp;refID=7034407&amp;Result=3","7034407")</f>
        <v>0</v>
      </c>
      <c r="B7681" t="s">
        <v>59</v>
      </c>
      <c r="C7681" t="s">
        <v>10011</v>
      </c>
      <c r="D7681" t="s">
        <v>13004</v>
      </c>
      <c r="E7681" t="s">
        <v>19833</v>
      </c>
      <c r="F7681" t="s">
        <v>22436</v>
      </c>
      <c r="G7681" t="s">
        <v>22450</v>
      </c>
      <c r="H7681" t="s">
        <v>22455</v>
      </c>
      <c r="I7681" t="s">
        <v>22455</v>
      </c>
      <c r="J7681" t="s">
        <v>27532</v>
      </c>
      <c r="K7681" t="s">
        <v>29338</v>
      </c>
      <c r="L7681" t="s">
        <v>59</v>
      </c>
      <c r="M7681" t="s">
        <v>31345</v>
      </c>
      <c r="N7681" t="s">
        <v>32524</v>
      </c>
      <c r="O7681" t="s">
        <v>32525</v>
      </c>
      <c r="Q7681">
        <v>4</v>
      </c>
      <c r="R7681" t="s">
        <v>32533</v>
      </c>
      <c r="S7681" t="s">
        <v>32707</v>
      </c>
      <c r="T7681" t="s">
        <v>33267</v>
      </c>
      <c r="U7681" t="s">
        <v>40027</v>
      </c>
      <c r="W7681" t="s">
        <v>31345</v>
      </c>
      <c r="X7681" t="s">
        <v>32534</v>
      </c>
    </row>
    <row r="7682" spans="1:24">
      <c r="A7682">
        <f>HYPERLINK("https://www.philgeps.gov.ph/GEPSNONPILOT/Tender/SplashBidNoticeAbstractUI.aspx?menuIndex=3&amp;refID=7034442&amp;Result=3","7034442")</f>
        <v>0</v>
      </c>
      <c r="B7682" t="s">
        <v>2271</v>
      </c>
      <c r="C7682" t="s">
        <v>10012</v>
      </c>
      <c r="D7682" t="s">
        <v>13022</v>
      </c>
      <c r="E7682" t="s">
        <v>19834</v>
      </c>
      <c r="F7682" t="s">
        <v>22436</v>
      </c>
      <c r="G7682" t="s">
        <v>22444</v>
      </c>
      <c r="H7682" t="s">
        <v>22452</v>
      </c>
      <c r="I7682" t="s">
        <v>3358</v>
      </c>
      <c r="J7682" t="s">
        <v>27533</v>
      </c>
      <c r="K7682" t="s">
        <v>29345</v>
      </c>
      <c r="M7682" t="s">
        <v>32042</v>
      </c>
      <c r="N7682" t="s">
        <v>32524</v>
      </c>
      <c r="O7682" t="s">
        <v>32525</v>
      </c>
      <c r="P7682">
        <v>0</v>
      </c>
      <c r="Q7682">
        <v>1</v>
      </c>
      <c r="R7682" t="s">
        <v>32533</v>
      </c>
      <c r="S7682" t="s">
        <v>32667</v>
      </c>
      <c r="T7682" t="s">
        <v>33249</v>
      </c>
      <c r="U7682" t="s">
        <v>40028</v>
      </c>
      <c r="V7682" t="s">
        <v>43261</v>
      </c>
      <c r="W7682" t="s">
        <v>32042</v>
      </c>
      <c r="X7682" t="s">
        <v>32534</v>
      </c>
    </row>
    <row r="7683" spans="1:24">
      <c r="A7683">
        <f>HYPERLINK("https://www.philgeps.gov.ph/GEPSNONPILOT/Tender/SplashBidNoticeAbstractUI.aspx?menuIndex=3&amp;refID=7034447&amp;Result=3","7034447")</f>
        <v>0</v>
      </c>
      <c r="B7683" t="s">
        <v>2257</v>
      </c>
      <c r="C7683" t="s">
        <v>10013</v>
      </c>
      <c r="D7683" t="s">
        <v>13006</v>
      </c>
      <c r="E7683" t="s">
        <v>14630</v>
      </c>
      <c r="F7683" t="s">
        <v>22436</v>
      </c>
      <c r="G7683" t="s">
        <v>22446</v>
      </c>
      <c r="H7683" t="s">
        <v>22452</v>
      </c>
      <c r="I7683" t="s">
        <v>3529</v>
      </c>
      <c r="J7683" t="s">
        <v>27492</v>
      </c>
      <c r="K7683" t="s">
        <v>29336</v>
      </c>
      <c r="M7683" t="s">
        <v>32025</v>
      </c>
      <c r="N7683" t="s">
        <v>32524</v>
      </c>
      <c r="O7683" t="s">
        <v>32525</v>
      </c>
      <c r="P7683">
        <v>0</v>
      </c>
      <c r="Q7683">
        <v>0</v>
      </c>
      <c r="R7683" t="s">
        <v>32533</v>
      </c>
      <c r="S7683" t="s">
        <v>32667</v>
      </c>
      <c r="T7683" t="s">
        <v>33209</v>
      </c>
      <c r="U7683" t="s">
        <v>39980</v>
      </c>
      <c r="W7683" t="s">
        <v>32025</v>
      </c>
      <c r="X7683" t="s">
        <v>32534</v>
      </c>
    </row>
    <row r="7684" spans="1:24">
      <c r="A7684">
        <f>HYPERLINK("https://www.philgeps.gov.ph/GEPSNONPILOT/Tender/SplashBidNoticeAbstractUI.aspx?menuIndex=3&amp;refID=7034421&amp;Result=3","7034421")</f>
        <v>0</v>
      </c>
      <c r="B7684" t="s">
        <v>88</v>
      </c>
      <c r="C7684" t="s">
        <v>10014</v>
      </c>
      <c r="D7684" t="s">
        <v>13025</v>
      </c>
      <c r="E7684" t="s">
        <v>19835</v>
      </c>
      <c r="F7684" t="s">
        <v>22436</v>
      </c>
      <c r="G7684" t="s">
        <v>22444</v>
      </c>
      <c r="H7684" t="s">
        <v>22452</v>
      </c>
      <c r="I7684" t="s">
        <v>3827</v>
      </c>
      <c r="J7684" t="s">
        <v>24199</v>
      </c>
      <c r="K7684" t="s">
        <v>29338</v>
      </c>
      <c r="M7684" t="s">
        <v>29660</v>
      </c>
      <c r="N7684" t="s">
        <v>32524</v>
      </c>
      <c r="O7684" t="s">
        <v>32525</v>
      </c>
      <c r="P7684">
        <v>0</v>
      </c>
      <c r="Q7684">
        <v>0</v>
      </c>
      <c r="R7684" t="s">
        <v>32533</v>
      </c>
      <c r="S7684" t="s">
        <v>32667</v>
      </c>
      <c r="T7684" t="s">
        <v>33323</v>
      </c>
      <c r="U7684" t="s">
        <v>35181</v>
      </c>
      <c r="W7684" t="s">
        <v>29660</v>
      </c>
      <c r="X7684" t="s">
        <v>32534</v>
      </c>
    </row>
    <row r="7685" spans="1:24">
      <c r="A7685">
        <f>HYPERLINK("https://www.philgeps.gov.ph/GEPSNONPILOT/Tender/SplashBidNoticeAbstractUI.aspx?menuIndex=3&amp;refID=7034259&amp;Result=3","7034259")</f>
        <v>0</v>
      </c>
      <c r="B7685" t="s">
        <v>2272</v>
      </c>
      <c r="C7685" t="s">
        <v>10015</v>
      </c>
      <c r="D7685" t="s">
        <v>13046</v>
      </c>
      <c r="E7685" t="s">
        <v>13182</v>
      </c>
      <c r="F7685" t="s">
        <v>22436</v>
      </c>
      <c r="G7685" t="s">
        <v>22444</v>
      </c>
      <c r="H7685" t="s">
        <v>22452</v>
      </c>
      <c r="I7685" t="s">
        <v>3529</v>
      </c>
      <c r="J7685" t="s">
        <v>27534</v>
      </c>
      <c r="K7685" t="s">
        <v>29341</v>
      </c>
      <c r="L7685" t="s">
        <v>2272</v>
      </c>
      <c r="M7685" t="s">
        <v>32043</v>
      </c>
      <c r="N7685" t="s">
        <v>32524</v>
      </c>
      <c r="O7685" t="s">
        <v>32525</v>
      </c>
      <c r="P7685">
        <v>0</v>
      </c>
      <c r="Q7685">
        <v>1</v>
      </c>
      <c r="R7685" t="s">
        <v>32533</v>
      </c>
      <c r="S7685" t="s">
        <v>32667</v>
      </c>
      <c r="T7685" t="s">
        <v>33211</v>
      </c>
      <c r="U7685" t="s">
        <v>40029</v>
      </c>
      <c r="V7685" t="s">
        <v>43262</v>
      </c>
      <c r="W7685" t="s">
        <v>32043</v>
      </c>
      <c r="X7685" t="s">
        <v>32534</v>
      </c>
    </row>
    <row r="7686" spans="1:24">
      <c r="A7686">
        <f>HYPERLINK("https://www.philgeps.gov.ph/GEPSNONPILOT/Tender/SplashBidNoticeAbstractUI.aspx?menuIndex=3&amp;refID=7034409&amp;Result=3","7034409")</f>
        <v>0</v>
      </c>
      <c r="B7686" t="s">
        <v>89</v>
      </c>
      <c r="C7686" t="s">
        <v>10016</v>
      </c>
      <c r="D7686" t="s">
        <v>13022</v>
      </c>
      <c r="E7686" t="s">
        <v>19836</v>
      </c>
      <c r="F7686" t="s">
        <v>22436</v>
      </c>
      <c r="G7686" t="s">
        <v>22444</v>
      </c>
      <c r="H7686" t="s">
        <v>22452</v>
      </c>
      <c r="I7686" t="s">
        <v>22467</v>
      </c>
      <c r="J7686" t="s">
        <v>27535</v>
      </c>
      <c r="K7686" t="s">
        <v>29341</v>
      </c>
      <c r="M7686" t="s">
        <v>29661</v>
      </c>
      <c r="N7686" t="s">
        <v>32524</v>
      </c>
      <c r="O7686" t="s">
        <v>32525</v>
      </c>
      <c r="P7686">
        <v>0</v>
      </c>
      <c r="Q7686">
        <v>1</v>
      </c>
      <c r="R7686" t="s">
        <v>32533</v>
      </c>
      <c r="S7686" t="s">
        <v>32667</v>
      </c>
      <c r="T7686" t="s">
        <v>33259</v>
      </c>
      <c r="U7686" t="s">
        <v>40030</v>
      </c>
      <c r="W7686" t="s">
        <v>29661</v>
      </c>
      <c r="X7686" t="s">
        <v>32534</v>
      </c>
    </row>
    <row r="7687" spans="1:24">
      <c r="A7687">
        <f>HYPERLINK("https://www.philgeps.gov.ph/GEPSNONPILOT/Tender/SplashBidNoticeAbstractUI.aspx?menuIndex=3&amp;refID=7034416&amp;Result=3","7034416")</f>
        <v>0</v>
      </c>
      <c r="B7687" t="s">
        <v>2273</v>
      </c>
      <c r="C7687" t="s">
        <v>10017</v>
      </c>
      <c r="D7687" t="s">
        <v>13072</v>
      </c>
      <c r="E7687" t="s">
        <v>19837</v>
      </c>
      <c r="F7687" t="s">
        <v>22436</v>
      </c>
      <c r="G7687" t="s">
        <v>22444</v>
      </c>
      <c r="H7687" t="s">
        <v>22454</v>
      </c>
      <c r="I7687" t="s">
        <v>7738</v>
      </c>
      <c r="J7687" t="s">
        <v>27536</v>
      </c>
      <c r="K7687" t="s">
        <v>29341</v>
      </c>
      <c r="M7687" t="s">
        <v>32044</v>
      </c>
      <c r="N7687" t="s">
        <v>32524</v>
      </c>
      <c r="O7687" t="s">
        <v>32525</v>
      </c>
      <c r="P7687">
        <v>0</v>
      </c>
      <c r="Q7687">
        <v>0</v>
      </c>
      <c r="R7687" t="s">
        <v>32533</v>
      </c>
      <c r="S7687" t="s">
        <v>32667</v>
      </c>
      <c r="T7687" t="s">
        <v>33155</v>
      </c>
      <c r="U7687" t="s">
        <v>40031</v>
      </c>
      <c r="W7687" t="s">
        <v>32044</v>
      </c>
      <c r="X7687" t="s">
        <v>32534</v>
      </c>
    </row>
    <row r="7688" spans="1:24">
      <c r="A7688">
        <f>HYPERLINK("https://www.philgeps.gov.ph/GEPSNONPILOT/Tender/SplashBidNoticeAbstractUI.aspx?menuIndex=3&amp;refID=7034401&amp;Result=3","7034401")</f>
        <v>0</v>
      </c>
      <c r="B7688" t="s">
        <v>2271</v>
      </c>
      <c r="C7688" t="s">
        <v>10018</v>
      </c>
      <c r="D7688" t="s">
        <v>13022</v>
      </c>
      <c r="E7688" t="s">
        <v>19838</v>
      </c>
      <c r="F7688" t="s">
        <v>22436</v>
      </c>
      <c r="G7688" t="s">
        <v>22444</v>
      </c>
      <c r="H7688" t="s">
        <v>22452</v>
      </c>
      <c r="I7688" t="s">
        <v>22515</v>
      </c>
      <c r="J7688" t="s">
        <v>27537</v>
      </c>
      <c r="K7688" t="s">
        <v>29345</v>
      </c>
      <c r="M7688" t="s">
        <v>32042</v>
      </c>
      <c r="N7688" t="s">
        <v>32524</v>
      </c>
      <c r="O7688" t="s">
        <v>32525</v>
      </c>
      <c r="Q7688">
        <v>0</v>
      </c>
      <c r="R7688" t="s">
        <v>32533</v>
      </c>
      <c r="S7688" t="s">
        <v>32708</v>
      </c>
      <c r="T7688" t="s">
        <v>33249</v>
      </c>
      <c r="U7688" t="s">
        <v>40032</v>
      </c>
      <c r="V7688" t="s">
        <v>43261</v>
      </c>
      <c r="W7688" t="s">
        <v>32042</v>
      </c>
      <c r="X7688" t="s">
        <v>32534</v>
      </c>
    </row>
    <row r="7689" spans="1:24">
      <c r="A7689">
        <f>HYPERLINK("https://www.philgeps.gov.ph/GEPSNONPILOT/Tender/SplashBidNoticeAbstractUI.aspx?menuIndex=3&amp;refID=7034402&amp;Result=3","7034402")</f>
        <v>0</v>
      </c>
      <c r="B7689" t="s">
        <v>2228</v>
      </c>
      <c r="C7689" t="s">
        <v>10019</v>
      </c>
      <c r="D7689" t="s">
        <v>13045</v>
      </c>
      <c r="E7689" t="s">
        <v>19839</v>
      </c>
      <c r="F7689" t="s">
        <v>22436</v>
      </c>
      <c r="G7689" t="s">
        <v>22450</v>
      </c>
      <c r="H7689" t="s">
        <v>22454</v>
      </c>
      <c r="I7689" t="s">
        <v>7738</v>
      </c>
      <c r="J7689" t="s">
        <v>27538</v>
      </c>
      <c r="K7689" t="s">
        <v>29335</v>
      </c>
      <c r="M7689" t="s">
        <v>31994</v>
      </c>
      <c r="N7689" t="s">
        <v>32524</v>
      </c>
      <c r="O7689" t="s">
        <v>32525</v>
      </c>
      <c r="P7689">
        <v>0</v>
      </c>
      <c r="Q7689">
        <v>0</v>
      </c>
      <c r="R7689" t="s">
        <v>32533</v>
      </c>
      <c r="S7689" t="s">
        <v>32667</v>
      </c>
      <c r="T7689" t="s">
        <v>33249</v>
      </c>
      <c r="U7689" t="s">
        <v>40033</v>
      </c>
      <c r="W7689" t="s">
        <v>31994</v>
      </c>
      <c r="X7689" t="s">
        <v>32534</v>
      </c>
    </row>
    <row r="7690" spans="1:24">
      <c r="A7690">
        <f>HYPERLINK("https://www.philgeps.gov.ph/GEPSNONPILOT/Tender/SplashBidNoticeAbstractUI.aspx?menuIndex=3&amp;refID=7034391&amp;Result=3","7034391")</f>
        <v>0</v>
      </c>
      <c r="B7690" t="s">
        <v>71</v>
      </c>
      <c r="C7690" t="s">
        <v>10020</v>
      </c>
      <c r="D7690" t="s">
        <v>13007</v>
      </c>
      <c r="E7690" t="s">
        <v>19840</v>
      </c>
      <c r="F7690" t="s">
        <v>22436</v>
      </c>
      <c r="G7690" t="s">
        <v>22444</v>
      </c>
      <c r="H7690" t="s">
        <v>22452</v>
      </c>
      <c r="I7690" t="s">
        <v>22537</v>
      </c>
      <c r="J7690" t="s">
        <v>22779</v>
      </c>
      <c r="K7690" t="s">
        <v>29338</v>
      </c>
      <c r="M7690" t="s">
        <v>29643</v>
      </c>
      <c r="N7690" t="s">
        <v>32524</v>
      </c>
      <c r="O7690" t="s">
        <v>32525</v>
      </c>
      <c r="P7690">
        <v>0</v>
      </c>
      <c r="Q7690">
        <v>1</v>
      </c>
      <c r="R7690" t="s">
        <v>32533</v>
      </c>
      <c r="S7690" t="s">
        <v>32667</v>
      </c>
      <c r="T7690" t="s">
        <v>33486</v>
      </c>
      <c r="U7690" t="s">
        <v>40034</v>
      </c>
      <c r="V7690" t="s">
        <v>42441</v>
      </c>
      <c r="W7690" t="s">
        <v>29643</v>
      </c>
      <c r="X7690" t="s">
        <v>32534</v>
      </c>
    </row>
    <row r="7691" spans="1:24">
      <c r="A7691">
        <f>HYPERLINK("https://www.philgeps.gov.ph/GEPSNONPILOT/Tender/SplashBidNoticeAbstractUI.aspx?menuIndex=3&amp;refID=7034411&amp;Result=3","7034411")</f>
        <v>0</v>
      </c>
      <c r="B7691" t="s">
        <v>71</v>
      </c>
      <c r="C7691" t="s">
        <v>10021</v>
      </c>
      <c r="D7691" t="s">
        <v>13007</v>
      </c>
      <c r="E7691" t="s">
        <v>19841</v>
      </c>
      <c r="F7691" t="s">
        <v>22436</v>
      </c>
      <c r="G7691" t="s">
        <v>22444</v>
      </c>
      <c r="H7691" t="s">
        <v>22452</v>
      </c>
      <c r="I7691" t="s">
        <v>22470</v>
      </c>
      <c r="J7691" t="s">
        <v>27539</v>
      </c>
      <c r="K7691" t="s">
        <v>29338</v>
      </c>
      <c r="M7691" t="s">
        <v>29643</v>
      </c>
      <c r="N7691" t="s">
        <v>32524</v>
      </c>
      <c r="O7691" t="s">
        <v>32525</v>
      </c>
      <c r="P7691">
        <v>0</v>
      </c>
      <c r="Q7691">
        <v>0</v>
      </c>
      <c r="R7691" t="s">
        <v>32533</v>
      </c>
      <c r="S7691" t="s">
        <v>32667</v>
      </c>
      <c r="T7691" t="s">
        <v>33486</v>
      </c>
      <c r="U7691" t="s">
        <v>40035</v>
      </c>
      <c r="V7691" t="s">
        <v>42441</v>
      </c>
      <c r="W7691" t="s">
        <v>29643</v>
      </c>
      <c r="X7691" t="s">
        <v>32534</v>
      </c>
    </row>
    <row r="7692" spans="1:24">
      <c r="A7692">
        <f>HYPERLINK("https://www.philgeps.gov.ph/GEPSNONPILOT/Tender/SplashBidNoticeAbstractUI.aspx?menuIndex=3&amp;refID=7034370&amp;Result=3","7034370")</f>
        <v>0</v>
      </c>
      <c r="B7692" t="s">
        <v>1830</v>
      </c>
      <c r="C7692" t="s">
        <v>10022</v>
      </c>
      <c r="D7692" t="s">
        <v>12990</v>
      </c>
      <c r="E7692" t="s">
        <v>19842</v>
      </c>
      <c r="F7692" t="s">
        <v>22436</v>
      </c>
      <c r="G7692" t="s">
        <v>22444</v>
      </c>
      <c r="H7692" t="s">
        <v>22454</v>
      </c>
      <c r="I7692" t="s">
        <v>7738</v>
      </c>
      <c r="J7692" t="s">
        <v>27540</v>
      </c>
      <c r="K7692" t="s">
        <v>29511</v>
      </c>
      <c r="M7692" t="s">
        <v>31545</v>
      </c>
      <c r="N7692" t="s">
        <v>32524</v>
      </c>
      <c r="O7692" t="s">
        <v>32525</v>
      </c>
      <c r="P7692">
        <v>0</v>
      </c>
      <c r="Q7692">
        <v>1</v>
      </c>
      <c r="R7692" t="s">
        <v>32533</v>
      </c>
      <c r="S7692" t="s">
        <v>32667</v>
      </c>
      <c r="T7692" t="s">
        <v>33234</v>
      </c>
      <c r="U7692" t="s">
        <v>40036</v>
      </c>
      <c r="W7692" t="s">
        <v>31545</v>
      </c>
      <c r="X7692" t="s">
        <v>32534</v>
      </c>
    </row>
    <row r="7693" spans="1:24">
      <c r="A7693">
        <f>HYPERLINK("https://www.philgeps.gov.ph/GEPSNONPILOT/Tender/SplashBidNoticeAbstractUI.aspx?menuIndex=3&amp;refID=7034382&amp;Result=3","7034382")</f>
        <v>0</v>
      </c>
      <c r="B7693" t="s">
        <v>59</v>
      </c>
      <c r="C7693" t="s">
        <v>10023</v>
      </c>
      <c r="D7693" t="s">
        <v>13010</v>
      </c>
      <c r="E7693" t="s">
        <v>19843</v>
      </c>
      <c r="F7693" t="s">
        <v>22436</v>
      </c>
      <c r="G7693" t="s">
        <v>22450</v>
      </c>
      <c r="H7693" t="s">
        <v>22455</v>
      </c>
      <c r="I7693" t="s">
        <v>22455</v>
      </c>
      <c r="J7693" t="s">
        <v>27541</v>
      </c>
      <c r="K7693" t="s">
        <v>29338</v>
      </c>
      <c r="L7693" t="s">
        <v>59</v>
      </c>
      <c r="M7693" t="s">
        <v>31345</v>
      </c>
      <c r="N7693" t="s">
        <v>32524</v>
      </c>
      <c r="O7693" t="s">
        <v>32525</v>
      </c>
      <c r="Q7693">
        <v>4</v>
      </c>
      <c r="R7693" t="s">
        <v>32533</v>
      </c>
      <c r="S7693" t="s">
        <v>32709</v>
      </c>
      <c r="T7693" t="s">
        <v>33267</v>
      </c>
      <c r="U7693" t="s">
        <v>40037</v>
      </c>
      <c r="W7693" t="s">
        <v>31345</v>
      </c>
      <c r="X7693" t="s">
        <v>32534</v>
      </c>
    </row>
    <row r="7694" spans="1:24">
      <c r="A7694">
        <f>HYPERLINK("https://www.philgeps.gov.ph/GEPSNONPILOT/Tender/SplashBidNoticeAbstractUI.aspx?menuIndex=3&amp;refID=7034102&amp;Result=3","7034102")</f>
        <v>0</v>
      </c>
      <c r="B7694" t="s">
        <v>679</v>
      </c>
      <c r="C7694" t="s">
        <v>10024</v>
      </c>
      <c r="D7694" t="s">
        <v>13045</v>
      </c>
      <c r="E7694" t="s">
        <v>19844</v>
      </c>
      <c r="F7694" t="s">
        <v>22436</v>
      </c>
      <c r="G7694" t="s">
        <v>22444</v>
      </c>
      <c r="H7694" t="s">
        <v>22454</v>
      </c>
      <c r="I7694" t="s">
        <v>7738</v>
      </c>
      <c r="J7694" t="s">
        <v>27542</v>
      </c>
      <c r="K7694" t="s">
        <v>29334</v>
      </c>
      <c r="M7694" t="s">
        <v>30273</v>
      </c>
      <c r="N7694" t="s">
        <v>32524</v>
      </c>
      <c r="O7694" t="s">
        <v>32525</v>
      </c>
      <c r="P7694">
        <v>0</v>
      </c>
      <c r="Q7694">
        <v>1</v>
      </c>
      <c r="R7694" t="s">
        <v>32533</v>
      </c>
      <c r="S7694" t="s">
        <v>32667</v>
      </c>
      <c r="T7694" t="s">
        <v>33220</v>
      </c>
      <c r="U7694" t="s">
        <v>35062</v>
      </c>
      <c r="W7694" t="s">
        <v>30273</v>
      </c>
      <c r="X7694" t="s">
        <v>32534</v>
      </c>
    </row>
    <row r="7695" spans="1:24">
      <c r="A7695">
        <f>HYPERLINK("https://www.philgeps.gov.ph/GEPSNONPILOT/Tender/SplashBidNoticeAbstractUI.aspx?menuIndex=3&amp;refID=7033864&amp;Result=3","7033864")</f>
        <v>0</v>
      </c>
      <c r="B7695" t="s">
        <v>2274</v>
      </c>
      <c r="C7695" t="s">
        <v>10025</v>
      </c>
      <c r="D7695" t="s">
        <v>13032</v>
      </c>
      <c r="E7695" t="s">
        <v>13278</v>
      </c>
      <c r="F7695" t="s">
        <v>22436</v>
      </c>
      <c r="G7695" t="s">
        <v>22444</v>
      </c>
      <c r="H7695" t="s">
        <v>22454</v>
      </c>
      <c r="I7695" t="s">
        <v>7738</v>
      </c>
      <c r="J7695" t="s">
        <v>22739</v>
      </c>
      <c r="K7695" t="s">
        <v>29337</v>
      </c>
      <c r="M7695" t="s">
        <v>32045</v>
      </c>
      <c r="N7695" t="s">
        <v>32524</v>
      </c>
      <c r="O7695" t="s">
        <v>32525</v>
      </c>
      <c r="P7695">
        <v>0</v>
      </c>
      <c r="Q7695">
        <v>0</v>
      </c>
      <c r="R7695" t="s">
        <v>32533</v>
      </c>
      <c r="S7695" t="s">
        <v>32667</v>
      </c>
      <c r="T7695" t="s">
        <v>33238</v>
      </c>
      <c r="U7695" t="s">
        <v>40038</v>
      </c>
      <c r="W7695" t="s">
        <v>32045</v>
      </c>
      <c r="X7695" t="s">
        <v>32534</v>
      </c>
    </row>
    <row r="7696" spans="1:24">
      <c r="A7696">
        <f>HYPERLINK("https://www.philgeps.gov.ph/GEPSNONPILOT/Tender/SplashBidNoticeAbstractUI.aspx?menuIndex=3&amp;refID=7034451&amp;Result=3","7034451")</f>
        <v>0</v>
      </c>
      <c r="B7696" t="s">
        <v>140</v>
      </c>
      <c r="C7696" t="s">
        <v>10026</v>
      </c>
      <c r="D7696" t="s">
        <v>12988</v>
      </c>
      <c r="E7696" t="s">
        <v>19845</v>
      </c>
      <c r="F7696" t="s">
        <v>22436</v>
      </c>
      <c r="G7696" t="s">
        <v>22444</v>
      </c>
      <c r="H7696" t="s">
        <v>22452</v>
      </c>
      <c r="I7696" t="s">
        <v>2981</v>
      </c>
      <c r="J7696" t="s">
        <v>27543</v>
      </c>
      <c r="K7696" t="s">
        <v>29338</v>
      </c>
      <c r="M7696" t="s">
        <v>31482</v>
      </c>
      <c r="N7696" t="s">
        <v>32524</v>
      </c>
      <c r="O7696" t="s">
        <v>32525</v>
      </c>
      <c r="P7696">
        <v>0</v>
      </c>
      <c r="Q7696">
        <v>4</v>
      </c>
      <c r="R7696" t="s">
        <v>32533</v>
      </c>
      <c r="S7696" t="s">
        <v>32667</v>
      </c>
      <c r="T7696" t="s">
        <v>33259</v>
      </c>
      <c r="U7696" t="s">
        <v>40039</v>
      </c>
      <c r="W7696" t="s">
        <v>31482</v>
      </c>
      <c r="X7696" t="s">
        <v>32534</v>
      </c>
    </row>
    <row r="7697" spans="1:24">
      <c r="A7697">
        <f>HYPERLINK("https://www.philgeps.gov.ph/GEPSNONPILOT/Tender/SplashBidNoticeAbstractUI.aspx?menuIndex=3&amp;refID=7034449&amp;Result=3","7034449")</f>
        <v>0</v>
      </c>
      <c r="B7697" t="s">
        <v>2275</v>
      </c>
      <c r="C7697" t="s">
        <v>10027</v>
      </c>
      <c r="D7697" t="s">
        <v>12988</v>
      </c>
      <c r="E7697" t="s">
        <v>19846</v>
      </c>
      <c r="F7697" t="s">
        <v>22436</v>
      </c>
      <c r="G7697" t="s">
        <v>22443</v>
      </c>
      <c r="H7697" t="s">
        <v>22452</v>
      </c>
      <c r="I7697" t="s">
        <v>22469</v>
      </c>
      <c r="J7697" t="s">
        <v>23093</v>
      </c>
      <c r="K7697" t="s">
        <v>29329</v>
      </c>
      <c r="M7697" t="s">
        <v>32046</v>
      </c>
      <c r="N7697" t="s">
        <v>32524</v>
      </c>
      <c r="O7697" t="s">
        <v>32525</v>
      </c>
      <c r="P7697">
        <v>0</v>
      </c>
      <c r="Q7697">
        <v>10</v>
      </c>
      <c r="R7697" t="s">
        <v>32533</v>
      </c>
      <c r="S7697" t="s">
        <v>32667</v>
      </c>
      <c r="T7697" t="s">
        <v>33327</v>
      </c>
      <c r="U7697" t="s">
        <v>40040</v>
      </c>
      <c r="W7697" t="s">
        <v>32046</v>
      </c>
      <c r="X7697" t="s">
        <v>32534</v>
      </c>
    </row>
    <row r="7698" spans="1:24">
      <c r="A7698">
        <f>HYPERLINK("https://www.philgeps.gov.ph/GEPSNONPILOT/Tender/SplashBidNoticeAbstractUI.aspx?menuIndex=3&amp;refID=7033865&amp;Result=3","7033865")</f>
        <v>0</v>
      </c>
      <c r="B7698" t="s">
        <v>2227</v>
      </c>
      <c r="C7698" t="s">
        <v>10028</v>
      </c>
      <c r="D7698" t="s">
        <v>13010</v>
      </c>
      <c r="E7698" t="s">
        <v>16052</v>
      </c>
      <c r="F7698" t="s">
        <v>22436</v>
      </c>
      <c r="G7698" t="s">
        <v>22444</v>
      </c>
      <c r="H7698" t="s">
        <v>22452</v>
      </c>
      <c r="I7698" t="s">
        <v>22467</v>
      </c>
      <c r="J7698" t="s">
        <v>27544</v>
      </c>
      <c r="K7698" t="s">
        <v>29331</v>
      </c>
      <c r="M7698" t="s">
        <v>31993</v>
      </c>
      <c r="N7698" t="s">
        <v>32524</v>
      </c>
      <c r="O7698" t="s">
        <v>32525</v>
      </c>
      <c r="P7698">
        <v>0</v>
      </c>
      <c r="Q7698">
        <v>0</v>
      </c>
      <c r="R7698" t="s">
        <v>32533</v>
      </c>
      <c r="S7698" t="s">
        <v>32667</v>
      </c>
      <c r="T7698" t="s">
        <v>33242</v>
      </c>
      <c r="U7698" t="s">
        <v>40041</v>
      </c>
      <c r="V7698" t="s">
        <v>43250</v>
      </c>
      <c r="W7698" t="s">
        <v>31993</v>
      </c>
      <c r="X7698" t="s">
        <v>32534</v>
      </c>
    </row>
    <row r="7699" spans="1:24">
      <c r="A7699">
        <f>HYPERLINK("https://www.philgeps.gov.ph/GEPSNONPILOT/Tender/SplashBidNoticeAbstractUI.aspx?menuIndex=3&amp;refID=7034450&amp;Result=3","7034450")</f>
        <v>0</v>
      </c>
      <c r="B7699" t="s">
        <v>2267</v>
      </c>
      <c r="C7699" t="s">
        <v>10029</v>
      </c>
      <c r="D7699" t="s">
        <v>12988</v>
      </c>
      <c r="E7699" t="s">
        <v>13321</v>
      </c>
      <c r="F7699" t="s">
        <v>22437</v>
      </c>
      <c r="G7699" t="s">
        <v>22444</v>
      </c>
      <c r="H7699" t="s">
        <v>22452</v>
      </c>
      <c r="I7699" t="s">
        <v>2981</v>
      </c>
      <c r="J7699" t="s">
        <v>27545</v>
      </c>
      <c r="K7699" t="s">
        <v>29336</v>
      </c>
      <c r="M7699" t="s">
        <v>32037</v>
      </c>
      <c r="N7699" t="s">
        <v>32524</v>
      </c>
      <c r="O7699" t="s">
        <v>32525</v>
      </c>
      <c r="P7699">
        <v>0</v>
      </c>
      <c r="Q7699">
        <v>3</v>
      </c>
      <c r="R7699" t="s">
        <v>32533</v>
      </c>
      <c r="S7699" t="s">
        <v>32667</v>
      </c>
      <c r="T7699" t="s">
        <v>33168</v>
      </c>
      <c r="U7699" t="s">
        <v>40042</v>
      </c>
      <c r="W7699" t="s">
        <v>32037</v>
      </c>
      <c r="X7699" t="s">
        <v>32534</v>
      </c>
    </row>
    <row r="7700" spans="1:24">
      <c r="A7700">
        <f>HYPERLINK("https://www.philgeps.gov.ph/GEPSNONPILOT/Tender/SplashBidNoticeAbstractUI.aspx?menuIndex=3&amp;refID=7034470&amp;Result=3","7034470")</f>
        <v>0</v>
      </c>
      <c r="B7700" t="s">
        <v>2267</v>
      </c>
      <c r="C7700" t="s">
        <v>10030</v>
      </c>
      <c r="D7700" t="s">
        <v>12988</v>
      </c>
      <c r="E7700" t="s">
        <v>13881</v>
      </c>
      <c r="F7700" t="s">
        <v>22437</v>
      </c>
      <c r="G7700" t="s">
        <v>22444</v>
      </c>
      <c r="H7700" t="s">
        <v>22452</v>
      </c>
      <c r="I7700" t="s">
        <v>22553</v>
      </c>
      <c r="J7700" t="s">
        <v>22747</v>
      </c>
      <c r="K7700" t="s">
        <v>29336</v>
      </c>
      <c r="M7700" t="s">
        <v>32037</v>
      </c>
      <c r="N7700" t="s">
        <v>32524</v>
      </c>
      <c r="O7700" t="s">
        <v>32525</v>
      </c>
      <c r="P7700">
        <v>0</v>
      </c>
      <c r="Q7700">
        <v>9</v>
      </c>
      <c r="R7700" t="s">
        <v>32533</v>
      </c>
      <c r="S7700" t="s">
        <v>32667</v>
      </c>
      <c r="T7700" t="s">
        <v>33168</v>
      </c>
      <c r="U7700" t="s">
        <v>40043</v>
      </c>
      <c r="W7700" t="s">
        <v>32037</v>
      </c>
      <c r="X7700" t="s">
        <v>32534</v>
      </c>
    </row>
    <row r="7701" spans="1:24">
      <c r="A7701">
        <f>HYPERLINK("https://www.philgeps.gov.ph/GEPSNONPILOT/Tender/SplashBidNoticeAbstractUI.aspx?menuIndex=3&amp;refID=7034490&amp;Result=3","7034490")</f>
        <v>0</v>
      </c>
      <c r="B7701" t="s">
        <v>59</v>
      </c>
      <c r="C7701" t="s">
        <v>10031</v>
      </c>
      <c r="D7701" t="s">
        <v>13004</v>
      </c>
      <c r="E7701" t="s">
        <v>19847</v>
      </c>
      <c r="F7701" t="s">
        <v>22436</v>
      </c>
      <c r="G7701" t="s">
        <v>22450</v>
      </c>
      <c r="H7701" t="s">
        <v>22452</v>
      </c>
      <c r="I7701" t="s">
        <v>22476</v>
      </c>
      <c r="J7701" t="s">
        <v>27546</v>
      </c>
      <c r="K7701" t="s">
        <v>29338</v>
      </c>
      <c r="L7701" t="s">
        <v>59</v>
      </c>
      <c r="M7701" t="s">
        <v>29631</v>
      </c>
      <c r="N7701" t="s">
        <v>32524</v>
      </c>
      <c r="O7701" t="s">
        <v>32525</v>
      </c>
      <c r="Q7701">
        <v>5</v>
      </c>
      <c r="R7701" t="s">
        <v>32533</v>
      </c>
      <c r="S7701" t="s">
        <v>32710</v>
      </c>
      <c r="T7701" t="s">
        <v>33227</v>
      </c>
      <c r="U7701" t="s">
        <v>40044</v>
      </c>
      <c r="W7701" t="s">
        <v>29631</v>
      </c>
      <c r="X7701" t="s">
        <v>32534</v>
      </c>
    </row>
    <row r="7702" spans="1:24">
      <c r="A7702">
        <f>HYPERLINK("https://www.philgeps.gov.ph/GEPSNONPILOT/Tender/SplashBidNoticeAbstractUI.aspx?menuIndex=3&amp;refID=7034472&amp;Result=3","7034472")</f>
        <v>0</v>
      </c>
      <c r="B7702" t="s">
        <v>1269</v>
      </c>
      <c r="C7702" t="s">
        <v>10032</v>
      </c>
      <c r="D7702" t="s">
        <v>13000</v>
      </c>
      <c r="E7702" t="s">
        <v>19848</v>
      </c>
      <c r="F7702" t="s">
        <v>22436</v>
      </c>
      <c r="G7702" t="s">
        <v>22444</v>
      </c>
      <c r="H7702" t="s">
        <v>22452</v>
      </c>
      <c r="I7702" t="s">
        <v>6421</v>
      </c>
      <c r="J7702" t="s">
        <v>27547</v>
      </c>
      <c r="K7702" t="s">
        <v>29335</v>
      </c>
      <c r="M7702" t="s">
        <v>31038</v>
      </c>
      <c r="N7702" t="s">
        <v>32524</v>
      </c>
      <c r="O7702" t="s">
        <v>32525</v>
      </c>
      <c r="P7702">
        <v>0</v>
      </c>
      <c r="Q7702">
        <v>12</v>
      </c>
      <c r="R7702" t="s">
        <v>32533</v>
      </c>
      <c r="S7702" t="s">
        <v>32667</v>
      </c>
      <c r="T7702" t="s">
        <v>33242</v>
      </c>
      <c r="U7702" t="s">
        <v>40045</v>
      </c>
      <c r="V7702" t="s">
        <v>42817</v>
      </c>
      <c r="W7702" t="s">
        <v>31038</v>
      </c>
      <c r="X7702" t="s">
        <v>32534</v>
      </c>
    </row>
    <row r="7703" spans="1:24">
      <c r="A7703">
        <f>HYPERLINK("https://www.philgeps.gov.ph/GEPSNONPILOT/Tender/SplashBidNoticeAbstractUI.aspx?menuIndex=3&amp;refID=7034452&amp;Result=3","7034452")</f>
        <v>0</v>
      </c>
      <c r="B7703" t="s">
        <v>2276</v>
      </c>
      <c r="C7703" t="s">
        <v>10033</v>
      </c>
      <c r="D7703" t="s">
        <v>13045</v>
      </c>
      <c r="E7703" t="s">
        <v>19849</v>
      </c>
      <c r="F7703" t="s">
        <v>22436</v>
      </c>
      <c r="G7703" t="s">
        <v>22444</v>
      </c>
      <c r="H7703" t="s">
        <v>22454</v>
      </c>
      <c r="I7703" t="s">
        <v>7738</v>
      </c>
      <c r="J7703" t="s">
        <v>27548</v>
      </c>
      <c r="K7703" t="s">
        <v>29388</v>
      </c>
      <c r="M7703" t="s">
        <v>32047</v>
      </c>
      <c r="N7703" t="s">
        <v>32524</v>
      </c>
      <c r="O7703" t="s">
        <v>32525</v>
      </c>
      <c r="P7703">
        <v>0</v>
      </c>
      <c r="Q7703">
        <v>5</v>
      </c>
      <c r="R7703" t="s">
        <v>32533</v>
      </c>
      <c r="S7703" t="s">
        <v>32667</v>
      </c>
      <c r="T7703" t="s">
        <v>33191</v>
      </c>
      <c r="U7703" t="s">
        <v>40046</v>
      </c>
      <c r="V7703" t="s">
        <v>43263</v>
      </c>
      <c r="W7703" t="s">
        <v>32047</v>
      </c>
      <c r="X7703" t="s">
        <v>32534</v>
      </c>
    </row>
    <row r="7704" spans="1:24">
      <c r="A7704">
        <f>HYPERLINK("https://www.philgeps.gov.ph/GEPSNONPILOT/Tender/SplashBidNoticeAbstractUI.aspx?menuIndex=3&amp;refID=7034510&amp;Result=3","7034510")</f>
        <v>0</v>
      </c>
      <c r="B7704" t="s">
        <v>293</v>
      </c>
      <c r="C7704" t="s">
        <v>10034</v>
      </c>
      <c r="D7704" t="s">
        <v>13046</v>
      </c>
      <c r="E7704" t="s">
        <v>19850</v>
      </c>
      <c r="F7704" t="s">
        <v>22436</v>
      </c>
      <c r="G7704" t="s">
        <v>22444</v>
      </c>
      <c r="H7704" t="s">
        <v>22454</v>
      </c>
      <c r="I7704" t="s">
        <v>7738</v>
      </c>
      <c r="J7704" t="s">
        <v>27549</v>
      </c>
      <c r="K7704" t="s">
        <v>29334</v>
      </c>
      <c r="M7704" t="s">
        <v>29867</v>
      </c>
      <c r="N7704" t="s">
        <v>32524</v>
      </c>
      <c r="O7704" t="s">
        <v>32525</v>
      </c>
      <c r="P7704">
        <v>0</v>
      </c>
      <c r="Q7704">
        <v>0</v>
      </c>
      <c r="R7704" t="s">
        <v>32533</v>
      </c>
      <c r="S7704" t="s">
        <v>32667</v>
      </c>
      <c r="T7704" t="s">
        <v>33227</v>
      </c>
      <c r="U7704" t="s">
        <v>40047</v>
      </c>
      <c r="W7704" t="s">
        <v>29867</v>
      </c>
      <c r="X7704" t="s">
        <v>32534</v>
      </c>
    </row>
    <row r="7705" spans="1:24">
      <c r="A7705">
        <f>HYPERLINK("https://www.philgeps.gov.ph/GEPSNONPILOT/Tender/SplashBidNoticeAbstractUI.aspx?menuIndex=3&amp;refID=7034509&amp;Result=3","7034509")</f>
        <v>0</v>
      </c>
      <c r="B7705" t="s">
        <v>86</v>
      </c>
      <c r="C7705" t="s">
        <v>10035</v>
      </c>
      <c r="D7705" t="s">
        <v>13021</v>
      </c>
      <c r="E7705" t="s">
        <v>19851</v>
      </c>
      <c r="F7705" t="s">
        <v>22436</v>
      </c>
      <c r="G7705" t="s">
        <v>22444</v>
      </c>
      <c r="H7705" t="s">
        <v>22452</v>
      </c>
      <c r="I7705" t="s">
        <v>4170</v>
      </c>
      <c r="J7705" t="s">
        <v>27550</v>
      </c>
      <c r="K7705" t="s">
        <v>29353</v>
      </c>
      <c r="M7705" t="s">
        <v>29658</v>
      </c>
      <c r="N7705" t="s">
        <v>32524</v>
      </c>
      <c r="O7705" t="s">
        <v>32525</v>
      </c>
      <c r="P7705">
        <v>0</v>
      </c>
      <c r="Q7705">
        <v>0</v>
      </c>
      <c r="R7705" t="s">
        <v>32533</v>
      </c>
      <c r="S7705" t="s">
        <v>32667</v>
      </c>
      <c r="T7705" t="s">
        <v>33259</v>
      </c>
      <c r="U7705" t="s">
        <v>40048</v>
      </c>
      <c r="V7705" t="s">
        <v>43264</v>
      </c>
      <c r="W7705" t="s">
        <v>29658</v>
      </c>
      <c r="X7705" t="s">
        <v>32534</v>
      </c>
    </row>
    <row r="7706" spans="1:24">
      <c r="A7706">
        <f>HYPERLINK("https://www.philgeps.gov.ph/GEPSNONPILOT/Tender/SplashBidNoticeAbstractUI.aspx?menuIndex=3&amp;refID=7034484&amp;Result=3","7034484")</f>
        <v>0</v>
      </c>
      <c r="B7706" t="s">
        <v>2277</v>
      </c>
      <c r="C7706" t="s">
        <v>10036</v>
      </c>
      <c r="D7706" t="s">
        <v>13053</v>
      </c>
      <c r="E7706" t="s">
        <v>19852</v>
      </c>
      <c r="F7706" t="s">
        <v>22436</v>
      </c>
      <c r="G7706" t="s">
        <v>22444</v>
      </c>
      <c r="H7706" t="s">
        <v>22452</v>
      </c>
      <c r="I7706" t="s">
        <v>3529</v>
      </c>
      <c r="J7706" t="s">
        <v>27551</v>
      </c>
      <c r="K7706" t="s">
        <v>29331</v>
      </c>
      <c r="M7706" t="s">
        <v>32048</v>
      </c>
      <c r="N7706" t="s">
        <v>32524</v>
      </c>
      <c r="O7706" t="s">
        <v>32525</v>
      </c>
      <c r="P7706">
        <v>0</v>
      </c>
      <c r="Q7706">
        <v>0</v>
      </c>
      <c r="R7706" t="s">
        <v>32533</v>
      </c>
      <c r="S7706" t="s">
        <v>32667</v>
      </c>
      <c r="T7706" t="s">
        <v>33235</v>
      </c>
      <c r="U7706" t="s">
        <v>40049</v>
      </c>
      <c r="W7706" t="s">
        <v>32048</v>
      </c>
      <c r="X7706" t="s">
        <v>32534</v>
      </c>
    </row>
    <row r="7707" spans="1:24">
      <c r="A7707">
        <f>HYPERLINK("https://www.philgeps.gov.ph/GEPSNONPILOT/Tender/SplashBidNoticeAbstractUI.aspx?menuIndex=3&amp;refID=7034503&amp;Result=3","7034503")</f>
        <v>0</v>
      </c>
      <c r="B7707" t="s">
        <v>805</v>
      </c>
      <c r="C7707" t="s">
        <v>10037</v>
      </c>
      <c r="D7707" t="s">
        <v>13012</v>
      </c>
      <c r="E7707" t="s">
        <v>19853</v>
      </c>
      <c r="F7707" t="s">
        <v>22436</v>
      </c>
      <c r="G7707" t="s">
        <v>22444</v>
      </c>
      <c r="H7707" t="s">
        <v>22452</v>
      </c>
      <c r="I7707" t="s">
        <v>3529</v>
      </c>
      <c r="J7707" t="s">
        <v>27552</v>
      </c>
      <c r="K7707" t="s">
        <v>29329</v>
      </c>
      <c r="M7707" t="s">
        <v>30407</v>
      </c>
      <c r="N7707" t="s">
        <v>32524</v>
      </c>
      <c r="O7707" t="s">
        <v>32525</v>
      </c>
      <c r="P7707">
        <v>0</v>
      </c>
      <c r="Q7707">
        <v>0</v>
      </c>
      <c r="R7707" t="s">
        <v>32533</v>
      </c>
      <c r="S7707" t="s">
        <v>32667</v>
      </c>
      <c r="T7707" t="s">
        <v>33521</v>
      </c>
      <c r="U7707" t="s">
        <v>35349</v>
      </c>
      <c r="W7707" t="s">
        <v>30407</v>
      </c>
      <c r="X7707" t="s">
        <v>32534</v>
      </c>
    </row>
    <row r="7708" spans="1:24">
      <c r="A7708">
        <f>HYPERLINK("https://www.philgeps.gov.ph/GEPSNONPILOT/Tender/SplashBidNoticeAbstractUI.aspx?menuIndex=3&amp;refID=7034476&amp;Result=3","7034476")</f>
        <v>0</v>
      </c>
      <c r="B7708" t="s">
        <v>2088</v>
      </c>
      <c r="C7708" t="s">
        <v>10038</v>
      </c>
      <c r="D7708" t="s">
        <v>13004</v>
      </c>
      <c r="E7708" t="s">
        <v>19854</v>
      </c>
      <c r="F7708" t="s">
        <v>22436</v>
      </c>
      <c r="G7708" t="s">
        <v>22444</v>
      </c>
      <c r="H7708" t="s">
        <v>22452</v>
      </c>
      <c r="I7708" t="s">
        <v>6421</v>
      </c>
      <c r="J7708" t="s">
        <v>27553</v>
      </c>
      <c r="K7708" t="s">
        <v>29336</v>
      </c>
      <c r="M7708" t="s">
        <v>31832</v>
      </c>
      <c r="N7708" t="s">
        <v>32524</v>
      </c>
      <c r="O7708" t="s">
        <v>32525</v>
      </c>
      <c r="Q7708">
        <v>25</v>
      </c>
      <c r="R7708" t="s">
        <v>32533</v>
      </c>
      <c r="S7708" t="s">
        <v>32711</v>
      </c>
      <c r="T7708" t="s">
        <v>33259</v>
      </c>
      <c r="U7708" t="s">
        <v>40050</v>
      </c>
      <c r="W7708" t="s">
        <v>31832</v>
      </c>
      <c r="X7708" t="s">
        <v>32534</v>
      </c>
    </row>
    <row r="7709" spans="1:24">
      <c r="A7709">
        <f>HYPERLINK("https://www.philgeps.gov.ph/GEPSNONPILOT/Tender/SplashBidNoticeAbstractUI.aspx?menuIndex=3&amp;refID=7034497&amp;Result=3","7034497")</f>
        <v>0</v>
      </c>
      <c r="B7709" t="s">
        <v>1826</v>
      </c>
      <c r="C7709" t="s">
        <v>10039</v>
      </c>
      <c r="D7709" t="s">
        <v>13046</v>
      </c>
      <c r="E7709" t="s">
        <v>19855</v>
      </c>
      <c r="F7709" t="s">
        <v>22437</v>
      </c>
      <c r="G7709" t="s">
        <v>22444</v>
      </c>
      <c r="H7709" t="s">
        <v>22452</v>
      </c>
      <c r="I7709" t="s">
        <v>22502</v>
      </c>
      <c r="J7709" t="s">
        <v>27554</v>
      </c>
      <c r="K7709" t="s">
        <v>29341</v>
      </c>
      <c r="M7709" t="s">
        <v>31541</v>
      </c>
      <c r="N7709" t="s">
        <v>32524</v>
      </c>
      <c r="O7709" t="s">
        <v>32525</v>
      </c>
      <c r="P7709">
        <v>0</v>
      </c>
      <c r="Q7709">
        <v>6</v>
      </c>
      <c r="R7709" t="s">
        <v>32533</v>
      </c>
      <c r="S7709" t="s">
        <v>32667</v>
      </c>
      <c r="T7709" t="s">
        <v>33187</v>
      </c>
      <c r="U7709" t="s">
        <v>38348</v>
      </c>
      <c r="W7709" t="s">
        <v>31541</v>
      </c>
      <c r="X7709" t="s">
        <v>32534</v>
      </c>
    </row>
    <row r="7710" spans="1:24">
      <c r="A7710">
        <f>HYPERLINK("https://www.philgeps.gov.ph/GEPSNONPILOT/Tender/SplashBidNoticeAbstractUI.aspx?menuIndex=3&amp;refID=7034456&amp;Result=3","7034456")</f>
        <v>0</v>
      </c>
      <c r="B7710" t="s">
        <v>293</v>
      </c>
      <c r="C7710" t="s">
        <v>10040</v>
      </c>
      <c r="D7710" t="s">
        <v>13046</v>
      </c>
      <c r="E7710" t="s">
        <v>19856</v>
      </c>
      <c r="F7710" t="s">
        <v>22436</v>
      </c>
      <c r="G7710" t="s">
        <v>22444</v>
      </c>
      <c r="H7710" t="s">
        <v>22454</v>
      </c>
      <c r="I7710" t="s">
        <v>7738</v>
      </c>
      <c r="J7710" t="s">
        <v>23399</v>
      </c>
      <c r="K7710" t="s">
        <v>29366</v>
      </c>
      <c r="M7710" t="s">
        <v>29867</v>
      </c>
      <c r="N7710" t="s">
        <v>32524</v>
      </c>
      <c r="O7710" t="s">
        <v>32525</v>
      </c>
      <c r="P7710">
        <v>0</v>
      </c>
      <c r="Q7710">
        <v>1</v>
      </c>
      <c r="R7710" t="s">
        <v>32533</v>
      </c>
      <c r="S7710" t="s">
        <v>32667</v>
      </c>
      <c r="T7710" t="s">
        <v>33227</v>
      </c>
      <c r="U7710" t="s">
        <v>40051</v>
      </c>
      <c r="W7710" t="s">
        <v>29867</v>
      </c>
      <c r="X7710" t="s">
        <v>32534</v>
      </c>
    </row>
    <row r="7711" spans="1:24">
      <c r="A7711">
        <f>HYPERLINK("https://www.philgeps.gov.ph/GEPSNONPILOT/Tender/SplashBidNoticeAbstractUI.aspx?menuIndex=3&amp;refID=7034516&amp;Result=3","7034516")</f>
        <v>0</v>
      </c>
      <c r="B7711" t="s">
        <v>1350</v>
      </c>
      <c r="C7711" t="s">
        <v>10041</v>
      </c>
      <c r="D7711" t="s">
        <v>13013</v>
      </c>
      <c r="E7711" t="s">
        <v>19857</v>
      </c>
      <c r="F7711" t="s">
        <v>22436</v>
      </c>
      <c r="G7711" t="s">
        <v>22446</v>
      </c>
      <c r="H7711" t="s">
        <v>22452</v>
      </c>
      <c r="I7711" t="s">
        <v>5194</v>
      </c>
      <c r="J7711" t="s">
        <v>27555</v>
      </c>
      <c r="K7711" t="s">
        <v>29341</v>
      </c>
      <c r="M7711" t="s">
        <v>31006</v>
      </c>
      <c r="N7711" t="s">
        <v>32524</v>
      </c>
      <c r="O7711" t="s">
        <v>32525</v>
      </c>
      <c r="P7711">
        <v>0</v>
      </c>
      <c r="Q7711">
        <v>1</v>
      </c>
      <c r="R7711" t="s">
        <v>32533</v>
      </c>
      <c r="S7711" t="s">
        <v>32667</v>
      </c>
      <c r="T7711" t="s">
        <v>33197</v>
      </c>
      <c r="U7711" t="s">
        <v>40052</v>
      </c>
      <c r="W7711" t="s">
        <v>31006</v>
      </c>
      <c r="X7711" t="s">
        <v>32534</v>
      </c>
    </row>
    <row r="7712" spans="1:24">
      <c r="A7712">
        <f>HYPERLINK("https://www.philgeps.gov.ph/GEPSNONPILOT/Tender/SplashBidNoticeAbstractUI.aspx?menuIndex=3&amp;refID=7034504&amp;Result=3","7034504")</f>
        <v>0</v>
      </c>
      <c r="B7712" t="s">
        <v>59</v>
      </c>
      <c r="C7712" t="s">
        <v>10042</v>
      </c>
      <c r="D7712" t="s">
        <v>13004</v>
      </c>
      <c r="E7712" t="s">
        <v>19858</v>
      </c>
      <c r="F7712" t="s">
        <v>22436</v>
      </c>
      <c r="G7712" t="s">
        <v>22450</v>
      </c>
      <c r="H7712" t="s">
        <v>22452</v>
      </c>
      <c r="I7712" t="s">
        <v>5194</v>
      </c>
      <c r="J7712" t="s">
        <v>27556</v>
      </c>
      <c r="K7712" t="s">
        <v>29338</v>
      </c>
      <c r="L7712" t="s">
        <v>59</v>
      </c>
      <c r="M7712" t="s">
        <v>29631</v>
      </c>
      <c r="N7712" t="s">
        <v>32524</v>
      </c>
      <c r="O7712" t="s">
        <v>32525</v>
      </c>
      <c r="Q7712">
        <v>7</v>
      </c>
      <c r="R7712" t="s">
        <v>32533</v>
      </c>
      <c r="S7712" t="s">
        <v>32712</v>
      </c>
      <c r="T7712" t="s">
        <v>33227</v>
      </c>
      <c r="U7712" t="s">
        <v>40053</v>
      </c>
      <c r="W7712" t="s">
        <v>29631</v>
      </c>
      <c r="X7712" t="s">
        <v>32534</v>
      </c>
    </row>
    <row r="7713" spans="1:24">
      <c r="A7713">
        <f>HYPERLINK("https://www.philgeps.gov.ph/GEPSNONPILOT/Tender/SplashBidNoticeAbstractUI.aspx?menuIndex=3&amp;refID=7034512&amp;Result=3","7034512")</f>
        <v>0</v>
      </c>
      <c r="B7713" t="s">
        <v>1584</v>
      </c>
      <c r="C7713" t="s">
        <v>10043</v>
      </c>
      <c r="D7713" t="s">
        <v>13033</v>
      </c>
      <c r="E7713" t="s">
        <v>19859</v>
      </c>
      <c r="F7713" t="s">
        <v>22436</v>
      </c>
      <c r="G7713" t="s">
        <v>22444</v>
      </c>
      <c r="H7713" t="s">
        <v>22454</v>
      </c>
      <c r="I7713" t="s">
        <v>7738</v>
      </c>
      <c r="J7713" t="s">
        <v>22893</v>
      </c>
      <c r="K7713" t="s">
        <v>29329</v>
      </c>
      <c r="M7713" t="s">
        <v>31266</v>
      </c>
      <c r="N7713" t="s">
        <v>32524</v>
      </c>
      <c r="O7713" t="s">
        <v>32525</v>
      </c>
      <c r="P7713">
        <v>0</v>
      </c>
      <c r="Q7713">
        <v>0</v>
      </c>
      <c r="R7713" t="s">
        <v>32533</v>
      </c>
      <c r="S7713" t="s">
        <v>32667</v>
      </c>
      <c r="T7713" t="s">
        <v>33361</v>
      </c>
      <c r="U7713" t="s">
        <v>40054</v>
      </c>
      <c r="W7713" t="s">
        <v>31266</v>
      </c>
      <c r="X7713" t="s">
        <v>32534</v>
      </c>
    </row>
    <row r="7714" spans="1:24">
      <c r="A7714">
        <f>HYPERLINK("https://www.philgeps.gov.ph/GEPSNONPILOT/Tender/SplashBidNoticeAbstractUI.aspx?menuIndex=3&amp;refID=7034468&amp;Result=3","7034468")</f>
        <v>0</v>
      </c>
      <c r="B7714" t="s">
        <v>1826</v>
      </c>
      <c r="C7714" t="s">
        <v>10044</v>
      </c>
      <c r="D7714" t="s">
        <v>13046</v>
      </c>
      <c r="E7714" t="s">
        <v>19860</v>
      </c>
      <c r="F7714" t="s">
        <v>22437</v>
      </c>
      <c r="G7714" t="s">
        <v>22444</v>
      </c>
      <c r="H7714" t="s">
        <v>22452</v>
      </c>
      <c r="I7714" t="s">
        <v>22492</v>
      </c>
      <c r="J7714" t="s">
        <v>27557</v>
      </c>
      <c r="K7714" t="s">
        <v>29341</v>
      </c>
      <c r="M7714" t="s">
        <v>31541</v>
      </c>
      <c r="N7714" t="s">
        <v>32524</v>
      </c>
      <c r="O7714" t="s">
        <v>32525</v>
      </c>
      <c r="P7714">
        <v>0</v>
      </c>
      <c r="Q7714">
        <v>0</v>
      </c>
      <c r="R7714" t="s">
        <v>32533</v>
      </c>
      <c r="S7714" t="s">
        <v>32667</v>
      </c>
      <c r="T7714" t="s">
        <v>33155</v>
      </c>
      <c r="U7714" t="s">
        <v>38348</v>
      </c>
      <c r="W7714" t="s">
        <v>31541</v>
      </c>
      <c r="X7714" t="s">
        <v>32534</v>
      </c>
    </row>
    <row r="7715" spans="1:24">
      <c r="A7715">
        <f>HYPERLINK("https://www.philgeps.gov.ph/GEPSNONPILOT/Tender/SplashBidNoticeAbstractUI.aspx?menuIndex=3&amp;refID=7034455&amp;Result=3","7034455")</f>
        <v>0</v>
      </c>
      <c r="B7715" t="s">
        <v>2262</v>
      </c>
      <c r="C7715" t="s">
        <v>10045</v>
      </c>
      <c r="D7715" t="s">
        <v>13020</v>
      </c>
      <c r="E7715" t="s">
        <v>19861</v>
      </c>
      <c r="F7715" t="s">
        <v>22436</v>
      </c>
      <c r="G7715" t="s">
        <v>22444</v>
      </c>
      <c r="H7715" t="s">
        <v>22454</v>
      </c>
      <c r="I7715" t="s">
        <v>7738</v>
      </c>
      <c r="J7715" t="s">
        <v>25498</v>
      </c>
      <c r="K7715" t="s">
        <v>29344</v>
      </c>
      <c r="L7715" t="s">
        <v>2262</v>
      </c>
      <c r="M7715" t="s">
        <v>32032</v>
      </c>
      <c r="N7715" t="s">
        <v>32524</v>
      </c>
      <c r="O7715" t="s">
        <v>32525</v>
      </c>
      <c r="P7715">
        <v>0</v>
      </c>
      <c r="Q7715">
        <v>12</v>
      </c>
      <c r="R7715" t="s">
        <v>32533</v>
      </c>
      <c r="S7715" t="s">
        <v>32667</v>
      </c>
      <c r="T7715" t="s">
        <v>33237</v>
      </c>
      <c r="U7715" t="s">
        <v>40055</v>
      </c>
      <c r="W7715" t="s">
        <v>32032</v>
      </c>
      <c r="X7715" t="s">
        <v>32534</v>
      </c>
    </row>
    <row r="7716" spans="1:24">
      <c r="A7716">
        <f>HYPERLINK("https://www.philgeps.gov.ph/GEPSNONPILOT/Tender/SplashBidNoticeAbstractUI.aspx?menuIndex=3&amp;refID=7033699&amp;Result=3","7033699")</f>
        <v>0</v>
      </c>
      <c r="B7716" t="s">
        <v>1631</v>
      </c>
      <c r="C7716" t="s">
        <v>10046</v>
      </c>
      <c r="D7716" t="s">
        <v>13019</v>
      </c>
      <c r="E7716" t="s">
        <v>19862</v>
      </c>
      <c r="F7716" t="s">
        <v>22436</v>
      </c>
      <c r="G7716" t="s">
        <v>22444</v>
      </c>
      <c r="H7716" t="s">
        <v>22454</v>
      </c>
      <c r="I7716" t="s">
        <v>22526</v>
      </c>
      <c r="J7716" t="s">
        <v>27558</v>
      </c>
      <c r="K7716" t="s">
        <v>29344</v>
      </c>
      <c r="M7716" t="s">
        <v>31321</v>
      </c>
      <c r="N7716" t="s">
        <v>32524</v>
      </c>
      <c r="O7716" t="s">
        <v>32525</v>
      </c>
      <c r="P7716">
        <v>0</v>
      </c>
      <c r="Q7716">
        <v>4</v>
      </c>
      <c r="R7716" t="s">
        <v>32533</v>
      </c>
      <c r="S7716" t="s">
        <v>32667</v>
      </c>
      <c r="T7716" t="s">
        <v>33249</v>
      </c>
      <c r="U7716" t="s">
        <v>40056</v>
      </c>
      <c r="W7716" t="s">
        <v>31321</v>
      </c>
      <c r="X7716" t="s">
        <v>32534</v>
      </c>
    </row>
    <row r="7717" spans="1:24">
      <c r="A7717">
        <f>HYPERLINK("https://www.philgeps.gov.ph/GEPSNONPILOT/Tender/SplashBidNoticeAbstractUI.aspx?menuIndex=3&amp;refID=7034499&amp;Result=3","7034499")</f>
        <v>0</v>
      </c>
      <c r="B7717" t="s">
        <v>2216</v>
      </c>
      <c r="C7717" t="s">
        <v>10047</v>
      </c>
      <c r="D7717" t="s">
        <v>13037</v>
      </c>
      <c r="E7717" t="s">
        <v>19863</v>
      </c>
      <c r="F7717" t="s">
        <v>22436</v>
      </c>
      <c r="G7717" t="s">
        <v>22444</v>
      </c>
      <c r="H7717" t="s">
        <v>22452</v>
      </c>
      <c r="I7717" t="s">
        <v>22474</v>
      </c>
      <c r="J7717" t="s">
        <v>23350</v>
      </c>
      <c r="K7717" t="s">
        <v>29335</v>
      </c>
      <c r="M7717" t="s">
        <v>31982</v>
      </c>
      <c r="N7717" t="s">
        <v>32524</v>
      </c>
      <c r="O7717" t="s">
        <v>32525</v>
      </c>
      <c r="P7717">
        <v>0</v>
      </c>
      <c r="Q7717">
        <v>5</v>
      </c>
      <c r="R7717" t="s">
        <v>32533</v>
      </c>
      <c r="S7717" t="s">
        <v>32667</v>
      </c>
      <c r="T7717" t="s">
        <v>33550</v>
      </c>
      <c r="U7717" t="s">
        <v>40057</v>
      </c>
      <c r="W7717" t="s">
        <v>31982</v>
      </c>
      <c r="X7717" t="s">
        <v>32534</v>
      </c>
    </row>
    <row r="7718" spans="1:24">
      <c r="A7718">
        <f>HYPERLINK("https://www.philgeps.gov.ph/GEPSNONPILOT/Tender/SplashBidNoticeAbstractUI.aspx?menuIndex=3&amp;refID=7034585&amp;Result=3","7034585")</f>
        <v>0</v>
      </c>
      <c r="B7718" t="s">
        <v>2257</v>
      </c>
      <c r="C7718" t="s">
        <v>10048</v>
      </c>
      <c r="D7718" t="s">
        <v>13006</v>
      </c>
      <c r="E7718" t="s">
        <v>19864</v>
      </c>
      <c r="F7718" t="s">
        <v>22436</v>
      </c>
      <c r="G7718" t="s">
        <v>22446</v>
      </c>
      <c r="H7718" t="s">
        <v>22452</v>
      </c>
      <c r="I7718" t="s">
        <v>3529</v>
      </c>
      <c r="J7718" t="s">
        <v>27492</v>
      </c>
      <c r="K7718" t="s">
        <v>29336</v>
      </c>
      <c r="M7718" t="s">
        <v>32025</v>
      </c>
      <c r="N7718" t="s">
        <v>32524</v>
      </c>
      <c r="O7718" t="s">
        <v>32525</v>
      </c>
      <c r="P7718">
        <v>0</v>
      </c>
      <c r="Q7718">
        <v>0</v>
      </c>
      <c r="R7718" t="s">
        <v>32533</v>
      </c>
      <c r="S7718" t="s">
        <v>32667</v>
      </c>
      <c r="T7718" t="s">
        <v>33209</v>
      </c>
      <c r="U7718" t="s">
        <v>39980</v>
      </c>
      <c r="W7718" t="s">
        <v>32025</v>
      </c>
      <c r="X7718" t="s">
        <v>32534</v>
      </c>
    </row>
    <row r="7719" spans="1:24">
      <c r="A7719">
        <f>HYPERLINK("https://www.philgeps.gov.ph/GEPSNONPILOT/Tender/SplashBidNoticeAbstractUI.aspx?menuIndex=3&amp;refID=7034531&amp;Result=3","7034531")</f>
        <v>0</v>
      </c>
      <c r="B7719" t="s">
        <v>2251</v>
      </c>
      <c r="C7719" t="s">
        <v>10049</v>
      </c>
      <c r="D7719" t="s">
        <v>13026</v>
      </c>
      <c r="E7719" t="s">
        <v>19865</v>
      </c>
      <c r="F7719" t="s">
        <v>22436</v>
      </c>
      <c r="G7719" t="s">
        <v>22444</v>
      </c>
      <c r="H7719" t="s">
        <v>22454</v>
      </c>
      <c r="I7719" t="s">
        <v>7738</v>
      </c>
      <c r="J7719" t="s">
        <v>27559</v>
      </c>
      <c r="K7719" t="s">
        <v>29333</v>
      </c>
      <c r="M7719" t="s">
        <v>32018</v>
      </c>
      <c r="N7719" t="s">
        <v>32524</v>
      </c>
      <c r="O7719" t="s">
        <v>32525</v>
      </c>
      <c r="P7719">
        <v>0</v>
      </c>
      <c r="Q7719">
        <v>3</v>
      </c>
      <c r="R7719" t="s">
        <v>32533</v>
      </c>
      <c r="S7719" t="s">
        <v>32667</v>
      </c>
      <c r="T7719" t="s">
        <v>33188</v>
      </c>
      <c r="U7719" t="s">
        <v>40058</v>
      </c>
      <c r="V7719" t="s">
        <v>43265</v>
      </c>
      <c r="W7719" t="s">
        <v>32018</v>
      </c>
      <c r="X7719" t="s">
        <v>32534</v>
      </c>
    </row>
    <row r="7720" spans="1:24">
      <c r="A7720">
        <f>HYPERLINK("https://www.philgeps.gov.ph/GEPSNONPILOT/Tender/SplashBidNoticeAbstractUI.aspx?menuIndex=3&amp;refID=7034597&amp;Result=3","7034597")</f>
        <v>0</v>
      </c>
      <c r="B7720" t="s">
        <v>293</v>
      </c>
      <c r="C7720" t="s">
        <v>10050</v>
      </c>
      <c r="D7720" t="s">
        <v>13046</v>
      </c>
      <c r="E7720" t="s">
        <v>19866</v>
      </c>
      <c r="F7720" t="s">
        <v>22436</v>
      </c>
      <c r="G7720" t="s">
        <v>22444</v>
      </c>
      <c r="H7720" t="s">
        <v>22454</v>
      </c>
      <c r="I7720" t="s">
        <v>7738</v>
      </c>
      <c r="J7720" t="s">
        <v>27560</v>
      </c>
      <c r="K7720" t="s">
        <v>29347</v>
      </c>
      <c r="M7720" t="s">
        <v>29867</v>
      </c>
      <c r="N7720" t="s">
        <v>32524</v>
      </c>
      <c r="O7720" t="s">
        <v>32525</v>
      </c>
      <c r="P7720">
        <v>0</v>
      </c>
      <c r="Q7720">
        <v>0</v>
      </c>
      <c r="R7720" t="s">
        <v>32533</v>
      </c>
      <c r="S7720" t="s">
        <v>32667</v>
      </c>
      <c r="T7720" t="s">
        <v>33227</v>
      </c>
      <c r="U7720" t="s">
        <v>40059</v>
      </c>
      <c r="W7720" t="s">
        <v>29867</v>
      </c>
      <c r="X7720" t="s">
        <v>32534</v>
      </c>
    </row>
    <row r="7721" spans="1:24">
      <c r="A7721">
        <f>HYPERLINK("https://www.philgeps.gov.ph/GEPSNONPILOT/Tender/SplashBidNoticeAbstractUI.aspx?menuIndex=3&amp;refID=7034529&amp;Result=3","7034529")</f>
        <v>0</v>
      </c>
      <c r="B7721" t="s">
        <v>40</v>
      </c>
      <c r="C7721" t="s">
        <v>10051</v>
      </c>
      <c r="D7721" t="s">
        <v>13001</v>
      </c>
      <c r="E7721" t="s">
        <v>19867</v>
      </c>
      <c r="F7721" t="s">
        <v>22436</v>
      </c>
      <c r="G7721" t="s">
        <v>22444</v>
      </c>
      <c r="H7721" t="s">
        <v>22454</v>
      </c>
      <c r="I7721" t="s">
        <v>7738</v>
      </c>
      <c r="J7721" t="s">
        <v>22960</v>
      </c>
      <c r="K7721" t="s">
        <v>29333</v>
      </c>
      <c r="M7721" t="s">
        <v>29611</v>
      </c>
      <c r="N7721" t="s">
        <v>32524</v>
      </c>
      <c r="O7721" t="s">
        <v>32525</v>
      </c>
      <c r="P7721">
        <v>0</v>
      </c>
      <c r="Q7721">
        <v>19</v>
      </c>
      <c r="R7721" t="s">
        <v>32533</v>
      </c>
      <c r="S7721" t="s">
        <v>32667</v>
      </c>
      <c r="T7721" t="s">
        <v>33249</v>
      </c>
      <c r="U7721" t="s">
        <v>40060</v>
      </c>
      <c r="V7721" t="s">
        <v>42423</v>
      </c>
      <c r="W7721" t="s">
        <v>29611</v>
      </c>
      <c r="X7721" t="s">
        <v>32534</v>
      </c>
    </row>
    <row r="7722" spans="1:24">
      <c r="A7722">
        <f>HYPERLINK("https://www.philgeps.gov.ph/GEPSNONPILOT/Tender/SplashBidNoticeAbstractUI.aspx?menuIndex=3&amp;refID=7034601&amp;Result=3","7034601")</f>
        <v>0</v>
      </c>
      <c r="B7722" t="s">
        <v>2267</v>
      </c>
      <c r="C7722" t="s">
        <v>10052</v>
      </c>
      <c r="D7722" t="s">
        <v>12988</v>
      </c>
      <c r="E7722" t="s">
        <v>14434</v>
      </c>
      <c r="F7722" t="s">
        <v>22437</v>
      </c>
      <c r="G7722" t="s">
        <v>22444</v>
      </c>
      <c r="H7722" t="s">
        <v>22452</v>
      </c>
      <c r="I7722" t="s">
        <v>22504</v>
      </c>
      <c r="J7722" t="s">
        <v>22640</v>
      </c>
      <c r="K7722" t="s">
        <v>29341</v>
      </c>
      <c r="M7722" t="s">
        <v>32037</v>
      </c>
      <c r="N7722" t="s">
        <v>32524</v>
      </c>
      <c r="O7722" t="s">
        <v>32525</v>
      </c>
      <c r="P7722">
        <v>0</v>
      </c>
      <c r="Q7722">
        <v>4</v>
      </c>
      <c r="R7722" t="s">
        <v>32533</v>
      </c>
      <c r="S7722" t="s">
        <v>32667</v>
      </c>
      <c r="T7722" t="s">
        <v>33168</v>
      </c>
      <c r="U7722" t="s">
        <v>40061</v>
      </c>
      <c r="W7722" t="s">
        <v>32037</v>
      </c>
      <c r="X7722" t="s">
        <v>32534</v>
      </c>
    </row>
    <row r="7723" spans="1:24">
      <c r="A7723">
        <f>HYPERLINK("https://www.philgeps.gov.ph/GEPSNONPILOT/Tender/SplashBidNoticeAbstractUI.aspx?menuIndex=3&amp;refID=7034602&amp;Result=3","7034602")</f>
        <v>0</v>
      </c>
      <c r="B7723" t="s">
        <v>771</v>
      </c>
      <c r="C7723" t="s">
        <v>10053</v>
      </c>
      <c r="D7723" t="s">
        <v>13012</v>
      </c>
      <c r="E7723" t="s">
        <v>19868</v>
      </c>
      <c r="F7723" t="s">
        <v>22436</v>
      </c>
      <c r="G7723" t="s">
        <v>22444</v>
      </c>
      <c r="H7723" t="s">
        <v>22454</v>
      </c>
      <c r="I7723" t="s">
        <v>7738</v>
      </c>
      <c r="J7723" t="s">
        <v>27561</v>
      </c>
      <c r="K7723" t="s">
        <v>29433</v>
      </c>
      <c r="M7723" t="s">
        <v>30398</v>
      </c>
      <c r="N7723" t="s">
        <v>32524</v>
      </c>
      <c r="O7723" t="s">
        <v>32525</v>
      </c>
      <c r="P7723">
        <v>0</v>
      </c>
      <c r="Q7723">
        <v>0</v>
      </c>
      <c r="R7723" t="s">
        <v>32533</v>
      </c>
      <c r="S7723" t="s">
        <v>32667</v>
      </c>
      <c r="T7723" t="s">
        <v>33218</v>
      </c>
      <c r="U7723" t="s">
        <v>35268</v>
      </c>
      <c r="W7723" t="s">
        <v>30398</v>
      </c>
      <c r="X7723" t="s">
        <v>32534</v>
      </c>
    </row>
    <row r="7724" spans="1:24">
      <c r="A7724">
        <f>HYPERLINK("https://www.philgeps.gov.ph/GEPSNONPILOT/Tender/SplashBidNoticeAbstractUI.aspx?menuIndex=3&amp;refID=7034583&amp;Result=3","7034583")</f>
        <v>0</v>
      </c>
      <c r="B7724" t="s">
        <v>2278</v>
      </c>
      <c r="C7724" t="s">
        <v>10054</v>
      </c>
      <c r="D7724" t="s">
        <v>13015</v>
      </c>
      <c r="E7724" t="s">
        <v>19869</v>
      </c>
      <c r="F7724" t="s">
        <v>22436</v>
      </c>
      <c r="G7724" t="s">
        <v>22443</v>
      </c>
      <c r="H7724" t="s">
        <v>22452</v>
      </c>
      <c r="I7724" t="s">
        <v>22482</v>
      </c>
      <c r="J7724" t="s">
        <v>27562</v>
      </c>
      <c r="K7724" t="s">
        <v>29335</v>
      </c>
      <c r="M7724" t="s">
        <v>32049</v>
      </c>
      <c r="N7724" t="s">
        <v>32524</v>
      </c>
      <c r="O7724" t="s">
        <v>32525</v>
      </c>
      <c r="P7724">
        <v>0</v>
      </c>
      <c r="Q7724">
        <v>5</v>
      </c>
      <c r="R7724" t="s">
        <v>32533</v>
      </c>
      <c r="S7724" t="s">
        <v>32667</v>
      </c>
      <c r="T7724" t="s">
        <v>33161</v>
      </c>
      <c r="U7724" t="s">
        <v>40062</v>
      </c>
      <c r="W7724" t="s">
        <v>32049</v>
      </c>
      <c r="X7724" t="s">
        <v>32534</v>
      </c>
    </row>
    <row r="7725" spans="1:24">
      <c r="A7725">
        <f>HYPERLINK("https://www.philgeps.gov.ph/GEPSNONPILOT/Tender/SplashBidNoticeAbstractUI.aspx?menuIndex=3&amp;refID=7034594&amp;Result=3","7034594")</f>
        <v>0</v>
      </c>
      <c r="B7725" t="s">
        <v>805</v>
      </c>
      <c r="C7725" t="s">
        <v>10055</v>
      </c>
      <c r="D7725" t="s">
        <v>13012</v>
      </c>
      <c r="E7725" t="s">
        <v>13210</v>
      </c>
      <c r="F7725" t="s">
        <v>22436</v>
      </c>
      <c r="G7725" t="s">
        <v>22444</v>
      </c>
      <c r="H7725" t="s">
        <v>22452</v>
      </c>
      <c r="I7725" t="s">
        <v>3529</v>
      </c>
      <c r="J7725" t="s">
        <v>27563</v>
      </c>
      <c r="K7725" t="s">
        <v>29329</v>
      </c>
      <c r="M7725" t="s">
        <v>30407</v>
      </c>
      <c r="N7725" t="s">
        <v>32524</v>
      </c>
      <c r="O7725" t="s">
        <v>32525</v>
      </c>
      <c r="P7725">
        <v>0</v>
      </c>
      <c r="Q7725">
        <v>0</v>
      </c>
      <c r="R7725" t="s">
        <v>32533</v>
      </c>
      <c r="S7725" t="s">
        <v>32667</v>
      </c>
      <c r="T7725" t="s">
        <v>33521</v>
      </c>
      <c r="U7725" t="s">
        <v>35349</v>
      </c>
      <c r="W7725" t="s">
        <v>30407</v>
      </c>
      <c r="X7725" t="s">
        <v>32534</v>
      </c>
    </row>
    <row r="7726" spans="1:24">
      <c r="A7726">
        <f>HYPERLINK("https://www.philgeps.gov.ph/GEPSNONPILOT/Tender/SplashBidNoticeAbstractUI.aspx?menuIndex=3&amp;refID=7034521&amp;Result=3","7034521")</f>
        <v>0</v>
      </c>
      <c r="B7726" t="s">
        <v>2257</v>
      </c>
      <c r="C7726" t="s">
        <v>10056</v>
      </c>
      <c r="D7726" t="s">
        <v>13006</v>
      </c>
      <c r="E7726" t="s">
        <v>19870</v>
      </c>
      <c r="F7726" t="s">
        <v>22436</v>
      </c>
      <c r="G7726" t="s">
        <v>22446</v>
      </c>
      <c r="H7726" t="s">
        <v>22452</v>
      </c>
      <c r="I7726" t="s">
        <v>3529</v>
      </c>
      <c r="J7726" t="s">
        <v>27492</v>
      </c>
      <c r="K7726" t="s">
        <v>29336</v>
      </c>
      <c r="M7726" t="s">
        <v>32025</v>
      </c>
      <c r="N7726" t="s">
        <v>32524</v>
      </c>
      <c r="O7726" t="s">
        <v>32525</v>
      </c>
      <c r="P7726">
        <v>0</v>
      </c>
      <c r="Q7726">
        <v>0</v>
      </c>
      <c r="R7726" t="s">
        <v>32533</v>
      </c>
      <c r="S7726" t="s">
        <v>32667</v>
      </c>
      <c r="T7726" t="s">
        <v>33209</v>
      </c>
      <c r="U7726" t="s">
        <v>39980</v>
      </c>
      <c r="W7726" t="s">
        <v>32025</v>
      </c>
      <c r="X7726" t="s">
        <v>32534</v>
      </c>
    </row>
    <row r="7727" spans="1:24">
      <c r="A7727">
        <f>HYPERLINK("https://www.philgeps.gov.ph/GEPSNONPILOT/Tender/SplashBidNoticeAbstractUI.aspx?menuIndex=3&amp;refID=7034579&amp;Result=3","7034579")</f>
        <v>0</v>
      </c>
      <c r="B7727" t="s">
        <v>2251</v>
      </c>
      <c r="C7727" t="s">
        <v>10057</v>
      </c>
      <c r="D7727" t="s">
        <v>13026</v>
      </c>
      <c r="E7727" t="s">
        <v>19871</v>
      </c>
      <c r="F7727" t="s">
        <v>22436</v>
      </c>
      <c r="G7727" t="s">
        <v>22444</v>
      </c>
      <c r="H7727" t="s">
        <v>22454</v>
      </c>
      <c r="I7727" t="s">
        <v>7738</v>
      </c>
      <c r="J7727" t="s">
        <v>27564</v>
      </c>
      <c r="K7727" t="s">
        <v>29333</v>
      </c>
      <c r="M7727" t="s">
        <v>32018</v>
      </c>
      <c r="N7727" t="s">
        <v>32524</v>
      </c>
      <c r="O7727" t="s">
        <v>32525</v>
      </c>
      <c r="P7727">
        <v>0</v>
      </c>
      <c r="Q7727">
        <v>4</v>
      </c>
      <c r="R7727" t="s">
        <v>32533</v>
      </c>
      <c r="S7727" t="s">
        <v>32667</v>
      </c>
      <c r="T7727" t="s">
        <v>33188</v>
      </c>
      <c r="U7727" t="s">
        <v>40063</v>
      </c>
      <c r="V7727" t="s">
        <v>43265</v>
      </c>
      <c r="W7727" t="s">
        <v>32018</v>
      </c>
      <c r="X7727" t="s">
        <v>32534</v>
      </c>
    </row>
    <row r="7728" spans="1:24">
      <c r="A7728">
        <f>HYPERLINK("https://www.philgeps.gov.ph/GEPSNONPILOT/Tender/SplashBidNoticeAbstractUI.aspx?menuIndex=3&amp;refID=7034573&amp;Result=3","7034573")</f>
        <v>0</v>
      </c>
      <c r="B7728" t="s">
        <v>2267</v>
      </c>
      <c r="C7728" t="s">
        <v>10058</v>
      </c>
      <c r="D7728" t="s">
        <v>12988</v>
      </c>
      <c r="E7728" t="s">
        <v>14621</v>
      </c>
      <c r="F7728" t="s">
        <v>22437</v>
      </c>
      <c r="G7728" t="s">
        <v>22444</v>
      </c>
      <c r="H7728" t="s">
        <v>22452</v>
      </c>
      <c r="I7728" t="s">
        <v>22504</v>
      </c>
      <c r="J7728" t="s">
        <v>22911</v>
      </c>
      <c r="K7728" t="s">
        <v>29337</v>
      </c>
      <c r="M7728" t="s">
        <v>32037</v>
      </c>
      <c r="N7728" t="s">
        <v>32524</v>
      </c>
      <c r="O7728" t="s">
        <v>32525</v>
      </c>
      <c r="P7728">
        <v>0</v>
      </c>
      <c r="Q7728">
        <v>7</v>
      </c>
      <c r="R7728" t="s">
        <v>32533</v>
      </c>
      <c r="S7728" t="s">
        <v>32667</v>
      </c>
      <c r="T7728" t="s">
        <v>33168</v>
      </c>
      <c r="U7728" t="s">
        <v>40064</v>
      </c>
      <c r="W7728" t="s">
        <v>32037</v>
      </c>
      <c r="X7728" t="s">
        <v>32534</v>
      </c>
    </row>
    <row r="7729" spans="1:24">
      <c r="A7729">
        <f>HYPERLINK("https://www.philgeps.gov.ph/GEPSNONPILOT/Tender/SplashBidNoticeAbstractUI.aspx?menuIndex=3&amp;refID=7034518&amp;Result=3","7034518")</f>
        <v>0</v>
      </c>
      <c r="B7729" t="s">
        <v>2267</v>
      </c>
      <c r="C7729" t="s">
        <v>10059</v>
      </c>
      <c r="D7729" t="s">
        <v>12988</v>
      </c>
      <c r="E7729" t="s">
        <v>13701</v>
      </c>
      <c r="F7729" t="s">
        <v>22437</v>
      </c>
      <c r="G7729" t="s">
        <v>22444</v>
      </c>
      <c r="H7729" t="s">
        <v>22452</v>
      </c>
      <c r="I7729" t="s">
        <v>7110</v>
      </c>
      <c r="J7729" t="s">
        <v>27565</v>
      </c>
      <c r="K7729" t="s">
        <v>29336</v>
      </c>
      <c r="M7729" t="s">
        <v>32037</v>
      </c>
      <c r="N7729" t="s">
        <v>32524</v>
      </c>
      <c r="O7729" t="s">
        <v>32525</v>
      </c>
      <c r="P7729">
        <v>0</v>
      </c>
      <c r="Q7729">
        <v>6</v>
      </c>
      <c r="R7729" t="s">
        <v>32533</v>
      </c>
      <c r="S7729" t="s">
        <v>32667</v>
      </c>
      <c r="T7729" t="s">
        <v>33168</v>
      </c>
      <c r="U7729" t="s">
        <v>40065</v>
      </c>
      <c r="W7729" t="s">
        <v>32037</v>
      </c>
      <c r="X7729" t="s">
        <v>32534</v>
      </c>
    </row>
    <row r="7730" spans="1:24">
      <c r="A7730">
        <f>HYPERLINK("https://www.philgeps.gov.ph/GEPSNONPILOT/Tender/SplashBidNoticeAbstractUI.aspx?menuIndex=3&amp;refID=7034562&amp;Result=3","7034562")</f>
        <v>0</v>
      </c>
      <c r="B7730" t="s">
        <v>293</v>
      </c>
      <c r="C7730" t="s">
        <v>10060</v>
      </c>
      <c r="D7730" t="s">
        <v>13046</v>
      </c>
      <c r="E7730" t="s">
        <v>19872</v>
      </c>
      <c r="F7730" t="s">
        <v>22436</v>
      </c>
      <c r="G7730" t="s">
        <v>22444</v>
      </c>
      <c r="H7730" t="s">
        <v>22454</v>
      </c>
      <c r="I7730" t="s">
        <v>7738</v>
      </c>
      <c r="J7730" t="s">
        <v>23835</v>
      </c>
      <c r="K7730" t="s">
        <v>29423</v>
      </c>
      <c r="M7730" t="s">
        <v>29867</v>
      </c>
      <c r="N7730" t="s">
        <v>32524</v>
      </c>
      <c r="O7730" t="s">
        <v>32525</v>
      </c>
      <c r="P7730">
        <v>0</v>
      </c>
      <c r="Q7730">
        <v>0</v>
      </c>
      <c r="R7730" t="s">
        <v>32533</v>
      </c>
      <c r="S7730" t="s">
        <v>32667</v>
      </c>
      <c r="T7730" t="s">
        <v>33227</v>
      </c>
      <c r="U7730" t="s">
        <v>40059</v>
      </c>
      <c r="W7730" t="s">
        <v>29867</v>
      </c>
      <c r="X7730" t="s">
        <v>32534</v>
      </c>
    </row>
    <row r="7731" spans="1:24">
      <c r="A7731">
        <f>HYPERLINK("https://www.philgeps.gov.ph/GEPSNONPILOT/Tender/SplashBidNoticeAbstractUI.aspx?menuIndex=3&amp;refID=7034599&amp;Result=3","7034599")</f>
        <v>0</v>
      </c>
      <c r="B7731" t="s">
        <v>2279</v>
      </c>
      <c r="C7731" t="s">
        <v>10061</v>
      </c>
      <c r="D7731" t="s">
        <v>13032</v>
      </c>
      <c r="E7731" t="s">
        <v>13743</v>
      </c>
      <c r="F7731" t="s">
        <v>22436</v>
      </c>
      <c r="G7731" t="s">
        <v>22444</v>
      </c>
      <c r="H7731" t="s">
        <v>22454</v>
      </c>
      <c r="I7731" t="s">
        <v>7738</v>
      </c>
      <c r="J7731" t="s">
        <v>22806</v>
      </c>
      <c r="K7731" t="s">
        <v>29337</v>
      </c>
      <c r="M7731" t="s">
        <v>32050</v>
      </c>
      <c r="N7731" t="s">
        <v>32524</v>
      </c>
      <c r="O7731" t="s">
        <v>32525</v>
      </c>
      <c r="P7731">
        <v>0</v>
      </c>
      <c r="Q7731">
        <v>0</v>
      </c>
      <c r="R7731" t="s">
        <v>32533</v>
      </c>
      <c r="S7731" t="s">
        <v>32667</v>
      </c>
      <c r="T7731" t="s">
        <v>33238</v>
      </c>
      <c r="U7731" t="s">
        <v>40066</v>
      </c>
      <c r="W7731" t="s">
        <v>32050</v>
      </c>
      <c r="X7731" t="s">
        <v>32534</v>
      </c>
    </row>
    <row r="7732" spans="1:24">
      <c r="A7732">
        <f>HYPERLINK("https://www.philgeps.gov.ph/GEPSNONPILOT/Tender/SplashBidNoticeAbstractUI.aspx?menuIndex=3&amp;refID=7034553&amp;Result=3","7034553")</f>
        <v>0</v>
      </c>
      <c r="B7732" t="s">
        <v>2257</v>
      </c>
      <c r="C7732" t="s">
        <v>10062</v>
      </c>
      <c r="D7732" t="s">
        <v>13006</v>
      </c>
      <c r="E7732" t="s">
        <v>19873</v>
      </c>
      <c r="F7732" t="s">
        <v>22436</v>
      </c>
      <c r="G7732" t="s">
        <v>22446</v>
      </c>
      <c r="H7732" t="s">
        <v>22452</v>
      </c>
      <c r="I7732" t="s">
        <v>3529</v>
      </c>
      <c r="J7732" t="s">
        <v>27492</v>
      </c>
      <c r="K7732" t="s">
        <v>29336</v>
      </c>
      <c r="M7732" t="s">
        <v>32025</v>
      </c>
      <c r="N7732" t="s">
        <v>32524</v>
      </c>
      <c r="O7732" t="s">
        <v>32525</v>
      </c>
      <c r="P7732">
        <v>0</v>
      </c>
      <c r="Q7732">
        <v>0</v>
      </c>
      <c r="R7732" t="s">
        <v>32533</v>
      </c>
      <c r="S7732" t="s">
        <v>32667</v>
      </c>
      <c r="T7732" t="s">
        <v>33209</v>
      </c>
      <c r="U7732" t="s">
        <v>39980</v>
      </c>
      <c r="W7732" t="s">
        <v>32025</v>
      </c>
      <c r="X7732" t="s">
        <v>32534</v>
      </c>
    </row>
    <row r="7733" spans="1:24">
      <c r="A7733">
        <f>HYPERLINK("https://www.philgeps.gov.ph/GEPSNONPILOT/Tender/SplashBidNoticeAbstractUI.aspx?menuIndex=3&amp;refID=7034572&amp;Result=3","7034572")</f>
        <v>0</v>
      </c>
      <c r="B7733" t="s">
        <v>816</v>
      </c>
      <c r="C7733" t="s">
        <v>10063</v>
      </c>
      <c r="D7733" t="s">
        <v>13069</v>
      </c>
      <c r="E7733" t="s">
        <v>18691</v>
      </c>
      <c r="F7733" t="s">
        <v>22436</v>
      </c>
      <c r="G7733" t="s">
        <v>22444</v>
      </c>
      <c r="H7733" t="s">
        <v>22452</v>
      </c>
      <c r="I7733" t="s">
        <v>3529</v>
      </c>
      <c r="J7733" t="s">
        <v>27566</v>
      </c>
      <c r="K7733" t="s">
        <v>29336</v>
      </c>
      <c r="M7733" t="s">
        <v>30421</v>
      </c>
      <c r="N7733" t="s">
        <v>32524</v>
      </c>
      <c r="O7733" t="s">
        <v>32525</v>
      </c>
      <c r="P7733">
        <v>0</v>
      </c>
      <c r="Q7733">
        <v>2</v>
      </c>
      <c r="R7733" t="s">
        <v>32533</v>
      </c>
      <c r="S7733" t="s">
        <v>32667</v>
      </c>
      <c r="T7733" t="s">
        <v>33459</v>
      </c>
      <c r="U7733" t="s">
        <v>40067</v>
      </c>
      <c r="W7733" t="s">
        <v>30421</v>
      </c>
      <c r="X7733" t="s">
        <v>32534</v>
      </c>
    </row>
    <row r="7734" spans="1:24">
      <c r="A7734">
        <f>HYPERLINK("https://www.philgeps.gov.ph/GEPSNONPILOT/Tender/SplashBidNoticeAbstractUI.aspx?menuIndex=3&amp;refID=7034569&amp;Result=3","7034569")</f>
        <v>0</v>
      </c>
      <c r="B7734" t="s">
        <v>40</v>
      </c>
      <c r="C7734" t="s">
        <v>10064</v>
      </c>
      <c r="D7734" t="s">
        <v>13001</v>
      </c>
      <c r="E7734" t="s">
        <v>19874</v>
      </c>
      <c r="F7734" t="s">
        <v>22436</v>
      </c>
      <c r="G7734" t="s">
        <v>22444</v>
      </c>
      <c r="H7734" t="s">
        <v>22454</v>
      </c>
      <c r="I7734" t="s">
        <v>7738</v>
      </c>
      <c r="J7734" t="s">
        <v>23387</v>
      </c>
      <c r="K7734" t="s">
        <v>29344</v>
      </c>
      <c r="M7734" t="s">
        <v>29611</v>
      </c>
      <c r="N7734" t="s">
        <v>32524</v>
      </c>
      <c r="O7734" t="s">
        <v>32525</v>
      </c>
      <c r="P7734">
        <v>0</v>
      </c>
      <c r="Q7734">
        <v>18</v>
      </c>
      <c r="R7734" t="s">
        <v>32533</v>
      </c>
      <c r="S7734" t="s">
        <v>32667</v>
      </c>
      <c r="T7734" t="s">
        <v>33249</v>
      </c>
      <c r="U7734" t="s">
        <v>40068</v>
      </c>
      <c r="V7734" t="s">
        <v>42423</v>
      </c>
      <c r="W7734" t="s">
        <v>29611</v>
      </c>
      <c r="X7734" t="s">
        <v>32534</v>
      </c>
    </row>
    <row r="7735" spans="1:24">
      <c r="A7735">
        <f>HYPERLINK("https://www.philgeps.gov.ph/GEPSNONPILOT/Tender/SplashBidNoticeAbstractUI.aspx?menuIndex=3&amp;refID=7034559&amp;Result=3","7034559")</f>
        <v>0</v>
      </c>
      <c r="B7735" t="s">
        <v>2280</v>
      </c>
      <c r="C7735" t="s">
        <v>10065</v>
      </c>
      <c r="D7735" t="s">
        <v>13072</v>
      </c>
      <c r="E7735" t="s">
        <v>19837</v>
      </c>
      <c r="F7735" t="s">
        <v>22436</v>
      </c>
      <c r="G7735" t="s">
        <v>22444</v>
      </c>
      <c r="H7735" t="s">
        <v>22454</v>
      </c>
      <c r="I7735" t="s">
        <v>7738</v>
      </c>
      <c r="J7735" t="s">
        <v>27567</v>
      </c>
      <c r="K7735" t="s">
        <v>29333</v>
      </c>
      <c r="M7735" t="s">
        <v>32051</v>
      </c>
      <c r="N7735" t="s">
        <v>32524</v>
      </c>
      <c r="O7735" t="s">
        <v>32525</v>
      </c>
      <c r="P7735">
        <v>0</v>
      </c>
      <c r="Q7735">
        <v>0</v>
      </c>
      <c r="R7735" t="s">
        <v>32533</v>
      </c>
      <c r="S7735" t="s">
        <v>32667</v>
      </c>
      <c r="T7735" t="s">
        <v>33155</v>
      </c>
      <c r="U7735" t="s">
        <v>40069</v>
      </c>
      <c r="W7735" t="s">
        <v>32051</v>
      </c>
      <c r="X7735" t="s">
        <v>32534</v>
      </c>
    </row>
    <row r="7736" spans="1:24">
      <c r="A7736">
        <f>HYPERLINK("https://www.philgeps.gov.ph/GEPSNONPILOT/Tender/SplashBidNoticeAbstractUI.aspx?menuIndex=3&amp;refID=7034613&amp;Result=3","7034613")</f>
        <v>0</v>
      </c>
      <c r="B7736" t="s">
        <v>2270</v>
      </c>
      <c r="C7736" t="s">
        <v>10066</v>
      </c>
      <c r="D7736" t="s">
        <v>13018</v>
      </c>
      <c r="E7736" t="s">
        <v>19875</v>
      </c>
      <c r="F7736" t="s">
        <v>22437</v>
      </c>
      <c r="G7736" t="s">
        <v>22443</v>
      </c>
      <c r="H7736" t="s">
        <v>22452</v>
      </c>
      <c r="I7736" t="s">
        <v>22508</v>
      </c>
      <c r="J7736" t="s">
        <v>27568</v>
      </c>
      <c r="K7736" t="s">
        <v>29335</v>
      </c>
      <c r="M7736" t="s">
        <v>32041</v>
      </c>
      <c r="N7736" t="s">
        <v>32524</v>
      </c>
      <c r="O7736" t="s">
        <v>32525</v>
      </c>
      <c r="P7736">
        <v>0</v>
      </c>
      <c r="Q7736">
        <v>2</v>
      </c>
      <c r="R7736" t="s">
        <v>32533</v>
      </c>
      <c r="S7736" t="s">
        <v>32667</v>
      </c>
      <c r="T7736" t="s">
        <v>33268</v>
      </c>
      <c r="U7736" t="s">
        <v>40070</v>
      </c>
      <c r="V7736" t="s">
        <v>43266</v>
      </c>
      <c r="W7736" t="s">
        <v>32041</v>
      </c>
      <c r="X7736" t="s">
        <v>32534</v>
      </c>
    </row>
    <row r="7737" spans="1:24">
      <c r="A7737">
        <f>HYPERLINK("https://www.philgeps.gov.ph/GEPSNONPILOT/Tender/SplashBidNoticeAbstractUI.aspx?menuIndex=3&amp;refID=7034556&amp;Result=3","7034556")</f>
        <v>0</v>
      </c>
      <c r="B7737" t="s">
        <v>59</v>
      </c>
      <c r="C7737" t="s">
        <v>10067</v>
      </c>
      <c r="D7737" t="s">
        <v>13004</v>
      </c>
      <c r="E7737" t="s">
        <v>19876</v>
      </c>
      <c r="F7737" t="s">
        <v>22436</v>
      </c>
      <c r="G7737" t="s">
        <v>22450</v>
      </c>
      <c r="H7737" t="s">
        <v>22452</v>
      </c>
      <c r="I7737" t="s">
        <v>22495</v>
      </c>
      <c r="J7737" t="s">
        <v>27569</v>
      </c>
      <c r="K7737" t="s">
        <v>29338</v>
      </c>
      <c r="L7737" t="s">
        <v>59</v>
      </c>
      <c r="M7737" t="s">
        <v>29631</v>
      </c>
      <c r="N7737" t="s">
        <v>32524</v>
      </c>
      <c r="O7737" t="s">
        <v>32525</v>
      </c>
      <c r="Q7737">
        <v>6</v>
      </c>
      <c r="R7737" t="s">
        <v>32533</v>
      </c>
      <c r="S7737" t="s">
        <v>32713</v>
      </c>
      <c r="T7737" t="s">
        <v>33559</v>
      </c>
      <c r="U7737" t="s">
        <v>40071</v>
      </c>
      <c r="W7737" t="s">
        <v>29631</v>
      </c>
      <c r="X7737" t="s">
        <v>32534</v>
      </c>
    </row>
    <row r="7738" spans="1:24">
      <c r="A7738">
        <f>HYPERLINK("https://www.philgeps.gov.ph/GEPSNONPILOT/Tender/SplashBidNoticeAbstractUI.aspx?menuIndex=3&amp;refID=7034544&amp;Result=3","7034544")</f>
        <v>0</v>
      </c>
      <c r="B7738" t="s">
        <v>2281</v>
      </c>
      <c r="C7738" t="s">
        <v>10068</v>
      </c>
      <c r="D7738" t="s">
        <v>13038</v>
      </c>
      <c r="E7738" t="s">
        <v>19877</v>
      </c>
      <c r="F7738" t="s">
        <v>22436</v>
      </c>
      <c r="G7738" t="s">
        <v>22446</v>
      </c>
      <c r="H7738" t="s">
        <v>22452</v>
      </c>
      <c r="I7738" t="s">
        <v>22512</v>
      </c>
      <c r="J7738" t="s">
        <v>27570</v>
      </c>
      <c r="K7738" t="s">
        <v>29335</v>
      </c>
      <c r="M7738" t="s">
        <v>32052</v>
      </c>
      <c r="N7738" t="s">
        <v>32524</v>
      </c>
      <c r="O7738" t="s">
        <v>32525</v>
      </c>
      <c r="P7738">
        <v>0</v>
      </c>
      <c r="Q7738">
        <v>2</v>
      </c>
      <c r="R7738" t="s">
        <v>32533</v>
      </c>
      <c r="S7738" t="s">
        <v>32667</v>
      </c>
      <c r="T7738" t="s">
        <v>33322</v>
      </c>
      <c r="U7738" t="s">
        <v>40072</v>
      </c>
      <c r="W7738" t="s">
        <v>32052</v>
      </c>
      <c r="X7738" t="s">
        <v>32534</v>
      </c>
    </row>
    <row r="7739" spans="1:24">
      <c r="A7739">
        <f>HYPERLINK("https://www.philgeps.gov.ph/GEPSNONPILOT/Tender/SplashBidNoticeAbstractUI.aspx?menuIndex=3&amp;refID=7034622&amp;Result=3","7034622")</f>
        <v>0</v>
      </c>
      <c r="B7739" t="s">
        <v>771</v>
      </c>
      <c r="C7739" t="s">
        <v>10069</v>
      </c>
      <c r="D7739" t="s">
        <v>13012</v>
      </c>
      <c r="E7739" t="s">
        <v>19878</v>
      </c>
      <c r="F7739" t="s">
        <v>22436</v>
      </c>
      <c r="G7739" t="s">
        <v>22444</v>
      </c>
      <c r="H7739" t="s">
        <v>22454</v>
      </c>
      <c r="I7739" t="s">
        <v>7738</v>
      </c>
      <c r="J7739" t="s">
        <v>27571</v>
      </c>
      <c r="K7739" t="s">
        <v>29402</v>
      </c>
      <c r="M7739" t="s">
        <v>30398</v>
      </c>
      <c r="N7739" t="s">
        <v>32524</v>
      </c>
      <c r="O7739" t="s">
        <v>32525</v>
      </c>
      <c r="P7739">
        <v>0</v>
      </c>
      <c r="Q7739">
        <v>0</v>
      </c>
      <c r="R7739" t="s">
        <v>32533</v>
      </c>
      <c r="S7739" t="s">
        <v>32667</v>
      </c>
      <c r="T7739" t="s">
        <v>33218</v>
      </c>
      <c r="U7739" t="s">
        <v>35268</v>
      </c>
      <c r="W7739" t="s">
        <v>30398</v>
      </c>
      <c r="X7739" t="s">
        <v>32534</v>
      </c>
    </row>
    <row r="7740" spans="1:24">
      <c r="A7740">
        <f>HYPERLINK("https://www.philgeps.gov.ph/GEPSNONPILOT/Tender/SplashBidNoticeAbstractUI.aspx?menuIndex=3&amp;refID=7034629&amp;Result=3","7034629")</f>
        <v>0</v>
      </c>
      <c r="B7740" t="s">
        <v>344</v>
      </c>
      <c r="C7740" t="s">
        <v>10070</v>
      </c>
      <c r="D7740" t="s">
        <v>13051</v>
      </c>
      <c r="E7740" t="s">
        <v>19879</v>
      </c>
      <c r="F7740" t="s">
        <v>22436</v>
      </c>
      <c r="G7740" t="s">
        <v>22444</v>
      </c>
      <c r="H7740" t="s">
        <v>22454</v>
      </c>
      <c r="I7740" t="s">
        <v>3529</v>
      </c>
      <c r="J7740" t="s">
        <v>27572</v>
      </c>
      <c r="K7740" t="s">
        <v>29334</v>
      </c>
      <c r="M7740" t="s">
        <v>29920</v>
      </c>
      <c r="N7740" t="s">
        <v>32524</v>
      </c>
      <c r="O7740" t="s">
        <v>32525</v>
      </c>
      <c r="P7740">
        <v>0</v>
      </c>
      <c r="Q7740">
        <v>1</v>
      </c>
      <c r="R7740" t="s">
        <v>32533</v>
      </c>
      <c r="S7740" t="s">
        <v>32667</v>
      </c>
      <c r="T7740" t="s">
        <v>33227</v>
      </c>
      <c r="U7740" t="s">
        <v>40073</v>
      </c>
      <c r="W7740" t="s">
        <v>29920</v>
      </c>
      <c r="X7740" t="s">
        <v>32534</v>
      </c>
    </row>
    <row r="7741" spans="1:24">
      <c r="A7741">
        <f>HYPERLINK("https://www.philgeps.gov.ph/GEPSNONPILOT/Tender/SplashBidNoticeAbstractUI.aspx?menuIndex=3&amp;refID=7034624&amp;Result=3","7034624")</f>
        <v>0</v>
      </c>
      <c r="B7741" t="s">
        <v>2281</v>
      </c>
      <c r="C7741" t="s">
        <v>10071</v>
      </c>
      <c r="D7741" t="s">
        <v>13038</v>
      </c>
      <c r="E7741" t="s">
        <v>19880</v>
      </c>
      <c r="F7741" t="s">
        <v>22436</v>
      </c>
      <c r="G7741" t="s">
        <v>22446</v>
      </c>
      <c r="H7741" t="s">
        <v>22452</v>
      </c>
      <c r="I7741" t="s">
        <v>22485</v>
      </c>
      <c r="J7741" t="s">
        <v>25580</v>
      </c>
      <c r="K7741" t="s">
        <v>29335</v>
      </c>
      <c r="M7741" t="s">
        <v>32052</v>
      </c>
      <c r="N7741" t="s">
        <v>32524</v>
      </c>
      <c r="O7741" t="s">
        <v>32525</v>
      </c>
      <c r="P7741">
        <v>0</v>
      </c>
      <c r="Q7741">
        <v>4</v>
      </c>
      <c r="R7741" t="s">
        <v>32533</v>
      </c>
      <c r="S7741" t="s">
        <v>32667</v>
      </c>
      <c r="T7741" t="s">
        <v>33322</v>
      </c>
      <c r="U7741" t="s">
        <v>40074</v>
      </c>
      <c r="W7741" t="s">
        <v>32052</v>
      </c>
      <c r="X7741" t="s">
        <v>32534</v>
      </c>
    </row>
    <row r="7742" spans="1:24">
      <c r="A7742">
        <f>HYPERLINK("https://www.philgeps.gov.ph/GEPSNONPILOT/Tender/SplashBidNoticeAbstractUI.aspx?menuIndex=3&amp;refID=7034619&amp;Result=3","7034619")</f>
        <v>0</v>
      </c>
      <c r="B7742" t="s">
        <v>2282</v>
      </c>
      <c r="C7742" t="s">
        <v>9390</v>
      </c>
      <c r="D7742" t="s">
        <v>12996</v>
      </c>
      <c r="E7742" t="s">
        <v>19881</v>
      </c>
      <c r="F7742" t="s">
        <v>22436</v>
      </c>
      <c r="G7742" t="s">
        <v>22444</v>
      </c>
      <c r="H7742" t="s">
        <v>22452</v>
      </c>
      <c r="I7742" t="s">
        <v>3529</v>
      </c>
      <c r="J7742" t="s">
        <v>27573</v>
      </c>
      <c r="K7742" t="s">
        <v>29331</v>
      </c>
      <c r="M7742" t="s">
        <v>32053</v>
      </c>
      <c r="N7742" t="s">
        <v>32524</v>
      </c>
      <c r="O7742" t="s">
        <v>32525</v>
      </c>
      <c r="P7742">
        <v>0</v>
      </c>
      <c r="Q7742">
        <v>2</v>
      </c>
      <c r="R7742" t="s">
        <v>32533</v>
      </c>
      <c r="S7742" t="s">
        <v>32667</v>
      </c>
      <c r="T7742" t="s">
        <v>33401</v>
      </c>
      <c r="U7742" t="s">
        <v>40075</v>
      </c>
      <c r="W7742" t="s">
        <v>32053</v>
      </c>
      <c r="X7742" t="s">
        <v>32534</v>
      </c>
    </row>
    <row r="7743" spans="1:24">
      <c r="A7743">
        <f>HYPERLINK("https://www.philgeps.gov.ph/GEPSNONPILOT/Tender/SplashBidNoticeAbstractUI.aspx?menuIndex=3&amp;refID=7034643&amp;Result=3","7034643")</f>
        <v>0</v>
      </c>
      <c r="B7743" t="s">
        <v>1830</v>
      </c>
      <c r="C7743" t="s">
        <v>10072</v>
      </c>
      <c r="D7743" t="s">
        <v>12990</v>
      </c>
      <c r="E7743" t="s">
        <v>19882</v>
      </c>
      <c r="F7743" t="s">
        <v>22436</v>
      </c>
      <c r="G7743" t="s">
        <v>22444</v>
      </c>
      <c r="H7743" t="s">
        <v>22454</v>
      </c>
      <c r="I7743" t="s">
        <v>7738</v>
      </c>
      <c r="J7743" t="s">
        <v>27574</v>
      </c>
      <c r="K7743" t="s">
        <v>29512</v>
      </c>
      <c r="M7743" t="s">
        <v>31545</v>
      </c>
      <c r="N7743" t="s">
        <v>32524</v>
      </c>
      <c r="O7743" t="s">
        <v>32525</v>
      </c>
      <c r="P7743">
        <v>0</v>
      </c>
      <c r="Q7743">
        <v>0</v>
      </c>
      <c r="R7743" t="s">
        <v>32533</v>
      </c>
      <c r="S7743" t="s">
        <v>32667</v>
      </c>
      <c r="T7743" t="s">
        <v>33234</v>
      </c>
      <c r="U7743" t="s">
        <v>40076</v>
      </c>
      <c r="W7743" t="s">
        <v>31545</v>
      </c>
      <c r="X7743" t="s">
        <v>32534</v>
      </c>
    </row>
    <row r="7744" spans="1:24">
      <c r="A7744">
        <f>HYPERLINK("https://www.philgeps.gov.ph/GEPSNONPILOT/Tender/SplashBidNoticeAbstractUI.aspx?menuIndex=3&amp;refID=7034627&amp;Result=3","7034627")</f>
        <v>0</v>
      </c>
      <c r="B7744" t="s">
        <v>1373</v>
      </c>
      <c r="C7744" t="s">
        <v>10073</v>
      </c>
      <c r="D7744" t="s">
        <v>13001</v>
      </c>
      <c r="E7744" t="s">
        <v>19883</v>
      </c>
      <c r="F7744" t="s">
        <v>22436</v>
      </c>
      <c r="G7744" t="s">
        <v>22445</v>
      </c>
      <c r="H7744" t="s">
        <v>22452</v>
      </c>
      <c r="I7744" t="s">
        <v>22463</v>
      </c>
      <c r="J7744" t="s">
        <v>27575</v>
      </c>
      <c r="K7744" t="s">
        <v>29338</v>
      </c>
      <c r="M7744" t="s">
        <v>31029</v>
      </c>
      <c r="N7744" t="s">
        <v>32524</v>
      </c>
      <c r="O7744" t="s">
        <v>32525</v>
      </c>
      <c r="Q7744">
        <v>1</v>
      </c>
      <c r="R7744" t="s">
        <v>32533</v>
      </c>
      <c r="S7744" t="s">
        <v>32714</v>
      </c>
      <c r="T7744" t="s">
        <v>33238</v>
      </c>
      <c r="U7744" t="s">
        <v>40077</v>
      </c>
      <c r="W7744" t="s">
        <v>31029</v>
      </c>
      <c r="X7744" t="s">
        <v>32534</v>
      </c>
    </row>
    <row r="7745" spans="1:24">
      <c r="A7745">
        <f>HYPERLINK("https://www.philgeps.gov.ph/GEPSNONPILOT/Tender/SplashBidNoticeAbstractUI.aspx?menuIndex=3&amp;refID=7034639&amp;Result=3","7034639")</f>
        <v>0</v>
      </c>
      <c r="B7745" t="s">
        <v>2251</v>
      </c>
      <c r="C7745" t="s">
        <v>10074</v>
      </c>
      <c r="D7745" t="s">
        <v>13026</v>
      </c>
      <c r="E7745" t="s">
        <v>19884</v>
      </c>
      <c r="F7745" t="s">
        <v>22436</v>
      </c>
      <c r="G7745" t="s">
        <v>22444</v>
      </c>
      <c r="H7745" t="s">
        <v>22454</v>
      </c>
      <c r="I7745" t="s">
        <v>7738</v>
      </c>
      <c r="J7745" t="s">
        <v>27576</v>
      </c>
      <c r="K7745" t="s">
        <v>29333</v>
      </c>
      <c r="M7745" t="s">
        <v>32018</v>
      </c>
      <c r="N7745" t="s">
        <v>32524</v>
      </c>
      <c r="O7745" t="s">
        <v>32525</v>
      </c>
      <c r="P7745">
        <v>0</v>
      </c>
      <c r="Q7745">
        <v>3</v>
      </c>
      <c r="R7745" t="s">
        <v>32533</v>
      </c>
      <c r="S7745" t="s">
        <v>32667</v>
      </c>
      <c r="T7745" t="s">
        <v>33188</v>
      </c>
      <c r="U7745" t="s">
        <v>40078</v>
      </c>
      <c r="V7745" t="s">
        <v>43265</v>
      </c>
      <c r="W7745" t="s">
        <v>32018</v>
      </c>
      <c r="X7745" t="s">
        <v>32534</v>
      </c>
    </row>
    <row r="7746" spans="1:24">
      <c r="A7746">
        <f>HYPERLINK("https://www.philgeps.gov.ph/GEPSNONPILOT/Tender/SplashBidNoticeAbstractUI.aspx?menuIndex=3&amp;refID=7034647&amp;Result=3","7034647")</f>
        <v>0</v>
      </c>
      <c r="B7746" t="s">
        <v>2283</v>
      </c>
      <c r="C7746" t="s">
        <v>10075</v>
      </c>
      <c r="D7746" t="s">
        <v>13037</v>
      </c>
      <c r="E7746" t="s">
        <v>10075</v>
      </c>
      <c r="F7746" t="s">
        <v>22436</v>
      </c>
      <c r="G7746" t="s">
        <v>22444</v>
      </c>
      <c r="H7746" t="s">
        <v>22454</v>
      </c>
      <c r="I7746" t="s">
        <v>7738</v>
      </c>
      <c r="J7746" t="s">
        <v>22587</v>
      </c>
      <c r="K7746" t="s">
        <v>29345</v>
      </c>
      <c r="M7746" t="s">
        <v>32054</v>
      </c>
      <c r="N7746" t="s">
        <v>32524</v>
      </c>
      <c r="O7746" t="s">
        <v>32525</v>
      </c>
      <c r="P7746">
        <v>0</v>
      </c>
      <c r="Q7746">
        <v>2</v>
      </c>
      <c r="R7746" t="s">
        <v>32533</v>
      </c>
      <c r="S7746" t="s">
        <v>32667</v>
      </c>
      <c r="T7746" t="s">
        <v>33388</v>
      </c>
      <c r="U7746" t="s">
        <v>40079</v>
      </c>
      <c r="W7746" t="s">
        <v>32054</v>
      </c>
      <c r="X7746" t="s">
        <v>32534</v>
      </c>
    </row>
    <row r="7747" spans="1:24">
      <c r="A7747">
        <f>HYPERLINK("https://www.philgeps.gov.ph/GEPSNONPILOT/Tender/SplashBidNoticeAbstractUI.aspx?menuIndex=3&amp;refID=7034616&amp;Result=3","7034616")</f>
        <v>0</v>
      </c>
      <c r="B7747" t="s">
        <v>40</v>
      </c>
      <c r="C7747" t="s">
        <v>10076</v>
      </c>
      <c r="D7747" t="s">
        <v>13001</v>
      </c>
      <c r="E7747" t="s">
        <v>19885</v>
      </c>
      <c r="F7747" t="s">
        <v>22436</v>
      </c>
      <c r="G7747" t="s">
        <v>22444</v>
      </c>
      <c r="H7747" t="s">
        <v>22454</v>
      </c>
      <c r="I7747" t="s">
        <v>7738</v>
      </c>
      <c r="J7747" t="s">
        <v>25909</v>
      </c>
      <c r="K7747" t="s">
        <v>29345</v>
      </c>
      <c r="M7747" t="s">
        <v>29611</v>
      </c>
      <c r="N7747" t="s">
        <v>32524</v>
      </c>
      <c r="O7747" t="s">
        <v>32525</v>
      </c>
      <c r="P7747">
        <v>0</v>
      </c>
      <c r="Q7747">
        <v>19</v>
      </c>
      <c r="R7747" t="s">
        <v>32533</v>
      </c>
      <c r="S7747" t="s">
        <v>32667</v>
      </c>
      <c r="T7747" t="s">
        <v>33249</v>
      </c>
      <c r="U7747" t="s">
        <v>33644</v>
      </c>
      <c r="V7747" t="s">
        <v>42423</v>
      </c>
      <c r="W7747" t="s">
        <v>29611</v>
      </c>
      <c r="X7747" t="s">
        <v>32534</v>
      </c>
    </row>
    <row r="7748" spans="1:24">
      <c r="A7748">
        <f>HYPERLINK("https://www.philgeps.gov.ph/GEPSNONPILOT/Tender/SplashBidNoticeAbstractUI.aspx?menuIndex=3&amp;refID=7034638&amp;Result=3","7034638")</f>
        <v>0</v>
      </c>
      <c r="B7748" t="s">
        <v>2284</v>
      </c>
      <c r="C7748" t="s">
        <v>10077</v>
      </c>
      <c r="D7748" t="s">
        <v>12988</v>
      </c>
      <c r="E7748" t="s">
        <v>19886</v>
      </c>
      <c r="F7748" t="s">
        <v>22436</v>
      </c>
      <c r="G7748" t="s">
        <v>22444</v>
      </c>
      <c r="H7748" t="s">
        <v>22454</v>
      </c>
      <c r="I7748" t="s">
        <v>7738</v>
      </c>
      <c r="J7748" t="s">
        <v>27577</v>
      </c>
      <c r="K7748" t="s">
        <v>29338</v>
      </c>
      <c r="M7748" t="s">
        <v>32055</v>
      </c>
      <c r="N7748" t="s">
        <v>32524</v>
      </c>
      <c r="O7748" t="s">
        <v>32525</v>
      </c>
      <c r="P7748">
        <v>0</v>
      </c>
      <c r="Q7748">
        <v>1</v>
      </c>
      <c r="R7748" t="s">
        <v>32533</v>
      </c>
      <c r="S7748" t="s">
        <v>32667</v>
      </c>
      <c r="T7748" t="s">
        <v>33484</v>
      </c>
      <c r="U7748" t="s">
        <v>40080</v>
      </c>
      <c r="W7748" t="s">
        <v>32055</v>
      </c>
      <c r="X7748" t="s">
        <v>32534</v>
      </c>
    </row>
    <row r="7749" spans="1:24">
      <c r="A7749">
        <f>HYPERLINK("https://www.philgeps.gov.ph/GEPSNONPILOT/Tender/SplashBidNoticeAbstractUI.aspx?menuIndex=3&amp;refID=7034664&amp;Result=3","7034664")</f>
        <v>0</v>
      </c>
      <c r="B7749" t="s">
        <v>2271</v>
      </c>
      <c r="C7749" t="s">
        <v>10078</v>
      </c>
      <c r="D7749" t="s">
        <v>13022</v>
      </c>
      <c r="E7749" t="s">
        <v>19887</v>
      </c>
      <c r="F7749" t="s">
        <v>22436</v>
      </c>
      <c r="G7749" t="s">
        <v>22444</v>
      </c>
      <c r="H7749" t="s">
        <v>22452</v>
      </c>
      <c r="I7749" t="s">
        <v>22488</v>
      </c>
      <c r="J7749" t="s">
        <v>27578</v>
      </c>
      <c r="K7749" t="s">
        <v>29345</v>
      </c>
      <c r="M7749" t="s">
        <v>32042</v>
      </c>
      <c r="N7749" t="s">
        <v>32524</v>
      </c>
      <c r="O7749" t="s">
        <v>32525</v>
      </c>
      <c r="P7749">
        <v>0</v>
      </c>
      <c r="Q7749">
        <v>0</v>
      </c>
      <c r="R7749" t="s">
        <v>32533</v>
      </c>
      <c r="S7749" t="s">
        <v>32667</v>
      </c>
      <c r="T7749" t="s">
        <v>33249</v>
      </c>
      <c r="U7749" t="s">
        <v>40081</v>
      </c>
      <c r="V7749" t="s">
        <v>43261</v>
      </c>
      <c r="W7749" t="s">
        <v>32042</v>
      </c>
      <c r="X7749" t="s">
        <v>32534</v>
      </c>
    </row>
    <row r="7750" spans="1:24">
      <c r="A7750">
        <f>HYPERLINK("https://www.philgeps.gov.ph/GEPSNONPILOT/Tender/SplashBidNoticeAbstractUI.aspx?menuIndex=3&amp;refID=7034631&amp;Result=3","7034631")</f>
        <v>0</v>
      </c>
      <c r="B7750" t="s">
        <v>199</v>
      </c>
      <c r="C7750" t="s">
        <v>3197</v>
      </c>
      <c r="D7750" t="s">
        <v>13009</v>
      </c>
      <c r="E7750" t="s">
        <v>19888</v>
      </c>
      <c r="F7750" t="s">
        <v>22436</v>
      </c>
      <c r="G7750" t="s">
        <v>22444</v>
      </c>
      <c r="H7750" t="s">
        <v>22452</v>
      </c>
      <c r="I7750" t="s">
        <v>22474</v>
      </c>
      <c r="J7750" t="s">
        <v>22943</v>
      </c>
      <c r="K7750" t="s">
        <v>29338</v>
      </c>
      <c r="M7750" t="s">
        <v>29772</v>
      </c>
      <c r="N7750" t="s">
        <v>32524</v>
      </c>
      <c r="O7750" t="s">
        <v>32525</v>
      </c>
      <c r="P7750">
        <v>0</v>
      </c>
      <c r="Q7750">
        <v>3</v>
      </c>
      <c r="R7750" t="s">
        <v>32533</v>
      </c>
      <c r="S7750" t="s">
        <v>32667</v>
      </c>
      <c r="T7750" t="s">
        <v>33188</v>
      </c>
      <c r="U7750" t="s">
        <v>40082</v>
      </c>
      <c r="V7750" t="s">
        <v>43267</v>
      </c>
      <c r="W7750" t="s">
        <v>29772</v>
      </c>
      <c r="X7750" t="s">
        <v>32534</v>
      </c>
    </row>
    <row r="7751" spans="1:24">
      <c r="A7751">
        <f>HYPERLINK("https://www.philgeps.gov.ph/GEPSNONPILOT/Tender/SplashBidNoticeAbstractUI.aspx?menuIndex=3&amp;refID=7034670&amp;Result=3","7034670")</f>
        <v>0</v>
      </c>
      <c r="B7751" t="s">
        <v>2267</v>
      </c>
      <c r="C7751" t="s">
        <v>10079</v>
      </c>
      <c r="D7751" t="s">
        <v>12988</v>
      </c>
      <c r="E7751" t="s">
        <v>14765</v>
      </c>
      <c r="F7751" t="s">
        <v>22437</v>
      </c>
      <c r="G7751" t="s">
        <v>22444</v>
      </c>
      <c r="H7751" t="s">
        <v>22452</v>
      </c>
      <c r="I7751" t="s">
        <v>22463</v>
      </c>
      <c r="J7751" t="s">
        <v>22605</v>
      </c>
      <c r="K7751" t="s">
        <v>29336</v>
      </c>
      <c r="M7751" t="s">
        <v>32037</v>
      </c>
      <c r="N7751" t="s">
        <v>32524</v>
      </c>
      <c r="O7751" t="s">
        <v>32525</v>
      </c>
      <c r="P7751">
        <v>0</v>
      </c>
      <c r="Q7751">
        <v>6</v>
      </c>
      <c r="R7751" t="s">
        <v>32533</v>
      </c>
      <c r="S7751" t="s">
        <v>32667</v>
      </c>
      <c r="T7751" t="s">
        <v>33168</v>
      </c>
      <c r="U7751" t="s">
        <v>40083</v>
      </c>
      <c r="W7751" t="s">
        <v>32037</v>
      </c>
      <c r="X7751" t="s">
        <v>32534</v>
      </c>
    </row>
    <row r="7752" spans="1:24">
      <c r="A7752">
        <f>HYPERLINK("https://www.philgeps.gov.ph/GEPSNONPILOT/Tender/SplashBidNoticeAbstractUI.aspx?menuIndex=3&amp;refID=7034636&amp;Result=3","7034636")</f>
        <v>0</v>
      </c>
      <c r="B7752" t="s">
        <v>771</v>
      </c>
      <c r="C7752" t="s">
        <v>10080</v>
      </c>
      <c r="D7752" t="s">
        <v>13012</v>
      </c>
      <c r="E7752" t="s">
        <v>19889</v>
      </c>
      <c r="F7752" t="s">
        <v>22436</v>
      </c>
      <c r="G7752" t="s">
        <v>22444</v>
      </c>
      <c r="H7752" t="s">
        <v>22454</v>
      </c>
      <c r="I7752" t="s">
        <v>7738</v>
      </c>
      <c r="J7752" t="s">
        <v>27579</v>
      </c>
      <c r="K7752" t="s">
        <v>29466</v>
      </c>
      <c r="M7752" t="s">
        <v>30398</v>
      </c>
      <c r="N7752" t="s">
        <v>32524</v>
      </c>
      <c r="O7752" t="s">
        <v>32525</v>
      </c>
      <c r="P7752">
        <v>0</v>
      </c>
      <c r="Q7752">
        <v>0</v>
      </c>
      <c r="R7752" t="s">
        <v>32533</v>
      </c>
      <c r="S7752" t="s">
        <v>32667</v>
      </c>
      <c r="T7752" t="s">
        <v>33218</v>
      </c>
      <c r="U7752" t="s">
        <v>35268</v>
      </c>
      <c r="W7752" t="s">
        <v>30398</v>
      </c>
      <c r="X7752" t="s">
        <v>32534</v>
      </c>
    </row>
    <row r="7753" spans="1:24">
      <c r="A7753">
        <f>HYPERLINK("https://www.philgeps.gov.ph/GEPSNONPILOT/Tender/SplashBidNoticeAbstractUI.aspx?menuIndex=3&amp;refID=7034655&amp;Result=3","7034655")</f>
        <v>0</v>
      </c>
      <c r="B7753" t="s">
        <v>40</v>
      </c>
      <c r="C7753" t="s">
        <v>10081</v>
      </c>
      <c r="D7753" t="s">
        <v>13001</v>
      </c>
      <c r="E7753" t="s">
        <v>19890</v>
      </c>
      <c r="F7753" t="s">
        <v>22436</v>
      </c>
      <c r="G7753" t="s">
        <v>22444</v>
      </c>
      <c r="H7753" t="s">
        <v>22454</v>
      </c>
      <c r="I7753" t="s">
        <v>7738</v>
      </c>
      <c r="J7753" t="s">
        <v>24103</v>
      </c>
      <c r="K7753" t="s">
        <v>29344</v>
      </c>
      <c r="M7753" t="s">
        <v>29611</v>
      </c>
      <c r="N7753" t="s">
        <v>32524</v>
      </c>
      <c r="O7753" t="s">
        <v>32525</v>
      </c>
      <c r="P7753">
        <v>0</v>
      </c>
      <c r="Q7753">
        <v>17</v>
      </c>
      <c r="R7753" t="s">
        <v>32533</v>
      </c>
      <c r="S7753" t="s">
        <v>32667</v>
      </c>
      <c r="T7753" t="s">
        <v>33249</v>
      </c>
      <c r="U7753" t="s">
        <v>33644</v>
      </c>
      <c r="V7753" t="s">
        <v>42423</v>
      </c>
      <c r="W7753" t="s">
        <v>29611</v>
      </c>
      <c r="X7753" t="s">
        <v>32534</v>
      </c>
    </row>
    <row r="7754" spans="1:24">
      <c r="A7754">
        <f>HYPERLINK("https://www.philgeps.gov.ph/GEPSNONPILOT/Tender/SplashBidNoticeAbstractUI.aspx?menuIndex=3&amp;refID=7034652&amp;Result=3","7034652")</f>
        <v>0</v>
      </c>
      <c r="B7754" t="s">
        <v>614</v>
      </c>
      <c r="C7754" t="s">
        <v>10082</v>
      </c>
      <c r="D7754" t="s">
        <v>12995</v>
      </c>
      <c r="E7754" t="s">
        <v>19891</v>
      </c>
      <c r="F7754" t="s">
        <v>22436</v>
      </c>
      <c r="G7754" t="s">
        <v>22444</v>
      </c>
      <c r="H7754" t="s">
        <v>22452</v>
      </c>
      <c r="I7754" t="s">
        <v>22469</v>
      </c>
      <c r="J7754" t="s">
        <v>22624</v>
      </c>
      <c r="K7754" t="s">
        <v>29329</v>
      </c>
      <c r="M7754" t="s">
        <v>30204</v>
      </c>
      <c r="N7754" t="s">
        <v>32524</v>
      </c>
      <c r="O7754" t="s">
        <v>32525</v>
      </c>
      <c r="P7754">
        <v>0</v>
      </c>
      <c r="Q7754">
        <v>7</v>
      </c>
      <c r="R7754" t="s">
        <v>32533</v>
      </c>
      <c r="S7754" t="s">
        <v>32667</v>
      </c>
      <c r="T7754" t="s">
        <v>33227</v>
      </c>
      <c r="U7754" t="s">
        <v>40084</v>
      </c>
      <c r="V7754" t="s">
        <v>42565</v>
      </c>
      <c r="W7754" t="s">
        <v>30204</v>
      </c>
      <c r="X7754" t="s">
        <v>32534</v>
      </c>
    </row>
    <row r="7755" spans="1:24">
      <c r="A7755">
        <f>HYPERLINK("https://www.philgeps.gov.ph/GEPSNONPILOT/Tender/SplashBidNoticeAbstractUI.aspx?menuIndex=3&amp;refID=7034671&amp;Result=3","7034671")</f>
        <v>0</v>
      </c>
      <c r="B7755" t="s">
        <v>805</v>
      </c>
      <c r="C7755" t="s">
        <v>10083</v>
      </c>
      <c r="D7755" t="s">
        <v>13012</v>
      </c>
      <c r="E7755" t="s">
        <v>18325</v>
      </c>
      <c r="F7755" t="s">
        <v>22436</v>
      </c>
      <c r="G7755" t="s">
        <v>22444</v>
      </c>
      <c r="H7755" t="s">
        <v>22452</v>
      </c>
      <c r="I7755" t="s">
        <v>3529</v>
      </c>
      <c r="J7755" t="s">
        <v>27580</v>
      </c>
      <c r="K7755" t="s">
        <v>29329</v>
      </c>
      <c r="M7755" t="s">
        <v>30407</v>
      </c>
      <c r="N7755" t="s">
        <v>32524</v>
      </c>
      <c r="O7755" t="s">
        <v>32525</v>
      </c>
      <c r="P7755">
        <v>0</v>
      </c>
      <c r="Q7755">
        <v>0</v>
      </c>
      <c r="R7755" t="s">
        <v>32533</v>
      </c>
      <c r="S7755" t="s">
        <v>32667</v>
      </c>
      <c r="T7755" t="s">
        <v>33521</v>
      </c>
      <c r="U7755" t="s">
        <v>35349</v>
      </c>
      <c r="W7755" t="s">
        <v>30407</v>
      </c>
      <c r="X7755" t="s">
        <v>32534</v>
      </c>
    </row>
    <row r="7756" spans="1:24">
      <c r="A7756">
        <f>HYPERLINK("https://www.philgeps.gov.ph/GEPSNONPILOT/Tender/SplashBidNoticeAbstractUI.aspx?menuIndex=3&amp;refID=7034674&amp;Result=3","7034674")</f>
        <v>0</v>
      </c>
      <c r="B7756" t="s">
        <v>82</v>
      </c>
      <c r="C7756" t="s">
        <v>10084</v>
      </c>
      <c r="D7756" t="s">
        <v>13024</v>
      </c>
      <c r="E7756" t="s">
        <v>19892</v>
      </c>
      <c r="F7756" t="s">
        <v>22436</v>
      </c>
      <c r="G7756" t="s">
        <v>22444</v>
      </c>
      <c r="H7756" t="s">
        <v>22452</v>
      </c>
      <c r="I7756" t="s">
        <v>22540</v>
      </c>
      <c r="J7756" t="s">
        <v>27581</v>
      </c>
      <c r="K7756" t="s">
        <v>29333</v>
      </c>
      <c r="M7756" t="s">
        <v>29654</v>
      </c>
      <c r="N7756" t="s">
        <v>32524</v>
      </c>
      <c r="O7756" t="s">
        <v>32525</v>
      </c>
      <c r="P7756">
        <v>0</v>
      </c>
      <c r="Q7756">
        <v>2</v>
      </c>
      <c r="R7756" t="s">
        <v>32533</v>
      </c>
      <c r="S7756" t="s">
        <v>32667</v>
      </c>
      <c r="T7756" t="s">
        <v>33440</v>
      </c>
      <c r="U7756" t="s">
        <v>40085</v>
      </c>
      <c r="V7756" t="s">
        <v>43268</v>
      </c>
      <c r="W7756" t="s">
        <v>29654</v>
      </c>
      <c r="X7756" t="s">
        <v>32534</v>
      </c>
    </row>
    <row r="7757" spans="1:24">
      <c r="A7757">
        <f>HYPERLINK("https://www.philgeps.gov.ph/GEPSNONPILOT/Tender/SplashBidNoticeAbstractUI.aspx?menuIndex=3&amp;refID=7034650&amp;Result=3","7034650")</f>
        <v>0</v>
      </c>
      <c r="B7757" t="s">
        <v>2281</v>
      </c>
      <c r="C7757" t="s">
        <v>10085</v>
      </c>
      <c r="D7757" t="s">
        <v>13038</v>
      </c>
      <c r="E7757" t="s">
        <v>19893</v>
      </c>
      <c r="F7757" t="s">
        <v>22436</v>
      </c>
      <c r="G7757" t="s">
        <v>22446</v>
      </c>
      <c r="H7757" t="s">
        <v>22452</v>
      </c>
      <c r="I7757" t="s">
        <v>22510</v>
      </c>
      <c r="J7757" t="s">
        <v>27582</v>
      </c>
      <c r="K7757" t="s">
        <v>29335</v>
      </c>
      <c r="M7757" t="s">
        <v>32052</v>
      </c>
      <c r="N7757" t="s">
        <v>32524</v>
      </c>
      <c r="O7757" t="s">
        <v>32525</v>
      </c>
      <c r="P7757">
        <v>0</v>
      </c>
      <c r="Q7757">
        <v>2</v>
      </c>
      <c r="R7757" t="s">
        <v>32533</v>
      </c>
      <c r="S7757" t="s">
        <v>32667</v>
      </c>
      <c r="T7757" t="s">
        <v>33322</v>
      </c>
      <c r="U7757" t="s">
        <v>40086</v>
      </c>
      <c r="W7757" t="s">
        <v>32052</v>
      </c>
      <c r="X7757" t="s">
        <v>32534</v>
      </c>
    </row>
    <row r="7758" spans="1:24">
      <c r="A7758">
        <f>HYPERLINK("https://www.philgeps.gov.ph/GEPSNONPILOT/Tender/SplashBidNoticeAbstractUI.aspx?menuIndex=3&amp;refID=7034675&amp;Result=3","7034675")</f>
        <v>0</v>
      </c>
      <c r="B7758" t="s">
        <v>2281</v>
      </c>
      <c r="C7758" t="s">
        <v>10086</v>
      </c>
      <c r="D7758" t="s">
        <v>13038</v>
      </c>
      <c r="E7758" t="s">
        <v>19894</v>
      </c>
      <c r="F7758" t="s">
        <v>22436</v>
      </c>
      <c r="G7758" t="s">
        <v>22446</v>
      </c>
      <c r="H7758" t="s">
        <v>22452</v>
      </c>
      <c r="I7758" t="s">
        <v>22485</v>
      </c>
      <c r="J7758" t="s">
        <v>27583</v>
      </c>
      <c r="K7758" t="s">
        <v>29335</v>
      </c>
      <c r="M7758" t="s">
        <v>32052</v>
      </c>
      <c r="N7758" t="s">
        <v>32524</v>
      </c>
      <c r="O7758" t="s">
        <v>32525</v>
      </c>
      <c r="P7758">
        <v>0</v>
      </c>
      <c r="Q7758">
        <v>0</v>
      </c>
      <c r="R7758" t="s">
        <v>32533</v>
      </c>
      <c r="S7758" t="s">
        <v>32667</v>
      </c>
      <c r="T7758" t="s">
        <v>33322</v>
      </c>
      <c r="U7758" t="s">
        <v>40087</v>
      </c>
      <c r="W7758" t="s">
        <v>32052</v>
      </c>
      <c r="X7758" t="s">
        <v>32534</v>
      </c>
    </row>
    <row r="7759" spans="1:24">
      <c r="A7759">
        <f>HYPERLINK("https://www.philgeps.gov.ph/GEPSNONPILOT/Tender/SplashBidNoticeAbstractUI.aspx?menuIndex=3&amp;refID=7034686&amp;Result=3","7034686")</f>
        <v>0</v>
      </c>
      <c r="B7759" t="s">
        <v>2285</v>
      </c>
      <c r="C7759" t="s">
        <v>10087</v>
      </c>
      <c r="D7759" t="s">
        <v>12999</v>
      </c>
      <c r="E7759" t="s">
        <v>19895</v>
      </c>
      <c r="F7759" t="s">
        <v>22436</v>
      </c>
      <c r="G7759" t="s">
        <v>22444</v>
      </c>
      <c r="H7759" t="s">
        <v>22454</v>
      </c>
      <c r="I7759" t="s">
        <v>7738</v>
      </c>
      <c r="J7759" t="s">
        <v>26531</v>
      </c>
      <c r="K7759" t="s">
        <v>29345</v>
      </c>
      <c r="M7759" t="s">
        <v>32056</v>
      </c>
      <c r="N7759" t="s">
        <v>32524</v>
      </c>
      <c r="O7759" t="s">
        <v>32525</v>
      </c>
      <c r="P7759">
        <v>0</v>
      </c>
      <c r="Q7759">
        <v>0</v>
      </c>
      <c r="R7759" t="s">
        <v>32533</v>
      </c>
      <c r="S7759" t="s">
        <v>32667</v>
      </c>
      <c r="T7759" t="s">
        <v>33242</v>
      </c>
      <c r="U7759" t="s">
        <v>40088</v>
      </c>
      <c r="W7759" t="s">
        <v>32056</v>
      </c>
      <c r="X7759" t="s">
        <v>32534</v>
      </c>
    </row>
    <row r="7760" spans="1:24">
      <c r="A7760">
        <f>HYPERLINK("https://www.philgeps.gov.ph/GEPSNONPILOT/Tender/SplashBidNoticeAbstractUI.aspx?menuIndex=3&amp;refID=7034712&amp;Result=3","7034712")</f>
        <v>0</v>
      </c>
      <c r="B7760" t="s">
        <v>2285</v>
      </c>
      <c r="C7760" t="s">
        <v>10088</v>
      </c>
      <c r="D7760" t="s">
        <v>12999</v>
      </c>
      <c r="E7760" t="s">
        <v>19896</v>
      </c>
      <c r="F7760" t="s">
        <v>22436</v>
      </c>
      <c r="G7760" t="s">
        <v>22444</v>
      </c>
      <c r="H7760" t="s">
        <v>22454</v>
      </c>
      <c r="I7760" t="s">
        <v>7738</v>
      </c>
      <c r="J7760" t="s">
        <v>27584</v>
      </c>
      <c r="K7760" t="s">
        <v>29333</v>
      </c>
      <c r="M7760" t="s">
        <v>32056</v>
      </c>
      <c r="N7760" t="s">
        <v>32524</v>
      </c>
      <c r="O7760" t="s">
        <v>32525</v>
      </c>
      <c r="P7760">
        <v>0</v>
      </c>
      <c r="Q7760">
        <v>0</v>
      </c>
      <c r="R7760" t="s">
        <v>32533</v>
      </c>
      <c r="S7760" t="s">
        <v>32667</v>
      </c>
      <c r="T7760" t="s">
        <v>33242</v>
      </c>
      <c r="U7760" t="s">
        <v>40089</v>
      </c>
      <c r="W7760" t="s">
        <v>32056</v>
      </c>
      <c r="X7760" t="s">
        <v>32534</v>
      </c>
    </row>
    <row r="7761" spans="1:24">
      <c r="A7761">
        <f>HYPERLINK("https://www.philgeps.gov.ph/GEPSNONPILOT/Tender/SplashBidNoticeAbstractUI.aspx?menuIndex=3&amp;refID=7034692&amp;Result=3","7034692")</f>
        <v>0</v>
      </c>
      <c r="B7761" t="s">
        <v>2271</v>
      </c>
      <c r="C7761" t="s">
        <v>10089</v>
      </c>
      <c r="D7761" t="s">
        <v>13022</v>
      </c>
      <c r="E7761" t="s">
        <v>19897</v>
      </c>
      <c r="F7761" t="s">
        <v>22436</v>
      </c>
      <c r="G7761" t="s">
        <v>22444</v>
      </c>
      <c r="H7761" t="s">
        <v>22452</v>
      </c>
      <c r="I7761" t="s">
        <v>6421</v>
      </c>
      <c r="J7761" t="s">
        <v>27585</v>
      </c>
      <c r="K7761" t="s">
        <v>29329</v>
      </c>
      <c r="M7761" t="s">
        <v>32042</v>
      </c>
      <c r="N7761" t="s">
        <v>32524</v>
      </c>
      <c r="O7761" t="s">
        <v>32525</v>
      </c>
      <c r="P7761">
        <v>0</v>
      </c>
      <c r="Q7761">
        <v>2</v>
      </c>
      <c r="R7761" t="s">
        <v>32533</v>
      </c>
      <c r="S7761" t="s">
        <v>32667</v>
      </c>
      <c r="T7761" t="s">
        <v>33249</v>
      </c>
      <c r="U7761" t="s">
        <v>40090</v>
      </c>
      <c r="V7761" t="s">
        <v>43261</v>
      </c>
      <c r="W7761" t="s">
        <v>32042</v>
      </c>
      <c r="X7761" t="s">
        <v>32534</v>
      </c>
    </row>
    <row r="7762" spans="1:24">
      <c r="A7762">
        <f>HYPERLINK("https://www.philgeps.gov.ph/GEPSNONPILOT/Tender/SplashBidNoticeAbstractUI.aspx?menuIndex=3&amp;refID=7034690&amp;Result=3","7034690")</f>
        <v>0</v>
      </c>
      <c r="B7762" t="s">
        <v>2286</v>
      </c>
      <c r="C7762" t="s">
        <v>10090</v>
      </c>
      <c r="D7762" t="s">
        <v>13022</v>
      </c>
      <c r="E7762" t="s">
        <v>19898</v>
      </c>
      <c r="F7762" t="s">
        <v>22436</v>
      </c>
      <c r="G7762" t="s">
        <v>22444</v>
      </c>
      <c r="H7762" t="s">
        <v>22452</v>
      </c>
      <c r="I7762" t="s">
        <v>22474</v>
      </c>
      <c r="J7762" t="s">
        <v>27586</v>
      </c>
      <c r="K7762" t="s">
        <v>29341</v>
      </c>
      <c r="M7762" t="s">
        <v>32057</v>
      </c>
      <c r="N7762" t="s">
        <v>32524</v>
      </c>
      <c r="O7762" t="s">
        <v>32525</v>
      </c>
      <c r="P7762">
        <v>0</v>
      </c>
      <c r="Q7762">
        <v>5</v>
      </c>
      <c r="R7762" t="s">
        <v>32533</v>
      </c>
      <c r="S7762" t="s">
        <v>32667</v>
      </c>
      <c r="T7762" t="s">
        <v>33524</v>
      </c>
      <c r="U7762" t="s">
        <v>40091</v>
      </c>
      <c r="W7762" t="s">
        <v>32057</v>
      </c>
      <c r="X7762" t="s">
        <v>32534</v>
      </c>
    </row>
    <row r="7763" spans="1:24">
      <c r="A7763">
        <f>HYPERLINK("https://www.philgeps.gov.ph/GEPSNONPILOT/Tender/SplashBidNoticeAbstractUI.aspx?menuIndex=3&amp;refID=7034699&amp;Result=3","7034699")</f>
        <v>0</v>
      </c>
      <c r="B7763" t="s">
        <v>2287</v>
      </c>
      <c r="C7763" t="s">
        <v>10091</v>
      </c>
      <c r="D7763" t="s">
        <v>13026</v>
      </c>
      <c r="E7763" t="s">
        <v>19899</v>
      </c>
      <c r="F7763" t="s">
        <v>22436</v>
      </c>
      <c r="G7763" t="s">
        <v>22447</v>
      </c>
      <c r="H7763" t="s">
        <v>22452</v>
      </c>
      <c r="I7763" t="s">
        <v>22540</v>
      </c>
      <c r="J7763" t="s">
        <v>23215</v>
      </c>
      <c r="K7763" t="s">
        <v>29335</v>
      </c>
      <c r="M7763" t="s">
        <v>32058</v>
      </c>
      <c r="N7763" t="s">
        <v>32524</v>
      </c>
      <c r="O7763" t="s">
        <v>32525</v>
      </c>
      <c r="P7763">
        <v>0</v>
      </c>
      <c r="Q7763">
        <v>4</v>
      </c>
      <c r="R7763" t="s">
        <v>32533</v>
      </c>
      <c r="S7763" t="s">
        <v>32667</v>
      </c>
      <c r="T7763" t="s">
        <v>33403</v>
      </c>
      <c r="U7763" t="s">
        <v>40092</v>
      </c>
      <c r="V7763" t="s">
        <v>43269</v>
      </c>
      <c r="W7763" t="s">
        <v>32058</v>
      </c>
      <c r="X7763" t="s">
        <v>32534</v>
      </c>
    </row>
    <row r="7764" spans="1:24">
      <c r="A7764">
        <f>HYPERLINK("https://www.philgeps.gov.ph/GEPSNONPILOT/Tender/SplashBidNoticeAbstractUI.aspx?menuIndex=3&amp;refID=7034713&amp;Result=3","7034713")</f>
        <v>0</v>
      </c>
      <c r="B7764" t="s">
        <v>2271</v>
      </c>
      <c r="C7764" t="s">
        <v>10092</v>
      </c>
      <c r="D7764" t="s">
        <v>13022</v>
      </c>
      <c r="E7764" t="s">
        <v>19900</v>
      </c>
      <c r="F7764" t="s">
        <v>22436</v>
      </c>
      <c r="G7764" t="s">
        <v>22444</v>
      </c>
      <c r="H7764" t="s">
        <v>22452</v>
      </c>
      <c r="I7764" t="s">
        <v>3358</v>
      </c>
      <c r="J7764" t="s">
        <v>27587</v>
      </c>
      <c r="K7764" t="s">
        <v>29345</v>
      </c>
      <c r="M7764" t="s">
        <v>32042</v>
      </c>
      <c r="N7764" t="s">
        <v>32524</v>
      </c>
      <c r="O7764" t="s">
        <v>32525</v>
      </c>
      <c r="P7764">
        <v>0</v>
      </c>
      <c r="Q7764">
        <v>1</v>
      </c>
      <c r="R7764" t="s">
        <v>32533</v>
      </c>
      <c r="S7764" t="s">
        <v>32667</v>
      </c>
      <c r="T7764" t="s">
        <v>33249</v>
      </c>
      <c r="U7764" t="s">
        <v>40093</v>
      </c>
      <c r="V7764" t="s">
        <v>43261</v>
      </c>
      <c r="W7764" t="s">
        <v>32042</v>
      </c>
      <c r="X7764" t="s">
        <v>32534</v>
      </c>
    </row>
    <row r="7765" spans="1:24">
      <c r="A7765">
        <f>HYPERLINK("https://www.philgeps.gov.ph/GEPSNONPILOT/Tender/SplashBidNoticeAbstractUI.aspx?menuIndex=3&amp;refID=7034706&amp;Result=3","7034706")</f>
        <v>0</v>
      </c>
      <c r="B7765" t="s">
        <v>750</v>
      </c>
      <c r="C7765" t="s">
        <v>10093</v>
      </c>
      <c r="D7765" t="s">
        <v>13031</v>
      </c>
      <c r="E7765" t="s">
        <v>19901</v>
      </c>
      <c r="F7765" t="s">
        <v>22436</v>
      </c>
      <c r="G7765" t="s">
        <v>22444</v>
      </c>
      <c r="H7765" t="s">
        <v>22452</v>
      </c>
      <c r="I7765" t="s">
        <v>22474</v>
      </c>
      <c r="J7765" t="s">
        <v>22634</v>
      </c>
      <c r="K7765" t="s">
        <v>29335</v>
      </c>
      <c r="M7765" t="s">
        <v>30351</v>
      </c>
      <c r="N7765" t="s">
        <v>32524</v>
      </c>
      <c r="O7765" t="s">
        <v>32525</v>
      </c>
      <c r="P7765">
        <v>0</v>
      </c>
      <c r="Q7765">
        <v>4</v>
      </c>
      <c r="R7765" t="s">
        <v>32533</v>
      </c>
      <c r="S7765" t="s">
        <v>32667</v>
      </c>
      <c r="T7765" t="s">
        <v>33487</v>
      </c>
      <c r="U7765" t="s">
        <v>40094</v>
      </c>
      <c r="W7765" t="s">
        <v>30351</v>
      </c>
      <c r="X7765" t="s">
        <v>32534</v>
      </c>
    </row>
    <row r="7766" spans="1:24">
      <c r="A7766">
        <f>HYPERLINK("https://www.philgeps.gov.ph/GEPSNONPILOT/Tender/SplashBidNoticeAbstractUI.aspx?menuIndex=3&amp;refID=7034695&amp;Result=3","7034695")</f>
        <v>0</v>
      </c>
      <c r="B7766" t="s">
        <v>2288</v>
      </c>
      <c r="C7766" t="s">
        <v>10094</v>
      </c>
      <c r="D7766" t="s">
        <v>12996</v>
      </c>
      <c r="E7766" t="s">
        <v>19881</v>
      </c>
      <c r="F7766" t="s">
        <v>22436</v>
      </c>
      <c r="G7766" t="s">
        <v>22444</v>
      </c>
      <c r="H7766" t="s">
        <v>22452</v>
      </c>
      <c r="I7766" t="s">
        <v>3529</v>
      </c>
      <c r="J7766" t="s">
        <v>27588</v>
      </c>
      <c r="K7766" t="s">
        <v>29331</v>
      </c>
      <c r="M7766" t="s">
        <v>32059</v>
      </c>
      <c r="N7766" t="s">
        <v>32524</v>
      </c>
      <c r="O7766" t="s">
        <v>32525</v>
      </c>
      <c r="P7766">
        <v>0</v>
      </c>
      <c r="Q7766">
        <v>1</v>
      </c>
      <c r="R7766" t="s">
        <v>32533</v>
      </c>
      <c r="S7766" t="s">
        <v>32667</v>
      </c>
      <c r="T7766" t="s">
        <v>33371</v>
      </c>
      <c r="U7766" t="s">
        <v>40095</v>
      </c>
      <c r="W7766" t="s">
        <v>32059</v>
      </c>
      <c r="X7766" t="s">
        <v>32534</v>
      </c>
    </row>
    <row r="7767" spans="1:24">
      <c r="A7767">
        <f>HYPERLINK("https://www.philgeps.gov.ph/GEPSNONPILOT/Tender/SplashBidNoticeAbstractUI.aspx?menuIndex=3&amp;refID=7034682&amp;Result=3","7034682")</f>
        <v>0</v>
      </c>
      <c r="B7767" t="s">
        <v>2271</v>
      </c>
      <c r="C7767" t="s">
        <v>10095</v>
      </c>
      <c r="D7767" t="s">
        <v>13022</v>
      </c>
      <c r="E7767" t="s">
        <v>19902</v>
      </c>
      <c r="F7767" t="s">
        <v>22436</v>
      </c>
      <c r="G7767" t="s">
        <v>22444</v>
      </c>
      <c r="H7767" t="s">
        <v>22452</v>
      </c>
      <c r="I7767" t="s">
        <v>6421</v>
      </c>
      <c r="J7767" t="s">
        <v>27589</v>
      </c>
      <c r="K7767" t="s">
        <v>29329</v>
      </c>
      <c r="M7767" t="s">
        <v>32042</v>
      </c>
      <c r="N7767" t="s">
        <v>32524</v>
      </c>
      <c r="O7767" t="s">
        <v>32525</v>
      </c>
      <c r="P7767">
        <v>0</v>
      </c>
      <c r="Q7767">
        <v>1</v>
      </c>
      <c r="R7767" t="s">
        <v>32533</v>
      </c>
      <c r="S7767" t="s">
        <v>32667</v>
      </c>
      <c r="T7767" t="s">
        <v>33249</v>
      </c>
      <c r="U7767" t="s">
        <v>40096</v>
      </c>
      <c r="V7767" t="s">
        <v>43261</v>
      </c>
      <c r="W7767" t="s">
        <v>32042</v>
      </c>
      <c r="X7767" t="s">
        <v>32534</v>
      </c>
    </row>
    <row r="7768" spans="1:24">
      <c r="A7768">
        <f>HYPERLINK("https://www.philgeps.gov.ph/GEPSNONPILOT/Tender/SplashBidNoticeAbstractUI.aspx?menuIndex=3&amp;refID=7034677&amp;Result=3","7034677")</f>
        <v>0</v>
      </c>
      <c r="B7768" t="s">
        <v>2289</v>
      </c>
      <c r="C7768" t="s">
        <v>10096</v>
      </c>
      <c r="D7768" t="s">
        <v>13015</v>
      </c>
      <c r="E7768" t="s">
        <v>19903</v>
      </c>
      <c r="F7768" t="s">
        <v>22436</v>
      </c>
      <c r="G7768" t="s">
        <v>22444</v>
      </c>
      <c r="H7768" t="s">
        <v>22452</v>
      </c>
      <c r="I7768" t="s">
        <v>3529</v>
      </c>
      <c r="J7768" t="s">
        <v>27590</v>
      </c>
      <c r="K7768" t="s">
        <v>29336</v>
      </c>
      <c r="M7768" t="s">
        <v>32060</v>
      </c>
      <c r="N7768" t="s">
        <v>32524</v>
      </c>
      <c r="O7768" t="s">
        <v>32525</v>
      </c>
      <c r="P7768">
        <v>0</v>
      </c>
      <c r="Q7768">
        <v>0</v>
      </c>
      <c r="R7768" t="s">
        <v>32533</v>
      </c>
      <c r="S7768" t="s">
        <v>32667</v>
      </c>
      <c r="T7768" t="s">
        <v>33296</v>
      </c>
      <c r="U7768" t="s">
        <v>40097</v>
      </c>
      <c r="W7768" t="s">
        <v>32060</v>
      </c>
      <c r="X7768" t="s">
        <v>32534</v>
      </c>
    </row>
    <row r="7769" spans="1:24">
      <c r="A7769">
        <f>HYPERLINK("https://www.philgeps.gov.ph/GEPSNONPILOT/Tender/SplashBidNoticeAbstractUI.aspx?menuIndex=3&amp;refID=7034696&amp;Result=3","7034696")</f>
        <v>0</v>
      </c>
      <c r="B7769" t="s">
        <v>317</v>
      </c>
      <c r="C7769" t="s">
        <v>10097</v>
      </c>
      <c r="D7769" t="s">
        <v>13031</v>
      </c>
      <c r="E7769" t="s">
        <v>19904</v>
      </c>
      <c r="F7769" t="s">
        <v>22436</v>
      </c>
      <c r="G7769" t="s">
        <v>22444</v>
      </c>
      <c r="H7769" t="s">
        <v>22452</v>
      </c>
      <c r="I7769" t="s">
        <v>22486</v>
      </c>
      <c r="J7769" t="s">
        <v>25709</v>
      </c>
      <c r="K7769" t="s">
        <v>29336</v>
      </c>
      <c r="M7769" t="s">
        <v>29893</v>
      </c>
      <c r="N7769" t="s">
        <v>32524</v>
      </c>
      <c r="O7769" t="s">
        <v>32525</v>
      </c>
      <c r="P7769">
        <v>0</v>
      </c>
      <c r="Q7769">
        <v>1</v>
      </c>
      <c r="R7769" t="s">
        <v>32533</v>
      </c>
      <c r="S7769" t="s">
        <v>32667</v>
      </c>
      <c r="T7769" t="s">
        <v>33296</v>
      </c>
      <c r="U7769" t="s">
        <v>40098</v>
      </c>
      <c r="W7769" t="s">
        <v>43677</v>
      </c>
      <c r="X7769" t="s">
        <v>32534</v>
      </c>
    </row>
    <row r="7770" spans="1:24">
      <c r="A7770">
        <f>HYPERLINK("https://www.philgeps.gov.ph/GEPSNONPILOT/Tender/SplashBidNoticeAbstractUI.aspx?menuIndex=3&amp;refID=7034733&amp;Result=3","7034733")</f>
        <v>0</v>
      </c>
      <c r="B7770" t="s">
        <v>2271</v>
      </c>
      <c r="C7770" t="s">
        <v>10098</v>
      </c>
      <c r="D7770" t="s">
        <v>13022</v>
      </c>
      <c r="E7770" t="s">
        <v>19905</v>
      </c>
      <c r="F7770" t="s">
        <v>22436</v>
      </c>
      <c r="G7770" t="s">
        <v>22444</v>
      </c>
      <c r="H7770" t="s">
        <v>22452</v>
      </c>
      <c r="I7770" t="s">
        <v>22531</v>
      </c>
      <c r="J7770" t="s">
        <v>27591</v>
      </c>
      <c r="K7770" t="s">
        <v>29335</v>
      </c>
      <c r="M7770" t="s">
        <v>32042</v>
      </c>
      <c r="N7770" t="s">
        <v>32524</v>
      </c>
      <c r="O7770" t="s">
        <v>32525</v>
      </c>
      <c r="P7770">
        <v>0</v>
      </c>
      <c r="Q7770">
        <v>3</v>
      </c>
      <c r="R7770" t="s">
        <v>32533</v>
      </c>
      <c r="S7770" t="s">
        <v>32667</v>
      </c>
      <c r="T7770" t="s">
        <v>33249</v>
      </c>
      <c r="U7770" t="s">
        <v>40099</v>
      </c>
      <c r="V7770" t="s">
        <v>43261</v>
      </c>
      <c r="W7770" t="s">
        <v>32042</v>
      </c>
      <c r="X7770" t="s">
        <v>32534</v>
      </c>
    </row>
    <row r="7771" spans="1:24">
      <c r="A7771">
        <f>HYPERLINK("https://www.philgeps.gov.ph/GEPSNONPILOT/Tender/SplashBidNoticeAbstractUI.aspx?menuIndex=3&amp;refID=7034688&amp;Result=3","7034688")</f>
        <v>0</v>
      </c>
      <c r="B7771" t="s">
        <v>279</v>
      </c>
      <c r="C7771" t="s">
        <v>10099</v>
      </c>
      <c r="D7771" t="s">
        <v>13010</v>
      </c>
      <c r="E7771" t="s">
        <v>19906</v>
      </c>
      <c r="F7771" t="s">
        <v>22436</v>
      </c>
      <c r="G7771" t="s">
        <v>22444</v>
      </c>
      <c r="H7771" t="s">
        <v>22452</v>
      </c>
      <c r="I7771" t="s">
        <v>5194</v>
      </c>
      <c r="J7771" t="s">
        <v>27592</v>
      </c>
      <c r="K7771" t="s">
        <v>29341</v>
      </c>
      <c r="M7771" t="s">
        <v>31776</v>
      </c>
      <c r="N7771" t="s">
        <v>32524</v>
      </c>
      <c r="O7771" t="s">
        <v>32525</v>
      </c>
      <c r="P7771">
        <v>0</v>
      </c>
      <c r="Q7771">
        <v>10</v>
      </c>
      <c r="R7771" t="s">
        <v>32533</v>
      </c>
      <c r="S7771" t="s">
        <v>32667</v>
      </c>
      <c r="T7771" t="s">
        <v>33455</v>
      </c>
      <c r="U7771" t="s">
        <v>40100</v>
      </c>
      <c r="W7771" t="s">
        <v>31776</v>
      </c>
      <c r="X7771" t="s">
        <v>32534</v>
      </c>
    </row>
    <row r="7772" spans="1:24">
      <c r="A7772">
        <f>HYPERLINK("https://www.philgeps.gov.ph/GEPSNONPILOT/Tender/SplashBidNoticeAbstractUI.aspx?menuIndex=3&amp;refID=7034737&amp;Result=3","7034737")</f>
        <v>0</v>
      </c>
      <c r="B7772" t="s">
        <v>2290</v>
      </c>
      <c r="C7772" t="s">
        <v>10100</v>
      </c>
      <c r="D7772" t="s">
        <v>13032</v>
      </c>
      <c r="E7772" t="s">
        <v>13743</v>
      </c>
      <c r="F7772" t="s">
        <v>22436</v>
      </c>
      <c r="G7772" t="s">
        <v>22444</v>
      </c>
      <c r="H7772" t="s">
        <v>22453</v>
      </c>
      <c r="I7772" t="s">
        <v>22478</v>
      </c>
      <c r="J7772" t="s">
        <v>22654</v>
      </c>
      <c r="K7772" t="s">
        <v>29337</v>
      </c>
      <c r="M7772" t="s">
        <v>32061</v>
      </c>
      <c r="N7772" t="s">
        <v>32524</v>
      </c>
      <c r="O7772" t="s">
        <v>32525</v>
      </c>
      <c r="Q7772">
        <v>0</v>
      </c>
      <c r="R7772" t="s">
        <v>32533</v>
      </c>
      <c r="S7772" t="s">
        <v>32715</v>
      </c>
      <c r="T7772" t="s">
        <v>33203</v>
      </c>
      <c r="U7772" t="s">
        <v>40101</v>
      </c>
      <c r="W7772" t="s">
        <v>32061</v>
      </c>
      <c r="X7772" t="s">
        <v>32534</v>
      </c>
    </row>
    <row r="7773" spans="1:24">
      <c r="A7773">
        <f>HYPERLINK("https://www.philgeps.gov.ph/GEPSNONPILOT/Tender/SplashBidNoticeAbstractUI.aspx?menuIndex=3&amp;refID=7034728&amp;Result=3","7034728")</f>
        <v>0</v>
      </c>
      <c r="B7773" t="s">
        <v>2291</v>
      </c>
      <c r="C7773" t="s">
        <v>10101</v>
      </c>
      <c r="D7773" t="s">
        <v>13039</v>
      </c>
      <c r="E7773" t="s">
        <v>13182</v>
      </c>
      <c r="F7773" t="s">
        <v>22436</v>
      </c>
      <c r="G7773" t="s">
        <v>22443</v>
      </c>
      <c r="H7773" t="s">
        <v>22454</v>
      </c>
      <c r="I7773" t="s">
        <v>7738</v>
      </c>
      <c r="J7773" t="s">
        <v>22750</v>
      </c>
      <c r="K7773" t="s">
        <v>29344</v>
      </c>
      <c r="M7773" t="s">
        <v>32062</v>
      </c>
      <c r="N7773" t="s">
        <v>32524</v>
      </c>
      <c r="O7773" t="s">
        <v>32525</v>
      </c>
      <c r="P7773">
        <v>0</v>
      </c>
      <c r="Q7773">
        <v>1</v>
      </c>
      <c r="R7773" t="s">
        <v>32533</v>
      </c>
      <c r="S7773" t="s">
        <v>32667</v>
      </c>
      <c r="T7773" t="s">
        <v>33230</v>
      </c>
      <c r="U7773" t="s">
        <v>40102</v>
      </c>
      <c r="W7773" t="s">
        <v>32062</v>
      </c>
      <c r="X7773" t="s">
        <v>32534</v>
      </c>
    </row>
    <row r="7774" spans="1:24">
      <c r="A7774">
        <f>HYPERLINK("https://www.philgeps.gov.ph/GEPSNONPILOT/Tender/SplashBidNoticeAbstractUI.aspx?menuIndex=3&amp;refID=7034719&amp;Result=3","7034719")</f>
        <v>0</v>
      </c>
      <c r="B7774" t="s">
        <v>1015</v>
      </c>
      <c r="C7774" t="s">
        <v>10102</v>
      </c>
      <c r="E7774" t="s">
        <v>19907</v>
      </c>
      <c r="F7774" t="s">
        <v>22436</v>
      </c>
      <c r="G7774" t="s">
        <v>22444</v>
      </c>
      <c r="H7774" t="s">
        <v>22452</v>
      </c>
      <c r="I7774" t="s">
        <v>22474</v>
      </c>
      <c r="J7774" t="s">
        <v>27593</v>
      </c>
      <c r="K7774" t="s">
        <v>29388</v>
      </c>
      <c r="M7774" t="s">
        <v>30643</v>
      </c>
      <c r="N7774" t="s">
        <v>32524</v>
      </c>
      <c r="O7774" t="s">
        <v>32525</v>
      </c>
      <c r="Q7774">
        <v>8</v>
      </c>
      <c r="R7774" t="s">
        <v>32533</v>
      </c>
      <c r="S7774" t="s">
        <v>32716</v>
      </c>
      <c r="T7774" t="s">
        <v>33503</v>
      </c>
      <c r="U7774" t="s">
        <v>40103</v>
      </c>
      <c r="W7774" t="s">
        <v>30643</v>
      </c>
      <c r="X7774" t="s">
        <v>32534</v>
      </c>
    </row>
    <row r="7775" spans="1:24">
      <c r="A7775">
        <f>HYPERLINK("https://www.philgeps.gov.ph/GEPSNONPILOT/Tender/SplashBidNoticeAbstractUI.aspx?menuIndex=3&amp;refID=7034739&amp;Result=3","7034739")</f>
        <v>0</v>
      </c>
      <c r="B7775" t="s">
        <v>279</v>
      </c>
      <c r="C7775" t="s">
        <v>10103</v>
      </c>
      <c r="D7775" t="s">
        <v>13010</v>
      </c>
      <c r="E7775" t="s">
        <v>19908</v>
      </c>
      <c r="F7775" t="s">
        <v>22436</v>
      </c>
      <c r="G7775" t="s">
        <v>22444</v>
      </c>
      <c r="H7775" t="s">
        <v>22452</v>
      </c>
      <c r="I7775" t="s">
        <v>22465</v>
      </c>
      <c r="J7775" t="s">
        <v>27594</v>
      </c>
      <c r="K7775" t="s">
        <v>29341</v>
      </c>
      <c r="M7775" t="s">
        <v>31776</v>
      </c>
      <c r="N7775" t="s">
        <v>32524</v>
      </c>
      <c r="O7775" t="s">
        <v>32525</v>
      </c>
      <c r="Q7775">
        <v>6</v>
      </c>
      <c r="R7775" t="s">
        <v>32533</v>
      </c>
      <c r="S7775" t="s">
        <v>32717</v>
      </c>
      <c r="T7775" t="s">
        <v>33177</v>
      </c>
      <c r="U7775" t="s">
        <v>40104</v>
      </c>
      <c r="W7775" t="s">
        <v>31776</v>
      </c>
      <c r="X7775" t="s">
        <v>32534</v>
      </c>
    </row>
    <row r="7776" spans="1:24">
      <c r="A7776">
        <f>HYPERLINK("https://www.philgeps.gov.ph/GEPSNONPILOT/Tender/SplashBidNoticeAbstractUI.aspx?menuIndex=3&amp;refID=7034716&amp;Result=3","7034716")</f>
        <v>0</v>
      </c>
      <c r="B7776" t="s">
        <v>2292</v>
      </c>
      <c r="C7776" t="s">
        <v>10104</v>
      </c>
      <c r="D7776" t="s">
        <v>13059</v>
      </c>
      <c r="E7776" t="s">
        <v>19909</v>
      </c>
      <c r="F7776" t="s">
        <v>22436</v>
      </c>
      <c r="G7776" t="s">
        <v>22444</v>
      </c>
      <c r="H7776" t="s">
        <v>22452</v>
      </c>
      <c r="I7776" t="s">
        <v>22463</v>
      </c>
      <c r="J7776" t="s">
        <v>27595</v>
      </c>
      <c r="K7776" t="s">
        <v>29335</v>
      </c>
      <c r="M7776" t="s">
        <v>32063</v>
      </c>
      <c r="N7776" t="s">
        <v>32524</v>
      </c>
      <c r="O7776" t="s">
        <v>32525</v>
      </c>
      <c r="P7776">
        <v>0</v>
      </c>
      <c r="Q7776">
        <v>9</v>
      </c>
      <c r="R7776" t="s">
        <v>32533</v>
      </c>
      <c r="S7776" t="s">
        <v>32667</v>
      </c>
      <c r="T7776" t="s">
        <v>33400</v>
      </c>
      <c r="U7776" t="s">
        <v>40105</v>
      </c>
      <c r="V7776" t="s">
        <v>43270</v>
      </c>
      <c r="W7776" t="s">
        <v>43750</v>
      </c>
      <c r="X7776" t="s">
        <v>32534</v>
      </c>
    </row>
    <row r="7777" spans="1:24">
      <c r="A7777">
        <f>HYPERLINK("https://www.philgeps.gov.ph/GEPSNONPILOT/Tender/SplashBidNoticeAbstractUI.aspx?menuIndex=3&amp;refID=7034730&amp;Result=3","7034730")</f>
        <v>0</v>
      </c>
      <c r="B7777" t="s">
        <v>2285</v>
      </c>
      <c r="C7777" t="s">
        <v>10105</v>
      </c>
      <c r="D7777" t="s">
        <v>12999</v>
      </c>
      <c r="E7777" t="s">
        <v>19910</v>
      </c>
      <c r="F7777" t="s">
        <v>22436</v>
      </c>
      <c r="G7777" t="s">
        <v>22444</v>
      </c>
      <c r="H7777" t="s">
        <v>22454</v>
      </c>
      <c r="I7777" t="s">
        <v>7738</v>
      </c>
      <c r="J7777" t="s">
        <v>22960</v>
      </c>
      <c r="K7777" t="s">
        <v>29345</v>
      </c>
      <c r="M7777" t="s">
        <v>32056</v>
      </c>
      <c r="N7777" t="s">
        <v>32524</v>
      </c>
      <c r="O7777" t="s">
        <v>32525</v>
      </c>
      <c r="P7777">
        <v>0</v>
      </c>
      <c r="Q7777">
        <v>0</v>
      </c>
      <c r="R7777" t="s">
        <v>32533</v>
      </c>
      <c r="S7777" t="s">
        <v>32667</v>
      </c>
      <c r="T7777" t="s">
        <v>33242</v>
      </c>
      <c r="U7777" t="s">
        <v>40106</v>
      </c>
      <c r="W7777" t="s">
        <v>32056</v>
      </c>
      <c r="X7777" t="s">
        <v>32534</v>
      </c>
    </row>
    <row r="7778" spans="1:24">
      <c r="A7778">
        <f>HYPERLINK("https://www.philgeps.gov.ph/GEPSNONPILOT/Tender/SplashBidNoticeAbstractUI.aspx?menuIndex=3&amp;refID=7034754&amp;Result=3","7034754")</f>
        <v>0</v>
      </c>
      <c r="B7778" t="s">
        <v>1939</v>
      </c>
      <c r="C7778" t="s">
        <v>10106</v>
      </c>
      <c r="D7778" t="s">
        <v>12993</v>
      </c>
      <c r="E7778" t="s">
        <v>19911</v>
      </c>
      <c r="F7778" t="s">
        <v>22436</v>
      </c>
      <c r="G7778" t="s">
        <v>22444</v>
      </c>
      <c r="H7778" t="s">
        <v>22454</v>
      </c>
      <c r="I7778" t="s">
        <v>7738</v>
      </c>
      <c r="J7778" t="s">
        <v>27596</v>
      </c>
      <c r="K7778" t="s">
        <v>29334</v>
      </c>
      <c r="M7778" t="s">
        <v>31668</v>
      </c>
      <c r="N7778" t="s">
        <v>32524</v>
      </c>
      <c r="O7778" t="s">
        <v>32525</v>
      </c>
      <c r="Q7778">
        <v>0</v>
      </c>
      <c r="R7778" t="s">
        <v>32533</v>
      </c>
      <c r="S7778" t="s">
        <v>32718</v>
      </c>
      <c r="T7778" t="s">
        <v>33249</v>
      </c>
      <c r="U7778" t="s">
        <v>40107</v>
      </c>
      <c r="W7778" t="s">
        <v>31668</v>
      </c>
      <c r="X7778" t="s">
        <v>32534</v>
      </c>
    </row>
    <row r="7779" spans="1:24">
      <c r="A7779">
        <f>HYPERLINK("https://www.philgeps.gov.ph/GEPSNONPILOT/Tender/SplashBidNoticeAbstractUI.aspx?menuIndex=3&amp;refID=7034786&amp;Result=3","7034786")</f>
        <v>0</v>
      </c>
      <c r="B7779" t="s">
        <v>2075</v>
      </c>
      <c r="C7779" t="s">
        <v>10107</v>
      </c>
      <c r="D7779" t="s">
        <v>12988</v>
      </c>
      <c r="E7779" t="s">
        <v>19912</v>
      </c>
      <c r="F7779" t="s">
        <v>22436</v>
      </c>
      <c r="G7779" t="s">
        <v>22443</v>
      </c>
      <c r="H7779" t="s">
        <v>22452</v>
      </c>
      <c r="I7779" t="s">
        <v>22463</v>
      </c>
      <c r="J7779" t="s">
        <v>27597</v>
      </c>
      <c r="K7779" t="s">
        <v>29336</v>
      </c>
      <c r="M7779" t="s">
        <v>32064</v>
      </c>
      <c r="N7779" t="s">
        <v>32524</v>
      </c>
      <c r="O7779" t="s">
        <v>32525</v>
      </c>
      <c r="Q7779">
        <v>5</v>
      </c>
      <c r="R7779" t="s">
        <v>32533</v>
      </c>
      <c r="S7779" t="s">
        <v>32719</v>
      </c>
      <c r="T7779" t="s">
        <v>33220</v>
      </c>
      <c r="U7779" t="s">
        <v>40108</v>
      </c>
      <c r="V7779" t="s">
        <v>43271</v>
      </c>
      <c r="W7779" t="s">
        <v>32064</v>
      </c>
      <c r="X7779" t="s">
        <v>32534</v>
      </c>
    </row>
    <row r="7780" spans="1:24">
      <c r="A7780">
        <f>HYPERLINK("https://www.philgeps.gov.ph/GEPSNONPILOT/Tender/SplashBidNoticeAbstractUI.aspx?menuIndex=3&amp;refID=7034743&amp;Result=3","7034743")</f>
        <v>0</v>
      </c>
      <c r="B7780" t="s">
        <v>2292</v>
      </c>
      <c r="C7780" t="s">
        <v>10108</v>
      </c>
      <c r="D7780" t="s">
        <v>13059</v>
      </c>
      <c r="E7780" t="s">
        <v>19913</v>
      </c>
      <c r="F7780" t="s">
        <v>22436</v>
      </c>
      <c r="G7780" t="s">
        <v>22444</v>
      </c>
      <c r="H7780" t="s">
        <v>22452</v>
      </c>
      <c r="I7780" t="s">
        <v>22508</v>
      </c>
      <c r="J7780" t="s">
        <v>27598</v>
      </c>
      <c r="K7780" t="s">
        <v>29333</v>
      </c>
      <c r="M7780" t="s">
        <v>32063</v>
      </c>
      <c r="N7780" t="s">
        <v>32524</v>
      </c>
      <c r="O7780" t="s">
        <v>32525</v>
      </c>
      <c r="P7780">
        <v>0</v>
      </c>
      <c r="Q7780">
        <v>0</v>
      </c>
      <c r="R7780" t="s">
        <v>32533</v>
      </c>
      <c r="S7780" t="s">
        <v>32667</v>
      </c>
      <c r="T7780" t="s">
        <v>33400</v>
      </c>
      <c r="U7780" t="s">
        <v>40109</v>
      </c>
      <c r="V7780" t="s">
        <v>43272</v>
      </c>
      <c r="W7780" t="s">
        <v>43750</v>
      </c>
      <c r="X7780" t="s">
        <v>32534</v>
      </c>
    </row>
    <row r="7781" spans="1:24">
      <c r="A7781">
        <f>HYPERLINK("https://www.philgeps.gov.ph/GEPSNONPILOT/Tender/SplashBidNoticeAbstractUI.aspx?menuIndex=3&amp;refID=7034770&amp;Result=3","7034770")</f>
        <v>0</v>
      </c>
      <c r="B7781" t="s">
        <v>2292</v>
      </c>
      <c r="C7781" t="s">
        <v>10109</v>
      </c>
      <c r="D7781" t="s">
        <v>13059</v>
      </c>
      <c r="E7781" t="s">
        <v>19914</v>
      </c>
      <c r="F7781" t="s">
        <v>22436</v>
      </c>
      <c r="G7781" t="s">
        <v>22444</v>
      </c>
      <c r="H7781" t="s">
        <v>22452</v>
      </c>
      <c r="I7781" t="s">
        <v>22508</v>
      </c>
      <c r="J7781" t="s">
        <v>27599</v>
      </c>
      <c r="K7781" t="s">
        <v>29333</v>
      </c>
      <c r="M7781" t="s">
        <v>32063</v>
      </c>
      <c r="N7781" t="s">
        <v>32524</v>
      </c>
      <c r="O7781" t="s">
        <v>32525</v>
      </c>
      <c r="P7781">
        <v>0</v>
      </c>
      <c r="Q7781">
        <v>5</v>
      </c>
      <c r="R7781" t="s">
        <v>32533</v>
      </c>
      <c r="S7781" t="s">
        <v>32667</v>
      </c>
      <c r="T7781" t="s">
        <v>33400</v>
      </c>
      <c r="U7781" t="s">
        <v>40110</v>
      </c>
      <c r="V7781" t="s">
        <v>43270</v>
      </c>
      <c r="W7781" t="s">
        <v>43750</v>
      </c>
      <c r="X7781" t="s">
        <v>32534</v>
      </c>
    </row>
    <row r="7782" spans="1:24">
      <c r="A7782">
        <f>HYPERLINK("https://www.philgeps.gov.ph/GEPSNONPILOT/Tender/SplashBidNoticeAbstractUI.aspx?menuIndex=3&amp;refID=7034761&amp;Result=3","7034761")</f>
        <v>0</v>
      </c>
      <c r="B7782" t="s">
        <v>181</v>
      </c>
      <c r="C7782" t="s">
        <v>10110</v>
      </c>
      <c r="D7782" t="s">
        <v>13032</v>
      </c>
      <c r="E7782" t="s">
        <v>19915</v>
      </c>
      <c r="F7782" t="s">
        <v>22436</v>
      </c>
      <c r="G7782" t="s">
        <v>22444</v>
      </c>
      <c r="H7782" t="s">
        <v>22454</v>
      </c>
      <c r="I7782" t="s">
        <v>7738</v>
      </c>
      <c r="J7782" t="s">
        <v>26681</v>
      </c>
      <c r="K7782" t="s">
        <v>29333</v>
      </c>
      <c r="M7782" t="s">
        <v>29753</v>
      </c>
      <c r="N7782" t="s">
        <v>32524</v>
      </c>
      <c r="O7782" t="s">
        <v>32525</v>
      </c>
      <c r="P7782">
        <v>0</v>
      </c>
      <c r="Q7782">
        <v>2</v>
      </c>
      <c r="R7782" t="s">
        <v>32533</v>
      </c>
      <c r="S7782" t="s">
        <v>32667</v>
      </c>
      <c r="T7782" t="s">
        <v>33227</v>
      </c>
      <c r="U7782" t="s">
        <v>40111</v>
      </c>
      <c r="W7782" t="s">
        <v>29753</v>
      </c>
      <c r="X7782" t="s">
        <v>32534</v>
      </c>
    </row>
    <row r="7783" spans="1:24">
      <c r="A7783">
        <f>HYPERLINK("https://www.philgeps.gov.ph/GEPSNONPILOT/Tender/SplashBidNoticeAbstractUI.aspx?menuIndex=3&amp;refID=7034747&amp;Result=3","7034747")</f>
        <v>0</v>
      </c>
      <c r="B7783" t="s">
        <v>2216</v>
      </c>
      <c r="C7783" t="s">
        <v>10111</v>
      </c>
      <c r="D7783" t="s">
        <v>13037</v>
      </c>
      <c r="E7783" t="s">
        <v>19916</v>
      </c>
      <c r="F7783" t="s">
        <v>22436</v>
      </c>
      <c r="G7783" t="s">
        <v>22444</v>
      </c>
      <c r="H7783" t="s">
        <v>22452</v>
      </c>
      <c r="I7783" t="s">
        <v>22474</v>
      </c>
      <c r="J7783" t="s">
        <v>27600</v>
      </c>
      <c r="K7783" t="s">
        <v>29335</v>
      </c>
      <c r="M7783" t="s">
        <v>31982</v>
      </c>
      <c r="N7783" t="s">
        <v>32524</v>
      </c>
      <c r="O7783" t="s">
        <v>32525</v>
      </c>
      <c r="P7783">
        <v>0</v>
      </c>
      <c r="Q7783">
        <v>3</v>
      </c>
      <c r="R7783" t="s">
        <v>32533</v>
      </c>
      <c r="S7783" t="s">
        <v>32667</v>
      </c>
      <c r="T7783" t="s">
        <v>33550</v>
      </c>
      <c r="U7783" t="s">
        <v>40112</v>
      </c>
      <c r="W7783" t="s">
        <v>31982</v>
      </c>
      <c r="X7783" t="s">
        <v>32534</v>
      </c>
    </row>
    <row r="7784" spans="1:24">
      <c r="A7784">
        <f>HYPERLINK("https://www.philgeps.gov.ph/GEPSNONPILOT/Tender/SplashBidNoticeAbstractUI.aspx?menuIndex=3&amp;refID=7034766&amp;Result=3","7034766")</f>
        <v>0</v>
      </c>
      <c r="B7784" t="s">
        <v>1830</v>
      </c>
      <c r="C7784" t="s">
        <v>10112</v>
      </c>
      <c r="D7784" t="s">
        <v>12990</v>
      </c>
      <c r="E7784" t="s">
        <v>19917</v>
      </c>
      <c r="F7784" t="s">
        <v>22436</v>
      </c>
      <c r="G7784" t="s">
        <v>22444</v>
      </c>
      <c r="H7784" t="s">
        <v>22454</v>
      </c>
      <c r="I7784" t="s">
        <v>7738</v>
      </c>
      <c r="J7784" t="s">
        <v>27601</v>
      </c>
      <c r="K7784" t="s">
        <v>29513</v>
      </c>
      <c r="M7784" t="s">
        <v>31545</v>
      </c>
      <c r="N7784" t="s">
        <v>32524</v>
      </c>
      <c r="O7784" t="s">
        <v>32525</v>
      </c>
      <c r="P7784">
        <v>0</v>
      </c>
      <c r="Q7784">
        <v>0</v>
      </c>
      <c r="R7784" t="s">
        <v>32533</v>
      </c>
      <c r="S7784" t="s">
        <v>32667</v>
      </c>
      <c r="T7784" t="s">
        <v>33234</v>
      </c>
      <c r="U7784" t="s">
        <v>40113</v>
      </c>
      <c r="W7784" t="s">
        <v>31545</v>
      </c>
      <c r="X7784" t="s">
        <v>32534</v>
      </c>
    </row>
    <row r="7785" spans="1:24">
      <c r="A7785">
        <f>HYPERLINK("https://www.philgeps.gov.ph/GEPSNONPILOT/Tender/SplashBidNoticeAbstractUI.aspx?menuIndex=3&amp;refID=7034781&amp;Result=3","7034781")</f>
        <v>0</v>
      </c>
      <c r="B7785" t="s">
        <v>2289</v>
      </c>
      <c r="C7785" t="s">
        <v>10096</v>
      </c>
      <c r="D7785" t="s">
        <v>13015</v>
      </c>
      <c r="E7785" t="s">
        <v>19918</v>
      </c>
      <c r="F7785" t="s">
        <v>22436</v>
      </c>
      <c r="G7785" t="s">
        <v>22444</v>
      </c>
      <c r="H7785" t="s">
        <v>22452</v>
      </c>
      <c r="I7785" t="s">
        <v>3529</v>
      </c>
      <c r="J7785" t="s">
        <v>27602</v>
      </c>
      <c r="K7785" t="s">
        <v>29336</v>
      </c>
      <c r="M7785" t="s">
        <v>32060</v>
      </c>
      <c r="N7785" t="s">
        <v>32524</v>
      </c>
      <c r="O7785" t="s">
        <v>32525</v>
      </c>
      <c r="P7785">
        <v>0</v>
      </c>
      <c r="Q7785">
        <v>0</v>
      </c>
      <c r="R7785" t="s">
        <v>32533</v>
      </c>
      <c r="S7785" t="s">
        <v>32667</v>
      </c>
      <c r="T7785" t="s">
        <v>33296</v>
      </c>
      <c r="U7785" t="s">
        <v>40114</v>
      </c>
      <c r="W7785" t="s">
        <v>32060</v>
      </c>
      <c r="X7785" t="s">
        <v>32534</v>
      </c>
    </row>
    <row r="7786" spans="1:24">
      <c r="A7786">
        <f>HYPERLINK("https://www.philgeps.gov.ph/GEPSNONPILOT/Tender/SplashBidNoticeAbstractUI.aspx?menuIndex=3&amp;refID=7034753&amp;Result=3","7034753")</f>
        <v>0</v>
      </c>
      <c r="B7786" t="s">
        <v>2293</v>
      </c>
      <c r="C7786" t="s">
        <v>10094</v>
      </c>
      <c r="D7786" t="s">
        <v>12996</v>
      </c>
      <c r="E7786" t="s">
        <v>19881</v>
      </c>
      <c r="F7786" t="s">
        <v>22436</v>
      </c>
      <c r="G7786" t="s">
        <v>22444</v>
      </c>
      <c r="H7786" t="s">
        <v>22452</v>
      </c>
      <c r="I7786" t="s">
        <v>3529</v>
      </c>
      <c r="J7786" t="s">
        <v>27603</v>
      </c>
      <c r="K7786" t="s">
        <v>29331</v>
      </c>
      <c r="M7786" t="s">
        <v>32065</v>
      </c>
      <c r="N7786" t="s">
        <v>32524</v>
      </c>
      <c r="O7786" t="s">
        <v>32525</v>
      </c>
      <c r="P7786">
        <v>0</v>
      </c>
      <c r="Q7786">
        <v>1</v>
      </c>
      <c r="R7786" t="s">
        <v>32533</v>
      </c>
      <c r="S7786" t="s">
        <v>32667</v>
      </c>
      <c r="T7786" t="s">
        <v>33328</v>
      </c>
      <c r="U7786" t="s">
        <v>40115</v>
      </c>
      <c r="W7786" t="s">
        <v>32065</v>
      </c>
      <c r="X7786" t="s">
        <v>32534</v>
      </c>
    </row>
    <row r="7787" spans="1:24">
      <c r="A7787">
        <f>HYPERLINK("https://www.philgeps.gov.ph/GEPSNONPILOT/Tender/SplashBidNoticeAbstractUI.aspx?menuIndex=3&amp;refID=7034784&amp;Result=3","7034784")</f>
        <v>0</v>
      </c>
      <c r="B7787" t="s">
        <v>317</v>
      </c>
      <c r="C7787" t="s">
        <v>10113</v>
      </c>
      <c r="D7787" t="s">
        <v>13031</v>
      </c>
      <c r="E7787" t="s">
        <v>19919</v>
      </c>
      <c r="F7787" t="s">
        <v>22436</v>
      </c>
      <c r="G7787" t="s">
        <v>22443</v>
      </c>
      <c r="H7787" t="s">
        <v>22452</v>
      </c>
      <c r="I7787" t="s">
        <v>3827</v>
      </c>
      <c r="J7787" t="s">
        <v>27604</v>
      </c>
      <c r="K7787" t="s">
        <v>29336</v>
      </c>
      <c r="M7787" t="s">
        <v>29893</v>
      </c>
      <c r="N7787" t="s">
        <v>32524</v>
      </c>
      <c r="O7787" t="s">
        <v>32525</v>
      </c>
      <c r="P7787">
        <v>0</v>
      </c>
      <c r="Q7787">
        <v>3</v>
      </c>
      <c r="R7787" t="s">
        <v>32533</v>
      </c>
      <c r="S7787" t="s">
        <v>32667</v>
      </c>
      <c r="T7787" t="s">
        <v>33296</v>
      </c>
      <c r="U7787" t="s">
        <v>40116</v>
      </c>
      <c r="W7787" t="s">
        <v>43677</v>
      </c>
      <c r="X7787" t="s">
        <v>32534</v>
      </c>
    </row>
    <row r="7788" spans="1:24">
      <c r="A7788">
        <f>HYPERLINK("https://www.philgeps.gov.ph/GEPSNONPILOT/Tender/SplashBidNoticeAbstractUI.aspx?menuIndex=3&amp;refID=7034808&amp;Result=3","7034808")</f>
        <v>0</v>
      </c>
      <c r="B7788" t="s">
        <v>2289</v>
      </c>
      <c r="C7788" t="s">
        <v>10114</v>
      </c>
      <c r="D7788" t="s">
        <v>13015</v>
      </c>
      <c r="E7788" t="s">
        <v>19920</v>
      </c>
      <c r="F7788" t="s">
        <v>22436</v>
      </c>
      <c r="G7788" t="s">
        <v>22444</v>
      </c>
      <c r="H7788" t="s">
        <v>22452</v>
      </c>
      <c r="I7788" t="s">
        <v>22467</v>
      </c>
      <c r="J7788" t="s">
        <v>27605</v>
      </c>
      <c r="K7788" t="s">
        <v>29336</v>
      </c>
      <c r="M7788" t="s">
        <v>32060</v>
      </c>
      <c r="N7788" t="s">
        <v>32524</v>
      </c>
      <c r="O7788" t="s">
        <v>32525</v>
      </c>
      <c r="P7788">
        <v>0</v>
      </c>
      <c r="Q7788">
        <v>0</v>
      </c>
      <c r="R7788" t="s">
        <v>32533</v>
      </c>
      <c r="S7788" t="s">
        <v>32667</v>
      </c>
      <c r="T7788" t="s">
        <v>33296</v>
      </c>
      <c r="U7788" t="s">
        <v>40117</v>
      </c>
      <c r="W7788" t="s">
        <v>32060</v>
      </c>
      <c r="X7788" t="s">
        <v>32534</v>
      </c>
    </row>
    <row r="7789" spans="1:24">
      <c r="A7789">
        <f>HYPERLINK("https://www.philgeps.gov.ph/GEPSNONPILOT/Tender/SplashBidNoticeAbstractUI.aspx?menuIndex=3&amp;refID=7034805&amp;Result=3","7034805")</f>
        <v>0</v>
      </c>
      <c r="B7789" t="s">
        <v>2294</v>
      </c>
      <c r="C7789" t="s">
        <v>10094</v>
      </c>
      <c r="D7789" t="s">
        <v>12996</v>
      </c>
      <c r="E7789" t="s">
        <v>19881</v>
      </c>
      <c r="F7789" t="s">
        <v>22436</v>
      </c>
      <c r="G7789" t="s">
        <v>22444</v>
      </c>
      <c r="H7789" t="s">
        <v>22452</v>
      </c>
      <c r="I7789" t="s">
        <v>3529</v>
      </c>
      <c r="J7789" t="s">
        <v>27606</v>
      </c>
      <c r="K7789" t="s">
        <v>29331</v>
      </c>
      <c r="M7789" t="s">
        <v>32066</v>
      </c>
      <c r="N7789" t="s">
        <v>32524</v>
      </c>
      <c r="O7789" t="s">
        <v>32525</v>
      </c>
      <c r="P7789">
        <v>0</v>
      </c>
      <c r="Q7789">
        <v>1</v>
      </c>
      <c r="R7789" t="s">
        <v>32533</v>
      </c>
      <c r="S7789" t="s">
        <v>32667</v>
      </c>
      <c r="T7789" t="s">
        <v>33328</v>
      </c>
      <c r="U7789" t="s">
        <v>40118</v>
      </c>
      <c r="W7789" t="s">
        <v>32066</v>
      </c>
      <c r="X7789" t="s">
        <v>32534</v>
      </c>
    </row>
    <row r="7790" spans="1:24">
      <c r="A7790">
        <f>HYPERLINK("https://www.philgeps.gov.ph/GEPSNONPILOT/Tender/SplashBidNoticeAbstractUI.aspx?menuIndex=3&amp;refID=7034812&amp;Result=3","7034812")</f>
        <v>0</v>
      </c>
      <c r="B7790" t="s">
        <v>2295</v>
      </c>
      <c r="C7790" t="s">
        <v>10115</v>
      </c>
      <c r="E7790" t="s">
        <v>19921</v>
      </c>
      <c r="F7790" t="s">
        <v>22436</v>
      </c>
      <c r="G7790" t="s">
        <v>22443</v>
      </c>
      <c r="H7790" t="s">
        <v>22452</v>
      </c>
      <c r="I7790" t="s">
        <v>22568</v>
      </c>
      <c r="J7790" t="s">
        <v>27607</v>
      </c>
      <c r="K7790" t="s">
        <v>29338</v>
      </c>
      <c r="M7790" t="s">
        <v>32067</v>
      </c>
      <c r="N7790" t="s">
        <v>32524</v>
      </c>
      <c r="O7790" t="s">
        <v>32525</v>
      </c>
      <c r="Q7790">
        <v>2</v>
      </c>
      <c r="R7790" t="s">
        <v>32533</v>
      </c>
      <c r="S7790" t="s">
        <v>32720</v>
      </c>
      <c r="T7790" t="s">
        <v>33209</v>
      </c>
      <c r="U7790" t="s">
        <v>33728</v>
      </c>
      <c r="W7790" t="s">
        <v>32067</v>
      </c>
      <c r="X7790" t="s">
        <v>32534</v>
      </c>
    </row>
    <row r="7791" spans="1:24">
      <c r="A7791">
        <f>HYPERLINK("https://www.philgeps.gov.ph/GEPSNONPILOT/Tender/SplashBidNoticeAbstractUI.aspx?menuIndex=3&amp;refID=7034821&amp;Result=3","7034821")</f>
        <v>0</v>
      </c>
      <c r="B7791" t="s">
        <v>1939</v>
      </c>
      <c r="C7791" t="s">
        <v>10116</v>
      </c>
      <c r="D7791" t="s">
        <v>12993</v>
      </c>
      <c r="E7791" t="s">
        <v>19922</v>
      </c>
      <c r="F7791" t="s">
        <v>22436</v>
      </c>
      <c r="G7791" t="s">
        <v>22444</v>
      </c>
      <c r="H7791" t="s">
        <v>22454</v>
      </c>
      <c r="I7791" t="s">
        <v>7738</v>
      </c>
      <c r="J7791" t="s">
        <v>27608</v>
      </c>
      <c r="K7791" t="s">
        <v>29514</v>
      </c>
      <c r="M7791" t="s">
        <v>31668</v>
      </c>
      <c r="N7791" t="s">
        <v>32524</v>
      </c>
      <c r="O7791" t="s">
        <v>32525</v>
      </c>
      <c r="Q7791">
        <v>0</v>
      </c>
      <c r="R7791" t="s">
        <v>32533</v>
      </c>
      <c r="S7791" t="s">
        <v>32721</v>
      </c>
      <c r="T7791" t="s">
        <v>33249</v>
      </c>
      <c r="U7791" t="s">
        <v>40107</v>
      </c>
      <c r="W7791" t="s">
        <v>31668</v>
      </c>
      <c r="X7791" t="s">
        <v>32534</v>
      </c>
    </row>
    <row r="7792" spans="1:24">
      <c r="A7792">
        <f>HYPERLINK("https://www.philgeps.gov.ph/GEPSNONPILOT/Tender/SplashBidNoticeAbstractUI.aspx?menuIndex=3&amp;refID=7034823&amp;Result=3","7034823")</f>
        <v>0</v>
      </c>
      <c r="B7792" t="s">
        <v>1945</v>
      </c>
      <c r="C7792" t="s">
        <v>10117</v>
      </c>
      <c r="D7792" t="s">
        <v>13045</v>
      </c>
      <c r="E7792" t="s">
        <v>18454</v>
      </c>
      <c r="F7792" t="s">
        <v>22436</v>
      </c>
      <c r="G7792" t="s">
        <v>22444</v>
      </c>
      <c r="H7792" t="s">
        <v>22454</v>
      </c>
      <c r="I7792" t="s">
        <v>7738</v>
      </c>
      <c r="J7792" t="s">
        <v>27609</v>
      </c>
      <c r="K7792" t="s">
        <v>29335</v>
      </c>
      <c r="M7792" t="s">
        <v>31674</v>
      </c>
      <c r="N7792" t="s">
        <v>32524</v>
      </c>
      <c r="O7792" t="s">
        <v>32525</v>
      </c>
      <c r="P7792">
        <v>0</v>
      </c>
      <c r="Q7792">
        <v>0</v>
      </c>
      <c r="R7792" t="s">
        <v>32533</v>
      </c>
      <c r="S7792" t="s">
        <v>32667</v>
      </c>
      <c r="T7792" t="s">
        <v>33232</v>
      </c>
      <c r="U7792" t="s">
        <v>40119</v>
      </c>
      <c r="W7792" t="s">
        <v>31674</v>
      </c>
      <c r="X7792" t="s">
        <v>32534</v>
      </c>
    </row>
    <row r="7793" spans="1:24">
      <c r="A7793">
        <f>HYPERLINK("https://www.philgeps.gov.ph/GEPSNONPILOT/Tender/SplashBidNoticeAbstractUI.aspx?menuIndex=3&amp;refID=7034815&amp;Result=3","7034815")</f>
        <v>0</v>
      </c>
      <c r="B7793" t="s">
        <v>46</v>
      </c>
      <c r="C7793" t="s">
        <v>10118</v>
      </c>
      <c r="D7793" t="s">
        <v>13006</v>
      </c>
      <c r="E7793" t="s">
        <v>19923</v>
      </c>
      <c r="F7793" t="s">
        <v>22436</v>
      </c>
      <c r="G7793" t="s">
        <v>22444</v>
      </c>
      <c r="H7793" t="s">
        <v>22454</v>
      </c>
      <c r="I7793" t="s">
        <v>7738</v>
      </c>
      <c r="J7793" t="s">
        <v>23268</v>
      </c>
      <c r="K7793" t="s">
        <v>29515</v>
      </c>
      <c r="M7793" t="s">
        <v>31245</v>
      </c>
      <c r="N7793" t="s">
        <v>32524</v>
      </c>
      <c r="O7793" t="s">
        <v>32525</v>
      </c>
      <c r="P7793">
        <v>0</v>
      </c>
      <c r="Q7793">
        <v>0</v>
      </c>
      <c r="R7793" t="s">
        <v>32533</v>
      </c>
      <c r="S7793" t="s">
        <v>32667</v>
      </c>
      <c r="T7793" t="s">
        <v>33259</v>
      </c>
      <c r="U7793" t="s">
        <v>35793</v>
      </c>
      <c r="V7793" t="s">
        <v>42461</v>
      </c>
      <c r="W7793" t="s">
        <v>31245</v>
      </c>
      <c r="X7793" t="s">
        <v>32534</v>
      </c>
    </row>
    <row r="7794" spans="1:24">
      <c r="A7794">
        <f>HYPERLINK("https://www.philgeps.gov.ph/GEPSNONPILOT/Tender/SplashBidNoticeAbstractUI.aspx?menuIndex=3&amp;refID=7034822&amp;Result=3","7034822")</f>
        <v>0</v>
      </c>
      <c r="B7794" t="s">
        <v>1261</v>
      </c>
      <c r="C7794" t="s">
        <v>10119</v>
      </c>
      <c r="D7794" t="s">
        <v>13042</v>
      </c>
      <c r="E7794" t="s">
        <v>19924</v>
      </c>
      <c r="F7794" t="s">
        <v>22436</v>
      </c>
      <c r="G7794" t="s">
        <v>22444</v>
      </c>
      <c r="H7794" t="s">
        <v>22452</v>
      </c>
      <c r="I7794" t="s">
        <v>22460</v>
      </c>
      <c r="J7794" t="s">
        <v>27610</v>
      </c>
      <c r="K7794" t="s">
        <v>29335</v>
      </c>
      <c r="M7794" t="s">
        <v>30914</v>
      </c>
      <c r="N7794" t="s">
        <v>32524</v>
      </c>
      <c r="O7794" t="s">
        <v>32525</v>
      </c>
      <c r="P7794">
        <v>0</v>
      </c>
      <c r="Q7794">
        <v>3</v>
      </c>
      <c r="R7794" t="s">
        <v>32533</v>
      </c>
      <c r="S7794" t="s">
        <v>32667</v>
      </c>
      <c r="T7794" t="s">
        <v>33186</v>
      </c>
      <c r="U7794" t="s">
        <v>40120</v>
      </c>
      <c r="W7794" t="s">
        <v>30914</v>
      </c>
      <c r="X7794" t="s">
        <v>32534</v>
      </c>
    </row>
    <row r="7795" spans="1:24">
      <c r="A7795">
        <f>HYPERLINK("https://www.philgeps.gov.ph/GEPSNONPILOT/Tender/SplashBidNoticeAbstractUI.aspx?menuIndex=3&amp;refID=7034842&amp;Result=3","7034842")</f>
        <v>0</v>
      </c>
      <c r="B7795" t="s">
        <v>2296</v>
      </c>
      <c r="C7795" t="s">
        <v>10120</v>
      </c>
      <c r="D7795" t="s">
        <v>13033</v>
      </c>
      <c r="E7795" t="s">
        <v>19925</v>
      </c>
      <c r="F7795" t="s">
        <v>22436</v>
      </c>
      <c r="G7795" t="s">
        <v>22444</v>
      </c>
      <c r="H7795" t="s">
        <v>22454</v>
      </c>
      <c r="I7795" t="s">
        <v>7738</v>
      </c>
      <c r="J7795" t="s">
        <v>24006</v>
      </c>
      <c r="K7795" t="s">
        <v>29345</v>
      </c>
      <c r="M7795" t="s">
        <v>32068</v>
      </c>
      <c r="N7795" t="s">
        <v>32524</v>
      </c>
      <c r="O7795" t="s">
        <v>32525</v>
      </c>
      <c r="P7795">
        <v>0</v>
      </c>
      <c r="Q7795">
        <v>16</v>
      </c>
      <c r="R7795" t="s">
        <v>32533</v>
      </c>
      <c r="S7795" t="s">
        <v>32667</v>
      </c>
      <c r="T7795" t="s">
        <v>33345</v>
      </c>
      <c r="U7795" t="s">
        <v>40121</v>
      </c>
      <c r="W7795" t="s">
        <v>32068</v>
      </c>
      <c r="X7795" t="s">
        <v>32534</v>
      </c>
    </row>
    <row r="7796" spans="1:24">
      <c r="A7796">
        <f>HYPERLINK("https://www.philgeps.gov.ph/GEPSNONPILOT/Tender/SplashBidNoticeAbstractUI.aspx?menuIndex=3&amp;refID=7034904&amp;Result=3","7034904")</f>
        <v>0</v>
      </c>
      <c r="B7796" t="s">
        <v>264</v>
      </c>
      <c r="C7796" t="s">
        <v>10121</v>
      </c>
      <c r="D7796" t="s">
        <v>13064</v>
      </c>
      <c r="E7796" t="s">
        <v>19926</v>
      </c>
      <c r="F7796" t="s">
        <v>22436</v>
      </c>
      <c r="G7796" t="s">
        <v>22446</v>
      </c>
      <c r="H7796" t="s">
        <v>22452</v>
      </c>
      <c r="I7796" t="s">
        <v>22460</v>
      </c>
      <c r="J7796" t="s">
        <v>27611</v>
      </c>
      <c r="K7796" t="s">
        <v>29338</v>
      </c>
      <c r="M7796" t="s">
        <v>29838</v>
      </c>
      <c r="N7796" t="s">
        <v>32524</v>
      </c>
      <c r="O7796" t="s">
        <v>32525</v>
      </c>
      <c r="P7796">
        <v>0</v>
      </c>
      <c r="Q7796">
        <v>1</v>
      </c>
      <c r="R7796" t="s">
        <v>32533</v>
      </c>
      <c r="S7796" t="s">
        <v>32667</v>
      </c>
      <c r="T7796" t="s">
        <v>33215</v>
      </c>
      <c r="U7796" t="s">
        <v>40122</v>
      </c>
      <c r="W7796" t="s">
        <v>29838</v>
      </c>
      <c r="X7796" t="s">
        <v>32534</v>
      </c>
    </row>
    <row r="7797" spans="1:24">
      <c r="A7797">
        <f>HYPERLINK("https://www.philgeps.gov.ph/GEPSNONPILOT/Tender/SplashBidNoticeAbstractUI.aspx?menuIndex=3&amp;refID=7034894&amp;Result=3","7034894")</f>
        <v>0</v>
      </c>
      <c r="B7797" t="s">
        <v>2297</v>
      </c>
      <c r="C7797" t="s">
        <v>10122</v>
      </c>
      <c r="D7797" t="s">
        <v>13041</v>
      </c>
      <c r="E7797" t="s">
        <v>19927</v>
      </c>
      <c r="F7797" t="s">
        <v>22436</v>
      </c>
      <c r="G7797" t="s">
        <v>22444</v>
      </c>
      <c r="H7797" t="s">
        <v>22454</v>
      </c>
      <c r="I7797" t="s">
        <v>7738</v>
      </c>
      <c r="J7797" t="s">
        <v>27612</v>
      </c>
      <c r="K7797" t="s">
        <v>29516</v>
      </c>
      <c r="M7797" t="s">
        <v>32069</v>
      </c>
      <c r="N7797" t="s">
        <v>32524</v>
      </c>
      <c r="O7797" t="s">
        <v>32525</v>
      </c>
      <c r="P7797">
        <v>0</v>
      </c>
      <c r="Q7797">
        <v>1</v>
      </c>
      <c r="R7797" t="s">
        <v>32533</v>
      </c>
      <c r="S7797" t="s">
        <v>32667</v>
      </c>
      <c r="T7797" t="s">
        <v>33259</v>
      </c>
      <c r="U7797" t="s">
        <v>40123</v>
      </c>
      <c r="W7797" t="s">
        <v>32069</v>
      </c>
      <c r="X7797" t="s">
        <v>32534</v>
      </c>
    </row>
    <row r="7798" spans="1:24">
      <c r="A7798">
        <f>HYPERLINK("https://www.philgeps.gov.ph/GEPSNONPILOT/Tender/SplashBidNoticeAbstractUI.aspx?menuIndex=3&amp;refID=7034840&amp;Result=3","7034840")</f>
        <v>0</v>
      </c>
      <c r="B7798" t="s">
        <v>1446</v>
      </c>
      <c r="C7798" t="s">
        <v>10123</v>
      </c>
      <c r="D7798" t="s">
        <v>13049</v>
      </c>
      <c r="E7798" t="s">
        <v>19928</v>
      </c>
      <c r="F7798" t="s">
        <v>22436</v>
      </c>
      <c r="G7798" t="s">
        <v>22444</v>
      </c>
      <c r="H7798" t="s">
        <v>22454</v>
      </c>
      <c r="I7798" t="s">
        <v>7738</v>
      </c>
      <c r="J7798" t="s">
        <v>27613</v>
      </c>
      <c r="K7798" t="s">
        <v>29413</v>
      </c>
      <c r="M7798" t="s">
        <v>31110</v>
      </c>
      <c r="N7798" t="s">
        <v>32524</v>
      </c>
      <c r="O7798" t="s">
        <v>32525</v>
      </c>
      <c r="Q7798">
        <v>0</v>
      </c>
      <c r="R7798" t="s">
        <v>32533</v>
      </c>
      <c r="S7798" t="s">
        <v>32722</v>
      </c>
      <c r="T7798" t="s">
        <v>33249</v>
      </c>
      <c r="U7798" t="s">
        <v>40124</v>
      </c>
      <c r="V7798" t="s">
        <v>43273</v>
      </c>
      <c r="W7798" t="s">
        <v>31110</v>
      </c>
      <c r="X7798" t="s">
        <v>32534</v>
      </c>
    </row>
    <row r="7799" spans="1:24">
      <c r="A7799">
        <f>HYPERLINK("https://www.philgeps.gov.ph/GEPSNONPILOT/Tender/SplashBidNoticeAbstractUI.aspx?menuIndex=3&amp;refID=7034850&amp;Result=3","7034850")</f>
        <v>0</v>
      </c>
      <c r="B7799" t="s">
        <v>2295</v>
      </c>
      <c r="C7799" t="s">
        <v>10124</v>
      </c>
      <c r="E7799" t="s">
        <v>19929</v>
      </c>
      <c r="F7799" t="s">
        <v>22436</v>
      </c>
      <c r="G7799" t="s">
        <v>22443</v>
      </c>
      <c r="H7799" t="s">
        <v>22452</v>
      </c>
      <c r="I7799" t="s">
        <v>22486</v>
      </c>
      <c r="J7799" t="s">
        <v>23093</v>
      </c>
      <c r="K7799" t="s">
        <v>29338</v>
      </c>
      <c r="M7799" t="s">
        <v>32067</v>
      </c>
      <c r="N7799" t="s">
        <v>32524</v>
      </c>
      <c r="O7799" t="s">
        <v>32525</v>
      </c>
      <c r="Q7799">
        <v>0</v>
      </c>
      <c r="R7799" t="s">
        <v>32533</v>
      </c>
      <c r="S7799" t="s">
        <v>32723</v>
      </c>
      <c r="T7799" t="s">
        <v>33209</v>
      </c>
      <c r="U7799" t="s">
        <v>33728</v>
      </c>
      <c r="W7799" t="s">
        <v>32067</v>
      </c>
      <c r="X7799" t="s">
        <v>32534</v>
      </c>
    </row>
    <row r="7800" spans="1:24">
      <c r="A7800">
        <f>HYPERLINK("https://www.philgeps.gov.ph/GEPSNONPILOT/Tender/SplashBidNoticeAbstractUI.aspx?menuIndex=3&amp;refID=7034837&amp;Result=3","7034837")</f>
        <v>0</v>
      </c>
      <c r="B7800" t="s">
        <v>2298</v>
      </c>
      <c r="C7800" t="s">
        <v>10125</v>
      </c>
      <c r="D7800" t="s">
        <v>13002</v>
      </c>
      <c r="E7800" t="s">
        <v>19930</v>
      </c>
      <c r="F7800" t="s">
        <v>22436</v>
      </c>
      <c r="G7800" t="s">
        <v>22444</v>
      </c>
      <c r="H7800" t="s">
        <v>22452</v>
      </c>
      <c r="I7800" t="s">
        <v>22479</v>
      </c>
      <c r="J7800" t="s">
        <v>27614</v>
      </c>
      <c r="K7800" t="s">
        <v>29335</v>
      </c>
      <c r="M7800" t="s">
        <v>32070</v>
      </c>
      <c r="N7800" t="s">
        <v>32524</v>
      </c>
      <c r="O7800" t="s">
        <v>32525</v>
      </c>
      <c r="P7800">
        <v>0</v>
      </c>
      <c r="Q7800">
        <v>1</v>
      </c>
      <c r="R7800" t="s">
        <v>32533</v>
      </c>
      <c r="S7800" t="s">
        <v>32667</v>
      </c>
      <c r="T7800" t="s">
        <v>33323</v>
      </c>
      <c r="U7800" t="s">
        <v>40125</v>
      </c>
      <c r="V7800" t="s">
        <v>43274</v>
      </c>
      <c r="W7800" t="s">
        <v>32070</v>
      </c>
      <c r="X7800" t="s">
        <v>32534</v>
      </c>
    </row>
    <row r="7801" spans="1:24">
      <c r="A7801">
        <f>HYPERLINK("https://www.philgeps.gov.ph/GEPSNONPILOT/Tender/SplashBidNoticeAbstractUI.aspx?menuIndex=3&amp;refID=7034846&amp;Result=3","7034846")</f>
        <v>0</v>
      </c>
      <c r="B7801" t="s">
        <v>1345</v>
      </c>
      <c r="C7801" t="s">
        <v>10126</v>
      </c>
      <c r="D7801" t="s">
        <v>13004</v>
      </c>
      <c r="E7801" t="s">
        <v>19931</v>
      </c>
      <c r="F7801" t="s">
        <v>22436</v>
      </c>
      <c r="G7801" t="s">
        <v>22444</v>
      </c>
      <c r="H7801" t="s">
        <v>22452</v>
      </c>
      <c r="I7801" t="s">
        <v>22469</v>
      </c>
      <c r="J7801" t="s">
        <v>27615</v>
      </c>
      <c r="K7801" t="s">
        <v>29344</v>
      </c>
      <c r="M7801" t="s">
        <v>31000</v>
      </c>
      <c r="N7801" t="s">
        <v>32524</v>
      </c>
      <c r="O7801" t="s">
        <v>32525</v>
      </c>
      <c r="P7801">
        <v>0</v>
      </c>
      <c r="Q7801">
        <v>7</v>
      </c>
      <c r="R7801" t="s">
        <v>32533</v>
      </c>
      <c r="S7801" t="s">
        <v>32667</v>
      </c>
      <c r="T7801" t="s">
        <v>33309</v>
      </c>
      <c r="U7801" t="s">
        <v>36985</v>
      </c>
      <c r="W7801" t="s">
        <v>31000</v>
      </c>
      <c r="X7801" t="s">
        <v>32534</v>
      </c>
    </row>
    <row r="7802" spans="1:24">
      <c r="A7802">
        <f>HYPERLINK("https://www.philgeps.gov.ph/GEPSNONPILOT/Tender/SplashBidNoticeAbstractUI.aspx?menuIndex=3&amp;refID=7034890&amp;Result=3","7034890")</f>
        <v>0</v>
      </c>
      <c r="B7802" t="s">
        <v>793</v>
      </c>
      <c r="C7802" t="s">
        <v>10127</v>
      </c>
      <c r="D7802" t="s">
        <v>13006</v>
      </c>
      <c r="E7802" t="s">
        <v>19932</v>
      </c>
      <c r="F7802" t="s">
        <v>22436</v>
      </c>
      <c r="G7802" t="s">
        <v>22444</v>
      </c>
      <c r="H7802" t="s">
        <v>22452</v>
      </c>
      <c r="I7802" t="s">
        <v>22468</v>
      </c>
      <c r="J7802" t="s">
        <v>27616</v>
      </c>
      <c r="K7802" t="s">
        <v>29338</v>
      </c>
      <c r="M7802" t="s">
        <v>30394</v>
      </c>
      <c r="N7802" t="s">
        <v>32524</v>
      </c>
      <c r="O7802" t="s">
        <v>32525</v>
      </c>
      <c r="P7802">
        <v>0</v>
      </c>
      <c r="Q7802">
        <v>7</v>
      </c>
      <c r="R7802" t="s">
        <v>32533</v>
      </c>
      <c r="S7802" t="s">
        <v>32667</v>
      </c>
      <c r="T7802" t="s">
        <v>33249</v>
      </c>
      <c r="U7802" t="s">
        <v>40126</v>
      </c>
      <c r="W7802" t="s">
        <v>30394</v>
      </c>
      <c r="X7802" t="s">
        <v>32534</v>
      </c>
    </row>
    <row r="7803" spans="1:24">
      <c r="A7803">
        <f>HYPERLINK("https://www.philgeps.gov.ph/GEPSNONPILOT/Tender/SplashBidNoticeAbstractUI.aspx?menuIndex=3&amp;refID=7034814&amp;Result=3","7034814")</f>
        <v>0</v>
      </c>
      <c r="B7803" t="s">
        <v>497</v>
      </c>
      <c r="C7803" t="s">
        <v>10128</v>
      </c>
      <c r="D7803" t="s">
        <v>13078</v>
      </c>
      <c r="E7803" t="s">
        <v>19933</v>
      </c>
      <c r="F7803" t="s">
        <v>22436</v>
      </c>
      <c r="G7803" t="s">
        <v>22447</v>
      </c>
      <c r="H7803" t="s">
        <v>22454</v>
      </c>
      <c r="I7803" t="s">
        <v>7738</v>
      </c>
      <c r="J7803" t="s">
        <v>27617</v>
      </c>
      <c r="K7803" t="s">
        <v>29419</v>
      </c>
      <c r="M7803" t="s">
        <v>30081</v>
      </c>
      <c r="N7803" t="s">
        <v>32524</v>
      </c>
      <c r="O7803" t="s">
        <v>32525</v>
      </c>
      <c r="P7803">
        <v>0</v>
      </c>
      <c r="Q7803">
        <v>1</v>
      </c>
      <c r="R7803" t="s">
        <v>32533</v>
      </c>
      <c r="S7803" t="s">
        <v>32667</v>
      </c>
      <c r="T7803" t="s">
        <v>33238</v>
      </c>
      <c r="U7803" t="s">
        <v>40127</v>
      </c>
      <c r="W7803" t="s">
        <v>30081</v>
      </c>
      <c r="X7803" t="s">
        <v>32534</v>
      </c>
    </row>
    <row r="7804" spans="1:24">
      <c r="A7804">
        <f>HYPERLINK("https://www.philgeps.gov.ph/GEPSNONPILOT/Tender/SplashBidNoticeAbstractUI.aspx?menuIndex=3&amp;refID=7034870&amp;Result=3","7034870")</f>
        <v>0</v>
      </c>
      <c r="B7804" t="s">
        <v>90</v>
      </c>
      <c r="C7804" t="s">
        <v>10129</v>
      </c>
      <c r="D7804" t="s">
        <v>13026</v>
      </c>
      <c r="E7804" t="s">
        <v>19934</v>
      </c>
      <c r="F7804" t="s">
        <v>22436</v>
      </c>
      <c r="G7804" t="s">
        <v>22444</v>
      </c>
      <c r="H7804" t="s">
        <v>22452</v>
      </c>
      <c r="I7804" t="s">
        <v>22467</v>
      </c>
      <c r="J7804" t="s">
        <v>27618</v>
      </c>
      <c r="K7804" t="s">
        <v>29334</v>
      </c>
      <c r="M7804" t="s">
        <v>30410</v>
      </c>
      <c r="N7804" t="s">
        <v>32524</v>
      </c>
      <c r="O7804" t="s">
        <v>32525</v>
      </c>
      <c r="P7804">
        <v>0</v>
      </c>
      <c r="Q7804">
        <v>2</v>
      </c>
      <c r="R7804" t="s">
        <v>32533</v>
      </c>
      <c r="S7804" t="s">
        <v>32667</v>
      </c>
      <c r="T7804" t="s">
        <v>33218</v>
      </c>
      <c r="U7804" t="s">
        <v>40128</v>
      </c>
      <c r="W7804" t="s">
        <v>30410</v>
      </c>
      <c r="X7804" t="s">
        <v>32534</v>
      </c>
    </row>
    <row r="7805" spans="1:24">
      <c r="A7805">
        <f>HYPERLINK("https://www.philgeps.gov.ph/GEPSNONPILOT/Tender/SplashBidNoticeAbstractUI.aspx?menuIndex=3&amp;refID=7034866&amp;Result=3","7034866")</f>
        <v>0</v>
      </c>
      <c r="B7805" t="s">
        <v>1830</v>
      </c>
      <c r="C7805" t="s">
        <v>10130</v>
      </c>
      <c r="D7805" t="s">
        <v>12990</v>
      </c>
      <c r="E7805" t="s">
        <v>19935</v>
      </c>
      <c r="F7805" t="s">
        <v>22436</v>
      </c>
      <c r="G7805" t="s">
        <v>22444</v>
      </c>
      <c r="H7805" t="s">
        <v>22454</v>
      </c>
      <c r="I7805" t="s">
        <v>7738</v>
      </c>
      <c r="J7805" t="s">
        <v>27619</v>
      </c>
      <c r="K7805" t="s">
        <v>29517</v>
      </c>
      <c r="M7805" t="s">
        <v>31545</v>
      </c>
      <c r="N7805" t="s">
        <v>32524</v>
      </c>
      <c r="O7805" t="s">
        <v>32525</v>
      </c>
      <c r="P7805">
        <v>0</v>
      </c>
      <c r="Q7805">
        <v>0</v>
      </c>
      <c r="R7805" t="s">
        <v>32533</v>
      </c>
      <c r="S7805" t="s">
        <v>32667</v>
      </c>
      <c r="T7805" t="s">
        <v>33234</v>
      </c>
      <c r="U7805" t="s">
        <v>40129</v>
      </c>
      <c r="W7805" t="s">
        <v>31545</v>
      </c>
      <c r="X7805" t="s">
        <v>32534</v>
      </c>
    </row>
    <row r="7806" spans="1:24">
      <c r="A7806">
        <f>HYPERLINK("https://www.philgeps.gov.ph/GEPSNONPILOT/Tender/SplashBidNoticeAbstractUI.aspx?menuIndex=3&amp;refID=7034920&amp;Result=3","7034920")</f>
        <v>0</v>
      </c>
      <c r="B7806" t="s">
        <v>2299</v>
      </c>
      <c r="C7806" t="s">
        <v>10131</v>
      </c>
      <c r="D7806" t="s">
        <v>13054</v>
      </c>
      <c r="E7806" t="s">
        <v>19936</v>
      </c>
      <c r="F7806" t="s">
        <v>22436</v>
      </c>
      <c r="G7806" t="s">
        <v>22444</v>
      </c>
      <c r="H7806" t="s">
        <v>22452</v>
      </c>
      <c r="I7806" t="s">
        <v>22530</v>
      </c>
      <c r="J7806" t="s">
        <v>22616</v>
      </c>
      <c r="K7806" t="s">
        <v>29333</v>
      </c>
      <c r="M7806" t="s">
        <v>32071</v>
      </c>
      <c r="N7806" t="s">
        <v>32524</v>
      </c>
      <c r="O7806" t="s">
        <v>32525</v>
      </c>
      <c r="P7806">
        <v>0</v>
      </c>
      <c r="Q7806">
        <v>2</v>
      </c>
      <c r="R7806" t="s">
        <v>32533</v>
      </c>
      <c r="S7806" t="s">
        <v>32667</v>
      </c>
      <c r="T7806" t="s">
        <v>33180</v>
      </c>
      <c r="U7806" t="s">
        <v>40130</v>
      </c>
      <c r="W7806" t="s">
        <v>32071</v>
      </c>
      <c r="X7806" t="s">
        <v>32534</v>
      </c>
    </row>
    <row r="7807" spans="1:24">
      <c r="A7807">
        <f>HYPERLINK("https://www.philgeps.gov.ph/GEPSNONPILOT/Tender/SplashBidNoticeAbstractUI.aspx?menuIndex=3&amp;refID=7034869&amp;Result=3","7034869")</f>
        <v>0</v>
      </c>
      <c r="B7807" t="s">
        <v>497</v>
      </c>
      <c r="C7807" t="s">
        <v>10132</v>
      </c>
      <c r="D7807" t="s">
        <v>13018</v>
      </c>
      <c r="E7807" t="s">
        <v>19937</v>
      </c>
      <c r="F7807" t="s">
        <v>22436</v>
      </c>
      <c r="G7807" t="s">
        <v>22447</v>
      </c>
      <c r="H7807" t="s">
        <v>22452</v>
      </c>
      <c r="I7807" t="s">
        <v>22518</v>
      </c>
      <c r="J7807" t="s">
        <v>27620</v>
      </c>
      <c r="K7807" t="s">
        <v>29434</v>
      </c>
      <c r="M7807" t="s">
        <v>30081</v>
      </c>
      <c r="N7807" t="s">
        <v>32524</v>
      </c>
      <c r="O7807" t="s">
        <v>32525</v>
      </c>
      <c r="P7807">
        <v>0</v>
      </c>
      <c r="Q7807">
        <v>8</v>
      </c>
      <c r="R7807" t="s">
        <v>32533</v>
      </c>
      <c r="S7807" t="s">
        <v>32667</v>
      </c>
      <c r="T7807" t="s">
        <v>33238</v>
      </c>
      <c r="U7807" t="s">
        <v>40131</v>
      </c>
      <c r="W7807" t="s">
        <v>30081</v>
      </c>
      <c r="X7807" t="s">
        <v>32534</v>
      </c>
    </row>
    <row r="7808" spans="1:24">
      <c r="A7808">
        <f>HYPERLINK("https://www.philgeps.gov.ph/GEPSNONPILOT/Tender/SplashBidNoticeAbstractUI.aspx?menuIndex=3&amp;refID=7034906&amp;Result=3","7034906")</f>
        <v>0</v>
      </c>
      <c r="B7808" t="s">
        <v>1830</v>
      </c>
      <c r="C7808" t="s">
        <v>10133</v>
      </c>
      <c r="D7808" t="s">
        <v>12990</v>
      </c>
      <c r="E7808" t="s">
        <v>19938</v>
      </c>
      <c r="F7808" t="s">
        <v>22436</v>
      </c>
      <c r="G7808" t="s">
        <v>22444</v>
      </c>
      <c r="H7808" t="s">
        <v>22454</v>
      </c>
      <c r="I7808" t="s">
        <v>7738</v>
      </c>
      <c r="J7808" t="s">
        <v>27621</v>
      </c>
      <c r="K7808" t="s">
        <v>29518</v>
      </c>
      <c r="M7808" t="s">
        <v>31545</v>
      </c>
      <c r="N7808" t="s">
        <v>32524</v>
      </c>
      <c r="O7808" t="s">
        <v>32525</v>
      </c>
      <c r="P7808">
        <v>0</v>
      </c>
      <c r="Q7808">
        <v>0</v>
      </c>
      <c r="R7808" t="s">
        <v>32533</v>
      </c>
      <c r="S7808" t="s">
        <v>32667</v>
      </c>
      <c r="T7808" t="s">
        <v>33234</v>
      </c>
      <c r="U7808" t="s">
        <v>40132</v>
      </c>
      <c r="W7808" t="s">
        <v>31545</v>
      </c>
      <c r="X7808" t="s">
        <v>32534</v>
      </c>
    </row>
    <row r="7809" spans="1:24">
      <c r="A7809">
        <f>HYPERLINK("https://www.philgeps.gov.ph/GEPSNONPILOT/Tender/SplashBidNoticeAbstractUI.aspx?menuIndex=3&amp;refID=7034871&amp;Result=3","7034871")</f>
        <v>0</v>
      </c>
      <c r="B7809" t="s">
        <v>46</v>
      </c>
      <c r="C7809" t="s">
        <v>10134</v>
      </c>
      <c r="D7809" t="s">
        <v>13006</v>
      </c>
      <c r="E7809" t="s">
        <v>19939</v>
      </c>
      <c r="F7809" t="s">
        <v>22436</v>
      </c>
      <c r="G7809" t="s">
        <v>22444</v>
      </c>
      <c r="H7809" t="s">
        <v>22454</v>
      </c>
      <c r="I7809" t="s">
        <v>7738</v>
      </c>
      <c r="J7809" t="s">
        <v>27476</v>
      </c>
      <c r="K7809" t="s">
        <v>29354</v>
      </c>
      <c r="M7809" t="s">
        <v>31245</v>
      </c>
      <c r="N7809" t="s">
        <v>32524</v>
      </c>
      <c r="O7809" t="s">
        <v>32525</v>
      </c>
      <c r="P7809">
        <v>0</v>
      </c>
      <c r="Q7809">
        <v>0</v>
      </c>
      <c r="R7809" t="s">
        <v>32533</v>
      </c>
      <c r="S7809" t="s">
        <v>32667</v>
      </c>
      <c r="T7809" t="s">
        <v>33259</v>
      </c>
      <c r="U7809" t="s">
        <v>35793</v>
      </c>
      <c r="W7809" t="s">
        <v>31245</v>
      </c>
      <c r="X7809" t="s">
        <v>32534</v>
      </c>
    </row>
    <row r="7810" spans="1:24">
      <c r="A7810">
        <f>HYPERLINK("https://www.philgeps.gov.ph/GEPSNONPILOT/Tender/SplashBidNoticeAbstractUI.aspx?menuIndex=3&amp;refID=7034919&amp;Result=3","7034919")</f>
        <v>0</v>
      </c>
      <c r="B7810" t="s">
        <v>2300</v>
      </c>
      <c r="C7810" t="s">
        <v>10135</v>
      </c>
      <c r="D7810" t="s">
        <v>12988</v>
      </c>
      <c r="E7810" t="s">
        <v>19940</v>
      </c>
      <c r="F7810" t="s">
        <v>22436</v>
      </c>
      <c r="G7810" t="s">
        <v>22443</v>
      </c>
      <c r="H7810" t="s">
        <v>22453</v>
      </c>
      <c r="I7810" t="s">
        <v>22501</v>
      </c>
      <c r="J7810" t="s">
        <v>26062</v>
      </c>
      <c r="K7810" t="s">
        <v>29336</v>
      </c>
      <c r="M7810" t="s">
        <v>32072</v>
      </c>
      <c r="N7810" t="s">
        <v>32524</v>
      </c>
      <c r="O7810" t="s">
        <v>32525</v>
      </c>
      <c r="P7810">
        <v>0</v>
      </c>
      <c r="Q7810">
        <v>4</v>
      </c>
      <c r="R7810" t="s">
        <v>32533</v>
      </c>
      <c r="S7810" t="s">
        <v>32667</v>
      </c>
      <c r="T7810" t="s">
        <v>33419</v>
      </c>
      <c r="U7810" t="s">
        <v>40133</v>
      </c>
      <c r="W7810" t="s">
        <v>32072</v>
      </c>
      <c r="X7810" t="s">
        <v>32534</v>
      </c>
    </row>
    <row r="7811" spans="1:24">
      <c r="A7811">
        <f>HYPERLINK("https://www.philgeps.gov.ph/GEPSNONPILOT/Tender/SplashBidNoticeAbstractUI.aspx?menuIndex=3&amp;refID=7034859&amp;Result=3","7034859")</f>
        <v>0</v>
      </c>
      <c r="B7811" t="s">
        <v>1982</v>
      </c>
      <c r="C7811" t="s">
        <v>10136</v>
      </c>
      <c r="D7811" t="s">
        <v>13003</v>
      </c>
      <c r="E7811" t="s">
        <v>19941</v>
      </c>
      <c r="F7811" t="s">
        <v>22436</v>
      </c>
      <c r="G7811" t="s">
        <v>22444</v>
      </c>
      <c r="H7811" t="s">
        <v>22454</v>
      </c>
      <c r="I7811" t="s">
        <v>7738</v>
      </c>
      <c r="J7811" t="s">
        <v>27622</v>
      </c>
      <c r="K7811" t="s">
        <v>29387</v>
      </c>
      <c r="M7811" t="s">
        <v>31714</v>
      </c>
      <c r="N7811" t="s">
        <v>32524</v>
      </c>
      <c r="O7811" t="s">
        <v>32525</v>
      </c>
      <c r="P7811">
        <v>0</v>
      </c>
      <c r="Q7811">
        <v>0</v>
      </c>
      <c r="R7811" t="s">
        <v>32533</v>
      </c>
      <c r="S7811" t="s">
        <v>32667</v>
      </c>
      <c r="T7811" t="s">
        <v>33227</v>
      </c>
      <c r="U7811" t="s">
        <v>40134</v>
      </c>
      <c r="V7811" t="s">
        <v>43275</v>
      </c>
      <c r="W7811" t="s">
        <v>31714</v>
      </c>
      <c r="X7811" t="s">
        <v>32534</v>
      </c>
    </row>
    <row r="7812" spans="1:24">
      <c r="A7812">
        <f>HYPERLINK("https://www.philgeps.gov.ph/GEPSNONPILOT/Tender/SplashBidNoticeAbstractUI.aspx?menuIndex=3&amp;refID=7034854&amp;Result=3","7034854")</f>
        <v>0</v>
      </c>
      <c r="B7812" t="s">
        <v>46</v>
      </c>
      <c r="C7812" t="s">
        <v>10137</v>
      </c>
      <c r="D7812" t="s">
        <v>13006</v>
      </c>
      <c r="E7812" t="s">
        <v>19942</v>
      </c>
      <c r="F7812" t="s">
        <v>22436</v>
      </c>
      <c r="G7812" t="s">
        <v>22444</v>
      </c>
      <c r="H7812" t="s">
        <v>22454</v>
      </c>
      <c r="I7812" t="s">
        <v>7738</v>
      </c>
      <c r="J7812" t="s">
        <v>27623</v>
      </c>
      <c r="K7812" t="s">
        <v>29441</v>
      </c>
      <c r="M7812" t="s">
        <v>31245</v>
      </c>
      <c r="N7812" t="s">
        <v>32524</v>
      </c>
      <c r="O7812" t="s">
        <v>32525</v>
      </c>
      <c r="P7812">
        <v>0</v>
      </c>
      <c r="Q7812">
        <v>3</v>
      </c>
      <c r="R7812" t="s">
        <v>32533</v>
      </c>
      <c r="S7812" t="s">
        <v>32667</v>
      </c>
      <c r="T7812" t="s">
        <v>33259</v>
      </c>
      <c r="U7812" t="s">
        <v>35793</v>
      </c>
      <c r="V7812" t="s">
        <v>42461</v>
      </c>
      <c r="W7812" t="s">
        <v>31245</v>
      </c>
      <c r="X7812" t="s">
        <v>32534</v>
      </c>
    </row>
    <row r="7813" spans="1:24">
      <c r="A7813">
        <f>HYPERLINK("https://www.philgeps.gov.ph/GEPSNONPILOT/Tender/SplashBidNoticeAbstractUI.aspx?menuIndex=3&amp;refID=7034909&amp;Result=3","7034909")</f>
        <v>0</v>
      </c>
      <c r="B7813" t="s">
        <v>2301</v>
      </c>
      <c r="C7813" t="s">
        <v>10138</v>
      </c>
      <c r="D7813" t="s">
        <v>13078</v>
      </c>
      <c r="E7813" t="s">
        <v>19943</v>
      </c>
      <c r="F7813" t="s">
        <v>22436</v>
      </c>
      <c r="G7813" t="s">
        <v>22450</v>
      </c>
      <c r="H7813" t="s">
        <v>22454</v>
      </c>
      <c r="I7813" t="s">
        <v>7738</v>
      </c>
      <c r="J7813" t="s">
        <v>23805</v>
      </c>
      <c r="K7813" t="s">
        <v>29346</v>
      </c>
      <c r="M7813" t="s">
        <v>32073</v>
      </c>
      <c r="N7813" t="s">
        <v>32524</v>
      </c>
      <c r="O7813" t="s">
        <v>32525</v>
      </c>
      <c r="P7813">
        <v>0</v>
      </c>
      <c r="Q7813">
        <v>2</v>
      </c>
      <c r="R7813" t="s">
        <v>32533</v>
      </c>
      <c r="S7813" t="s">
        <v>32667</v>
      </c>
      <c r="T7813" t="s">
        <v>33385</v>
      </c>
      <c r="U7813" t="s">
        <v>40135</v>
      </c>
      <c r="W7813" t="s">
        <v>32073</v>
      </c>
      <c r="X7813" t="s">
        <v>32534</v>
      </c>
    </row>
    <row r="7814" spans="1:24">
      <c r="A7814">
        <f>HYPERLINK("https://www.philgeps.gov.ph/GEPSNONPILOT/Tender/SplashBidNoticeAbstractUI.aspx?menuIndex=3&amp;refID=7034889&amp;Result=3","7034889")</f>
        <v>0</v>
      </c>
      <c r="B7814" t="s">
        <v>1261</v>
      </c>
      <c r="C7814" t="s">
        <v>10139</v>
      </c>
      <c r="D7814" t="s">
        <v>13042</v>
      </c>
      <c r="E7814" t="s">
        <v>19944</v>
      </c>
      <c r="F7814" t="s">
        <v>22436</v>
      </c>
      <c r="G7814" t="s">
        <v>22444</v>
      </c>
      <c r="H7814" t="s">
        <v>22452</v>
      </c>
      <c r="I7814" t="s">
        <v>22465</v>
      </c>
      <c r="J7814" t="s">
        <v>27624</v>
      </c>
      <c r="K7814" t="s">
        <v>29329</v>
      </c>
      <c r="M7814" t="s">
        <v>30914</v>
      </c>
      <c r="N7814" t="s">
        <v>32524</v>
      </c>
      <c r="O7814" t="s">
        <v>32525</v>
      </c>
      <c r="P7814">
        <v>0</v>
      </c>
      <c r="Q7814">
        <v>0</v>
      </c>
      <c r="R7814" t="s">
        <v>32533</v>
      </c>
      <c r="S7814" t="s">
        <v>32667</v>
      </c>
      <c r="T7814" t="s">
        <v>33487</v>
      </c>
      <c r="U7814" t="s">
        <v>40136</v>
      </c>
      <c r="W7814" t="s">
        <v>30914</v>
      </c>
      <c r="X7814" t="s">
        <v>32534</v>
      </c>
    </row>
    <row r="7815" spans="1:24">
      <c r="A7815">
        <f>HYPERLINK("https://www.philgeps.gov.ph/GEPSNONPILOT/Tender/SplashBidNoticeAbstractUI.aspx?menuIndex=3&amp;refID=7034852&amp;Result=3","7034852")</f>
        <v>0</v>
      </c>
      <c r="B7815" t="s">
        <v>90</v>
      </c>
      <c r="C7815" t="s">
        <v>10140</v>
      </c>
      <c r="D7815" t="s">
        <v>13026</v>
      </c>
      <c r="E7815" t="s">
        <v>19945</v>
      </c>
      <c r="F7815" t="s">
        <v>22436</v>
      </c>
      <c r="G7815" t="s">
        <v>22444</v>
      </c>
      <c r="H7815" t="s">
        <v>22452</v>
      </c>
      <c r="I7815" t="s">
        <v>6421</v>
      </c>
      <c r="J7815" t="s">
        <v>27625</v>
      </c>
      <c r="K7815" t="s">
        <v>29341</v>
      </c>
      <c r="M7815" t="s">
        <v>30410</v>
      </c>
      <c r="N7815" t="s">
        <v>32524</v>
      </c>
      <c r="O7815" t="s">
        <v>32525</v>
      </c>
      <c r="P7815">
        <v>0</v>
      </c>
      <c r="Q7815">
        <v>5</v>
      </c>
      <c r="R7815" t="s">
        <v>32533</v>
      </c>
      <c r="S7815" t="s">
        <v>32667</v>
      </c>
      <c r="T7815" t="s">
        <v>33218</v>
      </c>
      <c r="U7815" t="s">
        <v>40137</v>
      </c>
      <c r="W7815" t="s">
        <v>30410</v>
      </c>
      <c r="X7815" t="s">
        <v>32534</v>
      </c>
    </row>
    <row r="7816" spans="1:24">
      <c r="A7816">
        <f>HYPERLINK("https://www.philgeps.gov.ph/GEPSNONPILOT/Tender/SplashBidNoticeAbstractUI.aspx?menuIndex=3&amp;refID=7034908&amp;Result=3","7034908")</f>
        <v>0</v>
      </c>
      <c r="B7816" t="s">
        <v>1840</v>
      </c>
      <c r="C7816" t="s">
        <v>10141</v>
      </c>
      <c r="D7816" t="s">
        <v>13045</v>
      </c>
      <c r="E7816" t="s">
        <v>19946</v>
      </c>
      <c r="F7816" t="s">
        <v>22436</v>
      </c>
      <c r="G7816" t="s">
        <v>22444</v>
      </c>
      <c r="H7816" t="s">
        <v>22452</v>
      </c>
      <c r="I7816" t="s">
        <v>12358</v>
      </c>
      <c r="J7816" t="s">
        <v>27626</v>
      </c>
      <c r="K7816" t="s">
        <v>29331</v>
      </c>
      <c r="M7816" t="s">
        <v>31555</v>
      </c>
      <c r="N7816" t="s">
        <v>32524</v>
      </c>
      <c r="O7816" t="s">
        <v>32525</v>
      </c>
      <c r="P7816">
        <v>0</v>
      </c>
      <c r="Q7816">
        <v>2</v>
      </c>
      <c r="R7816" t="s">
        <v>32533</v>
      </c>
      <c r="S7816" t="s">
        <v>32667</v>
      </c>
      <c r="T7816" t="s">
        <v>33249</v>
      </c>
      <c r="U7816" t="s">
        <v>40138</v>
      </c>
      <c r="W7816" t="s">
        <v>31555</v>
      </c>
      <c r="X7816" t="s">
        <v>32534</v>
      </c>
    </row>
    <row r="7817" spans="1:24">
      <c r="A7817">
        <f>HYPERLINK("https://www.philgeps.gov.ph/GEPSNONPILOT/Tender/SplashBidNoticeAbstractUI.aspx?menuIndex=3&amp;refID=7034853&amp;Result=3","7034853")</f>
        <v>0</v>
      </c>
      <c r="B7817" t="s">
        <v>746</v>
      </c>
      <c r="C7817" t="s">
        <v>10142</v>
      </c>
      <c r="D7817" t="s">
        <v>12999</v>
      </c>
      <c r="E7817" t="s">
        <v>19947</v>
      </c>
      <c r="F7817" t="s">
        <v>22436</v>
      </c>
      <c r="G7817" t="s">
        <v>22444</v>
      </c>
      <c r="H7817" t="s">
        <v>22452</v>
      </c>
      <c r="I7817" t="s">
        <v>6421</v>
      </c>
      <c r="J7817" t="s">
        <v>22911</v>
      </c>
      <c r="K7817" t="s">
        <v>29338</v>
      </c>
      <c r="M7817" t="s">
        <v>32031</v>
      </c>
      <c r="N7817" t="s">
        <v>32524</v>
      </c>
      <c r="O7817" t="s">
        <v>32525</v>
      </c>
      <c r="P7817">
        <v>0</v>
      </c>
      <c r="Q7817">
        <v>5</v>
      </c>
      <c r="R7817" t="s">
        <v>32533</v>
      </c>
      <c r="S7817" t="s">
        <v>32667</v>
      </c>
      <c r="T7817" t="s">
        <v>33242</v>
      </c>
      <c r="U7817" t="s">
        <v>39999</v>
      </c>
      <c r="V7817" t="s">
        <v>43259</v>
      </c>
      <c r="W7817" t="s">
        <v>32031</v>
      </c>
      <c r="X7817" t="s">
        <v>32534</v>
      </c>
    </row>
    <row r="7818" spans="1:24">
      <c r="A7818">
        <f>HYPERLINK("https://www.philgeps.gov.ph/GEPSNONPILOT/Tender/SplashBidNoticeAbstractUI.aspx?menuIndex=3&amp;refID=7034924&amp;Result=3","7034924")</f>
        <v>0</v>
      </c>
      <c r="B7818" t="s">
        <v>2296</v>
      </c>
      <c r="C7818" t="s">
        <v>10143</v>
      </c>
      <c r="D7818" t="s">
        <v>13008</v>
      </c>
      <c r="E7818" t="s">
        <v>13345</v>
      </c>
      <c r="F7818" t="s">
        <v>22436</v>
      </c>
      <c r="G7818" t="s">
        <v>22444</v>
      </c>
      <c r="H7818" t="s">
        <v>22454</v>
      </c>
      <c r="I7818" t="s">
        <v>7738</v>
      </c>
      <c r="J7818" t="s">
        <v>24006</v>
      </c>
      <c r="K7818" t="s">
        <v>29345</v>
      </c>
      <c r="M7818" t="s">
        <v>32068</v>
      </c>
      <c r="N7818" t="s">
        <v>32524</v>
      </c>
      <c r="O7818" t="s">
        <v>32525</v>
      </c>
      <c r="P7818">
        <v>0</v>
      </c>
      <c r="Q7818">
        <v>13</v>
      </c>
      <c r="R7818" t="s">
        <v>32533</v>
      </c>
      <c r="S7818" t="s">
        <v>32667</v>
      </c>
      <c r="T7818" t="s">
        <v>33345</v>
      </c>
      <c r="U7818" t="s">
        <v>40139</v>
      </c>
      <c r="W7818" t="s">
        <v>32068</v>
      </c>
      <c r="X7818" t="s">
        <v>32534</v>
      </c>
    </row>
    <row r="7819" spans="1:24">
      <c r="A7819">
        <f>HYPERLINK("https://www.philgeps.gov.ph/GEPSNONPILOT/Tender/SplashBidNoticeAbstractUI.aspx?menuIndex=3&amp;refID=7034930&amp;Result=3","7034930")</f>
        <v>0</v>
      </c>
      <c r="B7819" t="s">
        <v>2247</v>
      </c>
      <c r="C7819" t="s">
        <v>10144</v>
      </c>
      <c r="D7819" t="s">
        <v>12988</v>
      </c>
      <c r="E7819" t="s">
        <v>19948</v>
      </c>
      <c r="F7819" t="s">
        <v>22436</v>
      </c>
      <c r="G7819" t="s">
        <v>22444</v>
      </c>
      <c r="H7819" t="s">
        <v>22452</v>
      </c>
      <c r="I7819" t="s">
        <v>2981</v>
      </c>
      <c r="J7819" t="s">
        <v>22605</v>
      </c>
      <c r="K7819" t="s">
        <v>29336</v>
      </c>
      <c r="M7819" t="s">
        <v>32014</v>
      </c>
      <c r="N7819" t="s">
        <v>32524</v>
      </c>
      <c r="O7819" t="s">
        <v>32525</v>
      </c>
      <c r="P7819">
        <v>0</v>
      </c>
      <c r="Q7819">
        <v>1</v>
      </c>
      <c r="R7819" t="s">
        <v>32533</v>
      </c>
      <c r="S7819" t="s">
        <v>32667</v>
      </c>
      <c r="T7819" t="s">
        <v>33521</v>
      </c>
      <c r="U7819" t="s">
        <v>40140</v>
      </c>
      <c r="W7819" t="s">
        <v>32014</v>
      </c>
      <c r="X7819" t="s">
        <v>32534</v>
      </c>
    </row>
    <row r="7820" spans="1:24">
      <c r="A7820">
        <f>HYPERLINK("https://www.philgeps.gov.ph/GEPSNONPILOT/Tender/SplashBidNoticeAbstractUI.aspx?menuIndex=3&amp;refID=7034980&amp;Result=3","7034980")</f>
        <v>0</v>
      </c>
      <c r="B7820" t="s">
        <v>465</v>
      </c>
      <c r="C7820" t="s">
        <v>10145</v>
      </c>
      <c r="D7820" t="s">
        <v>13049</v>
      </c>
      <c r="E7820" t="s">
        <v>19949</v>
      </c>
      <c r="F7820" t="s">
        <v>22436</v>
      </c>
      <c r="G7820" t="s">
        <v>22450</v>
      </c>
      <c r="H7820" t="s">
        <v>22454</v>
      </c>
      <c r="I7820" t="s">
        <v>7738</v>
      </c>
      <c r="J7820" t="s">
        <v>27627</v>
      </c>
      <c r="K7820" t="s">
        <v>29410</v>
      </c>
      <c r="M7820" t="s">
        <v>30047</v>
      </c>
      <c r="N7820" t="s">
        <v>32524</v>
      </c>
      <c r="O7820" t="s">
        <v>32525</v>
      </c>
      <c r="P7820">
        <v>0</v>
      </c>
      <c r="Q7820">
        <v>0</v>
      </c>
      <c r="R7820" t="s">
        <v>32533</v>
      </c>
      <c r="S7820" t="s">
        <v>32667</v>
      </c>
      <c r="T7820" t="s">
        <v>33227</v>
      </c>
      <c r="U7820" t="s">
        <v>40141</v>
      </c>
      <c r="W7820" t="s">
        <v>30047</v>
      </c>
      <c r="X7820" t="s">
        <v>32534</v>
      </c>
    </row>
    <row r="7821" spans="1:24">
      <c r="A7821">
        <f>HYPERLINK("https://www.philgeps.gov.ph/GEPSNONPILOT/Tender/SplashBidNoticeAbstractUI.aspx?menuIndex=3&amp;refID=7034977&amp;Result=3","7034977")</f>
        <v>0</v>
      </c>
      <c r="B7821" t="s">
        <v>2302</v>
      </c>
      <c r="C7821" t="s">
        <v>10146</v>
      </c>
      <c r="D7821" t="s">
        <v>13018</v>
      </c>
      <c r="E7821" t="s">
        <v>14434</v>
      </c>
      <c r="F7821" t="s">
        <v>22436</v>
      </c>
      <c r="G7821" t="s">
        <v>22447</v>
      </c>
      <c r="H7821" t="s">
        <v>22452</v>
      </c>
      <c r="I7821" t="s">
        <v>22551</v>
      </c>
      <c r="J7821" t="s">
        <v>27628</v>
      </c>
      <c r="K7821" t="s">
        <v>29357</v>
      </c>
      <c r="M7821" t="s">
        <v>32074</v>
      </c>
      <c r="N7821" t="s">
        <v>32524</v>
      </c>
      <c r="O7821" t="s">
        <v>32525</v>
      </c>
      <c r="P7821">
        <v>0</v>
      </c>
      <c r="Q7821">
        <v>0</v>
      </c>
      <c r="R7821" t="s">
        <v>32533</v>
      </c>
      <c r="S7821" t="s">
        <v>32667</v>
      </c>
      <c r="T7821" t="s">
        <v>33352</v>
      </c>
      <c r="U7821" t="s">
        <v>40142</v>
      </c>
      <c r="W7821" t="s">
        <v>32074</v>
      </c>
      <c r="X7821" t="s">
        <v>32534</v>
      </c>
    </row>
    <row r="7822" spans="1:24">
      <c r="A7822">
        <f>HYPERLINK("https://www.philgeps.gov.ph/GEPSNONPILOT/Tender/SplashBidNoticeAbstractUI.aspx?menuIndex=3&amp;refID=7034945&amp;Result=3","7034945")</f>
        <v>0</v>
      </c>
      <c r="B7822" t="s">
        <v>1830</v>
      </c>
      <c r="C7822" t="s">
        <v>10147</v>
      </c>
      <c r="D7822" t="s">
        <v>12990</v>
      </c>
      <c r="E7822" t="s">
        <v>19950</v>
      </c>
      <c r="F7822" t="s">
        <v>22436</v>
      </c>
      <c r="G7822" t="s">
        <v>22444</v>
      </c>
      <c r="H7822" t="s">
        <v>22454</v>
      </c>
      <c r="I7822" t="s">
        <v>7738</v>
      </c>
      <c r="J7822" t="s">
        <v>27629</v>
      </c>
      <c r="K7822" t="s">
        <v>29333</v>
      </c>
      <c r="M7822" t="s">
        <v>31545</v>
      </c>
      <c r="N7822" t="s">
        <v>32524</v>
      </c>
      <c r="O7822" t="s">
        <v>32525</v>
      </c>
      <c r="P7822">
        <v>0</v>
      </c>
      <c r="Q7822">
        <v>0</v>
      </c>
      <c r="R7822" t="s">
        <v>32533</v>
      </c>
      <c r="S7822" t="s">
        <v>32667</v>
      </c>
      <c r="T7822" t="s">
        <v>33234</v>
      </c>
      <c r="U7822" t="s">
        <v>40143</v>
      </c>
      <c r="W7822" t="s">
        <v>31545</v>
      </c>
      <c r="X7822" t="s">
        <v>32534</v>
      </c>
    </row>
    <row r="7823" spans="1:24">
      <c r="A7823">
        <f>HYPERLINK("https://www.philgeps.gov.ph/GEPSNONPILOT/Tender/SplashBidNoticeAbstractUI.aspx?menuIndex=3&amp;refID=7034975&amp;Result=3","7034975")</f>
        <v>0</v>
      </c>
      <c r="B7823" t="s">
        <v>483</v>
      </c>
      <c r="C7823" t="s">
        <v>10148</v>
      </c>
      <c r="D7823" t="s">
        <v>13065</v>
      </c>
      <c r="E7823" t="s">
        <v>19951</v>
      </c>
      <c r="F7823" t="s">
        <v>22436</v>
      </c>
      <c r="G7823" t="s">
        <v>22444</v>
      </c>
      <c r="H7823" t="s">
        <v>22454</v>
      </c>
      <c r="I7823" t="s">
        <v>7738</v>
      </c>
      <c r="J7823" t="s">
        <v>27630</v>
      </c>
      <c r="K7823" t="s">
        <v>29347</v>
      </c>
      <c r="M7823" t="s">
        <v>32075</v>
      </c>
      <c r="N7823" t="s">
        <v>32524</v>
      </c>
      <c r="O7823" t="s">
        <v>32525</v>
      </c>
      <c r="P7823">
        <v>0</v>
      </c>
      <c r="Q7823">
        <v>0</v>
      </c>
      <c r="R7823" t="s">
        <v>32533</v>
      </c>
      <c r="S7823" t="s">
        <v>32667</v>
      </c>
      <c r="T7823" t="s">
        <v>33385</v>
      </c>
      <c r="U7823" t="s">
        <v>40144</v>
      </c>
      <c r="W7823" t="s">
        <v>32075</v>
      </c>
      <c r="X7823" t="s">
        <v>32534</v>
      </c>
    </row>
    <row r="7824" spans="1:24">
      <c r="A7824">
        <f>HYPERLINK("https://www.philgeps.gov.ph/GEPSNONPILOT/Tender/SplashBidNoticeAbstractUI.aspx?menuIndex=3&amp;refID=7034981&amp;Result=3","7034981")</f>
        <v>0</v>
      </c>
      <c r="B7824" t="s">
        <v>1830</v>
      </c>
      <c r="C7824" t="s">
        <v>10149</v>
      </c>
      <c r="D7824" t="s">
        <v>12990</v>
      </c>
      <c r="E7824" t="s">
        <v>19952</v>
      </c>
      <c r="F7824" t="s">
        <v>22436</v>
      </c>
      <c r="G7824" t="s">
        <v>22444</v>
      </c>
      <c r="H7824" t="s">
        <v>22454</v>
      </c>
      <c r="I7824" t="s">
        <v>7738</v>
      </c>
      <c r="J7824" t="s">
        <v>27631</v>
      </c>
      <c r="K7824" t="s">
        <v>29466</v>
      </c>
      <c r="M7824" t="s">
        <v>31545</v>
      </c>
      <c r="N7824" t="s">
        <v>32524</v>
      </c>
      <c r="O7824" t="s">
        <v>32525</v>
      </c>
      <c r="P7824">
        <v>0</v>
      </c>
      <c r="Q7824">
        <v>0</v>
      </c>
      <c r="R7824" t="s">
        <v>32533</v>
      </c>
      <c r="S7824" t="s">
        <v>32667</v>
      </c>
      <c r="T7824" t="s">
        <v>33234</v>
      </c>
      <c r="U7824" t="s">
        <v>40145</v>
      </c>
      <c r="W7824" t="s">
        <v>31545</v>
      </c>
      <c r="X7824" t="s">
        <v>32534</v>
      </c>
    </row>
    <row r="7825" spans="1:24">
      <c r="A7825">
        <f>HYPERLINK("https://www.philgeps.gov.ph/GEPSNONPILOT/Tender/SplashBidNoticeAbstractUI.aspx?menuIndex=3&amp;refID=7034966&amp;Result=3","7034966")</f>
        <v>0</v>
      </c>
      <c r="B7825" t="s">
        <v>1922</v>
      </c>
      <c r="C7825" t="s">
        <v>10150</v>
      </c>
      <c r="E7825" t="s">
        <v>19953</v>
      </c>
      <c r="F7825" t="s">
        <v>22436</v>
      </c>
      <c r="G7825" t="s">
        <v>22444</v>
      </c>
      <c r="H7825" t="s">
        <v>22452</v>
      </c>
      <c r="I7825" t="s">
        <v>3381</v>
      </c>
      <c r="J7825" t="s">
        <v>27632</v>
      </c>
      <c r="K7825" t="s">
        <v>29338</v>
      </c>
      <c r="M7825" t="s">
        <v>31650</v>
      </c>
      <c r="N7825" t="s">
        <v>32524</v>
      </c>
      <c r="O7825" t="s">
        <v>32525</v>
      </c>
      <c r="P7825">
        <v>0</v>
      </c>
      <c r="Q7825">
        <v>1</v>
      </c>
      <c r="R7825" t="s">
        <v>32533</v>
      </c>
      <c r="S7825" t="s">
        <v>32667</v>
      </c>
      <c r="T7825" t="s">
        <v>33525</v>
      </c>
      <c r="U7825" t="s">
        <v>38723</v>
      </c>
      <c r="W7825" t="s">
        <v>31650</v>
      </c>
      <c r="X7825" t="s">
        <v>32534</v>
      </c>
    </row>
    <row r="7826" spans="1:24">
      <c r="A7826">
        <f>HYPERLINK("https://www.philgeps.gov.ph/GEPSNONPILOT/Tender/SplashBidNoticeAbstractUI.aspx?menuIndex=3&amp;refID=7034943&amp;Result=3","7034943")</f>
        <v>0</v>
      </c>
      <c r="B7826" t="s">
        <v>1494</v>
      </c>
      <c r="C7826" t="s">
        <v>10151</v>
      </c>
      <c r="E7826" t="s">
        <v>19954</v>
      </c>
      <c r="F7826" t="s">
        <v>22436</v>
      </c>
      <c r="G7826" t="s">
        <v>22443</v>
      </c>
      <c r="H7826" t="s">
        <v>22452</v>
      </c>
      <c r="I7826" t="s">
        <v>22456</v>
      </c>
      <c r="J7826" t="s">
        <v>23096</v>
      </c>
      <c r="K7826" t="s">
        <v>29338</v>
      </c>
      <c r="M7826" t="s">
        <v>31168</v>
      </c>
      <c r="N7826" t="s">
        <v>32524</v>
      </c>
      <c r="O7826" t="s">
        <v>32525</v>
      </c>
      <c r="P7826">
        <v>0</v>
      </c>
      <c r="Q7826">
        <v>21</v>
      </c>
      <c r="R7826" t="s">
        <v>32533</v>
      </c>
      <c r="S7826" t="s">
        <v>32667</v>
      </c>
      <c r="T7826" t="s">
        <v>33328</v>
      </c>
      <c r="U7826" t="s">
        <v>40146</v>
      </c>
      <c r="V7826" t="s">
        <v>42892</v>
      </c>
      <c r="W7826" t="s">
        <v>43723</v>
      </c>
      <c r="X7826" t="s">
        <v>32534</v>
      </c>
    </row>
    <row r="7827" spans="1:24">
      <c r="A7827">
        <f>HYPERLINK("https://www.philgeps.gov.ph/GEPSNONPILOT/Tender/SplashBidNoticeAbstractUI.aspx?menuIndex=3&amp;refID=7034956&amp;Result=3","7034956")</f>
        <v>0</v>
      </c>
      <c r="B7827" t="s">
        <v>2303</v>
      </c>
      <c r="C7827" t="s">
        <v>10152</v>
      </c>
      <c r="D7827" t="s">
        <v>13032</v>
      </c>
      <c r="E7827" t="s">
        <v>19955</v>
      </c>
      <c r="F7827" t="s">
        <v>22436</v>
      </c>
      <c r="G7827" t="s">
        <v>22444</v>
      </c>
      <c r="H7827" t="s">
        <v>22454</v>
      </c>
      <c r="I7827" t="s">
        <v>7738</v>
      </c>
      <c r="J7827" t="s">
        <v>27633</v>
      </c>
      <c r="K7827" t="s">
        <v>29344</v>
      </c>
      <c r="M7827" t="s">
        <v>32076</v>
      </c>
      <c r="N7827" t="s">
        <v>32524</v>
      </c>
      <c r="O7827" t="s">
        <v>32525</v>
      </c>
      <c r="P7827">
        <v>0</v>
      </c>
      <c r="Q7827">
        <v>0</v>
      </c>
      <c r="R7827" t="s">
        <v>32533</v>
      </c>
      <c r="S7827" t="s">
        <v>32667</v>
      </c>
      <c r="T7827" t="s">
        <v>33560</v>
      </c>
      <c r="U7827" t="s">
        <v>40147</v>
      </c>
      <c r="W7827" t="s">
        <v>32076</v>
      </c>
      <c r="X7827" t="s">
        <v>32534</v>
      </c>
    </row>
    <row r="7828" spans="1:24">
      <c r="A7828">
        <f>HYPERLINK("https://www.philgeps.gov.ph/GEPSNONPILOT/Tender/SplashBidNoticeAbstractUI.aspx?menuIndex=3&amp;refID=7034958&amp;Result=3","7034958")</f>
        <v>0</v>
      </c>
      <c r="B7828" t="s">
        <v>2304</v>
      </c>
      <c r="C7828" t="s">
        <v>10153</v>
      </c>
      <c r="D7828" t="s">
        <v>13010</v>
      </c>
      <c r="E7828" t="s">
        <v>19956</v>
      </c>
      <c r="F7828" t="s">
        <v>22436</v>
      </c>
      <c r="G7828" t="s">
        <v>22444</v>
      </c>
      <c r="H7828" t="s">
        <v>22452</v>
      </c>
      <c r="I7828" t="s">
        <v>22463</v>
      </c>
      <c r="J7828" t="s">
        <v>27634</v>
      </c>
      <c r="K7828" t="s">
        <v>29335</v>
      </c>
      <c r="M7828" t="s">
        <v>32077</v>
      </c>
      <c r="N7828" t="s">
        <v>32524</v>
      </c>
      <c r="O7828" t="s">
        <v>32525</v>
      </c>
      <c r="P7828">
        <v>0</v>
      </c>
      <c r="Q7828">
        <v>5</v>
      </c>
      <c r="R7828" t="s">
        <v>32533</v>
      </c>
      <c r="S7828" t="s">
        <v>32667</v>
      </c>
      <c r="T7828" t="s">
        <v>33234</v>
      </c>
      <c r="U7828" t="s">
        <v>40148</v>
      </c>
      <c r="V7828" t="s">
        <v>43276</v>
      </c>
      <c r="W7828" t="s">
        <v>32077</v>
      </c>
      <c r="X7828" t="s">
        <v>32534</v>
      </c>
    </row>
    <row r="7829" spans="1:24">
      <c r="A7829">
        <f>HYPERLINK("https://www.philgeps.gov.ph/GEPSNONPILOT/Tender/SplashBidNoticeAbstractUI.aspx?menuIndex=3&amp;refID=7034941&amp;Result=3","7034941")</f>
        <v>0</v>
      </c>
      <c r="B7829" t="s">
        <v>2296</v>
      </c>
      <c r="C7829" t="s">
        <v>10154</v>
      </c>
      <c r="D7829" t="s">
        <v>13033</v>
      </c>
      <c r="E7829" t="s">
        <v>19957</v>
      </c>
      <c r="F7829" t="s">
        <v>22436</v>
      </c>
      <c r="G7829" t="s">
        <v>22444</v>
      </c>
      <c r="H7829" t="s">
        <v>22454</v>
      </c>
      <c r="I7829" t="s">
        <v>7738</v>
      </c>
      <c r="J7829" t="s">
        <v>24006</v>
      </c>
      <c r="K7829" t="s">
        <v>29345</v>
      </c>
      <c r="M7829" t="s">
        <v>32068</v>
      </c>
      <c r="N7829" t="s">
        <v>32524</v>
      </c>
      <c r="O7829" t="s">
        <v>32525</v>
      </c>
      <c r="P7829">
        <v>0</v>
      </c>
      <c r="Q7829">
        <v>15</v>
      </c>
      <c r="R7829" t="s">
        <v>32533</v>
      </c>
      <c r="S7829" t="s">
        <v>32667</v>
      </c>
      <c r="T7829" t="s">
        <v>33345</v>
      </c>
      <c r="U7829" t="s">
        <v>40149</v>
      </c>
      <c r="W7829" t="s">
        <v>32068</v>
      </c>
      <c r="X7829" t="s">
        <v>32534</v>
      </c>
    </row>
    <row r="7830" spans="1:24">
      <c r="A7830">
        <f>HYPERLINK("https://www.philgeps.gov.ph/GEPSNONPILOT/Tender/SplashBidNoticeAbstractUI.aspx?menuIndex=3&amp;refID=7034990&amp;Result=3","7034990")</f>
        <v>0</v>
      </c>
      <c r="B7830" t="s">
        <v>2305</v>
      </c>
      <c r="C7830" t="s">
        <v>10155</v>
      </c>
      <c r="D7830" t="s">
        <v>13018</v>
      </c>
      <c r="E7830" t="s">
        <v>13182</v>
      </c>
      <c r="F7830" t="s">
        <v>22436</v>
      </c>
      <c r="G7830" t="s">
        <v>22444</v>
      </c>
      <c r="H7830" t="s">
        <v>22452</v>
      </c>
      <c r="I7830" t="s">
        <v>22501</v>
      </c>
      <c r="J7830" t="s">
        <v>24911</v>
      </c>
      <c r="K7830" t="s">
        <v>29331</v>
      </c>
      <c r="L7830" t="s">
        <v>2305</v>
      </c>
      <c r="M7830" t="s">
        <v>32078</v>
      </c>
      <c r="N7830" t="s">
        <v>32524</v>
      </c>
      <c r="O7830" t="s">
        <v>32525</v>
      </c>
      <c r="P7830">
        <v>0</v>
      </c>
      <c r="Q7830">
        <v>0</v>
      </c>
      <c r="R7830" t="s">
        <v>32533</v>
      </c>
      <c r="S7830" t="s">
        <v>32667</v>
      </c>
      <c r="T7830" t="s">
        <v>33248</v>
      </c>
      <c r="U7830" t="s">
        <v>40150</v>
      </c>
      <c r="V7830" t="s">
        <v>43277</v>
      </c>
      <c r="W7830" t="s">
        <v>32078</v>
      </c>
      <c r="X7830" t="s">
        <v>32534</v>
      </c>
    </row>
    <row r="7831" spans="1:24">
      <c r="A7831">
        <f>HYPERLINK("https://www.philgeps.gov.ph/GEPSNONPILOT/Tender/SplashBidNoticeAbstractUI.aspx?menuIndex=3&amp;refID=7034983&amp;Result=3","7034983")</f>
        <v>0</v>
      </c>
      <c r="B7831" t="s">
        <v>483</v>
      </c>
      <c r="C7831" t="s">
        <v>10156</v>
      </c>
      <c r="D7831" t="s">
        <v>13065</v>
      </c>
      <c r="E7831" t="s">
        <v>19958</v>
      </c>
      <c r="F7831" t="s">
        <v>22436</v>
      </c>
      <c r="G7831" t="s">
        <v>22444</v>
      </c>
      <c r="H7831" t="s">
        <v>22454</v>
      </c>
      <c r="I7831" t="s">
        <v>7738</v>
      </c>
      <c r="J7831" t="s">
        <v>27635</v>
      </c>
      <c r="K7831" t="s">
        <v>29366</v>
      </c>
      <c r="M7831" t="s">
        <v>32075</v>
      </c>
      <c r="N7831" t="s">
        <v>32524</v>
      </c>
      <c r="O7831" t="s">
        <v>32525</v>
      </c>
      <c r="P7831">
        <v>0</v>
      </c>
      <c r="Q7831">
        <v>0</v>
      </c>
      <c r="R7831" t="s">
        <v>32533</v>
      </c>
      <c r="S7831" t="s">
        <v>32667</v>
      </c>
      <c r="T7831" t="s">
        <v>33385</v>
      </c>
      <c r="U7831" t="s">
        <v>40144</v>
      </c>
      <c r="W7831" t="s">
        <v>32075</v>
      </c>
      <c r="X7831" t="s">
        <v>32534</v>
      </c>
    </row>
    <row r="7832" spans="1:24">
      <c r="A7832">
        <f>HYPERLINK("https://www.philgeps.gov.ph/GEPSNONPILOT/Tender/SplashBidNoticeAbstractUI.aspx?menuIndex=3&amp;refID=7034972&amp;Result=3","7034972")</f>
        <v>0</v>
      </c>
      <c r="B7832" t="s">
        <v>1922</v>
      </c>
      <c r="C7832" t="s">
        <v>10157</v>
      </c>
      <c r="E7832" t="s">
        <v>19959</v>
      </c>
      <c r="F7832" t="s">
        <v>22436</v>
      </c>
      <c r="G7832" t="s">
        <v>22444</v>
      </c>
      <c r="H7832" t="s">
        <v>22452</v>
      </c>
      <c r="I7832" t="s">
        <v>22463</v>
      </c>
      <c r="J7832" t="s">
        <v>27636</v>
      </c>
      <c r="K7832" t="s">
        <v>29338</v>
      </c>
      <c r="M7832" t="s">
        <v>31650</v>
      </c>
      <c r="N7832" t="s">
        <v>32524</v>
      </c>
      <c r="O7832" t="s">
        <v>32525</v>
      </c>
      <c r="P7832">
        <v>0</v>
      </c>
      <c r="Q7832">
        <v>5</v>
      </c>
      <c r="R7832" t="s">
        <v>32533</v>
      </c>
      <c r="S7832" t="s">
        <v>32667</v>
      </c>
      <c r="T7832" t="s">
        <v>33525</v>
      </c>
      <c r="U7832" t="s">
        <v>38723</v>
      </c>
      <c r="W7832" t="s">
        <v>31650</v>
      </c>
      <c r="X7832" t="s">
        <v>32534</v>
      </c>
    </row>
    <row r="7833" spans="1:24">
      <c r="A7833">
        <f>HYPERLINK("https://www.philgeps.gov.ph/GEPSNONPILOT/Tender/SplashBidNoticeAbstractUI.aspx?menuIndex=3&amp;refID=7034988&amp;Result=3","7034988")</f>
        <v>0</v>
      </c>
      <c r="B7833" t="s">
        <v>1830</v>
      </c>
      <c r="C7833" t="s">
        <v>10158</v>
      </c>
      <c r="D7833" t="s">
        <v>12990</v>
      </c>
      <c r="E7833" t="s">
        <v>19960</v>
      </c>
      <c r="F7833" t="s">
        <v>22436</v>
      </c>
      <c r="G7833" t="s">
        <v>22444</v>
      </c>
      <c r="H7833" t="s">
        <v>22454</v>
      </c>
      <c r="I7833" t="s">
        <v>7738</v>
      </c>
      <c r="J7833" t="s">
        <v>27637</v>
      </c>
      <c r="K7833" t="s">
        <v>29329</v>
      </c>
      <c r="M7833" t="s">
        <v>31545</v>
      </c>
      <c r="N7833" t="s">
        <v>32524</v>
      </c>
      <c r="O7833" t="s">
        <v>32525</v>
      </c>
      <c r="P7833">
        <v>0</v>
      </c>
      <c r="Q7833">
        <v>0</v>
      </c>
      <c r="R7833" t="s">
        <v>32533</v>
      </c>
      <c r="S7833" t="s">
        <v>32667</v>
      </c>
      <c r="T7833" t="s">
        <v>33234</v>
      </c>
      <c r="U7833" t="s">
        <v>40151</v>
      </c>
      <c r="W7833" t="s">
        <v>31545</v>
      </c>
      <c r="X7833" t="s">
        <v>32534</v>
      </c>
    </row>
    <row r="7834" spans="1:24">
      <c r="A7834">
        <f>HYPERLINK("https://www.philgeps.gov.ph/GEPSNONPILOT/Tender/SplashBidNoticeAbstractUI.aspx?menuIndex=3&amp;refID=7034996&amp;Result=3","7034996")</f>
        <v>0</v>
      </c>
      <c r="B7834" t="s">
        <v>1922</v>
      </c>
      <c r="C7834" t="s">
        <v>10159</v>
      </c>
      <c r="E7834" t="s">
        <v>19961</v>
      </c>
      <c r="F7834" t="s">
        <v>22436</v>
      </c>
      <c r="G7834" t="s">
        <v>22444</v>
      </c>
      <c r="H7834" t="s">
        <v>22452</v>
      </c>
      <c r="I7834" t="s">
        <v>22578</v>
      </c>
      <c r="J7834" t="s">
        <v>23350</v>
      </c>
      <c r="K7834" t="s">
        <v>29338</v>
      </c>
      <c r="M7834" t="s">
        <v>31650</v>
      </c>
      <c r="N7834" t="s">
        <v>32524</v>
      </c>
      <c r="O7834" t="s">
        <v>32525</v>
      </c>
      <c r="P7834">
        <v>0</v>
      </c>
      <c r="Q7834">
        <v>3</v>
      </c>
      <c r="R7834" t="s">
        <v>32533</v>
      </c>
      <c r="S7834" t="s">
        <v>32667</v>
      </c>
      <c r="T7834" t="s">
        <v>33525</v>
      </c>
      <c r="U7834" t="s">
        <v>38723</v>
      </c>
      <c r="W7834" t="s">
        <v>31650</v>
      </c>
      <c r="X7834" t="s">
        <v>32534</v>
      </c>
    </row>
    <row r="7835" spans="1:24">
      <c r="A7835">
        <f>HYPERLINK("https://www.philgeps.gov.ph/GEPSNONPILOT/Tender/SplashBidNoticeAbstractUI.aspx?menuIndex=3&amp;refID=7034985&amp;Result=3","7034985")</f>
        <v>0</v>
      </c>
      <c r="B7835" t="s">
        <v>1922</v>
      </c>
      <c r="C7835" t="s">
        <v>10160</v>
      </c>
      <c r="E7835" t="s">
        <v>19962</v>
      </c>
      <c r="F7835" t="s">
        <v>22436</v>
      </c>
      <c r="G7835" t="s">
        <v>22444</v>
      </c>
      <c r="H7835" t="s">
        <v>22452</v>
      </c>
      <c r="I7835" t="s">
        <v>22536</v>
      </c>
      <c r="J7835" t="s">
        <v>27638</v>
      </c>
      <c r="K7835" t="s">
        <v>29338</v>
      </c>
      <c r="M7835" t="s">
        <v>31650</v>
      </c>
      <c r="N7835" t="s">
        <v>32524</v>
      </c>
      <c r="O7835" t="s">
        <v>32525</v>
      </c>
      <c r="P7835">
        <v>0</v>
      </c>
      <c r="Q7835">
        <v>6</v>
      </c>
      <c r="R7835" t="s">
        <v>32533</v>
      </c>
      <c r="S7835" t="s">
        <v>32667</v>
      </c>
      <c r="T7835" t="s">
        <v>33525</v>
      </c>
      <c r="U7835" t="s">
        <v>38723</v>
      </c>
      <c r="W7835" t="s">
        <v>31650</v>
      </c>
      <c r="X7835" t="s">
        <v>32534</v>
      </c>
    </row>
    <row r="7836" spans="1:24">
      <c r="A7836">
        <f>HYPERLINK("https://www.philgeps.gov.ph/GEPSNONPILOT/Tender/SplashBidNoticeAbstractUI.aspx?menuIndex=3&amp;refID=7035011&amp;Result=3","7035011")</f>
        <v>0</v>
      </c>
      <c r="B7836" t="s">
        <v>1830</v>
      </c>
      <c r="C7836" t="s">
        <v>10161</v>
      </c>
      <c r="D7836" t="s">
        <v>12990</v>
      </c>
      <c r="E7836" t="s">
        <v>19963</v>
      </c>
      <c r="F7836" t="s">
        <v>22436</v>
      </c>
      <c r="G7836" t="s">
        <v>22444</v>
      </c>
      <c r="H7836" t="s">
        <v>22454</v>
      </c>
      <c r="I7836" t="s">
        <v>7738</v>
      </c>
      <c r="J7836" t="s">
        <v>27639</v>
      </c>
      <c r="K7836" t="s">
        <v>29519</v>
      </c>
      <c r="M7836" t="s">
        <v>31545</v>
      </c>
      <c r="N7836" t="s">
        <v>32524</v>
      </c>
      <c r="O7836" t="s">
        <v>32525</v>
      </c>
      <c r="P7836">
        <v>0</v>
      </c>
      <c r="Q7836">
        <v>0</v>
      </c>
      <c r="R7836" t="s">
        <v>32533</v>
      </c>
      <c r="S7836" t="s">
        <v>32667</v>
      </c>
      <c r="T7836" t="s">
        <v>33212</v>
      </c>
      <c r="U7836" t="s">
        <v>40152</v>
      </c>
      <c r="W7836" t="s">
        <v>31545</v>
      </c>
      <c r="X7836" t="s">
        <v>32534</v>
      </c>
    </row>
    <row r="7837" spans="1:24">
      <c r="A7837">
        <f>HYPERLINK("https://www.philgeps.gov.ph/GEPSNONPILOT/Tender/SplashBidNoticeAbstractUI.aspx?menuIndex=3&amp;refID=7034948&amp;Result=3","7034948")</f>
        <v>0</v>
      </c>
      <c r="B7837" t="s">
        <v>2247</v>
      </c>
      <c r="C7837" t="s">
        <v>10162</v>
      </c>
      <c r="D7837" t="s">
        <v>12988</v>
      </c>
      <c r="E7837" t="s">
        <v>19964</v>
      </c>
      <c r="F7837" t="s">
        <v>22436</v>
      </c>
      <c r="G7837" t="s">
        <v>22444</v>
      </c>
      <c r="H7837" t="s">
        <v>22452</v>
      </c>
      <c r="I7837" t="s">
        <v>2981</v>
      </c>
      <c r="J7837" t="s">
        <v>22605</v>
      </c>
      <c r="K7837" t="s">
        <v>29336</v>
      </c>
      <c r="M7837" t="s">
        <v>32014</v>
      </c>
      <c r="N7837" t="s">
        <v>32524</v>
      </c>
      <c r="O7837" t="s">
        <v>32525</v>
      </c>
      <c r="P7837">
        <v>0</v>
      </c>
      <c r="Q7837">
        <v>0</v>
      </c>
      <c r="R7837" t="s">
        <v>32533</v>
      </c>
      <c r="S7837" t="s">
        <v>32667</v>
      </c>
      <c r="T7837" t="s">
        <v>33521</v>
      </c>
      <c r="U7837" t="s">
        <v>40153</v>
      </c>
      <c r="W7837" t="s">
        <v>32014</v>
      </c>
      <c r="X7837" t="s">
        <v>32534</v>
      </c>
    </row>
    <row r="7838" spans="1:24">
      <c r="A7838">
        <f>HYPERLINK("https://www.philgeps.gov.ph/GEPSNONPILOT/Tender/SplashBidNoticeAbstractUI.aspx?menuIndex=3&amp;refID=7035010&amp;Result=3","7035010")</f>
        <v>0</v>
      </c>
      <c r="B7838" t="s">
        <v>1922</v>
      </c>
      <c r="C7838" t="s">
        <v>10163</v>
      </c>
      <c r="E7838" t="s">
        <v>19965</v>
      </c>
      <c r="F7838" t="s">
        <v>22436</v>
      </c>
      <c r="G7838" t="s">
        <v>22444</v>
      </c>
      <c r="H7838" t="s">
        <v>22452</v>
      </c>
      <c r="I7838" t="s">
        <v>22571</v>
      </c>
      <c r="J7838" t="s">
        <v>27640</v>
      </c>
      <c r="K7838" t="s">
        <v>29338</v>
      </c>
      <c r="M7838" t="s">
        <v>31650</v>
      </c>
      <c r="N7838" t="s">
        <v>32524</v>
      </c>
      <c r="O7838" t="s">
        <v>32525</v>
      </c>
      <c r="P7838">
        <v>0</v>
      </c>
      <c r="Q7838">
        <v>4</v>
      </c>
      <c r="R7838" t="s">
        <v>32533</v>
      </c>
      <c r="S7838" t="s">
        <v>32667</v>
      </c>
      <c r="T7838" t="s">
        <v>33525</v>
      </c>
      <c r="U7838" t="s">
        <v>38723</v>
      </c>
      <c r="W7838" t="s">
        <v>31650</v>
      </c>
      <c r="X7838" t="s">
        <v>32534</v>
      </c>
    </row>
    <row r="7839" spans="1:24">
      <c r="A7839">
        <f>HYPERLINK("https://www.philgeps.gov.ph/GEPSNONPILOT/Tender/SplashBidNoticeAbstractUI.aspx?menuIndex=3&amp;refID=7034935&amp;Result=3","7034935")</f>
        <v>0</v>
      </c>
      <c r="B7839" t="s">
        <v>284</v>
      </c>
      <c r="C7839" t="s">
        <v>10164</v>
      </c>
      <c r="D7839" t="s">
        <v>13056</v>
      </c>
      <c r="E7839" t="s">
        <v>19966</v>
      </c>
      <c r="F7839" t="s">
        <v>22436</v>
      </c>
      <c r="G7839" t="s">
        <v>22444</v>
      </c>
      <c r="H7839" t="s">
        <v>22454</v>
      </c>
      <c r="I7839" t="s">
        <v>7738</v>
      </c>
      <c r="J7839" t="s">
        <v>23205</v>
      </c>
      <c r="K7839" t="s">
        <v>29333</v>
      </c>
      <c r="M7839" t="s">
        <v>29858</v>
      </c>
      <c r="N7839" t="s">
        <v>32524</v>
      </c>
      <c r="O7839" t="s">
        <v>32525</v>
      </c>
      <c r="P7839">
        <v>0</v>
      </c>
      <c r="Q7839">
        <v>0</v>
      </c>
      <c r="R7839" t="s">
        <v>32533</v>
      </c>
      <c r="S7839" t="s">
        <v>32667</v>
      </c>
      <c r="T7839" t="s">
        <v>33227</v>
      </c>
      <c r="U7839" t="s">
        <v>40154</v>
      </c>
      <c r="V7839" t="s">
        <v>43278</v>
      </c>
      <c r="W7839" t="s">
        <v>29858</v>
      </c>
      <c r="X7839" t="s">
        <v>32534</v>
      </c>
    </row>
    <row r="7840" spans="1:24">
      <c r="A7840">
        <f>HYPERLINK("https://www.philgeps.gov.ph/GEPSNONPILOT/Tender/SplashBidNoticeAbstractUI.aspx?menuIndex=3&amp;refID=7035015&amp;Result=3","7035015")</f>
        <v>0</v>
      </c>
      <c r="B7840" t="s">
        <v>1922</v>
      </c>
      <c r="C7840" t="s">
        <v>10165</v>
      </c>
      <c r="E7840" t="s">
        <v>19967</v>
      </c>
      <c r="F7840" t="s">
        <v>22436</v>
      </c>
      <c r="G7840" t="s">
        <v>22444</v>
      </c>
      <c r="H7840" t="s">
        <v>22452</v>
      </c>
      <c r="I7840" t="s">
        <v>22550</v>
      </c>
      <c r="J7840" t="s">
        <v>27641</v>
      </c>
      <c r="K7840" t="s">
        <v>29338</v>
      </c>
      <c r="M7840" t="s">
        <v>31650</v>
      </c>
      <c r="N7840" t="s">
        <v>32524</v>
      </c>
      <c r="O7840" t="s">
        <v>32525</v>
      </c>
      <c r="P7840">
        <v>0</v>
      </c>
      <c r="Q7840">
        <v>10</v>
      </c>
      <c r="R7840" t="s">
        <v>32533</v>
      </c>
      <c r="S7840" t="s">
        <v>32667</v>
      </c>
      <c r="T7840" t="s">
        <v>33525</v>
      </c>
      <c r="U7840" t="s">
        <v>38723</v>
      </c>
      <c r="W7840" t="s">
        <v>31650</v>
      </c>
      <c r="X7840" t="s">
        <v>32534</v>
      </c>
    </row>
    <row r="7841" spans="1:24">
      <c r="A7841">
        <f>HYPERLINK("https://www.philgeps.gov.ph/GEPSNONPILOT/Tender/SplashBidNoticeAbstractUI.aspx?menuIndex=3&amp;refID=7034931&amp;Result=3","7034931")</f>
        <v>0</v>
      </c>
      <c r="B7841" t="s">
        <v>1830</v>
      </c>
      <c r="C7841" t="s">
        <v>10166</v>
      </c>
      <c r="D7841" t="s">
        <v>12990</v>
      </c>
      <c r="E7841" t="s">
        <v>19968</v>
      </c>
      <c r="F7841" t="s">
        <v>22436</v>
      </c>
      <c r="G7841" t="s">
        <v>22444</v>
      </c>
      <c r="H7841" t="s">
        <v>22454</v>
      </c>
      <c r="I7841" t="s">
        <v>7738</v>
      </c>
      <c r="J7841" t="s">
        <v>27642</v>
      </c>
      <c r="K7841" t="s">
        <v>29333</v>
      </c>
      <c r="M7841" t="s">
        <v>31545</v>
      </c>
      <c r="N7841" t="s">
        <v>32524</v>
      </c>
      <c r="O7841" t="s">
        <v>32525</v>
      </c>
      <c r="P7841">
        <v>0</v>
      </c>
      <c r="Q7841">
        <v>0</v>
      </c>
      <c r="R7841" t="s">
        <v>32533</v>
      </c>
      <c r="S7841" t="s">
        <v>32667</v>
      </c>
      <c r="T7841" t="s">
        <v>33234</v>
      </c>
      <c r="U7841" t="s">
        <v>40155</v>
      </c>
      <c r="W7841" t="s">
        <v>31545</v>
      </c>
      <c r="X7841" t="s">
        <v>32534</v>
      </c>
    </row>
    <row r="7842" spans="1:24">
      <c r="A7842">
        <f>HYPERLINK("https://www.philgeps.gov.ph/GEPSNONPILOT/Tender/SplashBidNoticeAbstractUI.aspx?menuIndex=3&amp;refID=7035002&amp;Result=3","7035002")</f>
        <v>0</v>
      </c>
      <c r="B7842" t="s">
        <v>692</v>
      </c>
      <c r="C7842" t="s">
        <v>10167</v>
      </c>
      <c r="D7842" t="s">
        <v>13032</v>
      </c>
      <c r="E7842" t="s">
        <v>19969</v>
      </c>
      <c r="F7842" t="s">
        <v>22436</v>
      </c>
      <c r="G7842" t="s">
        <v>22444</v>
      </c>
      <c r="H7842" t="s">
        <v>22452</v>
      </c>
      <c r="I7842" t="s">
        <v>22465</v>
      </c>
      <c r="J7842" t="s">
        <v>27643</v>
      </c>
      <c r="K7842" t="s">
        <v>29338</v>
      </c>
      <c r="M7842" t="s">
        <v>30286</v>
      </c>
      <c r="N7842" t="s">
        <v>32524</v>
      </c>
      <c r="O7842" t="s">
        <v>32525</v>
      </c>
      <c r="P7842">
        <v>0</v>
      </c>
      <c r="Q7842">
        <v>2</v>
      </c>
      <c r="R7842" t="s">
        <v>32533</v>
      </c>
      <c r="S7842" t="s">
        <v>32667</v>
      </c>
      <c r="T7842" t="s">
        <v>33218</v>
      </c>
      <c r="U7842" t="s">
        <v>35085</v>
      </c>
      <c r="V7842" t="s">
        <v>42583</v>
      </c>
      <c r="W7842" t="s">
        <v>30286</v>
      </c>
      <c r="X7842" t="s">
        <v>32534</v>
      </c>
    </row>
    <row r="7843" spans="1:24">
      <c r="A7843">
        <f>HYPERLINK("https://www.philgeps.gov.ph/GEPSNONPILOT/Tender/SplashBidNoticeAbstractUI.aspx?menuIndex=3&amp;refID=7035009&amp;Result=3","7035009")</f>
        <v>0</v>
      </c>
      <c r="B7843" t="s">
        <v>2126</v>
      </c>
      <c r="C7843" t="s">
        <v>10168</v>
      </c>
      <c r="D7843" t="s">
        <v>13061</v>
      </c>
      <c r="E7843" t="s">
        <v>19970</v>
      </c>
      <c r="F7843" t="s">
        <v>22436</v>
      </c>
      <c r="G7843" t="s">
        <v>22444</v>
      </c>
      <c r="H7843" t="s">
        <v>22452</v>
      </c>
      <c r="I7843" t="s">
        <v>22471</v>
      </c>
      <c r="J7843" t="s">
        <v>27644</v>
      </c>
      <c r="K7843" t="s">
        <v>29329</v>
      </c>
      <c r="M7843" t="s">
        <v>31878</v>
      </c>
      <c r="N7843" t="s">
        <v>32524</v>
      </c>
      <c r="O7843" t="s">
        <v>32525</v>
      </c>
      <c r="P7843">
        <v>0</v>
      </c>
      <c r="Q7843">
        <v>12</v>
      </c>
      <c r="R7843" t="s">
        <v>32533</v>
      </c>
      <c r="S7843" t="s">
        <v>32667</v>
      </c>
      <c r="T7843" t="s">
        <v>33212</v>
      </c>
      <c r="U7843" t="s">
        <v>40156</v>
      </c>
      <c r="W7843" t="s">
        <v>31878</v>
      </c>
      <c r="X7843" t="s">
        <v>32534</v>
      </c>
    </row>
    <row r="7844" spans="1:24">
      <c r="A7844">
        <f>HYPERLINK("https://www.philgeps.gov.ph/GEPSNONPILOT/Tender/SplashBidNoticeAbstractUI.aspx?menuIndex=3&amp;refID=7035008&amp;Result=3","7035008")</f>
        <v>0</v>
      </c>
      <c r="B7844" t="s">
        <v>2303</v>
      </c>
      <c r="C7844" t="s">
        <v>10169</v>
      </c>
      <c r="D7844" t="s">
        <v>13032</v>
      </c>
      <c r="E7844" t="s">
        <v>19971</v>
      </c>
      <c r="F7844" t="s">
        <v>22436</v>
      </c>
      <c r="G7844" t="s">
        <v>22444</v>
      </c>
      <c r="H7844" t="s">
        <v>22454</v>
      </c>
      <c r="I7844" t="s">
        <v>7738</v>
      </c>
      <c r="J7844" t="s">
        <v>27645</v>
      </c>
      <c r="K7844" t="s">
        <v>29344</v>
      </c>
      <c r="M7844" t="s">
        <v>32076</v>
      </c>
      <c r="N7844" t="s">
        <v>32524</v>
      </c>
      <c r="O7844" t="s">
        <v>32525</v>
      </c>
      <c r="P7844">
        <v>0</v>
      </c>
      <c r="Q7844">
        <v>0</v>
      </c>
      <c r="R7844" t="s">
        <v>32533</v>
      </c>
      <c r="S7844" t="s">
        <v>32667</v>
      </c>
      <c r="T7844" t="s">
        <v>33218</v>
      </c>
      <c r="U7844" t="s">
        <v>40147</v>
      </c>
      <c r="W7844" t="s">
        <v>32076</v>
      </c>
      <c r="X7844" t="s">
        <v>32534</v>
      </c>
    </row>
    <row r="7845" spans="1:24">
      <c r="A7845">
        <f>HYPERLINK("https://www.philgeps.gov.ph/GEPSNONPILOT/Tender/SplashBidNoticeAbstractUI.aspx?menuIndex=3&amp;refID=7035001&amp;Result=3","7035001")</f>
        <v>0</v>
      </c>
      <c r="B7845" t="s">
        <v>2306</v>
      </c>
      <c r="C7845" t="s">
        <v>10170</v>
      </c>
      <c r="D7845" t="s">
        <v>12998</v>
      </c>
      <c r="E7845" t="s">
        <v>19972</v>
      </c>
      <c r="F7845" t="s">
        <v>22436</v>
      </c>
      <c r="G7845" t="s">
        <v>22444</v>
      </c>
      <c r="H7845" t="s">
        <v>22454</v>
      </c>
      <c r="I7845" t="s">
        <v>7738</v>
      </c>
      <c r="J7845" t="s">
        <v>27646</v>
      </c>
      <c r="K7845" t="s">
        <v>29335</v>
      </c>
      <c r="M7845" t="s">
        <v>32079</v>
      </c>
      <c r="N7845" t="s">
        <v>32524</v>
      </c>
      <c r="O7845" t="s">
        <v>32525</v>
      </c>
      <c r="P7845">
        <v>0</v>
      </c>
      <c r="Q7845">
        <v>3</v>
      </c>
      <c r="R7845" t="s">
        <v>32533</v>
      </c>
      <c r="S7845" t="s">
        <v>32667</v>
      </c>
      <c r="T7845" t="s">
        <v>33234</v>
      </c>
      <c r="U7845" t="s">
        <v>40157</v>
      </c>
      <c r="V7845" t="s">
        <v>43279</v>
      </c>
      <c r="W7845" t="s">
        <v>32079</v>
      </c>
      <c r="X7845" t="s">
        <v>32534</v>
      </c>
    </row>
    <row r="7846" spans="1:24">
      <c r="A7846">
        <f>HYPERLINK("https://www.philgeps.gov.ph/GEPSNONPILOT/Tender/SplashBidNoticeAbstractUI.aspx?menuIndex=3&amp;refID=7035005&amp;Result=3","7035005")</f>
        <v>0</v>
      </c>
      <c r="B7846" t="s">
        <v>465</v>
      </c>
      <c r="C7846" t="s">
        <v>10145</v>
      </c>
      <c r="D7846" t="s">
        <v>13049</v>
      </c>
      <c r="E7846" t="s">
        <v>19973</v>
      </c>
      <c r="F7846" t="s">
        <v>22436</v>
      </c>
      <c r="G7846" t="s">
        <v>22450</v>
      </c>
      <c r="H7846" t="s">
        <v>22454</v>
      </c>
      <c r="I7846" t="s">
        <v>7738</v>
      </c>
      <c r="J7846" t="s">
        <v>27647</v>
      </c>
      <c r="K7846" t="s">
        <v>29399</v>
      </c>
      <c r="M7846" t="s">
        <v>30047</v>
      </c>
      <c r="N7846" t="s">
        <v>32524</v>
      </c>
      <c r="O7846" t="s">
        <v>32525</v>
      </c>
      <c r="P7846">
        <v>0</v>
      </c>
      <c r="Q7846">
        <v>0</v>
      </c>
      <c r="R7846" t="s">
        <v>32533</v>
      </c>
      <c r="S7846" t="s">
        <v>32667</v>
      </c>
      <c r="T7846" t="s">
        <v>33227</v>
      </c>
      <c r="U7846" t="s">
        <v>40158</v>
      </c>
      <c r="W7846" t="s">
        <v>30047</v>
      </c>
      <c r="X7846" t="s">
        <v>32534</v>
      </c>
    </row>
    <row r="7847" spans="1:24">
      <c r="A7847">
        <f>HYPERLINK("https://www.philgeps.gov.ph/GEPSNONPILOT/Tender/SplashBidNoticeAbstractUI.aspx?menuIndex=3&amp;refID=7035007&amp;Result=3","7035007")</f>
        <v>0</v>
      </c>
      <c r="B7847" t="s">
        <v>1654</v>
      </c>
      <c r="C7847" t="s">
        <v>10171</v>
      </c>
      <c r="D7847" t="s">
        <v>13031</v>
      </c>
      <c r="E7847" t="s">
        <v>19974</v>
      </c>
      <c r="F7847" t="s">
        <v>22436</v>
      </c>
      <c r="G7847" t="s">
        <v>22444</v>
      </c>
      <c r="H7847" t="s">
        <v>22454</v>
      </c>
      <c r="I7847" t="s">
        <v>7738</v>
      </c>
      <c r="J7847" t="s">
        <v>22669</v>
      </c>
      <c r="K7847" t="s">
        <v>29334</v>
      </c>
      <c r="L7847" t="s">
        <v>1654</v>
      </c>
      <c r="M7847" t="s">
        <v>32080</v>
      </c>
      <c r="N7847" t="s">
        <v>32524</v>
      </c>
      <c r="O7847" t="s">
        <v>32525</v>
      </c>
      <c r="P7847">
        <v>0</v>
      </c>
      <c r="Q7847">
        <v>0</v>
      </c>
      <c r="R7847" t="s">
        <v>32533</v>
      </c>
      <c r="S7847" t="s">
        <v>32667</v>
      </c>
      <c r="T7847" t="s">
        <v>33234</v>
      </c>
      <c r="U7847" t="s">
        <v>40159</v>
      </c>
      <c r="V7847" t="s">
        <v>43280</v>
      </c>
      <c r="W7847" t="s">
        <v>32080</v>
      </c>
      <c r="X7847" t="s">
        <v>32534</v>
      </c>
    </row>
    <row r="7848" spans="1:24">
      <c r="A7848">
        <f>HYPERLINK("https://www.philgeps.gov.ph/GEPSNONPILOT/Tender/SplashBidNoticeAbstractUI.aspx?menuIndex=3&amp;refID=7034999&amp;Result=3","7034999")</f>
        <v>0</v>
      </c>
      <c r="B7848" t="s">
        <v>1830</v>
      </c>
      <c r="C7848" t="s">
        <v>10172</v>
      </c>
      <c r="D7848" t="s">
        <v>12990</v>
      </c>
      <c r="E7848" t="s">
        <v>19975</v>
      </c>
      <c r="F7848" t="s">
        <v>22436</v>
      </c>
      <c r="G7848" t="s">
        <v>22444</v>
      </c>
      <c r="H7848" t="s">
        <v>22454</v>
      </c>
      <c r="I7848" t="s">
        <v>7738</v>
      </c>
      <c r="J7848" t="s">
        <v>27648</v>
      </c>
      <c r="K7848" t="s">
        <v>29390</v>
      </c>
      <c r="M7848" t="s">
        <v>31545</v>
      </c>
      <c r="N7848" t="s">
        <v>32524</v>
      </c>
      <c r="O7848" t="s">
        <v>32525</v>
      </c>
      <c r="P7848">
        <v>0</v>
      </c>
      <c r="Q7848">
        <v>0</v>
      </c>
      <c r="R7848" t="s">
        <v>32533</v>
      </c>
      <c r="S7848" t="s">
        <v>32667</v>
      </c>
      <c r="T7848" t="s">
        <v>33234</v>
      </c>
      <c r="U7848" t="s">
        <v>40160</v>
      </c>
      <c r="W7848" t="s">
        <v>31545</v>
      </c>
      <c r="X7848" t="s">
        <v>32534</v>
      </c>
    </row>
    <row r="7849" spans="1:24">
      <c r="A7849">
        <f>HYPERLINK("https://www.philgeps.gov.ph/GEPSNONPILOT/Tender/SplashBidNoticeAbstractUI.aspx?menuIndex=3&amp;refID=7035014&amp;Result=3","7035014")</f>
        <v>0</v>
      </c>
      <c r="B7849" t="s">
        <v>46</v>
      </c>
      <c r="C7849" t="s">
        <v>10173</v>
      </c>
      <c r="D7849" t="s">
        <v>13006</v>
      </c>
      <c r="E7849" t="s">
        <v>19976</v>
      </c>
      <c r="F7849" t="s">
        <v>22436</v>
      </c>
      <c r="G7849" t="s">
        <v>22444</v>
      </c>
      <c r="H7849" t="s">
        <v>22454</v>
      </c>
      <c r="I7849" t="s">
        <v>7738</v>
      </c>
      <c r="J7849" t="s">
        <v>22634</v>
      </c>
      <c r="K7849" t="s">
        <v>29329</v>
      </c>
      <c r="M7849" t="s">
        <v>31245</v>
      </c>
      <c r="N7849" t="s">
        <v>32524</v>
      </c>
      <c r="O7849" t="s">
        <v>32525</v>
      </c>
      <c r="P7849">
        <v>0</v>
      </c>
      <c r="Q7849">
        <v>0</v>
      </c>
      <c r="R7849" t="s">
        <v>32533</v>
      </c>
      <c r="S7849" t="s">
        <v>32667</v>
      </c>
      <c r="T7849" t="s">
        <v>33259</v>
      </c>
      <c r="U7849" t="s">
        <v>35793</v>
      </c>
      <c r="W7849" t="s">
        <v>31245</v>
      </c>
      <c r="X7849" t="s">
        <v>32534</v>
      </c>
    </row>
    <row r="7850" spans="1:24">
      <c r="A7850">
        <f>HYPERLINK("https://www.philgeps.gov.ph/GEPSNONPILOT/Tender/SplashBidNoticeAbstractUI.aspx?menuIndex=3&amp;refID=7035024&amp;Result=3","7035024")</f>
        <v>0</v>
      </c>
      <c r="B7850" t="s">
        <v>1922</v>
      </c>
      <c r="C7850" t="s">
        <v>10174</v>
      </c>
      <c r="E7850" t="s">
        <v>19977</v>
      </c>
      <c r="F7850" t="s">
        <v>22436</v>
      </c>
      <c r="G7850" t="s">
        <v>22444</v>
      </c>
      <c r="H7850" t="s">
        <v>22452</v>
      </c>
      <c r="I7850" t="s">
        <v>22550</v>
      </c>
      <c r="J7850" t="s">
        <v>26295</v>
      </c>
      <c r="K7850" t="s">
        <v>29338</v>
      </c>
      <c r="M7850" t="s">
        <v>31650</v>
      </c>
      <c r="N7850" t="s">
        <v>32524</v>
      </c>
      <c r="O7850" t="s">
        <v>32525</v>
      </c>
      <c r="P7850">
        <v>0</v>
      </c>
      <c r="Q7850">
        <v>11</v>
      </c>
      <c r="R7850" t="s">
        <v>32533</v>
      </c>
      <c r="S7850" t="s">
        <v>32667</v>
      </c>
      <c r="T7850" t="s">
        <v>33525</v>
      </c>
      <c r="U7850" t="s">
        <v>38723</v>
      </c>
      <c r="W7850" t="s">
        <v>31650</v>
      </c>
      <c r="X7850" t="s">
        <v>32534</v>
      </c>
    </row>
    <row r="7851" spans="1:24">
      <c r="A7851">
        <f>HYPERLINK("https://www.philgeps.gov.ph/GEPSNONPILOT/Tender/SplashBidNoticeAbstractUI.aspx?menuIndex=3&amp;refID=7035033&amp;Result=3","7035033")</f>
        <v>0</v>
      </c>
      <c r="B7851" t="s">
        <v>2303</v>
      </c>
      <c r="C7851" t="s">
        <v>10175</v>
      </c>
      <c r="D7851" t="s">
        <v>13032</v>
      </c>
      <c r="E7851" t="s">
        <v>19978</v>
      </c>
      <c r="F7851" t="s">
        <v>22436</v>
      </c>
      <c r="G7851" t="s">
        <v>22444</v>
      </c>
      <c r="H7851" t="s">
        <v>22454</v>
      </c>
      <c r="I7851" t="s">
        <v>7738</v>
      </c>
      <c r="J7851" t="s">
        <v>27645</v>
      </c>
      <c r="K7851" t="s">
        <v>29344</v>
      </c>
      <c r="M7851" t="s">
        <v>32076</v>
      </c>
      <c r="N7851" t="s">
        <v>32524</v>
      </c>
      <c r="O7851" t="s">
        <v>32525</v>
      </c>
      <c r="P7851">
        <v>0</v>
      </c>
      <c r="Q7851">
        <v>0</v>
      </c>
      <c r="R7851" t="s">
        <v>32533</v>
      </c>
      <c r="S7851" t="s">
        <v>32667</v>
      </c>
      <c r="T7851" t="s">
        <v>33218</v>
      </c>
      <c r="U7851" t="s">
        <v>40147</v>
      </c>
      <c r="W7851" t="s">
        <v>32076</v>
      </c>
      <c r="X7851" t="s">
        <v>32534</v>
      </c>
    </row>
    <row r="7852" spans="1:24">
      <c r="A7852">
        <f>HYPERLINK("https://www.philgeps.gov.ph/GEPSNONPILOT/Tender/SplashBidNoticeAbstractUI.aspx?menuIndex=3&amp;refID=7035032&amp;Result=3","7035032")</f>
        <v>0</v>
      </c>
      <c r="B7852" t="s">
        <v>1837</v>
      </c>
      <c r="C7852" t="s">
        <v>10176</v>
      </c>
      <c r="D7852" t="s">
        <v>13022</v>
      </c>
      <c r="E7852" t="s">
        <v>19979</v>
      </c>
      <c r="F7852" t="s">
        <v>22436</v>
      </c>
      <c r="G7852" t="s">
        <v>22444</v>
      </c>
      <c r="H7852" t="s">
        <v>22452</v>
      </c>
      <c r="I7852" t="s">
        <v>22555</v>
      </c>
      <c r="J7852" t="s">
        <v>22943</v>
      </c>
      <c r="K7852" t="s">
        <v>29333</v>
      </c>
      <c r="M7852" t="s">
        <v>32081</v>
      </c>
      <c r="N7852" t="s">
        <v>32524</v>
      </c>
      <c r="O7852" t="s">
        <v>32525</v>
      </c>
      <c r="Q7852">
        <v>1</v>
      </c>
      <c r="R7852" t="s">
        <v>32533</v>
      </c>
      <c r="S7852" t="s">
        <v>32724</v>
      </c>
      <c r="T7852" t="s">
        <v>33234</v>
      </c>
      <c r="U7852" t="s">
        <v>40161</v>
      </c>
      <c r="W7852" t="s">
        <v>32081</v>
      </c>
      <c r="X7852" t="s">
        <v>32534</v>
      </c>
    </row>
    <row r="7853" spans="1:24">
      <c r="A7853">
        <f>HYPERLINK("https://www.philgeps.gov.ph/GEPSNONPILOT/Tender/SplashBidNoticeAbstractUI.aspx?menuIndex=3&amp;refID=7035026&amp;Result=3","7035026")</f>
        <v>0</v>
      </c>
      <c r="B7853" t="s">
        <v>46</v>
      </c>
      <c r="C7853" t="s">
        <v>10177</v>
      </c>
      <c r="D7853" t="s">
        <v>13006</v>
      </c>
      <c r="E7853" t="s">
        <v>19980</v>
      </c>
      <c r="F7853" t="s">
        <v>22436</v>
      </c>
      <c r="G7853" t="s">
        <v>22444</v>
      </c>
      <c r="H7853" t="s">
        <v>22454</v>
      </c>
      <c r="I7853" t="s">
        <v>7738</v>
      </c>
      <c r="J7853" t="s">
        <v>27309</v>
      </c>
      <c r="K7853" t="s">
        <v>29520</v>
      </c>
      <c r="M7853" t="s">
        <v>31245</v>
      </c>
      <c r="N7853" t="s">
        <v>32524</v>
      </c>
      <c r="O7853" t="s">
        <v>32525</v>
      </c>
      <c r="P7853">
        <v>0</v>
      </c>
      <c r="Q7853">
        <v>2</v>
      </c>
      <c r="R7853" t="s">
        <v>32533</v>
      </c>
      <c r="S7853" t="s">
        <v>32667</v>
      </c>
      <c r="T7853" t="s">
        <v>33259</v>
      </c>
      <c r="U7853" t="s">
        <v>35793</v>
      </c>
      <c r="W7853" t="s">
        <v>31245</v>
      </c>
      <c r="X7853" t="s">
        <v>32534</v>
      </c>
    </row>
    <row r="7854" spans="1:24">
      <c r="A7854">
        <f>HYPERLINK("https://www.philgeps.gov.ph/GEPSNONPILOT/Tender/SplashBidNoticeAbstractUI.aspx?menuIndex=3&amp;refID=7035019&amp;Result=3","7035019")</f>
        <v>0</v>
      </c>
      <c r="B7854" t="s">
        <v>1922</v>
      </c>
      <c r="C7854" t="s">
        <v>10178</v>
      </c>
      <c r="E7854" t="s">
        <v>19981</v>
      </c>
      <c r="F7854" t="s">
        <v>22436</v>
      </c>
      <c r="G7854" t="s">
        <v>22444</v>
      </c>
      <c r="H7854" t="s">
        <v>22452</v>
      </c>
      <c r="I7854" t="s">
        <v>6387</v>
      </c>
      <c r="J7854" t="s">
        <v>27649</v>
      </c>
      <c r="K7854" t="s">
        <v>29338</v>
      </c>
      <c r="M7854" t="s">
        <v>31650</v>
      </c>
      <c r="N7854" t="s">
        <v>32524</v>
      </c>
      <c r="O7854" t="s">
        <v>32525</v>
      </c>
      <c r="P7854">
        <v>0</v>
      </c>
      <c r="Q7854">
        <v>14</v>
      </c>
      <c r="R7854" t="s">
        <v>32533</v>
      </c>
      <c r="S7854" t="s">
        <v>32667</v>
      </c>
      <c r="T7854" t="s">
        <v>33259</v>
      </c>
      <c r="U7854" t="s">
        <v>38723</v>
      </c>
      <c r="W7854" t="s">
        <v>31650</v>
      </c>
      <c r="X7854" t="s">
        <v>32534</v>
      </c>
    </row>
    <row r="7855" spans="1:24">
      <c r="A7855">
        <f>HYPERLINK("https://www.philgeps.gov.ph/GEPSNONPILOT/Tender/SplashBidNoticeAbstractUI.aspx?menuIndex=3&amp;refID=7034998&amp;Result=3","7034998")</f>
        <v>0</v>
      </c>
      <c r="B7855" t="s">
        <v>264</v>
      </c>
      <c r="C7855" t="s">
        <v>10179</v>
      </c>
      <c r="D7855" t="s">
        <v>13018</v>
      </c>
      <c r="E7855" t="s">
        <v>19982</v>
      </c>
      <c r="F7855" t="s">
        <v>22436</v>
      </c>
      <c r="G7855" t="s">
        <v>22443</v>
      </c>
      <c r="H7855" t="s">
        <v>22452</v>
      </c>
      <c r="I7855" t="s">
        <v>3529</v>
      </c>
      <c r="J7855" t="s">
        <v>23215</v>
      </c>
      <c r="K7855" t="s">
        <v>29338</v>
      </c>
      <c r="M7855" t="s">
        <v>29838</v>
      </c>
      <c r="N7855" t="s">
        <v>32524</v>
      </c>
      <c r="O7855" t="s">
        <v>32525</v>
      </c>
      <c r="P7855">
        <v>0</v>
      </c>
      <c r="Q7855">
        <v>1</v>
      </c>
      <c r="R7855" t="s">
        <v>32533</v>
      </c>
      <c r="S7855" t="s">
        <v>32667</v>
      </c>
      <c r="T7855" t="s">
        <v>33215</v>
      </c>
      <c r="U7855" t="s">
        <v>40162</v>
      </c>
      <c r="W7855" t="s">
        <v>29838</v>
      </c>
      <c r="X7855" t="s">
        <v>32534</v>
      </c>
    </row>
    <row r="7856" spans="1:24">
      <c r="A7856">
        <f>HYPERLINK("https://www.philgeps.gov.ph/GEPSNONPILOT/Tender/SplashBidNoticeAbstractUI.aspx?menuIndex=3&amp;refID=7035028&amp;Result=3","7035028")</f>
        <v>0</v>
      </c>
      <c r="B7856" t="s">
        <v>1830</v>
      </c>
      <c r="C7856" t="s">
        <v>10180</v>
      </c>
      <c r="D7856" t="s">
        <v>12990</v>
      </c>
      <c r="E7856" t="s">
        <v>19983</v>
      </c>
      <c r="F7856" t="s">
        <v>22436</v>
      </c>
      <c r="G7856" t="s">
        <v>22444</v>
      </c>
      <c r="H7856" t="s">
        <v>22454</v>
      </c>
      <c r="I7856" t="s">
        <v>7738</v>
      </c>
      <c r="J7856" t="s">
        <v>27650</v>
      </c>
      <c r="K7856" t="s">
        <v>29468</v>
      </c>
      <c r="M7856" t="s">
        <v>31545</v>
      </c>
      <c r="N7856" t="s">
        <v>32524</v>
      </c>
      <c r="O7856" t="s">
        <v>32525</v>
      </c>
      <c r="P7856">
        <v>0</v>
      </c>
      <c r="Q7856">
        <v>1</v>
      </c>
      <c r="R7856" t="s">
        <v>32533</v>
      </c>
      <c r="S7856" t="s">
        <v>32667</v>
      </c>
      <c r="T7856" t="s">
        <v>33212</v>
      </c>
      <c r="U7856" t="s">
        <v>40163</v>
      </c>
      <c r="W7856" t="s">
        <v>31545</v>
      </c>
      <c r="X7856" t="s">
        <v>32534</v>
      </c>
    </row>
    <row r="7857" spans="1:24">
      <c r="A7857">
        <f>HYPERLINK("https://www.philgeps.gov.ph/GEPSNONPILOT/Tender/SplashBidNoticeAbstractUI.aspx?menuIndex=3&amp;refID=7035020&amp;Result=3","7035020")</f>
        <v>0</v>
      </c>
      <c r="B7857" t="s">
        <v>692</v>
      </c>
      <c r="C7857" t="s">
        <v>10181</v>
      </c>
      <c r="D7857" t="s">
        <v>13032</v>
      </c>
      <c r="E7857" t="s">
        <v>19984</v>
      </c>
      <c r="F7857" t="s">
        <v>22436</v>
      </c>
      <c r="G7857" t="s">
        <v>22444</v>
      </c>
      <c r="H7857" t="s">
        <v>22452</v>
      </c>
      <c r="I7857" t="s">
        <v>22465</v>
      </c>
      <c r="J7857" t="s">
        <v>27651</v>
      </c>
      <c r="K7857" t="s">
        <v>29338</v>
      </c>
      <c r="M7857" t="s">
        <v>30286</v>
      </c>
      <c r="N7857" t="s">
        <v>32524</v>
      </c>
      <c r="O7857" t="s">
        <v>32525</v>
      </c>
      <c r="P7857">
        <v>0</v>
      </c>
      <c r="Q7857">
        <v>3</v>
      </c>
      <c r="R7857" t="s">
        <v>32533</v>
      </c>
      <c r="S7857" t="s">
        <v>32667</v>
      </c>
      <c r="T7857" t="s">
        <v>33218</v>
      </c>
      <c r="U7857" t="s">
        <v>35085</v>
      </c>
      <c r="V7857" t="s">
        <v>42583</v>
      </c>
      <c r="W7857" t="s">
        <v>30286</v>
      </c>
      <c r="X7857" t="s">
        <v>32534</v>
      </c>
    </row>
    <row r="7858" spans="1:24">
      <c r="A7858">
        <f>HYPERLINK("https://www.philgeps.gov.ph/GEPSNONPILOT/Tender/SplashBidNoticeAbstractUI.aspx?menuIndex=3&amp;refID=7035049&amp;Result=3","7035049")</f>
        <v>0</v>
      </c>
      <c r="B7858" t="s">
        <v>1830</v>
      </c>
      <c r="C7858" t="s">
        <v>10182</v>
      </c>
      <c r="D7858" t="s">
        <v>12990</v>
      </c>
      <c r="E7858" t="s">
        <v>19985</v>
      </c>
      <c r="F7858" t="s">
        <v>22436</v>
      </c>
      <c r="G7858" t="s">
        <v>22444</v>
      </c>
      <c r="H7858" t="s">
        <v>22454</v>
      </c>
      <c r="I7858" t="s">
        <v>7738</v>
      </c>
      <c r="J7858" t="s">
        <v>27652</v>
      </c>
      <c r="K7858" t="s">
        <v>29347</v>
      </c>
      <c r="M7858" t="s">
        <v>31545</v>
      </c>
      <c r="N7858" t="s">
        <v>32524</v>
      </c>
      <c r="O7858" t="s">
        <v>32525</v>
      </c>
      <c r="P7858">
        <v>0</v>
      </c>
      <c r="Q7858">
        <v>0</v>
      </c>
      <c r="R7858" t="s">
        <v>32533</v>
      </c>
      <c r="S7858" t="s">
        <v>32667</v>
      </c>
      <c r="T7858" t="s">
        <v>33212</v>
      </c>
      <c r="U7858" t="s">
        <v>40164</v>
      </c>
      <c r="W7858" t="s">
        <v>31545</v>
      </c>
      <c r="X7858" t="s">
        <v>32534</v>
      </c>
    </row>
    <row r="7859" spans="1:24">
      <c r="A7859">
        <f>HYPERLINK("https://www.philgeps.gov.ph/GEPSNONPILOT/Tender/SplashBidNoticeAbstractUI.aspx?menuIndex=3&amp;refID=7035034&amp;Result=3","7035034")</f>
        <v>0</v>
      </c>
      <c r="B7859" t="s">
        <v>46</v>
      </c>
      <c r="C7859" t="s">
        <v>10183</v>
      </c>
      <c r="D7859" t="s">
        <v>13006</v>
      </c>
      <c r="E7859" t="s">
        <v>19986</v>
      </c>
      <c r="F7859" t="s">
        <v>22436</v>
      </c>
      <c r="G7859" t="s">
        <v>22444</v>
      </c>
      <c r="H7859" t="s">
        <v>22454</v>
      </c>
      <c r="I7859" t="s">
        <v>7738</v>
      </c>
      <c r="J7859" t="s">
        <v>27653</v>
      </c>
      <c r="K7859" t="s">
        <v>29521</v>
      </c>
      <c r="M7859" t="s">
        <v>31245</v>
      </c>
      <c r="N7859" t="s">
        <v>32524</v>
      </c>
      <c r="O7859" t="s">
        <v>32525</v>
      </c>
      <c r="P7859">
        <v>0</v>
      </c>
      <c r="Q7859">
        <v>4</v>
      </c>
      <c r="R7859" t="s">
        <v>32533</v>
      </c>
      <c r="S7859" t="s">
        <v>32667</v>
      </c>
      <c r="T7859" t="s">
        <v>33259</v>
      </c>
      <c r="U7859" t="s">
        <v>35793</v>
      </c>
      <c r="W7859" t="s">
        <v>31245</v>
      </c>
      <c r="X7859" t="s">
        <v>32534</v>
      </c>
    </row>
    <row r="7860" spans="1:24">
      <c r="A7860">
        <f>HYPERLINK("https://www.philgeps.gov.ph/GEPSNONPILOT/Tender/SplashBidNoticeAbstractUI.aspx?menuIndex=3&amp;refID=7035040&amp;Result=3","7035040")</f>
        <v>0</v>
      </c>
      <c r="B7860" t="s">
        <v>1830</v>
      </c>
      <c r="C7860" t="s">
        <v>10184</v>
      </c>
      <c r="D7860" t="s">
        <v>12990</v>
      </c>
      <c r="E7860" t="s">
        <v>19987</v>
      </c>
      <c r="F7860" t="s">
        <v>22436</v>
      </c>
      <c r="G7860" t="s">
        <v>22444</v>
      </c>
      <c r="H7860" t="s">
        <v>22454</v>
      </c>
      <c r="I7860" t="s">
        <v>7738</v>
      </c>
      <c r="J7860" t="s">
        <v>27654</v>
      </c>
      <c r="K7860" t="s">
        <v>29511</v>
      </c>
      <c r="M7860" t="s">
        <v>31545</v>
      </c>
      <c r="N7860" t="s">
        <v>32524</v>
      </c>
      <c r="O7860" t="s">
        <v>32525</v>
      </c>
      <c r="P7860">
        <v>0</v>
      </c>
      <c r="Q7860">
        <v>0</v>
      </c>
      <c r="R7860" t="s">
        <v>32533</v>
      </c>
      <c r="S7860" t="s">
        <v>32667</v>
      </c>
      <c r="T7860" t="s">
        <v>33212</v>
      </c>
      <c r="U7860" t="s">
        <v>40165</v>
      </c>
      <c r="W7860" t="s">
        <v>31545</v>
      </c>
      <c r="X7860" t="s">
        <v>32534</v>
      </c>
    </row>
    <row r="7861" spans="1:24">
      <c r="A7861">
        <f>HYPERLINK("https://www.philgeps.gov.ph/GEPSNONPILOT/Tender/SplashBidNoticeAbstractUI.aspx?menuIndex=3&amp;refID=7035041&amp;Result=3","7035041")</f>
        <v>0</v>
      </c>
      <c r="B7861" t="s">
        <v>1289</v>
      </c>
      <c r="C7861" t="s">
        <v>10185</v>
      </c>
      <c r="E7861" t="s">
        <v>19988</v>
      </c>
      <c r="F7861" t="s">
        <v>22436</v>
      </c>
      <c r="G7861" t="s">
        <v>22444</v>
      </c>
      <c r="H7861" t="s">
        <v>22455</v>
      </c>
      <c r="I7861" t="s">
        <v>22455</v>
      </c>
      <c r="J7861" t="s">
        <v>27655</v>
      </c>
      <c r="K7861" t="s">
        <v>29522</v>
      </c>
      <c r="M7861" t="s">
        <v>31916</v>
      </c>
      <c r="N7861" t="s">
        <v>32524</v>
      </c>
      <c r="O7861" t="s">
        <v>32525</v>
      </c>
      <c r="Q7861">
        <v>6</v>
      </c>
      <c r="R7861" t="s">
        <v>32533</v>
      </c>
      <c r="S7861" t="s">
        <v>32725</v>
      </c>
      <c r="T7861" t="s">
        <v>33233</v>
      </c>
      <c r="U7861" t="s">
        <v>40166</v>
      </c>
      <c r="W7861" t="s">
        <v>31916</v>
      </c>
      <c r="X7861" t="s">
        <v>32534</v>
      </c>
    </row>
    <row r="7862" spans="1:24">
      <c r="A7862">
        <f>HYPERLINK("https://www.philgeps.gov.ph/GEPSNONPILOT/Tender/SplashBidNoticeAbstractUI.aspx?menuIndex=3&amp;refID=7035045&amp;Result=3","7035045")</f>
        <v>0</v>
      </c>
      <c r="B7862" t="s">
        <v>2303</v>
      </c>
      <c r="C7862" t="s">
        <v>10186</v>
      </c>
      <c r="D7862" t="s">
        <v>13032</v>
      </c>
      <c r="E7862" t="s">
        <v>19989</v>
      </c>
      <c r="F7862" t="s">
        <v>22436</v>
      </c>
      <c r="G7862" t="s">
        <v>22444</v>
      </c>
      <c r="H7862" t="s">
        <v>22454</v>
      </c>
      <c r="I7862" t="s">
        <v>7738</v>
      </c>
      <c r="J7862" t="s">
        <v>27656</v>
      </c>
      <c r="K7862" t="s">
        <v>29344</v>
      </c>
      <c r="M7862" t="s">
        <v>32076</v>
      </c>
      <c r="N7862" t="s">
        <v>32524</v>
      </c>
      <c r="O7862" t="s">
        <v>32525</v>
      </c>
      <c r="P7862">
        <v>0</v>
      </c>
      <c r="Q7862">
        <v>0</v>
      </c>
      <c r="R7862" t="s">
        <v>32533</v>
      </c>
      <c r="S7862" t="s">
        <v>32667</v>
      </c>
      <c r="T7862" t="s">
        <v>33218</v>
      </c>
      <c r="U7862" t="s">
        <v>40147</v>
      </c>
      <c r="W7862" t="s">
        <v>32076</v>
      </c>
      <c r="X7862" t="s">
        <v>32534</v>
      </c>
    </row>
    <row r="7863" spans="1:24">
      <c r="A7863">
        <f>HYPERLINK("https://www.philgeps.gov.ph/GEPSNONPILOT/Tender/SplashBidNoticeAbstractUI.aspx?menuIndex=3&amp;refID=7035055&amp;Result=3","7035055")</f>
        <v>0</v>
      </c>
      <c r="B7863" t="s">
        <v>692</v>
      </c>
      <c r="C7863" t="s">
        <v>10187</v>
      </c>
      <c r="D7863" t="s">
        <v>13032</v>
      </c>
      <c r="E7863" t="s">
        <v>19990</v>
      </c>
      <c r="F7863" t="s">
        <v>22436</v>
      </c>
      <c r="G7863" t="s">
        <v>22444</v>
      </c>
      <c r="H7863" t="s">
        <v>22454</v>
      </c>
      <c r="I7863" t="s">
        <v>22496</v>
      </c>
      <c r="J7863" t="s">
        <v>27657</v>
      </c>
      <c r="K7863" t="s">
        <v>29388</v>
      </c>
      <c r="M7863" t="s">
        <v>30286</v>
      </c>
      <c r="N7863" t="s">
        <v>32524</v>
      </c>
      <c r="O7863" t="s">
        <v>32525</v>
      </c>
      <c r="P7863">
        <v>0</v>
      </c>
      <c r="Q7863">
        <v>1</v>
      </c>
      <c r="R7863" t="s">
        <v>32533</v>
      </c>
      <c r="S7863" t="s">
        <v>32667</v>
      </c>
      <c r="T7863" t="s">
        <v>33218</v>
      </c>
      <c r="U7863" t="s">
        <v>40167</v>
      </c>
      <c r="V7863" t="s">
        <v>42583</v>
      </c>
      <c r="W7863" t="s">
        <v>30286</v>
      </c>
      <c r="X7863" t="s">
        <v>32534</v>
      </c>
    </row>
    <row r="7864" spans="1:24">
      <c r="A7864">
        <f>HYPERLINK("https://www.philgeps.gov.ph/GEPSNONPILOT/Tender/SplashBidNoticeAbstractUI.aspx?menuIndex=3&amp;refID=7035038&amp;Result=3","7035038")</f>
        <v>0</v>
      </c>
      <c r="B7864" t="s">
        <v>1830</v>
      </c>
      <c r="C7864" t="s">
        <v>10188</v>
      </c>
      <c r="D7864" t="s">
        <v>12990</v>
      </c>
      <c r="E7864" t="s">
        <v>19991</v>
      </c>
      <c r="F7864" t="s">
        <v>22436</v>
      </c>
      <c r="G7864" t="s">
        <v>22444</v>
      </c>
      <c r="H7864" t="s">
        <v>22454</v>
      </c>
      <c r="I7864" t="s">
        <v>7738</v>
      </c>
      <c r="J7864" t="s">
        <v>27658</v>
      </c>
      <c r="K7864" t="s">
        <v>29511</v>
      </c>
      <c r="M7864" t="s">
        <v>31545</v>
      </c>
      <c r="N7864" t="s">
        <v>32524</v>
      </c>
      <c r="O7864" t="s">
        <v>32525</v>
      </c>
      <c r="P7864">
        <v>0</v>
      </c>
      <c r="Q7864">
        <v>0</v>
      </c>
      <c r="R7864" t="s">
        <v>32533</v>
      </c>
      <c r="S7864" t="s">
        <v>32667</v>
      </c>
      <c r="T7864" t="s">
        <v>33212</v>
      </c>
      <c r="U7864" t="s">
        <v>40168</v>
      </c>
      <c r="W7864" t="s">
        <v>31545</v>
      </c>
      <c r="X7864" t="s">
        <v>32534</v>
      </c>
    </row>
    <row r="7865" spans="1:24">
      <c r="A7865">
        <f>HYPERLINK("https://www.philgeps.gov.ph/GEPSNONPILOT/Tender/SplashBidNoticeAbstractUI.aspx?menuIndex=3&amp;refID=7035053&amp;Result=3","7035053")</f>
        <v>0</v>
      </c>
      <c r="B7865" t="s">
        <v>930</v>
      </c>
      <c r="C7865" t="s">
        <v>10189</v>
      </c>
      <c r="D7865" t="s">
        <v>13041</v>
      </c>
      <c r="E7865" t="s">
        <v>19992</v>
      </c>
      <c r="F7865" t="s">
        <v>22436</v>
      </c>
      <c r="G7865" t="s">
        <v>22444</v>
      </c>
      <c r="H7865" t="s">
        <v>22454</v>
      </c>
      <c r="I7865" t="s">
        <v>7738</v>
      </c>
      <c r="J7865" t="s">
        <v>27659</v>
      </c>
      <c r="K7865" t="s">
        <v>29440</v>
      </c>
      <c r="M7865" t="s">
        <v>30544</v>
      </c>
      <c r="N7865" t="s">
        <v>32524</v>
      </c>
      <c r="O7865" t="s">
        <v>32525</v>
      </c>
      <c r="P7865">
        <v>0</v>
      </c>
      <c r="Q7865">
        <v>0</v>
      </c>
      <c r="R7865" t="s">
        <v>32533</v>
      </c>
      <c r="S7865" t="s">
        <v>32667</v>
      </c>
      <c r="T7865" t="s">
        <v>33163</v>
      </c>
      <c r="U7865" t="s">
        <v>40169</v>
      </c>
      <c r="V7865" t="s">
        <v>43281</v>
      </c>
      <c r="W7865" t="s">
        <v>30544</v>
      </c>
      <c r="X7865" t="s">
        <v>32534</v>
      </c>
    </row>
    <row r="7866" spans="1:24">
      <c r="A7866">
        <f>HYPERLINK("https://www.philgeps.gov.ph/GEPSNONPILOT/Tender/SplashBidNoticeAbstractUI.aspx?menuIndex=3&amp;refID=7035064&amp;Result=3","7035064")</f>
        <v>0</v>
      </c>
      <c r="B7866" t="s">
        <v>865</v>
      </c>
      <c r="C7866" t="s">
        <v>10190</v>
      </c>
      <c r="D7866" t="s">
        <v>12988</v>
      </c>
      <c r="E7866" t="s">
        <v>19993</v>
      </c>
      <c r="F7866" t="s">
        <v>22436</v>
      </c>
      <c r="G7866" t="s">
        <v>22444</v>
      </c>
      <c r="H7866" t="s">
        <v>22452</v>
      </c>
      <c r="I7866" t="s">
        <v>22469</v>
      </c>
      <c r="J7866" t="s">
        <v>22669</v>
      </c>
      <c r="K7866" t="s">
        <v>29334</v>
      </c>
      <c r="M7866" t="s">
        <v>30472</v>
      </c>
      <c r="N7866" t="s">
        <v>32524</v>
      </c>
      <c r="O7866" t="s">
        <v>32525</v>
      </c>
      <c r="P7866">
        <v>0</v>
      </c>
      <c r="Q7866">
        <v>13</v>
      </c>
      <c r="R7866" t="s">
        <v>32533</v>
      </c>
      <c r="S7866" t="s">
        <v>32667</v>
      </c>
      <c r="T7866" t="s">
        <v>33242</v>
      </c>
      <c r="U7866" t="s">
        <v>40170</v>
      </c>
      <c r="V7866" t="s">
        <v>43282</v>
      </c>
      <c r="W7866" t="s">
        <v>30472</v>
      </c>
      <c r="X7866" t="s">
        <v>32534</v>
      </c>
    </row>
    <row r="7867" spans="1:24">
      <c r="A7867">
        <f>HYPERLINK("https://www.philgeps.gov.ph/GEPSNONPILOT/Tender/SplashBidNoticeAbstractUI.aspx?menuIndex=3&amp;refID=7035069&amp;Result=3","7035069")</f>
        <v>0</v>
      </c>
      <c r="B7867" t="s">
        <v>2301</v>
      </c>
      <c r="C7867" t="s">
        <v>10138</v>
      </c>
      <c r="D7867" t="s">
        <v>13078</v>
      </c>
      <c r="E7867" t="s">
        <v>19943</v>
      </c>
      <c r="F7867" t="s">
        <v>22436</v>
      </c>
      <c r="G7867" t="s">
        <v>22444</v>
      </c>
      <c r="H7867" t="s">
        <v>22454</v>
      </c>
      <c r="I7867" t="s">
        <v>7738</v>
      </c>
      <c r="J7867" t="s">
        <v>23805</v>
      </c>
      <c r="K7867" t="s">
        <v>29346</v>
      </c>
      <c r="M7867" t="s">
        <v>32082</v>
      </c>
      <c r="N7867" t="s">
        <v>32524</v>
      </c>
      <c r="O7867" t="s">
        <v>32525</v>
      </c>
      <c r="P7867">
        <v>0</v>
      </c>
      <c r="Q7867">
        <v>1</v>
      </c>
      <c r="R7867" t="s">
        <v>32533</v>
      </c>
      <c r="S7867" t="s">
        <v>32667</v>
      </c>
      <c r="T7867" t="s">
        <v>33561</v>
      </c>
      <c r="U7867" t="s">
        <v>40135</v>
      </c>
      <c r="W7867" t="s">
        <v>32082</v>
      </c>
      <c r="X7867" t="s">
        <v>32534</v>
      </c>
    </row>
    <row r="7868" spans="1:24">
      <c r="A7868">
        <f>HYPERLINK("https://www.philgeps.gov.ph/GEPSNONPILOT/Tender/SplashBidNoticeAbstractUI.aspx?menuIndex=3&amp;refID=7035067&amp;Result=3","7035067")</f>
        <v>0</v>
      </c>
      <c r="B7868" t="s">
        <v>692</v>
      </c>
      <c r="C7868" t="s">
        <v>10191</v>
      </c>
      <c r="D7868" t="s">
        <v>13032</v>
      </c>
      <c r="E7868" t="s">
        <v>19994</v>
      </c>
      <c r="F7868" t="s">
        <v>22436</v>
      </c>
      <c r="G7868" t="s">
        <v>22444</v>
      </c>
      <c r="H7868" t="s">
        <v>22454</v>
      </c>
      <c r="I7868" t="s">
        <v>22496</v>
      </c>
      <c r="J7868" t="s">
        <v>27660</v>
      </c>
      <c r="K7868" t="s">
        <v>29412</v>
      </c>
      <c r="M7868" t="s">
        <v>30286</v>
      </c>
      <c r="N7868" t="s">
        <v>32524</v>
      </c>
      <c r="O7868" t="s">
        <v>32525</v>
      </c>
      <c r="P7868">
        <v>0</v>
      </c>
      <c r="Q7868">
        <v>2</v>
      </c>
      <c r="R7868" t="s">
        <v>32533</v>
      </c>
      <c r="S7868" t="s">
        <v>32667</v>
      </c>
      <c r="T7868" t="s">
        <v>33218</v>
      </c>
      <c r="U7868" t="s">
        <v>40167</v>
      </c>
      <c r="V7868" t="s">
        <v>42583</v>
      </c>
      <c r="W7868" t="s">
        <v>30286</v>
      </c>
      <c r="X7868" t="s">
        <v>32534</v>
      </c>
    </row>
    <row r="7869" spans="1:24">
      <c r="A7869">
        <f>HYPERLINK("https://www.philgeps.gov.ph/GEPSNONPILOT/Tender/SplashBidNoticeAbstractUI.aspx?menuIndex=3&amp;refID=7035062&amp;Result=3","7035062")</f>
        <v>0</v>
      </c>
      <c r="B7869" t="s">
        <v>140</v>
      </c>
      <c r="C7869" t="s">
        <v>10192</v>
      </c>
      <c r="D7869" t="s">
        <v>12988</v>
      </c>
      <c r="E7869" t="s">
        <v>19995</v>
      </c>
      <c r="F7869" t="s">
        <v>22436</v>
      </c>
      <c r="G7869" t="s">
        <v>22444</v>
      </c>
      <c r="H7869" t="s">
        <v>22452</v>
      </c>
      <c r="I7869" t="s">
        <v>22476</v>
      </c>
      <c r="J7869" t="s">
        <v>27661</v>
      </c>
      <c r="K7869" t="s">
        <v>29338</v>
      </c>
      <c r="M7869" t="s">
        <v>30489</v>
      </c>
      <c r="N7869" t="s">
        <v>32524</v>
      </c>
      <c r="O7869" t="s">
        <v>32525</v>
      </c>
      <c r="P7869">
        <v>0</v>
      </c>
      <c r="Q7869">
        <v>7</v>
      </c>
      <c r="R7869" t="s">
        <v>32533</v>
      </c>
      <c r="S7869" t="s">
        <v>32667</v>
      </c>
      <c r="T7869" t="s">
        <v>33259</v>
      </c>
      <c r="U7869" t="s">
        <v>40171</v>
      </c>
      <c r="W7869" t="s">
        <v>30489</v>
      </c>
      <c r="X7869" t="s">
        <v>32534</v>
      </c>
    </row>
    <row r="7870" spans="1:24">
      <c r="A7870">
        <f>HYPERLINK("https://www.philgeps.gov.ph/GEPSNONPILOT/Tender/SplashBidNoticeAbstractUI.aspx?menuIndex=3&amp;refID=7035043&amp;Result=3","7035043")</f>
        <v>0</v>
      </c>
      <c r="B7870" t="s">
        <v>46</v>
      </c>
      <c r="C7870" t="s">
        <v>10193</v>
      </c>
      <c r="D7870" t="s">
        <v>13006</v>
      </c>
      <c r="E7870" t="s">
        <v>19996</v>
      </c>
      <c r="F7870" t="s">
        <v>22436</v>
      </c>
      <c r="G7870" t="s">
        <v>22444</v>
      </c>
      <c r="H7870" t="s">
        <v>22454</v>
      </c>
      <c r="I7870" t="s">
        <v>7738</v>
      </c>
      <c r="J7870" t="s">
        <v>27662</v>
      </c>
      <c r="K7870" t="s">
        <v>29479</v>
      </c>
      <c r="M7870" t="s">
        <v>31245</v>
      </c>
      <c r="N7870" t="s">
        <v>32524</v>
      </c>
      <c r="O7870" t="s">
        <v>32525</v>
      </c>
      <c r="P7870">
        <v>0</v>
      </c>
      <c r="Q7870">
        <v>0</v>
      </c>
      <c r="R7870" t="s">
        <v>32533</v>
      </c>
      <c r="S7870" t="s">
        <v>32667</v>
      </c>
      <c r="T7870" t="s">
        <v>33259</v>
      </c>
      <c r="U7870" t="s">
        <v>40172</v>
      </c>
      <c r="W7870" t="s">
        <v>31245</v>
      </c>
      <c r="X7870" t="s">
        <v>32534</v>
      </c>
    </row>
    <row r="7871" spans="1:24">
      <c r="A7871">
        <f>HYPERLINK("https://www.philgeps.gov.ph/GEPSNONPILOT/Tender/SplashBidNoticeAbstractUI.aspx?menuIndex=3&amp;refID=7035072&amp;Result=3","7035072")</f>
        <v>0</v>
      </c>
      <c r="B7871" t="s">
        <v>740</v>
      </c>
      <c r="C7871" t="s">
        <v>10194</v>
      </c>
      <c r="D7871" t="s">
        <v>13002</v>
      </c>
      <c r="E7871" t="s">
        <v>19997</v>
      </c>
      <c r="F7871" t="s">
        <v>22436</v>
      </c>
      <c r="G7871" t="s">
        <v>22444</v>
      </c>
      <c r="H7871" t="s">
        <v>22454</v>
      </c>
      <c r="I7871" t="s">
        <v>7738</v>
      </c>
      <c r="J7871" t="s">
        <v>22634</v>
      </c>
      <c r="K7871" t="s">
        <v>29334</v>
      </c>
      <c r="M7871" t="s">
        <v>30341</v>
      </c>
      <c r="N7871" t="s">
        <v>32524</v>
      </c>
      <c r="O7871" t="s">
        <v>32525</v>
      </c>
      <c r="Q7871">
        <v>0</v>
      </c>
      <c r="R7871" t="s">
        <v>32533</v>
      </c>
      <c r="S7871" t="s">
        <v>32726</v>
      </c>
      <c r="T7871" t="s">
        <v>33242</v>
      </c>
      <c r="U7871" t="s">
        <v>40173</v>
      </c>
      <c r="W7871" t="s">
        <v>30341</v>
      </c>
      <c r="X7871" t="s">
        <v>32534</v>
      </c>
    </row>
    <row r="7872" spans="1:24">
      <c r="A7872">
        <f>HYPERLINK("https://www.philgeps.gov.ph/GEPSNONPILOT/Tender/SplashBidNoticeAbstractUI.aspx?menuIndex=3&amp;refID=7035060&amp;Result=3","7035060")</f>
        <v>0</v>
      </c>
      <c r="B7872" t="s">
        <v>930</v>
      </c>
      <c r="C7872" t="s">
        <v>10195</v>
      </c>
      <c r="D7872" t="s">
        <v>13041</v>
      </c>
      <c r="E7872" t="s">
        <v>19998</v>
      </c>
      <c r="F7872" t="s">
        <v>22436</v>
      </c>
      <c r="G7872" t="s">
        <v>22444</v>
      </c>
      <c r="H7872" t="s">
        <v>22454</v>
      </c>
      <c r="I7872" t="s">
        <v>7738</v>
      </c>
      <c r="J7872" t="s">
        <v>23093</v>
      </c>
      <c r="K7872" t="s">
        <v>29444</v>
      </c>
      <c r="M7872" t="s">
        <v>30544</v>
      </c>
      <c r="N7872" t="s">
        <v>32524</v>
      </c>
      <c r="O7872" t="s">
        <v>32525</v>
      </c>
      <c r="P7872">
        <v>0</v>
      </c>
      <c r="Q7872">
        <v>0</v>
      </c>
      <c r="R7872" t="s">
        <v>32533</v>
      </c>
      <c r="S7872" t="s">
        <v>32667</v>
      </c>
      <c r="T7872" t="s">
        <v>33163</v>
      </c>
      <c r="U7872" t="s">
        <v>40174</v>
      </c>
      <c r="V7872" t="s">
        <v>43281</v>
      </c>
      <c r="W7872" t="s">
        <v>30544</v>
      </c>
      <c r="X7872" t="s">
        <v>32534</v>
      </c>
    </row>
    <row r="7873" spans="1:24">
      <c r="A7873">
        <f>HYPERLINK("https://www.philgeps.gov.ph/GEPSNONPILOT/Tender/SplashBidNoticeAbstractUI.aspx?menuIndex=3&amp;refID=7035056&amp;Result=3","7035056")</f>
        <v>0</v>
      </c>
      <c r="B7873" t="s">
        <v>930</v>
      </c>
      <c r="C7873" t="s">
        <v>10196</v>
      </c>
      <c r="D7873" t="s">
        <v>13041</v>
      </c>
      <c r="E7873" t="s">
        <v>19999</v>
      </c>
      <c r="F7873" t="s">
        <v>22440</v>
      </c>
      <c r="G7873" t="s">
        <v>22444</v>
      </c>
      <c r="H7873" t="s">
        <v>22454</v>
      </c>
      <c r="I7873" t="s">
        <v>7738</v>
      </c>
      <c r="J7873" t="s">
        <v>26091</v>
      </c>
      <c r="K7873" t="s">
        <v>29486</v>
      </c>
      <c r="M7873" t="s">
        <v>30544</v>
      </c>
      <c r="N7873" t="s">
        <v>32524</v>
      </c>
      <c r="O7873" t="s">
        <v>32525</v>
      </c>
      <c r="P7873">
        <v>0</v>
      </c>
      <c r="Q7873">
        <v>0</v>
      </c>
      <c r="R7873" t="s">
        <v>32533</v>
      </c>
      <c r="S7873" t="s">
        <v>32667</v>
      </c>
      <c r="T7873" t="s">
        <v>33163</v>
      </c>
      <c r="U7873" t="s">
        <v>40175</v>
      </c>
      <c r="V7873" t="s">
        <v>43281</v>
      </c>
      <c r="W7873" t="s">
        <v>30544</v>
      </c>
      <c r="X7873" t="s">
        <v>32534</v>
      </c>
    </row>
    <row r="7874" spans="1:24">
      <c r="A7874">
        <f>HYPERLINK("https://www.philgeps.gov.ph/GEPSNONPILOT/Tender/SplashBidNoticeAbstractUI.aspx?menuIndex=3&amp;refID=7035077&amp;Result=3","7035077")</f>
        <v>0</v>
      </c>
      <c r="B7874" t="s">
        <v>2307</v>
      </c>
      <c r="C7874" t="s">
        <v>10197</v>
      </c>
      <c r="D7874" t="s">
        <v>12990</v>
      </c>
      <c r="E7874" t="s">
        <v>20000</v>
      </c>
      <c r="F7874" t="s">
        <v>22436</v>
      </c>
      <c r="G7874" t="s">
        <v>22444</v>
      </c>
      <c r="H7874" t="s">
        <v>22454</v>
      </c>
      <c r="I7874" t="s">
        <v>7738</v>
      </c>
      <c r="J7874" t="s">
        <v>27663</v>
      </c>
      <c r="K7874" t="s">
        <v>29333</v>
      </c>
      <c r="M7874" t="s">
        <v>32083</v>
      </c>
      <c r="N7874" t="s">
        <v>32524</v>
      </c>
      <c r="O7874" t="s">
        <v>32525</v>
      </c>
      <c r="P7874">
        <v>0</v>
      </c>
      <c r="Q7874">
        <v>0</v>
      </c>
      <c r="R7874" t="s">
        <v>32533</v>
      </c>
      <c r="S7874" t="s">
        <v>32667</v>
      </c>
      <c r="T7874" t="s">
        <v>33287</v>
      </c>
      <c r="U7874" t="s">
        <v>40176</v>
      </c>
      <c r="W7874" t="s">
        <v>32083</v>
      </c>
      <c r="X7874" t="s">
        <v>32534</v>
      </c>
    </row>
    <row r="7875" spans="1:24">
      <c r="A7875">
        <f>HYPERLINK("https://www.philgeps.gov.ph/GEPSNONPILOT/Tender/SplashBidNoticeAbstractUI.aspx?menuIndex=3&amp;refID=7035058&amp;Result=3","7035058")</f>
        <v>0</v>
      </c>
      <c r="B7875" t="s">
        <v>930</v>
      </c>
      <c r="C7875" t="s">
        <v>10198</v>
      </c>
      <c r="D7875" t="s">
        <v>13041</v>
      </c>
      <c r="E7875" t="s">
        <v>20001</v>
      </c>
      <c r="F7875" t="s">
        <v>22436</v>
      </c>
      <c r="G7875" t="s">
        <v>22444</v>
      </c>
      <c r="H7875" t="s">
        <v>22454</v>
      </c>
      <c r="I7875" t="s">
        <v>7738</v>
      </c>
      <c r="J7875" t="s">
        <v>27664</v>
      </c>
      <c r="K7875" t="s">
        <v>29523</v>
      </c>
      <c r="M7875" t="s">
        <v>30544</v>
      </c>
      <c r="N7875" t="s">
        <v>32524</v>
      </c>
      <c r="O7875" t="s">
        <v>32525</v>
      </c>
      <c r="P7875">
        <v>0</v>
      </c>
      <c r="Q7875">
        <v>0</v>
      </c>
      <c r="R7875" t="s">
        <v>32533</v>
      </c>
      <c r="S7875" t="s">
        <v>32667</v>
      </c>
      <c r="T7875" t="s">
        <v>33163</v>
      </c>
      <c r="U7875" t="s">
        <v>40177</v>
      </c>
      <c r="V7875" t="s">
        <v>43281</v>
      </c>
      <c r="W7875" t="s">
        <v>30544</v>
      </c>
      <c r="X7875" t="s">
        <v>32534</v>
      </c>
    </row>
    <row r="7876" spans="1:24">
      <c r="A7876">
        <f>HYPERLINK("https://www.philgeps.gov.ph/GEPSNONPILOT/Tender/SplashBidNoticeAbstractUI.aspx?menuIndex=3&amp;refID=7035074&amp;Result=3","7035074")</f>
        <v>0</v>
      </c>
      <c r="B7876" t="s">
        <v>1045</v>
      </c>
      <c r="C7876" t="s">
        <v>10199</v>
      </c>
      <c r="E7876" t="s">
        <v>19780</v>
      </c>
      <c r="F7876" t="s">
        <v>22436</v>
      </c>
      <c r="G7876" t="s">
        <v>22443</v>
      </c>
      <c r="H7876" t="s">
        <v>22455</v>
      </c>
      <c r="I7876" t="s">
        <v>22577</v>
      </c>
      <c r="J7876" t="s">
        <v>22788</v>
      </c>
      <c r="K7876" t="s">
        <v>29338</v>
      </c>
      <c r="M7876" t="s">
        <v>30677</v>
      </c>
      <c r="N7876" t="s">
        <v>32524</v>
      </c>
      <c r="O7876" t="s">
        <v>32525</v>
      </c>
      <c r="Q7876">
        <v>4</v>
      </c>
      <c r="R7876" t="s">
        <v>32533</v>
      </c>
      <c r="S7876" t="s">
        <v>32727</v>
      </c>
      <c r="T7876" t="s">
        <v>33169</v>
      </c>
      <c r="U7876" t="s">
        <v>40178</v>
      </c>
      <c r="V7876" t="s">
        <v>42696</v>
      </c>
      <c r="W7876" t="s">
        <v>43705</v>
      </c>
      <c r="X7876" t="s">
        <v>32534</v>
      </c>
    </row>
    <row r="7877" spans="1:24">
      <c r="A7877">
        <f>HYPERLINK("https://www.philgeps.gov.ph/GEPSNONPILOT/Tender/SplashBidNoticeAbstractUI.aspx?menuIndex=3&amp;refID=7035044&amp;Result=3","7035044")</f>
        <v>0</v>
      </c>
      <c r="B7877" t="s">
        <v>1830</v>
      </c>
      <c r="C7877" t="s">
        <v>10200</v>
      </c>
      <c r="D7877" t="s">
        <v>12990</v>
      </c>
      <c r="E7877" t="s">
        <v>20002</v>
      </c>
      <c r="F7877" t="s">
        <v>22436</v>
      </c>
      <c r="G7877" t="s">
        <v>22444</v>
      </c>
      <c r="H7877" t="s">
        <v>22454</v>
      </c>
      <c r="I7877" t="s">
        <v>7738</v>
      </c>
      <c r="J7877" t="s">
        <v>27665</v>
      </c>
      <c r="K7877" t="s">
        <v>29465</v>
      </c>
      <c r="M7877" t="s">
        <v>31545</v>
      </c>
      <c r="N7877" t="s">
        <v>32524</v>
      </c>
      <c r="O7877" t="s">
        <v>32525</v>
      </c>
      <c r="P7877">
        <v>0</v>
      </c>
      <c r="Q7877">
        <v>0</v>
      </c>
      <c r="R7877" t="s">
        <v>32533</v>
      </c>
      <c r="S7877" t="s">
        <v>32667</v>
      </c>
      <c r="T7877" t="s">
        <v>33212</v>
      </c>
      <c r="U7877" t="s">
        <v>40179</v>
      </c>
      <c r="W7877" t="s">
        <v>31545</v>
      </c>
      <c r="X7877" t="s">
        <v>32534</v>
      </c>
    </row>
    <row r="7878" spans="1:24">
      <c r="A7878">
        <f>HYPERLINK("https://www.philgeps.gov.ph/GEPSNONPILOT/Tender/SplashBidNoticeAbstractUI.aspx?menuIndex=3&amp;refID=7035083&amp;Result=3","7035083")</f>
        <v>0</v>
      </c>
      <c r="B7878" t="s">
        <v>2308</v>
      </c>
      <c r="C7878" t="s">
        <v>10201</v>
      </c>
      <c r="D7878" t="s">
        <v>13066</v>
      </c>
      <c r="E7878" t="s">
        <v>20003</v>
      </c>
      <c r="F7878" t="s">
        <v>22436</v>
      </c>
      <c r="G7878" t="s">
        <v>22444</v>
      </c>
      <c r="H7878" t="s">
        <v>22454</v>
      </c>
      <c r="I7878" t="s">
        <v>22496</v>
      </c>
      <c r="J7878" t="s">
        <v>22634</v>
      </c>
      <c r="K7878" t="s">
        <v>29388</v>
      </c>
      <c r="M7878" t="s">
        <v>32084</v>
      </c>
      <c r="N7878" t="s">
        <v>32524</v>
      </c>
      <c r="O7878" t="s">
        <v>32525</v>
      </c>
      <c r="P7878">
        <v>0</v>
      </c>
      <c r="Q7878">
        <v>8</v>
      </c>
      <c r="R7878" t="s">
        <v>32533</v>
      </c>
      <c r="S7878" t="s">
        <v>32667</v>
      </c>
      <c r="T7878" t="s">
        <v>33455</v>
      </c>
      <c r="U7878" t="s">
        <v>40180</v>
      </c>
      <c r="W7878" t="s">
        <v>32084</v>
      </c>
      <c r="X7878" t="s">
        <v>32534</v>
      </c>
    </row>
    <row r="7879" spans="1:24">
      <c r="A7879">
        <f>HYPERLINK("https://www.philgeps.gov.ph/GEPSNONPILOT/Tender/SplashBidNoticeAbstractUI.aspx?menuIndex=3&amp;refID=7035114&amp;Result=3","7035114")</f>
        <v>0</v>
      </c>
      <c r="B7879" t="s">
        <v>2309</v>
      </c>
      <c r="C7879" t="s">
        <v>10202</v>
      </c>
      <c r="D7879" t="s">
        <v>12988</v>
      </c>
      <c r="E7879" t="s">
        <v>20004</v>
      </c>
      <c r="F7879" t="s">
        <v>22436</v>
      </c>
      <c r="G7879" t="s">
        <v>22444</v>
      </c>
      <c r="H7879" t="s">
        <v>22454</v>
      </c>
      <c r="I7879" t="s">
        <v>7738</v>
      </c>
      <c r="J7879" t="s">
        <v>27666</v>
      </c>
      <c r="K7879" t="s">
        <v>29334</v>
      </c>
      <c r="M7879" t="s">
        <v>32085</v>
      </c>
      <c r="N7879" t="s">
        <v>32524</v>
      </c>
      <c r="O7879" t="s">
        <v>32525</v>
      </c>
      <c r="P7879">
        <v>0</v>
      </c>
      <c r="Q7879">
        <v>14</v>
      </c>
      <c r="R7879" t="s">
        <v>32533</v>
      </c>
      <c r="S7879" t="s">
        <v>32667</v>
      </c>
      <c r="T7879" t="s">
        <v>33234</v>
      </c>
      <c r="U7879" t="s">
        <v>40181</v>
      </c>
      <c r="W7879" t="s">
        <v>32085</v>
      </c>
      <c r="X7879" t="s">
        <v>32534</v>
      </c>
    </row>
    <row r="7880" spans="1:24">
      <c r="A7880">
        <f>HYPERLINK("https://www.philgeps.gov.ph/GEPSNONPILOT/Tender/SplashBidNoticeAbstractUI.aspx?menuIndex=3&amp;refID=7035089&amp;Result=3","7035089")</f>
        <v>0</v>
      </c>
      <c r="B7880" t="s">
        <v>2310</v>
      </c>
      <c r="C7880" t="s">
        <v>10203</v>
      </c>
      <c r="D7880" t="s">
        <v>13032</v>
      </c>
      <c r="E7880" t="s">
        <v>20005</v>
      </c>
      <c r="F7880" t="s">
        <v>22436</v>
      </c>
      <c r="G7880" t="s">
        <v>22444</v>
      </c>
      <c r="H7880" t="s">
        <v>22452</v>
      </c>
      <c r="I7880" t="s">
        <v>22474</v>
      </c>
      <c r="J7880" t="s">
        <v>22634</v>
      </c>
      <c r="K7880" t="s">
        <v>29338</v>
      </c>
      <c r="M7880" t="s">
        <v>32086</v>
      </c>
      <c r="N7880" t="s">
        <v>32524</v>
      </c>
      <c r="O7880" t="s">
        <v>32525</v>
      </c>
      <c r="P7880">
        <v>0</v>
      </c>
      <c r="Q7880">
        <v>7</v>
      </c>
      <c r="R7880" t="s">
        <v>32533</v>
      </c>
      <c r="S7880" t="s">
        <v>32667</v>
      </c>
      <c r="T7880" t="s">
        <v>33340</v>
      </c>
      <c r="U7880" t="s">
        <v>36570</v>
      </c>
      <c r="W7880" t="s">
        <v>32086</v>
      </c>
      <c r="X7880" t="s">
        <v>32534</v>
      </c>
    </row>
    <row r="7881" spans="1:24">
      <c r="A7881">
        <f>HYPERLINK("https://www.philgeps.gov.ph/GEPSNONPILOT/Tender/SplashBidNoticeAbstractUI.aspx?menuIndex=3&amp;refID=7035087&amp;Result=3","7035087")</f>
        <v>0</v>
      </c>
      <c r="B7881" t="s">
        <v>2311</v>
      </c>
      <c r="C7881" t="s">
        <v>10204</v>
      </c>
      <c r="D7881" t="s">
        <v>13020</v>
      </c>
      <c r="E7881" t="s">
        <v>13137</v>
      </c>
      <c r="F7881" t="s">
        <v>22436</v>
      </c>
      <c r="G7881" t="s">
        <v>22444</v>
      </c>
      <c r="H7881" t="s">
        <v>22452</v>
      </c>
      <c r="I7881" t="s">
        <v>22471</v>
      </c>
      <c r="J7881" t="s">
        <v>27667</v>
      </c>
      <c r="K7881" t="s">
        <v>29335</v>
      </c>
      <c r="M7881" t="s">
        <v>32087</v>
      </c>
      <c r="N7881" t="s">
        <v>32524</v>
      </c>
      <c r="O7881" t="s">
        <v>32525</v>
      </c>
      <c r="P7881">
        <v>0</v>
      </c>
      <c r="Q7881">
        <v>1</v>
      </c>
      <c r="R7881" t="s">
        <v>32533</v>
      </c>
      <c r="S7881" t="s">
        <v>32667</v>
      </c>
      <c r="T7881" t="s">
        <v>33163</v>
      </c>
      <c r="U7881" t="s">
        <v>40182</v>
      </c>
      <c r="W7881" t="s">
        <v>32087</v>
      </c>
      <c r="X7881" t="s">
        <v>32534</v>
      </c>
    </row>
    <row r="7882" spans="1:24">
      <c r="A7882">
        <f>HYPERLINK("https://www.philgeps.gov.ph/GEPSNONPILOT/Tender/SplashBidNoticeAbstractUI.aspx?menuIndex=3&amp;refID=7035091&amp;Result=3","7035091")</f>
        <v>0</v>
      </c>
      <c r="B7882" t="s">
        <v>1923</v>
      </c>
      <c r="C7882" t="s">
        <v>10205</v>
      </c>
      <c r="D7882" t="s">
        <v>13060</v>
      </c>
      <c r="E7882" t="s">
        <v>20006</v>
      </c>
      <c r="F7882" t="s">
        <v>22436</v>
      </c>
      <c r="G7882" t="s">
        <v>22444</v>
      </c>
      <c r="H7882" t="s">
        <v>22452</v>
      </c>
      <c r="I7882" t="s">
        <v>22463</v>
      </c>
      <c r="J7882" t="s">
        <v>27668</v>
      </c>
      <c r="K7882" t="s">
        <v>29335</v>
      </c>
      <c r="M7882" t="s">
        <v>31651</v>
      </c>
      <c r="N7882" t="s">
        <v>32524</v>
      </c>
      <c r="O7882" t="s">
        <v>32525</v>
      </c>
      <c r="P7882">
        <v>0</v>
      </c>
      <c r="Q7882">
        <v>3</v>
      </c>
      <c r="R7882" t="s">
        <v>32533</v>
      </c>
      <c r="S7882" t="s">
        <v>32667</v>
      </c>
      <c r="T7882" t="s">
        <v>33385</v>
      </c>
      <c r="U7882" t="s">
        <v>40183</v>
      </c>
      <c r="V7882" t="s">
        <v>43099</v>
      </c>
      <c r="W7882" t="s">
        <v>31651</v>
      </c>
      <c r="X7882" t="s">
        <v>32534</v>
      </c>
    </row>
    <row r="7883" spans="1:24">
      <c r="A7883">
        <f>HYPERLINK("https://www.philgeps.gov.ph/GEPSNONPILOT/Tender/SplashBidNoticeAbstractUI.aspx?menuIndex=3&amp;refID=7035102&amp;Result=3","7035102")</f>
        <v>0</v>
      </c>
      <c r="B7883" t="s">
        <v>2312</v>
      </c>
      <c r="C7883" t="s">
        <v>10206</v>
      </c>
      <c r="D7883" t="s">
        <v>13022</v>
      </c>
      <c r="E7883" t="s">
        <v>20007</v>
      </c>
      <c r="F7883" t="s">
        <v>22436</v>
      </c>
      <c r="G7883" t="s">
        <v>22444</v>
      </c>
      <c r="H7883" t="s">
        <v>22454</v>
      </c>
      <c r="I7883" t="s">
        <v>7738</v>
      </c>
      <c r="J7883" t="s">
        <v>23999</v>
      </c>
      <c r="K7883" t="s">
        <v>29341</v>
      </c>
      <c r="M7883" t="s">
        <v>32088</v>
      </c>
      <c r="N7883" t="s">
        <v>32524</v>
      </c>
      <c r="O7883" t="s">
        <v>32525</v>
      </c>
      <c r="P7883">
        <v>0</v>
      </c>
      <c r="Q7883">
        <v>0</v>
      </c>
      <c r="R7883" t="s">
        <v>32533</v>
      </c>
      <c r="S7883" t="s">
        <v>32667</v>
      </c>
      <c r="T7883" t="s">
        <v>33155</v>
      </c>
      <c r="U7883" t="s">
        <v>40184</v>
      </c>
      <c r="W7883" t="s">
        <v>32088</v>
      </c>
      <c r="X7883" t="s">
        <v>32534</v>
      </c>
    </row>
    <row r="7884" spans="1:24">
      <c r="A7884">
        <f>HYPERLINK("https://www.philgeps.gov.ph/GEPSNONPILOT/Tender/SplashBidNoticeAbstractUI.aspx?menuIndex=3&amp;refID=7035085&amp;Result=3","7035085")</f>
        <v>0</v>
      </c>
      <c r="B7884" t="s">
        <v>2313</v>
      </c>
      <c r="C7884" t="s">
        <v>10207</v>
      </c>
      <c r="D7884" t="s">
        <v>13067</v>
      </c>
      <c r="E7884" t="s">
        <v>20008</v>
      </c>
      <c r="F7884" t="s">
        <v>22436</v>
      </c>
      <c r="G7884" t="s">
        <v>22444</v>
      </c>
      <c r="H7884" t="s">
        <v>22454</v>
      </c>
      <c r="I7884" t="s">
        <v>7738</v>
      </c>
      <c r="J7884" t="s">
        <v>27669</v>
      </c>
      <c r="K7884" t="s">
        <v>29389</v>
      </c>
      <c r="L7884" t="s">
        <v>2313</v>
      </c>
      <c r="M7884" t="s">
        <v>32089</v>
      </c>
      <c r="N7884" t="s">
        <v>32524</v>
      </c>
      <c r="O7884" t="s">
        <v>32525</v>
      </c>
      <c r="P7884">
        <v>0</v>
      </c>
      <c r="Q7884">
        <v>0</v>
      </c>
      <c r="R7884" t="s">
        <v>32533</v>
      </c>
      <c r="S7884" t="s">
        <v>32667</v>
      </c>
      <c r="T7884" t="s">
        <v>33344</v>
      </c>
      <c r="U7884" t="s">
        <v>40185</v>
      </c>
      <c r="W7884" t="s">
        <v>32089</v>
      </c>
      <c r="X7884" t="s">
        <v>32534</v>
      </c>
    </row>
    <row r="7885" spans="1:24">
      <c r="A7885">
        <f>HYPERLINK("https://www.philgeps.gov.ph/GEPSNONPILOT/Tender/SplashBidNoticeAbstractUI.aspx?menuIndex=3&amp;refID=7035127&amp;Result=3","7035127")</f>
        <v>0</v>
      </c>
      <c r="B7885" t="s">
        <v>1870</v>
      </c>
      <c r="C7885" t="s">
        <v>10208</v>
      </c>
      <c r="D7885" t="s">
        <v>13045</v>
      </c>
      <c r="E7885" t="s">
        <v>20009</v>
      </c>
      <c r="F7885" t="s">
        <v>22436</v>
      </c>
      <c r="G7885" t="s">
        <v>22444</v>
      </c>
      <c r="H7885" t="s">
        <v>22454</v>
      </c>
      <c r="I7885" t="s">
        <v>7738</v>
      </c>
      <c r="J7885" t="s">
        <v>24895</v>
      </c>
      <c r="K7885" t="s">
        <v>29344</v>
      </c>
      <c r="M7885" t="s">
        <v>31588</v>
      </c>
      <c r="N7885" t="s">
        <v>32524</v>
      </c>
      <c r="O7885" t="s">
        <v>32525</v>
      </c>
      <c r="P7885">
        <v>0</v>
      </c>
      <c r="Q7885">
        <v>2</v>
      </c>
      <c r="R7885" t="s">
        <v>32533</v>
      </c>
      <c r="S7885" t="s">
        <v>32667</v>
      </c>
      <c r="T7885" t="s">
        <v>33249</v>
      </c>
      <c r="U7885" t="s">
        <v>38516</v>
      </c>
      <c r="V7885" t="s">
        <v>43068</v>
      </c>
      <c r="W7885" t="s">
        <v>31588</v>
      </c>
      <c r="X7885" t="s">
        <v>32534</v>
      </c>
    </row>
    <row r="7886" spans="1:24">
      <c r="A7886">
        <f>HYPERLINK("https://www.philgeps.gov.ph/GEPSNONPILOT/Tender/SplashBidNoticeAbstractUI.aspx?menuIndex=3&amp;refID=7035113&amp;Result=3","7035113")</f>
        <v>0</v>
      </c>
      <c r="B7886" t="s">
        <v>2308</v>
      </c>
      <c r="C7886" t="s">
        <v>10201</v>
      </c>
      <c r="D7886" t="s">
        <v>13066</v>
      </c>
      <c r="E7886" t="s">
        <v>20010</v>
      </c>
      <c r="F7886" t="s">
        <v>22436</v>
      </c>
      <c r="G7886" t="s">
        <v>22444</v>
      </c>
      <c r="H7886" t="s">
        <v>22454</v>
      </c>
      <c r="I7886" t="s">
        <v>22496</v>
      </c>
      <c r="J7886" t="s">
        <v>22587</v>
      </c>
      <c r="K7886" t="s">
        <v>29345</v>
      </c>
      <c r="M7886" t="s">
        <v>32084</v>
      </c>
      <c r="N7886" t="s">
        <v>32524</v>
      </c>
      <c r="O7886" t="s">
        <v>32525</v>
      </c>
      <c r="P7886">
        <v>0</v>
      </c>
      <c r="Q7886">
        <v>8</v>
      </c>
      <c r="R7886" t="s">
        <v>32533</v>
      </c>
      <c r="S7886" t="s">
        <v>32667</v>
      </c>
      <c r="T7886" t="s">
        <v>33455</v>
      </c>
      <c r="U7886" t="s">
        <v>40186</v>
      </c>
      <c r="W7886" t="s">
        <v>32084</v>
      </c>
      <c r="X7886" t="s">
        <v>32534</v>
      </c>
    </row>
    <row r="7887" spans="1:24">
      <c r="A7887">
        <f>HYPERLINK("https://www.philgeps.gov.ph/GEPSNONPILOT/Tender/SplashBidNoticeAbstractUI.aspx?menuIndex=3&amp;refID=7035125&amp;Result=3","7035125")</f>
        <v>0</v>
      </c>
      <c r="B7887" t="s">
        <v>2309</v>
      </c>
      <c r="C7887" t="s">
        <v>10209</v>
      </c>
      <c r="D7887" t="s">
        <v>12988</v>
      </c>
      <c r="E7887" t="s">
        <v>20011</v>
      </c>
      <c r="F7887" t="s">
        <v>22436</v>
      </c>
      <c r="G7887" t="s">
        <v>22444</v>
      </c>
      <c r="H7887" t="s">
        <v>22454</v>
      </c>
      <c r="I7887" t="s">
        <v>7738</v>
      </c>
      <c r="J7887" t="s">
        <v>27670</v>
      </c>
      <c r="K7887" t="s">
        <v>29344</v>
      </c>
      <c r="M7887" t="s">
        <v>32085</v>
      </c>
      <c r="N7887" t="s">
        <v>32524</v>
      </c>
      <c r="O7887" t="s">
        <v>32525</v>
      </c>
      <c r="P7887">
        <v>0</v>
      </c>
      <c r="Q7887">
        <v>14</v>
      </c>
      <c r="R7887" t="s">
        <v>32533</v>
      </c>
      <c r="S7887" t="s">
        <v>32667</v>
      </c>
      <c r="T7887" t="s">
        <v>33234</v>
      </c>
      <c r="U7887" t="s">
        <v>40187</v>
      </c>
      <c r="W7887" t="s">
        <v>32085</v>
      </c>
      <c r="X7887" t="s">
        <v>32534</v>
      </c>
    </row>
    <row r="7888" spans="1:24">
      <c r="A7888">
        <f>HYPERLINK("https://www.philgeps.gov.ph/GEPSNONPILOT/Tender/SplashBidNoticeAbstractUI.aspx?menuIndex=3&amp;refID=7035115&amp;Result=3","7035115")</f>
        <v>0</v>
      </c>
      <c r="B7888" t="s">
        <v>2307</v>
      </c>
      <c r="C7888" t="s">
        <v>10210</v>
      </c>
      <c r="D7888" t="s">
        <v>12990</v>
      </c>
      <c r="E7888" t="s">
        <v>20012</v>
      </c>
      <c r="F7888" t="s">
        <v>22436</v>
      </c>
      <c r="G7888" t="s">
        <v>22444</v>
      </c>
      <c r="H7888" t="s">
        <v>22454</v>
      </c>
      <c r="I7888" t="s">
        <v>7738</v>
      </c>
      <c r="J7888" t="s">
        <v>27671</v>
      </c>
      <c r="K7888" t="s">
        <v>29334</v>
      </c>
      <c r="M7888" t="s">
        <v>32083</v>
      </c>
      <c r="N7888" t="s">
        <v>32524</v>
      </c>
      <c r="O7888" t="s">
        <v>32525</v>
      </c>
      <c r="P7888">
        <v>0</v>
      </c>
      <c r="Q7888">
        <v>0</v>
      </c>
      <c r="R7888" t="s">
        <v>32533</v>
      </c>
      <c r="S7888" t="s">
        <v>32667</v>
      </c>
      <c r="T7888" t="s">
        <v>33287</v>
      </c>
      <c r="U7888" t="s">
        <v>40188</v>
      </c>
      <c r="W7888" t="s">
        <v>32083</v>
      </c>
      <c r="X7888" t="s">
        <v>32534</v>
      </c>
    </row>
    <row r="7889" spans="1:24">
      <c r="A7889">
        <f>HYPERLINK("https://www.philgeps.gov.ph/GEPSNONPILOT/Tender/SplashBidNoticeAbstractUI.aspx?menuIndex=3&amp;refID=7035126&amp;Result=3","7035126")</f>
        <v>0</v>
      </c>
      <c r="B7889" t="s">
        <v>2307</v>
      </c>
      <c r="C7889" t="s">
        <v>10211</v>
      </c>
      <c r="D7889" t="s">
        <v>12990</v>
      </c>
      <c r="E7889" t="s">
        <v>20013</v>
      </c>
      <c r="F7889" t="s">
        <v>22436</v>
      </c>
      <c r="G7889" t="s">
        <v>22444</v>
      </c>
      <c r="H7889" t="s">
        <v>22452</v>
      </c>
      <c r="I7889" t="s">
        <v>22574</v>
      </c>
      <c r="J7889" t="s">
        <v>23124</v>
      </c>
      <c r="K7889" t="s">
        <v>29341</v>
      </c>
      <c r="M7889" t="s">
        <v>32083</v>
      </c>
      <c r="N7889" t="s">
        <v>32524</v>
      </c>
      <c r="O7889" t="s">
        <v>32525</v>
      </c>
      <c r="P7889">
        <v>0</v>
      </c>
      <c r="Q7889">
        <v>0</v>
      </c>
      <c r="R7889" t="s">
        <v>32533</v>
      </c>
      <c r="S7889" t="s">
        <v>32667</v>
      </c>
      <c r="T7889" t="s">
        <v>33562</v>
      </c>
      <c r="U7889" t="s">
        <v>40189</v>
      </c>
      <c r="W7889" t="s">
        <v>32083</v>
      </c>
      <c r="X7889" t="s">
        <v>32534</v>
      </c>
    </row>
    <row r="7890" spans="1:24">
      <c r="A7890">
        <f>HYPERLINK("https://www.philgeps.gov.ph/GEPSNONPILOT/Tender/SplashBidNoticeAbstractUI.aspx?menuIndex=3&amp;refID=7035121&amp;Result=3","7035121")</f>
        <v>0</v>
      </c>
      <c r="B7890" t="s">
        <v>1870</v>
      </c>
      <c r="C7890" t="s">
        <v>10212</v>
      </c>
      <c r="D7890" t="s">
        <v>13045</v>
      </c>
      <c r="E7890" t="s">
        <v>20014</v>
      </c>
      <c r="F7890" t="s">
        <v>22436</v>
      </c>
      <c r="G7890" t="s">
        <v>22444</v>
      </c>
      <c r="H7890" t="s">
        <v>22454</v>
      </c>
      <c r="I7890" t="s">
        <v>7738</v>
      </c>
      <c r="J7890" t="s">
        <v>23347</v>
      </c>
      <c r="K7890" t="s">
        <v>29329</v>
      </c>
      <c r="M7890" t="s">
        <v>31588</v>
      </c>
      <c r="N7890" t="s">
        <v>32524</v>
      </c>
      <c r="O7890" t="s">
        <v>32525</v>
      </c>
      <c r="P7890">
        <v>0</v>
      </c>
      <c r="Q7890">
        <v>2</v>
      </c>
      <c r="R7890" t="s">
        <v>32533</v>
      </c>
      <c r="S7890" t="s">
        <v>32667</v>
      </c>
      <c r="T7890" t="s">
        <v>33249</v>
      </c>
      <c r="U7890" t="s">
        <v>40190</v>
      </c>
      <c r="V7890" t="s">
        <v>43068</v>
      </c>
      <c r="W7890" t="s">
        <v>31588</v>
      </c>
      <c r="X7890" t="s">
        <v>32534</v>
      </c>
    </row>
    <row r="7891" spans="1:24">
      <c r="A7891">
        <f>HYPERLINK("https://www.philgeps.gov.ph/GEPSNONPILOT/Tender/SplashBidNoticeAbstractUI.aspx?menuIndex=3&amp;refID=7035120&amp;Result=3","7035120")</f>
        <v>0</v>
      </c>
      <c r="B7891" t="s">
        <v>2309</v>
      </c>
      <c r="C7891" t="s">
        <v>10213</v>
      </c>
      <c r="D7891" t="s">
        <v>12988</v>
      </c>
      <c r="E7891" t="s">
        <v>20015</v>
      </c>
      <c r="F7891" t="s">
        <v>22436</v>
      </c>
      <c r="G7891" t="s">
        <v>22444</v>
      </c>
      <c r="H7891" t="s">
        <v>22454</v>
      </c>
      <c r="I7891" t="s">
        <v>7738</v>
      </c>
      <c r="J7891" t="s">
        <v>27672</v>
      </c>
      <c r="K7891" t="s">
        <v>29333</v>
      </c>
      <c r="M7891" t="s">
        <v>32085</v>
      </c>
      <c r="N7891" t="s">
        <v>32524</v>
      </c>
      <c r="O7891" t="s">
        <v>32525</v>
      </c>
      <c r="P7891">
        <v>0</v>
      </c>
      <c r="Q7891">
        <v>15</v>
      </c>
      <c r="R7891" t="s">
        <v>32533</v>
      </c>
      <c r="S7891" t="s">
        <v>32667</v>
      </c>
      <c r="T7891" t="s">
        <v>33234</v>
      </c>
      <c r="U7891" t="s">
        <v>40191</v>
      </c>
      <c r="W7891" t="s">
        <v>32085</v>
      </c>
      <c r="X7891" t="s">
        <v>32534</v>
      </c>
    </row>
    <row r="7892" spans="1:24">
      <c r="A7892">
        <f>HYPERLINK("https://www.philgeps.gov.ph/GEPSNONPILOT/Tender/SplashBidNoticeAbstractUI.aspx?menuIndex=3&amp;refID=7035090&amp;Result=3","7035090")</f>
        <v>0</v>
      </c>
      <c r="B7892" t="s">
        <v>2308</v>
      </c>
      <c r="C7892" t="s">
        <v>10201</v>
      </c>
      <c r="D7892" t="s">
        <v>13066</v>
      </c>
      <c r="E7892" t="s">
        <v>20016</v>
      </c>
      <c r="F7892" t="s">
        <v>22436</v>
      </c>
      <c r="G7892" t="s">
        <v>22444</v>
      </c>
      <c r="H7892" t="s">
        <v>22454</v>
      </c>
      <c r="I7892" t="s">
        <v>22496</v>
      </c>
      <c r="J7892" t="s">
        <v>22877</v>
      </c>
      <c r="K7892" t="s">
        <v>29334</v>
      </c>
      <c r="M7892" t="s">
        <v>32084</v>
      </c>
      <c r="N7892" t="s">
        <v>32524</v>
      </c>
      <c r="O7892" t="s">
        <v>32525</v>
      </c>
      <c r="P7892">
        <v>0</v>
      </c>
      <c r="Q7892">
        <v>8</v>
      </c>
      <c r="R7892" t="s">
        <v>32533</v>
      </c>
      <c r="S7892" t="s">
        <v>32667</v>
      </c>
      <c r="T7892" t="s">
        <v>33455</v>
      </c>
      <c r="U7892" t="s">
        <v>40192</v>
      </c>
      <c r="W7892" t="s">
        <v>32084</v>
      </c>
      <c r="X7892" t="s">
        <v>32534</v>
      </c>
    </row>
    <row r="7893" spans="1:24">
      <c r="A7893">
        <f>HYPERLINK("https://www.philgeps.gov.ph/GEPSNONPILOT/Tender/SplashBidNoticeAbstractUI.aspx?menuIndex=3&amp;refID=7035122&amp;Result=3","7035122")</f>
        <v>0</v>
      </c>
      <c r="B7893" t="s">
        <v>740</v>
      </c>
      <c r="C7893" t="s">
        <v>10214</v>
      </c>
      <c r="D7893" t="s">
        <v>13002</v>
      </c>
      <c r="E7893" t="s">
        <v>20017</v>
      </c>
      <c r="F7893" t="s">
        <v>22436</v>
      </c>
      <c r="G7893" t="s">
        <v>22444</v>
      </c>
      <c r="H7893" t="s">
        <v>22454</v>
      </c>
      <c r="I7893" t="s">
        <v>7738</v>
      </c>
      <c r="J7893" t="s">
        <v>27673</v>
      </c>
      <c r="K7893" t="s">
        <v>29333</v>
      </c>
      <c r="M7893" t="s">
        <v>30341</v>
      </c>
      <c r="N7893" t="s">
        <v>32524</v>
      </c>
      <c r="O7893" t="s">
        <v>32525</v>
      </c>
      <c r="Q7893">
        <v>0</v>
      </c>
      <c r="R7893" t="s">
        <v>32533</v>
      </c>
      <c r="S7893" t="s">
        <v>32728</v>
      </c>
      <c r="T7893" t="s">
        <v>33242</v>
      </c>
      <c r="U7893" t="s">
        <v>40193</v>
      </c>
      <c r="W7893" t="s">
        <v>30341</v>
      </c>
      <c r="X7893" t="s">
        <v>32534</v>
      </c>
    </row>
    <row r="7894" spans="1:24">
      <c r="A7894">
        <f>HYPERLINK("https://www.philgeps.gov.ph/GEPSNONPILOT/Tender/SplashBidNoticeAbstractUI.aspx?menuIndex=3&amp;refID=7035118&amp;Result=3","7035118")</f>
        <v>0</v>
      </c>
      <c r="B7894" t="s">
        <v>1870</v>
      </c>
      <c r="C7894" t="s">
        <v>10215</v>
      </c>
      <c r="D7894" t="s">
        <v>13045</v>
      </c>
      <c r="E7894" t="s">
        <v>20018</v>
      </c>
      <c r="F7894" t="s">
        <v>22436</v>
      </c>
      <c r="G7894" t="s">
        <v>22444</v>
      </c>
      <c r="H7894" t="s">
        <v>22454</v>
      </c>
      <c r="I7894" t="s">
        <v>7738</v>
      </c>
      <c r="J7894" t="s">
        <v>23347</v>
      </c>
      <c r="K7894" t="s">
        <v>29524</v>
      </c>
      <c r="M7894" t="s">
        <v>31588</v>
      </c>
      <c r="N7894" t="s">
        <v>32524</v>
      </c>
      <c r="O7894" t="s">
        <v>32525</v>
      </c>
      <c r="P7894">
        <v>0</v>
      </c>
      <c r="Q7894">
        <v>0</v>
      </c>
      <c r="R7894" t="s">
        <v>32533</v>
      </c>
      <c r="S7894" t="s">
        <v>32667</v>
      </c>
      <c r="T7894" t="s">
        <v>33249</v>
      </c>
      <c r="U7894" t="s">
        <v>40194</v>
      </c>
      <c r="V7894" t="s">
        <v>43068</v>
      </c>
      <c r="W7894" t="s">
        <v>31588</v>
      </c>
      <c r="X7894" t="s">
        <v>32534</v>
      </c>
    </row>
    <row r="7895" spans="1:24">
      <c r="A7895">
        <f>HYPERLINK("https://www.philgeps.gov.ph/GEPSNONPILOT/Tender/SplashBidNoticeAbstractUI.aspx?menuIndex=3&amp;refID=7035132&amp;Result=3","7035132")</f>
        <v>0</v>
      </c>
      <c r="B7895" t="s">
        <v>2309</v>
      </c>
      <c r="C7895" t="s">
        <v>10216</v>
      </c>
      <c r="D7895" t="s">
        <v>12988</v>
      </c>
      <c r="E7895" t="s">
        <v>20019</v>
      </c>
      <c r="F7895" t="s">
        <v>22436</v>
      </c>
      <c r="G7895" t="s">
        <v>22444</v>
      </c>
      <c r="H7895" t="s">
        <v>22454</v>
      </c>
      <c r="I7895" t="s">
        <v>7738</v>
      </c>
      <c r="J7895" t="s">
        <v>27674</v>
      </c>
      <c r="K7895" t="s">
        <v>29334</v>
      </c>
      <c r="M7895" t="s">
        <v>32085</v>
      </c>
      <c r="N7895" t="s">
        <v>32524</v>
      </c>
      <c r="O7895" t="s">
        <v>32525</v>
      </c>
      <c r="P7895">
        <v>0</v>
      </c>
      <c r="Q7895">
        <v>15</v>
      </c>
      <c r="R7895" t="s">
        <v>32533</v>
      </c>
      <c r="S7895" t="s">
        <v>32667</v>
      </c>
      <c r="T7895" t="s">
        <v>33234</v>
      </c>
      <c r="U7895" t="s">
        <v>40195</v>
      </c>
      <c r="W7895" t="s">
        <v>32085</v>
      </c>
      <c r="X7895" t="s">
        <v>32534</v>
      </c>
    </row>
    <row r="7896" spans="1:24">
      <c r="A7896">
        <f>HYPERLINK("https://www.philgeps.gov.ph/GEPSNONPILOT/Tender/SplashBidNoticeAbstractUI.aspx?menuIndex=3&amp;refID=7035131&amp;Result=3","7035131")</f>
        <v>0</v>
      </c>
      <c r="B7896" t="s">
        <v>740</v>
      </c>
      <c r="C7896" t="s">
        <v>10217</v>
      </c>
      <c r="D7896" t="s">
        <v>13002</v>
      </c>
      <c r="E7896" t="s">
        <v>20020</v>
      </c>
      <c r="F7896" t="s">
        <v>22436</v>
      </c>
      <c r="G7896" t="s">
        <v>22444</v>
      </c>
      <c r="H7896" t="s">
        <v>22454</v>
      </c>
      <c r="I7896" t="s">
        <v>7738</v>
      </c>
      <c r="J7896" t="s">
        <v>27675</v>
      </c>
      <c r="K7896" t="s">
        <v>29333</v>
      </c>
      <c r="M7896" t="s">
        <v>30341</v>
      </c>
      <c r="N7896" t="s">
        <v>32524</v>
      </c>
      <c r="O7896" t="s">
        <v>32525</v>
      </c>
      <c r="Q7896">
        <v>0</v>
      </c>
      <c r="R7896" t="s">
        <v>32533</v>
      </c>
      <c r="S7896" t="s">
        <v>32729</v>
      </c>
      <c r="T7896" t="s">
        <v>33242</v>
      </c>
      <c r="U7896" t="s">
        <v>40196</v>
      </c>
      <c r="W7896" t="s">
        <v>30341</v>
      </c>
      <c r="X7896" t="s">
        <v>32534</v>
      </c>
    </row>
    <row r="7897" spans="1:24">
      <c r="A7897">
        <f>HYPERLINK("https://www.philgeps.gov.ph/GEPSNONPILOT/Tender/SplashBidNoticeAbstractUI.aspx?menuIndex=3&amp;refID=7035084&amp;Result=3","7035084")</f>
        <v>0</v>
      </c>
      <c r="B7897" t="s">
        <v>2307</v>
      </c>
      <c r="C7897" t="s">
        <v>10218</v>
      </c>
      <c r="D7897" t="s">
        <v>12990</v>
      </c>
      <c r="E7897" t="s">
        <v>20021</v>
      </c>
      <c r="F7897" t="s">
        <v>22436</v>
      </c>
      <c r="G7897" t="s">
        <v>22444</v>
      </c>
      <c r="H7897" t="s">
        <v>22454</v>
      </c>
      <c r="I7897" t="s">
        <v>7738</v>
      </c>
      <c r="J7897" t="s">
        <v>22640</v>
      </c>
      <c r="K7897" t="s">
        <v>29329</v>
      </c>
      <c r="M7897" t="s">
        <v>32083</v>
      </c>
      <c r="N7897" t="s">
        <v>32524</v>
      </c>
      <c r="O7897" t="s">
        <v>32525</v>
      </c>
      <c r="P7897">
        <v>0</v>
      </c>
      <c r="Q7897">
        <v>0</v>
      </c>
      <c r="R7897" t="s">
        <v>32533</v>
      </c>
      <c r="S7897" t="s">
        <v>32667</v>
      </c>
      <c r="T7897" t="s">
        <v>33287</v>
      </c>
      <c r="U7897" t="s">
        <v>40197</v>
      </c>
      <c r="W7897" t="s">
        <v>32083</v>
      </c>
      <c r="X7897" t="s">
        <v>32534</v>
      </c>
    </row>
    <row r="7898" spans="1:24">
      <c r="A7898">
        <f>HYPERLINK("https://www.philgeps.gov.ph/GEPSNONPILOT/Tender/SplashBidNoticeAbstractUI.aspx?menuIndex=3&amp;refID=7035133&amp;Result=3","7035133")</f>
        <v>0</v>
      </c>
      <c r="B7898" t="s">
        <v>1870</v>
      </c>
      <c r="C7898" t="s">
        <v>10219</v>
      </c>
      <c r="D7898" t="s">
        <v>13045</v>
      </c>
      <c r="E7898" t="s">
        <v>20022</v>
      </c>
      <c r="F7898" t="s">
        <v>22436</v>
      </c>
      <c r="G7898" t="s">
        <v>22444</v>
      </c>
      <c r="H7898" t="s">
        <v>22454</v>
      </c>
      <c r="I7898" t="s">
        <v>7738</v>
      </c>
      <c r="J7898" t="s">
        <v>25346</v>
      </c>
      <c r="K7898" t="s">
        <v>29345</v>
      </c>
      <c r="M7898" t="s">
        <v>31588</v>
      </c>
      <c r="N7898" t="s">
        <v>32524</v>
      </c>
      <c r="O7898" t="s">
        <v>32525</v>
      </c>
      <c r="P7898">
        <v>0</v>
      </c>
      <c r="Q7898">
        <v>3</v>
      </c>
      <c r="R7898" t="s">
        <v>32533</v>
      </c>
      <c r="S7898" t="s">
        <v>32667</v>
      </c>
      <c r="T7898" t="s">
        <v>33249</v>
      </c>
      <c r="U7898" t="s">
        <v>38516</v>
      </c>
      <c r="V7898" t="s">
        <v>43068</v>
      </c>
      <c r="W7898" t="s">
        <v>31588</v>
      </c>
      <c r="X7898" t="s">
        <v>32534</v>
      </c>
    </row>
    <row r="7899" spans="1:24">
      <c r="A7899">
        <f>HYPERLINK("https://www.philgeps.gov.ph/GEPSNONPILOT/Tender/SplashBidNoticeAbstractUI.aspx?menuIndex=3&amp;refID=7035116&amp;Result=3","7035116")</f>
        <v>0</v>
      </c>
      <c r="B7899" t="s">
        <v>2314</v>
      </c>
      <c r="C7899" t="s">
        <v>10220</v>
      </c>
      <c r="D7899" t="s">
        <v>13018</v>
      </c>
      <c r="E7899" t="s">
        <v>20023</v>
      </c>
      <c r="F7899" t="s">
        <v>22436</v>
      </c>
      <c r="G7899" t="s">
        <v>22443</v>
      </c>
      <c r="H7899" t="s">
        <v>22452</v>
      </c>
      <c r="I7899" t="s">
        <v>22549</v>
      </c>
      <c r="J7899" t="s">
        <v>22589</v>
      </c>
      <c r="K7899" t="s">
        <v>29335</v>
      </c>
      <c r="M7899" t="s">
        <v>32090</v>
      </c>
      <c r="N7899" t="s">
        <v>32524</v>
      </c>
      <c r="O7899" t="s">
        <v>32525</v>
      </c>
      <c r="P7899">
        <v>0</v>
      </c>
      <c r="Q7899">
        <v>2</v>
      </c>
      <c r="R7899" t="s">
        <v>32533</v>
      </c>
      <c r="S7899" t="s">
        <v>32667</v>
      </c>
      <c r="T7899" t="s">
        <v>33310</v>
      </c>
      <c r="U7899" t="s">
        <v>40198</v>
      </c>
      <c r="W7899" t="s">
        <v>32090</v>
      </c>
      <c r="X7899" t="s">
        <v>32534</v>
      </c>
    </row>
    <row r="7900" spans="1:24">
      <c r="A7900">
        <f>HYPERLINK("https://www.philgeps.gov.ph/GEPSNONPILOT/Tender/SplashBidNoticeAbstractUI.aspx?menuIndex=3&amp;refID=7035129&amp;Result=3","7035129")</f>
        <v>0</v>
      </c>
      <c r="B7900" t="s">
        <v>2308</v>
      </c>
      <c r="C7900" t="s">
        <v>10201</v>
      </c>
      <c r="D7900" t="s">
        <v>13066</v>
      </c>
      <c r="E7900" t="s">
        <v>20024</v>
      </c>
      <c r="F7900" t="s">
        <v>22436</v>
      </c>
      <c r="G7900" t="s">
        <v>22444</v>
      </c>
      <c r="H7900" t="s">
        <v>22454</v>
      </c>
      <c r="I7900" t="s">
        <v>22496</v>
      </c>
      <c r="J7900" t="s">
        <v>22779</v>
      </c>
      <c r="K7900" t="s">
        <v>29334</v>
      </c>
      <c r="M7900" t="s">
        <v>32084</v>
      </c>
      <c r="N7900" t="s">
        <v>32524</v>
      </c>
      <c r="O7900" t="s">
        <v>32525</v>
      </c>
      <c r="P7900">
        <v>0</v>
      </c>
      <c r="Q7900">
        <v>8</v>
      </c>
      <c r="R7900" t="s">
        <v>32533</v>
      </c>
      <c r="S7900" t="s">
        <v>32667</v>
      </c>
      <c r="T7900" t="s">
        <v>33455</v>
      </c>
      <c r="U7900" t="s">
        <v>40199</v>
      </c>
      <c r="W7900" t="s">
        <v>32084</v>
      </c>
      <c r="X7900" t="s">
        <v>32534</v>
      </c>
    </row>
    <row r="7901" spans="1:24">
      <c r="A7901">
        <f>HYPERLINK("https://www.philgeps.gov.ph/GEPSNONPILOT/Tender/SplashBidNoticeAbstractUI.aspx?menuIndex=3&amp;refID=7035144&amp;Result=3","7035144")</f>
        <v>0</v>
      </c>
      <c r="B7901" t="s">
        <v>799</v>
      </c>
      <c r="C7901" t="s">
        <v>10221</v>
      </c>
      <c r="D7901" t="s">
        <v>13072</v>
      </c>
      <c r="E7901" t="s">
        <v>20025</v>
      </c>
      <c r="F7901" t="s">
        <v>22438</v>
      </c>
      <c r="G7901" t="s">
        <v>22451</v>
      </c>
      <c r="H7901" t="s">
        <v>22452</v>
      </c>
      <c r="I7901" t="s">
        <v>22540</v>
      </c>
      <c r="J7901" t="s">
        <v>25036</v>
      </c>
      <c r="K7901" t="s">
        <v>29338</v>
      </c>
      <c r="M7901" t="s">
        <v>30401</v>
      </c>
      <c r="N7901" t="s">
        <v>32524</v>
      </c>
      <c r="O7901" t="s">
        <v>32525</v>
      </c>
      <c r="Q7901">
        <v>14</v>
      </c>
      <c r="R7901" t="s">
        <v>32533</v>
      </c>
      <c r="S7901" t="s">
        <v>32730</v>
      </c>
      <c r="T7901" t="s">
        <v>33563</v>
      </c>
      <c r="U7901" t="s">
        <v>40200</v>
      </c>
      <c r="W7901" t="s">
        <v>30401</v>
      </c>
      <c r="X7901" t="s">
        <v>32534</v>
      </c>
    </row>
    <row r="7902" spans="1:24">
      <c r="A7902">
        <f>HYPERLINK("https://www.philgeps.gov.ph/GEPSNONPILOT/Tender/SplashBidNoticeAbstractUI.aspx?menuIndex=3&amp;refID=7035096&amp;Result=3","7035096")</f>
        <v>0</v>
      </c>
      <c r="B7902" t="s">
        <v>2308</v>
      </c>
      <c r="C7902" t="s">
        <v>10201</v>
      </c>
      <c r="D7902" t="s">
        <v>13066</v>
      </c>
      <c r="E7902" t="s">
        <v>20026</v>
      </c>
      <c r="F7902" t="s">
        <v>22436</v>
      </c>
      <c r="G7902" t="s">
        <v>22444</v>
      </c>
      <c r="H7902" t="s">
        <v>22454</v>
      </c>
      <c r="I7902" t="s">
        <v>22496</v>
      </c>
      <c r="J7902" t="s">
        <v>23356</v>
      </c>
      <c r="K7902" t="s">
        <v>29333</v>
      </c>
      <c r="M7902" t="s">
        <v>32084</v>
      </c>
      <c r="N7902" t="s">
        <v>32524</v>
      </c>
      <c r="O7902" t="s">
        <v>32525</v>
      </c>
      <c r="P7902">
        <v>0</v>
      </c>
      <c r="Q7902">
        <v>8</v>
      </c>
      <c r="R7902" t="s">
        <v>32533</v>
      </c>
      <c r="S7902" t="s">
        <v>32667</v>
      </c>
      <c r="T7902" t="s">
        <v>33455</v>
      </c>
      <c r="U7902" t="s">
        <v>40201</v>
      </c>
      <c r="W7902" t="s">
        <v>32084</v>
      </c>
      <c r="X7902" t="s">
        <v>32534</v>
      </c>
    </row>
    <row r="7903" spans="1:24">
      <c r="A7903">
        <f>HYPERLINK("https://www.philgeps.gov.ph/GEPSNONPILOT/Tender/SplashBidNoticeAbstractUI.aspx?menuIndex=3&amp;refID=7035156&amp;Result=3","7035156")</f>
        <v>0</v>
      </c>
      <c r="B7903" t="s">
        <v>2181</v>
      </c>
      <c r="C7903" t="s">
        <v>10222</v>
      </c>
      <c r="D7903" t="s">
        <v>12995</v>
      </c>
      <c r="E7903" t="s">
        <v>20027</v>
      </c>
      <c r="F7903" t="s">
        <v>22436</v>
      </c>
      <c r="G7903" t="s">
        <v>22444</v>
      </c>
      <c r="H7903" t="s">
        <v>22454</v>
      </c>
      <c r="I7903" t="s">
        <v>7738</v>
      </c>
      <c r="J7903" t="s">
        <v>22669</v>
      </c>
      <c r="K7903" t="s">
        <v>29344</v>
      </c>
      <c r="M7903" t="s">
        <v>31943</v>
      </c>
      <c r="N7903" t="s">
        <v>32524</v>
      </c>
      <c r="O7903" t="s">
        <v>32525</v>
      </c>
      <c r="P7903">
        <v>0</v>
      </c>
      <c r="Q7903">
        <v>3</v>
      </c>
      <c r="R7903" t="s">
        <v>32533</v>
      </c>
      <c r="S7903" t="s">
        <v>32667</v>
      </c>
      <c r="T7903" t="s">
        <v>33329</v>
      </c>
      <c r="U7903" t="s">
        <v>39754</v>
      </c>
      <c r="W7903" t="s">
        <v>31943</v>
      </c>
      <c r="X7903" t="s">
        <v>32534</v>
      </c>
    </row>
    <row r="7904" spans="1:24">
      <c r="A7904">
        <f>HYPERLINK("https://www.philgeps.gov.ph/GEPSNONPILOT/Tender/SplashBidNoticeAbstractUI.aspx?menuIndex=3&amp;refID=7035155&amp;Result=3","7035155")</f>
        <v>0</v>
      </c>
      <c r="B7904" t="s">
        <v>2181</v>
      </c>
      <c r="C7904" t="s">
        <v>10223</v>
      </c>
      <c r="D7904" t="s">
        <v>12995</v>
      </c>
      <c r="E7904" t="s">
        <v>20028</v>
      </c>
      <c r="F7904" t="s">
        <v>22436</v>
      </c>
      <c r="G7904" t="s">
        <v>22444</v>
      </c>
      <c r="H7904" t="s">
        <v>22454</v>
      </c>
      <c r="I7904" t="s">
        <v>7738</v>
      </c>
      <c r="J7904" t="s">
        <v>23205</v>
      </c>
      <c r="K7904" t="s">
        <v>29333</v>
      </c>
      <c r="M7904" t="s">
        <v>31943</v>
      </c>
      <c r="N7904" t="s">
        <v>32524</v>
      </c>
      <c r="O7904" t="s">
        <v>32525</v>
      </c>
      <c r="P7904">
        <v>0</v>
      </c>
      <c r="Q7904">
        <v>1</v>
      </c>
      <c r="R7904" t="s">
        <v>32533</v>
      </c>
      <c r="S7904" t="s">
        <v>32667</v>
      </c>
      <c r="T7904" t="s">
        <v>33329</v>
      </c>
      <c r="U7904" t="s">
        <v>39754</v>
      </c>
      <c r="W7904" t="s">
        <v>31943</v>
      </c>
      <c r="X7904" t="s">
        <v>32534</v>
      </c>
    </row>
    <row r="7905" spans="1:24">
      <c r="A7905">
        <f>HYPERLINK("https://www.philgeps.gov.ph/GEPSNONPILOT/Tender/SplashBidNoticeAbstractUI.aspx?menuIndex=3&amp;refID=7035150&amp;Result=3","7035150")</f>
        <v>0</v>
      </c>
      <c r="B7905" t="s">
        <v>2307</v>
      </c>
      <c r="C7905" t="s">
        <v>10224</v>
      </c>
      <c r="D7905" t="s">
        <v>12990</v>
      </c>
      <c r="E7905" t="s">
        <v>20029</v>
      </c>
      <c r="F7905" t="s">
        <v>22436</v>
      </c>
      <c r="G7905" t="s">
        <v>22444</v>
      </c>
      <c r="H7905" t="s">
        <v>22452</v>
      </c>
      <c r="I7905" t="s">
        <v>3529</v>
      </c>
      <c r="J7905" t="s">
        <v>27676</v>
      </c>
      <c r="K7905" t="s">
        <v>29341</v>
      </c>
      <c r="M7905" t="s">
        <v>32083</v>
      </c>
      <c r="N7905" t="s">
        <v>32524</v>
      </c>
      <c r="O7905" t="s">
        <v>32525</v>
      </c>
      <c r="P7905">
        <v>0</v>
      </c>
      <c r="Q7905">
        <v>2</v>
      </c>
      <c r="R7905" t="s">
        <v>32533</v>
      </c>
      <c r="S7905" t="s">
        <v>32667</v>
      </c>
      <c r="T7905" t="s">
        <v>33492</v>
      </c>
      <c r="U7905" t="s">
        <v>40202</v>
      </c>
      <c r="W7905" t="s">
        <v>32083</v>
      </c>
      <c r="X7905" t="s">
        <v>32534</v>
      </c>
    </row>
    <row r="7906" spans="1:24">
      <c r="A7906">
        <f>HYPERLINK("https://www.philgeps.gov.ph/GEPSNONPILOT/Tender/SplashBidNoticeAbstractUI.aspx?menuIndex=3&amp;refID=7035164&amp;Result=3","7035164")</f>
        <v>0</v>
      </c>
      <c r="B7906" t="s">
        <v>1541</v>
      </c>
      <c r="C7906" t="s">
        <v>10225</v>
      </c>
      <c r="D7906" t="s">
        <v>13002</v>
      </c>
      <c r="E7906" t="s">
        <v>20030</v>
      </c>
      <c r="F7906" t="s">
        <v>22436</v>
      </c>
      <c r="G7906" t="s">
        <v>22444</v>
      </c>
      <c r="H7906" t="s">
        <v>22452</v>
      </c>
      <c r="I7906" t="s">
        <v>3529</v>
      </c>
      <c r="J7906" t="s">
        <v>27677</v>
      </c>
      <c r="K7906" t="s">
        <v>29341</v>
      </c>
      <c r="L7906" t="s">
        <v>1541</v>
      </c>
      <c r="M7906" t="s">
        <v>31219</v>
      </c>
      <c r="N7906" t="s">
        <v>32524</v>
      </c>
      <c r="O7906" t="s">
        <v>32525</v>
      </c>
      <c r="Q7906">
        <v>0</v>
      </c>
      <c r="R7906" t="s">
        <v>32533</v>
      </c>
      <c r="S7906" t="s">
        <v>32731</v>
      </c>
      <c r="T7906" t="s">
        <v>33167</v>
      </c>
      <c r="U7906" t="s">
        <v>40203</v>
      </c>
      <c r="W7906" t="s">
        <v>31219</v>
      </c>
      <c r="X7906" t="s">
        <v>32534</v>
      </c>
    </row>
    <row r="7907" spans="1:24">
      <c r="A7907">
        <f>HYPERLINK("https://www.philgeps.gov.ph/GEPSNONPILOT/Tender/SplashBidNoticeAbstractUI.aspx?menuIndex=3&amp;refID=7035157&amp;Result=3","7035157")</f>
        <v>0</v>
      </c>
      <c r="B7907" t="s">
        <v>1729</v>
      </c>
      <c r="C7907" t="s">
        <v>10226</v>
      </c>
      <c r="D7907" t="s">
        <v>12988</v>
      </c>
      <c r="E7907" t="s">
        <v>20031</v>
      </c>
      <c r="F7907" t="s">
        <v>22436</v>
      </c>
      <c r="G7907" t="s">
        <v>22444</v>
      </c>
      <c r="H7907" t="s">
        <v>22452</v>
      </c>
      <c r="I7907" t="s">
        <v>3529</v>
      </c>
      <c r="J7907" t="s">
        <v>27678</v>
      </c>
      <c r="K7907" t="s">
        <v>29335</v>
      </c>
      <c r="M7907" t="s">
        <v>31434</v>
      </c>
      <c r="N7907" t="s">
        <v>32524</v>
      </c>
      <c r="O7907" t="s">
        <v>32525</v>
      </c>
      <c r="P7907">
        <v>0</v>
      </c>
      <c r="Q7907">
        <v>1</v>
      </c>
      <c r="R7907" t="s">
        <v>32533</v>
      </c>
      <c r="S7907" t="s">
        <v>32667</v>
      </c>
      <c r="T7907" t="s">
        <v>33372</v>
      </c>
      <c r="U7907" t="s">
        <v>40204</v>
      </c>
      <c r="W7907" t="s">
        <v>31434</v>
      </c>
      <c r="X7907" t="s">
        <v>32534</v>
      </c>
    </row>
    <row r="7908" spans="1:24">
      <c r="A7908">
        <f>HYPERLINK("https://www.philgeps.gov.ph/GEPSNONPILOT/Tender/SplashBidNoticeAbstractUI.aspx?menuIndex=3&amp;refID=7035153&amp;Result=3","7035153")</f>
        <v>0</v>
      </c>
      <c r="B7908" t="s">
        <v>1870</v>
      </c>
      <c r="C7908" t="s">
        <v>10227</v>
      </c>
      <c r="D7908" t="s">
        <v>13045</v>
      </c>
      <c r="E7908" t="s">
        <v>20032</v>
      </c>
      <c r="F7908" t="s">
        <v>22436</v>
      </c>
      <c r="G7908" t="s">
        <v>22444</v>
      </c>
      <c r="H7908" t="s">
        <v>22454</v>
      </c>
      <c r="I7908" t="s">
        <v>7738</v>
      </c>
      <c r="J7908" t="s">
        <v>23384</v>
      </c>
      <c r="K7908" t="s">
        <v>29362</v>
      </c>
      <c r="M7908" t="s">
        <v>31588</v>
      </c>
      <c r="N7908" t="s">
        <v>32524</v>
      </c>
      <c r="O7908" t="s">
        <v>32525</v>
      </c>
      <c r="P7908">
        <v>0</v>
      </c>
      <c r="Q7908">
        <v>0</v>
      </c>
      <c r="R7908" t="s">
        <v>32533</v>
      </c>
      <c r="S7908" t="s">
        <v>32667</v>
      </c>
      <c r="T7908" t="s">
        <v>33249</v>
      </c>
      <c r="U7908" t="s">
        <v>40205</v>
      </c>
      <c r="V7908" t="s">
        <v>43068</v>
      </c>
      <c r="W7908" t="s">
        <v>31588</v>
      </c>
      <c r="X7908" t="s">
        <v>32534</v>
      </c>
    </row>
    <row r="7909" spans="1:24">
      <c r="A7909">
        <f>HYPERLINK("https://www.philgeps.gov.ph/GEPSNONPILOT/Tender/SplashBidNoticeAbstractUI.aspx?menuIndex=3&amp;refID=7035161&amp;Result=3","7035161")</f>
        <v>0</v>
      </c>
      <c r="B7909" t="s">
        <v>1541</v>
      </c>
      <c r="C7909" t="s">
        <v>10228</v>
      </c>
      <c r="D7909" t="s">
        <v>13002</v>
      </c>
      <c r="E7909" t="s">
        <v>20033</v>
      </c>
      <c r="F7909" t="s">
        <v>22436</v>
      </c>
      <c r="G7909" t="s">
        <v>22444</v>
      </c>
      <c r="H7909" t="s">
        <v>22452</v>
      </c>
      <c r="I7909" t="s">
        <v>22467</v>
      </c>
      <c r="J7909" t="s">
        <v>27679</v>
      </c>
      <c r="K7909" t="s">
        <v>29341</v>
      </c>
      <c r="L7909" t="s">
        <v>1541</v>
      </c>
      <c r="M7909" t="s">
        <v>31219</v>
      </c>
      <c r="N7909" t="s">
        <v>32524</v>
      </c>
      <c r="O7909" t="s">
        <v>32525</v>
      </c>
      <c r="Q7909">
        <v>0</v>
      </c>
      <c r="R7909" t="s">
        <v>32533</v>
      </c>
      <c r="S7909" t="s">
        <v>32732</v>
      </c>
      <c r="T7909" t="s">
        <v>33167</v>
      </c>
      <c r="U7909" t="s">
        <v>40206</v>
      </c>
      <c r="W7909" t="s">
        <v>31219</v>
      </c>
      <c r="X7909" t="s">
        <v>32534</v>
      </c>
    </row>
    <row r="7910" spans="1:24">
      <c r="A7910">
        <f>HYPERLINK("https://www.philgeps.gov.ph/GEPSNONPILOT/Tender/SplashBidNoticeAbstractUI.aspx?menuIndex=3&amp;refID=7035158&amp;Result=3","7035158")</f>
        <v>0</v>
      </c>
      <c r="B7910" t="s">
        <v>1541</v>
      </c>
      <c r="C7910" t="s">
        <v>10229</v>
      </c>
      <c r="D7910" t="s">
        <v>13002</v>
      </c>
      <c r="E7910" t="s">
        <v>20034</v>
      </c>
      <c r="F7910" t="s">
        <v>22436</v>
      </c>
      <c r="G7910" t="s">
        <v>22444</v>
      </c>
      <c r="H7910" t="s">
        <v>22452</v>
      </c>
      <c r="I7910" t="s">
        <v>3529</v>
      </c>
      <c r="J7910" t="s">
        <v>27680</v>
      </c>
      <c r="K7910" t="s">
        <v>29341</v>
      </c>
      <c r="L7910" t="s">
        <v>1541</v>
      </c>
      <c r="M7910" t="s">
        <v>31219</v>
      </c>
      <c r="N7910" t="s">
        <v>32524</v>
      </c>
      <c r="O7910" t="s">
        <v>32525</v>
      </c>
      <c r="Q7910">
        <v>0</v>
      </c>
      <c r="R7910" t="s">
        <v>32533</v>
      </c>
      <c r="S7910" t="s">
        <v>32733</v>
      </c>
      <c r="T7910" t="s">
        <v>33167</v>
      </c>
      <c r="U7910" t="s">
        <v>40207</v>
      </c>
      <c r="W7910" t="s">
        <v>31219</v>
      </c>
      <c r="X7910" t="s">
        <v>32534</v>
      </c>
    </row>
    <row r="7911" spans="1:24">
      <c r="A7911">
        <f>HYPERLINK("https://www.philgeps.gov.ph/GEPSNONPILOT/Tender/SplashBidNoticeAbstractUI.aspx?menuIndex=3&amp;refID=7035145&amp;Result=3","7035145")</f>
        <v>0</v>
      </c>
      <c r="B7911" t="s">
        <v>2315</v>
      </c>
      <c r="C7911" t="s">
        <v>10230</v>
      </c>
      <c r="D7911" t="s">
        <v>12988</v>
      </c>
      <c r="E7911" t="s">
        <v>20035</v>
      </c>
      <c r="F7911" t="s">
        <v>22436</v>
      </c>
      <c r="G7911" t="s">
        <v>22444</v>
      </c>
      <c r="H7911" t="s">
        <v>22452</v>
      </c>
      <c r="I7911" t="s">
        <v>2981</v>
      </c>
      <c r="J7911" t="s">
        <v>27681</v>
      </c>
      <c r="K7911" t="s">
        <v>29357</v>
      </c>
      <c r="M7911" t="s">
        <v>32091</v>
      </c>
      <c r="N7911" t="s">
        <v>32524</v>
      </c>
      <c r="O7911" t="s">
        <v>32525</v>
      </c>
      <c r="P7911">
        <v>0</v>
      </c>
      <c r="Q7911">
        <v>4</v>
      </c>
      <c r="R7911" t="s">
        <v>32533</v>
      </c>
      <c r="S7911" t="s">
        <v>32667</v>
      </c>
      <c r="T7911" t="s">
        <v>33296</v>
      </c>
      <c r="U7911" t="s">
        <v>40208</v>
      </c>
      <c r="V7911" t="s">
        <v>43283</v>
      </c>
      <c r="W7911" t="s">
        <v>32091</v>
      </c>
      <c r="X7911" t="s">
        <v>32534</v>
      </c>
    </row>
    <row r="7912" spans="1:24">
      <c r="A7912">
        <f>HYPERLINK("https://www.philgeps.gov.ph/GEPSNONPILOT/Tender/SplashBidNoticeAbstractUI.aspx?menuIndex=3&amp;refID=7035163&amp;Result=3","7035163")</f>
        <v>0</v>
      </c>
      <c r="B7912" t="s">
        <v>1541</v>
      </c>
      <c r="C7912" t="s">
        <v>10231</v>
      </c>
      <c r="D7912" t="s">
        <v>13002</v>
      </c>
      <c r="E7912" t="s">
        <v>20036</v>
      </c>
      <c r="F7912" t="s">
        <v>22436</v>
      </c>
      <c r="G7912" t="s">
        <v>22444</v>
      </c>
      <c r="H7912" t="s">
        <v>22452</v>
      </c>
      <c r="I7912" t="s">
        <v>3529</v>
      </c>
      <c r="J7912" t="s">
        <v>27682</v>
      </c>
      <c r="K7912" t="s">
        <v>29341</v>
      </c>
      <c r="L7912" t="s">
        <v>1541</v>
      </c>
      <c r="M7912" t="s">
        <v>31219</v>
      </c>
      <c r="N7912" t="s">
        <v>32524</v>
      </c>
      <c r="O7912" t="s">
        <v>32525</v>
      </c>
      <c r="Q7912">
        <v>0</v>
      </c>
      <c r="R7912" t="s">
        <v>32533</v>
      </c>
      <c r="S7912" t="s">
        <v>32731</v>
      </c>
      <c r="T7912" t="s">
        <v>33167</v>
      </c>
      <c r="U7912" t="s">
        <v>40209</v>
      </c>
      <c r="W7912" t="s">
        <v>31219</v>
      </c>
      <c r="X7912" t="s">
        <v>32534</v>
      </c>
    </row>
    <row r="7913" spans="1:24">
      <c r="A7913">
        <f>HYPERLINK("https://www.philgeps.gov.ph/GEPSNONPILOT/Tender/SplashBidNoticeAbstractUI.aspx?menuIndex=3&amp;refID=7035139&amp;Result=3","7035139")</f>
        <v>0</v>
      </c>
      <c r="B7913" t="s">
        <v>1870</v>
      </c>
      <c r="C7913" t="s">
        <v>10232</v>
      </c>
      <c r="D7913" t="s">
        <v>13045</v>
      </c>
      <c r="E7913" t="s">
        <v>20037</v>
      </c>
      <c r="F7913" t="s">
        <v>22436</v>
      </c>
      <c r="G7913" t="s">
        <v>22444</v>
      </c>
      <c r="H7913" t="s">
        <v>22454</v>
      </c>
      <c r="I7913" t="s">
        <v>7738</v>
      </c>
      <c r="J7913" t="s">
        <v>25909</v>
      </c>
      <c r="K7913" t="s">
        <v>29334</v>
      </c>
      <c r="M7913" t="s">
        <v>31588</v>
      </c>
      <c r="N7913" t="s">
        <v>32524</v>
      </c>
      <c r="O7913" t="s">
        <v>32525</v>
      </c>
      <c r="P7913">
        <v>0</v>
      </c>
      <c r="Q7913">
        <v>2</v>
      </c>
      <c r="R7913" t="s">
        <v>32533</v>
      </c>
      <c r="S7913" t="s">
        <v>32667</v>
      </c>
      <c r="T7913" t="s">
        <v>33249</v>
      </c>
      <c r="U7913" t="s">
        <v>38516</v>
      </c>
      <c r="V7913" t="s">
        <v>43068</v>
      </c>
      <c r="W7913" t="s">
        <v>31588</v>
      </c>
      <c r="X7913" t="s">
        <v>32534</v>
      </c>
    </row>
    <row r="7914" spans="1:24">
      <c r="A7914">
        <f>HYPERLINK("https://www.philgeps.gov.ph/GEPSNONPILOT/Tender/SplashBidNoticeAbstractUI.aspx?menuIndex=3&amp;refID=7035162&amp;Result=3","7035162")</f>
        <v>0</v>
      </c>
      <c r="B7914" t="s">
        <v>1729</v>
      </c>
      <c r="C7914" t="s">
        <v>10233</v>
      </c>
      <c r="D7914" t="s">
        <v>12988</v>
      </c>
      <c r="E7914" t="s">
        <v>20038</v>
      </c>
      <c r="F7914" t="s">
        <v>22436</v>
      </c>
      <c r="G7914" t="s">
        <v>22444</v>
      </c>
      <c r="H7914" t="s">
        <v>22452</v>
      </c>
      <c r="I7914" t="s">
        <v>3529</v>
      </c>
      <c r="J7914" t="s">
        <v>27683</v>
      </c>
      <c r="K7914" t="s">
        <v>29335</v>
      </c>
      <c r="M7914" t="s">
        <v>31434</v>
      </c>
      <c r="N7914" t="s">
        <v>32524</v>
      </c>
      <c r="O7914" t="s">
        <v>32525</v>
      </c>
      <c r="P7914">
        <v>0</v>
      </c>
      <c r="Q7914">
        <v>0</v>
      </c>
      <c r="R7914" t="s">
        <v>32533</v>
      </c>
      <c r="S7914" t="s">
        <v>32667</v>
      </c>
      <c r="T7914" t="s">
        <v>33372</v>
      </c>
      <c r="U7914" t="s">
        <v>40210</v>
      </c>
      <c r="W7914" t="s">
        <v>31434</v>
      </c>
      <c r="X7914" t="s">
        <v>32534</v>
      </c>
    </row>
    <row r="7915" spans="1:24">
      <c r="A7915">
        <f>HYPERLINK("https://www.philgeps.gov.ph/GEPSNONPILOT/Tender/SplashBidNoticeAbstractUI.aspx?menuIndex=3&amp;refID=7035148&amp;Result=3","7035148")</f>
        <v>0</v>
      </c>
      <c r="B7915" t="s">
        <v>740</v>
      </c>
      <c r="C7915" t="s">
        <v>10234</v>
      </c>
      <c r="D7915" t="s">
        <v>13002</v>
      </c>
      <c r="E7915" t="s">
        <v>20039</v>
      </c>
      <c r="F7915" t="s">
        <v>22436</v>
      </c>
      <c r="G7915" t="s">
        <v>22444</v>
      </c>
      <c r="H7915" t="s">
        <v>22452</v>
      </c>
      <c r="I7915" t="s">
        <v>22459</v>
      </c>
      <c r="J7915" t="s">
        <v>27684</v>
      </c>
      <c r="K7915" t="s">
        <v>29335</v>
      </c>
      <c r="M7915" t="s">
        <v>30341</v>
      </c>
      <c r="N7915" t="s">
        <v>32524</v>
      </c>
      <c r="O7915" t="s">
        <v>32525</v>
      </c>
      <c r="Q7915">
        <v>1</v>
      </c>
      <c r="R7915" t="s">
        <v>32533</v>
      </c>
      <c r="S7915" t="s">
        <v>32734</v>
      </c>
      <c r="T7915" t="s">
        <v>33242</v>
      </c>
      <c r="U7915" t="s">
        <v>40211</v>
      </c>
      <c r="W7915" t="s">
        <v>30341</v>
      </c>
      <c r="X7915" t="s">
        <v>32534</v>
      </c>
    </row>
    <row r="7916" spans="1:24">
      <c r="A7916">
        <f>HYPERLINK("https://www.philgeps.gov.ph/GEPSNONPILOT/Tender/SplashBidNoticeAbstractUI.aspx?menuIndex=3&amp;refID=7035167&amp;Result=3","7035167")</f>
        <v>0</v>
      </c>
      <c r="B7916" t="s">
        <v>1729</v>
      </c>
      <c r="C7916" t="s">
        <v>10233</v>
      </c>
      <c r="D7916" t="s">
        <v>12988</v>
      </c>
      <c r="E7916" t="s">
        <v>20040</v>
      </c>
      <c r="F7916" t="s">
        <v>22436</v>
      </c>
      <c r="G7916" t="s">
        <v>22444</v>
      </c>
      <c r="H7916" t="s">
        <v>22452</v>
      </c>
      <c r="I7916" t="s">
        <v>3529</v>
      </c>
      <c r="J7916" t="s">
        <v>27685</v>
      </c>
      <c r="K7916" t="s">
        <v>29335</v>
      </c>
      <c r="M7916" t="s">
        <v>31434</v>
      </c>
      <c r="N7916" t="s">
        <v>32524</v>
      </c>
      <c r="O7916" t="s">
        <v>32525</v>
      </c>
      <c r="P7916">
        <v>0</v>
      </c>
      <c r="Q7916">
        <v>0</v>
      </c>
      <c r="R7916" t="s">
        <v>32533</v>
      </c>
      <c r="S7916" t="s">
        <v>32667</v>
      </c>
      <c r="T7916" t="s">
        <v>33372</v>
      </c>
      <c r="U7916" t="s">
        <v>40212</v>
      </c>
      <c r="W7916" t="s">
        <v>31434</v>
      </c>
      <c r="X7916" t="s">
        <v>32534</v>
      </c>
    </row>
    <row r="7917" spans="1:24">
      <c r="A7917">
        <f>HYPERLINK("https://www.philgeps.gov.ph/GEPSNONPILOT/Tender/SplashBidNoticeAbstractUI.aspx?menuIndex=3&amp;refID=7035152&amp;Result=3","7035152")</f>
        <v>0</v>
      </c>
      <c r="B7917" t="s">
        <v>2181</v>
      </c>
      <c r="C7917" t="s">
        <v>10235</v>
      </c>
      <c r="D7917" t="s">
        <v>12995</v>
      </c>
      <c r="E7917" t="s">
        <v>20041</v>
      </c>
      <c r="F7917" t="s">
        <v>22436</v>
      </c>
      <c r="G7917" t="s">
        <v>22444</v>
      </c>
      <c r="H7917" t="s">
        <v>22454</v>
      </c>
      <c r="I7917" t="s">
        <v>7738</v>
      </c>
      <c r="J7917" t="s">
        <v>23205</v>
      </c>
      <c r="K7917" t="s">
        <v>29333</v>
      </c>
      <c r="M7917" t="s">
        <v>31943</v>
      </c>
      <c r="N7917" t="s">
        <v>32524</v>
      </c>
      <c r="O7917" t="s">
        <v>32525</v>
      </c>
      <c r="P7917">
        <v>0</v>
      </c>
      <c r="Q7917">
        <v>1</v>
      </c>
      <c r="R7917" t="s">
        <v>32533</v>
      </c>
      <c r="S7917" t="s">
        <v>32667</v>
      </c>
      <c r="T7917" t="s">
        <v>33329</v>
      </c>
      <c r="U7917" t="s">
        <v>39754</v>
      </c>
      <c r="W7917" t="s">
        <v>31943</v>
      </c>
      <c r="X7917" t="s">
        <v>32534</v>
      </c>
    </row>
    <row r="7918" spans="1:24">
      <c r="A7918">
        <f>HYPERLINK("https://www.philgeps.gov.ph/GEPSNONPILOT/Tender/SplashBidNoticeAbstractUI.aspx?menuIndex=3&amp;refID=7035142&amp;Result=3","7035142")</f>
        <v>0</v>
      </c>
      <c r="B7918" t="s">
        <v>740</v>
      </c>
      <c r="C7918" t="s">
        <v>10236</v>
      </c>
      <c r="D7918" t="s">
        <v>13002</v>
      </c>
      <c r="E7918" t="s">
        <v>20042</v>
      </c>
      <c r="F7918" t="s">
        <v>22436</v>
      </c>
      <c r="G7918" t="s">
        <v>22444</v>
      </c>
      <c r="H7918" t="s">
        <v>22454</v>
      </c>
      <c r="I7918" t="s">
        <v>7738</v>
      </c>
      <c r="J7918" t="s">
        <v>27686</v>
      </c>
      <c r="K7918" t="s">
        <v>29333</v>
      </c>
      <c r="M7918" t="s">
        <v>30341</v>
      </c>
      <c r="N7918" t="s">
        <v>32524</v>
      </c>
      <c r="O7918" t="s">
        <v>32525</v>
      </c>
      <c r="Q7918">
        <v>0</v>
      </c>
      <c r="R7918" t="s">
        <v>32533</v>
      </c>
      <c r="S7918" t="s">
        <v>32735</v>
      </c>
      <c r="T7918" t="s">
        <v>33242</v>
      </c>
      <c r="U7918" t="s">
        <v>40213</v>
      </c>
      <c r="W7918" t="s">
        <v>30341</v>
      </c>
      <c r="X7918" t="s">
        <v>32534</v>
      </c>
    </row>
    <row r="7919" spans="1:24">
      <c r="A7919">
        <f>HYPERLINK("https://www.philgeps.gov.ph/GEPSNONPILOT/Tender/SplashBidNoticeAbstractUI.aspx?menuIndex=3&amp;refID=7035205&amp;Result=3","7035205")</f>
        <v>0</v>
      </c>
      <c r="B7919" t="s">
        <v>892</v>
      </c>
      <c r="C7919" t="s">
        <v>10237</v>
      </c>
      <c r="D7919" t="s">
        <v>13032</v>
      </c>
      <c r="E7919" t="s">
        <v>20043</v>
      </c>
      <c r="F7919" t="s">
        <v>22436</v>
      </c>
      <c r="G7919" t="s">
        <v>22444</v>
      </c>
      <c r="H7919" t="s">
        <v>22454</v>
      </c>
      <c r="I7919" t="s">
        <v>7738</v>
      </c>
      <c r="J7919" t="s">
        <v>27687</v>
      </c>
      <c r="K7919" t="s">
        <v>29469</v>
      </c>
      <c r="M7919" t="s">
        <v>30503</v>
      </c>
      <c r="N7919" t="s">
        <v>32524</v>
      </c>
      <c r="O7919" t="s">
        <v>32525</v>
      </c>
      <c r="P7919">
        <v>0</v>
      </c>
      <c r="Q7919">
        <v>1</v>
      </c>
      <c r="R7919" t="s">
        <v>32533</v>
      </c>
      <c r="S7919" t="s">
        <v>32667</v>
      </c>
      <c r="T7919" t="s">
        <v>33211</v>
      </c>
      <c r="U7919" t="s">
        <v>40214</v>
      </c>
      <c r="W7919" t="s">
        <v>30503</v>
      </c>
      <c r="X7919" t="s">
        <v>32534</v>
      </c>
    </row>
    <row r="7920" spans="1:24">
      <c r="A7920">
        <f>HYPERLINK("https://www.philgeps.gov.ph/GEPSNONPILOT/Tender/SplashBidNoticeAbstractUI.aspx?menuIndex=3&amp;refID=7035203&amp;Result=3","7035203")</f>
        <v>0</v>
      </c>
      <c r="B7920" t="s">
        <v>2316</v>
      </c>
      <c r="C7920" t="s">
        <v>10238</v>
      </c>
      <c r="D7920" t="s">
        <v>12995</v>
      </c>
      <c r="E7920" t="s">
        <v>20044</v>
      </c>
      <c r="F7920" t="s">
        <v>22436</v>
      </c>
      <c r="G7920" t="s">
        <v>22450</v>
      </c>
      <c r="H7920" t="s">
        <v>22454</v>
      </c>
      <c r="I7920" t="s">
        <v>7738</v>
      </c>
      <c r="J7920" t="s">
        <v>27688</v>
      </c>
      <c r="K7920" t="s">
        <v>29346</v>
      </c>
      <c r="M7920" t="s">
        <v>32092</v>
      </c>
      <c r="N7920" t="s">
        <v>32524</v>
      </c>
      <c r="O7920" t="s">
        <v>32525</v>
      </c>
      <c r="P7920">
        <v>0</v>
      </c>
      <c r="Q7920">
        <v>16</v>
      </c>
      <c r="R7920" t="s">
        <v>32533</v>
      </c>
      <c r="S7920" t="s">
        <v>32667</v>
      </c>
      <c r="T7920" t="s">
        <v>33234</v>
      </c>
      <c r="U7920" t="s">
        <v>40215</v>
      </c>
      <c r="V7920" t="s">
        <v>43284</v>
      </c>
      <c r="W7920" t="s">
        <v>32092</v>
      </c>
      <c r="X7920" t="s">
        <v>32534</v>
      </c>
    </row>
    <row r="7921" spans="1:24">
      <c r="A7921">
        <f>HYPERLINK("https://www.philgeps.gov.ph/GEPSNONPILOT/Tender/SplashBidNoticeAbstractUI.aspx?menuIndex=3&amp;refID=7035195&amp;Result=3","7035195")</f>
        <v>0</v>
      </c>
      <c r="B7921" t="s">
        <v>1546</v>
      </c>
      <c r="C7921" t="s">
        <v>10239</v>
      </c>
      <c r="D7921" t="s">
        <v>13022</v>
      </c>
      <c r="E7921" t="s">
        <v>20045</v>
      </c>
      <c r="F7921" t="s">
        <v>22436</v>
      </c>
      <c r="G7921" t="s">
        <v>22444</v>
      </c>
      <c r="H7921" t="s">
        <v>22454</v>
      </c>
      <c r="I7921" t="s">
        <v>6387</v>
      </c>
      <c r="J7921" t="s">
        <v>27689</v>
      </c>
      <c r="K7921" t="s">
        <v>29334</v>
      </c>
      <c r="M7921" t="s">
        <v>31225</v>
      </c>
      <c r="N7921" t="s">
        <v>32524</v>
      </c>
      <c r="O7921" t="s">
        <v>32525</v>
      </c>
      <c r="P7921">
        <v>0</v>
      </c>
      <c r="Q7921">
        <v>2</v>
      </c>
      <c r="R7921" t="s">
        <v>32533</v>
      </c>
      <c r="S7921" t="s">
        <v>32667</v>
      </c>
      <c r="T7921" t="s">
        <v>33249</v>
      </c>
      <c r="U7921" t="s">
        <v>40216</v>
      </c>
      <c r="W7921" t="s">
        <v>31225</v>
      </c>
      <c r="X7921" t="s">
        <v>32534</v>
      </c>
    </row>
    <row r="7922" spans="1:24">
      <c r="A7922">
        <f>HYPERLINK("https://www.philgeps.gov.ph/GEPSNONPILOT/Tender/SplashBidNoticeAbstractUI.aspx?menuIndex=3&amp;refID=7035202&amp;Result=3","7035202")</f>
        <v>0</v>
      </c>
      <c r="B7922" t="s">
        <v>892</v>
      </c>
      <c r="C7922" t="s">
        <v>10240</v>
      </c>
      <c r="D7922" t="s">
        <v>13032</v>
      </c>
      <c r="E7922" t="s">
        <v>20046</v>
      </c>
      <c r="F7922" t="s">
        <v>22436</v>
      </c>
      <c r="G7922" t="s">
        <v>22444</v>
      </c>
      <c r="H7922" t="s">
        <v>22454</v>
      </c>
      <c r="I7922" t="s">
        <v>7738</v>
      </c>
      <c r="J7922" t="s">
        <v>27690</v>
      </c>
      <c r="K7922" t="s">
        <v>29469</v>
      </c>
      <c r="M7922" t="s">
        <v>30503</v>
      </c>
      <c r="N7922" t="s">
        <v>32524</v>
      </c>
      <c r="O7922" t="s">
        <v>32525</v>
      </c>
      <c r="P7922">
        <v>0</v>
      </c>
      <c r="Q7922">
        <v>0</v>
      </c>
      <c r="R7922" t="s">
        <v>32533</v>
      </c>
      <c r="S7922" t="s">
        <v>32667</v>
      </c>
      <c r="T7922" t="s">
        <v>33211</v>
      </c>
      <c r="U7922" t="s">
        <v>40214</v>
      </c>
      <c r="W7922" t="s">
        <v>30503</v>
      </c>
      <c r="X7922" t="s">
        <v>32534</v>
      </c>
    </row>
    <row r="7923" spans="1:24">
      <c r="A7923">
        <f>HYPERLINK("https://www.philgeps.gov.ph/GEPSNONPILOT/Tender/SplashBidNoticeAbstractUI.aspx?menuIndex=3&amp;refID=7035183&amp;Result=3","7035183")</f>
        <v>0</v>
      </c>
      <c r="B7923" t="s">
        <v>892</v>
      </c>
      <c r="C7923" t="s">
        <v>10241</v>
      </c>
      <c r="D7923" t="s">
        <v>13032</v>
      </c>
      <c r="E7923" t="s">
        <v>20047</v>
      </c>
      <c r="F7923" t="s">
        <v>22436</v>
      </c>
      <c r="G7923" t="s">
        <v>22444</v>
      </c>
      <c r="H7923" t="s">
        <v>22454</v>
      </c>
      <c r="I7923" t="s">
        <v>7738</v>
      </c>
      <c r="J7923" t="s">
        <v>27691</v>
      </c>
      <c r="K7923" t="s">
        <v>29341</v>
      </c>
      <c r="M7923" t="s">
        <v>30503</v>
      </c>
      <c r="N7923" t="s">
        <v>32524</v>
      </c>
      <c r="O7923" t="s">
        <v>32525</v>
      </c>
      <c r="P7923">
        <v>0</v>
      </c>
      <c r="Q7923">
        <v>1</v>
      </c>
      <c r="R7923" t="s">
        <v>32533</v>
      </c>
      <c r="S7923" t="s">
        <v>32667</v>
      </c>
      <c r="T7923" t="s">
        <v>33211</v>
      </c>
      <c r="U7923" t="s">
        <v>40217</v>
      </c>
      <c r="W7923" t="s">
        <v>30503</v>
      </c>
      <c r="X7923" t="s">
        <v>32534</v>
      </c>
    </row>
    <row r="7924" spans="1:24">
      <c r="A7924">
        <f>HYPERLINK("https://www.philgeps.gov.ph/GEPSNONPILOT/Tender/SplashBidNoticeAbstractUI.aspx?menuIndex=3&amp;refID=7035166&amp;Result=3","7035166")</f>
        <v>0</v>
      </c>
      <c r="B7924" t="s">
        <v>2317</v>
      </c>
      <c r="C7924" t="s">
        <v>10242</v>
      </c>
      <c r="D7924" t="s">
        <v>13041</v>
      </c>
      <c r="E7924" t="s">
        <v>20048</v>
      </c>
      <c r="F7924" t="s">
        <v>22436</v>
      </c>
      <c r="G7924" t="s">
        <v>22444</v>
      </c>
      <c r="H7924" t="s">
        <v>22452</v>
      </c>
      <c r="I7924" t="s">
        <v>22460</v>
      </c>
      <c r="J7924" t="s">
        <v>27692</v>
      </c>
      <c r="K7924" t="s">
        <v>29337</v>
      </c>
      <c r="M7924" t="s">
        <v>32093</v>
      </c>
      <c r="N7924" t="s">
        <v>32524</v>
      </c>
      <c r="O7924" t="s">
        <v>32525</v>
      </c>
      <c r="P7924">
        <v>0</v>
      </c>
      <c r="Q7924">
        <v>0</v>
      </c>
      <c r="R7924" t="s">
        <v>32533</v>
      </c>
      <c r="S7924" t="s">
        <v>32667</v>
      </c>
      <c r="T7924" t="s">
        <v>33397</v>
      </c>
      <c r="U7924" t="s">
        <v>40218</v>
      </c>
      <c r="V7924" t="s">
        <v>43285</v>
      </c>
      <c r="W7924" t="s">
        <v>32093</v>
      </c>
      <c r="X7924" t="s">
        <v>32534</v>
      </c>
    </row>
    <row r="7925" spans="1:24">
      <c r="A7925">
        <f>HYPERLINK("https://www.philgeps.gov.ph/GEPSNONPILOT/Tender/SplashBidNoticeAbstractUI.aspx?menuIndex=3&amp;refID=7035192&amp;Result=3","7035192")</f>
        <v>0</v>
      </c>
      <c r="B7925" t="s">
        <v>2316</v>
      </c>
      <c r="C7925" t="s">
        <v>10243</v>
      </c>
      <c r="D7925" t="s">
        <v>12995</v>
      </c>
      <c r="E7925" t="s">
        <v>20049</v>
      </c>
      <c r="F7925" t="s">
        <v>22436</v>
      </c>
      <c r="G7925" t="s">
        <v>22450</v>
      </c>
      <c r="H7925" t="s">
        <v>22454</v>
      </c>
      <c r="I7925" t="s">
        <v>7738</v>
      </c>
      <c r="J7925" t="s">
        <v>27693</v>
      </c>
      <c r="K7925" t="s">
        <v>29345</v>
      </c>
      <c r="M7925" t="s">
        <v>32092</v>
      </c>
      <c r="N7925" t="s">
        <v>32524</v>
      </c>
      <c r="O7925" t="s">
        <v>32525</v>
      </c>
      <c r="P7925">
        <v>0</v>
      </c>
      <c r="Q7925">
        <v>16</v>
      </c>
      <c r="R7925" t="s">
        <v>32533</v>
      </c>
      <c r="S7925" t="s">
        <v>32667</v>
      </c>
      <c r="T7925" t="s">
        <v>33234</v>
      </c>
      <c r="U7925" t="s">
        <v>40219</v>
      </c>
      <c r="V7925" t="s">
        <v>43286</v>
      </c>
      <c r="W7925" t="s">
        <v>32092</v>
      </c>
      <c r="X7925" t="s">
        <v>32534</v>
      </c>
    </row>
    <row r="7926" spans="1:24">
      <c r="A7926">
        <f>HYPERLINK("https://www.philgeps.gov.ph/GEPSNONPILOT/Tender/SplashBidNoticeAbstractUI.aspx?menuIndex=3&amp;refID=7035191&amp;Result=3","7035191")</f>
        <v>0</v>
      </c>
      <c r="B7926" t="s">
        <v>1509</v>
      </c>
      <c r="C7926" t="s">
        <v>10244</v>
      </c>
      <c r="D7926" t="s">
        <v>13013</v>
      </c>
      <c r="E7926" t="s">
        <v>20050</v>
      </c>
      <c r="F7926" t="s">
        <v>22436</v>
      </c>
      <c r="G7926" t="s">
        <v>22444</v>
      </c>
      <c r="H7926" t="s">
        <v>22454</v>
      </c>
      <c r="I7926" t="s">
        <v>22485</v>
      </c>
      <c r="J7926" t="s">
        <v>27694</v>
      </c>
      <c r="K7926" t="s">
        <v>29339</v>
      </c>
      <c r="M7926" t="s">
        <v>31201</v>
      </c>
      <c r="N7926" t="s">
        <v>32524</v>
      </c>
      <c r="O7926" t="s">
        <v>32525</v>
      </c>
      <c r="Q7926">
        <v>10</v>
      </c>
      <c r="R7926" t="s">
        <v>32533</v>
      </c>
      <c r="S7926" t="s">
        <v>32736</v>
      </c>
      <c r="T7926" t="s">
        <v>33259</v>
      </c>
      <c r="U7926" t="s">
        <v>40220</v>
      </c>
      <c r="W7926" t="s">
        <v>31201</v>
      </c>
      <c r="X7926" t="s">
        <v>32534</v>
      </c>
    </row>
    <row r="7927" spans="1:24">
      <c r="A7927">
        <f>HYPERLINK("https://www.philgeps.gov.ph/GEPSNONPILOT/Tender/SplashBidNoticeAbstractUI.aspx?menuIndex=3&amp;refID=7035189&amp;Result=3","7035189")</f>
        <v>0</v>
      </c>
      <c r="B7927" t="s">
        <v>892</v>
      </c>
      <c r="C7927" t="s">
        <v>10245</v>
      </c>
      <c r="D7927" t="s">
        <v>13032</v>
      </c>
      <c r="E7927" t="s">
        <v>20051</v>
      </c>
      <c r="F7927" t="s">
        <v>22436</v>
      </c>
      <c r="G7927" t="s">
        <v>22444</v>
      </c>
      <c r="H7927" t="s">
        <v>22454</v>
      </c>
      <c r="I7927" t="s">
        <v>7738</v>
      </c>
      <c r="J7927" t="s">
        <v>22634</v>
      </c>
      <c r="K7927" t="s">
        <v>29333</v>
      </c>
      <c r="M7927" t="s">
        <v>30503</v>
      </c>
      <c r="N7927" t="s">
        <v>32524</v>
      </c>
      <c r="O7927" t="s">
        <v>32525</v>
      </c>
      <c r="P7927">
        <v>0</v>
      </c>
      <c r="Q7927">
        <v>1</v>
      </c>
      <c r="R7927" t="s">
        <v>32533</v>
      </c>
      <c r="S7927" t="s">
        <v>32667</v>
      </c>
      <c r="T7927" t="s">
        <v>33211</v>
      </c>
      <c r="U7927" t="s">
        <v>40221</v>
      </c>
      <c r="W7927" t="s">
        <v>30503</v>
      </c>
      <c r="X7927" t="s">
        <v>32534</v>
      </c>
    </row>
    <row r="7928" spans="1:24">
      <c r="A7928">
        <f>HYPERLINK("https://www.philgeps.gov.ph/GEPSNONPILOT/Tender/SplashBidNoticeAbstractUI.aspx?menuIndex=3&amp;refID=7035197&amp;Result=3","7035197")</f>
        <v>0</v>
      </c>
      <c r="B7928" t="s">
        <v>892</v>
      </c>
      <c r="C7928" t="s">
        <v>10246</v>
      </c>
      <c r="D7928" t="s">
        <v>13032</v>
      </c>
      <c r="E7928" t="s">
        <v>20052</v>
      </c>
      <c r="F7928" t="s">
        <v>22436</v>
      </c>
      <c r="G7928" t="s">
        <v>22444</v>
      </c>
      <c r="H7928" t="s">
        <v>22454</v>
      </c>
      <c r="I7928" t="s">
        <v>7738</v>
      </c>
      <c r="J7928" t="s">
        <v>27695</v>
      </c>
      <c r="K7928" t="s">
        <v>29427</v>
      </c>
      <c r="M7928" t="s">
        <v>30503</v>
      </c>
      <c r="N7928" t="s">
        <v>32524</v>
      </c>
      <c r="O7928" t="s">
        <v>32525</v>
      </c>
      <c r="P7928">
        <v>0</v>
      </c>
      <c r="Q7928">
        <v>1</v>
      </c>
      <c r="R7928" t="s">
        <v>32533</v>
      </c>
      <c r="S7928" t="s">
        <v>32667</v>
      </c>
      <c r="T7928" t="s">
        <v>33211</v>
      </c>
      <c r="U7928" t="s">
        <v>40222</v>
      </c>
      <c r="W7928" t="s">
        <v>30503</v>
      </c>
      <c r="X7928" t="s">
        <v>32534</v>
      </c>
    </row>
    <row r="7929" spans="1:24">
      <c r="A7929">
        <f>HYPERLINK("https://www.philgeps.gov.ph/GEPSNONPILOT/Tender/SplashBidNoticeAbstractUI.aspx?menuIndex=3&amp;refID=7035212&amp;Result=3","7035212")</f>
        <v>0</v>
      </c>
      <c r="B7929" t="s">
        <v>2316</v>
      </c>
      <c r="C7929" t="s">
        <v>10247</v>
      </c>
      <c r="D7929" t="s">
        <v>12995</v>
      </c>
      <c r="E7929" t="s">
        <v>20053</v>
      </c>
      <c r="F7929" t="s">
        <v>22436</v>
      </c>
      <c r="G7929" t="s">
        <v>22450</v>
      </c>
      <c r="H7929" t="s">
        <v>22454</v>
      </c>
      <c r="I7929" t="s">
        <v>7738</v>
      </c>
      <c r="J7929" t="s">
        <v>27696</v>
      </c>
      <c r="K7929" t="s">
        <v>29346</v>
      </c>
      <c r="M7929" t="s">
        <v>32092</v>
      </c>
      <c r="N7929" t="s">
        <v>32524</v>
      </c>
      <c r="O7929" t="s">
        <v>32525</v>
      </c>
      <c r="P7929">
        <v>0</v>
      </c>
      <c r="Q7929">
        <v>13</v>
      </c>
      <c r="R7929" t="s">
        <v>32533</v>
      </c>
      <c r="S7929" t="s">
        <v>32667</v>
      </c>
      <c r="T7929" t="s">
        <v>33234</v>
      </c>
      <c r="U7929" t="s">
        <v>40223</v>
      </c>
      <c r="V7929" t="s">
        <v>43287</v>
      </c>
      <c r="W7929" t="s">
        <v>32092</v>
      </c>
      <c r="X7929" t="s">
        <v>32534</v>
      </c>
    </row>
    <row r="7930" spans="1:24">
      <c r="A7930">
        <f>HYPERLINK("https://www.philgeps.gov.ph/GEPSNONPILOT/Tender/SplashBidNoticeAbstractUI.aspx?menuIndex=3&amp;refID=7035206&amp;Result=3","7035206")</f>
        <v>0</v>
      </c>
      <c r="B7930" t="s">
        <v>2316</v>
      </c>
      <c r="C7930" t="s">
        <v>10248</v>
      </c>
      <c r="D7930" t="s">
        <v>12995</v>
      </c>
      <c r="E7930" t="s">
        <v>20054</v>
      </c>
      <c r="F7930" t="s">
        <v>22436</v>
      </c>
      <c r="G7930" t="s">
        <v>22450</v>
      </c>
      <c r="H7930" t="s">
        <v>22454</v>
      </c>
      <c r="I7930" t="s">
        <v>7738</v>
      </c>
      <c r="J7930" t="s">
        <v>27697</v>
      </c>
      <c r="K7930" t="s">
        <v>29401</v>
      </c>
      <c r="M7930" t="s">
        <v>32092</v>
      </c>
      <c r="N7930" t="s">
        <v>32524</v>
      </c>
      <c r="O7930" t="s">
        <v>32525</v>
      </c>
      <c r="P7930">
        <v>0</v>
      </c>
      <c r="Q7930">
        <v>16</v>
      </c>
      <c r="R7930" t="s">
        <v>32533</v>
      </c>
      <c r="S7930" t="s">
        <v>32667</v>
      </c>
      <c r="T7930" t="s">
        <v>33234</v>
      </c>
      <c r="U7930" t="s">
        <v>40224</v>
      </c>
      <c r="V7930" t="s">
        <v>43288</v>
      </c>
      <c r="W7930" t="s">
        <v>32092</v>
      </c>
      <c r="X7930" t="s">
        <v>32534</v>
      </c>
    </row>
    <row r="7931" spans="1:24">
      <c r="A7931">
        <f>HYPERLINK("https://www.philgeps.gov.ph/GEPSNONPILOT/Tender/SplashBidNoticeAbstractUI.aspx?menuIndex=3&amp;refID=7035213&amp;Result=3","7035213")</f>
        <v>0</v>
      </c>
      <c r="B7931" t="s">
        <v>2318</v>
      </c>
      <c r="C7931" t="s">
        <v>10249</v>
      </c>
      <c r="D7931" t="s">
        <v>13045</v>
      </c>
      <c r="E7931" t="s">
        <v>18454</v>
      </c>
      <c r="F7931" t="s">
        <v>22436</v>
      </c>
      <c r="G7931" t="s">
        <v>22444</v>
      </c>
      <c r="H7931" t="s">
        <v>22454</v>
      </c>
      <c r="I7931" t="s">
        <v>6387</v>
      </c>
      <c r="J7931" t="s">
        <v>22605</v>
      </c>
      <c r="K7931" t="s">
        <v>29341</v>
      </c>
      <c r="M7931" t="s">
        <v>32094</v>
      </c>
      <c r="N7931" t="s">
        <v>32524</v>
      </c>
      <c r="O7931" t="s">
        <v>32525</v>
      </c>
      <c r="P7931">
        <v>0</v>
      </c>
      <c r="Q7931">
        <v>0</v>
      </c>
      <c r="R7931" t="s">
        <v>32533</v>
      </c>
      <c r="S7931" t="s">
        <v>32667</v>
      </c>
      <c r="T7931" t="s">
        <v>33249</v>
      </c>
      <c r="U7931" t="s">
        <v>40225</v>
      </c>
      <c r="W7931" t="s">
        <v>32094</v>
      </c>
      <c r="X7931" t="s">
        <v>32534</v>
      </c>
    </row>
    <row r="7932" spans="1:24">
      <c r="A7932">
        <f>HYPERLINK("https://www.philgeps.gov.ph/GEPSNONPILOT/Tender/SplashBidNoticeAbstractUI.aspx?menuIndex=3&amp;refID=7035208&amp;Result=3","7035208")</f>
        <v>0</v>
      </c>
      <c r="B7932" t="s">
        <v>2316</v>
      </c>
      <c r="C7932" t="s">
        <v>10250</v>
      </c>
      <c r="D7932" t="s">
        <v>12995</v>
      </c>
      <c r="E7932" t="s">
        <v>20055</v>
      </c>
      <c r="F7932" t="s">
        <v>22436</v>
      </c>
      <c r="G7932" t="s">
        <v>22450</v>
      </c>
      <c r="H7932" t="s">
        <v>22454</v>
      </c>
      <c r="I7932" t="s">
        <v>7738</v>
      </c>
      <c r="J7932" t="s">
        <v>27698</v>
      </c>
      <c r="K7932" t="s">
        <v>29401</v>
      </c>
      <c r="M7932" t="s">
        <v>32092</v>
      </c>
      <c r="N7932" t="s">
        <v>32524</v>
      </c>
      <c r="O7932" t="s">
        <v>32525</v>
      </c>
      <c r="P7932">
        <v>0</v>
      </c>
      <c r="Q7932">
        <v>17</v>
      </c>
      <c r="R7932" t="s">
        <v>32533</v>
      </c>
      <c r="S7932" t="s">
        <v>32667</v>
      </c>
      <c r="T7932" t="s">
        <v>33234</v>
      </c>
      <c r="U7932" t="s">
        <v>40226</v>
      </c>
      <c r="V7932" t="s">
        <v>43289</v>
      </c>
      <c r="W7932" t="s">
        <v>32092</v>
      </c>
      <c r="X7932" t="s">
        <v>32534</v>
      </c>
    </row>
    <row r="7933" spans="1:24">
      <c r="A7933">
        <f>HYPERLINK("https://www.philgeps.gov.ph/GEPSNONPILOT/Tender/SplashBidNoticeAbstractUI.aspx?menuIndex=3&amp;refID=7035214&amp;Result=3","7035214")</f>
        <v>0</v>
      </c>
      <c r="B7933" t="s">
        <v>2316</v>
      </c>
      <c r="C7933" t="s">
        <v>10251</v>
      </c>
      <c r="D7933" t="s">
        <v>12995</v>
      </c>
      <c r="E7933" t="s">
        <v>20056</v>
      </c>
      <c r="F7933" t="s">
        <v>22436</v>
      </c>
      <c r="G7933" t="s">
        <v>22450</v>
      </c>
      <c r="H7933" t="s">
        <v>22454</v>
      </c>
      <c r="I7933" t="s">
        <v>7738</v>
      </c>
      <c r="J7933" t="s">
        <v>27699</v>
      </c>
      <c r="K7933" t="s">
        <v>29447</v>
      </c>
      <c r="M7933" t="s">
        <v>32092</v>
      </c>
      <c r="N7933" t="s">
        <v>32524</v>
      </c>
      <c r="O7933" t="s">
        <v>32525</v>
      </c>
      <c r="P7933">
        <v>0</v>
      </c>
      <c r="Q7933">
        <v>16</v>
      </c>
      <c r="R7933" t="s">
        <v>32533</v>
      </c>
      <c r="S7933" t="s">
        <v>32667</v>
      </c>
      <c r="T7933" t="s">
        <v>33234</v>
      </c>
      <c r="U7933" t="s">
        <v>40227</v>
      </c>
      <c r="V7933" t="s">
        <v>43290</v>
      </c>
      <c r="W7933" t="s">
        <v>32092</v>
      </c>
      <c r="X7933" t="s">
        <v>32534</v>
      </c>
    </row>
    <row r="7934" spans="1:24">
      <c r="A7934">
        <f>HYPERLINK("https://www.philgeps.gov.ph/GEPSNONPILOT/Tender/SplashBidNoticeAbstractUI.aspx?menuIndex=3&amp;refID=7035217&amp;Result=3","7035217")</f>
        <v>0</v>
      </c>
      <c r="B7934" t="s">
        <v>2316</v>
      </c>
      <c r="C7934" t="s">
        <v>10252</v>
      </c>
      <c r="D7934" t="s">
        <v>12995</v>
      </c>
      <c r="E7934" t="s">
        <v>20057</v>
      </c>
      <c r="F7934" t="s">
        <v>22436</v>
      </c>
      <c r="G7934" t="s">
        <v>22450</v>
      </c>
      <c r="H7934" t="s">
        <v>22454</v>
      </c>
      <c r="I7934" t="s">
        <v>7738</v>
      </c>
      <c r="J7934" t="s">
        <v>27700</v>
      </c>
      <c r="K7934" t="s">
        <v>29346</v>
      </c>
      <c r="M7934" t="s">
        <v>32092</v>
      </c>
      <c r="N7934" t="s">
        <v>32524</v>
      </c>
      <c r="O7934" t="s">
        <v>32525</v>
      </c>
      <c r="P7934">
        <v>0</v>
      </c>
      <c r="Q7934">
        <v>12</v>
      </c>
      <c r="R7934" t="s">
        <v>32533</v>
      </c>
      <c r="S7934" t="s">
        <v>32667</v>
      </c>
      <c r="T7934" t="s">
        <v>33234</v>
      </c>
      <c r="U7934" t="s">
        <v>40228</v>
      </c>
      <c r="V7934" t="s">
        <v>43291</v>
      </c>
      <c r="W7934" t="s">
        <v>32092</v>
      </c>
      <c r="X7934" t="s">
        <v>32534</v>
      </c>
    </row>
    <row r="7935" spans="1:24">
      <c r="A7935">
        <f>HYPERLINK("https://www.philgeps.gov.ph/GEPSNONPILOT/Tender/SplashBidNoticeAbstractUI.aspx?menuIndex=3&amp;refID=7035186&amp;Result=3","7035186")</f>
        <v>0</v>
      </c>
      <c r="B7935" t="s">
        <v>2319</v>
      </c>
      <c r="C7935" t="s">
        <v>10253</v>
      </c>
      <c r="D7935" t="s">
        <v>12988</v>
      </c>
      <c r="E7935" t="s">
        <v>15038</v>
      </c>
      <c r="F7935" t="s">
        <v>22436</v>
      </c>
      <c r="G7935" t="s">
        <v>22444</v>
      </c>
      <c r="H7935" t="s">
        <v>22453</v>
      </c>
      <c r="I7935" t="s">
        <v>22504</v>
      </c>
      <c r="J7935" t="s">
        <v>24693</v>
      </c>
      <c r="K7935" t="s">
        <v>29337</v>
      </c>
      <c r="M7935" t="s">
        <v>32095</v>
      </c>
      <c r="N7935" t="s">
        <v>32524</v>
      </c>
      <c r="O7935" t="s">
        <v>32525</v>
      </c>
      <c r="P7935">
        <v>0</v>
      </c>
      <c r="Q7935">
        <v>5</v>
      </c>
      <c r="R7935" t="s">
        <v>32533</v>
      </c>
      <c r="S7935" t="s">
        <v>32667</v>
      </c>
      <c r="T7935" t="s">
        <v>33180</v>
      </c>
      <c r="U7935" t="s">
        <v>40229</v>
      </c>
      <c r="W7935" t="s">
        <v>32095</v>
      </c>
      <c r="X7935" t="s">
        <v>32534</v>
      </c>
    </row>
    <row r="7936" spans="1:24">
      <c r="A7936">
        <f>HYPERLINK("https://www.philgeps.gov.ph/GEPSNONPILOT/Tender/SplashBidNoticeAbstractUI.aspx?menuIndex=3&amp;refID=7035254&amp;Result=3","7035254")</f>
        <v>0</v>
      </c>
      <c r="B7936" t="s">
        <v>1990</v>
      </c>
      <c r="C7936" t="s">
        <v>10254</v>
      </c>
      <c r="E7936" t="s">
        <v>20058</v>
      </c>
      <c r="F7936" t="s">
        <v>22436</v>
      </c>
      <c r="G7936" t="s">
        <v>22444</v>
      </c>
      <c r="H7936" t="s">
        <v>22454</v>
      </c>
      <c r="I7936" t="s">
        <v>7738</v>
      </c>
      <c r="J7936" t="s">
        <v>23347</v>
      </c>
      <c r="K7936" t="s">
        <v>29333</v>
      </c>
      <c r="M7936" t="s">
        <v>31722</v>
      </c>
      <c r="N7936" t="s">
        <v>32524</v>
      </c>
      <c r="O7936" t="s">
        <v>32525</v>
      </c>
      <c r="Q7936">
        <v>0</v>
      </c>
      <c r="R7936" t="s">
        <v>32533</v>
      </c>
      <c r="S7936" t="s">
        <v>32737</v>
      </c>
      <c r="T7936" t="s">
        <v>33242</v>
      </c>
      <c r="U7936" t="s">
        <v>40230</v>
      </c>
      <c r="V7936" t="s">
        <v>43127</v>
      </c>
      <c r="W7936" t="s">
        <v>31722</v>
      </c>
      <c r="X7936" t="s">
        <v>32534</v>
      </c>
    </row>
    <row r="7937" spans="1:24">
      <c r="A7937">
        <f>HYPERLINK("https://www.philgeps.gov.ph/GEPSNONPILOT/Tender/SplashBidNoticeAbstractUI.aspx?menuIndex=3&amp;refID=7035199&amp;Result=3","7035199")</f>
        <v>0</v>
      </c>
      <c r="B7937" t="s">
        <v>2316</v>
      </c>
      <c r="C7937" t="s">
        <v>10255</v>
      </c>
      <c r="D7937" t="s">
        <v>12995</v>
      </c>
      <c r="E7937" t="s">
        <v>20059</v>
      </c>
      <c r="F7937" t="s">
        <v>22436</v>
      </c>
      <c r="G7937" t="s">
        <v>22450</v>
      </c>
      <c r="H7937" t="s">
        <v>22454</v>
      </c>
      <c r="I7937" t="s">
        <v>7738</v>
      </c>
      <c r="J7937" t="s">
        <v>27701</v>
      </c>
      <c r="K7937" t="s">
        <v>29345</v>
      </c>
      <c r="M7937" t="s">
        <v>32092</v>
      </c>
      <c r="N7937" t="s">
        <v>32524</v>
      </c>
      <c r="O7937" t="s">
        <v>32525</v>
      </c>
      <c r="P7937">
        <v>0</v>
      </c>
      <c r="Q7937">
        <v>17</v>
      </c>
      <c r="R7937" t="s">
        <v>32533</v>
      </c>
      <c r="S7937" t="s">
        <v>32667</v>
      </c>
      <c r="T7937" t="s">
        <v>33234</v>
      </c>
      <c r="U7937" t="s">
        <v>40231</v>
      </c>
      <c r="V7937" t="s">
        <v>43292</v>
      </c>
      <c r="W7937" t="s">
        <v>32092</v>
      </c>
      <c r="X7937" t="s">
        <v>32534</v>
      </c>
    </row>
    <row r="7938" spans="1:24">
      <c r="A7938">
        <f>HYPERLINK("https://www.philgeps.gov.ph/GEPSNONPILOT/Tender/SplashBidNoticeAbstractUI.aspx?menuIndex=3&amp;refID=7035210&amp;Result=3","7035210")</f>
        <v>0</v>
      </c>
      <c r="B7938" t="s">
        <v>550</v>
      </c>
      <c r="C7938" t="s">
        <v>10256</v>
      </c>
      <c r="D7938" t="s">
        <v>12988</v>
      </c>
      <c r="E7938" t="s">
        <v>20060</v>
      </c>
      <c r="F7938" t="s">
        <v>22436</v>
      </c>
      <c r="G7938" t="s">
        <v>22443</v>
      </c>
      <c r="H7938" t="s">
        <v>22455</v>
      </c>
      <c r="I7938" t="s">
        <v>22455</v>
      </c>
      <c r="J7938" t="s">
        <v>22788</v>
      </c>
      <c r="K7938" t="s">
        <v>29338</v>
      </c>
      <c r="M7938" t="s">
        <v>30337</v>
      </c>
      <c r="N7938" t="s">
        <v>32524</v>
      </c>
      <c r="O7938" t="s">
        <v>32525</v>
      </c>
      <c r="Q7938">
        <v>4</v>
      </c>
      <c r="R7938" t="s">
        <v>32533</v>
      </c>
      <c r="S7938" t="s">
        <v>32738</v>
      </c>
      <c r="T7938" t="s">
        <v>33169</v>
      </c>
      <c r="U7938" t="s">
        <v>40232</v>
      </c>
      <c r="V7938" t="s">
        <v>43293</v>
      </c>
      <c r="W7938" t="s">
        <v>30337</v>
      </c>
      <c r="X7938" t="s">
        <v>32534</v>
      </c>
    </row>
    <row r="7939" spans="1:24">
      <c r="A7939">
        <f>HYPERLINK("https://www.philgeps.gov.ph/GEPSNONPILOT/Tender/SplashBidNoticeAbstractUI.aspx?menuIndex=3&amp;refID=7035215&amp;Result=3","7035215")</f>
        <v>0</v>
      </c>
      <c r="B7939" t="s">
        <v>885</v>
      </c>
      <c r="C7939" t="s">
        <v>10257</v>
      </c>
      <c r="D7939" t="s">
        <v>12999</v>
      </c>
      <c r="E7939" t="s">
        <v>20061</v>
      </c>
      <c r="F7939" t="s">
        <v>22436</v>
      </c>
      <c r="G7939" t="s">
        <v>22444</v>
      </c>
      <c r="H7939" t="s">
        <v>22452</v>
      </c>
      <c r="I7939" t="s">
        <v>22499</v>
      </c>
      <c r="J7939" t="s">
        <v>22806</v>
      </c>
      <c r="K7939" t="s">
        <v>29331</v>
      </c>
      <c r="M7939" t="s">
        <v>30496</v>
      </c>
      <c r="N7939" t="s">
        <v>32524</v>
      </c>
      <c r="O7939" t="s">
        <v>32525</v>
      </c>
      <c r="P7939">
        <v>0</v>
      </c>
      <c r="Q7939">
        <v>2</v>
      </c>
      <c r="R7939" t="s">
        <v>32533</v>
      </c>
      <c r="S7939" t="s">
        <v>32667</v>
      </c>
      <c r="T7939" t="s">
        <v>33296</v>
      </c>
      <c r="U7939" t="s">
        <v>40233</v>
      </c>
      <c r="W7939" t="s">
        <v>30496</v>
      </c>
      <c r="X7939" t="s">
        <v>32534</v>
      </c>
    </row>
    <row r="7940" spans="1:24">
      <c r="A7940">
        <f>HYPERLINK("https://www.philgeps.gov.ph/GEPSNONPILOT/Tender/SplashBidNoticeAbstractUI.aspx?menuIndex=3&amp;refID=7035255&amp;Result=3","7035255")</f>
        <v>0</v>
      </c>
      <c r="B7940" t="s">
        <v>2317</v>
      </c>
      <c r="C7940" t="s">
        <v>10258</v>
      </c>
      <c r="D7940" t="s">
        <v>13041</v>
      </c>
      <c r="E7940" t="s">
        <v>20062</v>
      </c>
      <c r="F7940" t="s">
        <v>22436</v>
      </c>
      <c r="G7940" t="s">
        <v>22444</v>
      </c>
      <c r="H7940" t="s">
        <v>22452</v>
      </c>
      <c r="I7940" t="s">
        <v>22474</v>
      </c>
      <c r="J7940" t="s">
        <v>22970</v>
      </c>
      <c r="K7940" t="s">
        <v>29341</v>
      </c>
      <c r="M7940" t="s">
        <v>32093</v>
      </c>
      <c r="N7940" t="s">
        <v>32524</v>
      </c>
      <c r="O7940" t="s">
        <v>32525</v>
      </c>
      <c r="P7940">
        <v>0</v>
      </c>
      <c r="Q7940">
        <v>1</v>
      </c>
      <c r="R7940" t="s">
        <v>32533</v>
      </c>
      <c r="S7940" t="s">
        <v>32667</v>
      </c>
      <c r="T7940" t="s">
        <v>33397</v>
      </c>
      <c r="U7940" t="s">
        <v>40234</v>
      </c>
      <c r="V7940" t="s">
        <v>43285</v>
      </c>
      <c r="W7940" t="s">
        <v>32093</v>
      </c>
      <c r="X7940" t="s">
        <v>32534</v>
      </c>
    </row>
    <row r="7941" spans="1:24">
      <c r="A7941">
        <f>HYPERLINK("https://www.philgeps.gov.ph/GEPSNONPILOT/Tender/SplashBidNoticeAbstractUI.aspx?menuIndex=3&amp;refID=7035247&amp;Result=3","7035247")</f>
        <v>0</v>
      </c>
      <c r="B7941" t="s">
        <v>1990</v>
      </c>
      <c r="C7941" t="s">
        <v>10259</v>
      </c>
      <c r="E7941" t="s">
        <v>20063</v>
      </c>
      <c r="F7941" t="s">
        <v>22436</v>
      </c>
      <c r="G7941" t="s">
        <v>22444</v>
      </c>
      <c r="H7941" t="s">
        <v>22454</v>
      </c>
      <c r="I7941" t="s">
        <v>7738</v>
      </c>
      <c r="J7941" t="s">
        <v>25346</v>
      </c>
      <c r="K7941" t="s">
        <v>29344</v>
      </c>
      <c r="M7941" t="s">
        <v>31722</v>
      </c>
      <c r="N7941" t="s">
        <v>32524</v>
      </c>
      <c r="O7941" t="s">
        <v>32525</v>
      </c>
      <c r="P7941">
        <v>0</v>
      </c>
      <c r="Q7941">
        <v>0</v>
      </c>
      <c r="R7941" t="s">
        <v>32533</v>
      </c>
      <c r="S7941" t="s">
        <v>32667</v>
      </c>
      <c r="T7941" t="s">
        <v>33242</v>
      </c>
      <c r="U7941" t="s">
        <v>40230</v>
      </c>
      <c r="V7941" t="s">
        <v>43127</v>
      </c>
      <c r="W7941" t="s">
        <v>31722</v>
      </c>
      <c r="X7941" t="s">
        <v>32534</v>
      </c>
    </row>
    <row r="7942" spans="1:24">
      <c r="A7942">
        <f>HYPERLINK("https://www.philgeps.gov.ph/GEPSNONPILOT/Tender/SplashBidNoticeAbstractUI.aspx?menuIndex=3&amp;refID=7035251&amp;Result=3","7035251")</f>
        <v>0</v>
      </c>
      <c r="B7942" t="s">
        <v>1990</v>
      </c>
      <c r="C7942" t="s">
        <v>10260</v>
      </c>
      <c r="E7942" t="s">
        <v>20064</v>
      </c>
      <c r="F7942" t="s">
        <v>22436</v>
      </c>
      <c r="G7942" t="s">
        <v>22444</v>
      </c>
      <c r="H7942" t="s">
        <v>22454</v>
      </c>
      <c r="I7942" t="s">
        <v>7738</v>
      </c>
      <c r="J7942" t="s">
        <v>24895</v>
      </c>
      <c r="K7942" t="s">
        <v>29344</v>
      </c>
      <c r="M7942" t="s">
        <v>31722</v>
      </c>
      <c r="N7942" t="s">
        <v>32524</v>
      </c>
      <c r="O7942" t="s">
        <v>32525</v>
      </c>
      <c r="P7942">
        <v>0</v>
      </c>
      <c r="Q7942">
        <v>0</v>
      </c>
      <c r="R7942" t="s">
        <v>32533</v>
      </c>
      <c r="S7942" t="s">
        <v>32667</v>
      </c>
      <c r="T7942" t="s">
        <v>33242</v>
      </c>
      <c r="U7942" t="s">
        <v>40230</v>
      </c>
      <c r="V7942" t="s">
        <v>43127</v>
      </c>
      <c r="W7942" t="s">
        <v>31722</v>
      </c>
      <c r="X7942" t="s">
        <v>32534</v>
      </c>
    </row>
    <row r="7943" spans="1:24">
      <c r="A7943">
        <f>HYPERLINK("https://www.philgeps.gov.ph/GEPSNONPILOT/Tender/SplashBidNoticeAbstractUI.aspx?menuIndex=3&amp;refID=7035243&amp;Result=3","7035243")</f>
        <v>0</v>
      </c>
      <c r="B7943" t="s">
        <v>1990</v>
      </c>
      <c r="C7943" t="s">
        <v>10261</v>
      </c>
      <c r="E7943" t="s">
        <v>20065</v>
      </c>
      <c r="F7943" t="s">
        <v>22436</v>
      </c>
      <c r="G7943" t="s">
        <v>22444</v>
      </c>
      <c r="H7943" t="s">
        <v>22454</v>
      </c>
      <c r="I7943" t="s">
        <v>7738</v>
      </c>
      <c r="J7943" t="s">
        <v>25369</v>
      </c>
      <c r="K7943" t="s">
        <v>29388</v>
      </c>
      <c r="M7943" t="s">
        <v>31722</v>
      </c>
      <c r="N7943" t="s">
        <v>32524</v>
      </c>
      <c r="O7943" t="s">
        <v>32525</v>
      </c>
      <c r="P7943">
        <v>0</v>
      </c>
      <c r="Q7943">
        <v>0</v>
      </c>
      <c r="R7943" t="s">
        <v>32533</v>
      </c>
      <c r="S7943" t="s">
        <v>32667</v>
      </c>
      <c r="T7943" t="s">
        <v>33242</v>
      </c>
      <c r="U7943" t="s">
        <v>40230</v>
      </c>
      <c r="V7943" t="s">
        <v>43127</v>
      </c>
      <c r="W7943" t="s">
        <v>31722</v>
      </c>
      <c r="X7943" t="s">
        <v>32534</v>
      </c>
    </row>
    <row r="7944" spans="1:24">
      <c r="A7944">
        <f>HYPERLINK("https://www.philgeps.gov.ph/GEPSNONPILOT/Tender/SplashBidNoticeAbstractUI.aspx?menuIndex=3&amp;refID=7035235&amp;Result=3","7035235")</f>
        <v>0</v>
      </c>
      <c r="B7944" t="s">
        <v>1990</v>
      </c>
      <c r="C7944" t="s">
        <v>10262</v>
      </c>
      <c r="E7944" t="s">
        <v>20066</v>
      </c>
      <c r="F7944" t="s">
        <v>22436</v>
      </c>
      <c r="G7944" t="s">
        <v>22444</v>
      </c>
      <c r="H7944" t="s">
        <v>22454</v>
      </c>
      <c r="I7944" t="s">
        <v>7738</v>
      </c>
      <c r="J7944" t="s">
        <v>25369</v>
      </c>
      <c r="K7944" t="s">
        <v>29344</v>
      </c>
      <c r="M7944" t="s">
        <v>31722</v>
      </c>
      <c r="N7944" t="s">
        <v>32524</v>
      </c>
      <c r="O7944" t="s">
        <v>32525</v>
      </c>
      <c r="P7944">
        <v>0</v>
      </c>
      <c r="Q7944">
        <v>0</v>
      </c>
      <c r="R7944" t="s">
        <v>32533</v>
      </c>
      <c r="S7944" t="s">
        <v>32667</v>
      </c>
      <c r="T7944" t="s">
        <v>33242</v>
      </c>
      <c r="U7944" t="s">
        <v>40230</v>
      </c>
      <c r="V7944" t="s">
        <v>43127</v>
      </c>
      <c r="W7944" t="s">
        <v>31722</v>
      </c>
      <c r="X7944" t="s">
        <v>32534</v>
      </c>
    </row>
    <row r="7945" spans="1:24">
      <c r="A7945">
        <f>HYPERLINK("https://www.philgeps.gov.ph/GEPSNONPILOT/Tender/SplashBidNoticeAbstractUI.aspx?menuIndex=3&amp;refID=7035260&amp;Result=3","7035260")</f>
        <v>0</v>
      </c>
      <c r="B7945" t="s">
        <v>827</v>
      </c>
      <c r="C7945" t="s">
        <v>10263</v>
      </c>
      <c r="D7945" t="s">
        <v>12988</v>
      </c>
      <c r="E7945" t="s">
        <v>20067</v>
      </c>
      <c r="F7945" t="s">
        <v>22436</v>
      </c>
      <c r="G7945" t="s">
        <v>22444</v>
      </c>
      <c r="H7945" t="s">
        <v>22452</v>
      </c>
      <c r="I7945" t="s">
        <v>22484</v>
      </c>
      <c r="J7945" t="s">
        <v>23387</v>
      </c>
      <c r="K7945" t="s">
        <v>29334</v>
      </c>
      <c r="M7945" t="s">
        <v>30433</v>
      </c>
      <c r="N7945" t="s">
        <v>32524</v>
      </c>
      <c r="O7945" t="s">
        <v>32525</v>
      </c>
      <c r="P7945">
        <v>0</v>
      </c>
      <c r="Q7945">
        <v>24</v>
      </c>
      <c r="R7945" t="s">
        <v>32533</v>
      </c>
      <c r="S7945" t="s">
        <v>32667</v>
      </c>
      <c r="T7945" t="s">
        <v>33234</v>
      </c>
      <c r="U7945" t="s">
        <v>40235</v>
      </c>
      <c r="W7945" t="s">
        <v>30433</v>
      </c>
      <c r="X7945" t="s">
        <v>32534</v>
      </c>
    </row>
    <row r="7946" spans="1:24">
      <c r="A7946">
        <f>HYPERLINK("https://www.philgeps.gov.ph/GEPSNONPILOT/Tender/SplashBidNoticeAbstractUI.aspx?menuIndex=3&amp;refID=6816667&amp;Result=3","6816667")</f>
        <v>0</v>
      </c>
      <c r="B7946" t="s">
        <v>217</v>
      </c>
      <c r="C7946" t="s">
        <v>10264</v>
      </c>
      <c r="D7946" t="s">
        <v>13019</v>
      </c>
      <c r="E7946" t="s">
        <v>20068</v>
      </c>
      <c r="F7946" t="s">
        <v>22436</v>
      </c>
      <c r="G7946" t="s">
        <v>22444</v>
      </c>
      <c r="H7946" t="s">
        <v>22454</v>
      </c>
      <c r="I7946" t="s">
        <v>22501</v>
      </c>
      <c r="J7946" t="s">
        <v>23835</v>
      </c>
      <c r="K7946" t="s">
        <v>29401</v>
      </c>
      <c r="M7946" t="s">
        <v>32096</v>
      </c>
      <c r="N7946" t="s">
        <v>32524</v>
      </c>
      <c r="O7946" t="s">
        <v>32525</v>
      </c>
      <c r="P7946">
        <v>0</v>
      </c>
      <c r="Q7946">
        <v>6</v>
      </c>
      <c r="R7946" t="s">
        <v>32534</v>
      </c>
      <c r="S7946" t="s">
        <v>32739</v>
      </c>
      <c r="T7946" t="s">
        <v>33487</v>
      </c>
      <c r="U7946" t="s">
        <v>40236</v>
      </c>
      <c r="V7946" t="s">
        <v>43294</v>
      </c>
      <c r="W7946" t="s">
        <v>32096</v>
      </c>
      <c r="X7946" t="s">
        <v>43794</v>
      </c>
    </row>
    <row r="7947" spans="1:24">
      <c r="A7947">
        <f>HYPERLINK("https://www.philgeps.gov.ph/GEPSNONPILOT/Tender/SplashBidNoticeAbstractUI.aspx?menuIndex=3&amp;refID=7035258&amp;Result=3","7035258")</f>
        <v>0</v>
      </c>
      <c r="B7947" t="s">
        <v>2317</v>
      </c>
      <c r="C7947" t="s">
        <v>10265</v>
      </c>
      <c r="D7947" t="s">
        <v>13041</v>
      </c>
      <c r="E7947" t="s">
        <v>20069</v>
      </c>
      <c r="F7947" t="s">
        <v>22436</v>
      </c>
      <c r="G7947" t="s">
        <v>22444</v>
      </c>
      <c r="H7947" t="s">
        <v>22452</v>
      </c>
      <c r="I7947" t="s">
        <v>22474</v>
      </c>
      <c r="J7947" t="s">
        <v>22943</v>
      </c>
      <c r="K7947" t="s">
        <v>29341</v>
      </c>
      <c r="M7947" t="s">
        <v>32093</v>
      </c>
      <c r="N7947" t="s">
        <v>32524</v>
      </c>
      <c r="O7947" t="s">
        <v>32525</v>
      </c>
      <c r="P7947">
        <v>0</v>
      </c>
      <c r="Q7947">
        <v>3</v>
      </c>
      <c r="R7947" t="s">
        <v>32533</v>
      </c>
      <c r="S7947" t="s">
        <v>32667</v>
      </c>
      <c r="T7947" t="s">
        <v>33397</v>
      </c>
      <c r="U7947" t="s">
        <v>40237</v>
      </c>
      <c r="V7947" t="s">
        <v>43285</v>
      </c>
      <c r="W7947" t="s">
        <v>32093</v>
      </c>
      <c r="X7947" t="s">
        <v>32534</v>
      </c>
    </row>
    <row r="7948" spans="1:24">
      <c r="A7948">
        <f>HYPERLINK("https://www.philgeps.gov.ph/GEPSNONPILOT/Tender/SplashBidNoticeAbstractUI.aspx?menuIndex=3&amp;refID=7035227&amp;Result=3","7035227")</f>
        <v>0</v>
      </c>
      <c r="B7948" t="s">
        <v>2316</v>
      </c>
      <c r="C7948" t="s">
        <v>10266</v>
      </c>
      <c r="D7948" t="s">
        <v>12995</v>
      </c>
      <c r="E7948" t="s">
        <v>20070</v>
      </c>
      <c r="F7948" t="s">
        <v>22436</v>
      </c>
      <c r="G7948" t="s">
        <v>22450</v>
      </c>
      <c r="H7948" t="s">
        <v>22454</v>
      </c>
      <c r="I7948" t="s">
        <v>7738</v>
      </c>
      <c r="J7948" t="s">
        <v>27702</v>
      </c>
      <c r="K7948" t="s">
        <v>29401</v>
      </c>
      <c r="M7948" t="s">
        <v>32092</v>
      </c>
      <c r="N7948" t="s">
        <v>32524</v>
      </c>
      <c r="O7948" t="s">
        <v>32525</v>
      </c>
      <c r="P7948">
        <v>0</v>
      </c>
      <c r="Q7948">
        <v>13</v>
      </c>
      <c r="R7948" t="s">
        <v>32533</v>
      </c>
      <c r="S7948" t="s">
        <v>32667</v>
      </c>
      <c r="T7948" t="s">
        <v>33234</v>
      </c>
      <c r="U7948" t="s">
        <v>40238</v>
      </c>
      <c r="V7948" t="s">
        <v>43295</v>
      </c>
      <c r="W7948" t="s">
        <v>32092</v>
      </c>
      <c r="X7948" t="s">
        <v>32534</v>
      </c>
    </row>
    <row r="7949" spans="1:24">
      <c r="A7949">
        <f>HYPERLINK("https://www.philgeps.gov.ph/GEPSNONPILOT/Tender/SplashBidNoticeAbstractUI.aspx?menuIndex=3&amp;refID=7035263&amp;Result=3","7035263")</f>
        <v>0</v>
      </c>
      <c r="B7949" t="s">
        <v>827</v>
      </c>
      <c r="C7949" t="s">
        <v>10267</v>
      </c>
      <c r="D7949" t="s">
        <v>12988</v>
      </c>
      <c r="E7949" t="s">
        <v>20071</v>
      </c>
      <c r="F7949" t="s">
        <v>22436</v>
      </c>
      <c r="G7949" t="s">
        <v>22444</v>
      </c>
      <c r="H7949" t="s">
        <v>22452</v>
      </c>
      <c r="I7949" t="s">
        <v>22484</v>
      </c>
      <c r="J7949" t="s">
        <v>22960</v>
      </c>
      <c r="K7949" t="s">
        <v>29334</v>
      </c>
      <c r="M7949" t="s">
        <v>30433</v>
      </c>
      <c r="N7949" t="s">
        <v>32524</v>
      </c>
      <c r="O7949" t="s">
        <v>32525</v>
      </c>
      <c r="P7949">
        <v>0</v>
      </c>
      <c r="Q7949">
        <v>19</v>
      </c>
      <c r="R7949" t="s">
        <v>32533</v>
      </c>
      <c r="S7949" t="s">
        <v>32667</v>
      </c>
      <c r="T7949" t="s">
        <v>33248</v>
      </c>
      <c r="U7949" t="s">
        <v>40239</v>
      </c>
      <c r="W7949" t="s">
        <v>30433</v>
      </c>
      <c r="X7949" t="s">
        <v>32534</v>
      </c>
    </row>
    <row r="7950" spans="1:24">
      <c r="A7950">
        <f>HYPERLINK("https://www.philgeps.gov.ph/GEPSNONPILOT/Tender/SplashBidNoticeAbstractUI.aspx?menuIndex=3&amp;refID=7035238&amp;Result=3","7035238")</f>
        <v>0</v>
      </c>
      <c r="B7950" t="s">
        <v>1990</v>
      </c>
      <c r="C7950" t="s">
        <v>10268</v>
      </c>
      <c r="E7950" t="s">
        <v>20072</v>
      </c>
      <c r="F7950" t="s">
        <v>22436</v>
      </c>
      <c r="G7950" t="s">
        <v>22444</v>
      </c>
      <c r="H7950" t="s">
        <v>22454</v>
      </c>
      <c r="I7950" t="s">
        <v>7738</v>
      </c>
      <c r="J7950" t="s">
        <v>27703</v>
      </c>
      <c r="K7950" t="s">
        <v>29345</v>
      </c>
      <c r="M7950" t="s">
        <v>31722</v>
      </c>
      <c r="N7950" t="s">
        <v>32524</v>
      </c>
      <c r="O7950" t="s">
        <v>32525</v>
      </c>
      <c r="P7950">
        <v>0</v>
      </c>
      <c r="Q7950">
        <v>2</v>
      </c>
      <c r="R7950" t="s">
        <v>32533</v>
      </c>
      <c r="S7950" t="s">
        <v>32667</v>
      </c>
      <c r="T7950" t="s">
        <v>33242</v>
      </c>
      <c r="U7950" t="s">
        <v>40230</v>
      </c>
      <c r="V7950" t="s">
        <v>43127</v>
      </c>
      <c r="W7950" t="s">
        <v>31722</v>
      </c>
      <c r="X7950" t="s">
        <v>32534</v>
      </c>
    </row>
    <row r="7951" spans="1:24">
      <c r="A7951">
        <f>HYPERLINK("https://www.philgeps.gov.ph/GEPSNONPILOT/Tender/SplashBidNoticeAbstractUI.aspx?menuIndex=3&amp;refID=7035226&amp;Result=3","7035226")</f>
        <v>0</v>
      </c>
      <c r="B7951" t="s">
        <v>2319</v>
      </c>
      <c r="C7951" t="s">
        <v>10269</v>
      </c>
      <c r="D7951" t="s">
        <v>12988</v>
      </c>
      <c r="E7951" t="s">
        <v>15038</v>
      </c>
      <c r="F7951" t="s">
        <v>22436</v>
      </c>
      <c r="G7951" t="s">
        <v>22444</v>
      </c>
      <c r="H7951" t="s">
        <v>22452</v>
      </c>
      <c r="I7951" t="s">
        <v>2981</v>
      </c>
      <c r="J7951" t="s">
        <v>27704</v>
      </c>
      <c r="K7951" t="s">
        <v>29341</v>
      </c>
      <c r="M7951" t="s">
        <v>32095</v>
      </c>
      <c r="N7951" t="s">
        <v>32524</v>
      </c>
      <c r="O7951" t="s">
        <v>32525</v>
      </c>
      <c r="P7951">
        <v>0</v>
      </c>
      <c r="Q7951">
        <v>0</v>
      </c>
      <c r="R7951" t="s">
        <v>32533</v>
      </c>
      <c r="S7951" t="s">
        <v>32667</v>
      </c>
      <c r="T7951" t="s">
        <v>33155</v>
      </c>
      <c r="U7951" t="s">
        <v>40240</v>
      </c>
      <c r="W7951" t="s">
        <v>32095</v>
      </c>
      <c r="X7951" t="s">
        <v>32534</v>
      </c>
    </row>
    <row r="7952" spans="1:24">
      <c r="A7952">
        <f>HYPERLINK("https://www.philgeps.gov.ph/GEPSNONPILOT/Tender/SplashBidNoticeAbstractUI.aspx?menuIndex=3&amp;refID=7035219&amp;Result=3","7035219")</f>
        <v>0</v>
      </c>
      <c r="B7952" t="s">
        <v>2317</v>
      </c>
      <c r="C7952" t="s">
        <v>10270</v>
      </c>
      <c r="D7952" t="s">
        <v>13041</v>
      </c>
      <c r="E7952" t="s">
        <v>20073</v>
      </c>
      <c r="F7952" t="s">
        <v>22436</v>
      </c>
      <c r="G7952" t="s">
        <v>22444</v>
      </c>
      <c r="H7952" t="s">
        <v>22452</v>
      </c>
      <c r="I7952" t="s">
        <v>22474</v>
      </c>
      <c r="J7952" t="s">
        <v>23278</v>
      </c>
      <c r="K7952" t="s">
        <v>29341</v>
      </c>
      <c r="M7952" t="s">
        <v>32093</v>
      </c>
      <c r="N7952" t="s">
        <v>32524</v>
      </c>
      <c r="O7952" t="s">
        <v>32525</v>
      </c>
      <c r="P7952">
        <v>0</v>
      </c>
      <c r="Q7952">
        <v>2</v>
      </c>
      <c r="R7952" t="s">
        <v>32533</v>
      </c>
      <c r="S7952" t="s">
        <v>32667</v>
      </c>
      <c r="T7952" t="s">
        <v>33397</v>
      </c>
      <c r="U7952" t="s">
        <v>40241</v>
      </c>
      <c r="V7952" t="s">
        <v>43285</v>
      </c>
      <c r="W7952" t="s">
        <v>32093</v>
      </c>
      <c r="X7952" t="s">
        <v>32534</v>
      </c>
    </row>
    <row r="7953" spans="1:24">
      <c r="A7953">
        <f>HYPERLINK("https://www.philgeps.gov.ph/GEPSNONPILOT/Tender/SplashBidNoticeAbstractUI.aspx?menuIndex=3&amp;refID=7035252&amp;Result=3","7035252")</f>
        <v>0</v>
      </c>
      <c r="B7953" t="s">
        <v>2320</v>
      </c>
      <c r="C7953" t="s">
        <v>10271</v>
      </c>
      <c r="D7953" t="s">
        <v>13044</v>
      </c>
      <c r="E7953" t="s">
        <v>16408</v>
      </c>
      <c r="F7953" t="s">
        <v>22436</v>
      </c>
      <c r="G7953" t="s">
        <v>22443</v>
      </c>
      <c r="H7953" t="s">
        <v>22452</v>
      </c>
      <c r="I7953" t="s">
        <v>6421</v>
      </c>
      <c r="J7953" t="s">
        <v>23627</v>
      </c>
      <c r="K7953" t="s">
        <v>29336</v>
      </c>
      <c r="M7953" t="s">
        <v>32097</v>
      </c>
      <c r="N7953" t="s">
        <v>32524</v>
      </c>
      <c r="O7953" t="s">
        <v>32525</v>
      </c>
      <c r="P7953">
        <v>0</v>
      </c>
      <c r="Q7953">
        <v>0</v>
      </c>
      <c r="R7953" t="s">
        <v>32533</v>
      </c>
      <c r="S7953" t="s">
        <v>32667</v>
      </c>
      <c r="T7953" t="s">
        <v>33169</v>
      </c>
      <c r="U7953" t="s">
        <v>40242</v>
      </c>
      <c r="W7953" t="s">
        <v>43751</v>
      </c>
      <c r="X7953" t="s">
        <v>32534</v>
      </c>
    </row>
    <row r="7954" spans="1:24">
      <c r="A7954">
        <f>HYPERLINK("https://www.philgeps.gov.ph/GEPSNONPILOT/Tender/SplashBidNoticeAbstractUI.aspx?menuIndex=3&amp;refID=6929481&amp;Result=3","6929481")</f>
        <v>0</v>
      </c>
      <c r="B7954" t="s">
        <v>2085</v>
      </c>
      <c r="C7954" t="s">
        <v>10272</v>
      </c>
      <c r="D7954" t="s">
        <v>12988</v>
      </c>
      <c r="E7954" t="s">
        <v>20074</v>
      </c>
      <c r="F7954" t="s">
        <v>22436</v>
      </c>
      <c r="G7954" t="s">
        <v>22444</v>
      </c>
      <c r="H7954" t="s">
        <v>22452</v>
      </c>
      <c r="I7954" t="s">
        <v>3827</v>
      </c>
      <c r="J7954" t="s">
        <v>27705</v>
      </c>
      <c r="K7954" t="s">
        <v>29338</v>
      </c>
      <c r="M7954" t="s">
        <v>31829</v>
      </c>
      <c r="N7954" t="s">
        <v>32524</v>
      </c>
      <c r="O7954" t="s">
        <v>32525</v>
      </c>
      <c r="P7954">
        <v>0</v>
      </c>
      <c r="Q7954">
        <v>18</v>
      </c>
      <c r="R7954" t="s">
        <v>32534</v>
      </c>
      <c r="S7954" t="s">
        <v>32739</v>
      </c>
      <c r="T7954" t="s">
        <v>33564</v>
      </c>
      <c r="U7954" t="s">
        <v>40243</v>
      </c>
      <c r="W7954" t="s">
        <v>31829</v>
      </c>
      <c r="X7954" t="s">
        <v>43775</v>
      </c>
    </row>
    <row r="7955" spans="1:24">
      <c r="A7955">
        <f>HYPERLINK("https://www.philgeps.gov.ph/GEPSNONPILOT/Tender/SplashBidNoticeAbstractUI.aspx?menuIndex=3&amp;refID=7024050&amp;Result=3","7024050")</f>
        <v>0</v>
      </c>
      <c r="B7955" t="s">
        <v>217</v>
      </c>
      <c r="C7955" t="s">
        <v>10273</v>
      </c>
      <c r="D7955" t="s">
        <v>13019</v>
      </c>
      <c r="E7955" t="s">
        <v>20075</v>
      </c>
      <c r="F7955" t="s">
        <v>22436</v>
      </c>
      <c r="G7955" t="s">
        <v>22444</v>
      </c>
      <c r="H7955" t="s">
        <v>22454</v>
      </c>
      <c r="I7955" t="s">
        <v>22501</v>
      </c>
      <c r="J7955" t="s">
        <v>27706</v>
      </c>
      <c r="K7955" t="s">
        <v>29401</v>
      </c>
      <c r="M7955" t="s">
        <v>32096</v>
      </c>
      <c r="N7955" t="s">
        <v>32524</v>
      </c>
      <c r="O7955" t="s">
        <v>32525</v>
      </c>
      <c r="Q7955">
        <v>6</v>
      </c>
      <c r="R7955" t="s">
        <v>32534</v>
      </c>
      <c r="S7955" t="s">
        <v>32740</v>
      </c>
      <c r="T7955" t="s">
        <v>33382</v>
      </c>
      <c r="U7955" t="s">
        <v>40244</v>
      </c>
      <c r="V7955" t="s">
        <v>43296</v>
      </c>
      <c r="W7955" t="s">
        <v>32096</v>
      </c>
      <c r="X7955" t="s">
        <v>32540</v>
      </c>
    </row>
    <row r="7956" spans="1:24">
      <c r="A7956">
        <f>HYPERLINK("https://www.philgeps.gov.ph/GEPSNONPILOT/Tender/SplashBidNoticeAbstractUI.aspx?menuIndex=3&amp;refID=6999017&amp;Result=3","6999017")</f>
        <v>0</v>
      </c>
      <c r="B7956" t="s">
        <v>2321</v>
      </c>
      <c r="C7956" t="s">
        <v>10274</v>
      </c>
      <c r="D7956" t="s">
        <v>12993</v>
      </c>
      <c r="E7956" t="s">
        <v>20076</v>
      </c>
      <c r="F7956" t="s">
        <v>22436</v>
      </c>
      <c r="G7956" t="s">
        <v>22444</v>
      </c>
      <c r="H7956" t="s">
        <v>22452</v>
      </c>
      <c r="I7956" t="s">
        <v>3529</v>
      </c>
      <c r="J7956" t="s">
        <v>27707</v>
      </c>
      <c r="K7956" t="s">
        <v>29331</v>
      </c>
      <c r="M7956" t="s">
        <v>32098</v>
      </c>
      <c r="N7956" t="s">
        <v>32524</v>
      </c>
      <c r="O7956" t="s">
        <v>32525</v>
      </c>
      <c r="P7956">
        <v>0</v>
      </c>
      <c r="Q7956">
        <v>0</v>
      </c>
      <c r="R7956" t="s">
        <v>32534</v>
      </c>
      <c r="S7956" t="s">
        <v>32739</v>
      </c>
      <c r="T7956" t="s">
        <v>33322</v>
      </c>
      <c r="U7956" t="s">
        <v>40245</v>
      </c>
      <c r="W7956" t="s">
        <v>32098</v>
      </c>
      <c r="X7956" t="s">
        <v>43785</v>
      </c>
    </row>
    <row r="7957" spans="1:24">
      <c r="A7957">
        <f>HYPERLINK("https://www.philgeps.gov.ph/GEPSNONPILOT/Tender/SplashBidNoticeAbstractUI.aspx?menuIndex=3&amp;refID=7035222&amp;Result=3","7035222")</f>
        <v>0</v>
      </c>
      <c r="B7957" t="s">
        <v>2316</v>
      </c>
      <c r="C7957" t="s">
        <v>10275</v>
      </c>
      <c r="D7957" t="s">
        <v>12995</v>
      </c>
      <c r="E7957" t="s">
        <v>20077</v>
      </c>
      <c r="F7957" t="s">
        <v>22436</v>
      </c>
      <c r="G7957" t="s">
        <v>22450</v>
      </c>
      <c r="H7957" t="s">
        <v>22454</v>
      </c>
      <c r="I7957" t="s">
        <v>7738</v>
      </c>
      <c r="J7957" t="s">
        <v>27708</v>
      </c>
      <c r="K7957" t="s">
        <v>29345</v>
      </c>
      <c r="M7957" t="s">
        <v>32092</v>
      </c>
      <c r="N7957" t="s">
        <v>32524</v>
      </c>
      <c r="O7957" t="s">
        <v>32525</v>
      </c>
      <c r="P7957">
        <v>0</v>
      </c>
      <c r="Q7957">
        <v>13</v>
      </c>
      <c r="R7957" t="s">
        <v>32533</v>
      </c>
      <c r="S7957" t="s">
        <v>32667</v>
      </c>
      <c r="T7957" t="s">
        <v>33234</v>
      </c>
      <c r="U7957" t="s">
        <v>40246</v>
      </c>
      <c r="V7957" t="s">
        <v>43297</v>
      </c>
      <c r="W7957" t="s">
        <v>32092</v>
      </c>
      <c r="X7957" t="s">
        <v>32534</v>
      </c>
    </row>
    <row r="7958" spans="1:24">
      <c r="A7958">
        <f>HYPERLINK("https://www.philgeps.gov.ph/GEPSNONPILOT/Tender/SplashBidNoticeAbstractUI.aspx?menuIndex=3&amp;refID=7020137&amp;Result=3","7020137")</f>
        <v>0</v>
      </c>
      <c r="B7958" t="s">
        <v>1545</v>
      </c>
      <c r="C7958" t="s">
        <v>10276</v>
      </c>
      <c r="D7958" t="s">
        <v>13006</v>
      </c>
      <c r="E7958" t="s">
        <v>20078</v>
      </c>
      <c r="F7958" t="s">
        <v>22436</v>
      </c>
      <c r="G7958" t="s">
        <v>22444</v>
      </c>
      <c r="H7958" t="s">
        <v>22452</v>
      </c>
      <c r="I7958" t="s">
        <v>22458</v>
      </c>
      <c r="J7958" t="s">
        <v>27709</v>
      </c>
      <c r="K7958" t="s">
        <v>29336</v>
      </c>
      <c r="M7958" t="s">
        <v>31224</v>
      </c>
      <c r="N7958" t="s">
        <v>32524</v>
      </c>
      <c r="O7958" t="s">
        <v>32525</v>
      </c>
      <c r="P7958">
        <v>0</v>
      </c>
      <c r="Q7958">
        <v>17</v>
      </c>
      <c r="R7958" t="s">
        <v>32534</v>
      </c>
      <c r="S7958" t="s">
        <v>32739</v>
      </c>
      <c r="T7958" t="s">
        <v>33191</v>
      </c>
      <c r="U7958" t="s">
        <v>40247</v>
      </c>
      <c r="W7958" t="s">
        <v>31224</v>
      </c>
      <c r="X7958" t="s">
        <v>43779</v>
      </c>
    </row>
    <row r="7959" spans="1:24">
      <c r="A7959">
        <f>HYPERLINK("https://www.philgeps.gov.ph/GEPSNONPILOT/Tender/SplashBidNoticeAbstractUI.aspx?menuIndex=3&amp;refID=7019094&amp;Result=3","7019094")</f>
        <v>0</v>
      </c>
      <c r="B7959" t="s">
        <v>2322</v>
      </c>
      <c r="C7959" t="s">
        <v>10277</v>
      </c>
      <c r="D7959" t="s">
        <v>12992</v>
      </c>
      <c r="E7959" t="s">
        <v>20079</v>
      </c>
      <c r="F7959" t="s">
        <v>22436</v>
      </c>
      <c r="G7959" t="s">
        <v>22444</v>
      </c>
      <c r="H7959" t="s">
        <v>22452</v>
      </c>
      <c r="I7959" t="s">
        <v>3827</v>
      </c>
      <c r="J7959" t="s">
        <v>27705</v>
      </c>
      <c r="K7959" t="s">
        <v>29335</v>
      </c>
      <c r="M7959" t="s">
        <v>32099</v>
      </c>
      <c r="N7959" t="s">
        <v>32524</v>
      </c>
      <c r="O7959" t="s">
        <v>32525</v>
      </c>
      <c r="P7959">
        <v>0</v>
      </c>
      <c r="Q7959">
        <v>7</v>
      </c>
      <c r="R7959" t="s">
        <v>32534</v>
      </c>
      <c r="S7959" t="s">
        <v>32739</v>
      </c>
      <c r="T7959" t="s">
        <v>33565</v>
      </c>
      <c r="U7959" t="s">
        <v>40248</v>
      </c>
      <c r="W7959" t="s">
        <v>32099</v>
      </c>
      <c r="X7959" t="s">
        <v>43795</v>
      </c>
    </row>
    <row r="7960" spans="1:24">
      <c r="A7960">
        <f>HYPERLINK("https://www.philgeps.gov.ph/GEPSNONPILOT/Tender/SplashBidNoticeAbstractUI.aspx?menuIndex=3&amp;refID=7019084&amp;Result=3","7019084")</f>
        <v>0</v>
      </c>
      <c r="B7960" t="s">
        <v>2322</v>
      </c>
      <c r="C7960" t="s">
        <v>10278</v>
      </c>
      <c r="D7960" t="s">
        <v>12992</v>
      </c>
      <c r="E7960" t="s">
        <v>20080</v>
      </c>
      <c r="F7960" t="s">
        <v>22436</v>
      </c>
      <c r="G7960" t="s">
        <v>22444</v>
      </c>
      <c r="H7960" t="s">
        <v>22452</v>
      </c>
      <c r="I7960" t="s">
        <v>22469</v>
      </c>
      <c r="J7960" t="s">
        <v>27710</v>
      </c>
      <c r="K7960" t="s">
        <v>29335</v>
      </c>
      <c r="M7960" t="s">
        <v>32099</v>
      </c>
      <c r="N7960" t="s">
        <v>32524</v>
      </c>
      <c r="O7960" t="s">
        <v>32525</v>
      </c>
      <c r="P7960">
        <v>0</v>
      </c>
      <c r="Q7960">
        <v>8</v>
      </c>
      <c r="R7960" t="s">
        <v>32534</v>
      </c>
      <c r="S7960" t="s">
        <v>32739</v>
      </c>
      <c r="T7960" t="s">
        <v>33565</v>
      </c>
      <c r="U7960" t="s">
        <v>40249</v>
      </c>
      <c r="W7960" t="s">
        <v>32099</v>
      </c>
      <c r="X7960" t="s">
        <v>43795</v>
      </c>
    </row>
    <row r="7961" spans="1:24">
      <c r="A7961">
        <f>HYPERLINK("https://www.philgeps.gov.ph/GEPSNONPILOT/Tender/SplashBidNoticeAbstractUI.aspx?menuIndex=3&amp;refID=7018901&amp;Result=3","7018901")</f>
        <v>0</v>
      </c>
      <c r="B7961" t="s">
        <v>949</v>
      </c>
      <c r="C7961" t="s">
        <v>10279</v>
      </c>
      <c r="D7961" t="s">
        <v>13057</v>
      </c>
      <c r="E7961" t="s">
        <v>20081</v>
      </c>
      <c r="F7961" t="s">
        <v>22436</v>
      </c>
      <c r="G7961" t="s">
        <v>22444</v>
      </c>
      <c r="H7961" t="s">
        <v>22454</v>
      </c>
      <c r="I7961" t="s">
        <v>7738</v>
      </c>
      <c r="J7961" t="s">
        <v>27711</v>
      </c>
      <c r="K7961" t="s">
        <v>29344</v>
      </c>
      <c r="M7961" t="s">
        <v>30563</v>
      </c>
      <c r="N7961" t="s">
        <v>32524</v>
      </c>
      <c r="O7961" t="s">
        <v>32525</v>
      </c>
      <c r="P7961">
        <v>0</v>
      </c>
      <c r="Q7961">
        <v>2</v>
      </c>
      <c r="R7961" t="s">
        <v>32534</v>
      </c>
      <c r="S7961" t="s">
        <v>32739</v>
      </c>
      <c r="T7961" t="s">
        <v>33400</v>
      </c>
      <c r="U7961" t="s">
        <v>40250</v>
      </c>
      <c r="W7961" t="s">
        <v>30563</v>
      </c>
      <c r="X7961" t="s">
        <v>43795</v>
      </c>
    </row>
    <row r="7962" spans="1:24">
      <c r="A7962">
        <f>HYPERLINK("https://www.philgeps.gov.ph/GEPSNONPILOT/Tender/SplashBidNoticeAbstractUI.aspx?menuIndex=3&amp;refID=7035272&amp;Result=3","7035272")</f>
        <v>0</v>
      </c>
      <c r="B7962" t="s">
        <v>2323</v>
      </c>
      <c r="C7962" t="s">
        <v>10280</v>
      </c>
      <c r="D7962" t="s">
        <v>13009</v>
      </c>
      <c r="E7962" t="s">
        <v>20082</v>
      </c>
      <c r="F7962" t="s">
        <v>22436</v>
      </c>
      <c r="G7962" t="s">
        <v>22444</v>
      </c>
      <c r="H7962" t="s">
        <v>22452</v>
      </c>
      <c r="I7962" t="s">
        <v>3381</v>
      </c>
      <c r="J7962" t="s">
        <v>22634</v>
      </c>
      <c r="K7962" t="s">
        <v>29333</v>
      </c>
      <c r="M7962" t="s">
        <v>32100</v>
      </c>
      <c r="N7962" t="s">
        <v>32524</v>
      </c>
      <c r="O7962" t="s">
        <v>32525</v>
      </c>
      <c r="Q7962">
        <v>5</v>
      </c>
      <c r="R7962" t="s">
        <v>32533</v>
      </c>
      <c r="S7962" t="s">
        <v>32741</v>
      </c>
      <c r="T7962" t="s">
        <v>33253</v>
      </c>
      <c r="U7962" t="s">
        <v>40251</v>
      </c>
      <c r="W7962" t="s">
        <v>32100</v>
      </c>
      <c r="X7962" t="s">
        <v>32534</v>
      </c>
    </row>
    <row r="7963" spans="1:24">
      <c r="A7963">
        <f>HYPERLINK("https://www.philgeps.gov.ph/GEPSNONPILOT/Tender/SplashBidNoticeAbstractUI.aspx?menuIndex=3&amp;refID=7018858&amp;Result=3","7018858")</f>
        <v>0</v>
      </c>
      <c r="B7963" t="s">
        <v>2322</v>
      </c>
      <c r="C7963" t="s">
        <v>10281</v>
      </c>
      <c r="D7963" t="s">
        <v>12992</v>
      </c>
      <c r="E7963" t="s">
        <v>20083</v>
      </c>
      <c r="F7963" t="s">
        <v>22436</v>
      </c>
      <c r="G7963" t="s">
        <v>22444</v>
      </c>
      <c r="H7963" t="s">
        <v>22454</v>
      </c>
      <c r="I7963" t="s">
        <v>7738</v>
      </c>
      <c r="J7963" t="s">
        <v>23762</v>
      </c>
      <c r="K7963" t="s">
        <v>29525</v>
      </c>
      <c r="M7963" t="s">
        <v>32099</v>
      </c>
      <c r="N7963" t="s">
        <v>32524</v>
      </c>
      <c r="O7963" t="s">
        <v>32525</v>
      </c>
      <c r="P7963">
        <v>0</v>
      </c>
      <c r="Q7963">
        <v>2</v>
      </c>
      <c r="R7963" t="s">
        <v>32534</v>
      </c>
      <c r="S7963" t="s">
        <v>32739</v>
      </c>
      <c r="T7963" t="s">
        <v>33565</v>
      </c>
      <c r="U7963" t="s">
        <v>40252</v>
      </c>
      <c r="W7963" t="s">
        <v>32099</v>
      </c>
      <c r="X7963" t="s">
        <v>43780</v>
      </c>
    </row>
    <row r="7964" spans="1:24">
      <c r="A7964">
        <f>HYPERLINK("https://www.philgeps.gov.ph/GEPSNONPILOT/Tender/SplashBidNoticeAbstractUI.aspx?menuIndex=3&amp;refID=7018907&amp;Result=3","7018907")</f>
        <v>0</v>
      </c>
      <c r="B7964" t="s">
        <v>949</v>
      </c>
      <c r="C7964" t="s">
        <v>10282</v>
      </c>
      <c r="D7964" t="s">
        <v>13057</v>
      </c>
      <c r="E7964" t="s">
        <v>20084</v>
      </c>
      <c r="F7964" t="s">
        <v>22436</v>
      </c>
      <c r="G7964" t="s">
        <v>22444</v>
      </c>
      <c r="H7964" t="s">
        <v>22454</v>
      </c>
      <c r="I7964" t="s">
        <v>7738</v>
      </c>
      <c r="J7964" t="s">
        <v>27712</v>
      </c>
      <c r="K7964" t="s">
        <v>29433</v>
      </c>
      <c r="M7964" t="s">
        <v>30563</v>
      </c>
      <c r="N7964" t="s">
        <v>32524</v>
      </c>
      <c r="O7964" t="s">
        <v>32525</v>
      </c>
      <c r="P7964">
        <v>0</v>
      </c>
      <c r="Q7964">
        <v>2</v>
      </c>
      <c r="R7964" t="s">
        <v>32534</v>
      </c>
      <c r="S7964" t="s">
        <v>32739</v>
      </c>
      <c r="T7964" t="s">
        <v>33400</v>
      </c>
      <c r="U7964" t="s">
        <v>40253</v>
      </c>
      <c r="W7964" t="s">
        <v>30563</v>
      </c>
      <c r="X7964" t="s">
        <v>43795</v>
      </c>
    </row>
    <row r="7965" spans="1:24">
      <c r="A7965">
        <f>HYPERLINK("https://www.philgeps.gov.ph/GEPSNONPILOT/Tender/SplashBidNoticeAbstractUI.aspx?menuIndex=3&amp;refID=7023296&amp;Result=3","7023296")</f>
        <v>0</v>
      </c>
      <c r="B7965" t="s">
        <v>217</v>
      </c>
      <c r="C7965" t="s">
        <v>10283</v>
      </c>
      <c r="D7965" t="s">
        <v>13019</v>
      </c>
      <c r="E7965" t="s">
        <v>20085</v>
      </c>
      <c r="F7965" t="s">
        <v>22436</v>
      </c>
      <c r="G7965" t="s">
        <v>22444</v>
      </c>
      <c r="H7965" t="s">
        <v>22454</v>
      </c>
      <c r="I7965" t="s">
        <v>7738</v>
      </c>
      <c r="J7965" t="s">
        <v>27713</v>
      </c>
      <c r="K7965" t="s">
        <v>29526</v>
      </c>
      <c r="M7965" t="s">
        <v>32096</v>
      </c>
      <c r="N7965" t="s">
        <v>32524</v>
      </c>
      <c r="O7965" t="s">
        <v>32525</v>
      </c>
      <c r="Q7965">
        <v>4</v>
      </c>
      <c r="R7965" t="s">
        <v>32534</v>
      </c>
      <c r="S7965" t="s">
        <v>32742</v>
      </c>
      <c r="T7965" t="s">
        <v>33259</v>
      </c>
      <c r="U7965" t="s">
        <v>40254</v>
      </c>
      <c r="V7965" t="s">
        <v>43298</v>
      </c>
      <c r="W7965" t="s">
        <v>32096</v>
      </c>
      <c r="X7965" t="s">
        <v>32540</v>
      </c>
    </row>
    <row r="7966" spans="1:24">
      <c r="A7966">
        <f>HYPERLINK("https://www.philgeps.gov.ph/GEPSNONPILOT/Tender/SplashBidNoticeAbstractUI.aspx?menuIndex=3&amp;refID=7018860&amp;Result=3","7018860")</f>
        <v>0</v>
      </c>
      <c r="B7966" t="s">
        <v>2322</v>
      </c>
      <c r="C7966" t="s">
        <v>10284</v>
      </c>
      <c r="D7966" t="s">
        <v>12992</v>
      </c>
      <c r="E7966" t="s">
        <v>20086</v>
      </c>
      <c r="F7966" t="s">
        <v>22436</v>
      </c>
      <c r="G7966" t="s">
        <v>22444</v>
      </c>
      <c r="H7966" t="s">
        <v>22454</v>
      </c>
      <c r="I7966" t="s">
        <v>6387</v>
      </c>
      <c r="J7966" t="s">
        <v>22587</v>
      </c>
      <c r="K7966" t="s">
        <v>29334</v>
      </c>
      <c r="M7966" t="s">
        <v>32099</v>
      </c>
      <c r="N7966" t="s">
        <v>32524</v>
      </c>
      <c r="O7966" t="s">
        <v>32525</v>
      </c>
      <c r="P7966">
        <v>0</v>
      </c>
      <c r="Q7966">
        <v>3</v>
      </c>
      <c r="R7966" t="s">
        <v>32534</v>
      </c>
      <c r="S7966" t="s">
        <v>32739</v>
      </c>
      <c r="T7966" t="s">
        <v>33565</v>
      </c>
      <c r="U7966" t="s">
        <v>40255</v>
      </c>
      <c r="W7966" t="s">
        <v>32099</v>
      </c>
      <c r="X7966" t="s">
        <v>43780</v>
      </c>
    </row>
    <row r="7967" spans="1:24">
      <c r="A7967">
        <f>HYPERLINK("https://www.philgeps.gov.ph/GEPSNONPILOT/Tender/SplashBidNoticeAbstractUI.aspx?menuIndex=3&amp;refID=7024140&amp;Result=3","7024140")</f>
        <v>0</v>
      </c>
      <c r="B7967" t="s">
        <v>949</v>
      </c>
      <c r="C7967" t="s">
        <v>10285</v>
      </c>
      <c r="D7967" t="s">
        <v>13057</v>
      </c>
      <c r="E7967" t="s">
        <v>20087</v>
      </c>
      <c r="F7967" t="s">
        <v>22436</v>
      </c>
      <c r="G7967" t="s">
        <v>22444</v>
      </c>
      <c r="H7967" t="s">
        <v>22452</v>
      </c>
      <c r="I7967" t="s">
        <v>6421</v>
      </c>
      <c r="J7967" t="s">
        <v>27714</v>
      </c>
      <c r="K7967" t="s">
        <v>29335</v>
      </c>
      <c r="M7967" t="s">
        <v>30563</v>
      </c>
      <c r="N7967" t="s">
        <v>32524</v>
      </c>
      <c r="O7967" t="s">
        <v>32525</v>
      </c>
      <c r="P7967">
        <v>0</v>
      </c>
      <c r="Q7967">
        <v>2</v>
      </c>
      <c r="R7967" t="s">
        <v>32534</v>
      </c>
      <c r="S7967" t="s">
        <v>32739</v>
      </c>
      <c r="T7967" t="s">
        <v>33400</v>
      </c>
      <c r="U7967" t="s">
        <v>40256</v>
      </c>
      <c r="W7967" t="s">
        <v>30563</v>
      </c>
      <c r="X7967" t="s">
        <v>32540</v>
      </c>
    </row>
    <row r="7968" spans="1:24">
      <c r="A7968">
        <f>HYPERLINK("https://www.philgeps.gov.ph/GEPSNONPILOT/Tender/SplashBidNoticeAbstractUI.aspx?menuIndex=3&amp;refID=7016830&amp;Result=3","7016830")</f>
        <v>0</v>
      </c>
      <c r="B7968" t="s">
        <v>1545</v>
      </c>
      <c r="C7968" t="s">
        <v>10286</v>
      </c>
      <c r="D7968" t="s">
        <v>13006</v>
      </c>
      <c r="E7968" t="s">
        <v>20088</v>
      </c>
      <c r="F7968" t="s">
        <v>22436</v>
      </c>
      <c r="G7968" t="s">
        <v>22444</v>
      </c>
      <c r="H7968" t="s">
        <v>22452</v>
      </c>
      <c r="I7968" t="s">
        <v>22458</v>
      </c>
      <c r="J7968" t="s">
        <v>23259</v>
      </c>
      <c r="K7968" t="s">
        <v>29336</v>
      </c>
      <c r="M7968" t="s">
        <v>31224</v>
      </c>
      <c r="N7968" t="s">
        <v>32524</v>
      </c>
      <c r="O7968" t="s">
        <v>32525</v>
      </c>
      <c r="P7968">
        <v>0</v>
      </c>
      <c r="Q7968">
        <v>21</v>
      </c>
      <c r="R7968" t="s">
        <v>32534</v>
      </c>
      <c r="S7968" t="s">
        <v>32739</v>
      </c>
      <c r="T7968" t="s">
        <v>33259</v>
      </c>
      <c r="U7968" t="s">
        <v>40257</v>
      </c>
      <c r="W7968" t="s">
        <v>31224</v>
      </c>
      <c r="X7968" t="s">
        <v>43782</v>
      </c>
    </row>
    <row r="7969" spans="1:24">
      <c r="A7969">
        <f>HYPERLINK("https://www.philgeps.gov.ph/GEPSNONPILOT/Tender/SplashBidNoticeAbstractUI.aspx?menuIndex=3&amp;refID=7035268&amp;Result=3","7035268")</f>
        <v>0</v>
      </c>
      <c r="B7969" t="s">
        <v>2323</v>
      </c>
      <c r="C7969" t="s">
        <v>10287</v>
      </c>
      <c r="D7969" t="s">
        <v>13009</v>
      </c>
      <c r="E7969" t="s">
        <v>20089</v>
      </c>
      <c r="F7969" t="s">
        <v>22436</v>
      </c>
      <c r="G7969" t="s">
        <v>22444</v>
      </c>
      <c r="H7969" t="s">
        <v>22452</v>
      </c>
      <c r="I7969" t="s">
        <v>22484</v>
      </c>
      <c r="J7969" t="s">
        <v>22779</v>
      </c>
      <c r="K7969" t="s">
        <v>29329</v>
      </c>
      <c r="M7969" t="s">
        <v>32100</v>
      </c>
      <c r="N7969" t="s">
        <v>32524</v>
      </c>
      <c r="O7969" t="s">
        <v>32525</v>
      </c>
      <c r="Q7969">
        <v>16</v>
      </c>
      <c r="R7969" t="s">
        <v>32533</v>
      </c>
      <c r="S7969" t="s">
        <v>32743</v>
      </c>
      <c r="T7969" t="s">
        <v>33253</v>
      </c>
      <c r="U7969" t="s">
        <v>40258</v>
      </c>
      <c r="W7969" t="s">
        <v>32100</v>
      </c>
      <c r="X7969" t="s">
        <v>32534</v>
      </c>
    </row>
    <row r="7970" spans="1:24">
      <c r="A7970">
        <f>HYPERLINK("https://www.philgeps.gov.ph/GEPSNONPILOT/Tender/SplashBidNoticeAbstractUI.aspx?menuIndex=3&amp;refID=7024400&amp;Result=3","7024400")</f>
        <v>0</v>
      </c>
      <c r="B7970" t="s">
        <v>1570</v>
      </c>
      <c r="C7970" t="s">
        <v>10288</v>
      </c>
      <c r="D7970" t="s">
        <v>13059</v>
      </c>
      <c r="E7970" t="s">
        <v>20090</v>
      </c>
      <c r="F7970" t="s">
        <v>22436</v>
      </c>
      <c r="G7970" t="s">
        <v>22444</v>
      </c>
      <c r="H7970" t="s">
        <v>22452</v>
      </c>
      <c r="I7970" t="s">
        <v>3122</v>
      </c>
      <c r="J7970" t="s">
        <v>27715</v>
      </c>
      <c r="K7970" t="s">
        <v>29338</v>
      </c>
      <c r="M7970" t="s">
        <v>31252</v>
      </c>
      <c r="N7970" t="s">
        <v>32524</v>
      </c>
      <c r="O7970" t="s">
        <v>32525</v>
      </c>
      <c r="Q7970">
        <v>2</v>
      </c>
      <c r="R7970" t="s">
        <v>32534</v>
      </c>
      <c r="S7970" t="s">
        <v>32744</v>
      </c>
      <c r="T7970" t="s">
        <v>33249</v>
      </c>
      <c r="U7970" t="s">
        <v>40259</v>
      </c>
      <c r="V7970" t="s">
        <v>43299</v>
      </c>
      <c r="W7970" t="s">
        <v>31252</v>
      </c>
      <c r="X7970" t="s">
        <v>32539</v>
      </c>
    </row>
    <row r="7971" spans="1:24">
      <c r="A7971">
        <f>HYPERLINK("https://www.philgeps.gov.ph/GEPSNONPILOT/Tender/SplashBidNoticeAbstractUI.aspx?menuIndex=3&amp;refID=7009160&amp;Result=3","7009160")</f>
        <v>0</v>
      </c>
      <c r="B7971" t="s">
        <v>2324</v>
      </c>
      <c r="C7971" t="s">
        <v>10289</v>
      </c>
      <c r="D7971" t="s">
        <v>13041</v>
      </c>
      <c r="E7971" t="s">
        <v>20091</v>
      </c>
      <c r="F7971" t="s">
        <v>22436</v>
      </c>
      <c r="G7971" t="s">
        <v>22444</v>
      </c>
      <c r="H7971" t="s">
        <v>22454</v>
      </c>
      <c r="I7971" t="s">
        <v>7738</v>
      </c>
      <c r="J7971" t="s">
        <v>22779</v>
      </c>
      <c r="K7971" t="s">
        <v>29333</v>
      </c>
      <c r="M7971" t="s">
        <v>32101</v>
      </c>
      <c r="N7971" t="s">
        <v>32524</v>
      </c>
      <c r="O7971" t="s">
        <v>32525</v>
      </c>
      <c r="P7971">
        <v>0</v>
      </c>
      <c r="Q7971">
        <v>0</v>
      </c>
      <c r="R7971" t="s">
        <v>32534</v>
      </c>
      <c r="S7971" t="s">
        <v>32739</v>
      </c>
      <c r="T7971" t="s">
        <v>33228</v>
      </c>
      <c r="U7971" t="s">
        <v>40260</v>
      </c>
      <c r="V7971" t="s">
        <v>43300</v>
      </c>
      <c r="W7971" t="s">
        <v>32101</v>
      </c>
      <c r="X7971" t="s">
        <v>43796</v>
      </c>
    </row>
    <row r="7972" spans="1:24">
      <c r="A7972">
        <f>HYPERLINK("https://www.philgeps.gov.ph/GEPSNONPILOT/Tender/SplashBidNoticeAbstractUI.aspx?menuIndex=3&amp;refID=7024077&amp;Result=3","7024077")</f>
        <v>0</v>
      </c>
      <c r="B7972" t="s">
        <v>217</v>
      </c>
      <c r="C7972" t="s">
        <v>10290</v>
      </c>
      <c r="D7972" t="s">
        <v>13019</v>
      </c>
      <c r="E7972" t="s">
        <v>20092</v>
      </c>
      <c r="F7972" t="s">
        <v>22436</v>
      </c>
      <c r="G7972" t="s">
        <v>22444</v>
      </c>
      <c r="H7972" t="s">
        <v>22454</v>
      </c>
      <c r="I7972" t="s">
        <v>22490</v>
      </c>
      <c r="J7972" t="s">
        <v>27716</v>
      </c>
      <c r="K7972" t="s">
        <v>29388</v>
      </c>
      <c r="M7972" t="s">
        <v>32096</v>
      </c>
      <c r="N7972" t="s">
        <v>32524</v>
      </c>
      <c r="O7972" t="s">
        <v>32525</v>
      </c>
      <c r="Q7972">
        <v>3</v>
      </c>
      <c r="R7972" t="s">
        <v>32534</v>
      </c>
      <c r="S7972" t="s">
        <v>32745</v>
      </c>
      <c r="T7972" t="s">
        <v>33249</v>
      </c>
      <c r="U7972" t="s">
        <v>40261</v>
      </c>
      <c r="V7972" t="s">
        <v>43301</v>
      </c>
      <c r="W7972" t="s">
        <v>32096</v>
      </c>
      <c r="X7972" t="s">
        <v>32540</v>
      </c>
    </row>
    <row r="7973" spans="1:24">
      <c r="A7973">
        <f>HYPERLINK("https://www.philgeps.gov.ph/GEPSNONPILOT/Tender/SplashBidNoticeAbstractUI.aspx?menuIndex=3&amp;refID=7035224&amp;Result=3","7035224")</f>
        <v>0</v>
      </c>
      <c r="B7973" t="s">
        <v>2316</v>
      </c>
      <c r="C7973" t="s">
        <v>10291</v>
      </c>
      <c r="D7973" t="s">
        <v>12995</v>
      </c>
      <c r="E7973" t="s">
        <v>20093</v>
      </c>
      <c r="F7973" t="s">
        <v>22436</v>
      </c>
      <c r="G7973" t="s">
        <v>22450</v>
      </c>
      <c r="H7973" t="s">
        <v>22454</v>
      </c>
      <c r="I7973" t="s">
        <v>7738</v>
      </c>
      <c r="J7973" t="s">
        <v>27717</v>
      </c>
      <c r="K7973" t="s">
        <v>29345</v>
      </c>
      <c r="M7973" t="s">
        <v>32092</v>
      </c>
      <c r="N7973" t="s">
        <v>32524</v>
      </c>
      <c r="O7973" t="s">
        <v>32525</v>
      </c>
      <c r="P7973">
        <v>0</v>
      </c>
      <c r="Q7973">
        <v>13</v>
      </c>
      <c r="R7973" t="s">
        <v>32533</v>
      </c>
      <c r="S7973" t="s">
        <v>32667</v>
      </c>
      <c r="T7973" t="s">
        <v>33234</v>
      </c>
      <c r="U7973" t="s">
        <v>40262</v>
      </c>
      <c r="V7973" t="s">
        <v>43302</v>
      </c>
      <c r="W7973" t="s">
        <v>32092</v>
      </c>
      <c r="X7973" t="s">
        <v>32534</v>
      </c>
    </row>
    <row r="7974" spans="1:24">
      <c r="A7974">
        <f>HYPERLINK("https://www.philgeps.gov.ph/GEPSNONPILOT/Tender/SplashBidNoticeAbstractUI.aspx?menuIndex=3&amp;refID=7024379&amp;Result=3","7024379")</f>
        <v>0</v>
      </c>
      <c r="B7974" t="s">
        <v>1570</v>
      </c>
      <c r="C7974" t="s">
        <v>10292</v>
      </c>
      <c r="D7974" t="s">
        <v>13059</v>
      </c>
      <c r="E7974" t="s">
        <v>20094</v>
      </c>
      <c r="F7974" t="s">
        <v>22436</v>
      </c>
      <c r="G7974" t="s">
        <v>22444</v>
      </c>
      <c r="H7974" t="s">
        <v>22452</v>
      </c>
      <c r="I7974" t="s">
        <v>3122</v>
      </c>
      <c r="J7974" t="s">
        <v>27718</v>
      </c>
      <c r="K7974" t="s">
        <v>29338</v>
      </c>
      <c r="M7974" t="s">
        <v>31252</v>
      </c>
      <c r="N7974" t="s">
        <v>32524</v>
      </c>
      <c r="O7974" t="s">
        <v>32525</v>
      </c>
      <c r="Q7974">
        <v>4</v>
      </c>
      <c r="R7974" t="s">
        <v>32534</v>
      </c>
      <c r="S7974" t="s">
        <v>32746</v>
      </c>
      <c r="T7974" t="s">
        <v>33249</v>
      </c>
      <c r="U7974" t="s">
        <v>40263</v>
      </c>
      <c r="V7974" t="s">
        <v>43299</v>
      </c>
      <c r="W7974" t="s">
        <v>31252</v>
      </c>
      <c r="X7974" t="s">
        <v>32539</v>
      </c>
    </row>
    <row r="7975" spans="1:24">
      <c r="A7975">
        <f>HYPERLINK("https://www.philgeps.gov.ph/GEPSNONPILOT/Tender/SplashBidNoticeAbstractUI.aspx?menuIndex=3&amp;refID=7009153&amp;Result=3","7009153")</f>
        <v>0</v>
      </c>
      <c r="B7975" t="s">
        <v>2324</v>
      </c>
      <c r="C7975" t="s">
        <v>10293</v>
      </c>
      <c r="D7975" t="s">
        <v>13041</v>
      </c>
      <c r="E7975" t="s">
        <v>20095</v>
      </c>
      <c r="F7975" t="s">
        <v>22436</v>
      </c>
      <c r="G7975" t="s">
        <v>22444</v>
      </c>
      <c r="H7975" t="s">
        <v>22454</v>
      </c>
      <c r="I7975" t="s">
        <v>7738</v>
      </c>
      <c r="J7975" t="s">
        <v>22970</v>
      </c>
      <c r="K7975" t="s">
        <v>29364</v>
      </c>
      <c r="M7975" t="s">
        <v>32101</v>
      </c>
      <c r="N7975" t="s">
        <v>32524</v>
      </c>
      <c r="O7975" t="s">
        <v>32525</v>
      </c>
      <c r="P7975">
        <v>0</v>
      </c>
      <c r="Q7975">
        <v>0</v>
      </c>
      <c r="R7975" t="s">
        <v>32534</v>
      </c>
      <c r="S7975" t="s">
        <v>32739</v>
      </c>
      <c r="T7975" t="s">
        <v>33188</v>
      </c>
      <c r="U7975" t="s">
        <v>40264</v>
      </c>
      <c r="V7975" t="s">
        <v>43300</v>
      </c>
      <c r="W7975" t="s">
        <v>32101</v>
      </c>
      <c r="X7975" t="s">
        <v>43796</v>
      </c>
    </row>
    <row r="7976" spans="1:24">
      <c r="A7976">
        <f>HYPERLINK("https://www.philgeps.gov.ph/GEPSNONPILOT/Tender/SplashBidNoticeAbstractUI.aspx?menuIndex=3&amp;refID=7009126&amp;Result=3","7009126")</f>
        <v>0</v>
      </c>
      <c r="B7976" t="s">
        <v>2324</v>
      </c>
      <c r="C7976" t="s">
        <v>10294</v>
      </c>
      <c r="D7976" t="s">
        <v>13041</v>
      </c>
      <c r="E7976" t="s">
        <v>20096</v>
      </c>
      <c r="F7976" t="s">
        <v>22436</v>
      </c>
      <c r="G7976" t="s">
        <v>22444</v>
      </c>
      <c r="H7976" t="s">
        <v>22454</v>
      </c>
      <c r="I7976" t="s">
        <v>7738</v>
      </c>
      <c r="J7976" t="s">
        <v>27719</v>
      </c>
      <c r="K7976" t="s">
        <v>29362</v>
      </c>
      <c r="M7976" t="s">
        <v>32101</v>
      </c>
      <c r="N7976" t="s">
        <v>32524</v>
      </c>
      <c r="O7976" t="s">
        <v>32525</v>
      </c>
      <c r="P7976">
        <v>0</v>
      </c>
      <c r="Q7976">
        <v>0</v>
      </c>
      <c r="R7976" t="s">
        <v>32534</v>
      </c>
      <c r="S7976" t="s">
        <v>32739</v>
      </c>
      <c r="T7976" t="s">
        <v>33188</v>
      </c>
      <c r="U7976" t="s">
        <v>40265</v>
      </c>
      <c r="V7976" t="s">
        <v>43300</v>
      </c>
      <c r="W7976" t="s">
        <v>32101</v>
      </c>
      <c r="X7976" t="s">
        <v>43796</v>
      </c>
    </row>
    <row r="7977" spans="1:24">
      <c r="A7977">
        <f>HYPERLINK("https://www.philgeps.gov.ph/GEPSNONPILOT/Tender/SplashBidNoticeAbstractUI.aspx?menuIndex=3&amp;refID=7024389&amp;Result=3","7024389")</f>
        <v>0</v>
      </c>
      <c r="B7977" t="s">
        <v>1570</v>
      </c>
      <c r="C7977" t="s">
        <v>10295</v>
      </c>
      <c r="D7977" t="s">
        <v>13059</v>
      </c>
      <c r="E7977" t="s">
        <v>20097</v>
      </c>
      <c r="F7977" t="s">
        <v>22436</v>
      </c>
      <c r="G7977" t="s">
        <v>22444</v>
      </c>
      <c r="H7977" t="s">
        <v>22452</v>
      </c>
      <c r="I7977" t="s">
        <v>3122</v>
      </c>
      <c r="J7977" t="s">
        <v>27720</v>
      </c>
      <c r="K7977" t="s">
        <v>29338</v>
      </c>
      <c r="M7977" t="s">
        <v>31252</v>
      </c>
      <c r="N7977" t="s">
        <v>32524</v>
      </c>
      <c r="O7977" t="s">
        <v>32525</v>
      </c>
      <c r="Q7977">
        <v>2</v>
      </c>
      <c r="R7977" t="s">
        <v>32534</v>
      </c>
      <c r="S7977" t="s">
        <v>32747</v>
      </c>
      <c r="T7977" t="s">
        <v>33249</v>
      </c>
      <c r="U7977" t="s">
        <v>40266</v>
      </c>
      <c r="V7977" t="s">
        <v>43299</v>
      </c>
      <c r="W7977" t="s">
        <v>31252</v>
      </c>
      <c r="X7977" t="s">
        <v>32539</v>
      </c>
    </row>
    <row r="7978" spans="1:24">
      <c r="A7978">
        <f>HYPERLINK("https://www.philgeps.gov.ph/GEPSNONPILOT/Tender/SplashBidNoticeAbstractUI.aspx?menuIndex=3&amp;refID=7024457&amp;Result=3","7024457")</f>
        <v>0</v>
      </c>
      <c r="B7978" t="s">
        <v>1570</v>
      </c>
      <c r="C7978" t="s">
        <v>10296</v>
      </c>
      <c r="D7978" t="s">
        <v>13059</v>
      </c>
      <c r="E7978" t="s">
        <v>20098</v>
      </c>
      <c r="F7978" t="s">
        <v>22436</v>
      </c>
      <c r="G7978" t="s">
        <v>22444</v>
      </c>
      <c r="H7978" t="s">
        <v>22452</v>
      </c>
      <c r="I7978" t="s">
        <v>3122</v>
      </c>
      <c r="J7978" t="s">
        <v>27721</v>
      </c>
      <c r="K7978" t="s">
        <v>29338</v>
      </c>
      <c r="M7978" t="s">
        <v>31252</v>
      </c>
      <c r="N7978" t="s">
        <v>32524</v>
      </c>
      <c r="O7978" t="s">
        <v>32525</v>
      </c>
      <c r="Q7978">
        <v>0</v>
      </c>
      <c r="R7978" t="s">
        <v>32534</v>
      </c>
      <c r="S7978" t="s">
        <v>32748</v>
      </c>
      <c r="T7978" t="s">
        <v>33249</v>
      </c>
      <c r="U7978" t="s">
        <v>40267</v>
      </c>
      <c r="V7978" t="s">
        <v>43299</v>
      </c>
      <c r="W7978" t="s">
        <v>31252</v>
      </c>
      <c r="X7978" t="s">
        <v>32539</v>
      </c>
    </row>
    <row r="7979" spans="1:24">
      <c r="A7979">
        <f>HYPERLINK("https://www.philgeps.gov.ph/GEPSNONPILOT/Tender/SplashBidNoticeAbstractUI.aspx?menuIndex=3&amp;refID=7025185&amp;Result=3","7025185")</f>
        <v>0</v>
      </c>
      <c r="B7979" t="s">
        <v>2000</v>
      </c>
      <c r="C7979" t="s">
        <v>10297</v>
      </c>
      <c r="D7979" t="s">
        <v>13013</v>
      </c>
      <c r="E7979" t="s">
        <v>20099</v>
      </c>
      <c r="F7979" t="s">
        <v>22436</v>
      </c>
      <c r="G7979" t="s">
        <v>22444</v>
      </c>
      <c r="H7979" t="s">
        <v>22454</v>
      </c>
      <c r="I7979" t="s">
        <v>7738</v>
      </c>
      <c r="J7979" t="s">
        <v>27722</v>
      </c>
      <c r="K7979" t="s">
        <v>29344</v>
      </c>
      <c r="M7979" t="s">
        <v>31733</v>
      </c>
      <c r="N7979" t="s">
        <v>32524</v>
      </c>
      <c r="O7979" t="s">
        <v>32525</v>
      </c>
      <c r="P7979">
        <v>0</v>
      </c>
      <c r="Q7979">
        <v>1</v>
      </c>
      <c r="R7979" t="s">
        <v>32534</v>
      </c>
      <c r="S7979" t="s">
        <v>32739</v>
      </c>
      <c r="T7979" t="s">
        <v>33487</v>
      </c>
      <c r="U7979" t="s">
        <v>40268</v>
      </c>
      <c r="W7979" t="s">
        <v>31733</v>
      </c>
      <c r="X7979" t="s">
        <v>32539</v>
      </c>
    </row>
    <row r="7980" spans="1:24">
      <c r="A7980">
        <f>HYPERLINK("https://www.philgeps.gov.ph/GEPSNONPILOT/Tender/SplashBidNoticeAbstractUI.aspx?menuIndex=3&amp;refID=7024434&amp;Result=3","7024434")</f>
        <v>0</v>
      </c>
      <c r="B7980" t="s">
        <v>1570</v>
      </c>
      <c r="C7980" t="s">
        <v>10298</v>
      </c>
      <c r="D7980" t="s">
        <v>13059</v>
      </c>
      <c r="E7980" t="s">
        <v>20100</v>
      </c>
      <c r="F7980" t="s">
        <v>22436</v>
      </c>
      <c r="G7980" t="s">
        <v>22444</v>
      </c>
      <c r="H7980" t="s">
        <v>22452</v>
      </c>
      <c r="I7980" t="s">
        <v>3122</v>
      </c>
      <c r="J7980" t="s">
        <v>27723</v>
      </c>
      <c r="K7980" t="s">
        <v>29338</v>
      </c>
      <c r="M7980" t="s">
        <v>31252</v>
      </c>
      <c r="N7980" t="s">
        <v>32524</v>
      </c>
      <c r="O7980" t="s">
        <v>32525</v>
      </c>
      <c r="Q7980">
        <v>2</v>
      </c>
      <c r="R7980" t="s">
        <v>32534</v>
      </c>
      <c r="S7980" t="s">
        <v>32749</v>
      </c>
      <c r="T7980" t="s">
        <v>33249</v>
      </c>
      <c r="U7980" t="s">
        <v>40269</v>
      </c>
      <c r="V7980" t="s">
        <v>43299</v>
      </c>
      <c r="W7980" t="s">
        <v>31252</v>
      </c>
      <c r="X7980" t="s">
        <v>32539</v>
      </c>
    </row>
    <row r="7981" spans="1:24">
      <c r="A7981">
        <f>HYPERLINK("https://www.philgeps.gov.ph/GEPSNONPILOT/Tender/SplashBidNoticeAbstractUI.aspx?menuIndex=3&amp;refID=7025202&amp;Result=3","7025202")</f>
        <v>0</v>
      </c>
      <c r="B7981" t="s">
        <v>1991</v>
      </c>
      <c r="C7981" t="s">
        <v>10299</v>
      </c>
      <c r="D7981" t="s">
        <v>13058</v>
      </c>
      <c r="E7981" t="s">
        <v>20101</v>
      </c>
      <c r="F7981" t="s">
        <v>22436</v>
      </c>
      <c r="G7981" t="s">
        <v>22444</v>
      </c>
      <c r="H7981" t="s">
        <v>22452</v>
      </c>
      <c r="I7981" t="s">
        <v>6421</v>
      </c>
      <c r="J7981" t="s">
        <v>27724</v>
      </c>
      <c r="K7981" t="s">
        <v>29341</v>
      </c>
      <c r="M7981" t="s">
        <v>31723</v>
      </c>
      <c r="N7981" t="s">
        <v>32524</v>
      </c>
      <c r="O7981" t="s">
        <v>32525</v>
      </c>
      <c r="P7981">
        <v>0</v>
      </c>
      <c r="Q7981">
        <v>3</v>
      </c>
      <c r="R7981" t="s">
        <v>32534</v>
      </c>
      <c r="S7981" t="s">
        <v>32739</v>
      </c>
      <c r="T7981" t="s">
        <v>33259</v>
      </c>
      <c r="U7981" t="s">
        <v>40270</v>
      </c>
      <c r="W7981" t="s">
        <v>31723</v>
      </c>
      <c r="X7981" t="s">
        <v>32539</v>
      </c>
    </row>
    <row r="7982" spans="1:24">
      <c r="A7982">
        <f>HYPERLINK("https://www.philgeps.gov.ph/GEPSNONPILOT/Tender/SplashBidNoticeAbstractUI.aspx?menuIndex=3&amp;refID=7025084&amp;Result=3","7025084")</f>
        <v>0</v>
      </c>
      <c r="B7982" t="s">
        <v>1991</v>
      </c>
      <c r="C7982" t="s">
        <v>10299</v>
      </c>
      <c r="D7982" t="s">
        <v>13058</v>
      </c>
      <c r="E7982" t="s">
        <v>20102</v>
      </c>
      <c r="F7982" t="s">
        <v>22436</v>
      </c>
      <c r="G7982" t="s">
        <v>22444</v>
      </c>
      <c r="H7982" t="s">
        <v>22452</v>
      </c>
      <c r="I7982" t="s">
        <v>6421</v>
      </c>
      <c r="J7982" t="s">
        <v>27725</v>
      </c>
      <c r="K7982" t="s">
        <v>29341</v>
      </c>
      <c r="M7982" t="s">
        <v>31723</v>
      </c>
      <c r="N7982" t="s">
        <v>32524</v>
      </c>
      <c r="O7982" t="s">
        <v>32525</v>
      </c>
      <c r="P7982">
        <v>0</v>
      </c>
      <c r="Q7982">
        <v>3</v>
      </c>
      <c r="R7982" t="s">
        <v>32534</v>
      </c>
      <c r="S7982" t="s">
        <v>32739</v>
      </c>
      <c r="T7982" t="s">
        <v>33259</v>
      </c>
      <c r="U7982" t="s">
        <v>40270</v>
      </c>
      <c r="W7982" t="s">
        <v>31723</v>
      </c>
      <c r="X7982" t="s">
        <v>32539</v>
      </c>
    </row>
    <row r="7983" spans="1:24">
      <c r="A7983">
        <f>HYPERLINK("https://www.philgeps.gov.ph/GEPSNONPILOT/Tender/SplashBidNoticeAbstractUI.aspx?menuIndex=3&amp;refID=7024498&amp;Result=3","7024498")</f>
        <v>0</v>
      </c>
      <c r="B7983" t="s">
        <v>1570</v>
      </c>
      <c r="C7983" t="s">
        <v>10300</v>
      </c>
      <c r="D7983" t="s">
        <v>13059</v>
      </c>
      <c r="E7983" t="s">
        <v>20103</v>
      </c>
      <c r="F7983" t="s">
        <v>22436</v>
      </c>
      <c r="G7983" t="s">
        <v>22444</v>
      </c>
      <c r="H7983" t="s">
        <v>22452</v>
      </c>
      <c r="I7983" t="s">
        <v>3122</v>
      </c>
      <c r="J7983" t="s">
        <v>27726</v>
      </c>
      <c r="K7983" t="s">
        <v>29338</v>
      </c>
      <c r="M7983" t="s">
        <v>31252</v>
      </c>
      <c r="N7983" t="s">
        <v>32524</v>
      </c>
      <c r="O7983" t="s">
        <v>32525</v>
      </c>
      <c r="Q7983">
        <v>1</v>
      </c>
      <c r="R7983" t="s">
        <v>32534</v>
      </c>
      <c r="S7983" t="s">
        <v>32750</v>
      </c>
      <c r="T7983" t="s">
        <v>33249</v>
      </c>
      <c r="U7983" t="s">
        <v>40271</v>
      </c>
      <c r="V7983" t="s">
        <v>43299</v>
      </c>
      <c r="W7983" t="s">
        <v>31252</v>
      </c>
      <c r="X7983" t="s">
        <v>32539</v>
      </c>
    </row>
    <row r="7984" spans="1:24">
      <c r="A7984">
        <f>HYPERLINK("https://www.philgeps.gov.ph/GEPSNONPILOT/Tender/SplashBidNoticeAbstractUI.aspx?menuIndex=3&amp;refID=7024422&amp;Result=3","7024422")</f>
        <v>0</v>
      </c>
      <c r="B7984" t="s">
        <v>1570</v>
      </c>
      <c r="C7984" t="s">
        <v>10301</v>
      </c>
      <c r="D7984" t="s">
        <v>13059</v>
      </c>
      <c r="E7984" t="s">
        <v>20104</v>
      </c>
      <c r="F7984" t="s">
        <v>22436</v>
      </c>
      <c r="G7984" t="s">
        <v>22444</v>
      </c>
      <c r="H7984" t="s">
        <v>22452</v>
      </c>
      <c r="I7984" t="s">
        <v>3122</v>
      </c>
      <c r="J7984" t="s">
        <v>27727</v>
      </c>
      <c r="K7984" t="s">
        <v>29338</v>
      </c>
      <c r="M7984" t="s">
        <v>31252</v>
      </c>
      <c r="N7984" t="s">
        <v>32524</v>
      </c>
      <c r="O7984" t="s">
        <v>32525</v>
      </c>
      <c r="Q7984">
        <v>0</v>
      </c>
      <c r="R7984" t="s">
        <v>32534</v>
      </c>
      <c r="S7984" t="s">
        <v>32751</v>
      </c>
      <c r="T7984" t="s">
        <v>33249</v>
      </c>
      <c r="U7984" t="s">
        <v>40272</v>
      </c>
      <c r="V7984" t="s">
        <v>43299</v>
      </c>
      <c r="W7984" t="s">
        <v>31252</v>
      </c>
      <c r="X7984" t="s">
        <v>32539</v>
      </c>
    </row>
    <row r="7985" spans="1:24">
      <c r="A7985">
        <f>HYPERLINK("https://www.philgeps.gov.ph/GEPSNONPILOT/Tender/SplashBidNoticeAbstractUI.aspx?menuIndex=3&amp;refID=7025498&amp;Result=3","7025498")</f>
        <v>0</v>
      </c>
      <c r="B7985" t="s">
        <v>2325</v>
      </c>
      <c r="C7985" t="s">
        <v>10302</v>
      </c>
      <c r="D7985" t="s">
        <v>13050</v>
      </c>
      <c r="E7985" t="s">
        <v>20105</v>
      </c>
      <c r="F7985" t="s">
        <v>22436</v>
      </c>
      <c r="G7985" t="s">
        <v>22444</v>
      </c>
      <c r="H7985" t="s">
        <v>22454</v>
      </c>
      <c r="I7985" t="s">
        <v>7738</v>
      </c>
      <c r="J7985" t="s">
        <v>22779</v>
      </c>
      <c r="K7985" t="s">
        <v>29335</v>
      </c>
      <c r="M7985" t="s">
        <v>32102</v>
      </c>
      <c r="N7985" t="s">
        <v>32524</v>
      </c>
      <c r="O7985" t="s">
        <v>32525</v>
      </c>
      <c r="P7985">
        <v>0</v>
      </c>
      <c r="Q7985">
        <v>10</v>
      </c>
      <c r="R7985" t="s">
        <v>32534</v>
      </c>
      <c r="S7985" t="s">
        <v>32739</v>
      </c>
      <c r="T7985" t="s">
        <v>33382</v>
      </c>
      <c r="U7985" t="s">
        <v>40273</v>
      </c>
      <c r="W7985" t="s">
        <v>32102</v>
      </c>
      <c r="X7985" t="s">
        <v>32539</v>
      </c>
    </row>
    <row r="7986" spans="1:24">
      <c r="A7986">
        <f>HYPERLINK("https://www.philgeps.gov.ph/GEPSNONPILOT/Tender/SplashBidNoticeAbstractUI.aspx?menuIndex=3&amp;refID=7024575&amp;Result=3","7024575")</f>
        <v>0</v>
      </c>
      <c r="B7986" t="s">
        <v>1570</v>
      </c>
      <c r="C7986" t="s">
        <v>10303</v>
      </c>
      <c r="D7986" t="s">
        <v>13059</v>
      </c>
      <c r="E7986" t="s">
        <v>20106</v>
      </c>
      <c r="F7986" t="s">
        <v>22436</v>
      </c>
      <c r="G7986" t="s">
        <v>22444</v>
      </c>
      <c r="H7986" t="s">
        <v>22452</v>
      </c>
      <c r="I7986" t="s">
        <v>22456</v>
      </c>
      <c r="J7986" t="s">
        <v>27728</v>
      </c>
      <c r="K7986" t="s">
        <v>29338</v>
      </c>
      <c r="M7986" t="s">
        <v>31252</v>
      </c>
      <c r="N7986" t="s">
        <v>32524</v>
      </c>
      <c r="O7986" t="s">
        <v>32525</v>
      </c>
      <c r="Q7986">
        <v>14</v>
      </c>
      <c r="R7986" t="s">
        <v>32534</v>
      </c>
      <c r="S7986" t="s">
        <v>32752</v>
      </c>
      <c r="T7986" t="s">
        <v>33227</v>
      </c>
      <c r="U7986" t="s">
        <v>40274</v>
      </c>
      <c r="V7986" t="s">
        <v>43303</v>
      </c>
      <c r="W7986" t="s">
        <v>31252</v>
      </c>
      <c r="X7986" t="s">
        <v>32539</v>
      </c>
    </row>
    <row r="7987" spans="1:24">
      <c r="A7987">
        <f>HYPERLINK("https://www.philgeps.gov.ph/GEPSNONPILOT/Tender/SplashBidNoticeAbstractUI.aspx?menuIndex=3&amp;refID=7025240&amp;Result=3","7025240")</f>
        <v>0</v>
      </c>
      <c r="B7987" t="s">
        <v>1991</v>
      </c>
      <c r="C7987" t="s">
        <v>10304</v>
      </c>
      <c r="D7987" t="s">
        <v>13058</v>
      </c>
      <c r="E7987" t="s">
        <v>20107</v>
      </c>
      <c r="F7987" t="s">
        <v>22436</v>
      </c>
      <c r="G7987" t="s">
        <v>22444</v>
      </c>
      <c r="H7987" t="s">
        <v>22452</v>
      </c>
      <c r="I7987" t="s">
        <v>3122</v>
      </c>
      <c r="J7987" t="s">
        <v>27729</v>
      </c>
      <c r="K7987" t="s">
        <v>29341</v>
      </c>
      <c r="M7987" t="s">
        <v>31723</v>
      </c>
      <c r="N7987" t="s">
        <v>32524</v>
      </c>
      <c r="O7987" t="s">
        <v>32525</v>
      </c>
      <c r="P7987">
        <v>0</v>
      </c>
      <c r="Q7987">
        <v>3</v>
      </c>
      <c r="R7987" t="s">
        <v>32534</v>
      </c>
      <c r="S7987" t="s">
        <v>32739</v>
      </c>
      <c r="T7987" t="s">
        <v>33259</v>
      </c>
      <c r="U7987" t="s">
        <v>40275</v>
      </c>
      <c r="W7987" t="s">
        <v>31723</v>
      </c>
      <c r="X7987" t="s">
        <v>32539</v>
      </c>
    </row>
    <row r="7988" spans="1:24">
      <c r="A7988">
        <f>HYPERLINK("https://www.philgeps.gov.ph/GEPSNONPILOT/Tender/SplashBidNoticeAbstractUI.aspx?menuIndex=3&amp;refID=7025393&amp;Result=3","7025393")</f>
        <v>0</v>
      </c>
      <c r="B7988" t="s">
        <v>2000</v>
      </c>
      <c r="C7988" t="s">
        <v>10305</v>
      </c>
      <c r="D7988" t="s">
        <v>13013</v>
      </c>
      <c r="E7988" t="s">
        <v>20108</v>
      </c>
      <c r="F7988" t="s">
        <v>22436</v>
      </c>
      <c r="G7988" t="s">
        <v>22444</v>
      </c>
      <c r="H7988" t="s">
        <v>22454</v>
      </c>
      <c r="I7988" t="s">
        <v>7738</v>
      </c>
      <c r="J7988" t="s">
        <v>22943</v>
      </c>
      <c r="K7988" t="s">
        <v>29333</v>
      </c>
      <c r="M7988" t="s">
        <v>31733</v>
      </c>
      <c r="N7988" t="s">
        <v>32524</v>
      </c>
      <c r="O7988" t="s">
        <v>32525</v>
      </c>
      <c r="Q7988">
        <v>1</v>
      </c>
      <c r="R7988" t="s">
        <v>32534</v>
      </c>
      <c r="S7988" t="s">
        <v>32753</v>
      </c>
      <c r="T7988" t="s">
        <v>33566</v>
      </c>
      <c r="U7988" t="s">
        <v>40276</v>
      </c>
      <c r="W7988" t="s">
        <v>31733</v>
      </c>
      <c r="X7988" t="s">
        <v>32539</v>
      </c>
    </row>
    <row r="7989" spans="1:24">
      <c r="A7989">
        <f>HYPERLINK("https://www.philgeps.gov.ph/GEPSNONPILOT/Tender/SplashBidNoticeAbstractUI.aspx?menuIndex=3&amp;refID=7025445&amp;Result=3","7025445")</f>
        <v>0</v>
      </c>
      <c r="B7989" t="s">
        <v>2172</v>
      </c>
      <c r="C7989" t="s">
        <v>10306</v>
      </c>
      <c r="D7989" t="s">
        <v>13045</v>
      </c>
      <c r="E7989" t="s">
        <v>20109</v>
      </c>
      <c r="F7989" t="s">
        <v>22436</v>
      </c>
      <c r="G7989" t="s">
        <v>22444</v>
      </c>
      <c r="H7989" t="s">
        <v>22454</v>
      </c>
      <c r="I7989" t="s">
        <v>7738</v>
      </c>
      <c r="J7989" t="s">
        <v>27730</v>
      </c>
      <c r="K7989" t="s">
        <v>29339</v>
      </c>
      <c r="M7989" t="s">
        <v>31930</v>
      </c>
      <c r="N7989" t="s">
        <v>32524</v>
      </c>
      <c r="O7989" t="s">
        <v>32525</v>
      </c>
      <c r="P7989">
        <v>0</v>
      </c>
      <c r="Q7989">
        <v>5</v>
      </c>
      <c r="R7989" t="s">
        <v>32534</v>
      </c>
      <c r="S7989" t="s">
        <v>32739</v>
      </c>
      <c r="T7989" t="s">
        <v>33550</v>
      </c>
      <c r="U7989" t="s">
        <v>40277</v>
      </c>
      <c r="V7989" t="s">
        <v>43304</v>
      </c>
      <c r="W7989" t="s">
        <v>31930</v>
      </c>
      <c r="X7989" t="s">
        <v>32539</v>
      </c>
    </row>
    <row r="7990" spans="1:24">
      <c r="A7990">
        <f>HYPERLINK("https://www.philgeps.gov.ph/GEPSNONPILOT/Tender/SplashBidNoticeAbstractUI.aspx?menuIndex=3&amp;refID=7025210&amp;Result=3","7025210")</f>
        <v>0</v>
      </c>
      <c r="B7990" t="s">
        <v>1991</v>
      </c>
      <c r="C7990" t="s">
        <v>10307</v>
      </c>
      <c r="D7990" t="s">
        <v>13058</v>
      </c>
      <c r="E7990" t="s">
        <v>20110</v>
      </c>
      <c r="F7990" t="s">
        <v>22436</v>
      </c>
      <c r="G7990" t="s">
        <v>22444</v>
      </c>
      <c r="H7990" t="s">
        <v>22452</v>
      </c>
      <c r="I7990" t="s">
        <v>22462</v>
      </c>
      <c r="J7990" t="s">
        <v>27731</v>
      </c>
      <c r="K7990" t="s">
        <v>29341</v>
      </c>
      <c r="M7990" t="s">
        <v>31723</v>
      </c>
      <c r="N7990" t="s">
        <v>32524</v>
      </c>
      <c r="O7990" t="s">
        <v>32525</v>
      </c>
      <c r="P7990">
        <v>0</v>
      </c>
      <c r="Q7990">
        <v>2</v>
      </c>
      <c r="R7990" t="s">
        <v>32534</v>
      </c>
      <c r="S7990" t="s">
        <v>32739</v>
      </c>
      <c r="T7990" t="s">
        <v>33259</v>
      </c>
      <c r="U7990" t="s">
        <v>40278</v>
      </c>
      <c r="W7990" t="s">
        <v>31723</v>
      </c>
      <c r="X7990" t="s">
        <v>32539</v>
      </c>
    </row>
    <row r="7991" spans="1:24">
      <c r="A7991">
        <f>HYPERLINK("https://www.philgeps.gov.ph/GEPSNONPILOT/Tender/SplashBidNoticeAbstractUI.aspx?menuIndex=3&amp;refID=7025444&amp;Result=3","7025444")</f>
        <v>0</v>
      </c>
      <c r="B7991" t="s">
        <v>2298</v>
      </c>
      <c r="C7991" t="s">
        <v>10308</v>
      </c>
      <c r="D7991" t="s">
        <v>13002</v>
      </c>
      <c r="E7991" t="s">
        <v>16238</v>
      </c>
      <c r="F7991" t="s">
        <v>22436</v>
      </c>
      <c r="G7991" t="s">
        <v>22444</v>
      </c>
      <c r="H7991" t="s">
        <v>22452</v>
      </c>
      <c r="I7991" t="s">
        <v>22482</v>
      </c>
      <c r="J7991" t="s">
        <v>27515</v>
      </c>
      <c r="K7991" t="s">
        <v>29335</v>
      </c>
      <c r="M7991" t="s">
        <v>32070</v>
      </c>
      <c r="N7991" t="s">
        <v>32524</v>
      </c>
      <c r="O7991" t="s">
        <v>32525</v>
      </c>
      <c r="P7991">
        <v>0</v>
      </c>
      <c r="Q7991">
        <v>5</v>
      </c>
      <c r="R7991" t="s">
        <v>32534</v>
      </c>
      <c r="S7991" t="s">
        <v>32739</v>
      </c>
      <c r="T7991" t="s">
        <v>33323</v>
      </c>
      <c r="U7991" t="s">
        <v>40279</v>
      </c>
      <c r="V7991" t="s">
        <v>43305</v>
      </c>
      <c r="W7991" t="s">
        <v>32070</v>
      </c>
      <c r="X7991" t="s">
        <v>32539</v>
      </c>
    </row>
    <row r="7992" spans="1:24">
      <c r="A7992">
        <f>HYPERLINK("https://www.philgeps.gov.ph/GEPSNONPILOT/Tender/SplashBidNoticeAbstractUI.aspx?menuIndex=3&amp;refID=7025228&amp;Result=3","7025228")</f>
        <v>0</v>
      </c>
      <c r="B7992" t="s">
        <v>1991</v>
      </c>
      <c r="C7992" t="s">
        <v>3441</v>
      </c>
      <c r="D7992" t="s">
        <v>13058</v>
      </c>
      <c r="E7992" t="s">
        <v>20111</v>
      </c>
      <c r="F7992" t="s">
        <v>22436</v>
      </c>
      <c r="G7992" t="s">
        <v>22444</v>
      </c>
      <c r="H7992" t="s">
        <v>22452</v>
      </c>
      <c r="I7992" t="s">
        <v>3827</v>
      </c>
      <c r="J7992" t="s">
        <v>27732</v>
      </c>
      <c r="K7992" t="s">
        <v>29341</v>
      </c>
      <c r="M7992" t="s">
        <v>31723</v>
      </c>
      <c r="N7992" t="s">
        <v>32524</v>
      </c>
      <c r="O7992" t="s">
        <v>32525</v>
      </c>
      <c r="P7992">
        <v>0</v>
      </c>
      <c r="Q7992">
        <v>6</v>
      </c>
      <c r="R7992" t="s">
        <v>32534</v>
      </c>
      <c r="S7992" t="s">
        <v>32739</v>
      </c>
      <c r="T7992" t="s">
        <v>33259</v>
      </c>
      <c r="U7992" t="s">
        <v>40270</v>
      </c>
      <c r="W7992" t="s">
        <v>31723</v>
      </c>
      <c r="X7992" t="s">
        <v>32539</v>
      </c>
    </row>
    <row r="7993" spans="1:24">
      <c r="A7993">
        <f>HYPERLINK("https://www.philgeps.gov.ph/GEPSNONPILOT/Tender/SplashBidNoticeAbstractUI.aspx?menuIndex=3&amp;refID=7025781&amp;Result=3","7025781")</f>
        <v>0</v>
      </c>
      <c r="B7993" t="s">
        <v>2298</v>
      </c>
      <c r="C7993" t="s">
        <v>10309</v>
      </c>
      <c r="D7993" t="s">
        <v>13002</v>
      </c>
      <c r="E7993" t="s">
        <v>20112</v>
      </c>
      <c r="F7993" t="s">
        <v>22436</v>
      </c>
      <c r="G7993" t="s">
        <v>22444</v>
      </c>
      <c r="H7993" t="s">
        <v>22452</v>
      </c>
      <c r="I7993" t="s">
        <v>22467</v>
      </c>
      <c r="J7993" t="s">
        <v>27733</v>
      </c>
      <c r="K7993" t="s">
        <v>29335</v>
      </c>
      <c r="M7993" t="s">
        <v>32070</v>
      </c>
      <c r="N7993" t="s">
        <v>32524</v>
      </c>
      <c r="O7993" t="s">
        <v>32525</v>
      </c>
      <c r="P7993">
        <v>0</v>
      </c>
      <c r="Q7993">
        <v>1</v>
      </c>
      <c r="R7993" t="s">
        <v>32534</v>
      </c>
      <c r="S7993" t="s">
        <v>32739</v>
      </c>
      <c r="T7993" t="s">
        <v>33323</v>
      </c>
      <c r="U7993" t="s">
        <v>40280</v>
      </c>
      <c r="V7993" t="s">
        <v>43306</v>
      </c>
      <c r="W7993" t="s">
        <v>32070</v>
      </c>
      <c r="X7993" t="s">
        <v>32539</v>
      </c>
    </row>
    <row r="7994" spans="1:24">
      <c r="A7994">
        <f>HYPERLINK("https://www.philgeps.gov.ph/GEPSNONPILOT/Tender/SplashBidNoticeAbstractUI.aspx?menuIndex=3&amp;refID=7025835&amp;Result=3","7025835")</f>
        <v>0</v>
      </c>
      <c r="B7994" t="s">
        <v>2298</v>
      </c>
      <c r="C7994" t="s">
        <v>10310</v>
      </c>
      <c r="D7994" t="s">
        <v>13002</v>
      </c>
      <c r="E7994" t="s">
        <v>20113</v>
      </c>
      <c r="F7994" t="s">
        <v>22436</v>
      </c>
      <c r="G7994" t="s">
        <v>22444</v>
      </c>
      <c r="H7994" t="s">
        <v>22452</v>
      </c>
      <c r="I7994" t="s">
        <v>12358</v>
      </c>
      <c r="J7994" t="s">
        <v>27734</v>
      </c>
      <c r="K7994" t="s">
        <v>29335</v>
      </c>
      <c r="M7994" t="s">
        <v>32070</v>
      </c>
      <c r="N7994" t="s">
        <v>32524</v>
      </c>
      <c r="O7994" t="s">
        <v>32525</v>
      </c>
      <c r="P7994">
        <v>0</v>
      </c>
      <c r="Q7994">
        <v>1</v>
      </c>
      <c r="R7994" t="s">
        <v>32534</v>
      </c>
      <c r="S7994" t="s">
        <v>32739</v>
      </c>
      <c r="T7994" t="s">
        <v>33323</v>
      </c>
      <c r="U7994" t="s">
        <v>40281</v>
      </c>
      <c r="V7994" t="s">
        <v>43307</v>
      </c>
      <c r="W7994" t="s">
        <v>32070</v>
      </c>
      <c r="X7994" t="s">
        <v>32539</v>
      </c>
    </row>
    <row r="7995" spans="1:24">
      <c r="A7995">
        <f>HYPERLINK("https://www.philgeps.gov.ph/GEPSNONPILOT/Tender/SplashBidNoticeAbstractUI.aspx?menuIndex=3&amp;refID=7026455&amp;Result=3","7026455")</f>
        <v>0</v>
      </c>
      <c r="B7995" t="s">
        <v>1574</v>
      </c>
      <c r="C7995" t="s">
        <v>10311</v>
      </c>
      <c r="D7995" t="s">
        <v>13008</v>
      </c>
      <c r="E7995" t="s">
        <v>20114</v>
      </c>
      <c r="F7995" t="s">
        <v>22436</v>
      </c>
      <c r="G7995" t="s">
        <v>22444</v>
      </c>
      <c r="H7995" t="s">
        <v>22452</v>
      </c>
      <c r="I7995" t="s">
        <v>22518</v>
      </c>
      <c r="J7995" t="s">
        <v>24356</v>
      </c>
      <c r="K7995" t="s">
        <v>29338</v>
      </c>
      <c r="M7995" t="s">
        <v>31256</v>
      </c>
      <c r="N7995" t="s">
        <v>32524</v>
      </c>
      <c r="O7995" t="s">
        <v>32525</v>
      </c>
      <c r="P7995">
        <v>0</v>
      </c>
      <c r="Q7995">
        <v>6</v>
      </c>
      <c r="R7995" t="s">
        <v>32534</v>
      </c>
      <c r="S7995" t="s">
        <v>32739</v>
      </c>
      <c r="T7995" t="s">
        <v>33234</v>
      </c>
      <c r="U7995" t="s">
        <v>40282</v>
      </c>
      <c r="W7995" t="s">
        <v>31256</v>
      </c>
      <c r="X7995" t="s">
        <v>32539</v>
      </c>
    </row>
    <row r="7996" spans="1:24">
      <c r="A7996">
        <f>HYPERLINK("https://www.philgeps.gov.ph/GEPSNONPILOT/Tender/SplashBidNoticeAbstractUI.aspx?menuIndex=3&amp;refID=7026379&amp;Result=3","7026379")</f>
        <v>0</v>
      </c>
      <c r="B7996" t="s">
        <v>2326</v>
      </c>
      <c r="C7996" t="s">
        <v>10312</v>
      </c>
      <c r="D7996" t="s">
        <v>13028</v>
      </c>
      <c r="E7996" t="s">
        <v>20115</v>
      </c>
      <c r="F7996" t="s">
        <v>22436</v>
      </c>
      <c r="G7996" t="s">
        <v>22444</v>
      </c>
      <c r="H7996" t="s">
        <v>22454</v>
      </c>
      <c r="I7996" t="s">
        <v>7738</v>
      </c>
      <c r="J7996" t="s">
        <v>22960</v>
      </c>
      <c r="K7996" t="s">
        <v>29438</v>
      </c>
      <c r="M7996" t="s">
        <v>32103</v>
      </c>
      <c r="N7996" t="s">
        <v>32524</v>
      </c>
      <c r="O7996" t="s">
        <v>32525</v>
      </c>
      <c r="P7996">
        <v>0</v>
      </c>
      <c r="Q7996">
        <v>2</v>
      </c>
      <c r="R7996" t="s">
        <v>32534</v>
      </c>
      <c r="S7996" t="s">
        <v>32739</v>
      </c>
      <c r="T7996" t="s">
        <v>33188</v>
      </c>
      <c r="U7996" t="s">
        <v>40283</v>
      </c>
      <c r="V7996" t="s">
        <v>43308</v>
      </c>
      <c r="W7996" t="s">
        <v>32103</v>
      </c>
      <c r="X7996" t="s">
        <v>32539</v>
      </c>
    </row>
    <row r="7997" spans="1:24">
      <c r="A7997">
        <f>HYPERLINK("https://www.philgeps.gov.ph/GEPSNONPILOT/Tender/SplashBidNoticeAbstractUI.aspx?menuIndex=3&amp;refID=7027920&amp;Result=3","7027920")</f>
        <v>0</v>
      </c>
      <c r="B7997" t="s">
        <v>2327</v>
      </c>
      <c r="C7997" t="s">
        <v>10313</v>
      </c>
      <c r="D7997" t="s">
        <v>13054</v>
      </c>
      <c r="E7997" t="s">
        <v>20116</v>
      </c>
      <c r="F7997" t="s">
        <v>22436</v>
      </c>
      <c r="G7997" t="s">
        <v>22444</v>
      </c>
      <c r="H7997" t="s">
        <v>22454</v>
      </c>
      <c r="I7997" t="s">
        <v>7738</v>
      </c>
      <c r="J7997" t="s">
        <v>27735</v>
      </c>
      <c r="K7997" t="s">
        <v>29338</v>
      </c>
      <c r="M7997" t="s">
        <v>32104</v>
      </c>
      <c r="N7997" t="s">
        <v>32524</v>
      </c>
      <c r="O7997" t="s">
        <v>32525</v>
      </c>
      <c r="P7997">
        <v>0</v>
      </c>
      <c r="Q7997">
        <v>0</v>
      </c>
      <c r="R7997" t="s">
        <v>32534</v>
      </c>
      <c r="S7997" t="s">
        <v>32739</v>
      </c>
      <c r="T7997" t="s">
        <v>33249</v>
      </c>
      <c r="U7997" t="s">
        <v>40284</v>
      </c>
      <c r="V7997" t="s">
        <v>43309</v>
      </c>
      <c r="W7997" t="s">
        <v>32104</v>
      </c>
      <c r="X7997" t="s">
        <v>32538</v>
      </c>
    </row>
    <row r="7998" spans="1:24">
      <c r="A7998">
        <f>HYPERLINK("https://www.philgeps.gov.ph/GEPSNONPILOT/Tender/SplashBidNoticeAbstractUI.aspx?menuIndex=3&amp;refID=7025220&amp;Result=3","7025220")</f>
        <v>0</v>
      </c>
      <c r="B7998" t="s">
        <v>1991</v>
      </c>
      <c r="C7998" t="s">
        <v>10314</v>
      </c>
      <c r="D7998" t="s">
        <v>13058</v>
      </c>
      <c r="E7998" t="s">
        <v>20117</v>
      </c>
      <c r="F7998" t="s">
        <v>22436</v>
      </c>
      <c r="G7998" t="s">
        <v>22444</v>
      </c>
      <c r="H7998" t="s">
        <v>22452</v>
      </c>
      <c r="I7998" t="s">
        <v>12358</v>
      </c>
      <c r="J7998" t="s">
        <v>27736</v>
      </c>
      <c r="K7998" t="s">
        <v>29341</v>
      </c>
      <c r="M7998" t="s">
        <v>31723</v>
      </c>
      <c r="N7998" t="s">
        <v>32524</v>
      </c>
      <c r="O7998" t="s">
        <v>32525</v>
      </c>
      <c r="P7998">
        <v>0</v>
      </c>
      <c r="Q7998">
        <v>0</v>
      </c>
      <c r="R7998" t="s">
        <v>32534</v>
      </c>
      <c r="S7998" t="s">
        <v>32739</v>
      </c>
      <c r="T7998" t="s">
        <v>33259</v>
      </c>
      <c r="U7998" t="s">
        <v>40285</v>
      </c>
      <c r="W7998" t="s">
        <v>31723</v>
      </c>
      <c r="X7998" t="s">
        <v>32539</v>
      </c>
    </row>
    <row r="7999" spans="1:24">
      <c r="A7999">
        <f>HYPERLINK("https://www.philgeps.gov.ph/GEPSNONPILOT/Tender/SplashBidNoticeAbstractUI.aspx?menuIndex=3&amp;refID=7027618&amp;Result=3","7027618")</f>
        <v>0</v>
      </c>
      <c r="B7999" t="s">
        <v>258</v>
      </c>
      <c r="C7999" t="s">
        <v>10315</v>
      </c>
      <c r="D7999" t="s">
        <v>13035</v>
      </c>
      <c r="E7999" t="s">
        <v>20118</v>
      </c>
      <c r="F7999" t="s">
        <v>22436</v>
      </c>
      <c r="G7999" t="s">
        <v>22444</v>
      </c>
      <c r="H7999" t="s">
        <v>22452</v>
      </c>
      <c r="I7999" t="s">
        <v>12358</v>
      </c>
      <c r="J7999" t="s">
        <v>27737</v>
      </c>
      <c r="K7999" t="s">
        <v>29331</v>
      </c>
      <c r="M7999" t="s">
        <v>29832</v>
      </c>
      <c r="N7999" t="s">
        <v>32524</v>
      </c>
      <c r="O7999" t="s">
        <v>32525</v>
      </c>
      <c r="P7999">
        <v>0</v>
      </c>
      <c r="Q7999">
        <v>0</v>
      </c>
      <c r="R7999" t="s">
        <v>32534</v>
      </c>
      <c r="S7999" t="s">
        <v>32739</v>
      </c>
      <c r="T7999" t="s">
        <v>33468</v>
      </c>
      <c r="U7999" t="s">
        <v>40286</v>
      </c>
      <c r="W7999" t="s">
        <v>43752</v>
      </c>
      <c r="X7999" t="s">
        <v>32538</v>
      </c>
    </row>
    <row r="8000" spans="1:24">
      <c r="A8000">
        <f>HYPERLINK("https://www.philgeps.gov.ph/GEPSNONPILOT/Tender/SplashBidNoticeAbstractUI.aspx?menuIndex=3&amp;refID=7027876&amp;Result=3","7027876")</f>
        <v>0</v>
      </c>
      <c r="B8000" t="s">
        <v>2327</v>
      </c>
      <c r="C8000" t="s">
        <v>10316</v>
      </c>
      <c r="D8000" t="s">
        <v>13054</v>
      </c>
      <c r="E8000" t="s">
        <v>20116</v>
      </c>
      <c r="F8000" t="s">
        <v>22436</v>
      </c>
      <c r="G8000" t="s">
        <v>22444</v>
      </c>
      <c r="H8000" t="s">
        <v>22454</v>
      </c>
      <c r="I8000" t="s">
        <v>7738</v>
      </c>
      <c r="J8000" t="s">
        <v>27738</v>
      </c>
      <c r="K8000" t="s">
        <v>29338</v>
      </c>
      <c r="M8000" t="s">
        <v>32104</v>
      </c>
      <c r="N8000" t="s">
        <v>32524</v>
      </c>
      <c r="O8000" t="s">
        <v>32525</v>
      </c>
      <c r="P8000">
        <v>0</v>
      </c>
      <c r="Q8000">
        <v>0</v>
      </c>
      <c r="R8000" t="s">
        <v>32534</v>
      </c>
      <c r="S8000" t="s">
        <v>32739</v>
      </c>
      <c r="T8000" t="s">
        <v>33249</v>
      </c>
      <c r="U8000" t="s">
        <v>40287</v>
      </c>
      <c r="V8000" t="s">
        <v>43309</v>
      </c>
      <c r="W8000" t="s">
        <v>32104</v>
      </c>
      <c r="X8000" t="s">
        <v>32538</v>
      </c>
    </row>
    <row r="8001" spans="1:24">
      <c r="A8001">
        <f>HYPERLINK("https://www.philgeps.gov.ph/GEPSNONPILOT/Tender/SplashBidNoticeAbstractUI.aspx?menuIndex=3&amp;refID=7026100&amp;Result=3","7026100")</f>
        <v>0</v>
      </c>
      <c r="B8001" t="s">
        <v>2328</v>
      </c>
      <c r="C8001" t="s">
        <v>10317</v>
      </c>
      <c r="D8001" t="s">
        <v>13006</v>
      </c>
      <c r="E8001" t="s">
        <v>20119</v>
      </c>
      <c r="F8001" t="s">
        <v>22436</v>
      </c>
      <c r="G8001" t="s">
        <v>22444</v>
      </c>
      <c r="H8001" t="s">
        <v>22452</v>
      </c>
      <c r="I8001" t="s">
        <v>22474</v>
      </c>
      <c r="J8001" t="s">
        <v>22624</v>
      </c>
      <c r="K8001" t="s">
        <v>29335</v>
      </c>
      <c r="M8001" t="s">
        <v>32105</v>
      </c>
      <c r="N8001" t="s">
        <v>32524</v>
      </c>
      <c r="O8001" t="s">
        <v>32525</v>
      </c>
      <c r="P8001">
        <v>0</v>
      </c>
      <c r="Q8001">
        <v>5</v>
      </c>
      <c r="R8001" t="s">
        <v>32534</v>
      </c>
      <c r="S8001" t="s">
        <v>32739</v>
      </c>
      <c r="T8001" t="s">
        <v>33188</v>
      </c>
      <c r="U8001" t="s">
        <v>40288</v>
      </c>
      <c r="W8001" t="s">
        <v>32105</v>
      </c>
      <c r="X8001" t="s">
        <v>32539</v>
      </c>
    </row>
    <row r="8002" spans="1:24">
      <c r="A8002">
        <f>HYPERLINK("https://www.philgeps.gov.ph/GEPSNONPILOT/Tender/SplashBidNoticeAbstractUI.aspx?menuIndex=3&amp;refID=7027412&amp;Result=3","7027412")</f>
        <v>0</v>
      </c>
      <c r="B8002" t="s">
        <v>2329</v>
      </c>
      <c r="C8002" t="s">
        <v>10318</v>
      </c>
      <c r="D8002" t="s">
        <v>13018</v>
      </c>
      <c r="E8002" t="s">
        <v>20120</v>
      </c>
      <c r="F8002" t="s">
        <v>22436</v>
      </c>
      <c r="G8002" t="s">
        <v>22444</v>
      </c>
      <c r="H8002" t="s">
        <v>22454</v>
      </c>
      <c r="I8002" t="s">
        <v>7738</v>
      </c>
      <c r="J8002" t="s">
        <v>26186</v>
      </c>
      <c r="K8002" t="s">
        <v>29334</v>
      </c>
      <c r="M8002" t="s">
        <v>32106</v>
      </c>
      <c r="N8002" t="s">
        <v>32524</v>
      </c>
      <c r="O8002" t="s">
        <v>32525</v>
      </c>
      <c r="P8002">
        <v>0</v>
      </c>
      <c r="Q8002">
        <v>3</v>
      </c>
      <c r="R8002" t="s">
        <v>32534</v>
      </c>
      <c r="S8002" t="s">
        <v>32739</v>
      </c>
      <c r="T8002" t="s">
        <v>33459</v>
      </c>
      <c r="U8002" t="s">
        <v>40289</v>
      </c>
      <c r="W8002" t="s">
        <v>32106</v>
      </c>
      <c r="X8002" t="s">
        <v>32538</v>
      </c>
    </row>
    <row r="8003" spans="1:24">
      <c r="A8003">
        <f>HYPERLINK("https://www.philgeps.gov.ph/GEPSNONPILOT/Tender/SplashBidNoticeAbstractUI.aspx?menuIndex=3&amp;refID=7028184&amp;Result=3","7028184")</f>
        <v>0</v>
      </c>
      <c r="B8003" t="s">
        <v>2329</v>
      </c>
      <c r="C8003" t="s">
        <v>10319</v>
      </c>
      <c r="D8003" t="s">
        <v>13018</v>
      </c>
      <c r="E8003" t="s">
        <v>20121</v>
      </c>
      <c r="F8003" t="s">
        <v>22436</v>
      </c>
      <c r="G8003" t="s">
        <v>22444</v>
      </c>
      <c r="H8003" t="s">
        <v>22452</v>
      </c>
      <c r="I8003" t="s">
        <v>3529</v>
      </c>
      <c r="J8003" t="s">
        <v>27739</v>
      </c>
      <c r="K8003" t="s">
        <v>29336</v>
      </c>
      <c r="M8003" t="s">
        <v>32106</v>
      </c>
      <c r="N8003" t="s">
        <v>32524</v>
      </c>
      <c r="O8003" t="s">
        <v>32525</v>
      </c>
      <c r="P8003">
        <v>0</v>
      </c>
      <c r="Q8003">
        <v>0</v>
      </c>
      <c r="R8003" t="s">
        <v>32534</v>
      </c>
      <c r="S8003" t="s">
        <v>32739</v>
      </c>
      <c r="T8003" t="s">
        <v>33459</v>
      </c>
      <c r="U8003" t="s">
        <v>40290</v>
      </c>
      <c r="W8003" t="s">
        <v>32106</v>
      </c>
      <c r="X8003" t="s">
        <v>32538</v>
      </c>
    </row>
    <row r="8004" spans="1:24">
      <c r="A8004">
        <f>HYPERLINK("https://www.philgeps.gov.ph/GEPSNONPILOT/Tender/SplashBidNoticeAbstractUI.aspx?menuIndex=3&amp;refID=7027265&amp;Result=3","7027265")</f>
        <v>0</v>
      </c>
      <c r="B8004" t="s">
        <v>2330</v>
      </c>
      <c r="C8004" t="s">
        <v>10320</v>
      </c>
      <c r="D8004" t="s">
        <v>13000</v>
      </c>
      <c r="E8004" t="s">
        <v>20122</v>
      </c>
      <c r="F8004" t="s">
        <v>22436</v>
      </c>
      <c r="G8004" t="s">
        <v>22444</v>
      </c>
      <c r="H8004" t="s">
        <v>22454</v>
      </c>
      <c r="I8004" t="s">
        <v>22564</v>
      </c>
      <c r="J8004" t="s">
        <v>27740</v>
      </c>
      <c r="K8004" t="s">
        <v>29334</v>
      </c>
      <c r="M8004" t="s">
        <v>32107</v>
      </c>
      <c r="N8004" t="s">
        <v>32524</v>
      </c>
      <c r="O8004" t="s">
        <v>32525</v>
      </c>
      <c r="P8004">
        <v>0</v>
      </c>
      <c r="Q8004">
        <v>2</v>
      </c>
      <c r="R8004" t="s">
        <v>32534</v>
      </c>
      <c r="S8004" t="s">
        <v>32739</v>
      </c>
      <c r="T8004" t="s">
        <v>33227</v>
      </c>
      <c r="U8004" t="s">
        <v>40291</v>
      </c>
      <c r="W8004" t="s">
        <v>32107</v>
      </c>
      <c r="X8004" t="s">
        <v>32538</v>
      </c>
    </row>
    <row r="8005" spans="1:24">
      <c r="A8005">
        <f>HYPERLINK("https://www.philgeps.gov.ph/GEPSNONPILOT/Tender/SplashBidNoticeAbstractUI.aspx?menuIndex=3&amp;refID=7028390&amp;Result=3","7028390")</f>
        <v>0</v>
      </c>
      <c r="B8005" t="s">
        <v>2304</v>
      </c>
      <c r="C8005" t="s">
        <v>10321</v>
      </c>
      <c r="D8005" t="s">
        <v>13010</v>
      </c>
      <c r="E8005" t="s">
        <v>20123</v>
      </c>
      <c r="F8005" t="s">
        <v>22436</v>
      </c>
      <c r="G8005" t="s">
        <v>22444</v>
      </c>
      <c r="H8005" t="s">
        <v>22454</v>
      </c>
      <c r="I8005" t="s">
        <v>7738</v>
      </c>
      <c r="J8005" t="s">
        <v>27741</v>
      </c>
      <c r="K8005" t="s">
        <v>29334</v>
      </c>
      <c r="M8005" t="s">
        <v>32077</v>
      </c>
      <c r="N8005" t="s">
        <v>32524</v>
      </c>
      <c r="O8005" t="s">
        <v>32525</v>
      </c>
      <c r="P8005">
        <v>0</v>
      </c>
      <c r="Q8005">
        <v>0</v>
      </c>
      <c r="R8005" t="s">
        <v>32534</v>
      </c>
      <c r="S8005" t="s">
        <v>32739</v>
      </c>
      <c r="T8005" t="s">
        <v>33234</v>
      </c>
      <c r="U8005" t="s">
        <v>40292</v>
      </c>
      <c r="V8005" t="s">
        <v>43310</v>
      </c>
      <c r="W8005" t="s">
        <v>32077</v>
      </c>
      <c r="X8005" t="s">
        <v>32538</v>
      </c>
    </row>
    <row r="8006" spans="1:24">
      <c r="A8006">
        <f>HYPERLINK("https://www.philgeps.gov.ph/GEPSNONPILOT/Tender/SplashBidNoticeAbstractUI.aspx?menuIndex=3&amp;refID=7028383&amp;Result=3","7028383")</f>
        <v>0</v>
      </c>
      <c r="B8006" t="s">
        <v>2331</v>
      </c>
      <c r="C8006" t="s">
        <v>10322</v>
      </c>
      <c r="D8006" t="s">
        <v>13031</v>
      </c>
      <c r="E8006" t="s">
        <v>20124</v>
      </c>
      <c r="F8006" t="s">
        <v>22436</v>
      </c>
      <c r="G8006" t="s">
        <v>22444</v>
      </c>
      <c r="H8006" t="s">
        <v>22452</v>
      </c>
      <c r="I8006" t="s">
        <v>22501</v>
      </c>
      <c r="J8006" t="s">
        <v>27742</v>
      </c>
      <c r="K8006" t="s">
        <v>29335</v>
      </c>
      <c r="M8006" t="s">
        <v>32108</v>
      </c>
      <c r="N8006" t="s">
        <v>32524</v>
      </c>
      <c r="O8006" t="s">
        <v>32525</v>
      </c>
      <c r="P8006">
        <v>0</v>
      </c>
      <c r="Q8006">
        <v>0</v>
      </c>
      <c r="R8006" t="s">
        <v>32534</v>
      </c>
      <c r="S8006" t="s">
        <v>32739</v>
      </c>
      <c r="T8006" t="s">
        <v>33234</v>
      </c>
      <c r="U8006" t="s">
        <v>40293</v>
      </c>
      <c r="V8006" t="s">
        <v>43311</v>
      </c>
      <c r="W8006" t="s">
        <v>32108</v>
      </c>
      <c r="X8006" t="s">
        <v>32538</v>
      </c>
    </row>
    <row r="8007" spans="1:24">
      <c r="A8007">
        <f>HYPERLINK("https://www.philgeps.gov.ph/GEPSNONPILOT/Tender/SplashBidNoticeAbstractUI.aspx?menuIndex=3&amp;refID=7028309&amp;Result=3","7028309")</f>
        <v>0</v>
      </c>
      <c r="B8007" t="s">
        <v>2304</v>
      </c>
      <c r="C8007" t="s">
        <v>10323</v>
      </c>
      <c r="D8007" t="s">
        <v>13010</v>
      </c>
      <c r="E8007" t="s">
        <v>20125</v>
      </c>
      <c r="F8007" t="s">
        <v>22436</v>
      </c>
      <c r="G8007" t="s">
        <v>22444</v>
      </c>
      <c r="H8007" t="s">
        <v>22454</v>
      </c>
      <c r="I8007" t="s">
        <v>7738</v>
      </c>
      <c r="J8007" t="s">
        <v>27741</v>
      </c>
      <c r="K8007" t="s">
        <v>29334</v>
      </c>
      <c r="M8007" t="s">
        <v>32077</v>
      </c>
      <c r="N8007" t="s">
        <v>32524</v>
      </c>
      <c r="O8007" t="s">
        <v>32525</v>
      </c>
      <c r="P8007">
        <v>0</v>
      </c>
      <c r="Q8007">
        <v>0</v>
      </c>
      <c r="R8007" t="s">
        <v>32534</v>
      </c>
      <c r="S8007" t="s">
        <v>32739</v>
      </c>
      <c r="T8007" t="s">
        <v>33234</v>
      </c>
      <c r="U8007" t="s">
        <v>40294</v>
      </c>
      <c r="V8007" t="s">
        <v>43312</v>
      </c>
      <c r="W8007" t="s">
        <v>32077</v>
      </c>
      <c r="X8007" t="s">
        <v>32538</v>
      </c>
    </row>
    <row r="8008" spans="1:24">
      <c r="A8008">
        <f>HYPERLINK("https://www.philgeps.gov.ph/GEPSNONPILOT/Tender/SplashBidNoticeAbstractUI.aspx?menuIndex=3&amp;refID=7027594&amp;Result=3","7027594")</f>
        <v>0</v>
      </c>
      <c r="B8008" t="s">
        <v>258</v>
      </c>
      <c r="C8008" t="s">
        <v>10324</v>
      </c>
      <c r="D8008" t="s">
        <v>13035</v>
      </c>
      <c r="E8008" t="s">
        <v>20126</v>
      </c>
      <c r="F8008" t="s">
        <v>22436</v>
      </c>
      <c r="G8008" t="s">
        <v>22444</v>
      </c>
      <c r="H8008" t="s">
        <v>22452</v>
      </c>
      <c r="I8008" t="s">
        <v>3027</v>
      </c>
      <c r="J8008" t="s">
        <v>27743</v>
      </c>
      <c r="K8008" t="s">
        <v>29338</v>
      </c>
      <c r="M8008" t="s">
        <v>29832</v>
      </c>
      <c r="N8008" t="s">
        <v>32524</v>
      </c>
      <c r="O8008" t="s">
        <v>32525</v>
      </c>
      <c r="P8008">
        <v>0</v>
      </c>
      <c r="Q8008">
        <v>0</v>
      </c>
      <c r="R8008" t="s">
        <v>32534</v>
      </c>
      <c r="S8008" t="s">
        <v>32739</v>
      </c>
      <c r="T8008" t="s">
        <v>33468</v>
      </c>
      <c r="U8008" t="s">
        <v>40295</v>
      </c>
      <c r="W8008" t="s">
        <v>43752</v>
      </c>
      <c r="X8008" t="s">
        <v>32538</v>
      </c>
    </row>
    <row r="8009" spans="1:24">
      <c r="A8009">
        <f>HYPERLINK("https://www.philgeps.gov.ph/GEPSNONPILOT/Tender/SplashBidNoticeAbstractUI.aspx?menuIndex=3&amp;refID=7028267&amp;Result=3","7028267")</f>
        <v>0</v>
      </c>
      <c r="B8009" t="s">
        <v>2329</v>
      </c>
      <c r="C8009" t="s">
        <v>10325</v>
      </c>
      <c r="D8009" t="s">
        <v>13018</v>
      </c>
      <c r="E8009" t="s">
        <v>20127</v>
      </c>
      <c r="F8009" t="s">
        <v>22436</v>
      </c>
      <c r="G8009" t="s">
        <v>22443</v>
      </c>
      <c r="H8009" t="s">
        <v>22452</v>
      </c>
      <c r="I8009" t="s">
        <v>3122</v>
      </c>
      <c r="J8009" t="s">
        <v>27744</v>
      </c>
      <c r="K8009" t="s">
        <v>29336</v>
      </c>
      <c r="M8009" t="s">
        <v>32106</v>
      </c>
      <c r="N8009" t="s">
        <v>32524</v>
      </c>
      <c r="O8009" t="s">
        <v>32525</v>
      </c>
      <c r="P8009">
        <v>0</v>
      </c>
      <c r="Q8009">
        <v>0</v>
      </c>
      <c r="R8009" t="s">
        <v>32534</v>
      </c>
      <c r="S8009" t="s">
        <v>32739</v>
      </c>
      <c r="T8009" t="s">
        <v>33406</v>
      </c>
      <c r="U8009" t="s">
        <v>40296</v>
      </c>
      <c r="W8009" t="s">
        <v>32106</v>
      </c>
      <c r="X8009" t="s">
        <v>32538</v>
      </c>
    </row>
    <row r="8010" spans="1:24">
      <c r="A8010">
        <f>HYPERLINK("https://www.philgeps.gov.ph/GEPSNONPILOT/Tender/SplashBidNoticeAbstractUI.aspx?menuIndex=3&amp;refID=7027760&amp;Result=3","7027760")</f>
        <v>0</v>
      </c>
      <c r="B8010" t="s">
        <v>981</v>
      </c>
      <c r="C8010" t="s">
        <v>10326</v>
      </c>
      <c r="E8010" t="s">
        <v>20128</v>
      </c>
      <c r="F8010" t="s">
        <v>22436</v>
      </c>
      <c r="G8010" t="s">
        <v>22444</v>
      </c>
      <c r="H8010" t="s">
        <v>22454</v>
      </c>
      <c r="I8010" t="s">
        <v>6387</v>
      </c>
      <c r="J8010" t="s">
        <v>23350</v>
      </c>
      <c r="K8010" t="s">
        <v>29487</v>
      </c>
      <c r="M8010" t="s">
        <v>30602</v>
      </c>
      <c r="N8010" t="s">
        <v>32524</v>
      </c>
      <c r="O8010" t="s">
        <v>32525</v>
      </c>
      <c r="P8010">
        <v>0</v>
      </c>
      <c r="Q8010">
        <v>7</v>
      </c>
      <c r="R8010" t="s">
        <v>32534</v>
      </c>
      <c r="S8010" t="s">
        <v>32739</v>
      </c>
      <c r="T8010" t="s">
        <v>33550</v>
      </c>
      <c r="U8010" t="s">
        <v>40297</v>
      </c>
      <c r="W8010" t="s">
        <v>30602</v>
      </c>
      <c r="X8010" t="s">
        <v>32538</v>
      </c>
    </row>
    <row r="8011" spans="1:24">
      <c r="A8011">
        <f>HYPERLINK("https://www.philgeps.gov.ph/GEPSNONPILOT/Tender/SplashBidNoticeAbstractUI.aspx?menuIndex=3&amp;refID=7027214&amp;Result=3","7027214")</f>
        <v>0</v>
      </c>
      <c r="B8011" t="s">
        <v>2207</v>
      </c>
      <c r="C8011" t="s">
        <v>10327</v>
      </c>
      <c r="D8011" t="s">
        <v>13049</v>
      </c>
      <c r="E8011" t="s">
        <v>20129</v>
      </c>
      <c r="F8011" t="s">
        <v>22436</v>
      </c>
      <c r="G8011" t="s">
        <v>22444</v>
      </c>
      <c r="H8011" t="s">
        <v>22452</v>
      </c>
      <c r="I8011" t="s">
        <v>22461</v>
      </c>
      <c r="J8011" t="s">
        <v>24895</v>
      </c>
      <c r="K8011" t="s">
        <v>29341</v>
      </c>
      <c r="M8011" t="s">
        <v>31973</v>
      </c>
      <c r="N8011" t="s">
        <v>32524</v>
      </c>
      <c r="O8011" t="s">
        <v>32525</v>
      </c>
      <c r="P8011">
        <v>0</v>
      </c>
      <c r="Q8011">
        <v>3</v>
      </c>
      <c r="R8011" t="s">
        <v>32534</v>
      </c>
      <c r="S8011" t="s">
        <v>32739</v>
      </c>
      <c r="T8011" t="s">
        <v>33553</v>
      </c>
      <c r="U8011" t="s">
        <v>40298</v>
      </c>
      <c r="W8011" t="s">
        <v>31973</v>
      </c>
      <c r="X8011" t="s">
        <v>32538</v>
      </c>
    </row>
    <row r="8012" spans="1:24">
      <c r="A8012">
        <f>HYPERLINK("https://www.philgeps.gov.ph/GEPSNONPILOT/Tender/SplashBidNoticeAbstractUI.aspx?menuIndex=3&amp;refID=7028306&amp;Result=3","7028306")</f>
        <v>0</v>
      </c>
      <c r="B8012" t="s">
        <v>2332</v>
      </c>
      <c r="C8012" t="s">
        <v>10328</v>
      </c>
      <c r="D8012" t="s">
        <v>13006</v>
      </c>
      <c r="E8012" t="s">
        <v>20130</v>
      </c>
      <c r="F8012" t="s">
        <v>22436</v>
      </c>
      <c r="G8012" t="s">
        <v>22444</v>
      </c>
      <c r="H8012" t="s">
        <v>22454</v>
      </c>
      <c r="I8012" t="s">
        <v>7738</v>
      </c>
      <c r="J8012" t="s">
        <v>22669</v>
      </c>
      <c r="K8012" t="s">
        <v>29334</v>
      </c>
      <c r="M8012" t="s">
        <v>32109</v>
      </c>
      <c r="N8012" t="s">
        <v>32524</v>
      </c>
      <c r="O8012" t="s">
        <v>32525</v>
      </c>
      <c r="P8012">
        <v>0</v>
      </c>
      <c r="Q8012">
        <v>2</v>
      </c>
      <c r="R8012" t="s">
        <v>32534</v>
      </c>
      <c r="S8012" t="s">
        <v>32739</v>
      </c>
      <c r="T8012" t="s">
        <v>33227</v>
      </c>
      <c r="U8012" t="s">
        <v>40299</v>
      </c>
      <c r="W8012" t="s">
        <v>32109</v>
      </c>
      <c r="X8012" t="s">
        <v>32538</v>
      </c>
    </row>
    <row r="8013" spans="1:24">
      <c r="A8013">
        <f>HYPERLINK("https://www.philgeps.gov.ph/GEPSNONPILOT/Tender/SplashBidNoticeAbstractUI.aspx?menuIndex=3&amp;refID=7028694&amp;Result=3","7028694")</f>
        <v>0</v>
      </c>
      <c r="B8013" t="s">
        <v>2333</v>
      </c>
      <c r="C8013" t="s">
        <v>10329</v>
      </c>
      <c r="D8013" t="s">
        <v>13021</v>
      </c>
      <c r="E8013" t="s">
        <v>20131</v>
      </c>
      <c r="F8013" t="s">
        <v>22436</v>
      </c>
      <c r="G8013" t="s">
        <v>22444</v>
      </c>
      <c r="H8013" t="s">
        <v>22452</v>
      </c>
      <c r="I8013" t="s">
        <v>22468</v>
      </c>
      <c r="J8013" t="s">
        <v>27745</v>
      </c>
      <c r="K8013" t="s">
        <v>29333</v>
      </c>
      <c r="M8013" t="s">
        <v>32110</v>
      </c>
      <c r="N8013" t="s">
        <v>32524</v>
      </c>
      <c r="O8013" t="s">
        <v>32525</v>
      </c>
      <c r="Q8013">
        <v>4</v>
      </c>
      <c r="R8013" t="s">
        <v>32534</v>
      </c>
      <c r="S8013" t="s">
        <v>32754</v>
      </c>
      <c r="T8013" t="s">
        <v>33567</v>
      </c>
      <c r="U8013" t="s">
        <v>40300</v>
      </c>
      <c r="V8013" t="s">
        <v>43313</v>
      </c>
      <c r="W8013" t="s">
        <v>32110</v>
      </c>
      <c r="X8013" t="s">
        <v>32538</v>
      </c>
    </row>
    <row r="8014" spans="1:24">
      <c r="A8014">
        <f>HYPERLINK("https://www.philgeps.gov.ph/GEPSNONPILOT/Tender/SplashBidNoticeAbstractUI.aspx?menuIndex=3&amp;refID=7028238&amp;Result=3","7028238")</f>
        <v>0</v>
      </c>
      <c r="B8014" t="s">
        <v>2304</v>
      </c>
      <c r="C8014" t="s">
        <v>10330</v>
      </c>
      <c r="D8014" t="s">
        <v>13010</v>
      </c>
      <c r="E8014" t="s">
        <v>20132</v>
      </c>
      <c r="F8014" t="s">
        <v>22436</v>
      </c>
      <c r="G8014" t="s">
        <v>22444</v>
      </c>
      <c r="H8014" t="s">
        <v>22454</v>
      </c>
      <c r="I8014" t="s">
        <v>7738</v>
      </c>
      <c r="J8014" t="s">
        <v>27746</v>
      </c>
      <c r="K8014" t="s">
        <v>29334</v>
      </c>
      <c r="M8014" t="s">
        <v>32077</v>
      </c>
      <c r="N8014" t="s">
        <v>32524</v>
      </c>
      <c r="O8014" t="s">
        <v>32525</v>
      </c>
      <c r="P8014">
        <v>0</v>
      </c>
      <c r="Q8014">
        <v>0</v>
      </c>
      <c r="R8014" t="s">
        <v>32534</v>
      </c>
      <c r="S8014" t="s">
        <v>32739</v>
      </c>
      <c r="T8014" t="s">
        <v>33234</v>
      </c>
      <c r="U8014" t="s">
        <v>40301</v>
      </c>
      <c r="V8014" t="s">
        <v>43312</v>
      </c>
      <c r="W8014" t="s">
        <v>32077</v>
      </c>
      <c r="X8014" t="s">
        <v>32538</v>
      </c>
    </row>
    <row r="8015" spans="1:24">
      <c r="A8015">
        <f>HYPERLINK("https://www.philgeps.gov.ph/GEPSNONPILOT/Tender/SplashBidNoticeAbstractUI.aspx?menuIndex=3&amp;refID=7028246&amp;Result=3","7028246")</f>
        <v>0</v>
      </c>
      <c r="B8015" t="s">
        <v>425</v>
      </c>
      <c r="C8015" t="s">
        <v>10331</v>
      </c>
      <c r="D8015" t="s">
        <v>13003</v>
      </c>
      <c r="E8015" t="s">
        <v>20133</v>
      </c>
      <c r="F8015" t="s">
        <v>22436</v>
      </c>
      <c r="G8015" t="s">
        <v>22444</v>
      </c>
      <c r="H8015" t="s">
        <v>22454</v>
      </c>
      <c r="I8015" t="s">
        <v>7738</v>
      </c>
      <c r="J8015" t="s">
        <v>27747</v>
      </c>
      <c r="K8015" t="s">
        <v>29527</v>
      </c>
      <c r="M8015" t="s">
        <v>30005</v>
      </c>
      <c r="N8015" t="s">
        <v>32524</v>
      </c>
      <c r="O8015" t="s">
        <v>32525</v>
      </c>
      <c r="P8015">
        <v>0</v>
      </c>
      <c r="Q8015">
        <v>0</v>
      </c>
      <c r="R8015" t="s">
        <v>32534</v>
      </c>
      <c r="S8015" t="s">
        <v>32739</v>
      </c>
      <c r="T8015" t="s">
        <v>33191</v>
      </c>
      <c r="U8015" t="s">
        <v>34468</v>
      </c>
      <c r="V8015" t="s">
        <v>43314</v>
      </c>
      <c r="W8015" t="s">
        <v>30005</v>
      </c>
      <c r="X8015" t="s">
        <v>32538</v>
      </c>
    </row>
    <row r="8016" spans="1:24">
      <c r="A8016">
        <f>HYPERLINK("https://www.philgeps.gov.ph/GEPSNONPILOT/Tender/SplashBidNoticeAbstractUI.aspx?menuIndex=3&amp;refID=7029229&amp;Result=3","7029229")</f>
        <v>0</v>
      </c>
      <c r="B8016" t="s">
        <v>2334</v>
      </c>
      <c r="C8016" t="s">
        <v>10332</v>
      </c>
      <c r="D8016" t="s">
        <v>13025</v>
      </c>
      <c r="E8016" t="s">
        <v>20134</v>
      </c>
      <c r="F8016" t="s">
        <v>22436</v>
      </c>
      <c r="G8016" t="s">
        <v>22444</v>
      </c>
      <c r="H8016" t="s">
        <v>22454</v>
      </c>
      <c r="I8016" t="s">
        <v>7738</v>
      </c>
      <c r="J8016" t="s">
        <v>22634</v>
      </c>
      <c r="K8016" t="s">
        <v>29344</v>
      </c>
      <c r="M8016" t="s">
        <v>32111</v>
      </c>
      <c r="N8016" t="s">
        <v>32524</v>
      </c>
      <c r="O8016" t="s">
        <v>32525</v>
      </c>
      <c r="P8016">
        <v>0</v>
      </c>
      <c r="Q8016">
        <v>0</v>
      </c>
      <c r="R8016" t="s">
        <v>32534</v>
      </c>
      <c r="S8016" t="s">
        <v>32739</v>
      </c>
      <c r="T8016" t="s">
        <v>33227</v>
      </c>
      <c r="U8016" t="s">
        <v>40302</v>
      </c>
      <c r="W8016" t="s">
        <v>32111</v>
      </c>
      <c r="X8016" t="s">
        <v>32538</v>
      </c>
    </row>
    <row r="8017" spans="1:24">
      <c r="A8017">
        <f>HYPERLINK("https://www.philgeps.gov.ph/GEPSNONPILOT/Tender/SplashBidNoticeAbstractUI.aspx?menuIndex=3&amp;refID=7029219&amp;Result=3","7029219")</f>
        <v>0</v>
      </c>
      <c r="B8017" t="s">
        <v>827</v>
      </c>
      <c r="C8017" t="s">
        <v>10333</v>
      </c>
      <c r="D8017" t="s">
        <v>12988</v>
      </c>
      <c r="E8017" t="s">
        <v>20135</v>
      </c>
      <c r="F8017" t="s">
        <v>22436</v>
      </c>
      <c r="G8017" t="s">
        <v>22444</v>
      </c>
      <c r="H8017" t="s">
        <v>22452</v>
      </c>
      <c r="I8017" t="s">
        <v>22484</v>
      </c>
      <c r="J8017" t="s">
        <v>27748</v>
      </c>
      <c r="K8017" t="s">
        <v>29334</v>
      </c>
      <c r="M8017" t="s">
        <v>30433</v>
      </c>
      <c r="N8017" t="s">
        <v>32524</v>
      </c>
      <c r="O8017" t="s">
        <v>32525</v>
      </c>
      <c r="P8017">
        <v>0</v>
      </c>
      <c r="Q8017">
        <v>21</v>
      </c>
      <c r="R8017" t="s">
        <v>32534</v>
      </c>
      <c r="S8017" t="s">
        <v>32739</v>
      </c>
      <c r="T8017" t="s">
        <v>33249</v>
      </c>
      <c r="U8017" t="s">
        <v>40303</v>
      </c>
      <c r="W8017" t="s">
        <v>30433</v>
      </c>
      <c r="X8017" t="s">
        <v>32538</v>
      </c>
    </row>
    <row r="8018" spans="1:24">
      <c r="A8018">
        <f>HYPERLINK("https://www.philgeps.gov.ph/GEPSNONPILOT/Tender/SplashBidNoticeAbstractUI.aspx?menuIndex=3&amp;refID=7027590&amp;Result=3","7027590")</f>
        <v>0</v>
      </c>
      <c r="B8018" t="s">
        <v>2327</v>
      </c>
      <c r="C8018" t="s">
        <v>10334</v>
      </c>
      <c r="D8018" t="s">
        <v>13054</v>
      </c>
      <c r="E8018" t="s">
        <v>20116</v>
      </c>
      <c r="F8018" t="s">
        <v>22436</v>
      </c>
      <c r="G8018" t="s">
        <v>22444</v>
      </c>
      <c r="H8018" t="s">
        <v>22454</v>
      </c>
      <c r="I8018" t="s">
        <v>7738</v>
      </c>
      <c r="J8018" t="s">
        <v>27738</v>
      </c>
      <c r="K8018" t="s">
        <v>29338</v>
      </c>
      <c r="M8018" t="s">
        <v>32104</v>
      </c>
      <c r="N8018" t="s">
        <v>32524</v>
      </c>
      <c r="O8018" t="s">
        <v>32525</v>
      </c>
      <c r="P8018">
        <v>0</v>
      </c>
      <c r="Q8018">
        <v>0</v>
      </c>
      <c r="R8018" t="s">
        <v>32534</v>
      </c>
      <c r="S8018" t="s">
        <v>32739</v>
      </c>
      <c r="T8018" t="s">
        <v>33249</v>
      </c>
      <c r="U8018" t="s">
        <v>40304</v>
      </c>
      <c r="V8018" t="s">
        <v>43309</v>
      </c>
      <c r="W8018" t="s">
        <v>32104</v>
      </c>
      <c r="X8018" t="s">
        <v>32538</v>
      </c>
    </row>
    <row r="8019" spans="1:24">
      <c r="A8019">
        <f>HYPERLINK("https://www.philgeps.gov.ph/GEPSNONPILOT/Tender/SplashBidNoticeAbstractUI.aspx?menuIndex=3&amp;refID=7028426&amp;Result=3","7028426")</f>
        <v>0</v>
      </c>
      <c r="B8019" t="s">
        <v>2304</v>
      </c>
      <c r="C8019" t="s">
        <v>10335</v>
      </c>
      <c r="D8019" t="s">
        <v>13010</v>
      </c>
      <c r="E8019" t="s">
        <v>20136</v>
      </c>
      <c r="F8019" t="s">
        <v>22436</v>
      </c>
      <c r="G8019" t="s">
        <v>22444</v>
      </c>
      <c r="H8019" t="s">
        <v>22454</v>
      </c>
      <c r="I8019" t="s">
        <v>7738</v>
      </c>
      <c r="J8019" t="s">
        <v>27749</v>
      </c>
      <c r="K8019" t="s">
        <v>29334</v>
      </c>
      <c r="M8019" t="s">
        <v>32077</v>
      </c>
      <c r="N8019" t="s">
        <v>32524</v>
      </c>
      <c r="O8019" t="s">
        <v>32525</v>
      </c>
      <c r="P8019">
        <v>0</v>
      </c>
      <c r="Q8019">
        <v>0</v>
      </c>
      <c r="R8019" t="s">
        <v>32534</v>
      </c>
      <c r="S8019" t="s">
        <v>32739</v>
      </c>
      <c r="T8019" t="s">
        <v>33234</v>
      </c>
      <c r="U8019" t="s">
        <v>40305</v>
      </c>
      <c r="V8019" t="s">
        <v>43312</v>
      </c>
      <c r="W8019" t="s">
        <v>32077</v>
      </c>
      <c r="X8019" t="s">
        <v>32538</v>
      </c>
    </row>
    <row r="8020" spans="1:24">
      <c r="A8020">
        <f>HYPERLINK("https://www.philgeps.gov.ph/GEPSNONPILOT/Tender/SplashBidNoticeAbstractUI.aspx?menuIndex=3&amp;refID=7027680&amp;Result=3","7027680")</f>
        <v>0</v>
      </c>
      <c r="B8020" t="s">
        <v>2327</v>
      </c>
      <c r="C8020" t="s">
        <v>10336</v>
      </c>
      <c r="D8020" t="s">
        <v>13054</v>
      </c>
      <c r="E8020" t="s">
        <v>20116</v>
      </c>
      <c r="F8020" t="s">
        <v>22436</v>
      </c>
      <c r="G8020" t="s">
        <v>22444</v>
      </c>
      <c r="H8020" t="s">
        <v>22454</v>
      </c>
      <c r="I8020" t="s">
        <v>7738</v>
      </c>
      <c r="J8020" t="s">
        <v>27750</v>
      </c>
      <c r="K8020" t="s">
        <v>29338</v>
      </c>
      <c r="M8020" t="s">
        <v>32104</v>
      </c>
      <c r="N8020" t="s">
        <v>32524</v>
      </c>
      <c r="O8020" t="s">
        <v>32525</v>
      </c>
      <c r="P8020">
        <v>0</v>
      </c>
      <c r="Q8020">
        <v>0</v>
      </c>
      <c r="R8020" t="s">
        <v>32534</v>
      </c>
      <c r="S8020" t="s">
        <v>32739</v>
      </c>
      <c r="T8020" t="s">
        <v>33249</v>
      </c>
      <c r="U8020" t="s">
        <v>40306</v>
      </c>
      <c r="V8020" t="s">
        <v>43309</v>
      </c>
      <c r="W8020" t="s">
        <v>32104</v>
      </c>
      <c r="X8020" t="s">
        <v>32538</v>
      </c>
    </row>
    <row r="8021" spans="1:24">
      <c r="A8021">
        <f>HYPERLINK("https://www.philgeps.gov.ph/GEPSNONPILOT/Tender/SplashBidNoticeAbstractUI.aspx?menuIndex=3&amp;refID=7029204&amp;Result=3","7029204")</f>
        <v>0</v>
      </c>
      <c r="B8021" t="s">
        <v>667</v>
      </c>
      <c r="C8021" t="s">
        <v>10337</v>
      </c>
      <c r="D8021" t="s">
        <v>12988</v>
      </c>
      <c r="E8021" t="s">
        <v>20137</v>
      </c>
      <c r="F8021" t="s">
        <v>22436</v>
      </c>
      <c r="G8021" t="s">
        <v>22444</v>
      </c>
      <c r="H8021" t="s">
        <v>22452</v>
      </c>
      <c r="I8021" t="s">
        <v>22466</v>
      </c>
      <c r="J8021" t="s">
        <v>27751</v>
      </c>
      <c r="K8021" t="s">
        <v>29338</v>
      </c>
      <c r="M8021" t="s">
        <v>32112</v>
      </c>
      <c r="N8021" t="s">
        <v>32524</v>
      </c>
      <c r="O8021" t="s">
        <v>32525</v>
      </c>
      <c r="P8021">
        <v>0</v>
      </c>
      <c r="Q8021">
        <v>23</v>
      </c>
      <c r="R8021" t="s">
        <v>32534</v>
      </c>
      <c r="S8021" t="s">
        <v>32739</v>
      </c>
      <c r="T8021" t="s">
        <v>33242</v>
      </c>
      <c r="U8021" t="s">
        <v>40307</v>
      </c>
      <c r="W8021" t="s">
        <v>32112</v>
      </c>
      <c r="X8021" t="s">
        <v>32538</v>
      </c>
    </row>
    <row r="8022" spans="1:24">
      <c r="A8022">
        <f>HYPERLINK("https://www.philgeps.gov.ph/GEPSNONPILOT/Tender/SplashBidNoticeAbstractUI.aspx?menuIndex=3&amp;refID=7029249&amp;Result=3","7029249")</f>
        <v>0</v>
      </c>
      <c r="B8022" t="s">
        <v>827</v>
      </c>
      <c r="C8022" t="s">
        <v>10338</v>
      </c>
      <c r="D8022" t="s">
        <v>12988</v>
      </c>
      <c r="E8022" t="s">
        <v>20138</v>
      </c>
      <c r="F8022" t="s">
        <v>22436</v>
      </c>
      <c r="G8022" t="s">
        <v>22444</v>
      </c>
      <c r="H8022" t="s">
        <v>22452</v>
      </c>
      <c r="I8022" t="s">
        <v>22484</v>
      </c>
      <c r="J8022" t="s">
        <v>27752</v>
      </c>
      <c r="K8022" t="s">
        <v>29334</v>
      </c>
      <c r="M8022" t="s">
        <v>30433</v>
      </c>
      <c r="N8022" t="s">
        <v>32524</v>
      </c>
      <c r="O8022" t="s">
        <v>32525</v>
      </c>
      <c r="P8022">
        <v>0</v>
      </c>
      <c r="Q8022">
        <v>31</v>
      </c>
      <c r="R8022" t="s">
        <v>32534</v>
      </c>
      <c r="S8022" t="s">
        <v>32739</v>
      </c>
      <c r="T8022" t="s">
        <v>33249</v>
      </c>
      <c r="U8022" t="s">
        <v>40308</v>
      </c>
      <c r="W8022" t="s">
        <v>30433</v>
      </c>
      <c r="X8022" t="s">
        <v>32538</v>
      </c>
    </row>
    <row r="8023" spans="1:24">
      <c r="A8023">
        <f>HYPERLINK("https://www.philgeps.gov.ph/GEPSNONPILOT/Tender/SplashBidNoticeAbstractUI.aspx?menuIndex=3&amp;refID=7029176&amp;Result=3","7029176")</f>
        <v>0</v>
      </c>
      <c r="B8023" t="s">
        <v>2334</v>
      </c>
      <c r="C8023" t="s">
        <v>10339</v>
      </c>
      <c r="D8023" t="s">
        <v>13025</v>
      </c>
      <c r="E8023" t="s">
        <v>20139</v>
      </c>
      <c r="F8023" t="s">
        <v>22436</v>
      </c>
      <c r="G8023" t="s">
        <v>22444</v>
      </c>
      <c r="H8023" t="s">
        <v>22454</v>
      </c>
      <c r="I8023" t="s">
        <v>7738</v>
      </c>
      <c r="J8023" t="s">
        <v>22634</v>
      </c>
      <c r="K8023" t="s">
        <v>29344</v>
      </c>
      <c r="M8023" t="s">
        <v>32111</v>
      </c>
      <c r="N8023" t="s">
        <v>32524</v>
      </c>
      <c r="O8023" t="s">
        <v>32525</v>
      </c>
      <c r="P8023">
        <v>0</v>
      </c>
      <c r="Q8023">
        <v>0</v>
      </c>
      <c r="R8023" t="s">
        <v>32534</v>
      </c>
      <c r="S8023" t="s">
        <v>32739</v>
      </c>
      <c r="T8023" t="s">
        <v>33227</v>
      </c>
      <c r="U8023" t="s">
        <v>40309</v>
      </c>
      <c r="W8023" t="s">
        <v>32111</v>
      </c>
      <c r="X8023" t="s">
        <v>32538</v>
      </c>
    </row>
    <row r="8024" spans="1:24">
      <c r="A8024">
        <f>HYPERLINK("https://www.philgeps.gov.ph/GEPSNONPILOT/Tender/SplashBidNoticeAbstractUI.aspx?menuIndex=3&amp;refID=7028608&amp;Result=3","7028608")</f>
        <v>0</v>
      </c>
      <c r="B8024" t="s">
        <v>2298</v>
      </c>
      <c r="C8024" t="s">
        <v>10340</v>
      </c>
      <c r="D8024" t="s">
        <v>13002</v>
      </c>
      <c r="E8024" t="s">
        <v>20140</v>
      </c>
      <c r="F8024" t="s">
        <v>22436</v>
      </c>
      <c r="G8024" t="s">
        <v>22444</v>
      </c>
      <c r="H8024" t="s">
        <v>22452</v>
      </c>
      <c r="I8024" t="s">
        <v>22467</v>
      </c>
      <c r="J8024" t="s">
        <v>22943</v>
      </c>
      <c r="K8024" t="s">
        <v>29335</v>
      </c>
      <c r="M8024" t="s">
        <v>32070</v>
      </c>
      <c r="N8024" t="s">
        <v>32524</v>
      </c>
      <c r="O8024" t="s">
        <v>32525</v>
      </c>
      <c r="P8024">
        <v>0</v>
      </c>
      <c r="Q8024">
        <v>0</v>
      </c>
      <c r="R8024" t="s">
        <v>32534</v>
      </c>
      <c r="S8024" t="s">
        <v>32739</v>
      </c>
      <c r="T8024" t="s">
        <v>33423</v>
      </c>
      <c r="U8024" t="s">
        <v>40310</v>
      </c>
      <c r="V8024" t="s">
        <v>43315</v>
      </c>
      <c r="W8024" t="s">
        <v>32070</v>
      </c>
      <c r="X8024" t="s">
        <v>32538</v>
      </c>
    </row>
    <row r="8025" spans="1:24">
      <c r="A8025">
        <f>HYPERLINK("https://www.philgeps.gov.ph/GEPSNONPILOT/Tender/SplashBidNoticeAbstractUI.aspx?menuIndex=3&amp;refID=7029259&amp;Result=3","7029259")</f>
        <v>0</v>
      </c>
      <c r="B8025" t="s">
        <v>2298</v>
      </c>
      <c r="C8025" t="s">
        <v>10341</v>
      </c>
      <c r="D8025" t="s">
        <v>13002</v>
      </c>
      <c r="E8025" t="s">
        <v>20141</v>
      </c>
      <c r="F8025" t="s">
        <v>22436</v>
      </c>
      <c r="G8025" t="s">
        <v>22444</v>
      </c>
      <c r="H8025" t="s">
        <v>22454</v>
      </c>
      <c r="I8025" t="s">
        <v>7738</v>
      </c>
      <c r="J8025" t="s">
        <v>27753</v>
      </c>
      <c r="K8025" t="s">
        <v>29346</v>
      </c>
      <c r="M8025" t="s">
        <v>32070</v>
      </c>
      <c r="N8025" t="s">
        <v>32524</v>
      </c>
      <c r="O8025" t="s">
        <v>32525</v>
      </c>
      <c r="P8025">
        <v>0</v>
      </c>
      <c r="Q8025">
        <v>1</v>
      </c>
      <c r="R8025" t="s">
        <v>32534</v>
      </c>
      <c r="S8025" t="s">
        <v>32739</v>
      </c>
      <c r="T8025" t="s">
        <v>33423</v>
      </c>
      <c r="U8025" t="s">
        <v>40311</v>
      </c>
      <c r="W8025" t="s">
        <v>32070</v>
      </c>
      <c r="X8025" t="s">
        <v>32538</v>
      </c>
    </row>
    <row r="8026" spans="1:24">
      <c r="A8026">
        <f>HYPERLINK("https://www.philgeps.gov.ph/GEPSNONPILOT/Tender/SplashBidNoticeAbstractUI.aspx?menuIndex=3&amp;refID=7028279&amp;Result=3","7028279")</f>
        <v>0</v>
      </c>
      <c r="B8026" t="s">
        <v>1002</v>
      </c>
      <c r="C8026" t="s">
        <v>10342</v>
      </c>
      <c r="D8026" t="s">
        <v>13058</v>
      </c>
      <c r="E8026" t="s">
        <v>20142</v>
      </c>
      <c r="F8026" t="s">
        <v>22436</v>
      </c>
      <c r="G8026" t="s">
        <v>22444</v>
      </c>
      <c r="H8026" t="s">
        <v>22454</v>
      </c>
      <c r="I8026" t="s">
        <v>7738</v>
      </c>
      <c r="J8026" t="s">
        <v>24130</v>
      </c>
      <c r="K8026" t="s">
        <v>29528</v>
      </c>
      <c r="M8026" t="s">
        <v>32113</v>
      </c>
      <c r="N8026" t="s">
        <v>32524</v>
      </c>
      <c r="O8026" t="s">
        <v>32525</v>
      </c>
      <c r="P8026">
        <v>0</v>
      </c>
      <c r="Q8026">
        <v>2</v>
      </c>
      <c r="R8026" t="s">
        <v>32534</v>
      </c>
      <c r="S8026" t="s">
        <v>32739</v>
      </c>
      <c r="T8026" t="s">
        <v>33234</v>
      </c>
      <c r="U8026" t="s">
        <v>40312</v>
      </c>
      <c r="W8026" t="s">
        <v>32113</v>
      </c>
      <c r="X8026" t="s">
        <v>32538</v>
      </c>
    </row>
    <row r="8027" spans="1:24">
      <c r="A8027">
        <f>HYPERLINK("https://www.philgeps.gov.ph/GEPSNONPILOT/Tender/SplashBidNoticeAbstractUI.aspx?menuIndex=3&amp;refID=7029094&amp;Result=3","7029094")</f>
        <v>0</v>
      </c>
      <c r="B8027" t="s">
        <v>2335</v>
      </c>
      <c r="C8027" t="s">
        <v>10343</v>
      </c>
      <c r="D8027" t="s">
        <v>12994</v>
      </c>
      <c r="E8027" t="s">
        <v>13165</v>
      </c>
      <c r="F8027" t="s">
        <v>22436</v>
      </c>
      <c r="G8027" t="s">
        <v>22444</v>
      </c>
      <c r="H8027" t="s">
        <v>22452</v>
      </c>
      <c r="I8027" t="s">
        <v>3529</v>
      </c>
      <c r="J8027" t="s">
        <v>27754</v>
      </c>
      <c r="K8027" t="s">
        <v>29335</v>
      </c>
      <c r="M8027" t="s">
        <v>32114</v>
      </c>
      <c r="N8027" t="s">
        <v>32524</v>
      </c>
      <c r="O8027" t="s">
        <v>32525</v>
      </c>
      <c r="P8027">
        <v>0</v>
      </c>
      <c r="Q8027">
        <v>0</v>
      </c>
      <c r="R8027" t="s">
        <v>32534</v>
      </c>
      <c r="S8027" t="s">
        <v>32739</v>
      </c>
      <c r="T8027" t="s">
        <v>33169</v>
      </c>
      <c r="U8027" t="s">
        <v>40313</v>
      </c>
      <c r="W8027" t="s">
        <v>32114</v>
      </c>
      <c r="X8027" t="s">
        <v>32538</v>
      </c>
    </row>
    <row r="8028" spans="1:24">
      <c r="A8028">
        <f>HYPERLINK("https://www.philgeps.gov.ph/GEPSNONPILOT/Tender/SplashBidNoticeAbstractUI.aspx?menuIndex=3&amp;refID=7028601&amp;Result=3","7028601")</f>
        <v>0</v>
      </c>
      <c r="B8028" t="s">
        <v>1002</v>
      </c>
      <c r="C8028" t="s">
        <v>10344</v>
      </c>
      <c r="D8028" t="s">
        <v>13058</v>
      </c>
      <c r="E8028" t="s">
        <v>20143</v>
      </c>
      <c r="F8028" t="s">
        <v>22436</v>
      </c>
      <c r="G8028" t="s">
        <v>22444</v>
      </c>
      <c r="H8028" t="s">
        <v>22454</v>
      </c>
      <c r="I8028" t="s">
        <v>7738</v>
      </c>
      <c r="J8028" t="s">
        <v>25899</v>
      </c>
      <c r="K8028" t="s">
        <v>29529</v>
      </c>
      <c r="M8028" t="s">
        <v>32113</v>
      </c>
      <c r="N8028" t="s">
        <v>32524</v>
      </c>
      <c r="O8028" t="s">
        <v>32525</v>
      </c>
      <c r="P8028">
        <v>0</v>
      </c>
      <c r="Q8028">
        <v>2</v>
      </c>
      <c r="R8028" t="s">
        <v>32534</v>
      </c>
      <c r="S8028" t="s">
        <v>32739</v>
      </c>
      <c r="T8028" t="s">
        <v>33234</v>
      </c>
      <c r="U8028" t="s">
        <v>40312</v>
      </c>
      <c r="W8028" t="s">
        <v>32113</v>
      </c>
      <c r="X8028" t="s">
        <v>32538</v>
      </c>
    </row>
    <row r="8029" spans="1:24">
      <c r="A8029">
        <f>HYPERLINK("https://www.philgeps.gov.ph/GEPSNONPILOT/Tender/SplashBidNoticeAbstractUI.aspx?menuIndex=3&amp;refID=7029077&amp;Result=3","7029077")</f>
        <v>0</v>
      </c>
      <c r="B8029" t="s">
        <v>2334</v>
      </c>
      <c r="C8029" t="s">
        <v>10345</v>
      </c>
      <c r="D8029" t="s">
        <v>13025</v>
      </c>
      <c r="E8029" t="s">
        <v>16562</v>
      </c>
      <c r="F8029" t="s">
        <v>22436</v>
      </c>
      <c r="G8029" t="s">
        <v>22444</v>
      </c>
      <c r="H8029" t="s">
        <v>22454</v>
      </c>
      <c r="I8029" t="s">
        <v>7738</v>
      </c>
      <c r="J8029" t="s">
        <v>22634</v>
      </c>
      <c r="K8029" t="s">
        <v>29344</v>
      </c>
      <c r="M8029" t="s">
        <v>32111</v>
      </c>
      <c r="N8029" t="s">
        <v>32524</v>
      </c>
      <c r="O8029" t="s">
        <v>32525</v>
      </c>
      <c r="P8029">
        <v>0</v>
      </c>
      <c r="Q8029">
        <v>0</v>
      </c>
      <c r="R8029" t="s">
        <v>32534</v>
      </c>
      <c r="S8029" t="s">
        <v>32739</v>
      </c>
      <c r="T8029" t="s">
        <v>33227</v>
      </c>
      <c r="U8029" t="s">
        <v>40314</v>
      </c>
      <c r="W8029" t="s">
        <v>32111</v>
      </c>
      <c r="X8029" t="s">
        <v>32538</v>
      </c>
    </row>
    <row r="8030" spans="1:24">
      <c r="A8030">
        <f>HYPERLINK("https://www.philgeps.gov.ph/GEPSNONPILOT/Tender/SplashBidNoticeAbstractUI.aspx?menuIndex=3&amp;refID=7028844&amp;Result=3","7028844")</f>
        <v>0</v>
      </c>
      <c r="B8030" t="s">
        <v>2334</v>
      </c>
      <c r="C8030" t="s">
        <v>10346</v>
      </c>
      <c r="D8030" t="s">
        <v>13025</v>
      </c>
      <c r="E8030" t="s">
        <v>15039</v>
      </c>
      <c r="F8030" t="s">
        <v>22436</v>
      </c>
      <c r="G8030" t="s">
        <v>22444</v>
      </c>
      <c r="H8030" t="s">
        <v>22454</v>
      </c>
      <c r="I8030" t="s">
        <v>7738</v>
      </c>
      <c r="J8030" t="s">
        <v>22634</v>
      </c>
      <c r="K8030" t="s">
        <v>29344</v>
      </c>
      <c r="M8030" t="s">
        <v>32111</v>
      </c>
      <c r="N8030" t="s">
        <v>32524</v>
      </c>
      <c r="O8030" t="s">
        <v>32525</v>
      </c>
      <c r="P8030">
        <v>0</v>
      </c>
      <c r="Q8030">
        <v>0</v>
      </c>
      <c r="R8030" t="s">
        <v>32534</v>
      </c>
      <c r="S8030" t="s">
        <v>32739</v>
      </c>
      <c r="T8030" t="s">
        <v>33227</v>
      </c>
      <c r="U8030" t="s">
        <v>40315</v>
      </c>
      <c r="W8030" t="s">
        <v>32111</v>
      </c>
      <c r="X8030" t="s">
        <v>32538</v>
      </c>
    </row>
    <row r="8031" spans="1:24">
      <c r="A8031">
        <f>HYPERLINK("https://www.philgeps.gov.ph/GEPSNONPILOT/Tender/SplashBidNoticeAbstractUI.aspx?menuIndex=3&amp;refID=7028930&amp;Result=3","7028930")</f>
        <v>0</v>
      </c>
      <c r="B8031" t="s">
        <v>2298</v>
      </c>
      <c r="C8031" t="s">
        <v>10347</v>
      </c>
      <c r="D8031" t="s">
        <v>13002</v>
      </c>
      <c r="E8031" t="s">
        <v>19666</v>
      </c>
      <c r="F8031" t="s">
        <v>22436</v>
      </c>
      <c r="G8031" t="s">
        <v>22444</v>
      </c>
      <c r="H8031" t="s">
        <v>22454</v>
      </c>
      <c r="I8031" t="s">
        <v>7738</v>
      </c>
      <c r="J8031" t="s">
        <v>27476</v>
      </c>
      <c r="K8031" t="s">
        <v>29347</v>
      </c>
      <c r="M8031" t="s">
        <v>32070</v>
      </c>
      <c r="N8031" t="s">
        <v>32524</v>
      </c>
      <c r="O8031" t="s">
        <v>32525</v>
      </c>
      <c r="P8031">
        <v>0</v>
      </c>
      <c r="Q8031">
        <v>1</v>
      </c>
      <c r="R8031" t="s">
        <v>32534</v>
      </c>
      <c r="S8031" t="s">
        <v>32739</v>
      </c>
      <c r="T8031" t="s">
        <v>33423</v>
      </c>
      <c r="U8031" t="s">
        <v>40316</v>
      </c>
      <c r="W8031" t="s">
        <v>32070</v>
      </c>
      <c r="X8031" t="s">
        <v>32538</v>
      </c>
    </row>
    <row r="8032" spans="1:24">
      <c r="A8032">
        <f>HYPERLINK("https://www.philgeps.gov.ph/GEPSNONPILOT/Tender/SplashBidNoticeAbstractUI.aspx?menuIndex=3&amp;refID=7028991&amp;Result=3","7028991")</f>
        <v>0</v>
      </c>
      <c r="B8032" t="s">
        <v>2334</v>
      </c>
      <c r="C8032" t="s">
        <v>10348</v>
      </c>
      <c r="D8032" t="s">
        <v>13025</v>
      </c>
      <c r="E8032" t="s">
        <v>15037</v>
      </c>
      <c r="F8032" t="s">
        <v>22436</v>
      </c>
      <c r="G8032" t="s">
        <v>22444</v>
      </c>
      <c r="H8032" t="s">
        <v>22454</v>
      </c>
      <c r="I8032" t="s">
        <v>7738</v>
      </c>
      <c r="J8032" t="s">
        <v>22634</v>
      </c>
      <c r="K8032" t="s">
        <v>29344</v>
      </c>
      <c r="M8032" t="s">
        <v>32111</v>
      </c>
      <c r="N8032" t="s">
        <v>32524</v>
      </c>
      <c r="O8032" t="s">
        <v>32525</v>
      </c>
      <c r="P8032">
        <v>0</v>
      </c>
      <c r="Q8032">
        <v>0</v>
      </c>
      <c r="R8032" t="s">
        <v>32534</v>
      </c>
      <c r="S8032" t="s">
        <v>32739</v>
      </c>
      <c r="T8032" t="s">
        <v>33227</v>
      </c>
      <c r="U8032" t="s">
        <v>40317</v>
      </c>
      <c r="W8032" t="s">
        <v>32111</v>
      </c>
      <c r="X8032" t="s">
        <v>32538</v>
      </c>
    </row>
    <row r="8033" spans="1:24">
      <c r="A8033">
        <f>HYPERLINK("https://www.philgeps.gov.ph/GEPSNONPILOT/Tender/SplashBidNoticeAbstractUI.aspx?menuIndex=3&amp;refID=7028703&amp;Result=3","7028703")</f>
        <v>0</v>
      </c>
      <c r="B8033" t="s">
        <v>1002</v>
      </c>
      <c r="C8033" t="s">
        <v>10349</v>
      </c>
      <c r="D8033" t="s">
        <v>13058</v>
      </c>
      <c r="E8033" t="s">
        <v>20144</v>
      </c>
      <c r="F8033" t="s">
        <v>22436</v>
      </c>
      <c r="G8033" t="s">
        <v>22444</v>
      </c>
      <c r="H8033" t="s">
        <v>22454</v>
      </c>
      <c r="I8033" t="s">
        <v>7738</v>
      </c>
      <c r="J8033" t="s">
        <v>27755</v>
      </c>
      <c r="K8033" t="s">
        <v>29461</v>
      </c>
      <c r="M8033" t="s">
        <v>32113</v>
      </c>
      <c r="N8033" t="s">
        <v>32524</v>
      </c>
      <c r="O8033" t="s">
        <v>32525</v>
      </c>
      <c r="P8033">
        <v>0</v>
      </c>
      <c r="Q8033">
        <v>1</v>
      </c>
      <c r="R8033" t="s">
        <v>32534</v>
      </c>
      <c r="S8033" t="s">
        <v>32739</v>
      </c>
      <c r="T8033" t="s">
        <v>33234</v>
      </c>
      <c r="U8033" t="s">
        <v>40312</v>
      </c>
      <c r="W8033" t="s">
        <v>32113</v>
      </c>
      <c r="X8033" t="s">
        <v>32538</v>
      </c>
    </row>
    <row r="8034" spans="1:24">
      <c r="A8034">
        <f>HYPERLINK("https://www.philgeps.gov.ph/GEPSNONPILOT/Tender/SplashBidNoticeAbstractUI.aspx?menuIndex=3&amp;refID=7029040&amp;Result=3","7029040")</f>
        <v>0</v>
      </c>
      <c r="B8034" t="s">
        <v>2335</v>
      </c>
      <c r="C8034" t="s">
        <v>10350</v>
      </c>
      <c r="D8034" t="s">
        <v>12994</v>
      </c>
      <c r="E8034" t="s">
        <v>13137</v>
      </c>
      <c r="F8034" t="s">
        <v>22436</v>
      </c>
      <c r="G8034" t="s">
        <v>22444</v>
      </c>
      <c r="H8034" t="s">
        <v>22452</v>
      </c>
      <c r="I8034" t="s">
        <v>3529</v>
      </c>
      <c r="J8034" t="s">
        <v>27756</v>
      </c>
      <c r="K8034" t="s">
        <v>29335</v>
      </c>
      <c r="M8034" t="s">
        <v>32114</v>
      </c>
      <c r="N8034" t="s">
        <v>32524</v>
      </c>
      <c r="O8034" t="s">
        <v>32525</v>
      </c>
      <c r="P8034">
        <v>0</v>
      </c>
      <c r="Q8034">
        <v>0</v>
      </c>
      <c r="R8034" t="s">
        <v>32534</v>
      </c>
      <c r="S8034" t="s">
        <v>32739</v>
      </c>
      <c r="T8034" t="s">
        <v>33169</v>
      </c>
      <c r="U8034" t="s">
        <v>40318</v>
      </c>
      <c r="W8034" t="s">
        <v>32114</v>
      </c>
      <c r="X8034" t="s">
        <v>32538</v>
      </c>
    </row>
    <row r="8035" spans="1:24">
      <c r="A8035">
        <f>HYPERLINK("https://www.philgeps.gov.ph/GEPSNONPILOT/Tender/SplashBidNoticeAbstractUI.aspx?menuIndex=3&amp;refID=7028777&amp;Result=3","7028777")</f>
        <v>0</v>
      </c>
      <c r="B8035" t="s">
        <v>2298</v>
      </c>
      <c r="C8035" t="s">
        <v>10351</v>
      </c>
      <c r="D8035" t="s">
        <v>13002</v>
      </c>
      <c r="E8035" t="s">
        <v>20145</v>
      </c>
      <c r="F8035" t="s">
        <v>22436</v>
      </c>
      <c r="G8035" t="s">
        <v>22444</v>
      </c>
      <c r="H8035" t="s">
        <v>22454</v>
      </c>
      <c r="I8035" t="s">
        <v>7738</v>
      </c>
      <c r="J8035" t="s">
        <v>22893</v>
      </c>
      <c r="K8035" t="s">
        <v>29408</v>
      </c>
      <c r="M8035" t="s">
        <v>32070</v>
      </c>
      <c r="N8035" t="s">
        <v>32524</v>
      </c>
      <c r="O8035" t="s">
        <v>32525</v>
      </c>
      <c r="P8035">
        <v>0</v>
      </c>
      <c r="Q8035">
        <v>0</v>
      </c>
      <c r="R8035" t="s">
        <v>32534</v>
      </c>
      <c r="S8035" t="s">
        <v>32739</v>
      </c>
      <c r="T8035" t="s">
        <v>33323</v>
      </c>
      <c r="U8035" t="s">
        <v>40319</v>
      </c>
      <c r="W8035" t="s">
        <v>32070</v>
      </c>
      <c r="X8035" t="s">
        <v>32538</v>
      </c>
    </row>
    <row r="8036" spans="1:24">
      <c r="A8036">
        <f>HYPERLINK("https://www.philgeps.gov.ph/GEPSNONPILOT/Tender/SplashBidNoticeAbstractUI.aspx?menuIndex=3&amp;refID=7029267&amp;Result=3","7029267")</f>
        <v>0</v>
      </c>
      <c r="B8036" t="s">
        <v>2334</v>
      </c>
      <c r="C8036" t="s">
        <v>10352</v>
      </c>
      <c r="D8036" t="s">
        <v>13025</v>
      </c>
      <c r="E8036" t="s">
        <v>19298</v>
      </c>
      <c r="F8036" t="s">
        <v>22436</v>
      </c>
      <c r="G8036" t="s">
        <v>22444</v>
      </c>
      <c r="H8036" t="s">
        <v>22454</v>
      </c>
      <c r="I8036" t="s">
        <v>7738</v>
      </c>
      <c r="J8036" t="s">
        <v>22634</v>
      </c>
      <c r="K8036" t="s">
        <v>29344</v>
      </c>
      <c r="M8036" t="s">
        <v>32111</v>
      </c>
      <c r="N8036" t="s">
        <v>32524</v>
      </c>
      <c r="O8036" t="s">
        <v>32525</v>
      </c>
      <c r="P8036">
        <v>0</v>
      </c>
      <c r="Q8036">
        <v>0</v>
      </c>
      <c r="R8036" t="s">
        <v>32534</v>
      </c>
      <c r="S8036" t="s">
        <v>32739</v>
      </c>
      <c r="T8036" t="s">
        <v>33227</v>
      </c>
      <c r="U8036" t="s">
        <v>40320</v>
      </c>
      <c r="W8036" t="s">
        <v>32111</v>
      </c>
      <c r="X8036" t="s">
        <v>32538</v>
      </c>
    </row>
    <row r="8037" spans="1:24">
      <c r="A8037">
        <f>HYPERLINK("https://www.philgeps.gov.ph/GEPSNONPILOT/Tender/SplashBidNoticeAbstractUI.aspx?menuIndex=3&amp;refID=7029376&amp;Result=3","7029376")</f>
        <v>0</v>
      </c>
      <c r="B8037" t="s">
        <v>2298</v>
      </c>
      <c r="C8037" t="s">
        <v>10353</v>
      </c>
      <c r="D8037" t="s">
        <v>13002</v>
      </c>
      <c r="E8037" t="s">
        <v>20146</v>
      </c>
      <c r="F8037" t="s">
        <v>22436</v>
      </c>
      <c r="G8037" t="s">
        <v>22444</v>
      </c>
      <c r="H8037" t="s">
        <v>22454</v>
      </c>
      <c r="I8037" t="s">
        <v>7738</v>
      </c>
      <c r="J8037" t="s">
        <v>22877</v>
      </c>
      <c r="K8037" t="s">
        <v>29334</v>
      </c>
      <c r="M8037" t="s">
        <v>32070</v>
      </c>
      <c r="N8037" t="s">
        <v>32524</v>
      </c>
      <c r="O8037" t="s">
        <v>32525</v>
      </c>
      <c r="P8037">
        <v>0</v>
      </c>
      <c r="Q8037">
        <v>0</v>
      </c>
      <c r="R8037" t="s">
        <v>32534</v>
      </c>
      <c r="S8037" t="s">
        <v>32739</v>
      </c>
      <c r="T8037" t="s">
        <v>33423</v>
      </c>
      <c r="U8037" t="s">
        <v>40321</v>
      </c>
      <c r="W8037" t="s">
        <v>32070</v>
      </c>
      <c r="X8037" t="s">
        <v>32538</v>
      </c>
    </row>
    <row r="8038" spans="1:24">
      <c r="A8038">
        <f>HYPERLINK("https://www.philgeps.gov.ph/GEPSNONPILOT/Tender/SplashBidNoticeAbstractUI.aspx?menuIndex=3&amp;refID=7028958&amp;Result=3","7028958")</f>
        <v>0</v>
      </c>
      <c r="B8038" t="s">
        <v>1002</v>
      </c>
      <c r="C8038" t="s">
        <v>10354</v>
      </c>
      <c r="D8038" t="s">
        <v>13058</v>
      </c>
      <c r="E8038" t="s">
        <v>20147</v>
      </c>
      <c r="F8038" t="s">
        <v>22436</v>
      </c>
      <c r="G8038" t="s">
        <v>22444</v>
      </c>
      <c r="H8038" t="s">
        <v>22454</v>
      </c>
      <c r="I8038" t="s">
        <v>7738</v>
      </c>
      <c r="J8038" t="s">
        <v>24891</v>
      </c>
      <c r="K8038" t="s">
        <v>29393</v>
      </c>
      <c r="M8038" t="s">
        <v>32113</v>
      </c>
      <c r="N8038" t="s">
        <v>32524</v>
      </c>
      <c r="O8038" t="s">
        <v>32525</v>
      </c>
      <c r="P8038">
        <v>0</v>
      </c>
      <c r="Q8038">
        <v>2</v>
      </c>
      <c r="R8038" t="s">
        <v>32534</v>
      </c>
      <c r="S8038" t="s">
        <v>32739</v>
      </c>
      <c r="T8038" t="s">
        <v>33234</v>
      </c>
      <c r="U8038" t="s">
        <v>40312</v>
      </c>
      <c r="W8038" t="s">
        <v>32113</v>
      </c>
      <c r="X8038" t="s">
        <v>32538</v>
      </c>
    </row>
    <row r="8039" spans="1:24">
      <c r="A8039">
        <f>HYPERLINK("https://www.philgeps.gov.ph/GEPSNONPILOT/Tender/SplashBidNoticeAbstractUI.aspx?menuIndex=3&amp;refID=7029349&amp;Result=3","7029349")</f>
        <v>0</v>
      </c>
      <c r="B8039" t="s">
        <v>2336</v>
      </c>
      <c r="C8039" t="s">
        <v>10355</v>
      </c>
      <c r="D8039" t="s">
        <v>13003</v>
      </c>
      <c r="E8039" t="s">
        <v>20148</v>
      </c>
      <c r="F8039" t="s">
        <v>22436</v>
      </c>
      <c r="G8039" t="s">
        <v>22444</v>
      </c>
      <c r="H8039" t="s">
        <v>22454</v>
      </c>
      <c r="I8039" t="s">
        <v>7738</v>
      </c>
      <c r="J8039" t="s">
        <v>27757</v>
      </c>
      <c r="K8039" t="s">
        <v>29337</v>
      </c>
      <c r="M8039" t="s">
        <v>32115</v>
      </c>
      <c r="N8039" t="s">
        <v>32524</v>
      </c>
      <c r="O8039" t="s">
        <v>32525</v>
      </c>
      <c r="P8039">
        <v>0</v>
      </c>
      <c r="Q8039">
        <v>4</v>
      </c>
      <c r="R8039" t="s">
        <v>32534</v>
      </c>
      <c r="S8039" t="s">
        <v>32739</v>
      </c>
      <c r="T8039" t="s">
        <v>33169</v>
      </c>
      <c r="U8039" t="s">
        <v>40322</v>
      </c>
      <c r="V8039" t="s">
        <v>43316</v>
      </c>
      <c r="W8039" t="s">
        <v>32115</v>
      </c>
      <c r="X8039" t="s">
        <v>32538</v>
      </c>
    </row>
    <row r="8040" spans="1:24">
      <c r="A8040">
        <f>HYPERLINK("https://www.philgeps.gov.ph/GEPSNONPILOT/Tender/SplashBidNoticeAbstractUI.aspx?menuIndex=3&amp;refID=7029345&amp;Result=3","7029345")</f>
        <v>0</v>
      </c>
      <c r="B8040" t="s">
        <v>2334</v>
      </c>
      <c r="C8040" t="s">
        <v>10356</v>
      </c>
      <c r="D8040" t="s">
        <v>13025</v>
      </c>
      <c r="E8040" t="s">
        <v>13384</v>
      </c>
      <c r="F8040" t="s">
        <v>22436</v>
      </c>
      <c r="G8040" t="s">
        <v>22444</v>
      </c>
      <c r="H8040" t="s">
        <v>22454</v>
      </c>
      <c r="I8040" t="s">
        <v>7738</v>
      </c>
      <c r="J8040" t="s">
        <v>22587</v>
      </c>
      <c r="K8040" t="s">
        <v>29344</v>
      </c>
      <c r="M8040" t="s">
        <v>32111</v>
      </c>
      <c r="N8040" t="s">
        <v>32524</v>
      </c>
      <c r="O8040" t="s">
        <v>32525</v>
      </c>
      <c r="P8040">
        <v>0</v>
      </c>
      <c r="Q8040">
        <v>0</v>
      </c>
      <c r="R8040" t="s">
        <v>32534</v>
      </c>
      <c r="S8040" t="s">
        <v>32739</v>
      </c>
      <c r="T8040" t="s">
        <v>33227</v>
      </c>
      <c r="U8040" t="s">
        <v>40323</v>
      </c>
      <c r="W8040" t="s">
        <v>32111</v>
      </c>
      <c r="X8040" t="s">
        <v>32538</v>
      </c>
    </row>
    <row r="8041" spans="1:24">
      <c r="A8041">
        <f>HYPERLINK("https://www.philgeps.gov.ph/GEPSNONPILOT/Tender/SplashBidNoticeAbstractUI.aspx?menuIndex=3&amp;refID=7029597&amp;Result=3","7029597")</f>
        <v>0</v>
      </c>
      <c r="B8041" t="s">
        <v>1091</v>
      </c>
      <c r="C8041" t="s">
        <v>10357</v>
      </c>
      <c r="D8041" t="s">
        <v>13020</v>
      </c>
      <c r="E8041" t="s">
        <v>20149</v>
      </c>
      <c r="F8041" t="s">
        <v>22436</v>
      </c>
      <c r="G8041" t="s">
        <v>22444</v>
      </c>
      <c r="H8041" t="s">
        <v>22452</v>
      </c>
      <c r="I8041" t="s">
        <v>22492</v>
      </c>
      <c r="J8041" t="s">
        <v>27758</v>
      </c>
      <c r="K8041" t="s">
        <v>29335</v>
      </c>
      <c r="M8041" t="s">
        <v>30727</v>
      </c>
      <c r="N8041" t="s">
        <v>32524</v>
      </c>
      <c r="O8041" t="s">
        <v>32525</v>
      </c>
      <c r="P8041">
        <v>0</v>
      </c>
      <c r="Q8041">
        <v>5</v>
      </c>
      <c r="R8041" t="s">
        <v>32534</v>
      </c>
      <c r="S8041" t="s">
        <v>32739</v>
      </c>
      <c r="T8041" t="s">
        <v>33218</v>
      </c>
      <c r="U8041" t="s">
        <v>40324</v>
      </c>
      <c r="V8041" t="s">
        <v>43317</v>
      </c>
      <c r="W8041" t="s">
        <v>30727</v>
      </c>
      <c r="X8041" t="s">
        <v>32538</v>
      </c>
    </row>
    <row r="8042" spans="1:24">
      <c r="A8042">
        <f>HYPERLINK("https://www.philgeps.gov.ph/GEPSNONPILOT/Tender/SplashBidNoticeAbstractUI.aspx?menuIndex=3&amp;refID=7028993&amp;Result=3","7028993")</f>
        <v>0</v>
      </c>
      <c r="B8042" t="s">
        <v>2298</v>
      </c>
      <c r="C8042" t="s">
        <v>10358</v>
      </c>
      <c r="D8042" t="s">
        <v>13002</v>
      </c>
      <c r="E8042" t="s">
        <v>20150</v>
      </c>
      <c r="F8042" t="s">
        <v>22436</v>
      </c>
      <c r="G8042" t="s">
        <v>22444</v>
      </c>
      <c r="H8042" t="s">
        <v>22454</v>
      </c>
      <c r="I8042" t="s">
        <v>7738</v>
      </c>
      <c r="J8042" t="s">
        <v>27476</v>
      </c>
      <c r="K8042" t="s">
        <v>29347</v>
      </c>
      <c r="M8042" t="s">
        <v>32070</v>
      </c>
      <c r="N8042" t="s">
        <v>32524</v>
      </c>
      <c r="O8042" t="s">
        <v>32525</v>
      </c>
      <c r="P8042">
        <v>0</v>
      </c>
      <c r="Q8042">
        <v>0</v>
      </c>
      <c r="R8042" t="s">
        <v>32534</v>
      </c>
      <c r="S8042" t="s">
        <v>32739</v>
      </c>
      <c r="T8042" t="s">
        <v>33423</v>
      </c>
      <c r="U8042" t="s">
        <v>40325</v>
      </c>
      <c r="W8042" t="s">
        <v>32070</v>
      </c>
      <c r="X8042" t="s">
        <v>32538</v>
      </c>
    </row>
    <row r="8043" spans="1:24">
      <c r="A8043">
        <f>HYPERLINK("https://www.philgeps.gov.ph/GEPSNONPILOT/Tender/SplashBidNoticeAbstractUI.aspx?menuIndex=3&amp;refID=7030018&amp;Result=3","7030018")</f>
        <v>0</v>
      </c>
      <c r="B8043" t="s">
        <v>2337</v>
      </c>
      <c r="C8043" t="s">
        <v>10359</v>
      </c>
      <c r="D8043" t="s">
        <v>13006</v>
      </c>
      <c r="E8043" t="s">
        <v>13743</v>
      </c>
      <c r="F8043" t="s">
        <v>22436</v>
      </c>
      <c r="G8043" t="s">
        <v>22444</v>
      </c>
      <c r="H8043" t="s">
        <v>22452</v>
      </c>
      <c r="I8043" t="s">
        <v>3529</v>
      </c>
      <c r="J8043" t="s">
        <v>27759</v>
      </c>
      <c r="K8043" t="s">
        <v>29341</v>
      </c>
      <c r="M8043" t="s">
        <v>32116</v>
      </c>
      <c r="N8043" t="s">
        <v>32524</v>
      </c>
      <c r="O8043" t="s">
        <v>32525</v>
      </c>
      <c r="P8043">
        <v>0</v>
      </c>
      <c r="Q8043">
        <v>1</v>
      </c>
      <c r="R8043" t="s">
        <v>32534</v>
      </c>
      <c r="S8043" t="s">
        <v>32739</v>
      </c>
      <c r="T8043" t="s">
        <v>33230</v>
      </c>
      <c r="U8043" t="s">
        <v>40326</v>
      </c>
      <c r="W8043" t="s">
        <v>32116</v>
      </c>
      <c r="X8043" t="s">
        <v>32537</v>
      </c>
    </row>
    <row r="8044" spans="1:24">
      <c r="A8044">
        <f>HYPERLINK("https://www.philgeps.gov.ph/GEPSNONPILOT/Tender/SplashBidNoticeAbstractUI.aspx?menuIndex=3&amp;refID=7030009&amp;Result=3","7030009")</f>
        <v>0</v>
      </c>
      <c r="B8044" t="s">
        <v>1974</v>
      </c>
      <c r="C8044" t="s">
        <v>10360</v>
      </c>
      <c r="D8044" t="s">
        <v>13039</v>
      </c>
      <c r="E8044" t="s">
        <v>20151</v>
      </c>
      <c r="F8044" t="s">
        <v>22436</v>
      </c>
      <c r="G8044" t="s">
        <v>22444</v>
      </c>
      <c r="H8044" t="s">
        <v>22454</v>
      </c>
      <c r="I8044" t="s">
        <v>7738</v>
      </c>
      <c r="J8044" t="s">
        <v>27760</v>
      </c>
      <c r="K8044" t="s">
        <v>29338</v>
      </c>
      <c r="M8044" t="s">
        <v>31706</v>
      </c>
      <c r="N8044" t="s">
        <v>32524</v>
      </c>
      <c r="O8044" t="s">
        <v>32525</v>
      </c>
      <c r="P8044">
        <v>0</v>
      </c>
      <c r="Q8044">
        <v>0</v>
      </c>
      <c r="R8044" t="s">
        <v>32534</v>
      </c>
      <c r="S8044" t="s">
        <v>32739</v>
      </c>
      <c r="T8044" t="s">
        <v>33230</v>
      </c>
      <c r="U8044" t="s">
        <v>40327</v>
      </c>
      <c r="W8044" t="s">
        <v>31706</v>
      </c>
      <c r="X8044" t="s">
        <v>32537</v>
      </c>
    </row>
    <row r="8045" spans="1:24">
      <c r="A8045">
        <f>HYPERLINK("https://www.philgeps.gov.ph/GEPSNONPILOT/Tender/SplashBidNoticeAbstractUI.aspx?menuIndex=3&amp;refID=7029311&amp;Result=3","7029311")</f>
        <v>0</v>
      </c>
      <c r="B8045" t="s">
        <v>2334</v>
      </c>
      <c r="C8045" t="s">
        <v>10361</v>
      </c>
      <c r="D8045" t="s">
        <v>13025</v>
      </c>
      <c r="E8045" t="s">
        <v>20152</v>
      </c>
      <c r="F8045" t="s">
        <v>22436</v>
      </c>
      <c r="G8045" t="s">
        <v>22444</v>
      </c>
      <c r="H8045" t="s">
        <v>22454</v>
      </c>
      <c r="I8045" t="s">
        <v>7738</v>
      </c>
      <c r="J8045" t="s">
        <v>27761</v>
      </c>
      <c r="K8045" t="s">
        <v>29344</v>
      </c>
      <c r="M8045" t="s">
        <v>32111</v>
      </c>
      <c r="N8045" t="s">
        <v>32524</v>
      </c>
      <c r="O8045" t="s">
        <v>32525</v>
      </c>
      <c r="P8045">
        <v>0</v>
      </c>
      <c r="Q8045">
        <v>0</v>
      </c>
      <c r="R8045" t="s">
        <v>32534</v>
      </c>
      <c r="S8045" t="s">
        <v>32739</v>
      </c>
      <c r="T8045" t="s">
        <v>33227</v>
      </c>
      <c r="U8045" t="s">
        <v>40328</v>
      </c>
      <c r="W8045" t="s">
        <v>32111</v>
      </c>
      <c r="X8045" t="s">
        <v>32538</v>
      </c>
    </row>
    <row r="8046" spans="1:24">
      <c r="A8046">
        <f>HYPERLINK("https://www.philgeps.gov.ph/GEPSNONPILOT/Tender/SplashBidNoticeAbstractUI.aspx?menuIndex=3&amp;refID=7030007&amp;Result=3","7030007")</f>
        <v>0</v>
      </c>
      <c r="B8046" t="s">
        <v>2338</v>
      </c>
      <c r="C8046" t="s">
        <v>10362</v>
      </c>
      <c r="D8046" t="s">
        <v>12994</v>
      </c>
      <c r="E8046" t="s">
        <v>14018</v>
      </c>
      <c r="F8046" t="s">
        <v>22436</v>
      </c>
      <c r="G8046" t="s">
        <v>22444</v>
      </c>
      <c r="H8046" t="s">
        <v>22454</v>
      </c>
      <c r="I8046" t="s">
        <v>7738</v>
      </c>
      <c r="J8046" t="s">
        <v>27762</v>
      </c>
      <c r="K8046" t="s">
        <v>29344</v>
      </c>
      <c r="M8046" t="s">
        <v>32117</v>
      </c>
      <c r="N8046" t="s">
        <v>32524</v>
      </c>
      <c r="O8046" t="s">
        <v>32525</v>
      </c>
      <c r="P8046">
        <v>0</v>
      </c>
      <c r="Q8046">
        <v>29</v>
      </c>
      <c r="R8046" t="s">
        <v>32534</v>
      </c>
      <c r="S8046" t="s">
        <v>32739</v>
      </c>
      <c r="T8046" t="s">
        <v>33524</v>
      </c>
      <c r="U8046" t="s">
        <v>40329</v>
      </c>
      <c r="W8046" t="s">
        <v>32117</v>
      </c>
      <c r="X8046" t="s">
        <v>32537</v>
      </c>
    </row>
    <row r="8047" spans="1:24">
      <c r="A8047">
        <f>HYPERLINK("https://www.philgeps.gov.ph/GEPSNONPILOT/Tender/SplashBidNoticeAbstractUI.aspx?menuIndex=3&amp;refID=7029939&amp;Result=3","7029939")</f>
        <v>0</v>
      </c>
      <c r="B8047" t="s">
        <v>685</v>
      </c>
      <c r="C8047" t="s">
        <v>10363</v>
      </c>
      <c r="D8047" t="s">
        <v>13045</v>
      </c>
      <c r="E8047" t="s">
        <v>20153</v>
      </c>
      <c r="F8047" t="s">
        <v>22436</v>
      </c>
      <c r="G8047" t="s">
        <v>22444</v>
      </c>
      <c r="H8047" t="s">
        <v>22452</v>
      </c>
      <c r="I8047" t="s">
        <v>6421</v>
      </c>
      <c r="J8047" t="s">
        <v>27763</v>
      </c>
      <c r="K8047" t="s">
        <v>29335</v>
      </c>
      <c r="M8047" t="s">
        <v>30279</v>
      </c>
      <c r="N8047" t="s">
        <v>32524</v>
      </c>
      <c r="O8047" t="s">
        <v>32525</v>
      </c>
      <c r="P8047">
        <v>0</v>
      </c>
      <c r="Q8047">
        <v>4</v>
      </c>
      <c r="R8047" t="s">
        <v>32534</v>
      </c>
      <c r="S8047" t="s">
        <v>32739</v>
      </c>
      <c r="T8047" t="s">
        <v>33234</v>
      </c>
      <c r="U8047" t="s">
        <v>40330</v>
      </c>
      <c r="V8047" t="s">
        <v>42581</v>
      </c>
      <c r="W8047" t="s">
        <v>30279</v>
      </c>
      <c r="X8047" t="s">
        <v>32537</v>
      </c>
    </row>
    <row r="8048" spans="1:24">
      <c r="A8048">
        <f>HYPERLINK("https://www.philgeps.gov.ph/GEPSNONPILOT/Tender/SplashBidNoticeAbstractUI.aspx?menuIndex=3&amp;refID=7029865&amp;Result=3","7029865")</f>
        <v>0</v>
      </c>
      <c r="B8048" t="s">
        <v>1110</v>
      </c>
      <c r="C8048" t="s">
        <v>10364</v>
      </c>
      <c r="D8048" t="s">
        <v>13039</v>
      </c>
      <c r="E8048" t="s">
        <v>20154</v>
      </c>
      <c r="F8048" t="s">
        <v>22436</v>
      </c>
      <c r="G8048" t="s">
        <v>22444</v>
      </c>
      <c r="H8048" t="s">
        <v>22454</v>
      </c>
      <c r="I8048" t="s">
        <v>7738</v>
      </c>
      <c r="J8048" t="s">
        <v>27764</v>
      </c>
      <c r="K8048" t="s">
        <v>29345</v>
      </c>
      <c r="M8048" t="s">
        <v>30746</v>
      </c>
      <c r="N8048" t="s">
        <v>32524</v>
      </c>
      <c r="O8048" t="s">
        <v>32525</v>
      </c>
      <c r="P8048">
        <v>0</v>
      </c>
      <c r="Q8048">
        <v>4</v>
      </c>
      <c r="R8048" t="s">
        <v>32534</v>
      </c>
      <c r="S8048" t="s">
        <v>32739</v>
      </c>
      <c r="T8048" t="s">
        <v>33234</v>
      </c>
      <c r="U8048" t="s">
        <v>40331</v>
      </c>
      <c r="V8048" t="s">
        <v>43318</v>
      </c>
      <c r="W8048" t="s">
        <v>30746</v>
      </c>
      <c r="X8048" t="s">
        <v>32537</v>
      </c>
    </row>
    <row r="8049" spans="1:24">
      <c r="A8049">
        <f>HYPERLINK("https://www.philgeps.gov.ph/GEPSNONPILOT/Tender/SplashBidNoticeAbstractUI.aspx?menuIndex=3&amp;refID=7029901&amp;Result=3","7029901")</f>
        <v>0</v>
      </c>
      <c r="B8049" t="s">
        <v>685</v>
      </c>
      <c r="C8049" t="s">
        <v>10365</v>
      </c>
      <c r="D8049" t="s">
        <v>13045</v>
      </c>
      <c r="E8049" t="s">
        <v>20155</v>
      </c>
      <c r="F8049" t="s">
        <v>22436</v>
      </c>
      <c r="G8049" t="s">
        <v>22444</v>
      </c>
      <c r="H8049" t="s">
        <v>22452</v>
      </c>
      <c r="I8049" t="s">
        <v>3529</v>
      </c>
      <c r="J8049" t="s">
        <v>27765</v>
      </c>
      <c r="K8049" t="s">
        <v>29335</v>
      </c>
      <c r="M8049" t="s">
        <v>30279</v>
      </c>
      <c r="N8049" t="s">
        <v>32524</v>
      </c>
      <c r="O8049" t="s">
        <v>32525</v>
      </c>
      <c r="P8049">
        <v>0</v>
      </c>
      <c r="Q8049">
        <v>4</v>
      </c>
      <c r="R8049" t="s">
        <v>32534</v>
      </c>
      <c r="S8049" t="s">
        <v>32739</v>
      </c>
      <c r="T8049" t="s">
        <v>33234</v>
      </c>
      <c r="U8049" t="s">
        <v>40332</v>
      </c>
      <c r="V8049" t="s">
        <v>42581</v>
      </c>
      <c r="W8049" t="s">
        <v>30279</v>
      </c>
      <c r="X8049" t="s">
        <v>32537</v>
      </c>
    </row>
    <row r="8050" spans="1:24">
      <c r="A8050">
        <f>HYPERLINK("https://www.philgeps.gov.ph/GEPSNONPILOT/Tender/SplashBidNoticeAbstractUI.aspx?menuIndex=3&amp;refID=7030080&amp;Result=3","7030080")</f>
        <v>0</v>
      </c>
      <c r="B8050" t="s">
        <v>2337</v>
      </c>
      <c r="C8050" t="s">
        <v>4300</v>
      </c>
      <c r="D8050" t="s">
        <v>13006</v>
      </c>
      <c r="E8050" t="s">
        <v>13278</v>
      </c>
      <c r="F8050" t="s">
        <v>22436</v>
      </c>
      <c r="G8050" t="s">
        <v>22444</v>
      </c>
      <c r="H8050" t="s">
        <v>22452</v>
      </c>
      <c r="I8050" t="s">
        <v>3529</v>
      </c>
      <c r="J8050" t="s">
        <v>27766</v>
      </c>
      <c r="K8050" t="s">
        <v>29341</v>
      </c>
      <c r="M8050" t="s">
        <v>32116</v>
      </c>
      <c r="N8050" t="s">
        <v>32524</v>
      </c>
      <c r="O8050" t="s">
        <v>32525</v>
      </c>
      <c r="P8050">
        <v>0</v>
      </c>
      <c r="Q8050">
        <v>1</v>
      </c>
      <c r="R8050" t="s">
        <v>32534</v>
      </c>
      <c r="S8050" t="s">
        <v>32739</v>
      </c>
      <c r="T8050" t="s">
        <v>33249</v>
      </c>
      <c r="U8050" t="s">
        <v>40333</v>
      </c>
      <c r="W8050" t="s">
        <v>32116</v>
      </c>
      <c r="X8050" t="s">
        <v>32537</v>
      </c>
    </row>
    <row r="8051" spans="1:24">
      <c r="A8051">
        <f>HYPERLINK("https://www.philgeps.gov.ph/GEPSNONPILOT/Tender/SplashBidNoticeAbstractUI.aspx?menuIndex=3&amp;refID=7029852&amp;Result=3","7029852")</f>
        <v>0</v>
      </c>
      <c r="B8051" t="s">
        <v>2339</v>
      </c>
      <c r="C8051" t="s">
        <v>10366</v>
      </c>
      <c r="D8051" t="s">
        <v>13035</v>
      </c>
      <c r="E8051" t="s">
        <v>20156</v>
      </c>
      <c r="F8051" t="s">
        <v>22436</v>
      </c>
      <c r="G8051" t="s">
        <v>22446</v>
      </c>
      <c r="H8051" t="s">
        <v>22452</v>
      </c>
      <c r="I8051" t="s">
        <v>22498</v>
      </c>
      <c r="J8051" t="s">
        <v>22605</v>
      </c>
      <c r="K8051" t="s">
        <v>29335</v>
      </c>
      <c r="M8051" t="s">
        <v>32118</v>
      </c>
      <c r="N8051" t="s">
        <v>32524</v>
      </c>
      <c r="O8051" t="s">
        <v>32525</v>
      </c>
      <c r="P8051">
        <v>0</v>
      </c>
      <c r="Q8051">
        <v>1</v>
      </c>
      <c r="R8051" t="s">
        <v>32534</v>
      </c>
      <c r="S8051" t="s">
        <v>32739</v>
      </c>
      <c r="T8051" t="s">
        <v>33194</v>
      </c>
      <c r="U8051" t="s">
        <v>40334</v>
      </c>
      <c r="W8051" t="s">
        <v>32118</v>
      </c>
      <c r="X8051" t="s">
        <v>32537</v>
      </c>
    </row>
    <row r="8052" spans="1:24">
      <c r="A8052">
        <f>HYPERLINK("https://www.philgeps.gov.ph/GEPSNONPILOT/Tender/SplashBidNoticeAbstractUI.aspx?menuIndex=3&amp;refID=7029825&amp;Result=3","7029825")</f>
        <v>0</v>
      </c>
      <c r="B8052" t="s">
        <v>2340</v>
      </c>
      <c r="C8052" t="s">
        <v>10367</v>
      </c>
      <c r="D8052" t="s">
        <v>13012</v>
      </c>
      <c r="E8052" t="s">
        <v>19827</v>
      </c>
      <c r="F8052" t="s">
        <v>22436</v>
      </c>
      <c r="G8052" t="s">
        <v>22444</v>
      </c>
      <c r="H8052" t="s">
        <v>22452</v>
      </c>
      <c r="I8052" t="s">
        <v>3529</v>
      </c>
      <c r="J8052" t="s">
        <v>27767</v>
      </c>
      <c r="K8052" t="s">
        <v>29331</v>
      </c>
      <c r="M8052" t="s">
        <v>29679</v>
      </c>
      <c r="N8052" t="s">
        <v>32524</v>
      </c>
      <c r="O8052" t="s">
        <v>32525</v>
      </c>
      <c r="P8052">
        <v>0</v>
      </c>
      <c r="Q8052">
        <v>0</v>
      </c>
      <c r="R8052" t="s">
        <v>32534</v>
      </c>
      <c r="S8052" t="s">
        <v>32739</v>
      </c>
      <c r="T8052" t="s">
        <v>33320</v>
      </c>
      <c r="U8052" t="s">
        <v>40335</v>
      </c>
      <c r="W8052" t="s">
        <v>29679</v>
      </c>
      <c r="X8052" t="s">
        <v>32537</v>
      </c>
    </row>
    <row r="8053" spans="1:24">
      <c r="A8053">
        <f>HYPERLINK("https://www.philgeps.gov.ph/GEPSNONPILOT/Tender/SplashBidNoticeAbstractUI.aspx?menuIndex=3&amp;refID=7030118&amp;Result=3","7030118")</f>
        <v>0</v>
      </c>
      <c r="B8053" t="s">
        <v>2341</v>
      </c>
      <c r="C8053" t="s">
        <v>10368</v>
      </c>
      <c r="D8053" t="s">
        <v>13059</v>
      </c>
      <c r="E8053" t="s">
        <v>20157</v>
      </c>
      <c r="F8053" t="s">
        <v>22436</v>
      </c>
      <c r="G8053" t="s">
        <v>22446</v>
      </c>
      <c r="H8053" t="s">
        <v>22452</v>
      </c>
      <c r="I8053" t="s">
        <v>22486</v>
      </c>
      <c r="J8053" t="s">
        <v>27768</v>
      </c>
      <c r="K8053" t="s">
        <v>29336</v>
      </c>
      <c r="M8053" t="s">
        <v>32119</v>
      </c>
      <c r="N8053" t="s">
        <v>32524</v>
      </c>
      <c r="O8053" t="s">
        <v>32525</v>
      </c>
      <c r="P8053">
        <v>0</v>
      </c>
      <c r="Q8053">
        <v>1</v>
      </c>
      <c r="R8053" t="s">
        <v>32534</v>
      </c>
      <c r="S8053" t="s">
        <v>32739</v>
      </c>
      <c r="T8053" t="s">
        <v>33238</v>
      </c>
      <c r="U8053" t="s">
        <v>40336</v>
      </c>
      <c r="V8053" t="s">
        <v>43319</v>
      </c>
      <c r="W8053" t="s">
        <v>32119</v>
      </c>
      <c r="X8053" t="s">
        <v>32537</v>
      </c>
    </row>
    <row r="8054" spans="1:24">
      <c r="A8054">
        <f>HYPERLINK("https://www.philgeps.gov.ph/GEPSNONPILOT/Tender/SplashBidNoticeAbstractUI.aspx?menuIndex=3&amp;refID=7029881&amp;Result=3","7029881")</f>
        <v>0</v>
      </c>
      <c r="B8054" t="s">
        <v>2342</v>
      </c>
      <c r="C8054" t="s">
        <v>10369</v>
      </c>
      <c r="D8054" t="s">
        <v>13037</v>
      </c>
      <c r="E8054" t="s">
        <v>20158</v>
      </c>
      <c r="F8054" t="s">
        <v>22436</v>
      </c>
      <c r="G8054" t="s">
        <v>22444</v>
      </c>
      <c r="H8054" t="s">
        <v>22454</v>
      </c>
      <c r="I8054" t="s">
        <v>7738</v>
      </c>
      <c r="J8054" t="s">
        <v>22877</v>
      </c>
      <c r="K8054" t="s">
        <v>29530</v>
      </c>
      <c r="M8054" t="s">
        <v>32120</v>
      </c>
      <c r="N8054" t="s">
        <v>32524</v>
      </c>
      <c r="O8054" t="s">
        <v>32525</v>
      </c>
      <c r="P8054">
        <v>0</v>
      </c>
      <c r="Q8054">
        <v>0</v>
      </c>
      <c r="R8054" t="s">
        <v>32534</v>
      </c>
      <c r="S8054" t="s">
        <v>32739</v>
      </c>
      <c r="T8054" t="s">
        <v>33242</v>
      </c>
      <c r="U8054" t="s">
        <v>40337</v>
      </c>
      <c r="W8054" t="s">
        <v>32120</v>
      </c>
      <c r="X8054" t="s">
        <v>32537</v>
      </c>
    </row>
    <row r="8055" spans="1:24">
      <c r="A8055">
        <f>HYPERLINK("https://www.philgeps.gov.ph/GEPSNONPILOT/Tender/SplashBidNoticeAbstractUI.aspx?menuIndex=3&amp;refID=7030155&amp;Result=3","7030155")</f>
        <v>0</v>
      </c>
      <c r="B8055" t="s">
        <v>685</v>
      </c>
      <c r="C8055" t="s">
        <v>10370</v>
      </c>
      <c r="D8055" t="s">
        <v>13045</v>
      </c>
      <c r="E8055" t="s">
        <v>20159</v>
      </c>
      <c r="F8055" t="s">
        <v>22436</v>
      </c>
      <c r="G8055" t="s">
        <v>22444</v>
      </c>
      <c r="H8055" t="s">
        <v>22454</v>
      </c>
      <c r="I8055" t="s">
        <v>7738</v>
      </c>
      <c r="J8055" t="s">
        <v>27769</v>
      </c>
      <c r="K8055" t="s">
        <v>29329</v>
      </c>
      <c r="M8055" t="s">
        <v>30279</v>
      </c>
      <c r="N8055" t="s">
        <v>32524</v>
      </c>
      <c r="O8055" t="s">
        <v>32525</v>
      </c>
      <c r="P8055">
        <v>0</v>
      </c>
      <c r="Q8055">
        <v>1</v>
      </c>
      <c r="R8055" t="s">
        <v>32534</v>
      </c>
      <c r="S8055" t="s">
        <v>32739</v>
      </c>
      <c r="T8055" t="s">
        <v>33345</v>
      </c>
      <c r="U8055" t="s">
        <v>40338</v>
      </c>
      <c r="V8055" t="s">
        <v>42581</v>
      </c>
      <c r="W8055" t="s">
        <v>30279</v>
      </c>
      <c r="X8055" t="s">
        <v>32537</v>
      </c>
    </row>
    <row r="8056" spans="1:24">
      <c r="A8056">
        <f>HYPERLINK("https://www.philgeps.gov.ph/GEPSNONPILOT/Tender/SplashBidNoticeAbstractUI.aspx?menuIndex=3&amp;refID=7029856&amp;Result=3","7029856")</f>
        <v>0</v>
      </c>
      <c r="B8056" t="s">
        <v>1110</v>
      </c>
      <c r="C8056" t="s">
        <v>10371</v>
      </c>
      <c r="D8056" t="s">
        <v>13039</v>
      </c>
      <c r="E8056" t="s">
        <v>20160</v>
      </c>
      <c r="F8056" t="s">
        <v>22436</v>
      </c>
      <c r="G8056" t="s">
        <v>22444</v>
      </c>
      <c r="H8056" t="s">
        <v>22454</v>
      </c>
      <c r="I8056" t="s">
        <v>7738</v>
      </c>
      <c r="J8056" t="s">
        <v>27770</v>
      </c>
      <c r="K8056" t="s">
        <v>29493</v>
      </c>
      <c r="M8056" t="s">
        <v>30746</v>
      </c>
      <c r="N8056" t="s">
        <v>32524</v>
      </c>
      <c r="O8056" t="s">
        <v>32525</v>
      </c>
      <c r="P8056">
        <v>0</v>
      </c>
      <c r="Q8056">
        <v>4</v>
      </c>
      <c r="R8056" t="s">
        <v>32534</v>
      </c>
      <c r="S8056" t="s">
        <v>32739</v>
      </c>
      <c r="T8056" t="s">
        <v>33234</v>
      </c>
      <c r="U8056" t="s">
        <v>40339</v>
      </c>
      <c r="V8056" t="s">
        <v>43318</v>
      </c>
      <c r="W8056" t="s">
        <v>30746</v>
      </c>
      <c r="X8056" t="s">
        <v>32537</v>
      </c>
    </row>
    <row r="8057" spans="1:24">
      <c r="A8057">
        <f>HYPERLINK("https://www.philgeps.gov.ph/GEPSNONPILOT/Tender/SplashBidNoticeAbstractUI.aspx?menuIndex=3&amp;refID=7030358&amp;Result=3","7030358")</f>
        <v>0</v>
      </c>
      <c r="B8057" t="s">
        <v>110</v>
      </c>
      <c r="C8057" t="s">
        <v>10372</v>
      </c>
      <c r="D8057" t="s">
        <v>13028</v>
      </c>
      <c r="E8057" t="s">
        <v>20161</v>
      </c>
      <c r="F8057" t="s">
        <v>22436</v>
      </c>
      <c r="G8057" t="s">
        <v>22444</v>
      </c>
      <c r="H8057" t="s">
        <v>22454</v>
      </c>
      <c r="I8057" t="s">
        <v>7738</v>
      </c>
      <c r="J8057" t="s">
        <v>27771</v>
      </c>
      <c r="K8057" t="s">
        <v>29329</v>
      </c>
      <c r="M8057" t="s">
        <v>29682</v>
      </c>
      <c r="N8057" t="s">
        <v>32524</v>
      </c>
      <c r="O8057" t="s">
        <v>32525</v>
      </c>
      <c r="P8057">
        <v>0</v>
      </c>
      <c r="Q8057">
        <v>0</v>
      </c>
      <c r="R8057" t="s">
        <v>32534</v>
      </c>
      <c r="S8057" t="s">
        <v>32739</v>
      </c>
      <c r="T8057" t="s">
        <v>33218</v>
      </c>
      <c r="U8057" t="s">
        <v>40340</v>
      </c>
      <c r="W8057" t="s">
        <v>29682</v>
      </c>
      <c r="X8057" t="s">
        <v>32537</v>
      </c>
    </row>
    <row r="8058" spans="1:24">
      <c r="A8058">
        <f>HYPERLINK("https://www.philgeps.gov.ph/GEPSNONPILOT/Tender/SplashBidNoticeAbstractUI.aspx?menuIndex=3&amp;refID=7030120&amp;Result=3","7030120")</f>
        <v>0</v>
      </c>
      <c r="B8058" t="s">
        <v>2343</v>
      </c>
      <c r="C8058" t="s">
        <v>10373</v>
      </c>
      <c r="D8058" t="s">
        <v>13043</v>
      </c>
      <c r="E8058" t="s">
        <v>20162</v>
      </c>
      <c r="F8058" t="s">
        <v>22436</v>
      </c>
      <c r="G8058" t="s">
        <v>22444</v>
      </c>
      <c r="H8058" t="s">
        <v>22452</v>
      </c>
      <c r="I8058" t="s">
        <v>22496</v>
      </c>
      <c r="J8058" t="s">
        <v>23207</v>
      </c>
      <c r="K8058" t="s">
        <v>29335</v>
      </c>
      <c r="M8058" t="s">
        <v>32121</v>
      </c>
      <c r="N8058" t="s">
        <v>32524</v>
      </c>
      <c r="O8058" t="s">
        <v>32525</v>
      </c>
      <c r="P8058">
        <v>0</v>
      </c>
      <c r="Q8058">
        <v>0</v>
      </c>
      <c r="R8058" t="s">
        <v>32534</v>
      </c>
      <c r="S8058" t="s">
        <v>32739</v>
      </c>
      <c r="T8058" t="s">
        <v>33249</v>
      </c>
      <c r="U8058" t="s">
        <v>40341</v>
      </c>
      <c r="W8058" t="s">
        <v>32121</v>
      </c>
      <c r="X8058" t="s">
        <v>32537</v>
      </c>
    </row>
    <row r="8059" spans="1:24">
      <c r="A8059">
        <f>HYPERLINK("https://www.philgeps.gov.ph/GEPSNONPILOT/Tender/SplashBidNoticeAbstractUI.aspx?menuIndex=3&amp;refID=7030212&amp;Result=3","7030212")</f>
        <v>0</v>
      </c>
      <c r="B8059" t="s">
        <v>1517</v>
      </c>
      <c r="C8059" t="s">
        <v>10374</v>
      </c>
      <c r="E8059" t="s">
        <v>20163</v>
      </c>
      <c r="F8059" t="s">
        <v>22436</v>
      </c>
      <c r="G8059" t="s">
        <v>22443</v>
      </c>
      <c r="H8059" t="s">
        <v>22452</v>
      </c>
      <c r="I8059" t="s">
        <v>22492</v>
      </c>
      <c r="J8059" t="s">
        <v>22605</v>
      </c>
      <c r="K8059" t="s">
        <v>29335</v>
      </c>
      <c r="M8059" t="s">
        <v>31192</v>
      </c>
      <c r="N8059" t="s">
        <v>32524</v>
      </c>
      <c r="O8059" t="s">
        <v>32525</v>
      </c>
      <c r="Q8059">
        <v>1</v>
      </c>
      <c r="R8059" t="s">
        <v>32534</v>
      </c>
      <c r="S8059" t="s">
        <v>32755</v>
      </c>
      <c r="T8059" t="s">
        <v>33181</v>
      </c>
      <c r="U8059" t="s">
        <v>40342</v>
      </c>
      <c r="W8059" t="s">
        <v>31192</v>
      </c>
      <c r="X8059" t="s">
        <v>32537</v>
      </c>
    </row>
    <row r="8060" spans="1:24">
      <c r="A8060">
        <f>HYPERLINK("https://www.philgeps.gov.ph/GEPSNONPILOT/Tender/SplashBidNoticeAbstractUI.aspx?menuIndex=3&amp;refID=7030151&amp;Result=3","7030151")</f>
        <v>0</v>
      </c>
      <c r="B8060" t="s">
        <v>2341</v>
      </c>
      <c r="C8060" t="s">
        <v>10375</v>
      </c>
      <c r="D8060" t="s">
        <v>13059</v>
      </c>
      <c r="E8060" t="s">
        <v>20164</v>
      </c>
      <c r="F8060" t="s">
        <v>22436</v>
      </c>
      <c r="G8060" t="s">
        <v>22446</v>
      </c>
      <c r="H8060" t="s">
        <v>22452</v>
      </c>
      <c r="I8060" t="s">
        <v>22464</v>
      </c>
      <c r="J8060" t="s">
        <v>27772</v>
      </c>
      <c r="K8060" t="s">
        <v>29336</v>
      </c>
      <c r="M8060" t="s">
        <v>32119</v>
      </c>
      <c r="N8060" t="s">
        <v>32524</v>
      </c>
      <c r="O8060" t="s">
        <v>32525</v>
      </c>
      <c r="P8060">
        <v>0</v>
      </c>
      <c r="Q8060">
        <v>6</v>
      </c>
      <c r="R8060" t="s">
        <v>32534</v>
      </c>
      <c r="S8060" t="s">
        <v>32739</v>
      </c>
      <c r="T8060" t="s">
        <v>33238</v>
      </c>
      <c r="U8060" t="s">
        <v>40336</v>
      </c>
      <c r="V8060" t="s">
        <v>43319</v>
      </c>
      <c r="W8060" t="s">
        <v>32119</v>
      </c>
      <c r="X8060" t="s">
        <v>32537</v>
      </c>
    </row>
    <row r="8061" spans="1:24">
      <c r="A8061">
        <f>HYPERLINK("https://www.philgeps.gov.ph/GEPSNONPILOT/Tender/SplashBidNoticeAbstractUI.aspx?menuIndex=3&amp;refID=7030297&amp;Result=3","7030297")</f>
        <v>0</v>
      </c>
      <c r="B8061" t="s">
        <v>110</v>
      </c>
      <c r="C8061" t="s">
        <v>10376</v>
      </c>
      <c r="D8061" t="s">
        <v>13028</v>
      </c>
      <c r="E8061" t="s">
        <v>20165</v>
      </c>
      <c r="F8061" t="s">
        <v>22436</v>
      </c>
      <c r="G8061" t="s">
        <v>22444</v>
      </c>
      <c r="H8061" t="s">
        <v>22454</v>
      </c>
      <c r="I8061" t="s">
        <v>6387</v>
      </c>
      <c r="J8061" t="s">
        <v>27773</v>
      </c>
      <c r="K8061" t="s">
        <v>29334</v>
      </c>
      <c r="M8061" t="s">
        <v>29682</v>
      </c>
      <c r="N8061" t="s">
        <v>32524</v>
      </c>
      <c r="O8061" t="s">
        <v>32525</v>
      </c>
      <c r="P8061">
        <v>0</v>
      </c>
      <c r="Q8061">
        <v>0</v>
      </c>
      <c r="R8061" t="s">
        <v>32534</v>
      </c>
      <c r="S8061" t="s">
        <v>32739</v>
      </c>
      <c r="T8061" t="s">
        <v>33218</v>
      </c>
      <c r="U8061" t="s">
        <v>40343</v>
      </c>
      <c r="W8061" t="s">
        <v>29682</v>
      </c>
      <c r="X8061" t="s">
        <v>32537</v>
      </c>
    </row>
    <row r="8062" spans="1:24">
      <c r="A8062">
        <f>HYPERLINK("https://www.philgeps.gov.ph/GEPSNONPILOT/Tender/SplashBidNoticeAbstractUI.aspx?menuIndex=3&amp;refID=7029992&amp;Result=3","7029992")</f>
        <v>0</v>
      </c>
      <c r="B8062" t="s">
        <v>131</v>
      </c>
      <c r="C8062" t="s">
        <v>10377</v>
      </c>
      <c r="D8062" t="s">
        <v>13032</v>
      </c>
      <c r="E8062" t="s">
        <v>20166</v>
      </c>
      <c r="F8062" t="s">
        <v>22436</v>
      </c>
      <c r="G8062" t="s">
        <v>22444</v>
      </c>
      <c r="H8062" t="s">
        <v>22454</v>
      </c>
      <c r="I8062" t="s">
        <v>7738</v>
      </c>
      <c r="J8062" t="s">
        <v>22877</v>
      </c>
      <c r="K8062" t="s">
        <v>29338</v>
      </c>
      <c r="M8062" t="s">
        <v>29703</v>
      </c>
      <c r="N8062" t="s">
        <v>32524</v>
      </c>
      <c r="O8062" t="s">
        <v>32525</v>
      </c>
      <c r="P8062">
        <v>0</v>
      </c>
      <c r="Q8062">
        <v>2</v>
      </c>
      <c r="R8062" t="s">
        <v>32534</v>
      </c>
      <c r="S8062" t="s">
        <v>32739</v>
      </c>
      <c r="T8062" t="s">
        <v>33249</v>
      </c>
      <c r="U8062" t="s">
        <v>40344</v>
      </c>
      <c r="V8062" t="s">
        <v>42461</v>
      </c>
      <c r="W8062" t="s">
        <v>29703</v>
      </c>
      <c r="X8062" t="s">
        <v>32537</v>
      </c>
    </row>
    <row r="8063" spans="1:24">
      <c r="A8063">
        <f>HYPERLINK("https://www.philgeps.gov.ph/GEPSNONPILOT/Tender/SplashBidNoticeAbstractUI.aspx?menuIndex=3&amp;refID=7030211&amp;Result=3","7030211")</f>
        <v>0</v>
      </c>
      <c r="B8063" t="s">
        <v>2344</v>
      </c>
      <c r="C8063" t="s">
        <v>10378</v>
      </c>
      <c r="D8063" t="s">
        <v>13006</v>
      </c>
      <c r="E8063" t="s">
        <v>20167</v>
      </c>
      <c r="F8063" t="s">
        <v>22436</v>
      </c>
      <c r="G8063" t="s">
        <v>22443</v>
      </c>
      <c r="H8063" t="s">
        <v>22452</v>
      </c>
      <c r="I8063" t="s">
        <v>22468</v>
      </c>
      <c r="J8063" t="s">
        <v>27774</v>
      </c>
      <c r="K8063" t="s">
        <v>29341</v>
      </c>
      <c r="M8063" t="s">
        <v>32122</v>
      </c>
      <c r="N8063" t="s">
        <v>32524</v>
      </c>
      <c r="O8063" t="s">
        <v>32525</v>
      </c>
      <c r="P8063">
        <v>0</v>
      </c>
      <c r="Q8063">
        <v>0</v>
      </c>
      <c r="R8063" t="s">
        <v>32534</v>
      </c>
      <c r="S8063" t="s">
        <v>32739</v>
      </c>
      <c r="T8063" t="s">
        <v>33351</v>
      </c>
      <c r="U8063" t="s">
        <v>40345</v>
      </c>
      <c r="W8063" t="s">
        <v>32122</v>
      </c>
      <c r="X8063" t="s">
        <v>32537</v>
      </c>
    </row>
    <row r="8064" spans="1:24">
      <c r="A8064">
        <f>HYPERLINK("https://www.philgeps.gov.ph/GEPSNONPILOT/Tender/SplashBidNoticeAbstractUI.aspx?menuIndex=3&amp;refID=7030173&amp;Result=3","7030173")</f>
        <v>0</v>
      </c>
      <c r="B8064" t="s">
        <v>685</v>
      </c>
      <c r="C8064" t="s">
        <v>10379</v>
      </c>
      <c r="D8064" t="s">
        <v>13045</v>
      </c>
      <c r="E8064" t="s">
        <v>20168</v>
      </c>
      <c r="F8064" t="s">
        <v>22436</v>
      </c>
      <c r="G8064" t="s">
        <v>22444</v>
      </c>
      <c r="H8064" t="s">
        <v>22454</v>
      </c>
      <c r="I8064" t="s">
        <v>7738</v>
      </c>
      <c r="J8064" t="s">
        <v>27775</v>
      </c>
      <c r="K8064" t="s">
        <v>29531</v>
      </c>
      <c r="M8064" t="s">
        <v>30279</v>
      </c>
      <c r="N8064" t="s">
        <v>32524</v>
      </c>
      <c r="O8064" t="s">
        <v>32525</v>
      </c>
      <c r="P8064">
        <v>0</v>
      </c>
      <c r="Q8064">
        <v>0</v>
      </c>
      <c r="R8064" t="s">
        <v>32534</v>
      </c>
      <c r="S8064" t="s">
        <v>32739</v>
      </c>
      <c r="T8064" t="s">
        <v>33345</v>
      </c>
      <c r="U8064" t="s">
        <v>40346</v>
      </c>
      <c r="V8064" t="s">
        <v>42581</v>
      </c>
      <c r="W8064" t="s">
        <v>30279</v>
      </c>
      <c r="X8064" t="s">
        <v>32537</v>
      </c>
    </row>
    <row r="8065" spans="1:24">
      <c r="A8065">
        <f>HYPERLINK("https://www.philgeps.gov.ph/GEPSNONPILOT/Tender/SplashBidNoticeAbstractUI.aspx?menuIndex=3&amp;refID=7030522&amp;Result=3","7030522")</f>
        <v>0</v>
      </c>
      <c r="B8065" t="s">
        <v>2039</v>
      </c>
      <c r="C8065" t="s">
        <v>10380</v>
      </c>
      <c r="D8065" t="s">
        <v>13003</v>
      </c>
      <c r="E8065" t="s">
        <v>20169</v>
      </c>
      <c r="F8065" t="s">
        <v>22436</v>
      </c>
      <c r="G8065" t="s">
        <v>22444</v>
      </c>
      <c r="H8065" t="s">
        <v>22454</v>
      </c>
      <c r="I8065" t="s">
        <v>7738</v>
      </c>
      <c r="J8065" t="s">
        <v>27776</v>
      </c>
      <c r="K8065" t="s">
        <v>29341</v>
      </c>
      <c r="M8065" t="s">
        <v>31774</v>
      </c>
      <c r="N8065" t="s">
        <v>32524</v>
      </c>
      <c r="O8065" t="s">
        <v>32525</v>
      </c>
      <c r="P8065">
        <v>0</v>
      </c>
      <c r="Q8065">
        <v>0</v>
      </c>
      <c r="R8065" t="s">
        <v>32534</v>
      </c>
      <c r="S8065" t="s">
        <v>32739</v>
      </c>
      <c r="T8065" t="s">
        <v>33238</v>
      </c>
      <c r="U8065" t="s">
        <v>39111</v>
      </c>
      <c r="W8065" t="s">
        <v>31774</v>
      </c>
      <c r="X8065" t="s">
        <v>32537</v>
      </c>
    </row>
    <row r="8066" spans="1:24">
      <c r="A8066">
        <f>HYPERLINK("https://www.philgeps.gov.ph/GEPSNONPILOT/Tender/SplashBidNoticeAbstractUI.aspx?menuIndex=3&amp;refID=7030569&amp;Result=3","7030569")</f>
        <v>0</v>
      </c>
      <c r="B8066" t="s">
        <v>680</v>
      </c>
      <c r="C8066" t="s">
        <v>10381</v>
      </c>
      <c r="E8066" t="s">
        <v>20170</v>
      </c>
      <c r="F8066" t="s">
        <v>22436</v>
      </c>
      <c r="G8066" t="s">
        <v>22444</v>
      </c>
      <c r="H8066" t="s">
        <v>22454</v>
      </c>
      <c r="I8066" t="s">
        <v>7738</v>
      </c>
      <c r="J8066" t="s">
        <v>27777</v>
      </c>
      <c r="K8066" t="s">
        <v>29338</v>
      </c>
      <c r="M8066" t="s">
        <v>30274</v>
      </c>
      <c r="N8066" t="s">
        <v>32524</v>
      </c>
      <c r="O8066" t="s">
        <v>32525</v>
      </c>
      <c r="P8066">
        <v>0</v>
      </c>
      <c r="Q8066">
        <v>4</v>
      </c>
      <c r="R8066" t="s">
        <v>32534</v>
      </c>
      <c r="S8066" t="s">
        <v>32739</v>
      </c>
      <c r="T8066" t="s">
        <v>33212</v>
      </c>
      <c r="U8066" t="s">
        <v>40347</v>
      </c>
      <c r="V8066" t="s">
        <v>43320</v>
      </c>
      <c r="W8066" t="s">
        <v>30274</v>
      </c>
      <c r="X8066" t="s">
        <v>32537</v>
      </c>
    </row>
    <row r="8067" spans="1:24">
      <c r="A8067">
        <f>HYPERLINK("https://www.philgeps.gov.ph/GEPSNONPILOT/Tender/SplashBidNoticeAbstractUI.aspx?menuIndex=3&amp;refID=7030494&amp;Result=3","7030494")</f>
        <v>0</v>
      </c>
      <c r="B8067" t="s">
        <v>2039</v>
      </c>
      <c r="C8067" t="s">
        <v>10382</v>
      </c>
      <c r="D8067" t="s">
        <v>13003</v>
      </c>
      <c r="E8067" t="s">
        <v>20171</v>
      </c>
      <c r="F8067" t="s">
        <v>22436</v>
      </c>
      <c r="G8067" t="s">
        <v>22444</v>
      </c>
      <c r="H8067" t="s">
        <v>22454</v>
      </c>
      <c r="I8067" t="s">
        <v>7738</v>
      </c>
      <c r="J8067" t="s">
        <v>27778</v>
      </c>
      <c r="K8067" t="s">
        <v>29335</v>
      </c>
      <c r="M8067" t="s">
        <v>31774</v>
      </c>
      <c r="N8067" t="s">
        <v>32524</v>
      </c>
      <c r="O8067" t="s">
        <v>32525</v>
      </c>
      <c r="P8067">
        <v>0</v>
      </c>
      <c r="Q8067">
        <v>0</v>
      </c>
      <c r="R8067" t="s">
        <v>32534</v>
      </c>
      <c r="S8067" t="s">
        <v>32739</v>
      </c>
      <c r="T8067" t="s">
        <v>33238</v>
      </c>
      <c r="U8067" t="s">
        <v>39111</v>
      </c>
      <c r="W8067" t="s">
        <v>31774</v>
      </c>
      <c r="X8067" t="s">
        <v>32537</v>
      </c>
    </row>
    <row r="8068" spans="1:24">
      <c r="A8068">
        <f>HYPERLINK("https://www.philgeps.gov.ph/GEPSNONPILOT/Tender/SplashBidNoticeAbstractUI.aspx?menuIndex=3&amp;refID=7030466&amp;Result=3","7030466")</f>
        <v>0</v>
      </c>
      <c r="B8068" t="s">
        <v>2039</v>
      </c>
      <c r="C8068" t="s">
        <v>10383</v>
      </c>
      <c r="D8068" t="s">
        <v>13003</v>
      </c>
      <c r="E8068" t="s">
        <v>20172</v>
      </c>
      <c r="F8068" t="s">
        <v>22436</v>
      </c>
      <c r="G8068" t="s">
        <v>22444</v>
      </c>
      <c r="H8068" t="s">
        <v>22454</v>
      </c>
      <c r="I8068" t="s">
        <v>7738</v>
      </c>
      <c r="J8068" t="s">
        <v>27779</v>
      </c>
      <c r="K8068" t="s">
        <v>29335</v>
      </c>
      <c r="M8068" t="s">
        <v>31774</v>
      </c>
      <c r="N8068" t="s">
        <v>32524</v>
      </c>
      <c r="O8068" t="s">
        <v>32525</v>
      </c>
      <c r="P8068">
        <v>0</v>
      </c>
      <c r="Q8068">
        <v>0</v>
      </c>
      <c r="R8068" t="s">
        <v>32534</v>
      </c>
      <c r="S8068" t="s">
        <v>32739</v>
      </c>
      <c r="T8068" t="s">
        <v>33238</v>
      </c>
      <c r="U8068" t="s">
        <v>39111</v>
      </c>
      <c r="W8068" t="s">
        <v>31774</v>
      </c>
      <c r="X8068" t="s">
        <v>32537</v>
      </c>
    </row>
    <row r="8069" spans="1:24">
      <c r="A8069">
        <f>HYPERLINK("https://www.philgeps.gov.ph/GEPSNONPILOT/Tender/SplashBidNoticeAbstractUI.aspx?menuIndex=3&amp;refID=7030445&amp;Result=3","7030445")</f>
        <v>0</v>
      </c>
      <c r="B8069" t="s">
        <v>990</v>
      </c>
      <c r="C8069" t="s">
        <v>10384</v>
      </c>
      <c r="D8069" t="s">
        <v>13032</v>
      </c>
      <c r="E8069" t="s">
        <v>20173</v>
      </c>
      <c r="F8069" t="s">
        <v>22436</v>
      </c>
      <c r="G8069" t="s">
        <v>22444</v>
      </c>
      <c r="H8069" t="s">
        <v>22452</v>
      </c>
      <c r="I8069" t="s">
        <v>22474</v>
      </c>
      <c r="J8069" t="s">
        <v>22624</v>
      </c>
      <c r="K8069" t="s">
        <v>29333</v>
      </c>
      <c r="M8069" t="s">
        <v>30614</v>
      </c>
      <c r="N8069" t="s">
        <v>32524</v>
      </c>
      <c r="O8069" t="s">
        <v>32525</v>
      </c>
      <c r="P8069">
        <v>0</v>
      </c>
      <c r="Q8069">
        <v>4</v>
      </c>
      <c r="R8069" t="s">
        <v>32534</v>
      </c>
      <c r="S8069" t="s">
        <v>32739</v>
      </c>
      <c r="T8069" t="s">
        <v>33169</v>
      </c>
      <c r="U8069" t="s">
        <v>40348</v>
      </c>
      <c r="W8069" t="s">
        <v>30614</v>
      </c>
      <c r="X8069" t="s">
        <v>32537</v>
      </c>
    </row>
    <row r="8070" spans="1:24">
      <c r="A8070">
        <f>HYPERLINK("https://www.philgeps.gov.ph/GEPSNONPILOT/Tender/SplashBidNoticeAbstractUI.aspx?menuIndex=3&amp;refID=7030542&amp;Result=3","7030542")</f>
        <v>0</v>
      </c>
      <c r="B8070" t="s">
        <v>2039</v>
      </c>
      <c r="C8070" t="s">
        <v>10385</v>
      </c>
      <c r="D8070" t="s">
        <v>13003</v>
      </c>
      <c r="E8070" t="s">
        <v>20174</v>
      </c>
      <c r="F8070" t="s">
        <v>22436</v>
      </c>
      <c r="G8070" t="s">
        <v>22444</v>
      </c>
      <c r="H8070" t="s">
        <v>22454</v>
      </c>
      <c r="I8070" t="s">
        <v>7738</v>
      </c>
      <c r="J8070" t="s">
        <v>27780</v>
      </c>
      <c r="K8070" t="s">
        <v>29331</v>
      </c>
      <c r="M8070" t="s">
        <v>31774</v>
      </c>
      <c r="N8070" t="s">
        <v>32524</v>
      </c>
      <c r="O8070" t="s">
        <v>32525</v>
      </c>
      <c r="P8070">
        <v>0</v>
      </c>
      <c r="Q8070">
        <v>0</v>
      </c>
      <c r="R8070" t="s">
        <v>32534</v>
      </c>
      <c r="S8070" t="s">
        <v>32739</v>
      </c>
      <c r="T8070" t="s">
        <v>33238</v>
      </c>
      <c r="U8070" t="s">
        <v>39111</v>
      </c>
      <c r="W8070" t="s">
        <v>31774</v>
      </c>
      <c r="X8070" t="s">
        <v>32537</v>
      </c>
    </row>
    <row r="8071" spans="1:24">
      <c r="A8071">
        <f>HYPERLINK("https://www.philgeps.gov.ph/GEPSNONPILOT/Tender/SplashBidNoticeAbstractUI.aspx?menuIndex=3&amp;refID=7030391&amp;Result=3","7030391")</f>
        <v>0</v>
      </c>
      <c r="B8071" t="s">
        <v>110</v>
      </c>
      <c r="C8071" t="s">
        <v>10386</v>
      </c>
      <c r="D8071" t="s">
        <v>13028</v>
      </c>
      <c r="E8071" t="s">
        <v>20175</v>
      </c>
      <c r="F8071" t="s">
        <v>22436</v>
      </c>
      <c r="G8071" t="s">
        <v>22444</v>
      </c>
      <c r="H8071" t="s">
        <v>22454</v>
      </c>
      <c r="I8071" t="s">
        <v>7738</v>
      </c>
      <c r="J8071" t="s">
        <v>27781</v>
      </c>
      <c r="K8071" t="s">
        <v>29388</v>
      </c>
      <c r="M8071" t="s">
        <v>29682</v>
      </c>
      <c r="N8071" t="s">
        <v>32524</v>
      </c>
      <c r="O8071" t="s">
        <v>32525</v>
      </c>
      <c r="P8071">
        <v>0</v>
      </c>
      <c r="Q8071">
        <v>0</v>
      </c>
      <c r="R8071" t="s">
        <v>32534</v>
      </c>
      <c r="S8071" t="s">
        <v>32739</v>
      </c>
      <c r="T8071" t="s">
        <v>33218</v>
      </c>
      <c r="U8071" t="s">
        <v>40349</v>
      </c>
      <c r="W8071" t="s">
        <v>29682</v>
      </c>
      <c r="X8071" t="s">
        <v>32537</v>
      </c>
    </row>
    <row r="8072" spans="1:24">
      <c r="A8072">
        <f>HYPERLINK("https://www.philgeps.gov.ph/GEPSNONPILOT/Tender/SplashBidNoticeAbstractUI.aspx?menuIndex=3&amp;refID=7030591&amp;Result=3","7030591")</f>
        <v>0</v>
      </c>
      <c r="B8072" t="s">
        <v>1991</v>
      </c>
      <c r="C8072" t="s">
        <v>10387</v>
      </c>
      <c r="D8072" t="s">
        <v>13058</v>
      </c>
      <c r="E8072" t="s">
        <v>20176</v>
      </c>
      <c r="F8072" t="s">
        <v>22436</v>
      </c>
      <c r="G8072" t="s">
        <v>22444</v>
      </c>
      <c r="H8072" t="s">
        <v>22452</v>
      </c>
      <c r="I8072" t="s">
        <v>22463</v>
      </c>
      <c r="J8072" t="s">
        <v>27782</v>
      </c>
      <c r="K8072" t="s">
        <v>29341</v>
      </c>
      <c r="M8072" t="s">
        <v>31723</v>
      </c>
      <c r="N8072" t="s">
        <v>32524</v>
      </c>
      <c r="O8072" t="s">
        <v>32525</v>
      </c>
      <c r="P8072">
        <v>0</v>
      </c>
      <c r="Q8072">
        <v>3</v>
      </c>
      <c r="R8072" t="s">
        <v>32534</v>
      </c>
      <c r="S8072" t="s">
        <v>32739</v>
      </c>
      <c r="T8072" t="s">
        <v>33259</v>
      </c>
      <c r="U8072" t="s">
        <v>40270</v>
      </c>
      <c r="W8072" t="s">
        <v>31723</v>
      </c>
      <c r="X8072" t="s">
        <v>32537</v>
      </c>
    </row>
    <row r="8073" spans="1:24">
      <c r="A8073">
        <f>HYPERLINK("https://www.philgeps.gov.ph/GEPSNONPILOT/Tender/SplashBidNoticeAbstractUI.aspx?menuIndex=3&amp;refID=7030443&amp;Result=3","7030443")</f>
        <v>0</v>
      </c>
      <c r="B8073" t="s">
        <v>2039</v>
      </c>
      <c r="C8073" t="s">
        <v>10388</v>
      </c>
      <c r="D8073" t="s">
        <v>13003</v>
      </c>
      <c r="E8073" t="s">
        <v>20177</v>
      </c>
      <c r="F8073" t="s">
        <v>22436</v>
      </c>
      <c r="G8073" t="s">
        <v>22444</v>
      </c>
      <c r="H8073" t="s">
        <v>22454</v>
      </c>
      <c r="I8073" t="s">
        <v>7738</v>
      </c>
      <c r="J8073" t="s">
        <v>27783</v>
      </c>
      <c r="K8073" t="s">
        <v>29404</v>
      </c>
      <c r="M8073" t="s">
        <v>31774</v>
      </c>
      <c r="N8073" t="s">
        <v>32524</v>
      </c>
      <c r="O8073" t="s">
        <v>32525</v>
      </c>
      <c r="P8073">
        <v>0</v>
      </c>
      <c r="Q8073">
        <v>0</v>
      </c>
      <c r="R8073" t="s">
        <v>32534</v>
      </c>
      <c r="S8073" t="s">
        <v>32739</v>
      </c>
      <c r="T8073" t="s">
        <v>33238</v>
      </c>
      <c r="U8073" t="s">
        <v>39111</v>
      </c>
      <c r="W8073" t="s">
        <v>31774</v>
      </c>
      <c r="X8073" t="s">
        <v>32537</v>
      </c>
    </row>
    <row r="8074" spans="1:24">
      <c r="A8074">
        <f>HYPERLINK("https://www.philgeps.gov.ph/GEPSNONPILOT/Tender/SplashBidNoticeAbstractUI.aspx?menuIndex=3&amp;refID=7030284&amp;Result=3","7030284")</f>
        <v>0</v>
      </c>
      <c r="B8074" t="s">
        <v>169</v>
      </c>
      <c r="C8074" t="s">
        <v>10389</v>
      </c>
      <c r="D8074" t="s">
        <v>13044</v>
      </c>
      <c r="E8074" t="s">
        <v>20178</v>
      </c>
      <c r="F8074" t="s">
        <v>22436</v>
      </c>
      <c r="G8074" t="s">
        <v>22444</v>
      </c>
      <c r="H8074" t="s">
        <v>22452</v>
      </c>
      <c r="I8074" t="s">
        <v>3381</v>
      </c>
      <c r="J8074" t="s">
        <v>27784</v>
      </c>
      <c r="K8074" t="s">
        <v>29344</v>
      </c>
      <c r="M8074" t="s">
        <v>29741</v>
      </c>
      <c r="N8074" t="s">
        <v>32524</v>
      </c>
      <c r="O8074" t="s">
        <v>32525</v>
      </c>
      <c r="P8074">
        <v>0</v>
      </c>
      <c r="Q8074">
        <v>14</v>
      </c>
      <c r="R8074" t="s">
        <v>32534</v>
      </c>
      <c r="S8074" t="s">
        <v>32739</v>
      </c>
      <c r="T8074" t="s">
        <v>33259</v>
      </c>
      <c r="U8074" t="s">
        <v>40350</v>
      </c>
      <c r="V8074" t="s">
        <v>43321</v>
      </c>
      <c r="W8074" t="s">
        <v>29741</v>
      </c>
      <c r="X8074" t="s">
        <v>32537</v>
      </c>
    </row>
    <row r="8075" spans="1:24">
      <c r="A8075">
        <f>HYPERLINK("https://www.philgeps.gov.ph/GEPSNONPILOT/Tender/SplashBidNoticeAbstractUI.aspx?menuIndex=3&amp;refID=7030430&amp;Result=3","7030430")</f>
        <v>0</v>
      </c>
      <c r="B8075" t="s">
        <v>2345</v>
      </c>
      <c r="C8075" t="s">
        <v>10390</v>
      </c>
      <c r="D8075" t="s">
        <v>12991</v>
      </c>
      <c r="E8075" t="s">
        <v>20179</v>
      </c>
      <c r="F8075" t="s">
        <v>22436</v>
      </c>
      <c r="G8075" t="s">
        <v>22443</v>
      </c>
      <c r="H8075" t="s">
        <v>22452</v>
      </c>
      <c r="I8075" t="s">
        <v>22460</v>
      </c>
      <c r="J8075" t="s">
        <v>27785</v>
      </c>
      <c r="K8075" t="s">
        <v>29334</v>
      </c>
      <c r="M8075" t="s">
        <v>32123</v>
      </c>
      <c r="N8075" t="s">
        <v>32524</v>
      </c>
      <c r="O8075" t="s">
        <v>32525</v>
      </c>
      <c r="P8075">
        <v>0</v>
      </c>
      <c r="Q8075">
        <v>0</v>
      </c>
      <c r="R8075" t="s">
        <v>32534</v>
      </c>
      <c r="S8075" t="s">
        <v>32739</v>
      </c>
      <c r="T8075" t="s">
        <v>33212</v>
      </c>
      <c r="U8075" t="s">
        <v>40351</v>
      </c>
      <c r="W8075" t="s">
        <v>32123</v>
      </c>
      <c r="X8075" t="s">
        <v>32537</v>
      </c>
    </row>
    <row r="8076" spans="1:24">
      <c r="A8076">
        <f>HYPERLINK("https://www.philgeps.gov.ph/GEPSNONPILOT/Tender/SplashBidNoticeAbstractUI.aspx?menuIndex=3&amp;refID=7030193&amp;Result=3","7030193")</f>
        <v>0</v>
      </c>
      <c r="B8076" t="s">
        <v>2346</v>
      </c>
      <c r="C8076" t="s">
        <v>10391</v>
      </c>
      <c r="D8076" t="s">
        <v>13011</v>
      </c>
      <c r="E8076" t="s">
        <v>20180</v>
      </c>
      <c r="F8076" t="s">
        <v>22436</v>
      </c>
      <c r="G8076" t="s">
        <v>22444</v>
      </c>
      <c r="H8076" t="s">
        <v>22454</v>
      </c>
      <c r="I8076" t="s">
        <v>7738</v>
      </c>
      <c r="J8076" t="s">
        <v>27786</v>
      </c>
      <c r="K8076" t="s">
        <v>29347</v>
      </c>
      <c r="M8076" t="s">
        <v>32124</v>
      </c>
      <c r="N8076" t="s">
        <v>32524</v>
      </c>
      <c r="O8076" t="s">
        <v>32525</v>
      </c>
      <c r="P8076">
        <v>0</v>
      </c>
      <c r="Q8076">
        <v>3</v>
      </c>
      <c r="R8076" t="s">
        <v>32534</v>
      </c>
      <c r="S8076" t="s">
        <v>32739</v>
      </c>
      <c r="T8076" t="s">
        <v>33218</v>
      </c>
      <c r="U8076" t="s">
        <v>40352</v>
      </c>
      <c r="W8076" t="s">
        <v>43753</v>
      </c>
      <c r="X8076" t="s">
        <v>32537</v>
      </c>
    </row>
    <row r="8077" spans="1:24">
      <c r="A8077">
        <f>HYPERLINK("https://www.philgeps.gov.ph/GEPSNONPILOT/Tender/SplashBidNoticeAbstractUI.aspx?menuIndex=3&amp;refID=7030696&amp;Result=3","7030696")</f>
        <v>0</v>
      </c>
      <c r="B8077" t="s">
        <v>342</v>
      </c>
      <c r="C8077" t="s">
        <v>10392</v>
      </c>
      <c r="D8077" t="s">
        <v>13011</v>
      </c>
      <c r="E8077" t="s">
        <v>20181</v>
      </c>
      <c r="F8077" t="s">
        <v>22436</v>
      </c>
      <c r="G8077" t="s">
        <v>22444</v>
      </c>
      <c r="H8077" t="s">
        <v>22452</v>
      </c>
      <c r="I8077" t="s">
        <v>22502</v>
      </c>
      <c r="J8077" t="s">
        <v>27787</v>
      </c>
      <c r="K8077" t="s">
        <v>29331</v>
      </c>
      <c r="M8077" t="s">
        <v>29918</v>
      </c>
      <c r="N8077" t="s">
        <v>32524</v>
      </c>
      <c r="O8077" t="s">
        <v>32525</v>
      </c>
      <c r="P8077">
        <v>0</v>
      </c>
      <c r="Q8077">
        <v>12</v>
      </c>
      <c r="R8077" t="s">
        <v>32534</v>
      </c>
      <c r="S8077" t="s">
        <v>32739</v>
      </c>
      <c r="T8077" t="s">
        <v>33212</v>
      </c>
      <c r="U8077" t="s">
        <v>40353</v>
      </c>
      <c r="W8077" t="s">
        <v>43754</v>
      </c>
      <c r="X8077" t="s">
        <v>32537</v>
      </c>
    </row>
    <row r="8078" spans="1:24">
      <c r="A8078">
        <f>HYPERLINK("https://www.philgeps.gov.ph/GEPSNONPILOT/Tender/SplashBidNoticeAbstractUI.aspx?menuIndex=3&amp;refID=7030739&amp;Result=3","7030739")</f>
        <v>0</v>
      </c>
      <c r="B8078" t="s">
        <v>2347</v>
      </c>
      <c r="C8078" t="s">
        <v>10393</v>
      </c>
      <c r="D8078" t="s">
        <v>13031</v>
      </c>
      <c r="E8078" t="s">
        <v>20182</v>
      </c>
      <c r="F8078" t="s">
        <v>22436</v>
      </c>
      <c r="G8078" t="s">
        <v>22444</v>
      </c>
      <c r="H8078" t="s">
        <v>22454</v>
      </c>
      <c r="I8078" t="s">
        <v>7738</v>
      </c>
      <c r="J8078" t="s">
        <v>22634</v>
      </c>
      <c r="K8078" t="s">
        <v>29334</v>
      </c>
      <c r="M8078" t="s">
        <v>32125</v>
      </c>
      <c r="N8078" t="s">
        <v>32524</v>
      </c>
      <c r="O8078" t="s">
        <v>32525</v>
      </c>
      <c r="P8078">
        <v>0</v>
      </c>
      <c r="Q8078">
        <v>0</v>
      </c>
      <c r="R8078" t="s">
        <v>32534</v>
      </c>
      <c r="S8078" t="s">
        <v>32739</v>
      </c>
      <c r="T8078" t="s">
        <v>33409</v>
      </c>
      <c r="U8078" t="s">
        <v>40354</v>
      </c>
      <c r="V8078" t="s">
        <v>43322</v>
      </c>
      <c r="W8078" t="s">
        <v>43755</v>
      </c>
      <c r="X8078" t="s">
        <v>32537</v>
      </c>
    </row>
    <row r="8079" spans="1:24">
      <c r="A8079">
        <f>HYPERLINK("https://www.philgeps.gov.ph/GEPSNONPILOT/Tender/SplashBidNoticeAbstractUI.aspx?menuIndex=3&amp;refID=7030684&amp;Result=3","7030684")</f>
        <v>0</v>
      </c>
      <c r="B8079" t="s">
        <v>342</v>
      </c>
      <c r="C8079" t="s">
        <v>10394</v>
      </c>
      <c r="D8079" t="s">
        <v>13011</v>
      </c>
      <c r="E8079" t="s">
        <v>20183</v>
      </c>
      <c r="F8079" t="s">
        <v>22436</v>
      </c>
      <c r="G8079" t="s">
        <v>22444</v>
      </c>
      <c r="H8079" t="s">
        <v>22452</v>
      </c>
      <c r="I8079" t="s">
        <v>22461</v>
      </c>
      <c r="J8079" t="s">
        <v>27788</v>
      </c>
      <c r="K8079" t="s">
        <v>29331</v>
      </c>
      <c r="M8079" t="s">
        <v>29918</v>
      </c>
      <c r="N8079" t="s">
        <v>32524</v>
      </c>
      <c r="O8079" t="s">
        <v>32525</v>
      </c>
      <c r="P8079">
        <v>0</v>
      </c>
      <c r="Q8079">
        <v>4</v>
      </c>
      <c r="R8079" t="s">
        <v>32534</v>
      </c>
      <c r="S8079" t="s">
        <v>32739</v>
      </c>
      <c r="T8079" t="s">
        <v>33212</v>
      </c>
      <c r="U8079" t="s">
        <v>40355</v>
      </c>
      <c r="W8079" t="s">
        <v>43754</v>
      </c>
      <c r="X8079" t="s">
        <v>32537</v>
      </c>
    </row>
    <row r="8080" spans="1:24">
      <c r="A8080">
        <f>HYPERLINK("https://www.philgeps.gov.ph/GEPSNONPILOT/Tender/SplashBidNoticeAbstractUI.aspx?menuIndex=3&amp;refID=7030721&amp;Result=3","7030721")</f>
        <v>0</v>
      </c>
      <c r="B8080" t="s">
        <v>342</v>
      </c>
      <c r="C8080" t="s">
        <v>10395</v>
      </c>
      <c r="D8080" t="s">
        <v>13011</v>
      </c>
      <c r="E8080" t="s">
        <v>20184</v>
      </c>
      <c r="F8080" t="s">
        <v>22436</v>
      </c>
      <c r="G8080" t="s">
        <v>22444</v>
      </c>
      <c r="H8080" t="s">
        <v>22454</v>
      </c>
      <c r="I8080" t="s">
        <v>7738</v>
      </c>
      <c r="J8080" t="s">
        <v>27789</v>
      </c>
      <c r="K8080" t="s">
        <v>29335</v>
      </c>
      <c r="M8080" t="s">
        <v>32126</v>
      </c>
      <c r="N8080" t="s">
        <v>32524</v>
      </c>
      <c r="O8080" t="s">
        <v>32525</v>
      </c>
      <c r="P8080">
        <v>0</v>
      </c>
      <c r="Q8080">
        <v>0</v>
      </c>
      <c r="R8080" t="s">
        <v>32534</v>
      </c>
      <c r="S8080" t="s">
        <v>32739</v>
      </c>
      <c r="T8080" t="s">
        <v>33212</v>
      </c>
      <c r="U8080" t="s">
        <v>40356</v>
      </c>
      <c r="W8080" t="s">
        <v>43754</v>
      </c>
      <c r="X8080" t="s">
        <v>32537</v>
      </c>
    </row>
    <row r="8081" spans="1:24">
      <c r="A8081">
        <f>HYPERLINK("https://www.philgeps.gov.ph/GEPSNONPILOT/Tender/SplashBidNoticeAbstractUI.aspx?menuIndex=3&amp;refID=7030416&amp;Result=3","7030416")</f>
        <v>0</v>
      </c>
      <c r="B8081" t="s">
        <v>2039</v>
      </c>
      <c r="C8081" t="s">
        <v>10396</v>
      </c>
      <c r="D8081" t="s">
        <v>13003</v>
      </c>
      <c r="E8081" t="s">
        <v>20185</v>
      </c>
      <c r="F8081" t="s">
        <v>22436</v>
      </c>
      <c r="G8081" t="s">
        <v>22444</v>
      </c>
      <c r="H8081" t="s">
        <v>22454</v>
      </c>
      <c r="I8081" t="s">
        <v>7738</v>
      </c>
      <c r="J8081" t="s">
        <v>27790</v>
      </c>
      <c r="K8081" t="s">
        <v>29337</v>
      </c>
      <c r="M8081" t="s">
        <v>31774</v>
      </c>
      <c r="N8081" t="s">
        <v>32524</v>
      </c>
      <c r="O8081" t="s">
        <v>32525</v>
      </c>
      <c r="P8081">
        <v>0</v>
      </c>
      <c r="Q8081">
        <v>0</v>
      </c>
      <c r="R8081" t="s">
        <v>32534</v>
      </c>
      <c r="S8081" t="s">
        <v>32739</v>
      </c>
      <c r="T8081" t="s">
        <v>33238</v>
      </c>
      <c r="U8081" t="s">
        <v>39111</v>
      </c>
      <c r="W8081" t="s">
        <v>31774</v>
      </c>
      <c r="X8081" t="s">
        <v>32537</v>
      </c>
    </row>
    <row r="8082" spans="1:24">
      <c r="A8082">
        <f>HYPERLINK("https://www.philgeps.gov.ph/GEPSNONPILOT/Tender/SplashBidNoticeAbstractUI.aspx?menuIndex=3&amp;refID=7030654&amp;Result=3","7030654")</f>
        <v>0</v>
      </c>
      <c r="B8082" t="s">
        <v>2039</v>
      </c>
      <c r="C8082" t="s">
        <v>10397</v>
      </c>
      <c r="D8082" t="s">
        <v>13003</v>
      </c>
      <c r="E8082" t="s">
        <v>20186</v>
      </c>
      <c r="F8082" t="s">
        <v>22436</v>
      </c>
      <c r="G8082" t="s">
        <v>22444</v>
      </c>
      <c r="H8082" t="s">
        <v>22454</v>
      </c>
      <c r="I8082" t="s">
        <v>7738</v>
      </c>
      <c r="J8082" t="s">
        <v>27791</v>
      </c>
      <c r="K8082" t="s">
        <v>29427</v>
      </c>
      <c r="M8082" t="s">
        <v>31774</v>
      </c>
      <c r="N8082" t="s">
        <v>32524</v>
      </c>
      <c r="O8082" t="s">
        <v>32525</v>
      </c>
      <c r="P8082">
        <v>0</v>
      </c>
      <c r="Q8082">
        <v>0</v>
      </c>
      <c r="R8082" t="s">
        <v>32534</v>
      </c>
      <c r="S8082" t="s">
        <v>32739</v>
      </c>
      <c r="T8082" t="s">
        <v>33238</v>
      </c>
      <c r="U8082" t="s">
        <v>39111</v>
      </c>
      <c r="W8082" t="s">
        <v>31774</v>
      </c>
      <c r="X8082" t="s">
        <v>32537</v>
      </c>
    </row>
    <row r="8083" spans="1:24">
      <c r="A8083">
        <f>HYPERLINK("https://www.philgeps.gov.ph/GEPSNONPILOT/Tender/SplashBidNoticeAbstractUI.aspx?menuIndex=3&amp;refID=7030668&amp;Result=3","7030668")</f>
        <v>0</v>
      </c>
      <c r="B8083" t="s">
        <v>342</v>
      </c>
      <c r="C8083" t="s">
        <v>10398</v>
      </c>
      <c r="D8083" t="s">
        <v>13011</v>
      </c>
      <c r="E8083" t="s">
        <v>20187</v>
      </c>
      <c r="F8083" t="s">
        <v>22436</v>
      </c>
      <c r="G8083" t="s">
        <v>22444</v>
      </c>
      <c r="H8083" t="s">
        <v>22452</v>
      </c>
      <c r="I8083" t="s">
        <v>22542</v>
      </c>
      <c r="J8083" t="s">
        <v>27792</v>
      </c>
      <c r="K8083" t="s">
        <v>29338</v>
      </c>
      <c r="M8083" t="s">
        <v>29918</v>
      </c>
      <c r="N8083" t="s">
        <v>32524</v>
      </c>
      <c r="O8083" t="s">
        <v>32525</v>
      </c>
      <c r="P8083">
        <v>0</v>
      </c>
      <c r="Q8083">
        <v>4</v>
      </c>
      <c r="R8083" t="s">
        <v>32534</v>
      </c>
      <c r="S8083" t="s">
        <v>32739</v>
      </c>
      <c r="T8083" t="s">
        <v>33212</v>
      </c>
      <c r="U8083" t="s">
        <v>40357</v>
      </c>
      <c r="W8083" t="s">
        <v>43754</v>
      </c>
      <c r="X8083" t="s">
        <v>32537</v>
      </c>
    </row>
    <row r="8084" spans="1:24">
      <c r="A8084">
        <f>HYPERLINK("https://www.philgeps.gov.ph/GEPSNONPILOT/Tender/SplashBidNoticeAbstractUI.aspx?menuIndex=3&amp;refID=7030271&amp;Result=3","7030271")</f>
        <v>0</v>
      </c>
      <c r="B8084" t="s">
        <v>997</v>
      </c>
      <c r="C8084" t="s">
        <v>10399</v>
      </c>
      <c r="D8084" t="s">
        <v>13025</v>
      </c>
      <c r="E8084" t="s">
        <v>20188</v>
      </c>
      <c r="F8084" t="s">
        <v>22436</v>
      </c>
      <c r="G8084" t="s">
        <v>22447</v>
      </c>
      <c r="H8084" t="s">
        <v>22452</v>
      </c>
      <c r="I8084" t="s">
        <v>22474</v>
      </c>
      <c r="J8084" t="s">
        <v>24189</v>
      </c>
      <c r="K8084" t="s">
        <v>29333</v>
      </c>
      <c r="M8084" t="s">
        <v>32127</v>
      </c>
      <c r="N8084" t="s">
        <v>32524</v>
      </c>
      <c r="O8084" t="s">
        <v>32525</v>
      </c>
      <c r="P8084">
        <v>0</v>
      </c>
      <c r="Q8084">
        <v>3</v>
      </c>
      <c r="R8084" t="s">
        <v>32534</v>
      </c>
      <c r="S8084" t="s">
        <v>32739</v>
      </c>
      <c r="T8084" t="s">
        <v>33234</v>
      </c>
      <c r="U8084" t="s">
        <v>40358</v>
      </c>
      <c r="V8084" t="s">
        <v>43323</v>
      </c>
      <c r="W8084" t="s">
        <v>32127</v>
      </c>
      <c r="X8084" t="s">
        <v>32537</v>
      </c>
    </row>
    <row r="8085" spans="1:24">
      <c r="A8085">
        <f>HYPERLINK("https://www.philgeps.gov.ph/GEPSNONPILOT/Tender/SplashBidNoticeAbstractUI.aspx?menuIndex=3&amp;refID=7030670&amp;Result=3","7030670")</f>
        <v>0</v>
      </c>
      <c r="B8085" t="s">
        <v>278</v>
      </c>
      <c r="C8085" t="s">
        <v>10400</v>
      </c>
      <c r="E8085" t="s">
        <v>20189</v>
      </c>
      <c r="F8085" t="s">
        <v>22436</v>
      </c>
      <c r="G8085" t="s">
        <v>22444</v>
      </c>
      <c r="H8085" t="s">
        <v>22455</v>
      </c>
      <c r="I8085" t="s">
        <v>22455</v>
      </c>
      <c r="J8085" t="s">
        <v>26195</v>
      </c>
      <c r="K8085" t="s">
        <v>29371</v>
      </c>
      <c r="M8085" t="s">
        <v>29852</v>
      </c>
      <c r="N8085" t="s">
        <v>32524</v>
      </c>
      <c r="O8085" t="s">
        <v>32525</v>
      </c>
      <c r="P8085">
        <v>0</v>
      </c>
      <c r="Q8085">
        <v>4</v>
      </c>
      <c r="R8085" t="s">
        <v>32534</v>
      </c>
      <c r="S8085" t="s">
        <v>32739</v>
      </c>
      <c r="T8085" t="s">
        <v>33212</v>
      </c>
      <c r="U8085" t="s">
        <v>40359</v>
      </c>
      <c r="V8085" t="s">
        <v>43324</v>
      </c>
      <c r="W8085" t="s">
        <v>29852</v>
      </c>
      <c r="X8085" t="s">
        <v>32537</v>
      </c>
    </row>
    <row r="8086" spans="1:24">
      <c r="A8086">
        <f>HYPERLINK("https://www.philgeps.gov.ph/GEPSNONPILOT/Tender/SplashBidNoticeAbstractUI.aspx?menuIndex=3&amp;refID=7030636&amp;Result=3","7030636")</f>
        <v>0</v>
      </c>
      <c r="B8086" t="s">
        <v>2348</v>
      </c>
      <c r="C8086" t="s">
        <v>10401</v>
      </c>
      <c r="D8086" t="s">
        <v>13080</v>
      </c>
      <c r="E8086" t="s">
        <v>20190</v>
      </c>
      <c r="F8086" t="s">
        <v>22436</v>
      </c>
      <c r="G8086" t="s">
        <v>22443</v>
      </c>
      <c r="H8086" t="s">
        <v>22452</v>
      </c>
      <c r="I8086" t="s">
        <v>22579</v>
      </c>
      <c r="J8086" t="s">
        <v>23226</v>
      </c>
      <c r="K8086" t="s">
        <v>29352</v>
      </c>
      <c r="M8086" t="s">
        <v>32128</v>
      </c>
      <c r="N8086" t="s">
        <v>32524</v>
      </c>
      <c r="O8086" t="s">
        <v>32525</v>
      </c>
      <c r="P8086">
        <v>0</v>
      </c>
      <c r="Q8086">
        <v>3</v>
      </c>
      <c r="R8086" t="s">
        <v>32534</v>
      </c>
      <c r="S8086" t="s">
        <v>32739</v>
      </c>
      <c r="T8086" t="s">
        <v>33169</v>
      </c>
      <c r="U8086" t="s">
        <v>40360</v>
      </c>
      <c r="W8086" t="s">
        <v>32128</v>
      </c>
      <c r="X8086" t="s">
        <v>32537</v>
      </c>
    </row>
    <row r="8087" spans="1:24">
      <c r="A8087">
        <f>HYPERLINK("https://www.philgeps.gov.ph/GEPSNONPILOT/Tender/SplashBidNoticeAbstractUI.aspx?menuIndex=3&amp;refID=7030678&amp;Result=3","7030678")</f>
        <v>0</v>
      </c>
      <c r="B8087" t="s">
        <v>342</v>
      </c>
      <c r="C8087" t="s">
        <v>10402</v>
      </c>
      <c r="D8087" t="s">
        <v>13011</v>
      </c>
      <c r="E8087" t="s">
        <v>20191</v>
      </c>
      <c r="F8087" t="s">
        <v>22436</v>
      </c>
      <c r="G8087" t="s">
        <v>22444</v>
      </c>
      <c r="H8087" t="s">
        <v>22452</v>
      </c>
      <c r="I8087" t="s">
        <v>6421</v>
      </c>
      <c r="J8087" t="s">
        <v>27793</v>
      </c>
      <c r="K8087" t="s">
        <v>29331</v>
      </c>
      <c r="M8087" t="s">
        <v>29918</v>
      </c>
      <c r="N8087" t="s">
        <v>32524</v>
      </c>
      <c r="O8087" t="s">
        <v>32525</v>
      </c>
      <c r="P8087">
        <v>0</v>
      </c>
      <c r="Q8087">
        <v>7</v>
      </c>
      <c r="R8087" t="s">
        <v>32534</v>
      </c>
      <c r="S8087" t="s">
        <v>32739</v>
      </c>
      <c r="T8087" t="s">
        <v>33212</v>
      </c>
      <c r="U8087" t="s">
        <v>40361</v>
      </c>
      <c r="W8087" t="s">
        <v>43754</v>
      </c>
      <c r="X8087" t="s">
        <v>32537</v>
      </c>
    </row>
    <row r="8088" spans="1:24">
      <c r="A8088">
        <f>HYPERLINK("https://www.philgeps.gov.ph/GEPSNONPILOT/Tender/SplashBidNoticeAbstractUI.aspx?menuIndex=3&amp;refID=7030770&amp;Result=3","7030770")</f>
        <v>0</v>
      </c>
      <c r="B8088" t="s">
        <v>364</v>
      </c>
      <c r="C8088" t="s">
        <v>10403</v>
      </c>
      <c r="D8088" t="s">
        <v>13011</v>
      </c>
      <c r="E8088" t="s">
        <v>20192</v>
      </c>
      <c r="F8088" t="s">
        <v>22436</v>
      </c>
      <c r="G8088" t="s">
        <v>22444</v>
      </c>
      <c r="H8088" t="s">
        <v>22454</v>
      </c>
      <c r="I8088" t="s">
        <v>7738</v>
      </c>
      <c r="J8088" t="s">
        <v>22634</v>
      </c>
      <c r="K8088" t="s">
        <v>29347</v>
      </c>
      <c r="M8088" t="s">
        <v>29942</v>
      </c>
      <c r="N8088" t="s">
        <v>32524</v>
      </c>
      <c r="O8088" t="s">
        <v>32525</v>
      </c>
      <c r="P8088">
        <v>0</v>
      </c>
      <c r="Q8088">
        <v>0</v>
      </c>
      <c r="R8088" t="s">
        <v>32534</v>
      </c>
      <c r="S8088" t="s">
        <v>32739</v>
      </c>
      <c r="T8088" t="s">
        <v>33191</v>
      </c>
      <c r="U8088" t="s">
        <v>40362</v>
      </c>
      <c r="W8088" t="s">
        <v>29942</v>
      </c>
      <c r="X8088" t="s">
        <v>32537</v>
      </c>
    </row>
    <row r="8089" spans="1:24">
      <c r="A8089">
        <f>HYPERLINK("https://www.philgeps.gov.ph/GEPSNONPILOT/Tender/SplashBidNoticeAbstractUI.aspx?menuIndex=3&amp;refID=7030832&amp;Result=3","7030832")</f>
        <v>0</v>
      </c>
      <c r="B8089" t="s">
        <v>2349</v>
      </c>
      <c r="C8089" t="s">
        <v>10404</v>
      </c>
      <c r="D8089" t="s">
        <v>13013</v>
      </c>
      <c r="E8089" t="s">
        <v>14054</v>
      </c>
      <c r="F8089" t="s">
        <v>22437</v>
      </c>
      <c r="G8089" t="s">
        <v>22444</v>
      </c>
      <c r="H8089" t="s">
        <v>22452</v>
      </c>
      <c r="I8089" t="s">
        <v>3529</v>
      </c>
      <c r="J8089" t="s">
        <v>23883</v>
      </c>
      <c r="K8089" t="s">
        <v>29337</v>
      </c>
      <c r="M8089" t="s">
        <v>32129</v>
      </c>
      <c r="N8089" t="s">
        <v>32524</v>
      </c>
      <c r="O8089" t="s">
        <v>32525</v>
      </c>
      <c r="P8089">
        <v>0</v>
      </c>
      <c r="Q8089">
        <v>0</v>
      </c>
      <c r="R8089" t="s">
        <v>32534</v>
      </c>
      <c r="S8089" t="s">
        <v>32739</v>
      </c>
      <c r="T8089" t="s">
        <v>33203</v>
      </c>
      <c r="U8089" t="s">
        <v>40363</v>
      </c>
      <c r="W8089" t="s">
        <v>32129</v>
      </c>
      <c r="X8089" t="s">
        <v>32537</v>
      </c>
    </row>
    <row r="8090" spans="1:24">
      <c r="A8090">
        <f>HYPERLINK("https://www.philgeps.gov.ph/GEPSNONPILOT/Tender/SplashBidNoticeAbstractUI.aspx?menuIndex=3&amp;refID=7030791&amp;Result=3","7030791")</f>
        <v>0</v>
      </c>
      <c r="B8090" t="s">
        <v>968</v>
      </c>
      <c r="C8090" t="s">
        <v>10405</v>
      </c>
      <c r="D8090" t="s">
        <v>13035</v>
      </c>
      <c r="E8090" t="s">
        <v>20193</v>
      </c>
      <c r="F8090" t="s">
        <v>22436</v>
      </c>
      <c r="G8090" t="s">
        <v>22444</v>
      </c>
      <c r="H8090" t="s">
        <v>22452</v>
      </c>
      <c r="I8090" t="s">
        <v>6421</v>
      </c>
      <c r="J8090" t="s">
        <v>22806</v>
      </c>
      <c r="K8090" t="s">
        <v>29341</v>
      </c>
      <c r="M8090" t="s">
        <v>30587</v>
      </c>
      <c r="N8090" t="s">
        <v>32524</v>
      </c>
      <c r="O8090" t="s">
        <v>32525</v>
      </c>
      <c r="P8090">
        <v>0</v>
      </c>
      <c r="Q8090">
        <v>0</v>
      </c>
      <c r="R8090" t="s">
        <v>32534</v>
      </c>
      <c r="S8090" t="s">
        <v>32739</v>
      </c>
      <c r="T8090" t="s">
        <v>33238</v>
      </c>
      <c r="U8090" t="s">
        <v>39021</v>
      </c>
      <c r="V8090" t="s">
        <v>42665</v>
      </c>
      <c r="W8090" t="s">
        <v>30587</v>
      </c>
      <c r="X8090" t="s">
        <v>32537</v>
      </c>
    </row>
    <row r="8091" spans="1:24">
      <c r="A8091">
        <f>HYPERLINK("https://www.philgeps.gov.ph/GEPSNONPILOT/Tender/SplashBidNoticeAbstractUI.aspx?menuIndex=3&amp;refID=7030911&amp;Result=3","7030911")</f>
        <v>0</v>
      </c>
      <c r="B8091" t="s">
        <v>2350</v>
      </c>
      <c r="C8091" t="s">
        <v>10406</v>
      </c>
      <c r="D8091" t="s">
        <v>13046</v>
      </c>
      <c r="E8091" t="s">
        <v>14101</v>
      </c>
      <c r="F8091" t="s">
        <v>22436</v>
      </c>
      <c r="G8091" t="s">
        <v>22444</v>
      </c>
      <c r="H8091" t="s">
        <v>22452</v>
      </c>
      <c r="I8091" t="s">
        <v>22458</v>
      </c>
      <c r="J8091" t="s">
        <v>27794</v>
      </c>
      <c r="K8091" t="s">
        <v>29329</v>
      </c>
      <c r="M8091" t="s">
        <v>32130</v>
      </c>
      <c r="N8091" t="s">
        <v>32524</v>
      </c>
      <c r="O8091" t="s">
        <v>32525</v>
      </c>
      <c r="P8091">
        <v>0</v>
      </c>
      <c r="Q8091">
        <v>12</v>
      </c>
      <c r="R8091" t="s">
        <v>32534</v>
      </c>
      <c r="S8091" t="s">
        <v>32739</v>
      </c>
      <c r="T8091" t="s">
        <v>33309</v>
      </c>
      <c r="U8091" t="s">
        <v>40364</v>
      </c>
      <c r="W8091" t="s">
        <v>32130</v>
      </c>
      <c r="X8091" t="s">
        <v>32537</v>
      </c>
    </row>
    <row r="8092" spans="1:24">
      <c r="A8092">
        <f>HYPERLINK("https://www.philgeps.gov.ph/GEPSNONPILOT/Tender/SplashBidNoticeAbstractUI.aspx?menuIndex=3&amp;refID=7030610&amp;Result=3","7030610")</f>
        <v>0</v>
      </c>
      <c r="B8092" t="s">
        <v>977</v>
      </c>
      <c r="C8092" t="s">
        <v>10407</v>
      </c>
      <c r="D8092" t="s">
        <v>13039</v>
      </c>
      <c r="E8092" t="s">
        <v>14823</v>
      </c>
      <c r="F8092" t="s">
        <v>22436</v>
      </c>
      <c r="G8092" t="s">
        <v>22444</v>
      </c>
      <c r="H8092" t="s">
        <v>22452</v>
      </c>
      <c r="I8092" t="s">
        <v>6421</v>
      </c>
      <c r="J8092" t="s">
        <v>27795</v>
      </c>
      <c r="K8092" t="s">
        <v>29341</v>
      </c>
      <c r="M8092" t="s">
        <v>30598</v>
      </c>
      <c r="N8092" t="s">
        <v>32524</v>
      </c>
      <c r="O8092" t="s">
        <v>32525</v>
      </c>
      <c r="P8092">
        <v>0</v>
      </c>
      <c r="Q8092">
        <v>1</v>
      </c>
      <c r="R8092" t="s">
        <v>32534</v>
      </c>
      <c r="S8092" t="s">
        <v>32739</v>
      </c>
      <c r="T8092" t="s">
        <v>33521</v>
      </c>
      <c r="U8092" t="s">
        <v>40365</v>
      </c>
      <c r="V8092" t="s">
        <v>42672</v>
      </c>
      <c r="W8092" t="s">
        <v>30598</v>
      </c>
      <c r="X8092" t="s">
        <v>32537</v>
      </c>
    </row>
    <row r="8093" spans="1:24">
      <c r="A8093">
        <f>HYPERLINK("https://www.philgeps.gov.ph/GEPSNONPILOT/Tender/SplashBidNoticeAbstractUI.aspx?menuIndex=3&amp;refID=7030631&amp;Result=3","7030631")</f>
        <v>0</v>
      </c>
      <c r="B8093" t="s">
        <v>2039</v>
      </c>
      <c r="C8093" t="s">
        <v>10408</v>
      </c>
      <c r="D8093" t="s">
        <v>13003</v>
      </c>
      <c r="E8093" t="s">
        <v>20194</v>
      </c>
      <c r="F8093" t="s">
        <v>22436</v>
      </c>
      <c r="G8093" t="s">
        <v>22444</v>
      </c>
      <c r="H8093" t="s">
        <v>22454</v>
      </c>
      <c r="I8093" t="s">
        <v>7738</v>
      </c>
      <c r="J8093" t="s">
        <v>27796</v>
      </c>
      <c r="K8093" t="s">
        <v>29360</v>
      </c>
      <c r="M8093" t="s">
        <v>31774</v>
      </c>
      <c r="N8093" t="s">
        <v>32524</v>
      </c>
      <c r="O8093" t="s">
        <v>32525</v>
      </c>
      <c r="P8093">
        <v>0</v>
      </c>
      <c r="Q8093">
        <v>0</v>
      </c>
      <c r="R8093" t="s">
        <v>32534</v>
      </c>
      <c r="S8093" t="s">
        <v>32739</v>
      </c>
      <c r="T8093" t="s">
        <v>33238</v>
      </c>
      <c r="U8093" t="s">
        <v>39111</v>
      </c>
      <c r="W8093" t="s">
        <v>31774</v>
      </c>
      <c r="X8093" t="s">
        <v>32537</v>
      </c>
    </row>
    <row r="8094" spans="1:24">
      <c r="A8094">
        <f>HYPERLINK("https://www.philgeps.gov.ph/GEPSNONPILOT/Tender/SplashBidNoticeAbstractUI.aspx?menuIndex=3&amp;refID=7030598&amp;Result=3","7030598")</f>
        <v>0</v>
      </c>
      <c r="B8094" t="s">
        <v>1991</v>
      </c>
      <c r="C8094" t="s">
        <v>3441</v>
      </c>
      <c r="D8094" t="s">
        <v>13058</v>
      </c>
      <c r="E8094" t="s">
        <v>20195</v>
      </c>
      <c r="F8094" t="s">
        <v>22436</v>
      </c>
      <c r="G8094" t="s">
        <v>22444</v>
      </c>
      <c r="H8094" t="s">
        <v>22452</v>
      </c>
      <c r="I8094" t="s">
        <v>3827</v>
      </c>
      <c r="J8094" t="s">
        <v>22788</v>
      </c>
      <c r="K8094" t="s">
        <v>29341</v>
      </c>
      <c r="M8094" t="s">
        <v>31723</v>
      </c>
      <c r="N8094" t="s">
        <v>32524</v>
      </c>
      <c r="O8094" t="s">
        <v>32525</v>
      </c>
      <c r="P8094">
        <v>0</v>
      </c>
      <c r="Q8094">
        <v>0</v>
      </c>
      <c r="R8094" t="s">
        <v>32534</v>
      </c>
      <c r="S8094" t="s">
        <v>32739</v>
      </c>
      <c r="T8094" t="s">
        <v>33259</v>
      </c>
      <c r="U8094" t="s">
        <v>40366</v>
      </c>
      <c r="W8094" t="s">
        <v>31723</v>
      </c>
      <c r="X8094" t="s">
        <v>32537</v>
      </c>
    </row>
    <row r="8095" spans="1:24">
      <c r="A8095">
        <f>HYPERLINK("https://www.philgeps.gov.ph/GEPSNONPILOT/Tender/SplashBidNoticeAbstractUI.aspx?menuIndex=3&amp;refID=7030845&amp;Result=3","7030845")</f>
        <v>0</v>
      </c>
      <c r="B8095" t="s">
        <v>2350</v>
      </c>
      <c r="C8095" t="s">
        <v>10409</v>
      </c>
      <c r="D8095" t="s">
        <v>13046</v>
      </c>
      <c r="E8095" t="s">
        <v>19308</v>
      </c>
      <c r="F8095" t="s">
        <v>22436</v>
      </c>
      <c r="G8095" t="s">
        <v>22444</v>
      </c>
      <c r="H8095" t="s">
        <v>22452</v>
      </c>
      <c r="I8095" t="s">
        <v>11896</v>
      </c>
      <c r="J8095" t="s">
        <v>27797</v>
      </c>
      <c r="K8095" t="s">
        <v>29335</v>
      </c>
      <c r="M8095" t="s">
        <v>32130</v>
      </c>
      <c r="N8095" t="s">
        <v>32524</v>
      </c>
      <c r="O8095" t="s">
        <v>32525</v>
      </c>
      <c r="P8095">
        <v>0</v>
      </c>
      <c r="Q8095">
        <v>8</v>
      </c>
      <c r="R8095" t="s">
        <v>32534</v>
      </c>
      <c r="S8095" t="s">
        <v>32739</v>
      </c>
      <c r="T8095" t="s">
        <v>33234</v>
      </c>
      <c r="U8095" t="s">
        <v>40367</v>
      </c>
      <c r="W8095" t="s">
        <v>32130</v>
      </c>
      <c r="X8095" t="s">
        <v>32537</v>
      </c>
    </row>
    <row r="8096" spans="1:24">
      <c r="A8096">
        <f>HYPERLINK("https://www.philgeps.gov.ph/GEPSNONPILOT/Tender/SplashBidNoticeAbstractUI.aspx?menuIndex=3&amp;refID=7030609&amp;Result=3","7030609")</f>
        <v>0</v>
      </c>
      <c r="B8096" t="s">
        <v>2039</v>
      </c>
      <c r="C8096" t="s">
        <v>10410</v>
      </c>
      <c r="D8096" t="s">
        <v>13003</v>
      </c>
      <c r="E8096" t="s">
        <v>20196</v>
      </c>
      <c r="F8096" t="s">
        <v>22436</v>
      </c>
      <c r="G8096" t="s">
        <v>22444</v>
      </c>
      <c r="H8096" t="s">
        <v>22454</v>
      </c>
      <c r="I8096" t="s">
        <v>7738</v>
      </c>
      <c r="J8096" t="s">
        <v>27798</v>
      </c>
      <c r="K8096" t="s">
        <v>29337</v>
      </c>
      <c r="M8096" t="s">
        <v>31774</v>
      </c>
      <c r="N8096" t="s">
        <v>32524</v>
      </c>
      <c r="O8096" t="s">
        <v>32525</v>
      </c>
      <c r="P8096">
        <v>0</v>
      </c>
      <c r="Q8096">
        <v>0</v>
      </c>
      <c r="R8096" t="s">
        <v>32534</v>
      </c>
      <c r="S8096" t="s">
        <v>32739</v>
      </c>
      <c r="T8096" t="s">
        <v>33238</v>
      </c>
      <c r="U8096" t="s">
        <v>39111</v>
      </c>
      <c r="W8096" t="s">
        <v>31774</v>
      </c>
      <c r="X8096" t="s">
        <v>32537</v>
      </c>
    </row>
    <row r="8097" spans="1:24">
      <c r="A8097">
        <f>HYPERLINK("https://www.philgeps.gov.ph/GEPSNONPILOT/Tender/SplashBidNoticeAbstractUI.aspx?menuIndex=3&amp;refID=7030743&amp;Result=3","7030743")</f>
        <v>0</v>
      </c>
      <c r="B8097" t="s">
        <v>364</v>
      </c>
      <c r="C8097" t="s">
        <v>10411</v>
      </c>
      <c r="D8097" t="s">
        <v>13011</v>
      </c>
      <c r="E8097" t="s">
        <v>20197</v>
      </c>
      <c r="F8097" t="s">
        <v>22436</v>
      </c>
      <c r="G8097" t="s">
        <v>22444</v>
      </c>
      <c r="H8097" t="s">
        <v>22454</v>
      </c>
      <c r="I8097" t="s">
        <v>7738</v>
      </c>
      <c r="J8097" t="s">
        <v>22634</v>
      </c>
      <c r="K8097" t="s">
        <v>29334</v>
      </c>
      <c r="M8097" t="s">
        <v>29942</v>
      </c>
      <c r="N8097" t="s">
        <v>32524</v>
      </c>
      <c r="O8097" t="s">
        <v>32525</v>
      </c>
      <c r="P8097">
        <v>0</v>
      </c>
      <c r="Q8097">
        <v>0</v>
      </c>
      <c r="R8097" t="s">
        <v>32534</v>
      </c>
      <c r="S8097" t="s">
        <v>32739</v>
      </c>
      <c r="T8097" t="s">
        <v>33249</v>
      </c>
      <c r="U8097" t="s">
        <v>40368</v>
      </c>
      <c r="W8097" t="s">
        <v>29942</v>
      </c>
      <c r="X8097" t="s">
        <v>32537</v>
      </c>
    </row>
    <row r="8098" spans="1:24">
      <c r="A8098">
        <f>HYPERLINK("https://www.philgeps.gov.ph/GEPSNONPILOT/Tender/SplashBidNoticeAbstractUI.aspx?menuIndex=3&amp;refID=7030942&amp;Result=3","7030942")</f>
        <v>0</v>
      </c>
      <c r="B8098" t="s">
        <v>625</v>
      </c>
      <c r="C8098" t="s">
        <v>10412</v>
      </c>
      <c r="D8098" t="s">
        <v>13018</v>
      </c>
      <c r="E8098" t="s">
        <v>14979</v>
      </c>
      <c r="F8098" t="s">
        <v>22437</v>
      </c>
      <c r="G8098" t="s">
        <v>22444</v>
      </c>
      <c r="H8098" t="s">
        <v>22452</v>
      </c>
      <c r="I8098" t="s">
        <v>22492</v>
      </c>
      <c r="J8098" t="s">
        <v>26221</v>
      </c>
      <c r="K8098" t="s">
        <v>29336</v>
      </c>
      <c r="M8098" t="s">
        <v>30216</v>
      </c>
      <c r="N8098" t="s">
        <v>32524</v>
      </c>
      <c r="O8098" t="s">
        <v>32525</v>
      </c>
      <c r="P8098">
        <v>0</v>
      </c>
      <c r="Q8098">
        <v>0</v>
      </c>
      <c r="R8098" t="s">
        <v>32534</v>
      </c>
      <c r="S8098" t="s">
        <v>32739</v>
      </c>
      <c r="T8098" t="s">
        <v>33249</v>
      </c>
      <c r="U8098" t="s">
        <v>40369</v>
      </c>
      <c r="V8098" t="s">
        <v>43325</v>
      </c>
      <c r="W8098" t="s">
        <v>30216</v>
      </c>
      <c r="X8098" t="s">
        <v>32537</v>
      </c>
    </row>
    <row r="8099" spans="1:24">
      <c r="A8099">
        <f>HYPERLINK("https://www.philgeps.gov.ph/GEPSNONPILOT/Tender/SplashBidNoticeAbstractUI.aspx?menuIndex=3&amp;refID=7031065&amp;Result=3","7031065")</f>
        <v>0</v>
      </c>
      <c r="B8099" t="s">
        <v>246</v>
      </c>
      <c r="C8099" t="s">
        <v>10413</v>
      </c>
      <c r="D8099" t="s">
        <v>13006</v>
      </c>
      <c r="E8099" t="s">
        <v>20198</v>
      </c>
      <c r="F8099" t="s">
        <v>22436</v>
      </c>
      <c r="G8099" t="s">
        <v>22443</v>
      </c>
      <c r="H8099" t="s">
        <v>22452</v>
      </c>
      <c r="I8099" t="s">
        <v>22461</v>
      </c>
      <c r="J8099" t="s">
        <v>22929</v>
      </c>
      <c r="K8099" t="s">
        <v>29341</v>
      </c>
      <c r="M8099" t="s">
        <v>29820</v>
      </c>
      <c r="N8099" t="s">
        <v>32524</v>
      </c>
      <c r="O8099" t="s">
        <v>32525</v>
      </c>
      <c r="Q8099">
        <v>3</v>
      </c>
      <c r="R8099" t="s">
        <v>32534</v>
      </c>
      <c r="S8099" t="s">
        <v>32756</v>
      </c>
      <c r="T8099" t="s">
        <v>33252</v>
      </c>
      <c r="U8099" t="s">
        <v>40370</v>
      </c>
      <c r="W8099" t="s">
        <v>29820</v>
      </c>
      <c r="X8099" t="s">
        <v>32537</v>
      </c>
    </row>
    <row r="8100" spans="1:24">
      <c r="A8100">
        <f>HYPERLINK("https://www.philgeps.gov.ph/GEPSNONPILOT/Tender/SplashBidNoticeAbstractUI.aspx?menuIndex=3&amp;refID=7031122&amp;Result=3","7031122")</f>
        <v>0</v>
      </c>
      <c r="B8100" t="s">
        <v>2345</v>
      </c>
      <c r="C8100" t="s">
        <v>10414</v>
      </c>
      <c r="D8100" t="s">
        <v>12991</v>
      </c>
      <c r="E8100" t="s">
        <v>20199</v>
      </c>
      <c r="F8100" t="s">
        <v>22436</v>
      </c>
      <c r="G8100" t="s">
        <v>22444</v>
      </c>
      <c r="H8100" t="s">
        <v>22452</v>
      </c>
      <c r="I8100" t="s">
        <v>22471</v>
      </c>
      <c r="J8100" t="s">
        <v>23076</v>
      </c>
      <c r="K8100" t="s">
        <v>29334</v>
      </c>
      <c r="M8100" t="s">
        <v>32123</v>
      </c>
      <c r="N8100" t="s">
        <v>32524</v>
      </c>
      <c r="O8100" t="s">
        <v>32525</v>
      </c>
      <c r="P8100">
        <v>0</v>
      </c>
      <c r="Q8100">
        <v>1</v>
      </c>
      <c r="R8100" t="s">
        <v>32534</v>
      </c>
      <c r="S8100" t="s">
        <v>32739</v>
      </c>
      <c r="T8100" t="s">
        <v>33220</v>
      </c>
      <c r="U8100" t="s">
        <v>40371</v>
      </c>
      <c r="W8100" t="s">
        <v>32123</v>
      </c>
      <c r="X8100" t="s">
        <v>32537</v>
      </c>
    </row>
    <row r="8101" spans="1:24">
      <c r="A8101">
        <f>HYPERLINK("https://www.philgeps.gov.ph/GEPSNONPILOT/Tender/SplashBidNoticeAbstractUI.aspx?menuIndex=3&amp;refID=7031437&amp;Result=3","7031437")</f>
        <v>0</v>
      </c>
      <c r="B8101" t="s">
        <v>319</v>
      </c>
      <c r="C8101" t="s">
        <v>10415</v>
      </c>
      <c r="D8101" t="s">
        <v>13037</v>
      </c>
      <c r="E8101" t="s">
        <v>20200</v>
      </c>
      <c r="F8101" t="s">
        <v>22436</v>
      </c>
      <c r="G8101" t="s">
        <v>22444</v>
      </c>
      <c r="H8101" t="s">
        <v>22454</v>
      </c>
      <c r="I8101" t="s">
        <v>7738</v>
      </c>
      <c r="J8101" t="s">
        <v>27799</v>
      </c>
      <c r="K8101" t="s">
        <v>29515</v>
      </c>
      <c r="M8101" t="s">
        <v>29895</v>
      </c>
      <c r="N8101" t="s">
        <v>32524</v>
      </c>
      <c r="O8101" t="s">
        <v>32525</v>
      </c>
      <c r="P8101">
        <v>0</v>
      </c>
      <c r="Q8101">
        <v>0</v>
      </c>
      <c r="R8101" t="s">
        <v>32534</v>
      </c>
      <c r="S8101" t="s">
        <v>32739</v>
      </c>
      <c r="T8101" t="s">
        <v>33227</v>
      </c>
      <c r="U8101" t="s">
        <v>34481</v>
      </c>
      <c r="W8101" t="s">
        <v>29895</v>
      </c>
      <c r="X8101" t="s">
        <v>32537</v>
      </c>
    </row>
    <row r="8102" spans="1:24">
      <c r="A8102">
        <f>HYPERLINK("https://www.philgeps.gov.ph/GEPSNONPILOT/Tender/SplashBidNoticeAbstractUI.aspx?menuIndex=3&amp;refID=7031042&amp;Result=3","7031042")</f>
        <v>0</v>
      </c>
      <c r="B8102" t="s">
        <v>246</v>
      </c>
      <c r="C8102" t="s">
        <v>5248</v>
      </c>
      <c r="D8102" t="s">
        <v>13006</v>
      </c>
      <c r="E8102" t="s">
        <v>20201</v>
      </c>
      <c r="F8102" t="s">
        <v>22436</v>
      </c>
      <c r="G8102" t="s">
        <v>22443</v>
      </c>
      <c r="H8102" t="s">
        <v>22452</v>
      </c>
      <c r="I8102" t="s">
        <v>2981</v>
      </c>
      <c r="J8102" t="s">
        <v>25837</v>
      </c>
      <c r="K8102" t="s">
        <v>29341</v>
      </c>
      <c r="M8102" t="s">
        <v>29820</v>
      </c>
      <c r="N8102" t="s">
        <v>32524</v>
      </c>
      <c r="O8102" t="s">
        <v>32525</v>
      </c>
      <c r="Q8102">
        <v>2</v>
      </c>
      <c r="R8102" t="s">
        <v>32534</v>
      </c>
      <c r="S8102" t="s">
        <v>32757</v>
      </c>
      <c r="T8102" t="s">
        <v>33252</v>
      </c>
      <c r="U8102" t="s">
        <v>40372</v>
      </c>
      <c r="W8102" t="s">
        <v>29820</v>
      </c>
      <c r="X8102" t="s">
        <v>32537</v>
      </c>
    </row>
    <row r="8103" spans="1:24">
      <c r="A8103">
        <f>HYPERLINK("https://www.philgeps.gov.ph/GEPSNONPILOT/Tender/SplashBidNoticeAbstractUI.aspx?menuIndex=3&amp;refID=7031388&amp;Result=3","7031388")</f>
        <v>0</v>
      </c>
      <c r="B8103" t="s">
        <v>667</v>
      </c>
      <c r="C8103" t="s">
        <v>10416</v>
      </c>
      <c r="D8103" t="s">
        <v>12988</v>
      </c>
      <c r="E8103" t="s">
        <v>20202</v>
      </c>
      <c r="F8103" t="s">
        <v>22436</v>
      </c>
      <c r="G8103" t="s">
        <v>22444</v>
      </c>
      <c r="H8103" t="s">
        <v>22452</v>
      </c>
      <c r="I8103" t="s">
        <v>22474</v>
      </c>
      <c r="J8103" t="s">
        <v>27800</v>
      </c>
      <c r="K8103" t="s">
        <v>29344</v>
      </c>
      <c r="M8103" t="s">
        <v>32131</v>
      </c>
      <c r="N8103" t="s">
        <v>32524</v>
      </c>
      <c r="O8103" t="s">
        <v>32525</v>
      </c>
      <c r="P8103">
        <v>0</v>
      </c>
      <c r="Q8103">
        <v>22</v>
      </c>
      <c r="R8103" t="s">
        <v>32534</v>
      </c>
      <c r="S8103" t="s">
        <v>32739</v>
      </c>
      <c r="T8103" t="s">
        <v>33242</v>
      </c>
      <c r="U8103" t="s">
        <v>40373</v>
      </c>
      <c r="W8103" t="s">
        <v>32131</v>
      </c>
      <c r="X8103" t="s">
        <v>32537</v>
      </c>
    </row>
    <row r="8104" spans="1:24">
      <c r="A8104">
        <f>HYPERLINK("https://www.philgeps.gov.ph/GEPSNONPILOT/Tender/SplashBidNoticeAbstractUI.aspx?menuIndex=3&amp;refID=7031433&amp;Result=3","7031433")</f>
        <v>0</v>
      </c>
      <c r="B8104" t="s">
        <v>1007</v>
      </c>
      <c r="C8104" t="s">
        <v>10417</v>
      </c>
      <c r="D8104" t="s">
        <v>12991</v>
      </c>
      <c r="E8104" t="s">
        <v>20203</v>
      </c>
      <c r="F8104" t="s">
        <v>22436</v>
      </c>
      <c r="G8104" t="s">
        <v>22444</v>
      </c>
      <c r="H8104" t="s">
        <v>22452</v>
      </c>
      <c r="I8104" t="s">
        <v>22457</v>
      </c>
      <c r="J8104" t="s">
        <v>27801</v>
      </c>
      <c r="K8104" t="s">
        <v>29371</v>
      </c>
      <c r="M8104" t="s">
        <v>30635</v>
      </c>
      <c r="N8104" t="s">
        <v>32524</v>
      </c>
      <c r="O8104" t="s">
        <v>32525</v>
      </c>
      <c r="P8104">
        <v>0</v>
      </c>
      <c r="Q8104">
        <v>2</v>
      </c>
      <c r="R8104" t="s">
        <v>32534</v>
      </c>
      <c r="S8104" t="s">
        <v>32739</v>
      </c>
      <c r="T8104" t="s">
        <v>33340</v>
      </c>
      <c r="U8104" t="s">
        <v>40374</v>
      </c>
      <c r="W8104" t="s">
        <v>30635</v>
      </c>
      <c r="X8104" t="s">
        <v>32537</v>
      </c>
    </row>
    <row r="8105" spans="1:24">
      <c r="A8105">
        <f>HYPERLINK("https://www.philgeps.gov.ph/GEPSNONPILOT/Tender/SplashBidNoticeAbstractUI.aspx?menuIndex=3&amp;refID=7030978&amp;Result=3","7030978")</f>
        <v>0</v>
      </c>
      <c r="B8105" t="s">
        <v>625</v>
      </c>
      <c r="C8105" t="s">
        <v>10418</v>
      </c>
      <c r="D8105" t="s">
        <v>13018</v>
      </c>
      <c r="E8105" t="s">
        <v>15383</v>
      </c>
      <c r="F8105" t="s">
        <v>22437</v>
      </c>
      <c r="G8105" t="s">
        <v>22444</v>
      </c>
      <c r="H8105" t="s">
        <v>22452</v>
      </c>
      <c r="I8105" t="s">
        <v>22492</v>
      </c>
      <c r="J8105" t="s">
        <v>27329</v>
      </c>
      <c r="K8105" t="s">
        <v>29336</v>
      </c>
      <c r="M8105" t="s">
        <v>30216</v>
      </c>
      <c r="N8105" t="s">
        <v>32524</v>
      </c>
      <c r="O8105" t="s">
        <v>32525</v>
      </c>
      <c r="P8105">
        <v>0</v>
      </c>
      <c r="Q8105">
        <v>0</v>
      </c>
      <c r="R8105" t="s">
        <v>32534</v>
      </c>
      <c r="S8105" t="s">
        <v>32739</v>
      </c>
      <c r="T8105" t="s">
        <v>33340</v>
      </c>
      <c r="U8105" t="s">
        <v>40375</v>
      </c>
      <c r="V8105" t="s">
        <v>43326</v>
      </c>
      <c r="W8105" t="s">
        <v>30216</v>
      </c>
      <c r="X8105" t="s">
        <v>32537</v>
      </c>
    </row>
    <row r="8106" spans="1:24">
      <c r="A8106">
        <f>HYPERLINK("https://www.philgeps.gov.ph/GEPSNONPILOT/Tender/SplashBidNoticeAbstractUI.aspx?menuIndex=3&amp;refID=7031325&amp;Result=3","7031325")</f>
        <v>0</v>
      </c>
      <c r="B8106" t="s">
        <v>1517</v>
      </c>
      <c r="C8106" t="s">
        <v>10419</v>
      </c>
      <c r="E8106" t="s">
        <v>20204</v>
      </c>
      <c r="F8106" t="s">
        <v>22436</v>
      </c>
      <c r="G8106" t="s">
        <v>22443</v>
      </c>
      <c r="H8106" t="s">
        <v>22452</v>
      </c>
      <c r="I8106" t="s">
        <v>22461</v>
      </c>
      <c r="J8106" t="s">
        <v>27802</v>
      </c>
      <c r="K8106" t="s">
        <v>29341</v>
      </c>
      <c r="M8106" t="s">
        <v>31192</v>
      </c>
      <c r="N8106" t="s">
        <v>32524</v>
      </c>
      <c r="O8106" t="s">
        <v>32525</v>
      </c>
      <c r="Q8106">
        <v>4</v>
      </c>
      <c r="R8106" t="s">
        <v>32534</v>
      </c>
      <c r="S8106" t="s">
        <v>32758</v>
      </c>
      <c r="T8106" t="s">
        <v>33181</v>
      </c>
      <c r="U8106" t="s">
        <v>40376</v>
      </c>
      <c r="W8106" t="s">
        <v>31192</v>
      </c>
      <c r="X8106" t="s">
        <v>32537</v>
      </c>
    </row>
    <row r="8107" spans="1:24">
      <c r="A8107">
        <f>HYPERLINK("https://www.philgeps.gov.ph/GEPSNONPILOT/Tender/SplashBidNoticeAbstractUI.aspx?menuIndex=3&amp;refID=7031378&amp;Result=3","7031378")</f>
        <v>0</v>
      </c>
      <c r="B8107" t="s">
        <v>1007</v>
      </c>
      <c r="C8107" t="s">
        <v>10420</v>
      </c>
      <c r="D8107" t="s">
        <v>12991</v>
      </c>
      <c r="E8107" t="s">
        <v>20205</v>
      </c>
      <c r="F8107" t="s">
        <v>22436</v>
      </c>
      <c r="G8107" t="s">
        <v>22444</v>
      </c>
      <c r="H8107" t="s">
        <v>22452</v>
      </c>
      <c r="I8107" t="s">
        <v>22467</v>
      </c>
      <c r="J8107" t="s">
        <v>27803</v>
      </c>
      <c r="K8107" t="s">
        <v>29334</v>
      </c>
      <c r="M8107" t="s">
        <v>30635</v>
      </c>
      <c r="N8107" t="s">
        <v>32524</v>
      </c>
      <c r="O8107" t="s">
        <v>32525</v>
      </c>
      <c r="P8107">
        <v>0</v>
      </c>
      <c r="Q8107">
        <v>0</v>
      </c>
      <c r="R8107" t="s">
        <v>32534</v>
      </c>
      <c r="S8107" t="s">
        <v>32739</v>
      </c>
      <c r="T8107" t="s">
        <v>33340</v>
      </c>
      <c r="U8107" t="s">
        <v>40377</v>
      </c>
      <c r="W8107" t="s">
        <v>30635</v>
      </c>
      <c r="X8107" t="s">
        <v>32537</v>
      </c>
    </row>
    <row r="8108" spans="1:24">
      <c r="A8108">
        <f>HYPERLINK("https://www.philgeps.gov.ph/GEPSNONPILOT/Tender/SplashBidNoticeAbstractUI.aspx?menuIndex=3&amp;refID=7031293&amp;Result=3","7031293")</f>
        <v>0</v>
      </c>
      <c r="B8108" t="s">
        <v>246</v>
      </c>
      <c r="C8108" t="s">
        <v>10421</v>
      </c>
      <c r="D8108" t="s">
        <v>13081</v>
      </c>
      <c r="E8108" t="s">
        <v>20206</v>
      </c>
      <c r="F8108" t="s">
        <v>22436</v>
      </c>
      <c r="G8108" t="s">
        <v>22443</v>
      </c>
      <c r="H8108" t="s">
        <v>22452</v>
      </c>
      <c r="I8108" t="s">
        <v>22488</v>
      </c>
      <c r="J8108" t="s">
        <v>22583</v>
      </c>
      <c r="K8108" t="s">
        <v>29341</v>
      </c>
      <c r="M8108" t="s">
        <v>29820</v>
      </c>
      <c r="N8108" t="s">
        <v>32524</v>
      </c>
      <c r="O8108" t="s">
        <v>32525</v>
      </c>
      <c r="Q8108">
        <v>0</v>
      </c>
      <c r="R8108" t="s">
        <v>32534</v>
      </c>
      <c r="S8108" t="s">
        <v>32759</v>
      </c>
      <c r="T8108" t="s">
        <v>33252</v>
      </c>
      <c r="U8108" t="s">
        <v>40378</v>
      </c>
      <c r="W8108" t="s">
        <v>29820</v>
      </c>
      <c r="X8108" t="s">
        <v>32537</v>
      </c>
    </row>
    <row r="8109" spans="1:24">
      <c r="A8109">
        <f>HYPERLINK("https://www.philgeps.gov.ph/GEPSNONPILOT/Tender/SplashBidNoticeAbstractUI.aspx?menuIndex=3&amp;refID=7031322&amp;Result=3","7031322")</f>
        <v>0</v>
      </c>
      <c r="B8109" t="s">
        <v>319</v>
      </c>
      <c r="C8109" t="s">
        <v>10422</v>
      </c>
      <c r="D8109" t="s">
        <v>13037</v>
      </c>
      <c r="E8109" t="s">
        <v>20207</v>
      </c>
      <c r="F8109" t="s">
        <v>22436</v>
      </c>
      <c r="G8109" t="s">
        <v>22444</v>
      </c>
      <c r="H8109" t="s">
        <v>22454</v>
      </c>
      <c r="I8109" t="s">
        <v>7738</v>
      </c>
      <c r="J8109" t="s">
        <v>23397</v>
      </c>
      <c r="K8109" t="s">
        <v>29515</v>
      </c>
      <c r="M8109" t="s">
        <v>29895</v>
      </c>
      <c r="N8109" t="s">
        <v>32524</v>
      </c>
      <c r="O8109" t="s">
        <v>32525</v>
      </c>
      <c r="P8109">
        <v>0</v>
      </c>
      <c r="Q8109">
        <v>0</v>
      </c>
      <c r="R8109" t="s">
        <v>32534</v>
      </c>
      <c r="S8109" t="s">
        <v>32739</v>
      </c>
      <c r="T8109" t="s">
        <v>33227</v>
      </c>
      <c r="U8109" t="s">
        <v>34481</v>
      </c>
      <c r="W8109" t="s">
        <v>29895</v>
      </c>
      <c r="X8109" t="s">
        <v>32537</v>
      </c>
    </row>
    <row r="8110" spans="1:24">
      <c r="A8110">
        <f>HYPERLINK("https://www.philgeps.gov.ph/GEPSNONPILOT/Tender/SplashBidNoticeAbstractUI.aspx?menuIndex=3&amp;refID=7031235&amp;Result=3","7031235")</f>
        <v>0</v>
      </c>
      <c r="B8110" t="s">
        <v>1007</v>
      </c>
      <c r="C8110" t="s">
        <v>10423</v>
      </c>
      <c r="D8110" t="s">
        <v>12991</v>
      </c>
      <c r="E8110" t="s">
        <v>20208</v>
      </c>
      <c r="F8110" t="s">
        <v>22436</v>
      </c>
      <c r="G8110" t="s">
        <v>22444</v>
      </c>
      <c r="H8110" t="s">
        <v>22452</v>
      </c>
      <c r="I8110" t="s">
        <v>22474</v>
      </c>
      <c r="J8110" t="s">
        <v>27804</v>
      </c>
      <c r="K8110" t="s">
        <v>29333</v>
      </c>
      <c r="M8110" t="s">
        <v>30635</v>
      </c>
      <c r="N8110" t="s">
        <v>32524</v>
      </c>
      <c r="O8110" t="s">
        <v>32525</v>
      </c>
      <c r="P8110">
        <v>0</v>
      </c>
      <c r="Q8110">
        <v>8</v>
      </c>
      <c r="R8110" t="s">
        <v>32534</v>
      </c>
      <c r="S8110" t="s">
        <v>32739</v>
      </c>
      <c r="T8110" t="s">
        <v>33340</v>
      </c>
      <c r="U8110" t="s">
        <v>40379</v>
      </c>
      <c r="W8110" t="s">
        <v>30635</v>
      </c>
      <c r="X8110" t="s">
        <v>32537</v>
      </c>
    </row>
    <row r="8111" spans="1:24">
      <c r="A8111">
        <f>HYPERLINK("https://www.philgeps.gov.ph/GEPSNONPILOT/Tender/SplashBidNoticeAbstractUI.aspx?menuIndex=3&amp;refID=7031259&amp;Result=3","7031259")</f>
        <v>0</v>
      </c>
      <c r="B8111" t="s">
        <v>246</v>
      </c>
      <c r="C8111" t="s">
        <v>10424</v>
      </c>
      <c r="D8111" t="s">
        <v>13082</v>
      </c>
      <c r="E8111" t="s">
        <v>20209</v>
      </c>
      <c r="F8111" t="s">
        <v>22436</v>
      </c>
      <c r="G8111" t="s">
        <v>22444</v>
      </c>
      <c r="H8111" t="s">
        <v>22452</v>
      </c>
      <c r="I8111" t="s">
        <v>22461</v>
      </c>
      <c r="J8111" t="s">
        <v>27805</v>
      </c>
      <c r="K8111" t="s">
        <v>29333</v>
      </c>
      <c r="M8111" t="s">
        <v>30567</v>
      </c>
      <c r="N8111" t="s">
        <v>32524</v>
      </c>
      <c r="O8111" t="s">
        <v>32525</v>
      </c>
      <c r="Q8111">
        <v>1</v>
      </c>
      <c r="R8111" t="s">
        <v>32534</v>
      </c>
      <c r="S8111" t="s">
        <v>32760</v>
      </c>
      <c r="T8111" t="s">
        <v>33191</v>
      </c>
      <c r="U8111" t="s">
        <v>40380</v>
      </c>
      <c r="W8111" t="s">
        <v>30567</v>
      </c>
      <c r="X8111" t="s">
        <v>32537</v>
      </c>
    </row>
    <row r="8112" spans="1:24">
      <c r="A8112">
        <f>HYPERLINK("https://www.philgeps.gov.ph/GEPSNONPILOT/Tender/SplashBidNoticeAbstractUI.aspx?menuIndex=3&amp;refID=7031269&amp;Result=3","7031269")</f>
        <v>0</v>
      </c>
      <c r="B8112" t="s">
        <v>319</v>
      </c>
      <c r="C8112" t="s">
        <v>10425</v>
      </c>
      <c r="D8112" t="s">
        <v>13037</v>
      </c>
      <c r="E8112" t="s">
        <v>20210</v>
      </c>
      <c r="F8112" t="s">
        <v>22436</v>
      </c>
      <c r="G8112" t="s">
        <v>22444</v>
      </c>
      <c r="H8112" t="s">
        <v>22454</v>
      </c>
      <c r="I8112" t="s">
        <v>7738</v>
      </c>
      <c r="J8112" t="s">
        <v>27806</v>
      </c>
      <c r="K8112" t="s">
        <v>29334</v>
      </c>
      <c r="M8112" t="s">
        <v>29895</v>
      </c>
      <c r="N8112" t="s">
        <v>32524</v>
      </c>
      <c r="O8112" t="s">
        <v>32525</v>
      </c>
      <c r="P8112">
        <v>0</v>
      </c>
      <c r="Q8112">
        <v>0</v>
      </c>
      <c r="R8112" t="s">
        <v>32534</v>
      </c>
      <c r="S8112" t="s">
        <v>32739</v>
      </c>
      <c r="T8112" t="s">
        <v>33227</v>
      </c>
      <c r="U8112" t="s">
        <v>34481</v>
      </c>
      <c r="W8112" t="s">
        <v>29895</v>
      </c>
      <c r="X8112" t="s">
        <v>32537</v>
      </c>
    </row>
    <row r="8113" spans="1:24">
      <c r="A8113">
        <f>HYPERLINK("https://www.philgeps.gov.ph/GEPSNONPILOT/Tender/SplashBidNoticeAbstractUI.aspx?menuIndex=3&amp;refID=7031029&amp;Result=3","7031029")</f>
        <v>0</v>
      </c>
      <c r="B8113" t="s">
        <v>793</v>
      </c>
      <c r="C8113" t="s">
        <v>10426</v>
      </c>
      <c r="E8113" t="s">
        <v>20211</v>
      </c>
      <c r="F8113" t="s">
        <v>22436</v>
      </c>
      <c r="G8113" t="s">
        <v>22444</v>
      </c>
      <c r="H8113" t="s">
        <v>22453</v>
      </c>
      <c r="I8113" t="s">
        <v>22486</v>
      </c>
      <c r="J8113" t="s">
        <v>22877</v>
      </c>
      <c r="K8113" t="s">
        <v>29353</v>
      </c>
      <c r="M8113" t="s">
        <v>32132</v>
      </c>
      <c r="N8113" t="s">
        <v>32524</v>
      </c>
      <c r="O8113" t="s">
        <v>32525</v>
      </c>
      <c r="P8113">
        <v>0</v>
      </c>
      <c r="Q8113">
        <v>6</v>
      </c>
      <c r="R8113" t="s">
        <v>32534</v>
      </c>
      <c r="S8113" t="s">
        <v>32739</v>
      </c>
      <c r="T8113" t="s">
        <v>33259</v>
      </c>
      <c r="U8113" t="s">
        <v>40381</v>
      </c>
      <c r="W8113" t="s">
        <v>32132</v>
      </c>
      <c r="X8113" t="s">
        <v>32537</v>
      </c>
    </row>
    <row r="8114" spans="1:24">
      <c r="A8114">
        <f>HYPERLINK("https://www.philgeps.gov.ph/GEPSNONPILOT/Tender/SplashBidNoticeAbstractUI.aspx?menuIndex=3&amp;refID=7031242&amp;Result=3","7031242")</f>
        <v>0</v>
      </c>
      <c r="B8114" t="s">
        <v>246</v>
      </c>
      <c r="C8114" t="s">
        <v>10427</v>
      </c>
      <c r="D8114" t="s">
        <v>13081</v>
      </c>
      <c r="E8114" t="s">
        <v>20212</v>
      </c>
      <c r="F8114" t="s">
        <v>22436</v>
      </c>
      <c r="G8114" t="s">
        <v>22443</v>
      </c>
      <c r="H8114" t="s">
        <v>22452</v>
      </c>
      <c r="I8114" t="s">
        <v>22488</v>
      </c>
      <c r="J8114" t="s">
        <v>24046</v>
      </c>
      <c r="K8114" t="s">
        <v>29341</v>
      </c>
      <c r="M8114" t="s">
        <v>29820</v>
      </c>
      <c r="N8114" t="s">
        <v>32524</v>
      </c>
      <c r="O8114" t="s">
        <v>32525</v>
      </c>
      <c r="Q8114">
        <v>1</v>
      </c>
      <c r="R8114" t="s">
        <v>32534</v>
      </c>
      <c r="S8114" t="s">
        <v>32761</v>
      </c>
      <c r="T8114" t="s">
        <v>33252</v>
      </c>
      <c r="U8114" t="s">
        <v>40382</v>
      </c>
      <c r="W8114" t="s">
        <v>29820</v>
      </c>
      <c r="X8114" t="s">
        <v>32537</v>
      </c>
    </row>
    <row r="8115" spans="1:24">
      <c r="A8115">
        <f>HYPERLINK("https://www.philgeps.gov.ph/GEPSNONPILOT/Tender/SplashBidNoticeAbstractUI.aspx?menuIndex=3&amp;refID=7031800&amp;Result=3","7031800")</f>
        <v>0</v>
      </c>
      <c r="B8115" t="s">
        <v>944</v>
      </c>
      <c r="C8115" t="s">
        <v>10428</v>
      </c>
      <c r="D8115" t="s">
        <v>13035</v>
      </c>
      <c r="E8115" t="s">
        <v>20213</v>
      </c>
      <c r="F8115" t="s">
        <v>22436</v>
      </c>
      <c r="G8115" t="s">
        <v>22444</v>
      </c>
      <c r="H8115" t="s">
        <v>22454</v>
      </c>
      <c r="I8115" t="s">
        <v>7738</v>
      </c>
      <c r="J8115" t="s">
        <v>27807</v>
      </c>
      <c r="K8115" t="s">
        <v>29334</v>
      </c>
      <c r="M8115" t="s">
        <v>30558</v>
      </c>
      <c r="N8115" t="s">
        <v>32524</v>
      </c>
      <c r="O8115" t="s">
        <v>32525</v>
      </c>
      <c r="Q8115">
        <v>0</v>
      </c>
      <c r="R8115" t="s">
        <v>32534</v>
      </c>
      <c r="S8115" t="s">
        <v>32762</v>
      </c>
      <c r="T8115" t="s">
        <v>33403</v>
      </c>
      <c r="U8115" t="s">
        <v>40383</v>
      </c>
      <c r="V8115" t="s">
        <v>42652</v>
      </c>
      <c r="W8115" t="s">
        <v>30558</v>
      </c>
      <c r="X8115" t="s">
        <v>32537</v>
      </c>
    </row>
    <row r="8116" spans="1:24">
      <c r="A8116">
        <f>HYPERLINK("https://www.philgeps.gov.ph/GEPSNONPILOT/Tender/SplashBidNoticeAbstractUI.aspx?menuIndex=3&amp;refID=7031250&amp;Result=3","7031250")</f>
        <v>0</v>
      </c>
      <c r="B8116" t="s">
        <v>1007</v>
      </c>
      <c r="C8116" t="s">
        <v>10429</v>
      </c>
      <c r="D8116" t="s">
        <v>12991</v>
      </c>
      <c r="E8116" t="s">
        <v>20214</v>
      </c>
      <c r="F8116" t="s">
        <v>22436</v>
      </c>
      <c r="G8116" t="s">
        <v>22444</v>
      </c>
      <c r="H8116" t="s">
        <v>22452</v>
      </c>
      <c r="I8116" t="s">
        <v>22458</v>
      </c>
      <c r="J8116" t="s">
        <v>22669</v>
      </c>
      <c r="K8116" t="s">
        <v>29333</v>
      </c>
      <c r="M8116" t="s">
        <v>30635</v>
      </c>
      <c r="N8116" t="s">
        <v>32524</v>
      </c>
      <c r="O8116" t="s">
        <v>32525</v>
      </c>
      <c r="P8116">
        <v>0</v>
      </c>
      <c r="Q8116">
        <v>16</v>
      </c>
      <c r="R8116" t="s">
        <v>32534</v>
      </c>
      <c r="S8116" t="s">
        <v>32739</v>
      </c>
      <c r="T8116" t="s">
        <v>33340</v>
      </c>
      <c r="U8116" t="s">
        <v>40384</v>
      </c>
      <c r="W8116" t="s">
        <v>30635</v>
      </c>
      <c r="X8116" t="s">
        <v>32537</v>
      </c>
    </row>
    <row r="8117" spans="1:24">
      <c r="A8117">
        <f>HYPERLINK("https://www.philgeps.gov.ph/GEPSNONPILOT/Tender/SplashBidNoticeAbstractUI.aspx?menuIndex=3&amp;refID=7031682&amp;Result=3","7031682")</f>
        <v>0</v>
      </c>
      <c r="B8117" t="s">
        <v>2351</v>
      </c>
      <c r="C8117" t="s">
        <v>10430</v>
      </c>
      <c r="E8117" t="s">
        <v>20215</v>
      </c>
      <c r="F8117" t="s">
        <v>22436</v>
      </c>
      <c r="G8117" t="s">
        <v>22444</v>
      </c>
      <c r="H8117" t="s">
        <v>22452</v>
      </c>
      <c r="I8117" t="s">
        <v>22479</v>
      </c>
      <c r="J8117" t="s">
        <v>23316</v>
      </c>
      <c r="K8117" t="s">
        <v>29347</v>
      </c>
      <c r="M8117" t="s">
        <v>32133</v>
      </c>
      <c r="N8117" t="s">
        <v>32524</v>
      </c>
      <c r="O8117" t="s">
        <v>32525</v>
      </c>
      <c r="P8117">
        <v>0</v>
      </c>
      <c r="Q8117">
        <v>6</v>
      </c>
      <c r="R8117" t="s">
        <v>32534</v>
      </c>
      <c r="S8117" t="s">
        <v>32739</v>
      </c>
      <c r="T8117" t="s">
        <v>33487</v>
      </c>
      <c r="U8117" t="s">
        <v>40385</v>
      </c>
      <c r="W8117" t="s">
        <v>32133</v>
      </c>
      <c r="X8117" t="s">
        <v>32537</v>
      </c>
    </row>
    <row r="8118" spans="1:24">
      <c r="A8118">
        <f>HYPERLINK("https://www.philgeps.gov.ph/GEPSNONPILOT/Tender/SplashBidNoticeAbstractUI.aspx?menuIndex=3&amp;refID=7031208&amp;Result=3","7031208")</f>
        <v>0</v>
      </c>
      <c r="B8118" t="s">
        <v>1007</v>
      </c>
      <c r="C8118" t="s">
        <v>10431</v>
      </c>
      <c r="D8118" t="s">
        <v>12991</v>
      </c>
      <c r="E8118" t="s">
        <v>20216</v>
      </c>
      <c r="F8118" t="s">
        <v>22436</v>
      </c>
      <c r="G8118" t="s">
        <v>22444</v>
      </c>
      <c r="H8118" t="s">
        <v>22452</v>
      </c>
      <c r="I8118" t="s">
        <v>22458</v>
      </c>
      <c r="J8118" t="s">
        <v>23627</v>
      </c>
      <c r="K8118" t="s">
        <v>29335</v>
      </c>
      <c r="M8118" t="s">
        <v>30635</v>
      </c>
      <c r="N8118" t="s">
        <v>32524</v>
      </c>
      <c r="O8118" t="s">
        <v>32525</v>
      </c>
      <c r="P8118">
        <v>0</v>
      </c>
      <c r="Q8118">
        <v>7</v>
      </c>
      <c r="R8118" t="s">
        <v>32534</v>
      </c>
      <c r="S8118" t="s">
        <v>32739</v>
      </c>
      <c r="T8118" t="s">
        <v>33340</v>
      </c>
      <c r="U8118" t="s">
        <v>40386</v>
      </c>
      <c r="W8118" t="s">
        <v>30635</v>
      </c>
      <c r="X8118" t="s">
        <v>32537</v>
      </c>
    </row>
    <row r="8119" spans="1:24">
      <c r="A8119">
        <f>HYPERLINK("https://www.philgeps.gov.ph/GEPSNONPILOT/Tender/SplashBidNoticeAbstractUI.aspx?menuIndex=3&amp;refID=7031352&amp;Result=3","7031352")</f>
        <v>0</v>
      </c>
      <c r="B8119" t="s">
        <v>978</v>
      </c>
      <c r="C8119" t="s">
        <v>10432</v>
      </c>
      <c r="D8119" t="s">
        <v>13032</v>
      </c>
      <c r="E8119" t="s">
        <v>20217</v>
      </c>
      <c r="F8119" t="s">
        <v>22436</v>
      </c>
      <c r="G8119" t="s">
        <v>22444</v>
      </c>
      <c r="H8119" t="s">
        <v>22452</v>
      </c>
      <c r="I8119" t="s">
        <v>22474</v>
      </c>
      <c r="J8119" t="s">
        <v>23350</v>
      </c>
      <c r="K8119" t="s">
        <v>29335</v>
      </c>
      <c r="M8119" t="s">
        <v>30599</v>
      </c>
      <c r="N8119" t="s">
        <v>32524</v>
      </c>
      <c r="O8119" t="s">
        <v>32525</v>
      </c>
      <c r="P8119">
        <v>0</v>
      </c>
      <c r="Q8119">
        <v>8</v>
      </c>
      <c r="R8119" t="s">
        <v>32534</v>
      </c>
      <c r="S8119" t="s">
        <v>32739</v>
      </c>
      <c r="T8119" t="s">
        <v>33249</v>
      </c>
      <c r="U8119" t="s">
        <v>40387</v>
      </c>
      <c r="V8119" t="s">
        <v>42675</v>
      </c>
      <c r="W8119" t="s">
        <v>30599</v>
      </c>
      <c r="X8119" t="s">
        <v>32537</v>
      </c>
    </row>
    <row r="8120" spans="1:24">
      <c r="A8120">
        <f>HYPERLINK("https://www.philgeps.gov.ph/GEPSNONPILOT/Tender/SplashBidNoticeAbstractUI.aspx?menuIndex=3&amp;refID=7031842&amp;Result=3","7031842")</f>
        <v>0</v>
      </c>
      <c r="B8120" t="s">
        <v>2352</v>
      </c>
      <c r="C8120" t="s">
        <v>10433</v>
      </c>
      <c r="D8120" t="s">
        <v>12988</v>
      </c>
      <c r="E8120" t="s">
        <v>20218</v>
      </c>
      <c r="F8120" t="s">
        <v>22437</v>
      </c>
      <c r="G8120" t="s">
        <v>22444</v>
      </c>
      <c r="H8120" t="s">
        <v>22452</v>
      </c>
      <c r="I8120" t="s">
        <v>22460</v>
      </c>
      <c r="J8120" t="s">
        <v>27808</v>
      </c>
      <c r="K8120" t="s">
        <v>29336</v>
      </c>
      <c r="M8120" t="s">
        <v>32134</v>
      </c>
      <c r="N8120" t="s">
        <v>32524</v>
      </c>
      <c r="O8120" t="s">
        <v>32525</v>
      </c>
      <c r="P8120">
        <v>0</v>
      </c>
      <c r="Q8120">
        <v>0</v>
      </c>
      <c r="R8120" t="s">
        <v>32534</v>
      </c>
      <c r="S8120" t="s">
        <v>32739</v>
      </c>
      <c r="T8120" t="s">
        <v>33194</v>
      </c>
      <c r="U8120" t="s">
        <v>40388</v>
      </c>
      <c r="V8120" t="s">
        <v>43327</v>
      </c>
      <c r="W8120" t="s">
        <v>32134</v>
      </c>
      <c r="X8120" t="s">
        <v>32537</v>
      </c>
    </row>
    <row r="8121" spans="1:24">
      <c r="A8121">
        <f>HYPERLINK("https://www.philgeps.gov.ph/GEPSNONPILOT/Tender/SplashBidNoticeAbstractUI.aspx?menuIndex=3&amp;refID=7031778&amp;Result=3","7031778")</f>
        <v>0</v>
      </c>
      <c r="B8121" t="s">
        <v>635</v>
      </c>
      <c r="C8121" t="s">
        <v>10434</v>
      </c>
      <c r="D8121" t="s">
        <v>12996</v>
      </c>
      <c r="E8121" t="s">
        <v>20219</v>
      </c>
      <c r="F8121" t="s">
        <v>22436</v>
      </c>
      <c r="G8121" t="s">
        <v>22443</v>
      </c>
      <c r="H8121" t="s">
        <v>22452</v>
      </c>
      <c r="I8121" t="s">
        <v>22476</v>
      </c>
      <c r="J8121" t="s">
        <v>22874</v>
      </c>
      <c r="K8121" t="s">
        <v>29341</v>
      </c>
      <c r="M8121" t="s">
        <v>32135</v>
      </c>
      <c r="N8121" t="s">
        <v>32524</v>
      </c>
      <c r="O8121" t="s">
        <v>32525</v>
      </c>
      <c r="P8121">
        <v>0</v>
      </c>
      <c r="Q8121">
        <v>3</v>
      </c>
      <c r="R8121" t="s">
        <v>32534</v>
      </c>
      <c r="S8121" t="s">
        <v>32739</v>
      </c>
      <c r="T8121" t="s">
        <v>33568</v>
      </c>
      <c r="U8121" t="s">
        <v>40389</v>
      </c>
      <c r="W8121" t="s">
        <v>32135</v>
      </c>
      <c r="X8121" t="s">
        <v>32537</v>
      </c>
    </row>
    <row r="8122" spans="1:24">
      <c r="A8122">
        <f>HYPERLINK("https://www.philgeps.gov.ph/GEPSNONPILOT/Tender/SplashBidNoticeAbstractUI.aspx?menuIndex=3&amp;refID=7031637&amp;Result=3","7031637")</f>
        <v>0</v>
      </c>
      <c r="B8122" t="s">
        <v>2353</v>
      </c>
      <c r="C8122" t="s">
        <v>10435</v>
      </c>
      <c r="D8122" t="s">
        <v>13000</v>
      </c>
      <c r="E8122" t="s">
        <v>20220</v>
      </c>
      <c r="F8122" t="s">
        <v>22436</v>
      </c>
      <c r="G8122" t="s">
        <v>22444</v>
      </c>
      <c r="H8122" t="s">
        <v>22454</v>
      </c>
      <c r="I8122" t="s">
        <v>7738</v>
      </c>
      <c r="J8122" t="s">
        <v>23093</v>
      </c>
      <c r="K8122" t="s">
        <v>29416</v>
      </c>
      <c r="M8122" t="s">
        <v>32136</v>
      </c>
      <c r="N8122" t="s">
        <v>32524</v>
      </c>
      <c r="O8122" t="s">
        <v>32525</v>
      </c>
      <c r="P8122">
        <v>0</v>
      </c>
      <c r="Q8122">
        <v>2</v>
      </c>
      <c r="R8122" t="s">
        <v>32534</v>
      </c>
      <c r="S8122" t="s">
        <v>32739</v>
      </c>
      <c r="T8122" t="s">
        <v>33259</v>
      </c>
      <c r="U8122" t="s">
        <v>40390</v>
      </c>
      <c r="W8122" t="s">
        <v>32136</v>
      </c>
      <c r="X8122" t="s">
        <v>32537</v>
      </c>
    </row>
    <row r="8123" spans="1:24">
      <c r="A8123">
        <f>HYPERLINK("https://www.philgeps.gov.ph/GEPSNONPILOT/Tender/SplashBidNoticeAbstractUI.aspx?menuIndex=3&amp;refID=7031905&amp;Result=3","7031905")</f>
        <v>0</v>
      </c>
      <c r="B8123" t="s">
        <v>2352</v>
      </c>
      <c r="C8123" t="s">
        <v>10436</v>
      </c>
      <c r="D8123" t="s">
        <v>12988</v>
      </c>
      <c r="E8123" t="s">
        <v>20221</v>
      </c>
      <c r="F8123" t="s">
        <v>22437</v>
      </c>
      <c r="G8123" t="s">
        <v>22444</v>
      </c>
      <c r="H8123" t="s">
        <v>22452</v>
      </c>
      <c r="I8123" t="s">
        <v>2981</v>
      </c>
      <c r="J8123" t="s">
        <v>27809</v>
      </c>
      <c r="K8123" t="s">
        <v>29336</v>
      </c>
      <c r="M8123" t="s">
        <v>32134</v>
      </c>
      <c r="N8123" t="s">
        <v>32524</v>
      </c>
      <c r="O8123" t="s">
        <v>32525</v>
      </c>
      <c r="P8123">
        <v>0</v>
      </c>
      <c r="Q8123">
        <v>0</v>
      </c>
      <c r="R8123" t="s">
        <v>32534</v>
      </c>
      <c r="S8123" t="s">
        <v>32739</v>
      </c>
      <c r="T8123" t="s">
        <v>33194</v>
      </c>
      <c r="U8123" t="s">
        <v>40391</v>
      </c>
      <c r="V8123" t="s">
        <v>43327</v>
      </c>
      <c r="W8123" t="s">
        <v>32134</v>
      </c>
      <c r="X8123" t="s">
        <v>32537</v>
      </c>
    </row>
    <row r="8124" spans="1:24">
      <c r="A8124">
        <f>HYPERLINK("https://www.philgeps.gov.ph/GEPSNONPILOT/Tender/SplashBidNoticeAbstractUI.aspx?menuIndex=3&amp;refID=7031642&amp;Result=3","7031642")</f>
        <v>0</v>
      </c>
      <c r="B8124" t="s">
        <v>1261</v>
      </c>
      <c r="C8124" t="s">
        <v>10437</v>
      </c>
      <c r="D8124" t="s">
        <v>13042</v>
      </c>
      <c r="E8124" t="s">
        <v>20222</v>
      </c>
      <c r="F8124" t="s">
        <v>22436</v>
      </c>
      <c r="G8124" t="s">
        <v>22444</v>
      </c>
      <c r="H8124" t="s">
        <v>22454</v>
      </c>
      <c r="I8124" t="s">
        <v>7738</v>
      </c>
      <c r="J8124" t="s">
        <v>27810</v>
      </c>
      <c r="K8124" t="s">
        <v>29344</v>
      </c>
      <c r="M8124" t="s">
        <v>30914</v>
      </c>
      <c r="N8124" t="s">
        <v>32524</v>
      </c>
      <c r="O8124" t="s">
        <v>32525</v>
      </c>
      <c r="P8124">
        <v>0</v>
      </c>
      <c r="Q8124">
        <v>0</v>
      </c>
      <c r="R8124" t="s">
        <v>32534</v>
      </c>
      <c r="S8124" t="s">
        <v>32739</v>
      </c>
      <c r="T8124" t="s">
        <v>33487</v>
      </c>
      <c r="U8124" t="s">
        <v>40392</v>
      </c>
      <c r="W8124" t="s">
        <v>30914</v>
      </c>
      <c r="X8124" t="s">
        <v>32537</v>
      </c>
    </row>
    <row r="8125" spans="1:24">
      <c r="A8125">
        <f>HYPERLINK("https://www.philgeps.gov.ph/GEPSNONPILOT/Tender/SplashBidNoticeAbstractUI.aspx?menuIndex=3&amp;refID=7031596&amp;Result=3","7031596")</f>
        <v>0</v>
      </c>
      <c r="B8125" t="s">
        <v>2354</v>
      </c>
      <c r="C8125" t="s">
        <v>10438</v>
      </c>
      <c r="D8125" t="s">
        <v>12988</v>
      </c>
      <c r="E8125" t="s">
        <v>20223</v>
      </c>
      <c r="F8125" t="s">
        <v>22436</v>
      </c>
      <c r="G8125" t="s">
        <v>22444</v>
      </c>
      <c r="H8125" t="s">
        <v>22454</v>
      </c>
      <c r="I8125" t="s">
        <v>22485</v>
      </c>
      <c r="J8125" t="s">
        <v>27811</v>
      </c>
      <c r="K8125" t="s">
        <v>29347</v>
      </c>
      <c r="M8125" t="s">
        <v>32137</v>
      </c>
      <c r="N8125" t="s">
        <v>32524</v>
      </c>
      <c r="O8125" t="s">
        <v>32525</v>
      </c>
      <c r="P8125">
        <v>0</v>
      </c>
      <c r="Q8125">
        <v>4</v>
      </c>
      <c r="R8125" t="s">
        <v>32534</v>
      </c>
      <c r="S8125" t="s">
        <v>32739</v>
      </c>
      <c r="T8125" t="s">
        <v>33259</v>
      </c>
      <c r="U8125" t="s">
        <v>40393</v>
      </c>
      <c r="W8125" t="s">
        <v>32137</v>
      </c>
      <c r="X8125" t="s">
        <v>32537</v>
      </c>
    </row>
    <row r="8126" spans="1:24">
      <c r="A8126">
        <f>HYPERLINK("https://www.philgeps.gov.ph/GEPSNONPILOT/Tender/SplashBidNoticeAbstractUI.aspx?menuIndex=3&amp;refID=7031543&amp;Result=3","7031543")</f>
        <v>0</v>
      </c>
      <c r="B8126" t="s">
        <v>2355</v>
      </c>
      <c r="C8126" t="s">
        <v>10439</v>
      </c>
      <c r="D8126" t="s">
        <v>13020</v>
      </c>
      <c r="E8126" t="s">
        <v>13165</v>
      </c>
      <c r="F8126" t="s">
        <v>22436</v>
      </c>
      <c r="G8126" t="s">
        <v>22444</v>
      </c>
      <c r="H8126" t="s">
        <v>22452</v>
      </c>
      <c r="I8126" t="s">
        <v>3529</v>
      </c>
      <c r="J8126" t="s">
        <v>27812</v>
      </c>
      <c r="K8126" t="s">
        <v>29362</v>
      </c>
      <c r="M8126" t="s">
        <v>32138</v>
      </c>
      <c r="N8126" t="s">
        <v>32524</v>
      </c>
      <c r="O8126" t="s">
        <v>32525</v>
      </c>
      <c r="P8126">
        <v>0</v>
      </c>
      <c r="Q8126">
        <v>2</v>
      </c>
      <c r="R8126" t="s">
        <v>32534</v>
      </c>
      <c r="S8126" t="s">
        <v>32739</v>
      </c>
      <c r="T8126" t="s">
        <v>33235</v>
      </c>
      <c r="U8126" t="s">
        <v>40394</v>
      </c>
      <c r="W8126" t="s">
        <v>32138</v>
      </c>
      <c r="X8126" t="s">
        <v>32537</v>
      </c>
    </row>
    <row r="8127" spans="1:24">
      <c r="A8127">
        <f>HYPERLINK("https://www.philgeps.gov.ph/GEPSNONPILOT/Tender/SplashBidNoticeAbstractUI.aspx?menuIndex=3&amp;refID=7031607&amp;Result=3","7031607")</f>
        <v>0</v>
      </c>
      <c r="B8127" t="s">
        <v>1261</v>
      </c>
      <c r="C8127" t="s">
        <v>10440</v>
      </c>
      <c r="D8127" t="s">
        <v>13042</v>
      </c>
      <c r="E8127" t="s">
        <v>20224</v>
      </c>
      <c r="F8127" t="s">
        <v>22436</v>
      </c>
      <c r="G8127" t="s">
        <v>22444</v>
      </c>
      <c r="H8127" t="s">
        <v>22454</v>
      </c>
      <c r="I8127" t="s">
        <v>7738</v>
      </c>
      <c r="J8127" t="s">
        <v>27810</v>
      </c>
      <c r="K8127" t="s">
        <v>29344</v>
      </c>
      <c r="M8127" t="s">
        <v>30914</v>
      </c>
      <c r="N8127" t="s">
        <v>32524</v>
      </c>
      <c r="O8127" t="s">
        <v>32525</v>
      </c>
      <c r="P8127">
        <v>0</v>
      </c>
      <c r="Q8127">
        <v>0</v>
      </c>
      <c r="R8127" t="s">
        <v>32534</v>
      </c>
      <c r="S8127" t="s">
        <v>32739</v>
      </c>
      <c r="T8127" t="s">
        <v>33487</v>
      </c>
      <c r="U8127" t="s">
        <v>40395</v>
      </c>
      <c r="W8127" t="s">
        <v>30914</v>
      </c>
      <c r="X8127" t="s">
        <v>32537</v>
      </c>
    </row>
    <row r="8128" spans="1:24">
      <c r="A8128">
        <f>HYPERLINK("https://www.philgeps.gov.ph/GEPSNONPILOT/Tender/SplashBidNoticeAbstractUI.aspx?menuIndex=3&amp;refID=7031893&amp;Result=3","7031893")</f>
        <v>0</v>
      </c>
      <c r="B8128" t="s">
        <v>2352</v>
      </c>
      <c r="C8128" t="s">
        <v>10441</v>
      </c>
      <c r="D8128" t="s">
        <v>12988</v>
      </c>
      <c r="E8128" t="s">
        <v>20225</v>
      </c>
      <c r="F8128" t="s">
        <v>22437</v>
      </c>
      <c r="G8128" t="s">
        <v>22444</v>
      </c>
      <c r="H8128" t="s">
        <v>22452</v>
      </c>
      <c r="I8128" t="s">
        <v>2981</v>
      </c>
      <c r="J8128" t="s">
        <v>27813</v>
      </c>
      <c r="K8128" t="s">
        <v>29336</v>
      </c>
      <c r="M8128" t="s">
        <v>32134</v>
      </c>
      <c r="N8128" t="s">
        <v>32524</v>
      </c>
      <c r="O8128" t="s">
        <v>32525</v>
      </c>
      <c r="P8128">
        <v>0</v>
      </c>
      <c r="Q8128">
        <v>0</v>
      </c>
      <c r="R8128" t="s">
        <v>32534</v>
      </c>
      <c r="S8128" t="s">
        <v>32739</v>
      </c>
      <c r="T8128" t="s">
        <v>33194</v>
      </c>
      <c r="U8128" t="s">
        <v>40391</v>
      </c>
      <c r="V8128" t="s">
        <v>43327</v>
      </c>
      <c r="W8128" t="s">
        <v>32134</v>
      </c>
      <c r="X8128" t="s">
        <v>32537</v>
      </c>
    </row>
    <row r="8129" spans="1:24">
      <c r="A8129">
        <f>HYPERLINK("https://www.philgeps.gov.ph/GEPSNONPILOT/Tender/SplashBidNoticeAbstractUI.aspx?menuIndex=3&amp;refID=7031658&amp;Result=3","7031658")</f>
        <v>0</v>
      </c>
      <c r="B8129" t="s">
        <v>2356</v>
      </c>
      <c r="C8129" t="s">
        <v>3890</v>
      </c>
      <c r="D8129" t="s">
        <v>13037</v>
      </c>
      <c r="E8129" t="s">
        <v>14153</v>
      </c>
      <c r="F8129" t="s">
        <v>22436</v>
      </c>
      <c r="G8129" t="s">
        <v>22444</v>
      </c>
      <c r="H8129" t="s">
        <v>22452</v>
      </c>
      <c r="I8129" t="s">
        <v>12358</v>
      </c>
      <c r="J8129" t="s">
        <v>27814</v>
      </c>
      <c r="K8129" t="s">
        <v>29335</v>
      </c>
      <c r="M8129" t="s">
        <v>32139</v>
      </c>
      <c r="N8129" t="s">
        <v>32524</v>
      </c>
      <c r="O8129" t="s">
        <v>32525</v>
      </c>
      <c r="P8129">
        <v>0</v>
      </c>
      <c r="Q8129">
        <v>3</v>
      </c>
      <c r="R8129" t="s">
        <v>32534</v>
      </c>
      <c r="S8129" t="s">
        <v>32739</v>
      </c>
      <c r="T8129" t="s">
        <v>33278</v>
      </c>
      <c r="U8129" t="s">
        <v>40396</v>
      </c>
      <c r="W8129" t="s">
        <v>32139</v>
      </c>
      <c r="X8129" t="s">
        <v>32537</v>
      </c>
    </row>
    <row r="8130" spans="1:24">
      <c r="A8130">
        <f>HYPERLINK("https://www.philgeps.gov.ph/GEPSNONPILOT/Tender/SplashBidNoticeAbstractUI.aspx?menuIndex=3&amp;refID=7031541&amp;Result=3","7031541")</f>
        <v>0</v>
      </c>
      <c r="B8130" t="s">
        <v>1261</v>
      </c>
      <c r="C8130" t="s">
        <v>10442</v>
      </c>
      <c r="D8130" t="s">
        <v>13042</v>
      </c>
      <c r="E8130" t="s">
        <v>20226</v>
      </c>
      <c r="F8130" t="s">
        <v>22436</v>
      </c>
      <c r="G8130" t="s">
        <v>22444</v>
      </c>
      <c r="H8130" t="s">
        <v>22452</v>
      </c>
      <c r="I8130" t="s">
        <v>22474</v>
      </c>
      <c r="J8130" t="s">
        <v>22634</v>
      </c>
      <c r="K8130" t="s">
        <v>29333</v>
      </c>
      <c r="M8130" t="s">
        <v>30914</v>
      </c>
      <c r="N8130" t="s">
        <v>32524</v>
      </c>
      <c r="O8130" t="s">
        <v>32525</v>
      </c>
      <c r="P8130">
        <v>0</v>
      </c>
      <c r="Q8130">
        <v>5</v>
      </c>
      <c r="R8130" t="s">
        <v>32534</v>
      </c>
      <c r="S8130" t="s">
        <v>32739</v>
      </c>
      <c r="T8130" t="s">
        <v>33487</v>
      </c>
      <c r="U8130" t="s">
        <v>40397</v>
      </c>
      <c r="W8130" t="s">
        <v>30914</v>
      </c>
      <c r="X8130" t="s">
        <v>32537</v>
      </c>
    </row>
    <row r="8131" spans="1:24">
      <c r="A8131">
        <f>HYPERLINK("https://www.philgeps.gov.ph/GEPSNONPILOT/Tender/SplashBidNoticeAbstractUI.aspx?menuIndex=3&amp;refID=7031521&amp;Result=3","7031521")</f>
        <v>0</v>
      </c>
      <c r="B8131" t="s">
        <v>295</v>
      </c>
      <c r="C8131" t="s">
        <v>10443</v>
      </c>
      <c r="D8131" t="s">
        <v>13056</v>
      </c>
      <c r="E8131" t="s">
        <v>20227</v>
      </c>
      <c r="F8131" t="s">
        <v>22436</v>
      </c>
      <c r="G8131" t="s">
        <v>22444</v>
      </c>
      <c r="H8131" t="s">
        <v>22454</v>
      </c>
      <c r="I8131" t="s">
        <v>7738</v>
      </c>
      <c r="J8131" t="s">
        <v>27815</v>
      </c>
      <c r="K8131" t="s">
        <v>29339</v>
      </c>
      <c r="L8131" t="s">
        <v>295</v>
      </c>
      <c r="M8131" t="s">
        <v>29869</v>
      </c>
      <c r="N8131" t="s">
        <v>32524</v>
      </c>
      <c r="O8131" t="s">
        <v>32525</v>
      </c>
      <c r="P8131">
        <v>0</v>
      </c>
      <c r="Q8131">
        <v>2</v>
      </c>
      <c r="R8131" t="s">
        <v>32534</v>
      </c>
      <c r="S8131" t="s">
        <v>32739</v>
      </c>
      <c r="T8131" t="s">
        <v>33249</v>
      </c>
      <c r="U8131" t="s">
        <v>38998</v>
      </c>
      <c r="W8131" t="s">
        <v>29869</v>
      </c>
      <c r="X8131" t="s">
        <v>32537</v>
      </c>
    </row>
    <row r="8132" spans="1:24">
      <c r="A8132">
        <f>HYPERLINK("https://www.philgeps.gov.ph/GEPSNONPILOT/Tender/SplashBidNoticeAbstractUI.aspx?menuIndex=3&amp;refID=7032269&amp;Result=3","7032269")</f>
        <v>0</v>
      </c>
      <c r="B8132" t="s">
        <v>521</v>
      </c>
      <c r="C8132" t="s">
        <v>10444</v>
      </c>
      <c r="E8132" t="s">
        <v>20228</v>
      </c>
      <c r="F8132" t="s">
        <v>22436</v>
      </c>
      <c r="G8132" t="s">
        <v>22444</v>
      </c>
      <c r="H8132" t="s">
        <v>22452</v>
      </c>
      <c r="I8132" t="s">
        <v>22472</v>
      </c>
      <c r="J8132" t="s">
        <v>23387</v>
      </c>
      <c r="K8132" t="s">
        <v>29338</v>
      </c>
      <c r="M8132" t="s">
        <v>30105</v>
      </c>
      <c r="N8132" t="s">
        <v>32524</v>
      </c>
      <c r="O8132" t="s">
        <v>32525</v>
      </c>
      <c r="Q8132">
        <v>3</v>
      </c>
      <c r="R8132" t="s">
        <v>32534</v>
      </c>
      <c r="S8132" t="s">
        <v>32763</v>
      </c>
      <c r="T8132" t="s">
        <v>33259</v>
      </c>
      <c r="U8132" t="s">
        <v>40398</v>
      </c>
      <c r="W8132" t="s">
        <v>30105</v>
      </c>
      <c r="X8132" t="s">
        <v>32536</v>
      </c>
    </row>
    <row r="8133" spans="1:24">
      <c r="A8133">
        <f>HYPERLINK("https://www.philgeps.gov.ph/GEPSNONPILOT/Tender/SplashBidNoticeAbstractUI.aspx?menuIndex=3&amp;refID=7032186&amp;Result=3","7032186")</f>
        <v>0</v>
      </c>
      <c r="B8133" t="s">
        <v>902</v>
      </c>
      <c r="C8133" t="s">
        <v>10445</v>
      </c>
      <c r="D8133" t="s">
        <v>13032</v>
      </c>
      <c r="E8133" t="s">
        <v>20229</v>
      </c>
      <c r="F8133" t="s">
        <v>22436</v>
      </c>
      <c r="G8133" t="s">
        <v>22444</v>
      </c>
      <c r="H8133" t="s">
        <v>22452</v>
      </c>
      <c r="I8133" t="s">
        <v>22486</v>
      </c>
      <c r="J8133" t="s">
        <v>27816</v>
      </c>
      <c r="K8133" t="s">
        <v>29338</v>
      </c>
      <c r="M8133" t="s">
        <v>30513</v>
      </c>
      <c r="N8133" t="s">
        <v>32524</v>
      </c>
      <c r="O8133" t="s">
        <v>32525</v>
      </c>
      <c r="P8133">
        <v>0</v>
      </c>
      <c r="Q8133">
        <v>4</v>
      </c>
      <c r="R8133" t="s">
        <v>32534</v>
      </c>
      <c r="S8133" t="s">
        <v>32739</v>
      </c>
      <c r="T8133" t="s">
        <v>33249</v>
      </c>
      <c r="U8133" t="s">
        <v>40399</v>
      </c>
      <c r="W8133" t="s">
        <v>30513</v>
      </c>
      <c r="X8133" t="s">
        <v>32536</v>
      </c>
    </row>
    <row r="8134" spans="1:24">
      <c r="A8134">
        <f>HYPERLINK("https://www.philgeps.gov.ph/GEPSNONPILOT/Tender/SplashBidNoticeAbstractUI.aspx?menuIndex=3&amp;refID=7032261&amp;Result=3","7032261")</f>
        <v>0</v>
      </c>
      <c r="B8134" t="s">
        <v>2039</v>
      </c>
      <c r="C8134" t="s">
        <v>10446</v>
      </c>
      <c r="D8134" t="s">
        <v>13003</v>
      </c>
      <c r="E8134" t="s">
        <v>20230</v>
      </c>
      <c r="F8134" t="s">
        <v>22436</v>
      </c>
      <c r="G8134" t="s">
        <v>22444</v>
      </c>
      <c r="H8134" t="s">
        <v>22452</v>
      </c>
      <c r="I8134" t="s">
        <v>22463</v>
      </c>
      <c r="J8134" t="s">
        <v>27817</v>
      </c>
      <c r="K8134" t="s">
        <v>29336</v>
      </c>
      <c r="M8134" t="s">
        <v>31802</v>
      </c>
      <c r="N8134" t="s">
        <v>32524</v>
      </c>
      <c r="O8134" t="s">
        <v>32525</v>
      </c>
      <c r="P8134">
        <v>0</v>
      </c>
      <c r="Q8134">
        <v>0</v>
      </c>
      <c r="R8134" t="s">
        <v>32534</v>
      </c>
      <c r="S8134" t="s">
        <v>32739</v>
      </c>
      <c r="T8134" t="s">
        <v>33270</v>
      </c>
      <c r="U8134" t="s">
        <v>40400</v>
      </c>
      <c r="W8134" t="s">
        <v>31802</v>
      </c>
      <c r="X8134" t="s">
        <v>32536</v>
      </c>
    </row>
    <row r="8135" spans="1:24">
      <c r="A8135">
        <f>HYPERLINK("https://www.philgeps.gov.ph/GEPSNONPILOT/Tender/SplashBidNoticeAbstractUI.aspx?menuIndex=3&amp;refID=7032215&amp;Result=3","7032215")</f>
        <v>0</v>
      </c>
      <c r="B8135" t="s">
        <v>2357</v>
      </c>
      <c r="C8135" t="s">
        <v>10447</v>
      </c>
      <c r="D8135" t="s">
        <v>13018</v>
      </c>
      <c r="E8135" t="s">
        <v>20231</v>
      </c>
      <c r="F8135" t="s">
        <v>22436</v>
      </c>
      <c r="G8135" t="s">
        <v>22444</v>
      </c>
      <c r="H8135" t="s">
        <v>22452</v>
      </c>
      <c r="I8135" t="s">
        <v>22457</v>
      </c>
      <c r="J8135" t="s">
        <v>27818</v>
      </c>
      <c r="K8135" t="s">
        <v>29532</v>
      </c>
      <c r="M8135" t="s">
        <v>32140</v>
      </c>
      <c r="N8135" t="s">
        <v>32524</v>
      </c>
      <c r="O8135" t="s">
        <v>32525</v>
      </c>
      <c r="Q8135">
        <v>3</v>
      </c>
      <c r="R8135" t="s">
        <v>32534</v>
      </c>
      <c r="S8135" t="s">
        <v>32764</v>
      </c>
      <c r="T8135" t="s">
        <v>33550</v>
      </c>
      <c r="U8135" t="s">
        <v>40401</v>
      </c>
      <c r="W8135" t="s">
        <v>32140</v>
      </c>
      <c r="X8135" t="s">
        <v>32536</v>
      </c>
    </row>
    <row r="8136" spans="1:24">
      <c r="A8136">
        <f>HYPERLINK("https://www.philgeps.gov.ph/GEPSNONPILOT/Tender/SplashBidNoticeAbstractUI.aspx?menuIndex=3&amp;refID=7032177&amp;Result=3","7032177")</f>
        <v>0</v>
      </c>
      <c r="B8136" t="s">
        <v>2358</v>
      </c>
      <c r="C8136" t="s">
        <v>10448</v>
      </c>
      <c r="E8136" t="s">
        <v>20232</v>
      </c>
      <c r="F8136" t="s">
        <v>22436</v>
      </c>
      <c r="G8136" t="s">
        <v>22444</v>
      </c>
      <c r="H8136" t="s">
        <v>22454</v>
      </c>
      <c r="I8136" t="s">
        <v>22504</v>
      </c>
      <c r="J8136" t="s">
        <v>27819</v>
      </c>
      <c r="K8136" t="s">
        <v>29341</v>
      </c>
      <c r="M8136" t="s">
        <v>32141</v>
      </c>
      <c r="N8136" t="s">
        <v>32524</v>
      </c>
      <c r="O8136" t="s">
        <v>32525</v>
      </c>
      <c r="P8136">
        <v>0</v>
      </c>
      <c r="Q8136">
        <v>0</v>
      </c>
      <c r="R8136" t="s">
        <v>32534</v>
      </c>
      <c r="S8136" t="s">
        <v>32739</v>
      </c>
      <c r="T8136" t="s">
        <v>33340</v>
      </c>
      <c r="U8136" t="s">
        <v>40402</v>
      </c>
      <c r="W8136" t="s">
        <v>32141</v>
      </c>
      <c r="X8136" t="s">
        <v>32536</v>
      </c>
    </row>
    <row r="8137" spans="1:24">
      <c r="A8137">
        <f>HYPERLINK("https://www.philgeps.gov.ph/GEPSNONPILOT/Tender/SplashBidNoticeAbstractUI.aspx?menuIndex=3&amp;refID=7032070&amp;Result=3","7032070")</f>
        <v>0</v>
      </c>
      <c r="B8137" t="s">
        <v>521</v>
      </c>
      <c r="C8137" t="s">
        <v>10449</v>
      </c>
      <c r="E8137" t="s">
        <v>17716</v>
      </c>
      <c r="F8137" t="s">
        <v>22436</v>
      </c>
      <c r="G8137" t="s">
        <v>22444</v>
      </c>
      <c r="H8137" t="s">
        <v>22452</v>
      </c>
      <c r="I8137" t="s">
        <v>22502</v>
      </c>
      <c r="J8137" t="s">
        <v>27820</v>
      </c>
      <c r="K8137" t="s">
        <v>29338</v>
      </c>
      <c r="M8137" t="s">
        <v>30105</v>
      </c>
      <c r="N8137" t="s">
        <v>32524</v>
      </c>
      <c r="O8137" t="s">
        <v>32525</v>
      </c>
      <c r="Q8137">
        <v>40</v>
      </c>
      <c r="R8137" t="s">
        <v>32534</v>
      </c>
      <c r="S8137" t="s">
        <v>32765</v>
      </c>
      <c r="T8137" t="s">
        <v>33259</v>
      </c>
      <c r="U8137" t="s">
        <v>40403</v>
      </c>
      <c r="W8137" t="s">
        <v>30105</v>
      </c>
      <c r="X8137" t="s">
        <v>32536</v>
      </c>
    </row>
    <row r="8138" spans="1:24">
      <c r="A8138">
        <f>HYPERLINK("https://www.philgeps.gov.ph/GEPSNONPILOT/Tender/SplashBidNoticeAbstractUI.aspx?menuIndex=3&amp;refID=7032220&amp;Result=3","7032220")</f>
        <v>0</v>
      </c>
      <c r="B8138" t="s">
        <v>2359</v>
      </c>
      <c r="C8138" t="s">
        <v>10450</v>
      </c>
      <c r="D8138" t="s">
        <v>13004</v>
      </c>
      <c r="E8138" t="s">
        <v>13182</v>
      </c>
      <c r="F8138" t="s">
        <v>22436</v>
      </c>
      <c r="G8138" t="s">
        <v>22444</v>
      </c>
      <c r="H8138" t="s">
        <v>22452</v>
      </c>
      <c r="I8138" t="s">
        <v>3529</v>
      </c>
      <c r="J8138" t="s">
        <v>27821</v>
      </c>
      <c r="K8138" t="s">
        <v>29336</v>
      </c>
      <c r="M8138" t="s">
        <v>32142</v>
      </c>
      <c r="N8138" t="s">
        <v>32524</v>
      </c>
      <c r="O8138" t="s">
        <v>32525</v>
      </c>
      <c r="Q8138">
        <v>1</v>
      </c>
      <c r="R8138" t="s">
        <v>32534</v>
      </c>
      <c r="S8138" t="s">
        <v>32766</v>
      </c>
      <c r="T8138" t="s">
        <v>33323</v>
      </c>
      <c r="U8138" t="s">
        <v>40404</v>
      </c>
      <c r="W8138" t="s">
        <v>32142</v>
      </c>
      <c r="X8138" t="s">
        <v>32536</v>
      </c>
    </row>
    <row r="8139" spans="1:24">
      <c r="A8139">
        <f>HYPERLINK("https://www.philgeps.gov.ph/GEPSNONPILOT/Tender/SplashBidNoticeAbstractUI.aspx?menuIndex=3&amp;refID=7032076&amp;Result=3","7032076")</f>
        <v>0</v>
      </c>
      <c r="B8139" t="s">
        <v>1370</v>
      </c>
      <c r="C8139" t="s">
        <v>10451</v>
      </c>
      <c r="D8139" t="s">
        <v>12988</v>
      </c>
      <c r="E8139" t="s">
        <v>20233</v>
      </c>
      <c r="F8139" t="s">
        <v>22436</v>
      </c>
      <c r="G8139" t="s">
        <v>22444</v>
      </c>
      <c r="H8139" t="s">
        <v>22452</v>
      </c>
      <c r="I8139" t="s">
        <v>22469</v>
      </c>
      <c r="J8139" t="s">
        <v>27822</v>
      </c>
      <c r="K8139" t="s">
        <v>29335</v>
      </c>
      <c r="M8139" t="s">
        <v>32143</v>
      </c>
      <c r="N8139" t="s">
        <v>32524</v>
      </c>
      <c r="O8139" t="s">
        <v>32525</v>
      </c>
      <c r="P8139">
        <v>0</v>
      </c>
      <c r="Q8139">
        <v>10</v>
      </c>
      <c r="R8139" t="s">
        <v>32534</v>
      </c>
      <c r="S8139" t="s">
        <v>32739</v>
      </c>
      <c r="T8139" t="s">
        <v>33473</v>
      </c>
      <c r="U8139" t="s">
        <v>40405</v>
      </c>
      <c r="V8139" t="s">
        <v>43328</v>
      </c>
      <c r="W8139" t="s">
        <v>32143</v>
      </c>
      <c r="X8139" t="s">
        <v>32536</v>
      </c>
    </row>
    <row r="8140" spans="1:24">
      <c r="A8140">
        <f>HYPERLINK("https://www.philgeps.gov.ph/GEPSNONPILOT/Tender/SplashBidNoticeAbstractUI.aspx?menuIndex=3&amp;refID=7032071&amp;Result=3","7032071")</f>
        <v>0</v>
      </c>
      <c r="B8140" t="s">
        <v>521</v>
      </c>
      <c r="C8140" t="s">
        <v>10452</v>
      </c>
      <c r="E8140" t="s">
        <v>17763</v>
      </c>
      <c r="F8140" t="s">
        <v>22436</v>
      </c>
      <c r="G8140" t="s">
        <v>22444</v>
      </c>
      <c r="H8140" t="s">
        <v>22452</v>
      </c>
      <c r="I8140" t="s">
        <v>22463</v>
      </c>
      <c r="J8140" t="s">
        <v>27823</v>
      </c>
      <c r="K8140" t="s">
        <v>29338</v>
      </c>
      <c r="M8140" t="s">
        <v>30105</v>
      </c>
      <c r="N8140" t="s">
        <v>32524</v>
      </c>
      <c r="O8140" t="s">
        <v>32525</v>
      </c>
      <c r="Q8140">
        <v>9</v>
      </c>
      <c r="R8140" t="s">
        <v>32534</v>
      </c>
      <c r="S8140" t="s">
        <v>32767</v>
      </c>
      <c r="T8140" t="s">
        <v>33259</v>
      </c>
      <c r="U8140" t="s">
        <v>40403</v>
      </c>
      <c r="W8140" t="s">
        <v>30105</v>
      </c>
      <c r="X8140" t="s">
        <v>32536</v>
      </c>
    </row>
    <row r="8141" spans="1:24">
      <c r="A8141">
        <f>HYPERLINK("https://www.philgeps.gov.ph/GEPSNONPILOT/Tender/SplashBidNoticeAbstractUI.aspx?menuIndex=3&amp;refID=7032033&amp;Result=3","7032033")</f>
        <v>0</v>
      </c>
      <c r="B8141" t="s">
        <v>2360</v>
      </c>
      <c r="C8141" t="s">
        <v>10453</v>
      </c>
      <c r="D8141" t="s">
        <v>13000</v>
      </c>
      <c r="E8141" t="s">
        <v>20234</v>
      </c>
      <c r="F8141" t="s">
        <v>22436</v>
      </c>
      <c r="G8141" t="s">
        <v>22444</v>
      </c>
      <c r="H8141" t="s">
        <v>22452</v>
      </c>
      <c r="I8141" t="s">
        <v>22474</v>
      </c>
      <c r="J8141" t="s">
        <v>22614</v>
      </c>
      <c r="K8141" t="s">
        <v>29335</v>
      </c>
      <c r="M8141" t="s">
        <v>32144</v>
      </c>
      <c r="N8141" t="s">
        <v>32524</v>
      </c>
      <c r="O8141" t="s">
        <v>32525</v>
      </c>
      <c r="Q8141">
        <v>7</v>
      </c>
      <c r="R8141" t="s">
        <v>32534</v>
      </c>
      <c r="S8141" t="s">
        <v>32768</v>
      </c>
      <c r="T8141" t="s">
        <v>33230</v>
      </c>
      <c r="U8141" t="s">
        <v>40406</v>
      </c>
      <c r="V8141" t="s">
        <v>43329</v>
      </c>
      <c r="W8141" t="s">
        <v>32144</v>
      </c>
      <c r="X8141" t="s">
        <v>32536</v>
      </c>
    </row>
    <row r="8142" spans="1:24">
      <c r="A8142">
        <f>HYPERLINK("https://www.philgeps.gov.ph/GEPSNONPILOT/Tender/SplashBidNoticeAbstractUI.aspx?menuIndex=3&amp;refID=7032069&amp;Result=3","7032069")</f>
        <v>0</v>
      </c>
      <c r="B8142" t="s">
        <v>521</v>
      </c>
      <c r="C8142" t="s">
        <v>10454</v>
      </c>
      <c r="E8142" t="s">
        <v>20235</v>
      </c>
      <c r="F8142" t="s">
        <v>22436</v>
      </c>
      <c r="G8142" t="s">
        <v>22444</v>
      </c>
      <c r="H8142" t="s">
        <v>22452</v>
      </c>
      <c r="I8142" t="s">
        <v>22502</v>
      </c>
      <c r="J8142" t="s">
        <v>23399</v>
      </c>
      <c r="K8142" t="s">
        <v>29338</v>
      </c>
      <c r="M8142" t="s">
        <v>30105</v>
      </c>
      <c r="N8142" t="s">
        <v>32524</v>
      </c>
      <c r="O8142" t="s">
        <v>32525</v>
      </c>
      <c r="Q8142">
        <v>43</v>
      </c>
      <c r="R8142" t="s">
        <v>32534</v>
      </c>
      <c r="S8142" t="s">
        <v>32769</v>
      </c>
      <c r="T8142" t="s">
        <v>33259</v>
      </c>
      <c r="U8142" t="s">
        <v>40407</v>
      </c>
      <c r="W8142" t="s">
        <v>30105</v>
      </c>
      <c r="X8142" t="s">
        <v>32536</v>
      </c>
    </row>
    <row r="8143" spans="1:24">
      <c r="A8143">
        <f>HYPERLINK("https://www.philgeps.gov.ph/GEPSNONPILOT/Tender/SplashBidNoticeAbstractUI.aspx?menuIndex=3&amp;refID=7031984&amp;Result=3","7031984")</f>
        <v>0</v>
      </c>
      <c r="B8143" t="s">
        <v>2361</v>
      </c>
      <c r="C8143" t="s">
        <v>10455</v>
      </c>
      <c r="E8143" t="s">
        <v>20236</v>
      </c>
      <c r="F8143" t="s">
        <v>22436</v>
      </c>
      <c r="G8143" t="s">
        <v>22444</v>
      </c>
      <c r="H8143" t="s">
        <v>22453</v>
      </c>
      <c r="I8143" t="s">
        <v>22457</v>
      </c>
      <c r="J8143" t="s">
        <v>27824</v>
      </c>
      <c r="K8143" t="s">
        <v>29426</v>
      </c>
      <c r="M8143" t="s">
        <v>32145</v>
      </c>
      <c r="N8143" t="s">
        <v>32524</v>
      </c>
      <c r="O8143" t="s">
        <v>32525</v>
      </c>
      <c r="P8143">
        <v>0</v>
      </c>
      <c r="Q8143">
        <v>6</v>
      </c>
      <c r="R8143" t="s">
        <v>32534</v>
      </c>
      <c r="S8143" t="s">
        <v>32739</v>
      </c>
      <c r="T8143" t="s">
        <v>33385</v>
      </c>
      <c r="U8143" t="s">
        <v>40408</v>
      </c>
      <c r="V8143" t="s">
        <v>43330</v>
      </c>
      <c r="W8143" t="s">
        <v>43756</v>
      </c>
      <c r="X8143" t="s">
        <v>32536</v>
      </c>
    </row>
    <row r="8144" spans="1:24">
      <c r="A8144">
        <f>HYPERLINK("https://www.philgeps.gov.ph/GEPSNONPILOT/Tender/SplashBidNoticeAbstractUI.aspx?menuIndex=3&amp;refID=7032065&amp;Result=3","7032065")</f>
        <v>0</v>
      </c>
      <c r="B8144" t="s">
        <v>521</v>
      </c>
      <c r="C8144" t="s">
        <v>10456</v>
      </c>
      <c r="E8144" t="s">
        <v>20237</v>
      </c>
      <c r="F8144" t="s">
        <v>22436</v>
      </c>
      <c r="G8144" t="s">
        <v>22444</v>
      </c>
      <c r="H8144" t="s">
        <v>22452</v>
      </c>
      <c r="I8144" t="s">
        <v>22474</v>
      </c>
      <c r="J8144" t="s">
        <v>22877</v>
      </c>
      <c r="K8144" t="s">
        <v>29338</v>
      </c>
      <c r="M8144" t="s">
        <v>30105</v>
      </c>
      <c r="N8144" t="s">
        <v>32524</v>
      </c>
      <c r="O8144" t="s">
        <v>32525</v>
      </c>
      <c r="Q8144">
        <v>3</v>
      </c>
      <c r="R8144" t="s">
        <v>32534</v>
      </c>
      <c r="S8144" t="s">
        <v>32770</v>
      </c>
      <c r="T8144" t="s">
        <v>33259</v>
      </c>
      <c r="U8144" t="s">
        <v>40409</v>
      </c>
      <c r="W8144" t="s">
        <v>30105</v>
      </c>
      <c r="X8144" t="s">
        <v>32536</v>
      </c>
    </row>
    <row r="8145" spans="1:24">
      <c r="A8145">
        <f>HYPERLINK("https://www.philgeps.gov.ph/GEPSNONPILOT/Tender/SplashBidNoticeAbstractUI.aspx?menuIndex=3&amp;refID=7032025&amp;Result=3","7032025")</f>
        <v>0</v>
      </c>
      <c r="B8145" t="s">
        <v>145</v>
      </c>
      <c r="C8145" t="s">
        <v>10457</v>
      </c>
      <c r="D8145" t="s">
        <v>13041</v>
      </c>
      <c r="E8145" t="s">
        <v>20238</v>
      </c>
      <c r="F8145" t="s">
        <v>22436</v>
      </c>
      <c r="G8145" t="s">
        <v>22444</v>
      </c>
      <c r="H8145" t="s">
        <v>22452</v>
      </c>
      <c r="I8145" t="s">
        <v>22555</v>
      </c>
      <c r="J8145" t="s">
        <v>27825</v>
      </c>
      <c r="K8145" t="s">
        <v>29341</v>
      </c>
      <c r="M8145" t="s">
        <v>29717</v>
      </c>
      <c r="N8145" t="s">
        <v>32524</v>
      </c>
      <c r="O8145" t="s">
        <v>32525</v>
      </c>
      <c r="P8145">
        <v>0</v>
      </c>
      <c r="Q8145">
        <v>1</v>
      </c>
      <c r="R8145" t="s">
        <v>32534</v>
      </c>
      <c r="S8145" t="s">
        <v>32739</v>
      </c>
      <c r="T8145" t="s">
        <v>33493</v>
      </c>
      <c r="U8145" t="s">
        <v>33903</v>
      </c>
      <c r="W8145" t="s">
        <v>29717</v>
      </c>
      <c r="X8145" t="s">
        <v>32536</v>
      </c>
    </row>
    <row r="8146" spans="1:24">
      <c r="A8146">
        <f>HYPERLINK("https://www.philgeps.gov.ph/GEPSNONPILOT/Tender/SplashBidNoticeAbstractUI.aspx?menuIndex=3&amp;refID=7031957&amp;Result=3","7031957")</f>
        <v>0</v>
      </c>
      <c r="B8146" t="s">
        <v>981</v>
      </c>
      <c r="C8146" t="s">
        <v>10458</v>
      </c>
      <c r="E8146" t="s">
        <v>20239</v>
      </c>
      <c r="F8146" t="s">
        <v>22436</v>
      </c>
      <c r="G8146" t="s">
        <v>22444</v>
      </c>
      <c r="H8146" t="s">
        <v>22454</v>
      </c>
      <c r="I8146" t="s">
        <v>7738</v>
      </c>
      <c r="J8146" t="s">
        <v>27826</v>
      </c>
      <c r="K8146" t="s">
        <v>29457</v>
      </c>
      <c r="M8146" t="s">
        <v>30602</v>
      </c>
      <c r="N8146" t="s">
        <v>32524</v>
      </c>
      <c r="O8146" t="s">
        <v>32525</v>
      </c>
      <c r="P8146">
        <v>0</v>
      </c>
      <c r="Q8146">
        <v>0</v>
      </c>
      <c r="R8146" t="s">
        <v>32534</v>
      </c>
      <c r="S8146" t="s">
        <v>32739</v>
      </c>
      <c r="T8146" t="s">
        <v>33550</v>
      </c>
      <c r="U8146" t="s">
        <v>40410</v>
      </c>
      <c r="W8146" t="s">
        <v>30602</v>
      </c>
      <c r="X8146" t="s">
        <v>32537</v>
      </c>
    </row>
    <row r="8147" spans="1:24">
      <c r="A8147">
        <f>HYPERLINK("https://www.philgeps.gov.ph/GEPSNONPILOT/Tender/SplashBidNoticeAbstractUI.aspx?menuIndex=3&amp;refID=7031519&amp;Result=3","7031519")</f>
        <v>0</v>
      </c>
      <c r="B8147" t="s">
        <v>984</v>
      </c>
      <c r="C8147" t="s">
        <v>10459</v>
      </c>
      <c r="D8147" t="s">
        <v>13011</v>
      </c>
      <c r="E8147" t="s">
        <v>20240</v>
      </c>
      <c r="F8147" t="s">
        <v>22436</v>
      </c>
      <c r="G8147" t="s">
        <v>22444</v>
      </c>
      <c r="H8147" t="s">
        <v>22452</v>
      </c>
      <c r="I8147" t="s">
        <v>3529</v>
      </c>
      <c r="J8147" t="s">
        <v>27827</v>
      </c>
      <c r="K8147" t="s">
        <v>29336</v>
      </c>
      <c r="M8147" t="s">
        <v>30606</v>
      </c>
      <c r="N8147" t="s">
        <v>32524</v>
      </c>
      <c r="O8147" t="s">
        <v>32525</v>
      </c>
      <c r="P8147">
        <v>0</v>
      </c>
      <c r="Q8147">
        <v>1</v>
      </c>
      <c r="R8147" t="s">
        <v>32534</v>
      </c>
      <c r="S8147" t="s">
        <v>32739</v>
      </c>
      <c r="T8147" t="s">
        <v>33451</v>
      </c>
      <c r="U8147" t="s">
        <v>40411</v>
      </c>
      <c r="W8147" t="s">
        <v>30606</v>
      </c>
      <c r="X8147" t="s">
        <v>32537</v>
      </c>
    </row>
    <row r="8148" spans="1:24">
      <c r="A8148">
        <f>HYPERLINK("https://www.philgeps.gov.ph/GEPSNONPILOT/Tender/SplashBidNoticeAbstractUI.aspx?menuIndex=3&amp;refID=7032264&amp;Result=3","7032264")</f>
        <v>0</v>
      </c>
      <c r="B8148" t="s">
        <v>521</v>
      </c>
      <c r="C8148" t="s">
        <v>10460</v>
      </c>
      <c r="E8148" t="s">
        <v>20241</v>
      </c>
      <c r="F8148" t="s">
        <v>22436</v>
      </c>
      <c r="G8148" t="s">
        <v>22444</v>
      </c>
      <c r="H8148" t="s">
        <v>22452</v>
      </c>
      <c r="I8148" t="s">
        <v>22482</v>
      </c>
      <c r="J8148" t="s">
        <v>27828</v>
      </c>
      <c r="K8148" t="s">
        <v>29338</v>
      </c>
      <c r="M8148" t="s">
        <v>30105</v>
      </c>
      <c r="N8148" t="s">
        <v>32524</v>
      </c>
      <c r="O8148" t="s">
        <v>32525</v>
      </c>
      <c r="Q8148">
        <v>23</v>
      </c>
      <c r="R8148" t="s">
        <v>32534</v>
      </c>
      <c r="S8148" t="s">
        <v>32771</v>
      </c>
      <c r="T8148" t="s">
        <v>33259</v>
      </c>
      <c r="U8148" t="s">
        <v>40412</v>
      </c>
      <c r="W8148" t="s">
        <v>30105</v>
      </c>
      <c r="X8148" t="s">
        <v>32536</v>
      </c>
    </row>
    <row r="8149" spans="1:24">
      <c r="A8149">
        <f>HYPERLINK("https://www.philgeps.gov.ph/GEPSNONPILOT/Tender/SplashBidNoticeAbstractUI.aspx?menuIndex=3&amp;refID=7031959&amp;Result=3","7031959")</f>
        <v>0</v>
      </c>
      <c r="B8149" t="s">
        <v>981</v>
      </c>
      <c r="C8149" t="s">
        <v>10461</v>
      </c>
      <c r="E8149" t="s">
        <v>20242</v>
      </c>
      <c r="F8149" t="s">
        <v>22436</v>
      </c>
      <c r="G8149" t="s">
        <v>22444</v>
      </c>
      <c r="H8149" t="s">
        <v>22454</v>
      </c>
      <c r="I8149" t="s">
        <v>7738</v>
      </c>
      <c r="J8149" t="s">
        <v>27829</v>
      </c>
      <c r="K8149" t="s">
        <v>29489</v>
      </c>
      <c r="M8149" t="s">
        <v>30602</v>
      </c>
      <c r="N8149" t="s">
        <v>32524</v>
      </c>
      <c r="O8149" t="s">
        <v>32525</v>
      </c>
      <c r="P8149">
        <v>0</v>
      </c>
      <c r="Q8149">
        <v>5</v>
      </c>
      <c r="R8149" t="s">
        <v>32534</v>
      </c>
      <c r="S8149" t="s">
        <v>32739</v>
      </c>
      <c r="T8149" t="s">
        <v>33550</v>
      </c>
      <c r="U8149" t="s">
        <v>40413</v>
      </c>
      <c r="W8149" t="s">
        <v>30602</v>
      </c>
      <c r="X8149" t="s">
        <v>32537</v>
      </c>
    </row>
    <row r="8150" spans="1:24">
      <c r="A8150">
        <f>HYPERLINK("https://www.philgeps.gov.ph/GEPSNONPILOT/Tender/SplashBidNoticeAbstractUI.aspx?menuIndex=3&amp;refID=7031513&amp;Result=3","7031513")</f>
        <v>0</v>
      </c>
      <c r="B8150" t="s">
        <v>2362</v>
      </c>
      <c r="C8150" t="s">
        <v>10462</v>
      </c>
      <c r="D8150" t="s">
        <v>13043</v>
      </c>
      <c r="E8150" t="s">
        <v>20243</v>
      </c>
      <c r="F8150" t="s">
        <v>22436</v>
      </c>
      <c r="G8150" t="s">
        <v>22444</v>
      </c>
      <c r="H8150" t="s">
        <v>22452</v>
      </c>
      <c r="I8150" t="s">
        <v>6387</v>
      </c>
      <c r="J8150" t="s">
        <v>22588</v>
      </c>
      <c r="K8150" t="s">
        <v>29360</v>
      </c>
      <c r="M8150" t="s">
        <v>32146</v>
      </c>
      <c r="N8150" t="s">
        <v>32524</v>
      </c>
      <c r="O8150" t="s">
        <v>32525</v>
      </c>
      <c r="P8150">
        <v>0</v>
      </c>
      <c r="Q8150">
        <v>1</v>
      </c>
      <c r="R8150" t="s">
        <v>32534</v>
      </c>
      <c r="S8150" t="s">
        <v>32739</v>
      </c>
      <c r="T8150" t="s">
        <v>33249</v>
      </c>
      <c r="U8150" t="s">
        <v>40414</v>
      </c>
      <c r="W8150" t="s">
        <v>32146</v>
      </c>
      <c r="X8150" t="s">
        <v>32537</v>
      </c>
    </row>
    <row r="8151" spans="1:24">
      <c r="A8151">
        <f>HYPERLINK("https://www.philgeps.gov.ph/GEPSNONPILOT/Tender/SplashBidNoticeAbstractUI.aspx?menuIndex=3&amp;refID=7031924&amp;Result=3","7031924")</f>
        <v>0</v>
      </c>
      <c r="B8151" t="s">
        <v>2352</v>
      </c>
      <c r="C8151" t="s">
        <v>10463</v>
      </c>
      <c r="D8151" t="s">
        <v>12988</v>
      </c>
      <c r="E8151" t="s">
        <v>20244</v>
      </c>
      <c r="F8151" t="s">
        <v>22437</v>
      </c>
      <c r="G8151" t="s">
        <v>22444</v>
      </c>
      <c r="H8151" t="s">
        <v>22452</v>
      </c>
      <c r="I8151" t="s">
        <v>3827</v>
      </c>
      <c r="J8151" t="s">
        <v>22605</v>
      </c>
      <c r="K8151" t="s">
        <v>29336</v>
      </c>
      <c r="M8151" t="s">
        <v>32134</v>
      </c>
      <c r="N8151" t="s">
        <v>32524</v>
      </c>
      <c r="O8151" t="s">
        <v>32525</v>
      </c>
      <c r="P8151">
        <v>0</v>
      </c>
      <c r="Q8151">
        <v>5</v>
      </c>
      <c r="R8151" t="s">
        <v>32534</v>
      </c>
      <c r="S8151" t="s">
        <v>32739</v>
      </c>
      <c r="T8151" t="s">
        <v>33194</v>
      </c>
      <c r="U8151" t="s">
        <v>40391</v>
      </c>
      <c r="V8151" t="s">
        <v>43327</v>
      </c>
      <c r="W8151" t="s">
        <v>32134</v>
      </c>
      <c r="X8151" t="s">
        <v>32537</v>
      </c>
    </row>
    <row r="8152" spans="1:24">
      <c r="A8152">
        <f>HYPERLINK("https://www.philgeps.gov.ph/GEPSNONPILOT/Tender/SplashBidNoticeAbstractUI.aspx?menuIndex=3&amp;refID=7032266&amp;Result=3","7032266")</f>
        <v>0</v>
      </c>
      <c r="B8152" t="s">
        <v>2039</v>
      </c>
      <c r="C8152" t="s">
        <v>10464</v>
      </c>
      <c r="D8152" t="s">
        <v>13003</v>
      </c>
      <c r="E8152" t="s">
        <v>20245</v>
      </c>
      <c r="F8152" t="s">
        <v>22436</v>
      </c>
      <c r="G8152" t="s">
        <v>22444</v>
      </c>
      <c r="H8152" t="s">
        <v>22452</v>
      </c>
      <c r="I8152" t="s">
        <v>22463</v>
      </c>
      <c r="J8152" t="s">
        <v>27830</v>
      </c>
      <c r="K8152" t="s">
        <v>29336</v>
      </c>
      <c r="M8152" t="s">
        <v>31802</v>
      </c>
      <c r="N8152" t="s">
        <v>32524</v>
      </c>
      <c r="O8152" t="s">
        <v>32525</v>
      </c>
      <c r="P8152">
        <v>0</v>
      </c>
      <c r="Q8152">
        <v>4</v>
      </c>
      <c r="R8152" t="s">
        <v>32534</v>
      </c>
      <c r="S8152" t="s">
        <v>32739</v>
      </c>
      <c r="T8152" t="s">
        <v>33270</v>
      </c>
      <c r="U8152" t="s">
        <v>40415</v>
      </c>
      <c r="W8152" t="s">
        <v>31802</v>
      </c>
      <c r="X8152" t="s">
        <v>32536</v>
      </c>
    </row>
    <row r="8153" spans="1:24">
      <c r="A8153">
        <f>HYPERLINK("https://www.philgeps.gov.ph/GEPSNONPILOT/Tender/SplashBidNoticeAbstractUI.aspx?menuIndex=3&amp;refID=7032413&amp;Result=3","7032413")</f>
        <v>0</v>
      </c>
      <c r="B8153" t="s">
        <v>2363</v>
      </c>
      <c r="C8153" t="s">
        <v>10465</v>
      </c>
      <c r="D8153" t="s">
        <v>13045</v>
      </c>
      <c r="E8153" t="s">
        <v>20246</v>
      </c>
      <c r="F8153" t="s">
        <v>22441</v>
      </c>
      <c r="G8153" t="s">
        <v>22444</v>
      </c>
      <c r="H8153" t="s">
        <v>22452</v>
      </c>
      <c r="I8153" t="s">
        <v>3529</v>
      </c>
      <c r="J8153" t="s">
        <v>27831</v>
      </c>
      <c r="K8153" t="s">
        <v>29331</v>
      </c>
      <c r="M8153" t="s">
        <v>32147</v>
      </c>
      <c r="N8153" t="s">
        <v>32524</v>
      </c>
      <c r="O8153" t="s">
        <v>32525</v>
      </c>
      <c r="P8153">
        <v>0</v>
      </c>
      <c r="Q8153">
        <v>2</v>
      </c>
      <c r="R8153" t="s">
        <v>32534</v>
      </c>
      <c r="S8153" t="s">
        <v>32739</v>
      </c>
      <c r="T8153" t="s">
        <v>33206</v>
      </c>
      <c r="U8153" t="s">
        <v>40416</v>
      </c>
      <c r="V8153" t="s">
        <v>43331</v>
      </c>
      <c r="W8153" t="s">
        <v>32147</v>
      </c>
      <c r="X8153" t="s">
        <v>32535</v>
      </c>
    </row>
    <row r="8154" spans="1:24">
      <c r="A8154">
        <f>HYPERLINK("https://www.philgeps.gov.ph/GEPSNONPILOT/Tender/SplashBidNoticeAbstractUI.aspx?menuIndex=3&amp;refID=7031497&amp;Result=3","7031497")</f>
        <v>0</v>
      </c>
      <c r="B8154" t="s">
        <v>1070</v>
      </c>
      <c r="C8154" t="s">
        <v>10466</v>
      </c>
      <c r="D8154" t="s">
        <v>13050</v>
      </c>
      <c r="E8154" t="s">
        <v>20247</v>
      </c>
      <c r="F8154" t="s">
        <v>22436</v>
      </c>
      <c r="G8154" t="s">
        <v>22443</v>
      </c>
      <c r="H8154" t="s">
        <v>22452</v>
      </c>
      <c r="I8154" t="s">
        <v>22460</v>
      </c>
      <c r="J8154" t="s">
        <v>27832</v>
      </c>
      <c r="K8154" t="s">
        <v>29341</v>
      </c>
      <c r="M8154" t="s">
        <v>31839</v>
      </c>
      <c r="N8154" t="s">
        <v>32524</v>
      </c>
      <c r="O8154" t="s">
        <v>32525</v>
      </c>
      <c r="P8154">
        <v>0</v>
      </c>
      <c r="Q8154">
        <v>6</v>
      </c>
      <c r="R8154" t="s">
        <v>32534</v>
      </c>
      <c r="S8154" t="s">
        <v>32739</v>
      </c>
      <c r="T8154" t="s">
        <v>33169</v>
      </c>
      <c r="U8154" t="s">
        <v>40417</v>
      </c>
      <c r="V8154" t="s">
        <v>43174</v>
      </c>
      <c r="W8154" t="s">
        <v>31839</v>
      </c>
      <c r="X8154" t="s">
        <v>32537</v>
      </c>
    </row>
    <row r="8155" spans="1:24">
      <c r="A8155">
        <f>HYPERLINK("https://www.philgeps.gov.ph/GEPSNONPILOT/Tender/SplashBidNoticeAbstractUI.aspx?menuIndex=3&amp;refID=7032458&amp;Result=3","7032458")</f>
        <v>0</v>
      </c>
      <c r="B8155" t="s">
        <v>189</v>
      </c>
      <c r="C8155" t="s">
        <v>10467</v>
      </c>
      <c r="E8155" t="s">
        <v>20248</v>
      </c>
      <c r="F8155" t="s">
        <v>22436</v>
      </c>
      <c r="G8155" t="s">
        <v>22444</v>
      </c>
      <c r="H8155" t="s">
        <v>22454</v>
      </c>
      <c r="I8155" t="s">
        <v>7738</v>
      </c>
      <c r="J8155" t="s">
        <v>27833</v>
      </c>
      <c r="K8155" t="s">
        <v>29334</v>
      </c>
      <c r="M8155" t="s">
        <v>29762</v>
      </c>
      <c r="N8155" t="s">
        <v>32524</v>
      </c>
      <c r="O8155" t="s">
        <v>32525</v>
      </c>
      <c r="P8155">
        <v>0</v>
      </c>
      <c r="Q8155">
        <v>0</v>
      </c>
      <c r="R8155" t="s">
        <v>32534</v>
      </c>
      <c r="S8155" t="s">
        <v>32739</v>
      </c>
      <c r="T8155" t="s">
        <v>33249</v>
      </c>
      <c r="U8155" t="s">
        <v>40418</v>
      </c>
      <c r="W8155" t="s">
        <v>29762</v>
      </c>
      <c r="X8155" t="s">
        <v>32535</v>
      </c>
    </row>
    <row r="8156" spans="1:24">
      <c r="A8156">
        <f>HYPERLINK("https://www.philgeps.gov.ph/GEPSNONPILOT/Tender/SplashBidNoticeAbstractUI.aspx?menuIndex=3&amp;refID=7032396&amp;Result=3","7032396")</f>
        <v>0</v>
      </c>
      <c r="B8156" t="s">
        <v>1831</v>
      </c>
      <c r="C8156" t="s">
        <v>10468</v>
      </c>
      <c r="D8156" t="s">
        <v>13037</v>
      </c>
      <c r="E8156" t="s">
        <v>20249</v>
      </c>
      <c r="F8156" t="s">
        <v>22436</v>
      </c>
      <c r="G8156" t="s">
        <v>22444</v>
      </c>
      <c r="H8156" t="s">
        <v>22452</v>
      </c>
      <c r="I8156" t="s">
        <v>7738</v>
      </c>
      <c r="J8156" t="s">
        <v>27834</v>
      </c>
      <c r="K8156" t="s">
        <v>29346</v>
      </c>
      <c r="M8156" t="s">
        <v>31546</v>
      </c>
      <c r="N8156" t="s">
        <v>32524</v>
      </c>
      <c r="O8156" t="s">
        <v>32525</v>
      </c>
      <c r="P8156">
        <v>0</v>
      </c>
      <c r="Q8156">
        <v>5</v>
      </c>
      <c r="R8156" t="s">
        <v>32534</v>
      </c>
      <c r="S8156" t="s">
        <v>32739</v>
      </c>
      <c r="T8156" t="s">
        <v>33218</v>
      </c>
      <c r="U8156" t="s">
        <v>40419</v>
      </c>
      <c r="W8156" t="s">
        <v>31546</v>
      </c>
      <c r="X8156" t="s">
        <v>32535</v>
      </c>
    </row>
    <row r="8157" spans="1:24">
      <c r="A8157">
        <f>HYPERLINK("https://www.philgeps.gov.ph/GEPSNONPILOT/Tender/SplashBidNoticeAbstractUI.aspx?menuIndex=3&amp;refID=7032454&amp;Result=3","7032454")</f>
        <v>0</v>
      </c>
      <c r="B8157" t="s">
        <v>1091</v>
      </c>
      <c r="C8157" t="s">
        <v>10469</v>
      </c>
      <c r="D8157" t="s">
        <v>13020</v>
      </c>
      <c r="E8157" t="s">
        <v>20250</v>
      </c>
      <c r="F8157" t="s">
        <v>22436</v>
      </c>
      <c r="G8157" t="s">
        <v>22444</v>
      </c>
      <c r="H8157" t="s">
        <v>22454</v>
      </c>
      <c r="I8157" t="s">
        <v>7738</v>
      </c>
      <c r="J8157" t="s">
        <v>23399</v>
      </c>
      <c r="K8157" t="s">
        <v>29401</v>
      </c>
      <c r="M8157" t="s">
        <v>30727</v>
      </c>
      <c r="N8157" t="s">
        <v>32524</v>
      </c>
      <c r="O8157" t="s">
        <v>32525</v>
      </c>
      <c r="P8157">
        <v>0</v>
      </c>
      <c r="Q8157">
        <v>103</v>
      </c>
      <c r="R8157" t="s">
        <v>32534</v>
      </c>
      <c r="S8157" t="s">
        <v>32739</v>
      </c>
      <c r="T8157" t="s">
        <v>33403</v>
      </c>
      <c r="U8157" t="s">
        <v>40420</v>
      </c>
      <c r="V8157" t="s">
        <v>43332</v>
      </c>
      <c r="W8157" t="s">
        <v>30727</v>
      </c>
      <c r="X8157" t="s">
        <v>32535</v>
      </c>
    </row>
    <row r="8158" spans="1:24">
      <c r="A8158">
        <f>HYPERLINK("https://www.philgeps.gov.ph/GEPSNONPILOT/Tender/SplashBidNoticeAbstractUI.aspx?menuIndex=3&amp;refID=7032270&amp;Result=3","7032270")</f>
        <v>0</v>
      </c>
      <c r="B8158" t="s">
        <v>2039</v>
      </c>
      <c r="C8158" t="s">
        <v>10470</v>
      </c>
      <c r="D8158" t="s">
        <v>13003</v>
      </c>
      <c r="E8158" t="s">
        <v>20251</v>
      </c>
      <c r="F8158" t="s">
        <v>22436</v>
      </c>
      <c r="G8158" t="s">
        <v>22444</v>
      </c>
      <c r="H8158" t="s">
        <v>22452</v>
      </c>
      <c r="I8158" t="s">
        <v>6421</v>
      </c>
      <c r="J8158" t="s">
        <v>27835</v>
      </c>
      <c r="K8158" t="s">
        <v>29336</v>
      </c>
      <c r="M8158" t="s">
        <v>31802</v>
      </c>
      <c r="N8158" t="s">
        <v>32524</v>
      </c>
      <c r="O8158" t="s">
        <v>32525</v>
      </c>
      <c r="P8158">
        <v>0</v>
      </c>
      <c r="Q8158">
        <v>4</v>
      </c>
      <c r="R8158" t="s">
        <v>32534</v>
      </c>
      <c r="S8158" t="s">
        <v>32739</v>
      </c>
      <c r="T8158" t="s">
        <v>33452</v>
      </c>
      <c r="U8158" t="s">
        <v>40421</v>
      </c>
      <c r="W8158" t="s">
        <v>31802</v>
      </c>
      <c r="X8158" t="s">
        <v>32536</v>
      </c>
    </row>
    <row r="8159" spans="1:24">
      <c r="A8159">
        <f>HYPERLINK("https://www.philgeps.gov.ph/GEPSNONPILOT/Tender/SplashBidNoticeAbstractUI.aspx?menuIndex=3&amp;refID=7032464&amp;Result=3","7032464")</f>
        <v>0</v>
      </c>
      <c r="B8159" t="s">
        <v>189</v>
      </c>
      <c r="C8159" t="s">
        <v>10471</v>
      </c>
      <c r="E8159" t="s">
        <v>20252</v>
      </c>
      <c r="F8159" t="s">
        <v>22436</v>
      </c>
      <c r="G8159" t="s">
        <v>22444</v>
      </c>
      <c r="H8159" t="s">
        <v>22454</v>
      </c>
      <c r="I8159" t="s">
        <v>7738</v>
      </c>
      <c r="J8159" t="s">
        <v>22960</v>
      </c>
      <c r="K8159" t="s">
        <v>29334</v>
      </c>
      <c r="M8159" t="s">
        <v>29762</v>
      </c>
      <c r="N8159" t="s">
        <v>32524</v>
      </c>
      <c r="O8159" t="s">
        <v>32525</v>
      </c>
      <c r="P8159">
        <v>0</v>
      </c>
      <c r="Q8159">
        <v>0</v>
      </c>
      <c r="R8159" t="s">
        <v>32534</v>
      </c>
      <c r="S8159" t="s">
        <v>32739</v>
      </c>
      <c r="T8159" t="s">
        <v>33249</v>
      </c>
      <c r="U8159" t="s">
        <v>40422</v>
      </c>
      <c r="W8159" t="s">
        <v>29762</v>
      </c>
      <c r="X8159" t="s">
        <v>32535</v>
      </c>
    </row>
    <row r="8160" spans="1:24">
      <c r="A8160">
        <f>HYPERLINK("https://www.philgeps.gov.ph/GEPSNONPILOT/Tender/SplashBidNoticeAbstractUI.aspx?menuIndex=3&amp;refID=7032358&amp;Result=3","7032358")</f>
        <v>0</v>
      </c>
      <c r="B8160" t="s">
        <v>2364</v>
      </c>
      <c r="C8160" t="s">
        <v>10472</v>
      </c>
      <c r="E8160" t="s">
        <v>20253</v>
      </c>
      <c r="F8160" t="s">
        <v>22436</v>
      </c>
      <c r="G8160" t="s">
        <v>22444</v>
      </c>
      <c r="H8160" t="s">
        <v>22452</v>
      </c>
      <c r="I8160" t="s">
        <v>22474</v>
      </c>
      <c r="J8160" t="s">
        <v>22806</v>
      </c>
      <c r="K8160" t="s">
        <v>29338</v>
      </c>
      <c r="M8160" t="s">
        <v>32148</v>
      </c>
      <c r="N8160" t="s">
        <v>32524</v>
      </c>
      <c r="O8160" t="s">
        <v>32525</v>
      </c>
      <c r="P8160">
        <v>0</v>
      </c>
      <c r="Q8160">
        <v>0</v>
      </c>
      <c r="R8160" t="s">
        <v>32534</v>
      </c>
      <c r="S8160" t="s">
        <v>32739</v>
      </c>
      <c r="T8160" t="s">
        <v>33230</v>
      </c>
      <c r="U8160" t="s">
        <v>40423</v>
      </c>
      <c r="W8160" t="s">
        <v>32148</v>
      </c>
      <c r="X8160" t="s">
        <v>32535</v>
      </c>
    </row>
    <row r="8161" spans="1:24">
      <c r="A8161">
        <f>HYPERLINK("https://www.philgeps.gov.ph/GEPSNONPILOT/Tender/SplashBidNoticeAbstractUI.aspx?menuIndex=3&amp;refID=7031953&amp;Result=3","7031953")</f>
        <v>0</v>
      </c>
      <c r="B8161" t="s">
        <v>981</v>
      </c>
      <c r="C8161" t="s">
        <v>10473</v>
      </c>
      <c r="E8161" t="s">
        <v>20254</v>
      </c>
      <c r="F8161" t="s">
        <v>22436</v>
      </c>
      <c r="G8161" t="s">
        <v>22444</v>
      </c>
      <c r="H8161" t="s">
        <v>22454</v>
      </c>
      <c r="I8161" t="s">
        <v>7738</v>
      </c>
      <c r="J8161" t="s">
        <v>27836</v>
      </c>
      <c r="K8161" t="s">
        <v>29333</v>
      </c>
      <c r="M8161" t="s">
        <v>30602</v>
      </c>
      <c r="N8161" t="s">
        <v>32524</v>
      </c>
      <c r="O8161" t="s">
        <v>32525</v>
      </c>
      <c r="P8161">
        <v>0</v>
      </c>
      <c r="Q8161">
        <v>2</v>
      </c>
      <c r="R8161" t="s">
        <v>32534</v>
      </c>
      <c r="S8161" t="s">
        <v>32739</v>
      </c>
      <c r="T8161" t="s">
        <v>33550</v>
      </c>
      <c r="U8161" t="s">
        <v>40424</v>
      </c>
      <c r="W8161" t="s">
        <v>30602</v>
      </c>
      <c r="X8161" t="s">
        <v>32537</v>
      </c>
    </row>
    <row r="8162" spans="1:24">
      <c r="A8162">
        <f>HYPERLINK("https://www.philgeps.gov.ph/GEPSNONPILOT/Tender/SplashBidNoticeAbstractUI.aspx?menuIndex=3&amp;refID=7032441&amp;Result=3","7032441")</f>
        <v>0</v>
      </c>
      <c r="B8162" t="s">
        <v>189</v>
      </c>
      <c r="C8162" t="s">
        <v>10474</v>
      </c>
      <c r="D8162" t="s">
        <v>13044</v>
      </c>
      <c r="E8162" t="s">
        <v>20255</v>
      </c>
      <c r="F8162" t="s">
        <v>22436</v>
      </c>
      <c r="G8162" t="s">
        <v>22444</v>
      </c>
      <c r="H8162" t="s">
        <v>22454</v>
      </c>
      <c r="I8162" t="s">
        <v>7738</v>
      </c>
      <c r="J8162" t="s">
        <v>22634</v>
      </c>
      <c r="K8162" t="s">
        <v>29347</v>
      </c>
      <c r="M8162" t="s">
        <v>29762</v>
      </c>
      <c r="N8162" t="s">
        <v>32524</v>
      </c>
      <c r="O8162" t="s">
        <v>32525</v>
      </c>
      <c r="P8162">
        <v>0</v>
      </c>
      <c r="Q8162">
        <v>0</v>
      </c>
      <c r="R8162" t="s">
        <v>32534</v>
      </c>
      <c r="S8162" t="s">
        <v>32739</v>
      </c>
      <c r="T8162" t="s">
        <v>33249</v>
      </c>
      <c r="U8162" t="s">
        <v>40425</v>
      </c>
      <c r="W8162" t="s">
        <v>29762</v>
      </c>
      <c r="X8162" t="s">
        <v>32535</v>
      </c>
    </row>
    <row r="8163" spans="1:24">
      <c r="A8163">
        <f>HYPERLINK("https://www.philgeps.gov.ph/GEPSNONPILOT/Tender/SplashBidNoticeAbstractUI.aspx?menuIndex=3&amp;refID=7032376&amp;Result=3","7032376")</f>
        <v>0</v>
      </c>
      <c r="B8163" t="s">
        <v>1832</v>
      </c>
      <c r="C8163" t="s">
        <v>10475</v>
      </c>
      <c r="D8163" t="s">
        <v>13027</v>
      </c>
      <c r="E8163" t="s">
        <v>20256</v>
      </c>
      <c r="F8163" t="s">
        <v>22436</v>
      </c>
      <c r="G8163" t="s">
        <v>22447</v>
      </c>
      <c r="H8163" t="s">
        <v>22452</v>
      </c>
      <c r="I8163" t="s">
        <v>6421</v>
      </c>
      <c r="J8163" t="s">
        <v>27837</v>
      </c>
      <c r="K8163" t="s">
        <v>29334</v>
      </c>
      <c r="M8163" t="s">
        <v>31547</v>
      </c>
      <c r="N8163" t="s">
        <v>32524</v>
      </c>
      <c r="O8163" t="s">
        <v>32525</v>
      </c>
      <c r="P8163">
        <v>0</v>
      </c>
      <c r="Q8163">
        <v>7</v>
      </c>
      <c r="R8163" t="s">
        <v>32534</v>
      </c>
      <c r="S8163" t="s">
        <v>32739</v>
      </c>
      <c r="T8163" t="s">
        <v>33314</v>
      </c>
      <c r="U8163" t="s">
        <v>40426</v>
      </c>
      <c r="W8163" t="s">
        <v>31547</v>
      </c>
      <c r="X8163" t="s">
        <v>32535</v>
      </c>
    </row>
    <row r="8164" spans="1:24">
      <c r="A8164">
        <f>HYPERLINK("https://www.philgeps.gov.ph/GEPSNONPILOT/Tender/SplashBidNoticeAbstractUI.aspx?menuIndex=3&amp;refID=7032461&amp;Result=3","7032461")</f>
        <v>0</v>
      </c>
      <c r="B8164" t="s">
        <v>189</v>
      </c>
      <c r="C8164" t="s">
        <v>10476</v>
      </c>
      <c r="E8164" t="s">
        <v>20257</v>
      </c>
      <c r="F8164" t="s">
        <v>22436</v>
      </c>
      <c r="G8164" t="s">
        <v>22444</v>
      </c>
      <c r="H8164" t="s">
        <v>22454</v>
      </c>
      <c r="I8164" t="s">
        <v>7738</v>
      </c>
      <c r="J8164" t="s">
        <v>22634</v>
      </c>
      <c r="K8164" t="s">
        <v>29347</v>
      </c>
      <c r="M8164" t="s">
        <v>29762</v>
      </c>
      <c r="N8164" t="s">
        <v>32524</v>
      </c>
      <c r="O8164" t="s">
        <v>32525</v>
      </c>
      <c r="P8164">
        <v>0</v>
      </c>
      <c r="Q8164">
        <v>0</v>
      </c>
      <c r="R8164" t="s">
        <v>32534</v>
      </c>
      <c r="S8164" t="s">
        <v>32739</v>
      </c>
      <c r="T8164" t="s">
        <v>33249</v>
      </c>
      <c r="U8164" t="s">
        <v>40427</v>
      </c>
      <c r="W8164" t="s">
        <v>29762</v>
      </c>
      <c r="X8164" t="s">
        <v>32535</v>
      </c>
    </row>
    <row r="8165" spans="1:24">
      <c r="A8165">
        <f>HYPERLINK("https://www.philgeps.gov.ph/GEPSNONPILOT/Tender/SplashBidNoticeAbstractUI.aspx?menuIndex=3&amp;refID=7032449&amp;Result=3","7032449")</f>
        <v>0</v>
      </c>
      <c r="B8165" t="s">
        <v>189</v>
      </c>
      <c r="C8165" t="s">
        <v>10477</v>
      </c>
      <c r="E8165" t="s">
        <v>20258</v>
      </c>
      <c r="F8165" t="s">
        <v>22436</v>
      </c>
      <c r="G8165" t="s">
        <v>22444</v>
      </c>
      <c r="H8165" t="s">
        <v>22454</v>
      </c>
      <c r="I8165" t="s">
        <v>7738</v>
      </c>
      <c r="J8165" t="s">
        <v>22587</v>
      </c>
      <c r="K8165" t="s">
        <v>29344</v>
      </c>
      <c r="M8165" t="s">
        <v>29762</v>
      </c>
      <c r="N8165" t="s">
        <v>32524</v>
      </c>
      <c r="O8165" t="s">
        <v>32525</v>
      </c>
      <c r="P8165">
        <v>0</v>
      </c>
      <c r="Q8165">
        <v>0</v>
      </c>
      <c r="R8165" t="s">
        <v>32534</v>
      </c>
      <c r="S8165" t="s">
        <v>32739</v>
      </c>
      <c r="T8165" t="s">
        <v>33249</v>
      </c>
      <c r="U8165" t="s">
        <v>40428</v>
      </c>
      <c r="W8165" t="s">
        <v>29762</v>
      </c>
      <c r="X8165" t="s">
        <v>32535</v>
      </c>
    </row>
    <row r="8166" spans="1:24">
      <c r="A8166">
        <f>HYPERLINK("https://www.philgeps.gov.ph/GEPSNONPILOT/Tender/SplashBidNoticeAbstractUI.aspx?menuIndex=3&amp;refID=7032352&amp;Result=3","7032352")</f>
        <v>0</v>
      </c>
      <c r="B8166" t="s">
        <v>2365</v>
      </c>
      <c r="C8166" t="s">
        <v>10478</v>
      </c>
      <c r="D8166" t="s">
        <v>13011</v>
      </c>
      <c r="E8166" t="s">
        <v>13182</v>
      </c>
      <c r="F8166" t="s">
        <v>22436</v>
      </c>
      <c r="G8166" t="s">
        <v>22444</v>
      </c>
      <c r="H8166" t="s">
        <v>22452</v>
      </c>
      <c r="I8166" t="s">
        <v>2981</v>
      </c>
      <c r="J8166" t="s">
        <v>27838</v>
      </c>
      <c r="K8166" t="s">
        <v>29336</v>
      </c>
      <c r="M8166" t="s">
        <v>32149</v>
      </c>
      <c r="N8166" t="s">
        <v>32524</v>
      </c>
      <c r="O8166" t="s">
        <v>32525</v>
      </c>
      <c r="P8166">
        <v>0</v>
      </c>
      <c r="Q8166">
        <v>0</v>
      </c>
      <c r="R8166" t="s">
        <v>32534</v>
      </c>
      <c r="S8166" t="s">
        <v>32739</v>
      </c>
      <c r="T8166" t="s">
        <v>33569</v>
      </c>
      <c r="U8166" t="s">
        <v>40429</v>
      </c>
      <c r="V8166" t="s">
        <v>40429</v>
      </c>
      <c r="W8166" t="s">
        <v>32149</v>
      </c>
      <c r="X8166" t="s">
        <v>32535</v>
      </c>
    </row>
    <row r="8167" spans="1:24">
      <c r="A8167">
        <f>HYPERLINK("https://www.philgeps.gov.ph/GEPSNONPILOT/Tender/SplashBidNoticeAbstractUI.aspx?menuIndex=3&amp;refID=7032351&amp;Result=3","7032351")</f>
        <v>0</v>
      </c>
      <c r="B8167" t="s">
        <v>2340</v>
      </c>
      <c r="C8167" t="s">
        <v>10479</v>
      </c>
      <c r="D8167" t="s">
        <v>13012</v>
      </c>
      <c r="E8167" t="s">
        <v>20259</v>
      </c>
      <c r="F8167" t="s">
        <v>22436</v>
      </c>
      <c r="G8167" t="s">
        <v>22444</v>
      </c>
      <c r="H8167" t="s">
        <v>22452</v>
      </c>
      <c r="I8167" t="s">
        <v>3529</v>
      </c>
      <c r="J8167" t="s">
        <v>27839</v>
      </c>
      <c r="K8167" t="s">
        <v>29331</v>
      </c>
      <c r="M8167" t="s">
        <v>29679</v>
      </c>
      <c r="N8167" t="s">
        <v>32524</v>
      </c>
      <c r="O8167" t="s">
        <v>32525</v>
      </c>
      <c r="P8167">
        <v>0</v>
      </c>
      <c r="Q8167">
        <v>0</v>
      </c>
      <c r="R8167" t="s">
        <v>32534</v>
      </c>
      <c r="S8167" t="s">
        <v>32739</v>
      </c>
      <c r="T8167" t="s">
        <v>33320</v>
      </c>
      <c r="U8167" t="s">
        <v>40430</v>
      </c>
      <c r="W8167" t="s">
        <v>29679</v>
      </c>
      <c r="X8167" t="s">
        <v>32535</v>
      </c>
    </row>
    <row r="8168" spans="1:24">
      <c r="A8168">
        <f>HYPERLINK("https://www.philgeps.gov.ph/GEPSNONPILOT/Tender/SplashBidNoticeAbstractUI.aspx?menuIndex=3&amp;refID=7032360&amp;Result=3","7032360")</f>
        <v>0</v>
      </c>
      <c r="B8168" t="s">
        <v>2366</v>
      </c>
      <c r="C8168" t="s">
        <v>10480</v>
      </c>
      <c r="E8168" t="s">
        <v>20260</v>
      </c>
      <c r="F8168" t="s">
        <v>22436</v>
      </c>
      <c r="G8168" t="s">
        <v>22444</v>
      </c>
      <c r="H8168" t="s">
        <v>22452</v>
      </c>
      <c r="I8168" t="s">
        <v>7738</v>
      </c>
      <c r="J8168" t="s">
        <v>27840</v>
      </c>
      <c r="K8168" t="s">
        <v>29338</v>
      </c>
      <c r="M8168" t="s">
        <v>32150</v>
      </c>
      <c r="N8168" t="s">
        <v>32524</v>
      </c>
      <c r="O8168" t="s">
        <v>32525</v>
      </c>
      <c r="P8168">
        <v>0</v>
      </c>
      <c r="Q8168">
        <v>0</v>
      </c>
      <c r="R8168" t="s">
        <v>32534</v>
      </c>
      <c r="S8168" t="s">
        <v>32739</v>
      </c>
      <c r="T8168" t="s">
        <v>33167</v>
      </c>
      <c r="U8168" t="s">
        <v>36676</v>
      </c>
      <c r="W8168" t="s">
        <v>32150</v>
      </c>
      <c r="X8168" t="s">
        <v>32535</v>
      </c>
    </row>
    <row r="8169" spans="1:24">
      <c r="A8169">
        <f>HYPERLINK("https://www.philgeps.gov.ph/GEPSNONPILOT/Tender/SplashBidNoticeAbstractUI.aspx?menuIndex=3&amp;refID=7032310&amp;Result=3","7032310")</f>
        <v>0</v>
      </c>
      <c r="B8169" t="s">
        <v>2367</v>
      </c>
      <c r="C8169" t="s">
        <v>10481</v>
      </c>
      <c r="D8169" t="s">
        <v>13022</v>
      </c>
      <c r="E8169" t="s">
        <v>20261</v>
      </c>
      <c r="F8169" t="s">
        <v>22436</v>
      </c>
      <c r="G8169" t="s">
        <v>22444</v>
      </c>
      <c r="H8169" t="s">
        <v>22452</v>
      </c>
      <c r="I8169" t="s">
        <v>3529</v>
      </c>
      <c r="J8169" t="s">
        <v>27841</v>
      </c>
      <c r="K8169" t="s">
        <v>29341</v>
      </c>
      <c r="M8169" t="s">
        <v>32151</v>
      </c>
      <c r="N8169" t="s">
        <v>32524</v>
      </c>
      <c r="O8169" t="s">
        <v>32525</v>
      </c>
      <c r="P8169">
        <v>0</v>
      </c>
      <c r="Q8169">
        <v>0</v>
      </c>
      <c r="R8169" t="s">
        <v>32534</v>
      </c>
      <c r="S8169" t="s">
        <v>32739</v>
      </c>
      <c r="T8169" t="s">
        <v>33220</v>
      </c>
      <c r="U8169" t="s">
        <v>40431</v>
      </c>
      <c r="W8169" t="s">
        <v>32151</v>
      </c>
      <c r="X8169" t="s">
        <v>32536</v>
      </c>
    </row>
    <row r="8170" spans="1:24">
      <c r="A8170">
        <f>HYPERLINK("https://www.philgeps.gov.ph/GEPSNONPILOT/Tender/SplashBidNoticeAbstractUI.aspx?menuIndex=3&amp;refID=7032316&amp;Result=3","7032316")</f>
        <v>0</v>
      </c>
      <c r="B8170" t="s">
        <v>2320</v>
      </c>
      <c r="C8170" t="s">
        <v>10482</v>
      </c>
      <c r="D8170" t="s">
        <v>13044</v>
      </c>
      <c r="E8170" t="s">
        <v>16426</v>
      </c>
      <c r="F8170" t="s">
        <v>22436</v>
      </c>
      <c r="G8170" t="s">
        <v>22443</v>
      </c>
      <c r="H8170" t="s">
        <v>22454</v>
      </c>
      <c r="I8170" t="s">
        <v>22464</v>
      </c>
      <c r="J8170" t="s">
        <v>22873</v>
      </c>
      <c r="K8170" t="s">
        <v>29356</v>
      </c>
      <c r="M8170" t="s">
        <v>32097</v>
      </c>
      <c r="N8170" t="s">
        <v>32524</v>
      </c>
      <c r="O8170" t="s">
        <v>32525</v>
      </c>
      <c r="P8170">
        <v>0</v>
      </c>
      <c r="Q8170">
        <v>0</v>
      </c>
      <c r="R8170" t="s">
        <v>32534</v>
      </c>
      <c r="S8170" t="s">
        <v>32739</v>
      </c>
      <c r="T8170" t="s">
        <v>33169</v>
      </c>
      <c r="U8170" t="s">
        <v>40432</v>
      </c>
      <c r="W8170" t="s">
        <v>43751</v>
      </c>
      <c r="X8170" t="s">
        <v>32536</v>
      </c>
    </row>
    <row r="8171" spans="1:24">
      <c r="A8171">
        <f>HYPERLINK("https://www.philgeps.gov.ph/GEPSNONPILOT/Tender/SplashBidNoticeAbstractUI.aspx?menuIndex=3&amp;refID=7032347&amp;Result=3","7032347")</f>
        <v>0</v>
      </c>
      <c r="B8171" t="s">
        <v>2368</v>
      </c>
      <c r="C8171" t="s">
        <v>10483</v>
      </c>
      <c r="D8171" t="s">
        <v>13057</v>
      </c>
      <c r="E8171" t="s">
        <v>20262</v>
      </c>
      <c r="F8171" t="s">
        <v>22436</v>
      </c>
      <c r="G8171" t="s">
        <v>22444</v>
      </c>
      <c r="H8171" t="s">
        <v>22452</v>
      </c>
      <c r="I8171" t="s">
        <v>22474</v>
      </c>
      <c r="J8171" t="s">
        <v>22640</v>
      </c>
      <c r="K8171" t="s">
        <v>29333</v>
      </c>
      <c r="M8171" t="s">
        <v>32152</v>
      </c>
      <c r="N8171" t="s">
        <v>32524</v>
      </c>
      <c r="O8171" t="s">
        <v>32525</v>
      </c>
      <c r="P8171">
        <v>0</v>
      </c>
      <c r="Q8171">
        <v>2</v>
      </c>
      <c r="R8171" t="s">
        <v>32534</v>
      </c>
      <c r="S8171" t="s">
        <v>32739</v>
      </c>
      <c r="T8171" t="s">
        <v>33552</v>
      </c>
      <c r="U8171" t="s">
        <v>40433</v>
      </c>
      <c r="W8171" t="s">
        <v>32152</v>
      </c>
      <c r="X8171" t="s">
        <v>32535</v>
      </c>
    </row>
    <row r="8172" spans="1:24">
      <c r="A8172">
        <f>HYPERLINK("https://www.philgeps.gov.ph/GEPSNONPILOT/Tender/SplashBidNoticeAbstractUI.aspx?menuIndex=3&amp;refID=7031474&amp;Result=3","7031474")</f>
        <v>0</v>
      </c>
      <c r="B8172" t="s">
        <v>319</v>
      </c>
      <c r="C8172" t="s">
        <v>10484</v>
      </c>
      <c r="D8172" t="s">
        <v>13037</v>
      </c>
      <c r="E8172" t="s">
        <v>20263</v>
      </c>
      <c r="F8172" t="s">
        <v>22436</v>
      </c>
      <c r="G8172" t="s">
        <v>22444</v>
      </c>
      <c r="H8172" t="s">
        <v>22454</v>
      </c>
      <c r="I8172" t="s">
        <v>7738</v>
      </c>
      <c r="J8172" t="s">
        <v>22893</v>
      </c>
      <c r="K8172" t="s">
        <v>29533</v>
      </c>
      <c r="M8172" t="s">
        <v>29895</v>
      </c>
      <c r="N8172" t="s">
        <v>32524</v>
      </c>
      <c r="O8172" t="s">
        <v>32525</v>
      </c>
      <c r="P8172">
        <v>0</v>
      </c>
      <c r="Q8172">
        <v>0</v>
      </c>
      <c r="R8172" t="s">
        <v>32534</v>
      </c>
      <c r="S8172" t="s">
        <v>32739</v>
      </c>
      <c r="T8172" t="s">
        <v>33227</v>
      </c>
      <c r="U8172" t="s">
        <v>34481</v>
      </c>
      <c r="W8172" t="s">
        <v>29895</v>
      </c>
      <c r="X8172" t="s">
        <v>32537</v>
      </c>
    </row>
    <row r="8173" spans="1:24">
      <c r="A8173">
        <f>HYPERLINK("https://www.philgeps.gov.ph/GEPSNONPILOT/Tender/SplashBidNoticeAbstractUI.aspx?menuIndex=3&amp;refID=7032356&amp;Result=3","7032356")</f>
        <v>0</v>
      </c>
      <c r="B8173" t="s">
        <v>519</v>
      </c>
      <c r="C8173" t="s">
        <v>10485</v>
      </c>
      <c r="D8173" t="s">
        <v>13022</v>
      </c>
      <c r="E8173" t="s">
        <v>20264</v>
      </c>
      <c r="F8173" t="s">
        <v>22436</v>
      </c>
      <c r="G8173" t="s">
        <v>22444</v>
      </c>
      <c r="H8173" t="s">
        <v>22453</v>
      </c>
      <c r="I8173" t="s">
        <v>22457</v>
      </c>
      <c r="J8173" t="s">
        <v>27842</v>
      </c>
      <c r="K8173" t="s">
        <v>29353</v>
      </c>
      <c r="M8173" t="s">
        <v>30103</v>
      </c>
      <c r="N8173" t="s">
        <v>32524</v>
      </c>
      <c r="O8173" t="s">
        <v>32525</v>
      </c>
      <c r="P8173">
        <v>0</v>
      </c>
      <c r="Q8173">
        <v>2</v>
      </c>
      <c r="R8173" t="s">
        <v>32534</v>
      </c>
      <c r="S8173" t="s">
        <v>32739</v>
      </c>
      <c r="T8173" t="s">
        <v>33340</v>
      </c>
      <c r="U8173" t="s">
        <v>40434</v>
      </c>
      <c r="V8173" t="s">
        <v>43333</v>
      </c>
      <c r="W8173" t="s">
        <v>30103</v>
      </c>
      <c r="X8173" t="s">
        <v>32535</v>
      </c>
    </row>
    <row r="8174" spans="1:24">
      <c r="A8174">
        <f>HYPERLINK("https://www.philgeps.gov.ph/GEPSNONPILOT/Tender/SplashBidNoticeAbstractUI.aspx?menuIndex=3&amp;refID=7032488&amp;Result=3","7032488")</f>
        <v>0</v>
      </c>
      <c r="B8174" t="s">
        <v>2369</v>
      </c>
      <c r="C8174" t="s">
        <v>10486</v>
      </c>
      <c r="D8174" t="s">
        <v>13000</v>
      </c>
      <c r="E8174" t="s">
        <v>20265</v>
      </c>
      <c r="F8174" t="s">
        <v>22436</v>
      </c>
      <c r="G8174" t="s">
        <v>22444</v>
      </c>
      <c r="H8174" t="s">
        <v>22452</v>
      </c>
      <c r="I8174" t="s">
        <v>22469</v>
      </c>
      <c r="J8174" t="s">
        <v>27843</v>
      </c>
      <c r="K8174" t="s">
        <v>29341</v>
      </c>
      <c r="M8174" t="s">
        <v>32153</v>
      </c>
      <c r="N8174" t="s">
        <v>32524</v>
      </c>
      <c r="O8174" t="s">
        <v>32525</v>
      </c>
      <c r="P8174">
        <v>0</v>
      </c>
      <c r="Q8174">
        <v>0</v>
      </c>
      <c r="R8174" t="s">
        <v>32534</v>
      </c>
      <c r="S8174" t="s">
        <v>32739</v>
      </c>
      <c r="T8174" t="s">
        <v>33171</v>
      </c>
      <c r="U8174" t="s">
        <v>40435</v>
      </c>
      <c r="V8174" t="s">
        <v>43329</v>
      </c>
      <c r="W8174" t="s">
        <v>32153</v>
      </c>
      <c r="X8174" t="s">
        <v>32535</v>
      </c>
    </row>
    <row r="8175" spans="1:24">
      <c r="A8175">
        <f>HYPERLINK("https://www.philgeps.gov.ph/GEPSNONPILOT/Tender/SplashBidNoticeAbstractUI.aspx?menuIndex=3&amp;refID=7032348&amp;Result=3","7032348")</f>
        <v>0</v>
      </c>
      <c r="B8175" t="s">
        <v>2368</v>
      </c>
      <c r="C8175" t="s">
        <v>10487</v>
      </c>
      <c r="D8175" t="s">
        <v>13057</v>
      </c>
      <c r="E8175" t="s">
        <v>20266</v>
      </c>
      <c r="F8175" t="s">
        <v>22436</v>
      </c>
      <c r="G8175" t="s">
        <v>22444</v>
      </c>
      <c r="H8175" t="s">
        <v>22452</v>
      </c>
      <c r="I8175" t="s">
        <v>22482</v>
      </c>
      <c r="J8175" t="s">
        <v>22910</v>
      </c>
      <c r="K8175" t="s">
        <v>29335</v>
      </c>
      <c r="M8175" t="s">
        <v>32152</v>
      </c>
      <c r="N8175" t="s">
        <v>32524</v>
      </c>
      <c r="O8175" t="s">
        <v>32525</v>
      </c>
      <c r="P8175">
        <v>0</v>
      </c>
      <c r="Q8175">
        <v>5</v>
      </c>
      <c r="R8175" t="s">
        <v>32534</v>
      </c>
      <c r="S8175" t="s">
        <v>32739</v>
      </c>
      <c r="T8175" t="s">
        <v>33552</v>
      </c>
      <c r="U8175" t="s">
        <v>40436</v>
      </c>
      <c r="W8175" t="s">
        <v>32152</v>
      </c>
      <c r="X8175" t="s">
        <v>32535</v>
      </c>
    </row>
    <row r="8176" spans="1:24">
      <c r="A8176">
        <f>HYPERLINK("https://www.philgeps.gov.ph/GEPSNONPILOT/Tender/SplashBidNoticeAbstractUI.aspx?menuIndex=3&amp;refID=7032527&amp;Result=3","7032527")</f>
        <v>0</v>
      </c>
      <c r="B8176" t="s">
        <v>1707</v>
      </c>
      <c r="C8176" t="s">
        <v>10488</v>
      </c>
      <c r="D8176" t="s">
        <v>12988</v>
      </c>
      <c r="E8176" t="s">
        <v>20267</v>
      </c>
      <c r="F8176" t="s">
        <v>22436</v>
      </c>
      <c r="G8176" t="s">
        <v>22444</v>
      </c>
      <c r="H8176" t="s">
        <v>22453</v>
      </c>
      <c r="I8176" t="s">
        <v>22467</v>
      </c>
      <c r="J8176" t="s">
        <v>27844</v>
      </c>
      <c r="K8176" t="s">
        <v>29426</v>
      </c>
      <c r="M8176" t="s">
        <v>32154</v>
      </c>
      <c r="N8176" t="s">
        <v>32524</v>
      </c>
      <c r="O8176" t="s">
        <v>32525</v>
      </c>
      <c r="P8176">
        <v>0</v>
      </c>
      <c r="Q8176">
        <v>2</v>
      </c>
      <c r="R8176" t="s">
        <v>32534</v>
      </c>
      <c r="S8176" t="s">
        <v>32739</v>
      </c>
      <c r="T8176" t="s">
        <v>33467</v>
      </c>
      <c r="U8176" t="s">
        <v>40437</v>
      </c>
      <c r="W8176" t="s">
        <v>32154</v>
      </c>
      <c r="X8176" t="s">
        <v>32535</v>
      </c>
    </row>
    <row r="8177" spans="1:24">
      <c r="A8177">
        <f>HYPERLINK("https://www.philgeps.gov.ph/GEPSNONPILOT/Tender/SplashBidNoticeAbstractUI.aspx?menuIndex=3&amp;refID=7032525&amp;Result=3","7032525")</f>
        <v>0</v>
      </c>
      <c r="B8177" t="s">
        <v>1707</v>
      </c>
      <c r="C8177" t="s">
        <v>10489</v>
      </c>
      <c r="D8177" t="s">
        <v>12988</v>
      </c>
      <c r="E8177" t="s">
        <v>20268</v>
      </c>
      <c r="F8177" t="s">
        <v>22436</v>
      </c>
      <c r="G8177" t="s">
        <v>22444</v>
      </c>
      <c r="H8177" t="s">
        <v>22453</v>
      </c>
      <c r="I8177" t="s">
        <v>22457</v>
      </c>
      <c r="J8177" t="s">
        <v>27845</v>
      </c>
      <c r="K8177" t="s">
        <v>29426</v>
      </c>
      <c r="M8177" t="s">
        <v>32154</v>
      </c>
      <c r="N8177" t="s">
        <v>32524</v>
      </c>
      <c r="O8177" t="s">
        <v>32525</v>
      </c>
      <c r="P8177">
        <v>0</v>
      </c>
      <c r="Q8177">
        <v>9</v>
      </c>
      <c r="R8177" t="s">
        <v>32534</v>
      </c>
      <c r="S8177" t="s">
        <v>32739</v>
      </c>
      <c r="T8177" t="s">
        <v>33470</v>
      </c>
      <c r="U8177" t="s">
        <v>40438</v>
      </c>
      <c r="W8177" t="s">
        <v>32154</v>
      </c>
      <c r="X8177" t="s">
        <v>32535</v>
      </c>
    </row>
    <row r="8178" spans="1:24">
      <c r="A8178">
        <f>HYPERLINK("https://www.philgeps.gov.ph/GEPSNONPILOT/Tender/SplashBidNoticeAbstractUI.aspx?menuIndex=3&amp;refID=7032524&amp;Result=3","7032524")</f>
        <v>0</v>
      </c>
      <c r="B8178" t="s">
        <v>189</v>
      </c>
      <c r="C8178" t="s">
        <v>10490</v>
      </c>
      <c r="E8178" t="s">
        <v>20269</v>
      </c>
      <c r="F8178" t="s">
        <v>22436</v>
      </c>
      <c r="G8178" t="s">
        <v>22444</v>
      </c>
      <c r="H8178" t="s">
        <v>22454</v>
      </c>
      <c r="I8178" t="s">
        <v>7738</v>
      </c>
      <c r="J8178" t="s">
        <v>22960</v>
      </c>
      <c r="K8178" t="s">
        <v>29334</v>
      </c>
      <c r="M8178" t="s">
        <v>29762</v>
      </c>
      <c r="N8178" t="s">
        <v>32524</v>
      </c>
      <c r="O8178" t="s">
        <v>32525</v>
      </c>
      <c r="P8178">
        <v>0</v>
      </c>
      <c r="Q8178">
        <v>0</v>
      </c>
      <c r="R8178" t="s">
        <v>32534</v>
      </c>
      <c r="S8178" t="s">
        <v>32739</v>
      </c>
      <c r="T8178" t="s">
        <v>33237</v>
      </c>
      <c r="U8178" t="s">
        <v>40439</v>
      </c>
      <c r="W8178" t="s">
        <v>29762</v>
      </c>
      <c r="X8178" t="s">
        <v>32535</v>
      </c>
    </row>
    <row r="8179" spans="1:24">
      <c r="A8179">
        <f>HYPERLINK("https://www.philgeps.gov.ph/GEPSNONPILOT/Tender/SplashBidNoticeAbstractUI.aspx?menuIndex=3&amp;refID=7032518&amp;Result=3","7032518")</f>
        <v>0</v>
      </c>
      <c r="B8179" t="s">
        <v>1874</v>
      </c>
      <c r="C8179" t="s">
        <v>10491</v>
      </c>
      <c r="D8179" t="s">
        <v>12988</v>
      </c>
      <c r="E8179" t="s">
        <v>13149</v>
      </c>
      <c r="F8179" t="s">
        <v>22436</v>
      </c>
      <c r="G8179" t="s">
        <v>22444</v>
      </c>
      <c r="H8179" t="s">
        <v>22452</v>
      </c>
      <c r="I8179" t="s">
        <v>3827</v>
      </c>
      <c r="J8179" t="s">
        <v>27546</v>
      </c>
      <c r="K8179" t="s">
        <v>29341</v>
      </c>
      <c r="M8179" t="s">
        <v>31592</v>
      </c>
      <c r="N8179" t="s">
        <v>32524</v>
      </c>
      <c r="O8179" t="s">
        <v>32525</v>
      </c>
      <c r="P8179">
        <v>0</v>
      </c>
      <c r="Q8179">
        <v>18</v>
      </c>
      <c r="R8179" t="s">
        <v>32534</v>
      </c>
      <c r="S8179" t="s">
        <v>32739</v>
      </c>
      <c r="T8179" t="s">
        <v>33486</v>
      </c>
      <c r="U8179" t="s">
        <v>40440</v>
      </c>
      <c r="W8179" t="s">
        <v>31592</v>
      </c>
      <c r="X8179" t="s">
        <v>32535</v>
      </c>
    </row>
    <row r="8180" spans="1:24">
      <c r="A8180">
        <f>HYPERLINK("https://www.philgeps.gov.ph/GEPSNONPILOT/Tender/SplashBidNoticeAbstractUI.aspx?menuIndex=3&amp;refID=7032549&amp;Result=3","7032549")</f>
        <v>0</v>
      </c>
      <c r="B8180" t="s">
        <v>2370</v>
      </c>
      <c r="C8180" t="s">
        <v>7220</v>
      </c>
      <c r="D8180" t="s">
        <v>12988</v>
      </c>
      <c r="E8180" t="s">
        <v>15776</v>
      </c>
      <c r="F8180" t="s">
        <v>22436</v>
      </c>
      <c r="G8180" t="s">
        <v>22444</v>
      </c>
      <c r="H8180" t="s">
        <v>22452</v>
      </c>
      <c r="I8180" t="s">
        <v>3827</v>
      </c>
      <c r="J8180" t="s">
        <v>25929</v>
      </c>
      <c r="K8180" t="s">
        <v>29341</v>
      </c>
      <c r="M8180" t="s">
        <v>32155</v>
      </c>
      <c r="N8180" t="s">
        <v>32524</v>
      </c>
      <c r="O8180" t="s">
        <v>32525</v>
      </c>
      <c r="P8180">
        <v>0</v>
      </c>
      <c r="Q8180">
        <v>1</v>
      </c>
      <c r="R8180" t="s">
        <v>32534</v>
      </c>
      <c r="S8180" t="s">
        <v>32739</v>
      </c>
      <c r="T8180" t="s">
        <v>33173</v>
      </c>
      <c r="U8180" t="s">
        <v>40441</v>
      </c>
      <c r="V8180" t="s">
        <v>43334</v>
      </c>
      <c r="W8180" t="s">
        <v>32155</v>
      </c>
      <c r="X8180" t="s">
        <v>32535</v>
      </c>
    </row>
    <row r="8181" spans="1:24">
      <c r="A8181">
        <f>HYPERLINK("https://www.philgeps.gov.ph/GEPSNONPILOT/Tender/SplashBidNoticeAbstractUI.aspx?menuIndex=3&amp;refID=7032547&amp;Result=3","7032547")</f>
        <v>0</v>
      </c>
      <c r="B8181" t="s">
        <v>1091</v>
      </c>
      <c r="C8181" t="s">
        <v>10492</v>
      </c>
      <c r="D8181" t="s">
        <v>13020</v>
      </c>
      <c r="E8181" t="s">
        <v>20270</v>
      </c>
      <c r="F8181" t="s">
        <v>22436</v>
      </c>
      <c r="G8181" t="s">
        <v>22444</v>
      </c>
      <c r="H8181" t="s">
        <v>22452</v>
      </c>
      <c r="I8181" t="s">
        <v>22474</v>
      </c>
      <c r="J8181" t="s">
        <v>27804</v>
      </c>
      <c r="K8181" t="s">
        <v>29335</v>
      </c>
      <c r="M8181" t="s">
        <v>30727</v>
      </c>
      <c r="N8181" t="s">
        <v>32524</v>
      </c>
      <c r="O8181" t="s">
        <v>32525</v>
      </c>
      <c r="P8181">
        <v>0</v>
      </c>
      <c r="Q8181">
        <v>8</v>
      </c>
      <c r="R8181" t="s">
        <v>32534</v>
      </c>
      <c r="S8181" t="s">
        <v>32739</v>
      </c>
      <c r="T8181" t="s">
        <v>33385</v>
      </c>
      <c r="U8181" t="s">
        <v>40442</v>
      </c>
      <c r="V8181" t="s">
        <v>43335</v>
      </c>
      <c r="W8181" t="s">
        <v>30727</v>
      </c>
      <c r="X8181" t="s">
        <v>32535</v>
      </c>
    </row>
    <row r="8182" spans="1:24">
      <c r="A8182">
        <f>HYPERLINK("https://www.philgeps.gov.ph/GEPSNONPILOT/Tender/SplashBidNoticeAbstractUI.aspx?menuIndex=3&amp;refID=7031442&amp;Result=3","7031442")</f>
        <v>0</v>
      </c>
      <c r="B8182" t="s">
        <v>135</v>
      </c>
      <c r="C8182" t="s">
        <v>10493</v>
      </c>
      <c r="D8182" t="s">
        <v>12988</v>
      </c>
      <c r="E8182" t="s">
        <v>20271</v>
      </c>
      <c r="F8182" t="s">
        <v>22436</v>
      </c>
      <c r="G8182" t="s">
        <v>22444</v>
      </c>
      <c r="H8182" t="s">
        <v>22452</v>
      </c>
      <c r="I8182" t="s">
        <v>22468</v>
      </c>
      <c r="J8182" t="s">
        <v>27846</v>
      </c>
      <c r="K8182" t="s">
        <v>29334</v>
      </c>
      <c r="M8182" t="s">
        <v>32156</v>
      </c>
      <c r="N8182" t="s">
        <v>32524</v>
      </c>
      <c r="O8182" t="s">
        <v>32525</v>
      </c>
      <c r="P8182">
        <v>0</v>
      </c>
      <c r="Q8182">
        <v>25</v>
      </c>
      <c r="R8182" t="s">
        <v>32534</v>
      </c>
      <c r="S8182" t="s">
        <v>32739</v>
      </c>
      <c r="T8182" t="s">
        <v>33316</v>
      </c>
      <c r="U8182" t="s">
        <v>40443</v>
      </c>
      <c r="W8182" t="s">
        <v>32156</v>
      </c>
      <c r="X8182" t="s">
        <v>32537</v>
      </c>
    </row>
    <row r="8183" spans="1:24">
      <c r="A8183">
        <f>HYPERLINK("https://www.philgeps.gov.ph/GEPSNONPILOT/Tender/SplashBidNoticeAbstractUI.aspx?menuIndex=3&amp;refID=7031454&amp;Result=3","7031454")</f>
        <v>0</v>
      </c>
      <c r="B8183" t="s">
        <v>319</v>
      </c>
      <c r="C8183" t="s">
        <v>10494</v>
      </c>
      <c r="D8183" t="s">
        <v>13037</v>
      </c>
      <c r="E8183" t="s">
        <v>20272</v>
      </c>
      <c r="F8183" t="s">
        <v>22436</v>
      </c>
      <c r="G8183" t="s">
        <v>22444</v>
      </c>
      <c r="H8183" t="s">
        <v>22454</v>
      </c>
      <c r="I8183" t="s">
        <v>7738</v>
      </c>
      <c r="J8183" t="s">
        <v>22943</v>
      </c>
      <c r="K8183" t="s">
        <v>29534</v>
      </c>
      <c r="M8183" t="s">
        <v>29895</v>
      </c>
      <c r="N8183" t="s">
        <v>32524</v>
      </c>
      <c r="O8183" t="s">
        <v>32525</v>
      </c>
      <c r="P8183">
        <v>0</v>
      </c>
      <c r="Q8183">
        <v>0</v>
      </c>
      <c r="R8183" t="s">
        <v>32534</v>
      </c>
      <c r="S8183" t="s">
        <v>32739</v>
      </c>
      <c r="T8183" t="s">
        <v>33227</v>
      </c>
      <c r="U8183" t="s">
        <v>34481</v>
      </c>
      <c r="W8183" t="s">
        <v>29895</v>
      </c>
      <c r="X8183" t="s">
        <v>32537</v>
      </c>
    </row>
    <row r="8184" spans="1:24">
      <c r="A8184">
        <f>HYPERLINK("https://www.philgeps.gov.ph/GEPSNONPILOT/Tender/SplashBidNoticeAbstractUI.aspx?menuIndex=3&amp;refID=7032539&amp;Result=3","7032539")</f>
        <v>0</v>
      </c>
      <c r="B8184" t="s">
        <v>2371</v>
      </c>
      <c r="C8184" t="s">
        <v>10495</v>
      </c>
      <c r="D8184" t="s">
        <v>13000</v>
      </c>
      <c r="E8184" t="s">
        <v>20273</v>
      </c>
      <c r="F8184" t="s">
        <v>22436</v>
      </c>
      <c r="G8184" t="s">
        <v>22444</v>
      </c>
      <c r="H8184" t="s">
        <v>22453</v>
      </c>
      <c r="I8184" t="s">
        <v>22468</v>
      </c>
      <c r="J8184" t="s">
        <v>27847</v>
      </c>
      <c r="K8184" t="s">
        <v>29330</v>
      </c>
      <c r="M8184" t="s">
        <v>32157</v>
      </c>
      <c r="N8184" t="s">
        <v>32524</v>
      </c>
      <c r="O8184" t="s">
        <v>32525</v>
      </c>
      <c r="P8184">
        <v>0</v>
      </c>
      <c r="Q8184">
        <v>2</v>
      </c>
      <c r="R8184" t="s">
        <v>32534</v>
      </c>
      <c r="S8184" t="s">
        <v>32739</v>
      </c>
      <c r="T8184" t="s">
        <v>33182</v>
      </c>
      <c r="U8184" t="s">
        <v>40444</v>
      </c>
      <c r="V8184" t="s">
        <v>43329</v>
      </c>
      <c r="W8184" t="s">
        <v>32157</v>
      </c>
      <c r="X8184" t="s">
        <v>32535</v>
      </c>
    </row>
    <row r="8185" spans="1:24">
      <c r="A8185">
        <f>HYPERLINK("https://www.philgeps.gov.ph/GEPSNONPILOT/Tender/SplashBidNoticeAbstractUI.aspx?menuIndex=3&amp;refID=7032537&amp;Result=3","7032537")</f>
        <v>0</v>
      </c>
      <c r="B8185" t="s">
        <v>2372</v>
      </c>
      <c r="C8185" t="s">
        <v>10496</v>
      </c>
      <c r="D8185" t="s">
        <v>13061</v>
      </c>
      <c r="E8185" t="s">
        <v>14052</v>
      </c>
      <c r="F8185" t="s">
        <v>22436</v>
      </c>
      <c r="G8185" t="s">
        <v>22444</v>
      </c>
      <c r="H8185" t="s">
        <v>22452</v>
      </c>
      <c r="I8185" t="s">
        <v>22467</v>
      </c>
      <c r="J8185" t="s">
        <v>27848</v>
      </c>
      <c r="K8185" t="s">
        <v>29481</v>
      </c>
      <c r="M8185" t="s">
        <v>32158</v>
      </c>
      <c r="N8185" t="s">
        <v>32524</v>
      </c>
      <c r="O8185" t="s">
        <v>32525</v>
      </c>
      <c r="P8185">
        <v>0</v>
      </c>
      <c r="Q8185">
        <v>2</v>
      </c>
      <c r="R8185" t="s">
        <v>32534</v>
      </c>
      <c r="S8185" t="s">
        <v>32739</v>
      </c>
      <c r="T8185" t="s">
        <v>33242</v>
      </c>
      <c r="U8185" t="s">
        <v>40445</v>
      </c>
      <c r="W8185" t="s">
        <v>32158</v>
      </c>
      <c r="X8185" t="s">
        <v>32535</v>
      </c>
    </row>
    <row r="8186" spans="1:24">
      <c r="A8186">
        <f>HYPERLINK("https://www.philgeps.gov.ph/GEPSNONPILOT/Tender/SplashBidNoticeAbstractUI.aspx?menuIndex=3&amp;refID=7032519&amp;Result=3","7032519")</f>
        <v>0</v>
      </c>
      <c r="B8186" t="s">
        <v>189</v>
      </c>
      <c r="C8186" t="s">
        <v>10497</v>
      </c>
      <c r="E8186" t="s">
        <v>20274</v>
      </c>
      <c r="F8186" t="s">
        <v>22436</v>
      </c>
      <c r="G8186" t="s">
        <v>22444</v>
      </c>
      <c r="H8186" t="s">
        <v>22454</v>
      </c>
      <c r="I8186" t="s">
        <v>7738</v>
      </c>
      <c r="J8186" t="s">
        <v>22960</v>
      </c>
      <c r="K8186" t="s">
        <v>29354</v>
      </c>
      <c r="M8186" t="s">
        <v>29762</v>
      </c>
      <c r="N8186" t="s">
        <v>32524</v>
      </c>
      <c r="O8186" t="s">
        <v>32525</v>
      </c>
      <c r="P8186">
        <v>0</v>
      </c>
      <c r="Q8186">
        <v>0</v>
      </c>
      <c r="R8186" t="s">
        <v>32534</v>
      </c>
      <c r="S8186" t="s">
        <v>32739</v>
      </c>
      <c r="T8186" t="s">
        <v>33240</v>
      </c>
      <c r="U8186" t="s">
        <v>40446</v>
      </c>
      <c r="W8186" t="s">
        <v>29762</v>
      </c>
      <c r="X8186" t="s">
        <v>32535</v>
      </c>
    </row>
    <row r="8187" spans="1:24">
      <c r="A8187">
        <f>HYPERLINK("https://www.philgeps.gov.ph/GEPSNONPILOT/Tender/SplashBidNoticeAbstractUI.aspx?menuIndex=3&amp;refID=7032288&amp;Result=3","7032288")</f>
        <v>0</v>
      </c>
      <c r="B8187" t="s">
        <v>2075</v>
      </c>
      <c r="C8187" t="s">
        <v>10498</v>
      </c>
      <c r="D8187" t="s">
        <v>12988</v>
      </c>
      <c r="E8187" t="s">
        <v>20275</v>
      </c>
      <c r="F8187" t="s">
        <v>22436</v>
      </c>
      <c r="G8187" t="s">
        <v>22444</v>
      </c>
      <c r="H8187" t="s">
        <v>22452</v>
      </c>
      <c r="I8187" t="s">
        <v>22484</v>
      </c>
      <c r="J8187" t="s">
        <v>27849</v>
      </c>
      <c r="K8187" t="s">
        <v>29335</v>
      </c>
      <c r="M8187" t="s">
        <v>31908</v>
      </c>
      <c r="N8187" t="s">
        <v>32524</v>
      </c>
      <c r="O8187" t="s">
        <v>32525</v>
      </c>
      <c r="Q8187">
        <v>73</v>
      </c>
      <c r="R8187" t="s">
        <v>32534</v>
      </c>
      <c r="S8187" t="s">
        <v>32772</v>
      </c>
      <c r="T8187" t="s">
        <v>33385</v>
      </c>
      <c r="U8187" t="s">
        <v>40447</v>
      </c>
      <c r="W8187" t="s">
        <v>31908</v>
      </c>
      <c r="X8187" t="s">
        <v>32536</v>
      </c>
    </row>
    <row r="8188" spans="1:24">
      <c r="A8188">
        <f>HYPERLINK("https://www.philgeps.gov.ph/GEPSNONPILOT/Tender/SplashBidNoticeAbstractUI.aspx?menuIndex=3&amp;refID=7032513&amp;Result=3","7032513")</f>
        <v>0</v>
      </c>
      <c r="B8188" t="s">
        <v>189</v>
      </c>
      <c r="C8188" t="s">
        <v>10499</v>
      </c>
      <c r="E8188" t="s">
        <v>20276</v>
      </c>
      <c r="F8188" t="s">
        <v>22436</v>
      </c>
      <c r="G8188" t="s">
        <v>22444</v>
      </c>
      <c r="H8188" t="s">
        <v>22454</v>
      </c>
      <c r="I8188" t="s">
        <v>7738</v>
      </c>
      <c r="J8188" t="s">
        <v>22587</v>
      </c>
      <c r="K8188" t="s">
        <v>29344</v>
      </c>
      <c r="M8188" t="s">
        <v>29762</v>
      </c>
      <c r="N8188" t="s">
        <v>32524</v>
      </c>
      <c r="O8188" t="s">
        <v>32525</v>
      </c>
      <c r="P8188">
        <v>0</v>
      </c>
      <c r="Q8188">
        <v>0</v>
      </c>
      <c r="R8188" t="s">
        <v>32534</v>
      </c>
      <c r="S8188" t="s">
        <v>32739</v>
      </c>
      <c r="T8188" t="s">
        <v>33212</v>
      </c>
      <c r="U8188" t="s">
        <v>40428</v>
      </c>
      <c r="W8188" t="s">
        <v>29762</v>
      </c>
      <c r="X8188" t="s">
        <v>32535</v>
      </c>
    </row>
    <row r="8189" spans="1:24">
      <c r="A8189">
        <f>HYPERLINK("https://www.philgeps.gov.ph/GEPSNONPILOT/Tender/SplashBidNoticeAbstractUI.aspx?menuIndex=3&amp;refID=7032532&amp;Result=3","7032532")</f>
        <v>0</v>
      </c>
      <c r="B8189" t="s">
        <v>1707</v>
      </c>
      <c r="C8189" t="s">
        <v>10500</v>
      </c>
      <c r="D8189" t="s">
        <v>12988</v>
      </c>
      <c r="E8189" t="s">
        <v>20277</v>
      </c>
      <c r="F8189" t="s">
        <v>22436</v>
      </c>
      <c r="G8189" t="s">
        <v>22444</v>
      </c>
      <c r="H8189" t="s">
        <v>22453</v>
      </c>
      <c r="I8189" t="s">
        <v>22519</v>
      </c>
      <c r="J8189" t="s">
        <v>27850</v>
      </c>
      <c r="K8189" t="s">
        <v>29426</v>
      </c>
      <c r="M8189" t="s">
        <v>32154</v>
      </c>
      <c r="N8189" t="s">
        <v>32524</v>
      </c>
      <c r="O8189" t="s">
        <v>32525</v>
      </c>
      <c r="P8189">
        <v>0</v>
      </c>
      <c r="Q8189">
        <v>8</v>
      </c>
      <c r="R8189" t="s">
        <v>32534</v>
      </c>
      <c r="S8189" t="s">
        <v>32739</v>
      </c>
      <c r="T8189" t="s">
        <v>33487</v>
      </c>
      <c r="U8189" t="s">
        <v>40448</v>
      </c>
      <c r="W8189" t="s">
        <v>32154</v>
      </c>
      <c r="X8189" t="s">
        <v>32535</v>
      </c>
    </row>
    <row r="8190" spans="1:24">
      <c r="A8190">
        <f>HYPERLINK("https://www.philgeps.gov.ph/GEPSNONPILOT/Tender/SplashBidNoticeAbstractUI.aspx?menuIndex=3&amp;refID=7032521&amp;Result=3","7032521")</f>
        <v>0</v>
      </c>
      <c r="B8190" t="s">
        <v>1707</v>
      </c>
      <c r="C8190" t="s">
        <v>10501</v>
      </c>
      <c r="D8190" t="s">
        <v>12988</v>
      </c>
      <c r="E8190" t="s">
        <v>20278</v>
      </c>
      <c r="F8190" t="s">
        <v>22436</v>
      </c>
      <c r="G8190" t="s">
        <v>22444</v>
      </c>
      <c r="H8190" t="s">
        <v>22453</v>
      </c>
      <c r="I8190" t="s">
        <v>4170</v>
      </c>
      <c r="J8190" t="s">
        <v>27851</v>
      </c>
      <c r="K8190" t="s">
        <v>29426</v>
      </c>
      <c r="M8190" t="s">
        <v>32154</v>
      </c>
      <c r="N8190" t="s">
        <v>32524</v>
      </c>
      <c r="O8190" t="s">
        <v>32525</v>
      </c>
      <c r="P8190">
        <v>0</v>
      </c>
      <c r="Q8190">
        <v>7</v>
      </c>
      <c r="R8190" t="s">
        <v>32534</v>
      </c>
      <c r="S8190" t="s">
        <v>32739</v>
      </c>
      <c r="T8190" t="s">
        <v>33550</v>
      </c>
      <c r="U8190" t="s">
        <v>40449</v>
      </c>
      <c r="W8190" t="s">
        <v>32154</v>
      </c>
      <c r="X8190" t="s">
        <v>32535</v>
      </c>
    </row>
    <row r="8191" spans="1:24">
      <c r="A8191">
        <f>HYPERLINK("https://www.philgeps.gov.ph/GEPSNONPILOT/Tender/SplashBidNoticeAbstractUI.aspx?menuIndex=3&amp;refID=7032533&amp;Result=3","7032533")</f>
        <v>0</v>
      </c>
      <c r="B8191" t="s">
        <v>2371</v>
      </c>
      <c r="C8191" t="s">
        <v>10502</v>
      </c>
      <c r="D8191" t="s">
        <v>13000</v>
      </c>
      <c r="E8191" t="s">
        <v>20279</v>
      </c>
      <c r="F8191" t="s">
        <v>22436</v>
      </c>
      <c r="G8191" t="s">
        <v>22444</v>
      </c>
      <c r="H8191" t="s">
        <v>22453</v>
      </c>
      <c r="I8191" t="s">
        <v>22465</v>
      </c>
      <c r="J8191" t="s">
        <v>27847</v>
      </c>
      <c r="K8191" t="s">
        <v>29330</v>
      </c>
      <c r="M8191" t="s">
        <v>32157</v>
      </c>
      <c r="N8191" t="s">
        <v>32524</v>
      </c>
      <c r="O8191" t="s">
        <v>32525</v>
      </c>
      <c r="P8191">
        <v>0</v>
      </c>
      <c r="Q8191">
        <v>2</v>
      </c>
      <c r="R8191" t="s">
        <v>32534</v>
      </c>
      <c r="S8191" t="s">
        <v>32739</v>
      </c>
      <c r="T8191" t="s">
        <v>33181</v>
      </c>
      <c r="U8191" t="s">
        <v>40444</v>
      </c>
      <c r="V8191" t="s">
        <v>43329</v>
      </c>
      <c r="W8191" t="s">
        <v>32157</v>
      </c>
      <c r="X8191" t="s">
        <v>32535</v>
      </c>
    </row>
    <row r="8192" spans="1:24">
      <c r="A8192">
        <f>HYPERLINK("https://www.philgeps.gov.ph/GEPSNONPILOT/Tender/SplashBidNoticeAbstractUI.aspx?menuIndex=3&amp;refID=7032511&amp;Result=3","7032511")</f>
        <v>0</v>
      </c>
      <c r="B8192" t="s">
        <v>2369</v>
      </c>
      <c r="C8192" t="s">
        <v>10503</v>
      </c>
      <c r="D8192" t="s">
        <v>13000</v>
      </c>
      <c r="E8192" t="s">
        <v>20273</v>
      </c>
      <c r="F8192" t="s">
        <v>22436</v>
      </c>
      <c r="G8192" t="s">
        <v>22444</v>
      </c>
      <c r="H8192" t="s">
        <v>22453</v>
      </c>
      <c r="I8192" t="s">
        <v>22526</v>
      </c>
      <c r="J8192" t="s">
        <v>27852</v>
      </c>
      <c r="K8192" t="s">
        <v>29356</v>
      </c>
      <c r="M8192" t="s">
        <v>32153</v>
      </c>
      <c r="N8192" t="s">
        <v>32524</v>
      </c>
      <c r="O8192" t="s">
        <v>32525</v>
      </c>
      <c r="P8192">
        <v>0</v>
      </c>
      <c r="Q8192">
        <v>0</v>
      </c>
      <c r="R8192" t="s">
        <v>32534</v>
      </c>
      <c r="S8192" t="s">
        <v>32739</v>
      </c>
      <c r="T8192" t="s">
        <v>33171</v>
      </c>
      <c r="U8192" t="s">
        <v>40450</v>
      </c>
      <c r="V8192" t="s">
        <v>43329</v>
      </c>
      <c r="W8192" t="s">
        <v>32153</v>
      </c>
      <c r="X8192" t="s">
        <v>32535</v>
      </c>
    </row>
    <row r="8193" spans="1:24">
      <c r="A8193">
        <f>HYPERLINK("https://www.philgeps.gov.ph/GEPSNONPILOT/Tender/SplashBidNoticeAbstractUI.aspx?menuIndex=3&amp;refID=7032509&amp;Result=3","7032509")</f>
        <v>0</v>
      </c>
      <c r="B8193" t="s">
        <v>189</v>
      </c>
      <c r="C8193" t="s">
        <v>10504</v>
      </c>
      <c r="E8193" t="s">
        <v>20280</v>
      </c>
      <c r="F8193" t="s">
        <v>22436</v>
      </c>
      <c r="G8193" t="s">
        <v>22444</v>
      </c>
      <c r="H8193" t="s">
        <v>22454</v>
      </c>
      <c r="I8193" t="s">
        <v>7738</v>
      </c>
      <c r="J8193" t="s">
        <v>22587</v>
      </c>
      <c r="K8193" t="s">
        <v>29344</v>
      </c>
      <c r="M8193" t="s">
        <v>29762</v>
      </c>
      <c r="N8193" t="s">
        <v>32524</v>
      </c>
      <c r="O8193" t="s">
        <v>32525</v>
      </c>
      <c r="P8193">
        <v>0</v>
      </c>
      <c r="Q8193">
        <v>0</v>
      </c>
      <c r="R8193" t="s">
        <v>32534</v>
      </c>
      <c r="S8193" t="s">
        <v>32739</v>
      </c>
      <c r="T8193" t="s">
        <v>33212</v>
      </c>
      <c r="U8193" t="s">
        <v>40428</v>
      </c>
      <c r="W8193" t="s">
        <v>29762</v>
      </c>
      <c r="X8193" t="s">
        <v>32535</v>
      </c>
    </row>
    <row r="8194" spans="1:24">
      <c r="A8194">
        <f>HYPERLINK("https://www.philgeps.gov.ph/GEPSNONPILOT/Tender/SplashBidNoticeAbstractUI.aspx?menuIndex=3&amp;refID=7032531&amp;Result=3","7032531")</f>
        <v>0</v>
      </c>
      <c r="B8194" t="s">
        <v>667</v>
      </c>
      <c r="C8194" t="s">
        <v>10505</v>
      </c>
      <c r="D8194" t="s">
        <v>13072</v>
      </c>
      <c r="E8194" t="s">
        <v>20281</v>
      </c>
      <c r="F8194" t="s">
        <v>22436</v>
      </c>
      <c r="G8194" t="s">
        <v>22444</v>
      </c>
      <c r="H8194" t="s">
        <v>22452</v>
      </c>
      <c r="I8194" t="s">
        <v>22545</v>
      </c>
      <c r="J8194" t="s">
        <v>27853</v>
      </c>
      <c r="K8194" t="s">
        <v>29371</v>
      </c>
      <c r="M8194" t="s">
        <v>32159</v>
      </c>
      <c r="N8194" t="s">
        <v>32524</v>
      </c>
      <c r="O8194" t="s">
        <v>32525</v>
      </c>
      <c r="P8194">
        <v>0</v>
      </c>
      <c r="Q8194">
        <v>12</v>
      </c>
      <c r="R8194" t="s">
        <v>32534</v>
      </c>
      <c r="S8194" t="s">
        <v>32739</v>
      </c>
      <c r="T8194" t="s">
        <v>33242</v>
      </c>
      <c r="U8194" t="s">
        <v>40451</v>
      </c>
      <c r="W8194" t="s">
        <v>32159</v>
      </c>
      <c r="X8194" t="s">
        <v>32535</v>
      </c>
    </row>
    <row r="8195" spans="1:24">
      <c r="A8195">
        <f>HYPERLINK("https://www.philgeps.gov.ph/GEPSNONPILOT/Tender/SplashBidNoticeAbstractUI.aspx?menuIndex=3&amp;refID=7032504&amp;Result=3","7032504")</f>
        <v>0</v>
      </c>
      <c r="B8195" t="s">
        <v>189</v>
      </c>
      <c r="C8195" t="s">
        <v>10506</v>
      </c>
      <c r="E8195" t="s">
        <v>20282</v>
      </c>
      <c r="F8195" t="s">
        <v>22436</v>
      </c>
      <c r="G8195" t="s">
        <v>22444</v>
      </c>
      <c r="H8195" t="s">
        <v>22454</v>
      </c>
      <c r="I8195" t="s">
        <v>7738</v>
      </c>
      <c r="J8195" t="s">
        <v>23316</v>
      </c>
      <c r="K8195" t="s">
        <v>29365</v>
      </c>
      <c r="M8195" t="s">
        <v>29762</v>
      </c>
      <c r="N8195" t="s">
        <v>32524</v>
      </c>
      <c r="O8195" t="s">
        <v>32525</v>
      </c>
      <c r="P8195">
        <v>0</v>
      </c>
      <c r="Q8195">
        <v>0</v>
      </c>
      <c r="R8195" t="s">
        <v>32534</v>
      </c>
      <c r="S8195" t="s">
        <v>32739</v>
      </c>
      <c r="T8195" t="s">
        <v>33262</v>
      </c>
      <c r="U8195" t="s">
        <v>40428</v>
      </c>
      <c r="W8195" t="s">
        <v>29762</v>
      </c>
      <c r="X8195" t="s">
        <v>32535</v>
      </c>
    </row>
    <row r="8196" spans="1:24">
      <c r="A8196">
        <f>HYPERLINK("https://www.philgeps.gov.ph/GEPSNONPILOT/Tender/SplashBidNoticeAbstractUI.aspx?menuIndex=3&amp;refID=7032502&amp;Result=3","7032502")</f>
        <v>0</v>
      </c>
      <c r="B8196" t="s">
        <v>1874</v>
      </c>
      <c r="C8196" t="s">
        <v>10507</v>
      </c>
      <c r="D8196" t="s">
        <v>12988</v>
      </c>
      <c r="E8196" t="s">
        <v>15570</v>
      </c>
      <c r="F8196" t="s">
        <v>22436</v>
      </c>
      <c r="G8196" t="s">
        <v>22444</v>
      </c>
      <c r="H8196" t="s">
        <v>22452</v>
      </c>
      <c r="I8196" t="s">
        <v>22474</v>
      </c>
      <c r="J8196" t="s">
        <v>24049</v>
      </c>
      <c r="K8196" t="s">
        <v>29331</v>
      </c>
      <c r="M8196" t="s">
        <v>31592</v>
      </c>
      <c r="N8196" t="s">
        <v>32524</v>
      </c>
      <c r="O8196" t="s">
        <v>32525</v>
      </c>
      <c r="Q8196">
        <v>11</v>
      </c>
      <c r="R8196" t="s">
        <v>32534</v>
      </c>
      <c r="S8196" t="s">
        <v>32773</v>
      </c>
      <c r="T8196" t="s">
        <v>33455</v>
      </c>
      <c r="U8196" t="s">
        <v>40452</v>
      </c>
      <c r="W8196" t="s">
        <v>31592</v>
      </c>
      <c r="X8196" t="s">
        <v>32535</v>
      </c>
    </row>
    <row r="8197" spans="1:24">
      <c r="A8197">
        <f>HYPERLINK("https://www.philgeps.gov.ph/GEPSNONPILOT/Tender/SplashBidNoticeAbstractUI.aspx?menuIndex=3&amp;refID=7032570&amp;Result=3","7032570")</f>
        <v>0</v>
      </c>
      <c r="B8197" t="s">
        <v>2373</v>
      </c>
      <c r="C8197" t="s">
        <v>10508</v>
      </c>
      <c r="D8197" t="s">
        <v>13044</v>
      </c>
      <c r="E8197" t="s">
        <v>20283</v>
      </c>
      <c r="F8197" t="s">
        <v>22436</v>
      </c>
      <c r="G8197" t="s">
        <v>22444</v>
      </c>
      <c r="H8197" t="s">
        <v>22452</v>
      </c>
      <c r="I8197" t="s">
        <v>22499</v>
      </c>
      <c r="J8197" t="s">
        <v>22616</v>
      </c>
      <c r="K8197" t="s">
        <v>29331</v>
      </c>
      <c r="M8197" t="s">
        <v>32160</v>
      </c>
      <c r="N8197" t="s">
        <v>32524</v>
      </c>
      <c r="O8197" t="s">
        <v>32525</v>
      </c>
      <c r="P8197">
        <v>0</v>
      </c>
      <c r="Q8197">
        <v>1</v>
      </c>
      <c r="R8197" t="s">
        <v>32534</v>
      </c>
      <c r="S8197" t="s">
        <v>32739</v>
      </c>
      <c r="T8197" t="s">
        <v>33227</v>
      </c>
      <c r="U8197" t="s">
        <v>40453</v>
      </c>
      <c r="W8197" t="s">
        <v>32160</v>
      </c>
      <c r="X8197" t="s">
        <v>32535</v>
      </c>
    </row>
    <row r="8198" spans="1:24">
      <c r="A8198">
        <f>HYPERLINK("https://www.philgeps.gov.ph/GEPSNONPILOT/Tender/SplashBidNoticeAbstractUI.aspx?menuIndex=3&amp;refID=7032576&amp;Result=3","7032576")</f>
        <v>0</v>
      </c>
      <c r="B8198" t="s">
        <v>2373</v>
      </c>
      <c r="C8198" t="s">
        <v>10509</v>
      </c>
      <c r="D8198" t="s">
        <v>13044</v>
      </c>
      <c r="E8198" t="s">
        <v>20284</v>
      </c>
      <c r="F8198" t="s">
        <v>22436</v>
      </c>
      <c r="G8198" t="s">
        <v>22444</v>
      </c>
      <c r="H8198" t="s">
        <v>22452</v>
      </c>
      <c r="I8198" t="s">
        <v>22500</v>
      </c>
      <c r="J8198" t="s">
        <v>22788</v>
      </c>
      <c r="K8198" t="s">
        <v>29335</v>
      </c>
      <c r="M8198" t="s">
        <v>32160</v>
      </c>
      <c r="N8198" t="s">
        <v>32524</v>
      </c>
      <c r="O8198" t="s">
        <v>32525</v>
      </c>
      <c r="P8198">
        <v>0</v>
      </c>
      <c r="Q8198">
        <v>2</v>
      </c>
      <c r="R8198" t="s">
        <v>32534</v>
      </c>
      <c r="S8198" t="s">
        <v>32739</v>
      </c>
      <c r="T8198" t="s">
        <v>33227</v>
      </c>
      <c r="U8198" t="s">
        <v>40454</v>
      </c>
      <c r="W8198" t="s">
        <v>32160</v>
      </c>
      <c r="X8198" t="s">
        <v>32535</v>
      </c>
    </row>
    <row r="8199" spans="1:24">
      <c r="A8199">
        <f>HYPERLINK("https://www.philgeps.gov.ph/GEPSNONPILOT/Tender/SplashBidNoticeAbstractUI.aspx?menuIndex=3&amp;refID=7032568&amp;Result=3","7032568")</f>
        <v>0</v>
      </c>
      <c r="B8199" t="s">
        <v>2374</v>
      </c>
      <c r="C8199" t="s">
        <v>10510</v>
      </c>
      <c r="D8199" t="s">
        <v>12994</v>
      </c>
      <c r="E8199" t="s">
        <v>13127</v>
      </c>
      <c r="F8199" t="s">
        <v>22436</v>
      </c>
      <c r="G8199" t="s">
        <v>22444</v>
      </c>
      <c r="H8199" t="s">
        <v>22452</v>
      </c>
      <c r="I8199" t="s">
        <v>3529</v>
      </c>
      <c r="J8199" t="s">
        <v>27854</v>
      </c>
      <c r="K8199" t="s">
        <v>29341</v>
      </c>
      <c r="M8199" t="s">
        <v>32161</v>
      </c>
      <c r="N8199" t="s">
        <v>32524</v>
      </c>
      <c r="O8199" t="s">
        <v>32525</v>
      </c>
      <c r="P8199">
        <v>0</v>
      </c>
      <c r="Q8199">
        <v>1</v>
      </c>
      <c r="R8199" t="s">
        <v>32534</v>
      </c>
      <c r="S8199" t="s">
        <v>32739</v>
      </c>
      <c r="T8199" t="s">
        <v>33215</v>
      </c>
      <c r="U8199" t="s">
        <v>40455</v>
      </c>
      <c r="W8199" t="s">
        <v>32161</v>
      </c>
      <c r="X8199" t="s">
        <v>32535</v>
      </c>
    </row>
    <row r="8200" spans="1:24">
      <c r="A8200">
        <f>HYPERLINK("https://www.philgeps.gov.ph/GEPSNONPILOT/Tender/SplashBidNoticeAbstractUI.aspx?menuIndex=3&amp;refID=7032573&amp;Result=3","7032573")</f>
        <v>0</v>
      </c>
      <c r="B8200" t="s">
        <v>1091</v>
      </c>
      <c r="C8200" t="s">
        <v>10511</v>
      </c>
      <c r="D8200" t="s">
        <v>13020</v>
      </c>
      <c r="E8200" t="s">
        <v>20285</v>
      </c>
      <c r="F8200" t="s">
        <v>22436</v>
      </c>
      <c r="G8200" t="s">
        <v>22444</v>
      </c>
      <c r="H8200" t="s">
        <v>22454</v>
      </c>
      <c r="I8200" t="s">
        <v>7738</v>
      </c>
      <c r="J8200" t="s">
        <v>23399</v>
      </c>
      <c r="K8200" t="s">
        <v>29463</v>
      </c>
      <c r="M8200" t="s">
        <v>30727</v>
      </c>
      <c r="N8200" t="s">
        <v>32524</v>
      </c>
      <c r="O8200" t="s">
        <v>32525</v>
      </c>
      <c r="P8200">
        <v>0</v>
      </c>
      <c r="Q8200">
        <v>99</v>
      </c>
      <c r="R8200" t="s">
        <v>32534</v>
      </c>
      <c r="S8200" t="s">
        <v>32739</v>
      </c>
      <c r="T8200" t="s">
        <v>33259</v>
      </c>
      <c r="U8200" t="s">
        <v>40456</v>
      </c>
      <c r="V8200" t="s">
        <v>43336</v>
      </c>
      <c r="W8200" t="s">
        <v>30727</v>
      </c>
      <c r="X8200" t="s">
        <v>32535</v>
      </c>
    </row>
    <row r="8201" spans="1:24">
      <c r="A8201">
        <f>HYPERLINK("https://www.philgeps.gov.ph/GEPSNONPILOT/Tender/SplashBidNoticeAbstractUI.aspx?menuIndex=3&amp;refID=7032563&amp;Result=3","7032563")</f>
        <v>0</v>
      </c>
      <c r="B8201" t="s">
        <v>1091</v>
      </c>
      <c r="C8201" t="s">
        <v>10512</v>
      </c>
      <c r="D8201" t="s">
        <v>13020</v>
      </c>
      <c r="E8201" t="s">
        <v>20286</v>
      </c>
      <c r="F8201" t="s">
        <v>22436</v>
      </c>
      <c r="G8201" t="s">
        <v>22444</v>
      </c>
      <c r="H8201" t="s">
        <v>22452</v>
      </c>
      <c r="I8201" t="s">
        <v>22474</v>
      </c>
      <c r="J8201" t="s">
        <v>22614</v>
      </c>
      <c r="K8201" t="s">
        <v>29335</v>
      </c>
      <c r="M8201" t="s">
        <v>30727</v>
      </c>
      <c r="N8201" t="s">
        <v>32524</v>
      </c>
      <c r="O8201" t="s">
        <v>32525</v>
      </c>
      <c r="P8201">
        <v>0</v>
      </c>
      <c r="Q8201">
        <v>4</v>
      </c>
      <c r="R8201" t="s">
        <v>32534</v>
      </c>
      <c r="S8201" t="s">
        <v>32739</v>
      </c>
      <c r="T8201" t="s">
        <v>33191</v>
      </c>
      <c r="U8201" t="s">
        <v>40457</v>
      </c>
      <c r="V8201" t="s">
        <v>43337</v>
      </c>
      <c r="W8201" t="s">
        <v>30727</v>
      </c>
      <c r="X8201" t="s">
        <v>32535</v>
      </c>
    </row>
    <row r="8202" spans="1:24">
      <c r="A8202">
        <f>HYPERLINK("https://www.philgeps.gov.ph/GEPSNONPILOT/Tender/SplashBidNoticeAbstractUI.aspx?menuIndex=3&amp;refID=7032567&amp;Result=3","7032567")</f>
        <v>0</v>
      </c>
      <c r="B8202" t="s">
        <v>1521</v>
      </c>
      <c r="C8202" t="s">
        <v>10513</v>
      </c>
      <c r="D8202" t="s">
        <v>13066</v>
      </c>
      <c r="E8202" t="s">
        <v>20287</v>
      </c>
      <c r="F8202" t="s">
        <v>22441</v>
      </c>
      <c r="G8202" t="s">
        <v>22444</v>
      </c>
      <c r="H8202" t="s">
        <v>22452</v>
      </c>
      <c r="I8202" t="s">
        <v>3529</v>
      </c>
      <c r="J8202" t="s">
        <v>27855</v>
      </c>
      <c r="K8202" t="s">
        <v>29331</v>
      </c>
      <c r="M8202" t="s">
        <v>31196</v>
      </c>
      <c r="N8202" t="s">
        <v>32524</v>
      </c>
      <c r="O8202" t="s">
        <v>32525</v>
      </c>
      <c r="P8202">
        <v>0</v>
      </c>
      <c r="Q8202">
        <v>0</v>
      </c>
      <c r="R8202" t="s">
        <v>32534</v>
      </c>
      <c r="S8202" t="s">
        <v>32739</v>
      </c>
      <c r="T8202" t="s">
        <v>33256</v>
      </c>
      <c r="U8202" t="s">
        <v>40458</v>
      </c>
      <c r="W8202" t="s">
        <v>31196</v>
      </c>
      <c r="X8202" t="s">
        <v>32535</v>
      </c>
    </row>
    <row r="8203" spans="1:24">
      <c r="A8203">
        <f>HYPERLINK("https://www.philgeps.gov.ph/GEPSNONPILOT/Tender/SplashBidNoticeAbstractUI.aspx?menuIndex=3&amp;refID=7032572&amp;Result=3","7032572")</f>
        <v>0</v>
      </c>
      <c r="B8203" t="s">
        <v>2374</v>
      </c>
      <c r="C8203" t="s">
        <v>10514</v>
      </c>
      <c r="D8203" t="s">
        <v>12994</v>
      </c>
      <c r="E8203" t="s">
        <v>13396</v>
      </c>
      <c r="F8203" t="s">
        <v>22436</v>
      </c>
      <c r="G8203" t="s">
        <v>22444</v>
      </c>
      <c r="H8203" t="s">
        <v>22452</v>
      </c>
      <c r="I8203" t="s">
        <v>3529</v>
      </c>
      <c r="J8203" t="s">
        <v>27856</v>
      </c>
      <c r="K8203" t="s">
        <v>29341</v>
      </c>
      <c r="M8203" t="s">
        <v>32161</v>
      </c>
      <c r="N8203" t="s">
        <v>32524</v>
      </c>
      <c r="O8203" t="s">
        <v>32525</v>
      </c>
      <c r="P8203">
        <v>0</v>
      </c>
      <c r="Q8203">
        <v>1</v>
      </c>
      <c r="R8203" t="s">
        <v>32534</v>
      </c>
      <c r="S8203" t="s">
        <v>32739</v>
      </c>
      <c r="T8203" t="s">
        <v>33215</v>
      </c>
      <c r="U8203" t="s">
        <v>40459</v>
      </c>
      <c r="W8203" t="s">
        <v>32161</v>
      </c>
      <c r="X8203" t="s">
        <v>32535</v>
      </c>
    </row>
    <row r="8204" spans="1:24">
      <c r="A8204">
        <f>HYPERLINK("https://www.philgeps.gov.ph/GEPSNONPILOT/Tender/SplashBidNoticeAbstractUI.aspx?menuIndex=3&amp;refID=7032553&amp;Result=3","7032553")</f>
        <v>0</v>
      </c>
      <c r="B8204" t="s">
        <v>2375</v>
      </c>
      <c r="C8204" t="s">
        <v>10515</v>
      </c>
      <c r="D8204" t="s">
        <v>13010</v>
      </c>
      <c r="E8204" t="s">
        <v>20288</v>
      </c>
      <c r="F8204" t="s">
        <v>22436</v>
      </c>
      <c r="G8204" t="s">
        <v>22444</v>
      </c>
      <c r="H8204" t="s">
        <v>22452</v>
      </c>
      <c r="I8204" t="s">
        <v>3529</v>
      </c>
      <c r="J8204" t="s">
        <v>27857</v>
      </c>
      <c r="K8204" t="s">
        <v>29341</v>
      </c>
      <c r="M8204" t="s">
        <v>32162</v>
      </c>
      <c r="N8204" t="s">
        <v>32524</v>
      </c>
      <c r="O8204" t="s">
        <v>32525</v>
      </c>
      <c r="P8204">
        <v>0</v>
      </c>
      <c r="Q8204">
        <v>0</v>
      </c>
      <c r="R8204" t="s">
        <v>32534</v>
      </c>
      <c r="S8204" t="s">
        <v>32739</v>
      </c>
      <c r="T8204" t="s">
        <v>33220</v>
      </c>
      <c r="U8204" t="s">
        <v>40460</v>
      </c>
      <c r="V8204" t="s">
        <v>43338</v>
      </c>
      <c r="W8204" t="s">
        <v>32162</v>
      </c>
      <c r="X8204" t="s">
        <v>32535</v>
      </c>
    </row>
    <row r="8205" spans="1:24">
      <c r="A8205">
        <f>HYPERLINK("https://www.philgeps.gov.ph/GEPSNONPILOT/Tender/SplashBidNoticeAbstractUI.aspx?menuIndex=3&amp;refID=7032638&amp;Result=3","7032638")</f>
        <v>0</v>
      </c>
      <c r="B8205" t="s">
        <v>819</v>
      </c>
      <c r="C8205" t="s">
        <v>10516</v>
      </c>
      <c r="D8205" t="s">
        <v>13040</v>
      </c>
      <c r="E8205" t="s">
        <v>20289</v>
      </c>
      <c r="F8205" t="s">
        <v>22436</v>
      </c>
      <c r="G8205" t="s">
        <v>22444</v>
      </c>
      <c r="H8205" t="s">
        <v>22454</v>
      </c>
      <c r="I8205" t="s">
        <v>7738</v>
      </c>
      <c r="J8205" t="s">
        <v>27858</v>
      </c>
      <c r="K8205" t="s">
        <v>29338</v>
      </c>
      <c r="M8205" t="s">
        <v>30778</v>
      </c>
      <c r="N8205" t="s">
        <v>32524</v>
      </c>
      <c r="O8205" t="s">
        <v>32525</v>
      </c>
      <c r="P8205">
        <v>0</v>
      </c>
      <c r="Q8205">
        <v>1</v>
      </c>
      <c r="R8205" t="s">
        <v>32534</v>
      </c>
      <c r="S8205" t="s">
        <v>32739</v>
      </c>
      <c r="T8205" t="s">
        <v>33249</v>
      </c>
      <c r="U8205" t="s">
        <v>40461</v>
      </c>
      <c r="W8205" t="s">
        <v>30778</v>
      </c>
      <c r="X8205" t="s">
        <v>32535</v>
      </c>
    </row>
    <row r="8206" spans="1:24">
      <c r="A8206">
        <f>HYPERLINK("https://www.philgeps.gov.ph/GEPSNONPILOT/Tender/SplashBidNoticeAbstractUI.aspx?menuIndex=3&amp;refID=7032641&amp;Result=3","7032641")</f>
        <v>0</v>
      </c>
      <c r="B8206" t="s">
        <v>2376</v>
      </c>
      <c r="C8206" t="s">
        <v>10517</v>
      </c>
      <c r="D8206" t="s">
        <v>13046</v>
      </c>
      <c r="E8206" t="s">
        <v>20290</v>
      </c>
      <c r="F8206" t="s">
        <v>22436</v>
      </c>
      <c r="G8206" t="s">
        <v>22444</v>
      </c>
      <c r="H8206" t="s">
        <v>22452</v>
      </c>
      <c r="I8206" t="s">
        <v>22474</v>
      </c>
      <c r="J8206" t="s">
        <v>27859</v>
      </c>
      <c r="K8206" t="s">
        <v>29333</v>
      </c>
      <c r="M8206" t="s">
        <v>32163</v>
      </c>
      <c r="N8206" t="s">
        <v>32524</v>
      </c>
      <c r="O8206" t="s">
        <v>32525</v>
      </c>
      <c r="Q8206">
        <v>9</v>
      </c>
      <c r="R8206" t="s">
        <v>32534</v>
      </c>
      <c r="S8206" t="s">
        <v>32774</v>
      </c>
      <c r="T8206" t="s">
        <v>33570</v>
      </c>
      <c r="U8206" t="s">
        <v>40462</v>
      </c>
      <c r="W8206" t="s">
        <v>32163</v>
      </c>
      <c r="X8206" t="s">
        <v>32535</v>
      </c>
    </row>
    <row r="8207" spans="1:24">
      <c r="A8207">
        <f>HYPERLINK("https://www.philgeps.gov.ph/GEPSNONPILOT/Tender/SplashBidNoticeAbstractUI.aspx?menuIndex=3&amp;refID=7032578&amp;Result=3","7032578")</f>
        <v>0</v>
      </c>
      <c r="B8207" t="s">
        <v>2376</v>
      </c>
      <c r="C8207" t="s">
        <v>10518</v>
      </c>
      <c r="D8207" t="s">
        <v>13046</v>
      </c>
      <c r="E8207" t="s">
        <v>20291</v>
      </c>
      <c r="F8207" t="s">
        <v>22436</v>
      </c>
      <c r="G8207" t="s">
        <v>22444</v>
      </c>
      <c r="H8207" t="s">
        <v>22452</v>
      </c>
      <c r="I8207" t="s">
        <v>7738</v>
      </c>
      <c r="J8207" t="s">
        <v>27860</v>
      </c>
      <c r="K8207" t="s">
        <v>29412</v>
      </c>
      <c r="M8207" t="s">
        <v>32163</v>
      </c>
      <c r="N8207" t="s">
        <v>32524</v>
      </c>
      <c r="O8207" t="s">
        <v>32525</v>
      </c>
      <c r="P8207">
        <v>0</v>
      </c>
      <c r="Q8207">
        <v>1</v>
      </c>
      <c r="R8207" t="s">
        <v>32534</v>
      </c>
      <c r="S8207" t="s">
        <v>32739</v>
      </c>
      <c r="T8207" t="s">
        <v>33570</v>
      </c>
      <c r="U8207" t="s">
        <v>40463</v>
      </c>
      <c r="W8207" t="s">
        <v>32163</v>
      </c>
      <c r="X8207" t="s">
        <v>32535</v>
      </c>
    </row>
    <row r="8208" spans="1:24">
      <c r="A8208">
        <f>HYPERLINK("https://www.philgeps.gov.ph/GEPSNONPILOT/Tender/SplashBidNoticeAbstractUI.aspx?menuIndex=3&amp;refID=7032637&amp;Result=3","7032637")</f>
        <v>0</v>
      </c>
      <c r="B8208" t="s">
        <v>819</v>
      </c>
      <c r="C8208" t="s">
        <v>10519</v>
      </c>
      <c r="D8208" t="s">
        <v>13040</v>
      </c>
      <c r="E8208" t="s">
        <v>20292</v>
      </c>
      <c r="F8208" t="s">
        <v>22436</v>
      </c>
      <c r="G8208" t="s">
        <v>22444</v>
      </c>
      <c r="H8208" t="s">
        <v>22454</v>
      </c>
      <c r="I8208" t="s">
        <v>7738</v>
      </c>
      <c r="J8208" t="s">
        <v>27861</v>
      </c>
      <c r="K8208" t="s">
        <v>29338</v>
      </c>
      <c r="M8208" t="s">
        <v>30778</v>
      </c>
      <c r="N8208" t="s">
        <v>32524</v>
      </c>
      <c r="O8208" t="s">
        <v>32525</v>
      </c>
      <c r="P8208">
        <v>0</v>
      </c>
      <c r="Q8208">
        <v>0</v>
      </c>
      <c r="R8208" t="s">
        <v>32534</v>
      </c>
      <c r="S8208" t="s">
        <v>32739</v>
      </c>
      <c r="T8208" t="s">
        <v>33249</v>
      </c>
      <c r="U8208" t="s">
        <v>40464</v>
      </c>
      <c r="W8208" t="s">
        <v>30778</v>
      </c>
      <c r="X8208" t="s">
        <v>32535</v>
      </c>
    </row>
    <row r="8209" spans="1:24">
      <c r="A8209">
        <f>HYPERLINK("https://www.philgeps.gov.ph/GEPSNONPILOT/Tender/SplashBidNoticeAbstractUI.aspx?menuIndex=3&amp;refID=7032601&amp;Result=3","7032601")</f>
        <v>0</v>
      </c>
      <c r="B8209" t="s">
        <v>208</v>
      </c>
      <c r="C8209" t="s">
        <v>10520</v>
      </c>
      <c r="D8209" t="s">
        <v>13004</v>
      </c>
      <c r="E8209" t="s">
        <v>20293</v>
      </c>
      <c r="F8209" t="s">
        <v>22436</v>
      </c>
      <c r="G8209" t="s">
        <v>22444</v>
      </c>
      <c r="H8209" t="s">
        <v>22454</v>
      </c>
      <c r="I8209" t="s">
        <v>7738</v>
      </c>
      <c r="J8209" t="s">
        <v>22587</v>
      </c>
      <c r="K8209" t="s">
        <v>29344</v>
      </c>
      <c r="M8209" t="s">
        <v>29781</v>
      </c>
      <c r="N8209" t="s">
        <v>32524</v>
      </c>
      <c r="O8209" t="s">
        <v>32525</v>
      </c>
      <c r="P8209">
        <v>0</v>
      </c>
      <c r="Q8209">
        <v>2</v>
      </c>
      <c r="R8209" t="s">
        <v>32534</v>
      </c>
      <c r="S8209" t="s">
        <v>32739</v>
      </c>
      <c r="T8209" t="s">
        <v>33186</v>
      </c>
      <c r="U8209" t="s">
        <v>40465</v>
      </c>
      <c r="W8209" t="s">
        <v>29781</v>
      </c>
      <c r="X8209" t="s">
        <v>32535</v>
      </c>
    </row>
    <row r="8210" spans="1:24">
      <c r="A8210">
        <f>HYPERLINK("https://www.philgeps.gov.ph/GEPSNONPILOT/Tender/SplashBidNoticeAbstractUI.aspx?menuIndex=3&amp;refID=7032639&amp;Result=3","7032639")</f>
        <v>0</v>
      </c>
      <c r="B8210" t="s">
        <v>2377</v>
      </c>
      <c r="C8210" t="s">
        <v>10521</v>
      </c>
      <c r="D8210" t="s">
        <v>13015</v>
      </c>
      <c r="E8210" t="s">
        <v>20294</v>
      </c>
      <c r="F8210" t="s">
        <v>22436</v>
      </c>
      <c r="G8210" t="s">
        <v>22444</v>
      </c>
      <c r="H8210" t="s">
        <v>22452</v>
      </c>
      <c r="I8210" t="s">
        <v>22499</v>
      </c>
      <c r="J8210" t="s">
        <v>27862</v>
      </c>
      <c r="K8210" t="s">
        <v>29331</v>
      </c>
      <c r="M8210" t="s">
        <v>32164</v>
      </c>
      <c r="N8210" t="s">
        <v>32524</v>
      </c>
      <c r="O8210" t="s">
        <v>32525</v>
      </c>
      <c r="P8210">
        <v>0</v>
      </c>
      <c r="Q8210">
        <v>1</v>
      </c>
      <c r="R8210" t="s">
        <v>32534</v>
      </c>
      <c r="S8210" t="s">
        <v>32739</v>
      </c>
      <c r="T8210" t="s">
        <v>33203</v>
      </c>
      <c r="U8210" t="s">
        <v>40466</v>
      </c>
      <c r="W8210" t="s">
        <v>32164</v>
      </c>
      <c r="X8210" t="s">
        <v>32535</v>
      </c>
    </row>
    <row r="8211" spans="1:24">
      <c r="A8211">
        <f>HYPERLINK("https://www.philgeps.gov.ph/GEPSNONPILOT/Tender/SplashBidNoticeAbstractUI.aspx?menuIndex=3&amp;refID=7032617&amp;Result=3","7032617")</f>
        <v>0</v>
      </c>
      <c r="B8211" t="s">
        <v>208</v>
      </c>
      <c r="C8211" t="s">
        <v>10522</v>
      </c>
      <c r="D8211" t="s">
        <v>13004</v>
      </c>
      <c r="E8211" t="s">
        <v>20295</v>
      </c>
      <c r="F8211" t="s">
        <v>22436</v>
      </c>
      <c r="G8211" t="s">
        <v>22444</v>
      </c>
      <c r="H8211" t="s">
        <v>22452</v>
      </c>
      <c r="I8211" t="s">
        <v>5194</v>
      </c>
      <c r="J8211" t="s">
        <v>27863</v>
      </c>
      <c r="K8211" t="s">
        <v>29335</v>
      </c>
      <c r="M8211" t="s">
        <v>29781</v>
      </c>
      <c r="N8211" t="s">
        <v>32524</v>
      </c>
      <c r="O8211" t="s">
        <v>32525</v>
      </c>
      <c r="P8211">
        <v>0</v>
      </c>
      <c r="Q8211">
        <v>5</v>
      </c>
      <c r="R8211" t="s">
        <v>32534</v>
      </c>
      <c r="S8211" t="s">
        <v>32739</v>
      </c>
      <c r="T8211" t="s">
        <v>33186</v>
      </c>
      <c r="U8211" t="s">
        <v>40467</v>
      </c>
      <c r="W8211" t="s">
        <v>29781</v>
      </c>
      <c r="X8211" t="s">
        <v>32535</v>
      </c>
    </row>
    <row r="8212" spans="1:24">
      <c r="A8212">
        <f>HYPERLINK("https://www.philgeps.gov.ph/GEPSNONPILOT/Tender/SplashBidNoticeAbstractUI.aspx?menuIndex=3&amp;refID=7032579&amp;Result=3","7032579")</f>
        <v>0</v>
      </c>
      <c r="B8212" t="s">
        <v>940</v>
      </c>
      <c r="C8212" t="s">
        <v>10523</v>
      </c>
      <c r="D8212" t="s">
        <v>13024</v>
      </c>
      <c r="E8212" t="s">
        <v>20296</v>
      </c>
      <c r="F8212" t="s">
        <v>22436</v>
      </c>
      <c r="G8212" t="s">
        <v>22444</v>
      </c>
      <c r="H8212" t="s">
        <v>22452</v>
      </c>
      <c r="I8212" t="s">
        <v>22474</v>
      </c>
      <c r="J8212" t="s">
        <v>27864</v>
      </c>
      <c r="K8212" t="s">
        <v>29338</v>
      </c>
      <c r="M8212" t="s">
        <v>32165</v>
      </c>
      <c r="N8212" t="s">
        <v>32524</v>
      </c>
      <c r="O8212" t="s">
        <v>32525</v>
      </c>
      <c r="Q8212">
        <v>5</v>
      </c>
      <c r="R8212" t="s">
        <v>32534</v>
      </c>
      <c r="S8212" t="s">
        <v>32775</v>
      </c>
      <c r="T8212" t="s">
        <v>33397</v>
      </c>
      <c r="U8212" t="s">
        <v>40468</v>
      </c>
      <c r="W8212" t="s">
        <v>43757</v>
      </c>
      <c r="X8212" t="s">
        <v>32535</v>
      </c>
    </row>
    <row r="8213" spans="1:24">
      <c r="A8213">
        <f>HYPERLINK("https://www.philgeps.gov.ph/GEPSNONPILOT/Tender/SplashBidNoticeAbstractUI.aspx?menuIndex=3&amp;refID=7032640&amp;Result=3","7032640")</f>
        <v>0</v>
      </c>
      <c r="B8213" t="s">
        <v>819</v>
      </c>
      <c r="C8213" t="s">
        <v>10524</v>
      </c>
      <c r="D8213" t="s">
        <v>13040</v>
      </c>
      <c r="E8213" t="s">
        <v>20297</v>
      </c>
      <c r="F8213" t="s">
        <v>22436</v>
      </c>
      <c r="G8213" t="s">
        <v>22444</v>
      </c>
      <c r="H8213" t="s">
        <v>22454</v>
      </c>
      <c r="I8213" t="s">
        <v>7738</v>
      </c>
      <c r="J8213" t="s">
        <v>27865</v>
      </c>
      <c r="K8213" t="s">
        <v>29338</v>
      </c>
      <c r="M8213" t="s">
        <v>30778</v>
      </c>
      <c r="N8213" t="s">
        <v>32524</v>
      </c>
      <c r="O8213" t="s">
        <v>32525</v>
      </c>
      <c r="P8213">
        <v>0</v>
      </c>
      <c r="Q8213">
        <v>0</v>
      </c>
      <c r="R8213" t="s">
        <v>32534</v>
      </c>
      <c r="S8213" t="s">
        <v>32739</v>
      </c>
      <c r="T8213" t="s">
        <v>33249</v>
      </c>
      <c r="U8213" t="s">
        <v>40469</v>
      </c>
      <c r="W8213" t="s">
        <v>30778</v>
      </c>
      <c r="X8213" t="s">
        <v>32535</v>
      </c>
    </row>
    <row r="8214" spans="1:24">
      <c r="A8214">
        <f>HYPERLINK("https://www.philgeps.gov.ph/GEPSNONPILOT/Tender/SplashBidNoticeAbstractUI.aspx?menuIndex=3&amp;refID=7032644&amp;Result=3","7032644")</f>
        <v>0</v>
      </c>
      <c r="B8214" t="s">
        <v>819</v>
      </c>
      <c r="C8214" t="s">
        <v>10525</v>
      </c>
      <c r="D8214" t="s">
        <v>13040</v>
      </c>
      <c r="E8214" t="s">
        <v>20298</v>
      </c>
      <c r="F8214" t="s">
        <v>22436</v>
      </c>
      <c r="G8214" t="s">
        <v>22444</v>
      </c>
      <c r="H8214" t="s">
        <v>22454</v>
      </c>
      <c r="I8214" t="s">
        <v>7738</v>
      </c>
      <c r="J8214" t="s">
        <v>23978</v>
      </c>
      <c r="K8214" t="s">
        <v>29338</v>
      </c>
      <c r="M8214" t="s">
        <v>30778</v>
      </c>
      <c r="N8214" t="s">
        <v>32524</v>
      </c>
      <c r="O8214" t="s">
        <v>32525</v>
      </c>
      <c r="P8214">
        <v>0</v>
      </c>
      <c r="Q8214">
        <v>0</v>
      </c>
      <c r="R8214" t="s">
        <v>32534</v>
      </c>
      <c r="S8214" t="s">
        <v>32739</v>
      </c>
      <c r="T8214" t="s">
        <v>33249</v>
      </c>
      <c r="U8214" t="s">
        <v>40470</v>
      </c>
      <c r="W8214" t="s">
        <v>30778</v>
      </c>
      <c r="X8214" t="s">
        <v>32535</v>
      </c>
    </row>
    <row r="8215" spans="1:24">
      <c r="A8215">
        <f>HYPERLINK("https://www.philgeps.gov.ph/GEPSNONPILOT/Tender/SplashBidNoticeAbstractUI.aspx?menuIndex=3&amp;refID=7032603&amp;Result=3","7032603")</f>
        <v>0</v>
      </c>
      <c r="B8215" t="s">
        <v>1008</v>
      </c>
      <c r="C8215" t="s">
        <v>10526</v>
      </c>
      <c r="D8215" t="s">
        <v>13037</v>
      </c>
      <c r="E8215" t="s">
        <v>20299</v>
      </c>
      <c r="F8215" t="s">
        <v>22436</v>
      </c>
      <c r="G8215" t="s">
        <v>22444</v>
      </c>
      <c r="H8215" t="s">
        <v>22454</v>
      </c>
      <c r="I8215" t="s">
        <v>7738</v>
      </c>
      <c r="J8215" t="s">
        <v>27866</v>
      </c>
      <c r="K8215" t="s">
        <v>29344</v>
      </c>
      <c r="M8215" t="s">
        <v>30636</v>
      </c>
      <c r="N8215" t="s">
        <v>32524</v>
      </c>
      <c r="O8215" t="s">
        <v>32525</v>
      </c>
      <c r="P8215">
        <v>0</v>
      </c>
      <c r="Q8215">
        <v>0</v>
      </c>
      <c r="R8215" t="s">
        <v>32534</v>
      </c>
      <c r="S8215" t="s">
        <v>32739</v>
      </c>
      <c r="T8215" t="s">
        <v>33190</v>
      </c>
      <c r="U8215" t="s">
        <v>35903</v>
      </c>
      <c r="W8215" t="s">
        <v>30636</v>
      </c>
      <c r="X8215" t="s">
        <v>32535</v>
      </c>
    </row>
    <row r="8216" spans="1:24">
      <c r="A8216">
        <f>HYPERLINK("https://www.philgeps.gov.ph/GEPSNONPILOT/Tender/SplashBidNoticeAbstractUI.aspx?menuIndex=3&amp;refID=7032550&amp;Result=3","7032550")</f>
        <v>0</v>
      </c>
      <c r="B8216" t="s">
        <v>1496</v>
      </c>
      <c r="C8216" t="s">
        <v>10527</v>
      </c>
      <c r="D8216" t="s">
        <v>12988</v>
      </c>
      <c r="E8216" t="s">
        <v>20300</v>
      </c>
      <c r="F8216" t="s">
        <v>22436</v>
      </c>
      <c r="G8216" t="s">
        <v>22444</v>
      </c>
      <c r="H8216" t="s">
        <v>22452</v>
      </c>
      <c r="I8216" t="s">
        <v>22456</v>
      </c>
      <c r="J8216" t="s">
        <v>27867</v>
      </c>
      <c r="K8216" t="s">
        <v>29388</v>
      </c>
      <c r="M8216" t="s">
        <v>32166</v>
      </c>
      <c r="N8216" t="s">
        <v>32524</v>
      </c>
      <c r="O8216" t="s">
        <v>32525</v>
      </c>
      <c r="P8216">
        <v>0</v>
      </c>
      <c r="Q8216">
        <v>9</v>
      </c>
      <c r="R8216" t="s">
        <v>32534</v>
      </c>
      <c r="S8216" t="s">
        <v>32739</v>
      </c>
      <c r="T8216" t="s">
        <v>33486</v>
      </c>
      <c r="U8216" t="s">
        <v>40471</v>
      </c>
      <c r="W8216" t="s">
        <v>31170</v>
      </c>
      <c r="X8216" t="s">
        <v>32535</v>
      </c>
    </row>
    <row r="8217" spans="1:24">
      <c r="A8217">
        <f>HYPERLINK("https://www.philgeps.gov.ph/GEPSNONPILOT/Tender/SplashBidNoticeAbstractUI.aspx?menuIndex=3&amp;refID=7032642&amp;Result=3","7032642")</f>
        <v>0</v>
      </c>
      <c r="B8217" t="s">
        <v>819</v>
      </c>
      <c r="C8217" t="s">
        <v>10528</v>
      </c>
      <c r="D8217" t="s">
        <v>13040</v>
      </c>
      <c r="E8217" t="s">
        <v>20301</v>
      </c>
      <c r="F8217" t="s">
        <v>22436</v>
      </c>
      <c r="G8217" t="s">
        <v>22444</v>
      </c>
      <c r="H8217" t="s">
        <v>22454</v>
      </c>
      <c r="I8217" t="s">
        <v>7738</v>
      </c>
      <c r="J8217" t="s">
        <v>23978</v>
      </c>
      <c r="K8217" t="s">
        <v>29338</v>
      </c>
      <c r="M8217" t="s">
        <v>30778</v>
      </c>
      <c r="N8217" t="s">
        <v>32524</v>
      </c>
      <c r="O8217" t="s">
        <v>32525</v>
      </c>
      <c r="P8217">
        <v>0</v>
      </c>
      <c r="Q8217">
        <v>0</v>
      </c>
      <c r="R8217" t="s">
        <v>32534</v>
      </c>
      <c r="S8217" t="s">
        <v>32739</v>
      </c>
      <c r="T8217" t="s">
        <v>33249</v>
      </c>
      <c r="U8217" t="s">
        <v>40472</v>
      </c>
      <c r="W8217" t="s">
        <v>30778</v>
      </c>
      <c r="X8217" t="s">
        <v>32535</v>
      </c>
    </row>
    <row r="8218" spans="1:24">
      <c r="A8218">
        <f>HYPERLINK("https://www.philgeps.gov.ph/GEPSNONPILOT/Tender/SplashBidNoticeAbstractUI.aspx?menuIndex=3&amp;refID=7032704&amp;Result=3","7032704")</f>
        <v>0</v>
      </c>
      <c r="B8218" t="s">
        <v>35</v>
      </c>
      <c r="C8218" t="s">
        <v>10529</v>
      </c>
      <c r="D8218" t="s">
        <v>12997</v>
      </c>
      <c r="E8218" t="s">
        <v>13503</v>
      </c>
      <c r="F8218" t="s">
        <v>22436</v>
      </c>
      <c r="G8218" t="s">
        <v>22444</v>
      </c>
      <c r="H8218" t="s">
        <v>22452</v>
      </c>
      <c r="I8218" t="s">
        <v>22467</v>
      </c>
      <c r="J8218" t="s">
        <v>22893</v>
      </c>
      <c r="K8218" t="s">
        <v>29336</v>
      </c>
      <c r="M8218" t="s">
        <v>29605</v>
      </c>
      <c r="N8218" t="s">
        <v>32524</v>
      </c>
      <c r="O8218" t="s">
        <v>32525</v>
      </c>
      <c r="P8218">
        <v>0</v>
      </c>
      <c r="Q8218">
        <v>0</v>
      </c>
      <c r="R8218" t="s">
        <v>32534</v>
      </c>
      <c r="S8218" t="s">
        <v>32739</v>
      </c>
      <c r="T8218" t="s">
        <v>33249</v>
      </c>
      <c r="U8218" t="s">
        <v>33632</v>
      </c>
      <c r="W8218" t="s">
        <v>29605</v>
      </c>
      <c r="X8218" t="s">
        <v>32535</v>
      </c>
    </row>
    <row r="8219" spans="1:24">
      <c r="A8219">
        <f>HYPERLINK("https://www.philgeps.gov.ph/GEPSNONPILOT/Tender/SplashBidNoticeAbstractUI.aspx?menuIndex=3&amp;refID=7032614&amp;Result=3","7032614")</f>
        <v>0</v>
      </c>
      <c r="B8219" t="s">
        <v>2378</v>
      </c>
      <c r="C8219" t="s">
        <v>10530</v>
      </c>
      <c r="D8219" t="s">
        <v>13004</v>
      </c>
      <c r="E8219" t="s">
        <v>16918</v>
      </c>
      <c r="F8219" t="s">
        <v>22436</v>
      </c>
      <c r="G8219" t="s">
        <v>22444</v>
      </c>
      <c r="H8219" t="s">
        <v>22452</v>
      </c>
      <c r="I8219" t="s">
        <v>22479</v>
      </c>
      <c r="J8219" t="s">
        <v>23505</v>
      </c>
      <c r="K8219" t="s">
        <v>29334</v>
      </c>
      <c r="M8219" t="s">
        <v>32167</v>
      </c>
      <c r="N8219" t="s">
        <v>32524</v>
      </c>
      <c r="O8219" t="s">
        <v>32525</v>
      </c>
      <c r="P8219">
        <v>0</v>
      </c>
      <c r="Q8219">
        <v>4</v>
      </c>
      <c r="R8219" t="s">
        <v>32534</v>
      </c>
      <c r="S8219" t="s">
        <v>32739</v>
      </c>
      <c r="T8219" t="s">
        <v>33188</v>
      </c>
      <c r="U8219" t="s">
        <v>40473</v>
      </c>
      <c r="V8219" t="s">
        <v>43339</v>
      </c>
      <c r="W8219" t="s">
        <v>32167</v>
      </c>
      <c r="X8219" t="s">
        <v>32535</v>
      </c>
    </row>
    <row r="8220" spans="1:24">
      <c r="A8220">
        <f>HYPERLINK("https://www.philgeps.gov.ph/GEPSNONPILOT/Tender/SplashBidNoticeAbstractUI.aspx?menuIndex=3&amp;refID=7032497&amp;Result=3","7032497")</f>
        <v>0</v>
      </c>
      <c r="B8220" t="s">
        <v>189</v>
      </c>
      <c r="C8220" t="s">
        <v>10531</v>
      </c>
      <c r="D8220" t="s">
        <v>13044</v>
      </c>
      <c r="E8220" t="s">
        <v>20302</v>
      </c>
      <c r="F8220" t="s">
        <v>22436</v>
      </c>
      <c r="G8220" t="s">
        <v>22444</v>
      </c>
      <c r="H8220" t="s">
        <v>22452</v>
      </c>
      <c r="I8220" t="s">
        <v>3529</v>
      </c>
      <c r="J8220" t="s">
        <v>27868</v>
      </c>
      <c r="K8220" t="s">
        <v>29441</v>
      </c>
      <c r="M8220" t="s">
        <v>29762</v>
      </c>
      <c r="N8220" t="s">
        <v>32524</v>
      </c>
      <c r="O8220" t="s">
        <v>32525</v>
      </c>
      <c r="P8220">
        <v>0</v>
      </c>
      <c r="Q8220">
        <v>0</v>
      </c>
      <c r="R8220" t="s">
        <v>32534</v>
      </c>
      <c r="S8220" t="s">
        <v>32739</v>
      </c>
      <c r="T8220" t="s">
        <v>33261</v>
      </c>
      <c r="U8220" t="s">
        <v>40474</v>
      </c>
      <c r="W8220" t="s">
        <v>29762</v>
      </c>
      <c r="X8220" t="s">
        <v>32535</v>
      </c>
    </row>
    <row r="8221" spans="1:24">
      <c r="A8221">
        <f>HYPERLINK("https://www.philgeps.gov.ph/GEPSNONPILOT/Tender/SplashBidNoticeAbstractUI.aspx?menuIndex=3&amp;refID=7032703&amp;Result=3","7032703")</f>
        <v>0</v>
      </c>
      <c r="B8221" t="s">
        <v>1076</v>
      </c>
      <c r="C8221" t="s">
        <v>10532</v>
      </c>
      <c r="D8221" t="s">
        <v>13016</v>
      </c>
      <c r="E8221" t="s">
        <v>20303</v>
      </c>
      <c r="F8221" t="s">
        <v>22436</v>
      </c>
      <c r="G8221" t="s">
        <v>22444</v>
      </c>
      <c r="H8221" t="s">
        <v>22454</v>
      </c>
      <c r="I8221" t="s">
        <v>7738</v>
      </c>
      <c r="J8221" t="s">
        <v>22634</v>
      </c>
      <c r="K8221" t="s">
        <v>29333</v>
      </c>
      <c r="M8221" t="s">
        <v>30711</v>
      </c>
      <c r="N8221" t="s">
        <v>32524</v>
      </c>
      <c r="O8221" t="s">
        <v>32525</v>
      </c>
      <c r="P8221">
        <v>0</v>
      </c>
      <c r="Q8221">
        <v>1</v>
      </c>
      <c r="R8221" t="s">
        <v>32534</v>
      </c>
      <c r="S8221" t="s">
        <v>32739</v>
      </c>
      <c r="T8221" t="s">
        <v>33171</v>
      </c>
      <c r="U8221" t="s">
        <v>36473</v>
      </c>
      <c r="W8221" t="s">
        <v>30711</v>
      </c>
      <c r="X8221" t="s">
        <v>32535</v>
      </c>
    </row>
    <row r="8222" spans="1:24">
      <c r="A8222">
        <f>HYPERLINK("https://www.philgeps.gov.ph/GEPSNONPILOT/Tender/SplashBidNoticeAbstractUI.aspx?menuIndex=3&amp;refID=7032646&amp;Result=3","7032646")</f>
        <v>0</v>
      </c>
      <c r="B8222" t="s">
        <v>819</v>
      </c>
      <c r="C8222" t="s">
        <v>10533</v>
      </c>
      <c r="D8222" t="s">
        <v>13040</v>
      </c>
      <c r="E8222" t="s">
        <v>20304</v>
      </c>
      <c r="F8222" t="s">
        <v>22436</v>
      </c>
      <c r="G8222" t="s">
        <v>22444</v>
      </c>
      <c r="H8222" t="s">
        <v>22454</v>
      </c>
      <c r="I8222" t="s">
        <v>7738</v>
      </c>
      <c r="J8222" t="s">
        <v>23978</v>
      </c>
      <c r="K8222" t="s">
        <v>29338</v>
      </c>
      <c r="M8222" t="s">
        <v>30778</v>
      </c>
      <c r="N8222" t="s">
        <v>32524</v>
      </c>
      <c r="O8222" t="s">
        <v>32525</v>
      </c>
      <c r="P8222">
        <v>0</v>
      </c>
      <c r="Q8222">
        <v>0</v>
      </c>
      <c r="R8222" t="s">
        <v>32534</v>
      </c>
      <c r="S8222" t="s">
        <v>32739</v>
      </c>
      <c r="T8222" t="s">
        <v>33249</v>
      </c>
      <c r="U8222" t="s">
        <v>40475</v>
      </c>
      <c r="W8222" t="s">
        <v>30778</v>
      </c>
      <c r="X8222" t="s">
        <v>32535</v>
      </c>
    </row>
    <row r="8223" spans="1:24">
      <c r="A8223">
        <f>HYPERLINK("https://www.philgeps.gov.ph/GEPSNONPILOT/Tender/SplashBidNoticeAbstractUI.aspx?menuIndex=3&amp;refID=7032700&amp;Result=3","7032700")</f>
        <v>0</v>
      </c>
      <c r="B8223" t="s">
        <v>2335</v>
      </c>
      <c r="C8223" t="s">
        <v>10534</v>
      </c>
      <c r="D8223" t="s">
        <v>12994</v>
      </c>
      <c r="E8223" t="s">
        <v>13127</v>
      </c>
      <c r="F8223" t="s">
        <v>22436</v>
      </c>
      <c r="G8223" t="s">
        <v>22444</v>
      </c>
      <c r="H8223" t="s">
        <v>22452</v>
      </c>
      <c r="I8223" t="s">
        <v>22482</v>
      </c>
      <c r="J8223" t="s">
        <v>22800</v>
      </c>
      <c r="K8223" t="s">
        <v>29335</v>
      </c>
      <c r="M8223" t="s">
        <v>32114</v>
      </c>
      <c r="N8223" t="s">
        <v>32524</v>
      </c>
      <c r="O8223" t="s">
        <v>32525</v>
      </c>
      <c r="P8223">
        <v>0</v>
      </c>
      <c r="Q8223">
        <v>4</v>
      </c>
      <c r="R8223" t="s">
        <v>32534</v>
      </c>
      <c r="S8223" t="s">
        <v>32739</v>
      </c>
      <c r="T8223" t="s">
        <v>33169</v>
      </c>
      <c r="U8223" t="s">
        <v>40476</v>
      </c>
      <c r="W8223" t="s">
        <v>32114</v>
      </c>
      <c r="X8223" t="s">
        <v>32535</v>
      </c>
    </row>
    <row r="8224" spans="1:24">
      <c r="A8224">
        <f>HYPERLINK("https://www.philgeps.gov.ph/GEPSNONPILOT/Tender/SplashBidNoticeAbstractUI.aspx?menuIndex=3&amp;refID=7032691&amp;Result=3","7032691")</f>
        <v>0</v>
      </c>
      <c r="B8224" t="s">
        <v>1076</v>
      </c>
      <c r="C8224" t="s">
        <v>10535</v>
      </c>
      <c r="D8224" t="s">
        <v>13016</v>
      </c>
      <c r="E8224" t="s">
        <v>20305</v>
      </c>
      <c r="F8224" t="s">
        <v>22436</v>
      </c>
      <c r="G8224" t="s">
        <v>22444</v>
      </c>
      <c r="H8224" t="s">
        <v>22454</v>
      </c>
      <c r="I8224" t="s">
        <v>7738</v>
      </c>
      <c r="J8224" t="s">
        <v>22877</v>
      </c>
      <c r="K8224" t="s">
        <v>29333</v>
      </c>
      <c r="M8224" t="s">
        <v>30711</v>
      </c>
      <c r="N8224" t="s">
        <v>32524</v>
      </c>
      <c r="O8224" t="s">
        <v>32525</v>
      </c>
      <c r="P8224">
        <v>0</v>
      </c>
      <c r="Q8224">
        <v>0</v>
      </c>
      <c r="R8224" t="s">
        <v>32534</v>
      </c>
      <c r="S8224" t="s">
        <v>32739</v>
      </c>
      <c r="T8224" t="s">
        <v>33230</v>
      </c>
      <c r="U8224" t="s">
        <v>36473</v>
      </c>
      <c r="W8224" t="s">
        <v>30711</v>
      </c>
      <c r="X8224" t="s">
        <v>32535</v>
      </c>
    </row>
    <row r="8225" spans="1:24">
      <c r="A8225">
        <f>HYPERLINK("https://www.philgeps.gov.ph/GEPSNONPILOT/Tender/SplashBidNoticeAbstractUI.aspx?menuIndex=3&amp;refID=7032716&amp;Result=3","7032716")</f>
        <v>0</v>
      </c>
      <c r="B8225" t="s">
        <v>1883</v>
      </c>
      <c r="C8225" t="s">
        <v>10536</v>
      </c>
      <c r="D8225" t="s">
        <v>13037</v>
      </c>
      <c r="E8225" t="s">
        <v>20306</v>
      </c>
      <c r="F8225" t="s">
        <v>22436</v>
      </c>
      <c r="G8225" t="s">
        <v>22444</v>
      </c>
      <c r="H8225" t="s">
        <v>22454</v>
      </c>
      <c r="I8225" t="s">
        <v>7738</v>
      </c>
      <c r="J8225" t="s">
        <v>25116</v>
      </c>
      <c r="K8225" t="s">
        <v>29335</v>
      </c>
      <c r="M8225" t="s">
        <v>31601</v>
      </c>
      <c r="N8225" t="s">
        <v>32524</v>
      </c>
      <c r="O8225" t="s">
        <v>32525</v>
      </c>
      <c r="P8225">
        <v>0</v>
      </c>
      <c r="Q8225">
        <v>2</v>
      </c>
      <c r="R8225" t="s">
        <v>32534</v>
      </c>
      <c r="S8225" t="s">
        <v>32739</v>
      </c>
      <c r="T8225" t="s">
        <v>33242</v>
      </c>
      <c r="U8225" t="s">
        <v>40477</v>
      </c>
      <c r="W8225" t="s">
        <v>32177</v>
      </c>
      <c r="X8225" t="s">
        <v>32535</v>
      </c>
    </row>
    <row r="8226" spans="1:24">
      <c r="A8226">
        <f>HYPERLINK("https://www.philgeps.gov.ph/GEPSNONPILOT/Tender/SplashBidNoticeAbstractUI.aspx?menuIndex=3&amp;refID=7032684&amp;Result=3","7032684")</f>
        <v>0</v>
      </c>
      <c r="B8226" t="s">
        <v>1076</v>
      </c>
      <c r="C8226" t="s">
        <v>10537</v>
      </c>
      <c r="D8226" t="s">
        <v>13016</v>
      </c>
      <c r="E8226" t="s">
        <v>20307</v>
      </c>
      <c r="F8226" t="s">
        <v>22436</v>
      </c>
      <c r="G8226" t="s">
        <v>22444</v>
      </c>
      <c r="H8226" t="s">
        <v>22454</v>
      </c>
      <c r="I8226" t="s">
        <v>7738</v>
      </c>
      <c r="J8226" t="s">
        <v>22669</v>
      </c>
      <c r="K8226" t="s">
        <v>29333</v>
      </c>
      <c r="M8226" t="s">
        <v>30711</v>
      </c>
      <c r="N8226" t="s">
        <v>32524</v>
      </c>
      <c r="O8226" t="s">
        <v>32525</v>
      </c>
      <c r="P8226">
        <v>0</v>
      </c>
      <c r="Q8226">
        <v>0</v>
      </c>
      <c r="R8226" t="s">
        <v>32534</v>
      </c>
      <c r="S8226" t="s">
        <v>32739</v>
      </c>
      <c r="T8226" t="s">
        <v>33230</v>
      </c>
      <c r="U8226" t="s">
        <v>36473</v>
      </c>
      <c r="W8226" t="s">
        <v>30711</v>
      </c>
      <c r="X8226" t="s">
        <v>32535</v>
      </c>
    </row>
    <row r="8227" spans="1:24">
      <c r="A8227">
        <f>HYPERLINK("https://www.philgeps.gov.ph/GEPSNONPILOT/Tender/SplashBidNoticeAbstractUI.aspx?menuIndex=3&amp;refID=7032710&amp;Result=3","7032710")</f>
        <v>0</v>
      </c>
      <c r="B8227" t="s">
        <v>1076</v>
      </c>
      <c r="C8227" t="s">
        <v>10538</v>
      </c>
      <c r="D8227" t="s">
        <v>13016</v>
      </c>
      <c r="E8227" t="s">
        <v>20308</v>
      </c>
      <c r="F8227" t="s">
        <v>22436</v>
      </c>
      <c r="G8227" t="s">
        <v>22444</v>
      </c>
      <c r="H8227" t="s">
        <v>22454</v>
      </c>
      <c r="I8227" t="s">
        <v>7738</v>
      </c>
      <c r="J8227" t="s">
        <v>22877</v>
      </c>
      <c r="K8227" t="s">
        <v>29333</v>
      </c>
      <c r="M8227" t="s">
        <v>30711</v>
      </c>
      <c r="N8227" t="s">
        <v>32524</v>
      </c>
      <c r="O8227" t="s">
        <v>32525</v>
      </c>
      <c r="P8227">
        <v>0</v>
      </c>
      <c r="Q8227">
        <v>0</v>
      </c>
      <c r="R8227" t="s">
        <v>32534</v>
      </c>
      <c r="S8227" t="s">
        <v>32739</v>
      </c>
      <c r="T8227" t="s">
        <v>33190</v>
      </c>
      <c r="U8227" t="s">
        <v>36473</v>
      </c>
      <c r="W8227" t="s">
        <v>30711</v>
      </c>
      <c r="X8227" t="s">
        <v>32535</v>
      </c>
    </row>
    <row r="8228" spans="1:24">
      <c r="A8228">
        <f>HYPERLINK("https://www.philgeps.gov.ph/GEPSNONPILOT/Tender/SplashBidNoticeAbstractUI.aspx?menuIndex=3&amp;refID=7032699&amp;Result=3","7032699")</f>
        <v>0</v>
      </c>
      <c r="B8228" t="s">
        <v>1076</v>
      </c>
      <c r="C8228" t="s">
        <v>10539</v>
      </c>
      <c r="D8228" t="s">
        <v>13016</v>
      </c>
      <c r="E8228" t="s">
        <v>20309</v>
      </c>
      <c r="F8228" t="s">
        <v>22436</v>
      </c>
      <c r="G8228" t="s">
        <v>22444</v>
      </c>
      <c r="H8228" t="s">
        <v>22454</v>
      </c>
      <c r="I8228" t="s">
        <v>7738</v>
      </c>
      <c r="J8228" t="s">
        <v>22669</v>
      </c>
      <c r="K8228" t="s">
        <v>29333</v>
      </c>
      <c r="M8228" t="s">
        <v>30711</v>
      </c>
      <c r="N8228" t="s">
        <v>32524</v>
      </c>
      <c r="O8228" t="s">
        <v>32525</v>
      </c>
      <c r="P8228">
        <v>0</v>
      </c>
      <c r="Q8228">
        <v>2</v>
      </c>
      <c r="R8228" t="s">
        <v>32534</v>
      </c>
      <c r="S8228" t="s">
        <v>32739</v>
      </c>
      <c r="T8228" t="s">
        <v>33171</v>
      </c>
      <c r="U8228" t="s">
        <v>36473</v>
      </c>
      <c r="W8228" t="s">
        <v>30711</v>
      </c>
      <c r="X8228" t="s">
        <v>32535</v>
      </c>
    </row>
    <row r="8229" spans="1:24">
      <c r="A8229">
        <f>HYPERLINK("https://www.philgeps.gov.ph/GEPSNONPILOT/Tender/SplashBidNoticeAbstractUI.aspx?menuIndex=3&amp;refID=7032720&amp;Result=3","7032720")</f>
        <v>0</v>
      </c>
      <c r="B8229" t="s">
        <v>1883</v>
      </c>
      <c r="C8229" t="s">
        <v>10540</v>
      </c>
      <c r="D8229" t="s">
        <v>13037</v>
      </c>
      <c r="E8229" t="s">
        <v>20310</v>
      </c>
      <c r="F8229" t="s">
        <v>22436</v>
      </c>
      <c r="G8229" t="s">
        <v>22444</v>
      </c>
      <c r="H8229" t="s">
        <v>22454</v>
      </c>
      <c r="I8229" t="s">
        <v>7738</v>
      </c>
      <c r="J8229" t="s">
        <v>23093</v>
      </c>
      <c r="K8229" t="s">
        <v>29335</v>
      </c>
      <c r="M8229" t="s">
        <v>31601</v>
      </c>
      <c r="N8229" t="s">
        <v>32524</v>
      </c>
      <c r="O8229" t="s">
        <v>32525</v>
      </c>
      <c r="P8229">
        <v>0</v>
      </c>
      <c r="Q8229">
        <v>0</v>
      </c>
      <c r="R8229" t="s">
        <v>32534</v>
      </c>
      <c r="S8229" t="s">
        <v>32739</v>
      </c>
      <c r="T8229" t="s">
        <v>33242</v>
      </c>
      <c r="U8229" t="s">
        <v>40478</v>
      </c>
      <c r="W8229" t="s">
        <v>32177</v>
      </c>
      <c r="X8229" t="s">
        <v>32535</v>
      </c>
    </row>
    <row r="8230" spans="1:24">
      <c r="A8230">
        <f>HYPERLINK("https://www.philgeps.gov.ph/GEPSNONPILOT/Tender/SplashBidNoticeAbstractUI.aspx?menuIndex=3&amp;refID=7032682&amp;Result=3","7032682")</f>
        <v>0</v>
      </c>
      <c r="B8230" t="s">
        <v>1192</v>
      </c>
      <c r="C8230" t="s">
        <v>10541</v>
      </c>
      <c r="D8230" t="s">
        <v>13007</v>
      </c>
      <c r="E8230" t="s">
        <v>20311</v>
      </c>
      <c r="F8230" t="s">
        <v>22436</v>
      </c>
      <c r="G8230" t="s">
        <v>22444</v>
      </c>
      <c r="H8230" t="s">
        <v>22454</v>
      </c>
      <c r="I8230" t="s">
        <v>7738</v>
      </c>
      <c r="J8230" t="s">
        <v>27869</v>
      </c>
      <c r="K8230" t="s">
        <v>29534</v>
      </c>
      <c r="M8230" t="s">
        <v>30839</v>
      </c>
      <c r="N8230" t="s">
        <v>32524</v>
      </c>
      <c r="O8230" t="s">
        <v>32525</v>
      </c>
      <c r="P8230">
        <v>0</v>
      </c>
      <c r="Q8230">
        <v>13</v>
      </c>
      <c r="R8230" t="s">
        <v>32534</v>
      </c>
      <c r="S8230" t="s">
        <v>32739</v>
      </c>
      <c r="T8230" t="s">
        <v>33227</v>
      </c>
      <c r="U8230" t="s">
        <v>40479</v>
      </c>
      <c r="W8230" t="s">
        <v>43758</v>
      </c>
      <c r="X8230" t="s">
        <v>32535</v>
      </c>
    </row>
    <row r="8231" spans="1:24">
      <c r="A8231">
        <f>HYPERLINK("https://www.philgeps.gov.ph/GEPSNONPILOT/Tender/SplashBidNoticeAbstractUI.aspx?menuIndex=3&amp;refID=7032695&amp;Result=3","7032695")</f>
        <v>0</v>
      </c>
      <c r="B8231" t="s">
        <v>1192</v>
      </c>
      <c r="C8231" t="s">
        <v>10542</v>
      </c>
      <c r="D8231" t="s">
        <v>13007</v>
      </c>
      <c r="E8231" t="s">
        <v>20312</v>
      </c>
      <c r="F8231" t="s">
        <v>22436</v>
      </c>
      <c r="G8231" t="s">
        <v>22444</v>
      </c>
      <c r="H8231" t="s">
        <v>22454</v>
      </c>
      <c r="I8231" t="s">
        <v>7738</v>
      </c>
      <c r="J8231" t="s">
        <v>27870</v>
      </c>
      <c r="K8231" t="s">
        <v>29535</v>
      </c>
      <c r="M8231" t="s">
        <v>30839</v>
      </c>
      <c r="N8231" t="s">
        <v>32524</v>
      </c>
      <c r="O8231" t="s">
        <v>32525</v>
      </c>
      <c r="P8231">
        <v>0</v>
      </c>
      <c r="Q8231">
        <v>13</v>
      </c>
      <c r="R8231" t="s">
        <v>32534</v>
      </c>
      <c r="S8231" t="s">
        <v>32739</v>
      </c>
      <c r="T8231" t="s">
        <v>33227</v>
      </c>
      <c r="U8231" t="s">
        <v>40479</v>
      </c>
      <c r="W8231" t="s">
        <v>43758</v>
      </c>
      <c r="X8231" t="s">
        <v>32535</v>
      </c>
    </row>
    <row r="8232" spans="1:24">
      <c r="A8232">
        <f>HYPERLINK("https://www.philgeps.gov.ph/GEPSNONPILOT/Tender/SplashBidNoticeAbstractUI.aspx?menuIndex=3&amp;refID=7032712&amp;Result=3","7032712")</f>
        <v>0</v>
      </c>
      <c r="B8232" t="s">
        <v>1192</v>
      </c>
      <c r="C8232" t="s">
        <v>10543</v>
      </c>
      <c r="D8232" t="s">
        <v>13007</v>
      </c>
      <c r="E8232" t="s">
        <v>20313</v>
      </c>
      <c r="F8232" t="s">
        <v>22436</v>
      </c>
      <c r="G8232" t="s">
        <v>22444</v>
      </c>
      <c r="H8232" t="s">
        <v>22454</v>
      </c>
      <c r="I8232" t="s">
        <v>7738</v>
      </c>
      <c r="J8232" t="s">
        <v>23505</v>
      </c>
      <c r="K8232" t="s">
        <v>29444</v>
      </c>
      <c r="M8232" t="s">
        <v>30839</v>
      </c>
      <c r="N8232" t="s">
        <v>32524</v>
      </c>
      <c r="O8232" t="s">
        <v>32525</v>
      </c>
      <c r="P8232">
        <v>0</v>
      </c>
      <c r="Q8232">
        <v>13</v>
      </c>
      <c r="R8232" t="s">
        <v>32534</v>
      </c>
      <c r="S8232" t="s">
        <v>32739</v>
      </c>
      <c r="T8232" t="s">
        <v>33227</v>
      </c>
      <c r="U8232" t="s">
        <v>40479</v>
      </c>
      <c r="W8232" t="s">
        <v>43758</v>
      </c>
      <c r="X8232" t="s">
        <v>32535</v>
      </c>
    </row>
    <row r="8233" spans="1:24">
      <c r="A8233">
        <f>HYPERLINK("https://www.philgeps.gov.ph/GEPSNONPILOT/Tender/SplashBidNoticeAbstractUI.aspx?menuIndex=3&amp;refID=7032718&amp;Result=3","7032718")</f>
        <v>0</v>
      </c>
      <c r="B8233" t="s">
        <v>1076</v>
      </c>
      <c r="C8233" t="s">
        <v>10544</v>
      </c>
      <c r="D8233" t="s">
        <v>13016</v>
      </c>
      <c r="E8233" t="s">
        <v>20314</v>
      </c>
      <c r="F8233" t="s">
        <v>22436</v>
      </c>
      <c r="G8233" t="s">
        <v>22444</v>
      </c>
      <c r="H8233" t="s">
        <v>22454</v>
      </c>
      <c r="I8233" t="s">
        <v>7738</v>
      </c>
      <c r="J8233" t="s">
        <v>23350</v>
      </c>
      <c r="K8233" t="s">
        <v>29333</v>
      </c>
      <c r="M8233" t="s">
        <v>30711</v>
      </c>
      <c r="N8233" t="s">
        <v>32524</v>
      </c>
      <c r="O8233" t="s">
        <v>32525</v>
      </c>
      <c r="P8233">
        <v>0</v>
      </c>
      <c r="Q8233">
        <v>2</v>
      </c>
      <c r="R8233" t="s">
        <v>32534</v>
      </c>
      <c r="S8233" t="s">
        <v>32739</v>
      </c>
      <c r="T8233" t="s">
        <v>33190</v>
      </c>
      <c r="U8233" t="s">
        <v>36473</v>
      </c>
      <c r="W8233" t="s">
        <v>30711</v>
      </c>
      <c r="X8233" t="s">
        <v>32535</v>
      </c>
    </row>
    <row r="8234" spans="1:24">
      <c r="A8234">
        <f>HYPERLINK("https://www.philgeps.gov.ph/GEPSNONPILOT/Tender/SplashBidNoticeAbstractUI.aspx?menuIndex=3&amp;refID=7032661&amp;Result=3","7032661")</f>
        <v>0</v>
      </c>
      <c r="B8234" t="s">
        <v>2379</v>
      </c>
      <c r="C8234" t="s">
        <v>10545</v>
      </c>
      <c r="D8234" t="s">
        <v>13006</v>
      </c>
      <c r="E8234" t="s">
        <v>20315</v>
      </c>
      <c r="F8234" t="s">
        <v>22436</v>
      </c>
      <c r="G8234" t="s">
        <v>22444</v>
      </c>
      <c r="H8234" t="s">
        <v>22452</v>
      </c>
      <c r="I8234" t="s">
        <v>22460</v>
      </c>
      <c r="J8234" t="s">
        <v>27871</v>
      </c>
      <c r="K8234" t="s">
        <v>29338</v>
      </c>
      <c r="M8234" t="s">
        <v>32168</v>
      </c>
      <c r="N8234" t="s">
        <v>32524</v>
      </c>
      <c r="O8234" t="s">
        <v>32525</v>
      </c>
      <c r="P8234">
        <v>0</v>
      </c>
      <c r="Q8234">
        <v>2</v>
      </c>
      <c r="R8234" t="s">
        <v>32534</v>
      </c>
      <c r="S8234" t="s">
        <v>32739</v>
      </c>
      <c r="T8234" t="s">
        <v>33218</v>
      </c>
      <c r="U8234" t="s">
        <v>40480</v>
      </c>
      <c r="V8234" t="s">
        <v>43340</v>
      </c>
      <c r="W8234" t="s">
        <v>32168</v>
      </c>
      <c r="X8234" t="s">
        <v>32535</v>
      </c>
    </row>
    <row r="8235" spans="1:24">
      <c r="A8235">
        <f>HYPERLINK("https://www.philgeps.gov.ph/GEPSNONPILOT/Tender/SplashBidNoticeAbstractUI.aspx?menuIndex=3&amp;refID=7032736&amp;Result=3","7032736")</f>
        <v>0</v>
      </c>
      <c r="B8235" t="s">
        <v>1192</v>
      </c>
      <c r="C8235" t="s">
        <v>10546</v>
      </c>
      <c r="D8235" t="s">
        <v>13007</v>
      </c>
      <c r="E8235" t="s">
        <v>20316</v>
      </c>
      <c r="F8235" t="s">
        <v>22436</v>
      </c>
      <c r="G8235" t="s">
        <v>22444</v>
      </c>
      <c r="H8235" t="s">
        <v>22454</v>
      </c>
      <c r="I8235" t="s">
        <v>7738</v>
      </c>
      <c r="J8235" t="s">
        <v>22779</v>
      </c>
      <c r="K8235" t="s">
        <v>29345</v>
      </c>
      <c r="M8235" t="s">
        <v>30839</v>
      </c>
      <c r="N8235" t="s">
        <v>32524</v>
      </c>
      <c r="O8235" t="s">
        <v>32525</v>
      </c>
      <c r="P8235">
        <v>0</v>
      </c>
      <c r="Q8235">
        <v>9</v>
      </c>
      <c r="R8235" t="s">
        <v>32534</v>
      </c>
      <c r="S8235" t="s">
        <v>32739</v>
      </c>
      <c r="T8235" t="s">
        <v>33340</v>
      </c>
      <c r="U8235" t="s">
        <v>40481</v>
      </c>
      <c r="W8235" t="s">
        <v>43758</v>
      </c>
      <c r="X8235" t="s">
        <v>32535</v>
      </c>
    </row>
    <row r="8236" spans="1:24">
      <c r="A8236">
        <f>HYPERLINK("https://www.philgeps.gov.ph/GEPSNONPILOT/Tender/SplashBidNoticeAbstractUI.aspx?menuIndex=3&amp;refID=7032728&amp;Result=3","7032728")</f>
        <v>0</v>
      </c>
      <c r="B8236" t="s">
        <v>1192</v>
      </c>
      <c r="C8236" t="s">
        <v>10547</v>
      </c>
      <c r="D8236" t="s">
        <v>13007</v>
      </c>
      <c r="E8236" t="s">
        <v>20317</v>
      </c>
      <c r="F8236" t="s">
        <v>22436</v>
      </c>
      <c r="G8236" t="s">
        <v>22444</v>
      </c>
      <c r="H8236" t="s">
        <v>22454</v>
      </c>
      <c r="I8236" t="s">
        <v>7738</v>
      </c>
      <c r="J8236" t="s">
        <v>27872</v>
      </c>
      <c r="K8236" t="s">
        <v>29334</v>
      </c>
      <c r="M8236" t="s">
        <v>30839</v>
      </c>
      <c r="N8236" t="s">
        <v>32524</v>
      </c>
      <c r="O8236" t="s">
        <v>32525</v>
      </c>
      <c r="P8236">
        <v>0</v>
      </c>
      <c r="Q8236">
        <v>10</v>
      </c>
      <c r="R8236" t="s">
        <v>32534</v>
      </c>
      <c r="S8236" t="s">
        <v>32739</v>
      </c>
      <c r="T8236" t="s">
        <v>33227</v>
      </c>
      <c r="U8236" t="s">
        <v>40482</v>
      </c>
      <c r="W8236" t="s">
        <v>43758</v>
      </c>
      <c r="X8236" t="s">
        <v>32535</v>
      </c>
    </row>
    <row r="8237" spans="1:24">
      <c r="A8237">
        <f>HYPERLINK("https://www.philgeps.gov.ph/GEPSNONPILOT/Tender/SplashBidNoticeAbstractUI.aspx?menuIndex=3&amp;refID=7032665&amp;Result=3","7032665")</f>
        <v>0</v>
      </c>
      <c r="B8237" t="s">
        <v>1076</v>
      </c>
      <c r="C8237" t="s">
        <v>10548</v>
      </c>
      <c r="D8237" t="s">
        <v>13016</v>
      </c>
      <c r="E8237" t="s">
        <v>20318</v>
      </c>
      <c r="F8237" t="s">
        <v>22436</v>
      </c>
      <c r="G8237" t="s">
        <v>22444</v>
      </c>
      <c r="H8237" t="s">
        <v>22454</v>
      </c>
      <c r="I8237" t="s">
        <v>7738</v>
      </c>
      <c r="J8237" t="s">
        <v>27873</v>
      </c>
      <c r="K8237" t="s">
        <v>29333</v>
      </c>
      <c r="M8237" t="s">
        <v>30711</v>
      </c>
      <c r="N8237" t="s">
        <v>32524</v>
      </c>
      <c r="O8237" t="s">
        <v>32525</v>
      </c>
      <c r="P8237">
        <v>0</v>
      </c>
      <c r="Q8237">
        <v>0</v>
      </c>
      <c r="R8237" t="s">
        <v>32534</v>
      </c>
      <c r="S8237" t="s">
        <v>32739</v>
      </c>
      <c r="T8237" t="s">
        <v>33230</v>
      </c>
      <c r="U8237" t="s">
        <v>36473</v>
      </c>
      <c r="W8237" t="s">
        <v>30711</v>
      </c>
      <c r="X8237" t="s">
        <v>32535</v>
      </c>
    </row>
    <row r="8238" spans="1:24">
      <c r="A8238">
        <f>HYPERLINK("https://www.philgeps.gov.ph/GEPSNONPILOT/Tender/SplashBidNoticeAbstractUI.aspx?menuIndex=3&amp;refID=7029949&amp;Result=3","7029949")</f>
        <v>0</v>
      </c>
      <c r="B8238" t="s">
        <v>64</v>
      </c>
      <c r="C8238" t="s">
        <v>10549</v>
      </c>
      <c r="D8238" t="s">
        <v>13016</v>
      </c>
      <c r="E8238" t="s">
        <v>20319</v>
      </c>
      <c r="F8238" t="s">
        <v>22436</v>
      </c>
      <c r="G8238" t="s">
        <v>22444</v>
      </c>
      <c r="H8238" t="s">
        <v>22452</v>
      </c>
      <c r="I8238" t="s">
        <v>6387</v>
      </c>
      <c r="J8238" t="s">
        <v>22960</v>
      </c>
      <c r="K8238" t="s">
        <v>29394</v>
      </c>
      <c r="M8238" t="s">
        <v>32169</v>
      </c>
      <c r="N8238" t="s">
        <v>32524</v>
      </c>
      <c r="O8238" t="s">
        <v>32525</v>
      </c>
      <c r="Q8238">
        <v>4</v>
      </c>
      <c r="R8238" t="s">
        <v>32535</v>
      </c>
      <c r="S8238" t="s">
        <v>32776</v>
      </c>
      <c r="T8238" t="s">
        <v>33455</v>
      </c>
      <c r="U8238" t="s">
        <v>40483</v>
      </c>
      <c r="W8238" t="s">
        <v>32169</v>
      </c>
      <c r="X8238" t="s">
        <v>32537</v>
      </c>
    </row>
    <row r="8239" spans="1:24">
      <c r="A8239">
        <f>HYPERLINK("https://www.philgeps.gov.ph/GEPSNONPILOT/Tender/SplashBidNoticeAbstractUI.aspx?menuIndex=3&amp;refID=7032648&amp;Result=3","7032648")</f>
        <v>0</v>
      </c>
      <c r="B8239" t="s">
        <v>819</v>
      </c>
      <c r="C8239" t="s">
        <v>10550</v>
      </c>
      <c r="D8239" t="s">
        <v>13040</v>
      </c>
      <c r="E8239" t="s">
        <v>20320</v>
      </c>
      <c r="F8239" t="s">
        <v>22436</v>
      </c>
      <c r="G8239" t="s">
        <v>22444</v>
      </c>
      <c r="H8239" t="s">
        <v>22454</v>
      </c>
      <c r="I8239" t="s">
        <v>7738</v>
      </c>
      <c r="J8239" t="s">
        <v>23978</v>
      </c>
      <c r="K8239" t="s">
        <v>29338</v>
      </c>
      <c r="M8239" t="s">
        <v>30778</v>
      </c>
      <c r="N8239" t="s">
        <v>32524</v>
      </c>
      <c r="O8239" t="s">
        <v>32525</v>
      </c>
      <c r="P8239">
        <v>0</v>
      </c>
      <c r="Q8239">
        <v>0</v>
      </c>
      <c r="R8239" t="s">
        <v>32534</v>
      </c>
      <c r="S8239" t="s">
        <v>32739</v>
      </c>
      <c r="T8239" t="s">
        <v>33249</v>
      </c>
      <c r="U8239" t="s">
        <v>40484</v>
      </c>
      <c r="W8239" t="s">
        <v>30778</v>
      </c>
      <c r="X8239" t="s">
        <v>32535</v>
      </c>
    </row>
    <row r="8240" spans="1:24">
      <c r="A8240">
        <f>HYPERLINK("https://www.philgeps.gov.ph/GEPSNONPILOT/Tender/SplashBidNoticeAbstractUI.aspx?menuIndex=3&amp;refID=7031972&amp;Result=3","7031972")</f>
        <v>0</v>
      </c>
      <c r="B8240" t="s">
        <v>2380</v>
      </c>
      <c r="C8240" t="s">
        <v>10551</v>
      </c>
      <c r="D8240" t="s">
        <v>13041</v>
      </c>
      <c r="E8240" t="s">
        <v>20321</v>
      </c>
      <c r="F8240" t="s">
        <v>22436</v>
      </c>
      <c r="G8240" t="s">
        <v>22444</v>
      </c>
      <c r="H8240" t="s">
        <v>22452</v>
      </c>
      <c r="I8240" t="s">
        <v>22469</v>
      </c>
      <c r="J8240" t="s">
        <v>27874</v>
      </c>
      <c r="K8240" t="s">
        <v>29333</v>
      </c>
      <c r="M8240" t="s">
        <v>32170</v>
      </c>
      <c r="N8240" t="s">
        <v>32524</v>
      </c>
      <c r="O8240" t="s">
        <v>32525</v>
      </c>
      <c r="P8240">
        <v>0</v>
      </c>
      <c r="Q8240">
        <v>10</v>
      </c>
      <c r="R8240" t="s">
        <v>32535</v>
      </c>
      <c r="S8240" t="s">
        <v>32777</v>
      </c>
      <c r="T8240" t="s">
        <v>33259</v>
      </c>
      <c r="U8240" t="s">
        <v>40485</v>
      </c>
      <c r="W8240" t="s">
        <v>32170</v>
      </c>
      <c r="X8240" t="s">
        <v>32536</v>
      </c>
    </row>
    <row r="8241" spans="1:24">
      <c r="A8241">
        <f>HYPERLINK("https://www.philgeps.gov.ph/GEPSNONPILOT/Tender/SplashBidNoticeAbstractUI.aspx?menuIndex=3&amp;refID=7032723&amp;Result=3","7032723")</f>
        <v>0</v>
      </c>
      <c r="B8241" t="s">
        <v>1885</v>
      </c>
      <c r="C8241" t="s">
        <v>10552</v>
      </c>
      <c r="D8241" t="s">
        <v>13044</v>
      </c>
      <c r="E8241" t="s">
        <v>20322</v>
      </c>
      <c r="F8241" t="s">
        <v>22436</v>
      </c>
      <c r="G8241" t="s">
        <v>22444</v>
      </c>
      <c r="H8241" t="s">
        <v>22452</v>
      </c>
      <c r="I8241" t="s">
        <v>5194</v>
      </c>
      <c r="J8241" t="s">
        <v>27875</v>
      </c>
      <c r="K8241" t="s">
        <v>29335</v>
      </c>
      <c r="M8241" t="s">
        <v>31604</v>
      </c>
      <c r="N8241" t="s">
        <v>32524</v>
      </c>
      <c r="O8241" t="s">
        <v>32525</v>
      </c>
      <c r="P8241">
        <v>0</v>
      </c>
      <c r="Q8241">
        <v>2</v>
      </c>
      <c r="R8241" t="s">
        <v>32534</v>
      </c>
      <c r="S8241" t="s">
        <v>32739</v>
      </c>
      <c r="T8241" t="s">
        <v>33213</v>
      </c>
      <c r="U8241" t="s">
        <v>40486</v>
      </c>
      <c r="W8241" t="s">
        <v>31604</v>
      </c>
      <c r="X8241" t="s">
        <v>32535</v>
      </c>
    </row>
    <row r="8242" spans="1:24">
      <c r="A8242">
        <f>HYPERLINK("https://www.philgeps.gov.ph/GEPSNONPILOT/Tender/SplashBidNoticeAbstractUI.aspx?menuIndex=3&amp;refID=7032650&amp;Result=3","7032650")</f>
        <v>0</v>
      </c>
      <c r="B8242" t="s">
        <v>819</v>
      </c>
      <c r="C8242" t="s">
        <v>10553</v>
      </c>
      <c r="D8242" t="s">
        <v>13040</v>
      </c>
      <c r="E8242" t="s">
        <v>20323</v>
      </c>
      <c r="F8242" t="s">
        <v>22436</v>
      </c>
      <c r="G8242" t="s">
        <v>22444</v>
      </c>
      <c r="H8242" t="s">
        <v>22454</v>
      </c>
      <c r="I8242" t="s">
        <v>7738</v>
      </c>
      <c r="J8242" t="s">
        <v>23713</v>
      </c>
      <c r="K8242" t="s">
        <v>29338</v>
      </c>
      <c r="M8242" t="s">
        <v>30778</v>
      </c>
      <c r="N8242" t="s">
        <v>32524</v>
      </c>
      <c r="O8242" t="s">
        <v>32525</v>
      </c>
      <c r="P8242">
        <v>0</v>
      </c>
      <c r="Q8242">
        <v>0</v>
      </c>
      <c r="R8242" t="s">
        <v>32534</v>
      </c>
      <c r="S8242" t="s">
        <v>32739</v>
      </c>
      <c r="T8242" t="s">
        <v>33249</v>
      </c>
      <c r="U8242" t="s">
        <v>40487</v>
      </c>
      <c r="W8242" t="s">
        <v>30778</v>
      </c>
      <c r="X8242" t="s">
        <v>32535</v>
      </c>
    </row>
    <row r="8243" spans="1:24">
      <c r="A8243">
        <f>HYPERLINK("https://www.philgeps.gov.ph/GEPSNONPILOT/Tender/SplashBidNoticeAbstractUI.aspx?menuIndex=3&amp;refID=7029407&amp;Result=3","7029407")</f>
        <v>0</v>
      </c>
      <c r="B8243" t="s">
        <v>2381</v>
      </c>
      <c r="C8243" t="s">
        <v>10554</v>
      </c>
      <c r="D8243" t="s">
        <v>13083</v>
      </c>
      <c r="E8243" t="s">
        <v>20324</v>
      </c>
      <c r="F8243" t="s">
        <v>22436</v>
      </c>
      <c r="G8243" t="s">
        <v>22444</v>
      </c>
      <c r="H8243" t="s">
        <v>22452</v>
      </c>
      <c r="I8243" t="s">
        <v>22539</v>
      </c>
      <c r="J8243" t="s">
        <v>27876</v>
      </c>
      <c r="K8243" t="s">
        <v>29371</v>
      </c>
      <c r="M8243" t="s">
        <v>32171</v>
      </c>
      <c r="N8243" t="s">
        <v>32524</v>
      </c>
      <c r="O8243" t="s">
        <v>32525</v>
      </c>
      <c r="Q8243">
        <v>3</v>
      </c>
      <c r="R8243" t="s">
        <v>32535</v>
      </c>
      <c r="S8243" t="s">
        <v>32778</v>
      </c>
      <c r="T8243" t="s">
        <v>33550</v>
      </c>
      <c r="U8243" t="s">
        <v>40488</v>
      </c>
      <c r="V8243" t="s">
        <v>43252</v>
      </c>
      <c r="W8243" t="s">
        <v>32171</v>
      </c>
      <c r="X8243" t="s">
        <v>32538</v>
      </c>
    </row>
    <row r="8244" spans="1:24">
      <c r="A8244">
        <f>HYPERLINK("https://www.philgeps.gov.ph/GEPSNONPILOT/Tender/SplashBidNoticeAbstractUI.aspx?menuIndex=3&amp;refID=7031582&amp;Result=3","7031582")</f>
        <v>0</v>
      </c>
      <c r="B8244" t="s">
        <v>943</v>
      </c>
      <c r="C8244" t="s">
        <v>10555</v>
      </c>
      <c r="D8244" t="s">
        <v>13032</v>
      </c>
      <c r="E8244" t="s">
        <v>20325</v>
      </c>
      <c r="F8244" t="s">
        <v>22436</v>
      </c>
      <c r="G8244" t="s">
        <v>22444</v>
      </c>
      <c r="H8244" t="s">
        <v>22452</v>
      </c>
      <c r="I8244" t="s">
        <v>6421</v>
      </c>
      <c r="J8244" t="s">
        <v>27877</v>
      </c>
      <c r="K8244" t="s">
        <v>29335</v>
      </c>
      <c r="M8244" t="s">
        <v>30799</v>
      </c>
      <c r="N8244" t="s">
        <v>32524</v>
      </c>
      <c r="O8244" t="s">
        <v>32525</v>
      </c>
      <c r="Q8244">
        <v>2</v>
      </c>
      <c r="R8244" t="s">
        <v>32535</v>
      </c>
      <c r="S8244" t="s">
        <v>32779</v>
      </c>
      <c r="T8244" t="s">
        <v>33249</v>
      </c>
      <c r="U8244" t="s">
        <v>40489</v>
      </c>
      <c r="V8244" t="s">
        <v>43341</v>
      </c>
      <c r="W8244" t="s">
        <v>30799</v>
      </c>
      <c r="X8244" t="s">
        <v>32537</v>
      </c>
    </row>
    <row r="8245" spans="1:24">
      <c r="A8245">
        <f>HYPERLINK("https://www.philgeps.gov.ph/GEPSNONPILOT/Tender/SplashBidNoticeAbstractUI.aspx?menuIndex=3&amp;refID=7028878&amp;Result=3","7028878")</f>
        <v>0</v>
      </c>
      <c r="B8245" t="s">
        <v>2382</v>
      </c>
      <c r="C8245" t="s">
        <v>10556</v>
      </c>
      <c r="D8245" t="s">
        <v>13022</v>
      </c>
      <c r="E8245" t="s">
        <v>13529</v>
      </c>
      <c r="F8245" t="s">
        <v>22437</v>
      </c>
      <c r="G8245" t="s">
        <v>22444</v>
      </c>
      <c r="H8245" t="s">
        <v>22452</v>
      </c>
      <c r="I8245" t="s">
        <v>22465</v>
      </c>
      <c r="J8245" t="s">
        <v>27878</v>
      </c>
      <c r="K8245" t="s">
        <v>29341</v>
      </c>
      <c r="M8245" t="s">
        <v>32172</v>
      </c>
      <c r="N8245" t="s">
        <v>32524</v>
      </c>
      <c r="O8245" t="s">
        <v>32525</v>
      </c>
      <c r="P8245">
        <v>0</v>
      </c>
      <c r="Q8245">
        <v>0</v>
      </c>
      <c r="R8245" t="s">
        <v>32535</v>
      </c>
      <c r="S8245" t="s">
        <v>32777</v>
      </c>
      <c r="T8245" t="s">
        <v>33230</v>
      </c>
      <c r="U8245" t="s">
        <v>40490</v>
      </c>
      <c r="W8245" t="s">
        <v>32172</v>
      </c>
      <c r="X8245" t="s">
        <v>32538</v>
      </c>
    </row>
    <row r="8246" spans="1:24">
      <c r="A8246">
        <f>HYPERLINK("https://www.philgeps.gov.ph/GEPSNONPILOT/Tender/SplashBidNoticeAbstractUI.aspx?menuIndex=3&amp;refID=7026183&amp;Result=3","7026183")</f>
        <v>0</v>
      </c>
      <c r="B8246" t="s">
        <v>1175</v>
      </c>
      <c r="C8246" t="s">
        <v>10557</v>
      </c>
      <c r="D8246" t="s">
        <v>13050</v>
      </c>
      <c r="E8246" t="s">
        <v>20326</v>
      </c>
      <c r="F8246" t="s">
        <v>22436</v>
      </c>
      <c r="G8246" t="s">
        <v>22444</v>
      </c>
      <c r="H8246" t="s">
        <v>22454</v>
      </c>
      <c r="I8246" t="s">
        <v>7738</v>
      </c>
      <c r="J8246" t="s">
        <v>27879</v>
      </c>
      <c r="K8246" t="s">
        <v>29334</v>
      </c>
      <c r="M8246" t="s">
        <v>30821</v>
      </c>
      <c r="N8246" t="s">
        <v>32524</v>
      </c>
      <c r="O8246" t="s">
        <v>32525</v>
      </c>
      <c r="P8246">
        <v>0</v>
      </c>
      <c r="Q8246">
        <v>2</v>
      </c>
      <c r="R8246" t="s">
        <v>32535</v>
      </c>
      <c r="S8246" t="s">
        <v>32777</v>
      </c>
      <c r="T8246" t="s">
        <v>33488</v>
      </c>
      <c r="U8246" t="s">
        <v>40491</v>
      </c>
      <c r="W8246" t="s">
        <v>30821</v>
      </c>
      <c r="X8246" t="s">
        <v>32539</v>
      </c>
    </row>
    <row r="8247" spans="1:24">
      <c r="A8247">
        <f>HYPERLINK("https://www.philgeps.gov.ph/GEPSNONPILOT/Tender/SplashBidNoticeAbstractUI.aspx?menuIndex=3&amp;refID=7032764&amp;Result=3","7032764")</f>
        <v>0</v>
      </c>
      <c r="B8247" t="s">
        <v>1480</v>
      </c>
      <c r="C8247" t="s">
        <v>10558</v>
      </c>
      <c r="E8247" t="s">
        <v>20327</v>
      </c>
      <c r="F8247" t="s">
        <v>22436</v>
      </c>
      <c r="G8247" t="s">
        <v>22444</v>
      </c>
      <c r="H8247" t="s">
        <v>22454</v>
      </c>
      <c r="I8247" t="s">
        <v>22455</v>
      </c>
      <c r="J8247" t="s">
        <v>22877</v>
      </c>
      <c r="K8247" t="s">
        <v>29338</v>
      </c>
      <c r="M8247" t="s">
        <v>31150</v>
      </c>
      <c r="N8247" t="s">
        <v>32524</v>
      </c>
      <c r="O8247" t="s">
        <v>32525</v>
      </c>
      <c r="P8247">
        <v>0</v>
      </c>
      <c r="Q8247">
        <v>6</v>
      </c>
      <c r="R8247" t="s">
        <v>32534</v>
      </c>
      <c r="S8247" t="s">
        <v>32739</v>
      </c>
      <c r="T8247" t="s">
        <v>33168</v>
      </c>
      <c r="U8247" t="s">
        <v>40492</v>
      </c>
      <c r="V8247" t="s">
        <v>42461</v>
      </c>
      <c r="W8247" t="s">
        <v>31150</v>
      </c>
      <c r="X8247" t="s">
        <v>32535</v>
      </c>
    </row>
    <row r="8248" spans="1:24">
      <c r="A8248">
        <f>HYPERLINK("https://www.philgeps.gov.ph/GEPSNONPILOT/Tender/SplashBidNoticeAbstractUI.aspx?menuIndex=3&amp;refID=7029921&amp;Result=3","7029921")</f>
        <v>0</v>
      </c>
      <c r="B8248" t="s">
        <v>64</v>
      </c>
      <c r="C8248" t="s">
        <v>10559</v>
      </c>
      <c r="D8248" t="s">
        <v>13010</v>
      </c>
      <c r="E8248" t="s">
        <v>20328</v>
      </c>
      <c r="F8248" t="s">
        <v>22436</v>
      </c>
      <c r="G8248" t="s">
        <v>22444</v>
      </c>
      <c r="H8248" t="s">
        <v>22452</v>
      </c>
      <c r="I8248" t="s">
        <v>3381</v>
      </c>
      <c r="J8248" t="s">
        <v>23350</v>
      </c>
      <c r="K8248" t="s">
        <v>29344</v>
      </c>
      <c r="M8248" t="s">
        <v>32169</v>
      </c>
      <c r="N8248" t="s">
        <v>32524</v>
      </c>
      <c r="O8248" t="s">
        <v>32525</v>
      </c>
      <c r="P8248">
        <v>0</v>
      </c>
      <c r="Q8248">
        <v>11</v>
      </c>
      <c r="R8248" t="s">
        <v>32535</v>
      </c>
      <c r="S8248" t="s">
        <v>32777</v>
      </c>
      <c r="T8248" t="s">
        <v>33455</v>
      </c>
      <c r="U8248" t="s">
        <v>40493</v>
      </c>
      <c r="W8248" t="s">
        <v>32169</v>
      </c>
      <c r="X8248" t="s">
        <v>32537</v>
      </c>
    </row>
    <row r="8249" spans="1:24">
      <c r="A8249">
        <f>HYPERLINK("https://www.philgeps.gov.ph/GEPSNONPILOT/Tender/SplashBidNoticeAbstractUI.aspx?menuIndex=3&amp;refID=7032754&amp;Result=3","7032754")</f>
        <v>0</v>
      </c>
      <c r="B8249" t="s">
        <v>1817</v>
      </c>
      <c r="C8249" t="s">
        <v>10560</v>
      </c>
      <c r="D8249" t="s">
        <v>13001</v>
      </c>
      <c r="E8249" t="s">
        <v>20329</v>
      </c>
      <c r="F8249" t="s">
        <v>22436</v>
      </c>
      <c r="G8249" t="s">
        <v>22444</v>
      </c>
      <c r="H8249" t="s">
        <v>22452</v>
      </c>
      <c r="I8249" t="s">
        <v>22474</v>
      </c>
      <c r="J8249" t="s">
        <v>27880</v>
      </c>
      <c r="K8249" t="s">
        <v>29341</v>
      </c>
      <c r="M8249" t="s">
        <v>32173</v>
      </c>
      <c r="N8249" t="s">
        <v>32524</v>
      </c>
      <c r="O8249" t="s">
        <v>32525</v>
      </c>
      <c r="Q8249">
        <v>5</v>
      </c>
      <c r="R8249" t="s">
        <v>32534</v>
      </c>
      <c r="S8249" t="s">
        <v>32780</v>
      </c>
      <c r="T8249" t="s">
        <v>33191</v>
      </c>
      <c r="U8249" t="s">
        <v>40494</v>
      </c>
      <c r="W8249" t="s">
        <v>32173</v>
      </c>
      <c r="X8249" t="s">
        <v>32535</v>
      </c>
    </row>
    <row r="8250" spans="1:24">
      <c r="A8250">
        <f>HYPERLINK("https://www.philgeps.gov.ph/GEPSNONPILOT/Tender/SplashBidNoticeAbstractUI.aspx?menuIndex=3&amp;refID=7030021&amp;Result=3","7030021")</f>
        <v>0</v>
      </c>
      <c r="B8250" t="s">
        <v>64</v>
      </c>
      <c r="C8250" t="s">
        <v>10561</v>
      </c>
      <c r="D8250" t="s">
        <v>13016</v>
      </c>
      <c r="E8250" t="s">
        <v>20330</v>
      </c>
      <c r="F8250" t="s">
        <v>22436</v>
      </c>
      <c r="G8250" t="s">
        <v>22444</v>
      </c>
      <c r="H8250" t="s">
        <v>22452</v>
      </c>
      <c r="I8250" t="s">
        <v>3381</v>
      </c>
      <c r="J8250" t="s">
        <v>27881</v>
      </c>
      <c r="K8250" t="s">
        <v>29334</v>
      </c>
      <c r="M8250" t="s">
        <v>32169</v>
      </c>
      <c r="N8250" t="s">
        <v>32524</v>
      </c>
      <c r="O8250" t="s">
        <v>32525</v>
      </c>
      <c r="P8250">
        <v>0</v>
      </c>
      <c r="Q8250">
        <v>4</v>
      </c>
      <c r="R8250" t="s">
        <v>32535</v>
      </c>
      <c r="S8250" t="s">
        <v>32777</v>
      </c>
      <c r="T8250" t="s">
        <v>33455</v>
      </c>
      <c r="U8250" t="s">
        <v>40495</v>
      </c>
      <c r="W8250" t="s">
        <v>32169</v>
      </c>
      <c r="X8250" t="s">
        <v>32537</v>
      </c>
    </row>
    <row r="8251" spans="1:24">
      <c r="A8251">
        <f>HYPERLINK("https://www.philgeps.gov.ph/GEPSNONPILOT/Tender/SplashBidNoticeAbstractUI.aspx?menuIndex=3&amp;refID=6946275&amp;Result=3","6946275")</f>
        <v>0</v>
      </c>
      <c r="B8251" t="s">
        <v>2383</v>
      </c>
      <c r="C8251" t="s">
        <v>10562</v>
      </c>
      <c r="D8251" t="s">
        <v>12999</v>
      </c>
      <c r="E8251" t="s">
        <v>19795</v>
      </c>
      <c r="F8251" t="s">
        <v>22436</v>
      </c>
      <c r="G8251" t="s">
        <v>22444</v>
      </c>
      <c r="H8251" t="s">
        <v>22452</v>
      </c>
      <c r="I8251" t="s">
        <v>3529</v>
      </c>
      <c r="J8251" t="s">
        <v>27882</v>
      </c>
      <c r="K8251" t="s">
        <v>29335</v>
      </c>
      <c r="M8251" t="s">
        <v>32174</v>
      </c>
      <c r="N8251" t="s">
        <v>32524</v>
      </c>
      <c r="O8251" t="s">
        <v>32525</v>
      </c>
      <c r="P8251">
        <v>0</v>
      </c>
      <c r="Q8251">
        <v>1</v>
      </c>
      <c r="R8251" t="s">
        <v>32535</v>
      </c>
      <c r="S8251" t="s">
        <v>32777</v>
      </c>
      <c r="T8251" t="s">
        <v>33332</v>
      </c>
      <c r="U8251" t="s">
        <v>40496</v>
      </c>
      <c r="W8251" t="s">
        <v>32174</v>
      </c>
      <c r="X8251" t="s">
        <v>43797</v>
      </c>
    </row>
    <row r="8252" spans="1:24">
      <c r="A8252">
        <f>HYPERLINK("https://www.philgeps.gov.ph/GEPSNONPILOT/Tender/SplashBidNoticeAbstractUI.aspx?menuIndex=3&amp;refID=7032745&amp;Result=3","7032745")</f>
        <v>0</v>
      </c>
      <c r="B8252" t="s">
        <v>1192</v>
      </c>
      <c r="C8252" t="s">
        <v>10563</v>
      </c>
      <c r="D8252" t="s">
        <v>13007</v>
      </c>
      <c r="E8252" t="s">
        <v>20331</v>
      </c>
      <c r="F8252" t="s">
        <v>22436</v>
      </c>
      <c r="G8252" t="s">
        <v>22444</v>
      </c>
      <c r="H8252" t="s">
        <v>22454</v>
      </c>
      <c r="I8252" t="s">
        <v>7738</v>
      </c>
      <c r="J8252" t="s">
        <v>22669</v>
      </c>
      <c r="K8252" t="s">
        <v>29333</v>
      </c>
      <c r="M8252" t="s">
        <v>30839</v>
      </c>
      <c r="N8252" t="s">
        <v>32524</v>
      </c>
      <c r="O8252" t="s">
        <v>32525</v>
      </c>
      <c r="P8252">
        <v>0</v>
      </c>
      <c r="Q8252">
        <v>10</v>
      </c>
      <c r="R8252" t="s">
        <v>32534</v>
      </c>
      <c r="S8252" t="s">
        <v>32739</v>
      </c>
      <c r="T8252" t="s">
        <v>33227</v>
      </c>
      <c r="U8252" t="s">
        <v>40497</v>
      </c>
      <c r="W8252" t="s">
        <v>43758</v>
      </c>
      <c r="X8252" t="s">
        <v>32535</v>
      </c>
    </row>
    <row r="8253" spans="1:24">
      <c r="A8253">
        <f>HYPERLINK("https://www.philgeps.gov.ph/GEPSNONPILOT/Tender/SplashBidNoticeAbstractUI.aspx?menuIndex=3&amp;refID=7032095&amp;Result=3","7032095")</f>
        <v>0</v>
      </c>
      <c r="B8253" t="s">
        <v>2384</v>
      </c>
      <c r="C8253" t="s">
        <v>10564</v>
      </c>
      <c r="D8253" t="s">
        <v>12988</v>
      </c>
      <c r="E8253" t="s">
        <v>20332</v>
      </c>
      <c r="F8253" t="s">
        <v>22436</v>
      </c>
      <c r="G8253" t="s">
        <v>22444</v>
      </c>
      <c r="H8253" t="s">
        <v>22452</v>
      </c>
      <c r="I8253" t="s">
        <v>3827</v>
      </c>
      <c r="J8253" t="s">
        <v>23132</v>
      </c>
      <c r="K8253" t="s">
        <v>29336</v>
      </c>
      <c r="M8253" t="s">
        <v>32175</v>
      </c>
      <c r="N8253" t="s">
        <v>32524</v>
      </c>
      <c r="O8253" t="s">
        <v>32525</v>
      </c>
      <c r="P8253">
        <v>0</v>
      </c>
      <c r="Q8253">
        <v>4</v>
      </c>
      <c r="R8253" t="s">
        <v>32535</v>
      </c>
      <c r="S8253" t="s">
        <v>32777</v>
      </c>
      <c r="T8253" t="s">
        <v>33453</v>
      </c>
      <c r="U8253" t="s">
        <v>40498</v>
      </c>
      <c r="W8253" t="s">
        <v>32175</v>
      </c>
      <c r="X8253" t="s">
        <v>32536</v>
      </c>
    </row>
    <row r="8254" spans="1:24">
      <c r="A8254">
        <f>HYPERLINK("https://www.philgeps.gov.ph/GEPSNONPILOT/Tender/SplashBidNoticeAbstractUI.aspx?menuIndex=3&amp;refID=7032763&amp;Result=3","7032763")</f>
        <v>0</v>
      </c>
      <c r="B8254" t="s">
        <v>1480</v>
      </c>
      <c r="C8254" t="s">
        <v>10565</v>
      </c>
      <c r="E8254" t="s">
        <v>20333</v>
      </c>
      <c r="F8254" t="s">
        <v>22436</v>
      </c>
      <c r="G8254" t="s">
        <v>22444</v>
      </c>
      <c r="H8254" t="s">
        <v>22454</v>
      </c>
      <c r="I8254" t="s">
        <v>7738</v>
      </c>
      <c r="J8254" t="s">
        <v>27883</v>
      </c>
      <c r="K8254" t="s">
        <v>29338</v>
      </c>
      <c r="M8254" t="s">
        <v>31150</v>
      </c>
      <c r="N8254" t="s">
        <v>32524</v>
      </c>
      <c r="O8254" t="s">
        <v>32525</v>
      </c>
      <c r="P8254">
        <v>0</v>
      </c>
      <c r="Q8254">
        <v>9</v>
      </c>
      <c r="R8254" t="s">
        <v>32534</v>
      </c>
      <c r="S8254" t="s">
        <v>32739</v>
      </c>
      <c r="T8254" t="s">
        <v>33168</v>
      </c>
      <c r="U8254" t="s">
        <v>40499</v>
      </c>
      <c r="V8254" t="s">
        <v>42461</v>
      </c>
      <c r="W8254" t="s">
        <v>31150</v>
      </c>
      <c r="X8254" t="s">
        <v>32535</v>
      </c>
    </row>
    <row r="8255" spans="1:24">
      <c r="A8255">
        <f>HYPERLINK("https://www.philgeps.gov.ph/GEPSNONPILOT/Tender/SplashBidNoticeAbstractUI.aspx?menuIndex=3&amp;refID=7030602&amp;Result=3","7030602")</f>
        <v>0</v>
      </c>
      <c r="B8255" t="s">
        <v>2067</v>
      </c>
      <c r="C8255" t="s">
        <v>10566</v>
      </c>
      <c r="D8255" t="s">
        <v>12994</v>
      </c>
      <c r="E8255" t="s">
        <v>20334</v>
      </c>
      <c r="F8255" t="s">
        <v>22436</v>
      </c>
      <c r="G8255" t="s">
        <v>22444</v>
      </c>
      <c r="H8255" t="s">
        <v>22454</v>
      </c>
      <c r="I8255" t="s">
        <v>7738</v>
      </c>
      <c r="J8255" t="s">
        <v>27884</v>
      </c>
      <c r="K8255" t="s">
        <v>29344</v>
      </c>
      <c r="M8255" t="s">
        <v>31810</v>
      </c>
      <c r="N8255" t="s">
        <v>32524</v>
      </c>
      <c r="O8255" t="s">
        <v>32525</v>
      </c>
      <c r="P8255">
        <v>0</v>
      </c>
      <c r="Q8255">
        <v>67</v>
      </c>
      <c r="R8255" t="s">
        <v>32535</v>
      </c>
      <c r="S8255" t="s">
        <v>32777</v>
      </c>
      <c r="T8255" t="s">
        <v>33259</v>
      </c>
      <c r="U8255" t="s">
        <v>40500</v>
      </c>
      <c r="W8255" t="s">
        <v>31810</v>
      </c>
      <c r="X8255" t="s">
        <v>32537</v>
      </c>
    </row>
    <row r="8256" spans="1:24">
      <c r="A8256">
        <f>HYPERLINK("https://www.philgeps.gov.ph/GEPSNONPILOT/Tender/SplashBidNoticeAbstractUI.aspx?menuIndex=3&amp;refID=7032756&amp;Result=3","7032756")</f>
        <v>0</v>
      </c>
      <c r="B8256" t="s">
        <v>1817</v>
      </c>
      <c r="C8256" t="s">
        <v>10567</v>
      </c>
      <c r="D8256" t="s">
        <v>13001</v>
      </c>
      <c r="E8256" t="s">
        <v>20335</v>
      </c>
      <c r="F8256" t="s">
        <v>22436</v>
      </c>
      <c r="G8256" t="s">
        <v>22444</v>
      </c>
      <c r="H8256" t="s">
        <v>22452</v>
      </c>
      <c r="I8256" t="s">
        <v>22474</v>
      </c>
      <c r="J8256" t="s">
        <v>27885</v>
      </c>
      <c r="K8256" t="s">
        <v>29335</v>
      </c>
      <c r="M8256" t="s">
        <v>32173</v>
      </c>
      <c r="N8256" t="s">
        <v>32524</v>
      </c>
      <c r="O8256" t="s">
        <v>32525</v>
      </c>
      <c r="Q8256">
        <v>3</v>
      </c>
      <c r="R8256" t="s">
        <v>32534</v>
      </c>
      <c r="S8256" t="s">
        <v>32781</v>
      </c>
      <c r="T8256" t="s">
        <v>33191</v>
      </c>
      <c r="U8256" t="s">
        <v>40501</v>
      </c>
      <c r="W8256" t="s">
        <v>32173</v>
      </c>
      <c r="X8256" t="s">
        <v>32535</v>
      </c>
    </row>
    <row r="8257" spans="1:24">
      <c r="A8257">
        <f>HYPERLINK("https://www.philgeps.gov.ph/GEPSNONPILOT/Tender/SplashBidNoticeAbstractUI.aspx?menuIndex=3&amp;refID=7031990&amp;Result=3","7031990")</f>
        <v>0</v>
      </c>
      <c r="B8257" t="s">
        <v>2385</v>
      </c>
      <c r="C8257" t="s">
        <v>10568</v>
      </c>
      <c r="D8257" t="s">
        <v>13007</v>
      </c>
      <c r="E8257" t="s">
        <v>20336</v>
      </c>
      <c r="F8257" t="s">
        <v>22436</v>
      </c>
      <c r="G8257" t="s">
        <v>22444</v>
      </c>
      <c r="H8257" t="s">
        <v>22452</v>
      </c>
      <c r="I8257" t="s">
        <v>3529</v>
      </c>
      <c r="J8257" t="s">
        <v>27886</v>
      </c>
      <c r="K8257" t="s">
        <v>29357</v>
      </c>
      <c r="M8257" t="s">
        <v>32176</v>
      </c>
      <c r="N8257" t="s">
        <v>32524</v>
      </c>
      <c r="O8257" t="s">
        <v>32525</v>
      </c>
      <c r="P8257">
        <v>0</v>
      </c>
      <c r="Q8257">
        <v>0</v>
      </c>
      <c r="R8257" t="s">
        <v>32535</v>
      </c>
      <c r="S8257" t="s">
        <v>32777</v>
      </c>
      <c r="T8257" t="s">
        <v>33259</v>
      </c>
      <c r="U8257" t="s">
        <v>40502</v>
      </c>
      <c r="W8257" t="s">
        <v>32176</v>
      </c>
      <c r="X8257" t="s">
        <v>32536</v>
      </c>
    </row>
    <row r="8258" spans="1:24">
      <c r="A8258">
        <f>HYPERLINK("https://www.philgeps.gov.ph/GEPSNONPILOT/Tender/SplashBidNoticeAbstractUI.aspx?menuIndex=3&amp;refID=7032737&amp;Result=3","7032737")</f>
        <v>0</v>
      </c>
      <c r="B8258" t="s">
        <v>1883</v>
      </c>
      <c r="C8258" t="s">
        <v>10569</v>
      </c>
      <c r="E8258" t="s">
        <v>20337</v>
      </c>
      <c r="F8258" t="s">
        <v>22436</v>
      </c>
      <c r="G8258" t="s">
        <v>22444</v>
      </c>
      <c r="H8258" t="s">
        <v>22454</v>
      </c>
      <c r="I8258" t="s">
        <v>7738</v>
      </c>
      <c r="J8258" t="s">
        <v>27887</v>
      </c>
      <c r="K8258" t="s">
        <v>29335</v>
      </c>
      <c r="M8258" t="s">
        <v>32177</v>
      </c>
      <c r="N8258" t="s">
        <v>32524</v>
      </c>
      <c r="O8258" t="s">
        <v>32525</v>
      </c>
      <c r="P8258">
        <v>0</v>
      </c>
      <c r="Q8258">
        <v>0</v>
      </c>
      <c r="R8258" t="s">
        <v>32534</v>
      </c>
      <c r="S8258" t="s">
        <v>32739</v>
      </c>
      <c r="T8258" t="s">
        <v>33242</v>
      </c>
      <c r="U8258" t="s">
        <v>40503</v>
      </c>
      <c r="W8258" t="s">
        <v>32177</v>
      </c>
      <c r="X8258" t="s">
        <v>32535</v>
      </c>
    </row>
    <row r="8259" spans="1:24">
      <c r="A8259">
        <f>HYPERLINK("https://www.philgeps.gov.ph/GEPSNONPILOT/Tender/SplashBidNoticeAbstractUI.aspx?menuIndex=3&amp;refID=7032163&amp;Result=3","7032163")</f>
        <v>0</v>
      </c>
      <c r="B8259" t="s">
        <v>2386</v>
      </c>
      <c r="C8259" t="s">
        <v>10570</v>
      </c>
      <c r="E8259" t="s">
        <v>20338</v>
      </c>
      <c r="F8259" t="s">
        <v>22436</v>
      </c>
      <c r="G8259" t="s">
        <v>22444</v>
      </c>
      <c r="H8259" t="s">
        <v>22454</v>
      </c>
      <c r="I8259" t="s">
        <v>7738</v>
      </c>
      <c r="J8259" t="s">
        <v>27888</v>
      </c>
      <c r="K8259" t="s">
        <v>29338</v>
      </c>
      <c r="M8259" t="s">
        <v>32178</v>
      </c>
      <c r="N8259" t="s">
        <v>32524</v>
      </c>
      <c r="O8259" t="s">
        <v>32525</v>
      </c>
      <c r="P8259">
        <v>0</v>
      </c>
      <c r="Q8259">
        <v>0</v>
      </c>
      <c r="R8259" t="s">
        <v>32535</v>
      </c>
      <c r="S8259" t="s">
        <v>32777</v>
      </c>
      <c r="T8259" t="s">
        <v>33191</v>
      </c>
      <c r="U8259" t="s">
        <v>40504</v>
      </c>
      <c r="W8259" t="s">
        <v>32178</v>
      </c>
      <c r="X8259" t="s">
        <v>32536</v>
      </c>
    </row>
    <row r="8260" spans="1:24">
      <c r="A8260">
        <f>HYPERLINK("https://www.philgeps.gov.ph/GEPSNONPILOT/Tender/SplashBidNoticeAbstractUI.aspx?menuIndex=3&amp;refID=7032194&amp;Result=3","7032194")</f>
        <v>0</v>
      </c>
      <c r="B8260" t="s">
        <v>2387</v>
      </c>
      <c r="C8260" t="s">
        <v>10571</v>
      </c>
      <c r="D8260" t="s">
        <v>13006</v>
      </c>
      <c r="E8260" t="s">
        <v>20339</v>
      </c>
      <c r="F8260" t="s">
        <v>22436</v>
      </c>
      <c r="G8260" t="s">
        <v>22444</v>
      </c>
      <c r="H8260" t="s">
        <v>22454</v>
      </c>
      <c r="I8260" t="s">
        <v>7738</v>
      </c>
      <c r="J8260" t="s">
        <v>24234</v>
      </c>
      <c r="K8260" t="s">
        <v>29362</v>
      </c>
      <c r="M8260" t="s">
        <v>32179</v>
      </c>
      <c r="N8260" t="s">
        <v>32524</v>
      </c>
      <c r="O8260" t="s">
        <v>32525</v>
      </c>
      <c r="P8260">
        <v>0</v>
      </c>
      <c r="Q8260">
        <v>0</v>
      </c>
      <c r="R8260" t="s">
        <v>32535</v>
      </c>
      <c r="S8260" t="s">
        <v>32777</v>
      </c>
      <c r="T8260" t="s">
        <v>33171</v>
      </c>
      <c r="U8260" t="s">
        <v>40505</v>
      </c>
      <c r="W8260" t="s">
        <v>32179</v>
      </c>
      <c r="X8260" t="s">
        <v>32536</v>
      </c>
    </row>
    <row r="8261" spans="1:24">
      <c r="A8261">
        <f>HYPERLINK("https://www.philgeps.gov.ph/GEPSNONPILOT/Tender/SplashBidNoticeAbstractUI.aspx?menuIndex=3&amp;refID=7032096&amp;Result=3","7032096")</f>
        <v>0</v>
      </c>
      <c r="B8261" t="s">
        <v>2384</v>
      </c>
      <c r="C8261" t="s">
        <v>10572</v>
      </c>
      <c r="D8261" t="s">
        <v>12988</v>
      </c>
      <c r="E8261" t="s">
        <v>20340</v>
      </c>
      <c r="F8261" t="s">
        <v>22436</v>
      </c>
      <c r="G8261" t="s">
        <v>22444</v>
      </c>
      <c r="H8261" t="s">
        <v>22452</v>
      </c>
      <c r="I8261" t="s">
        <v>2981</v>
      </c>
      <c r="J8261" t="s">
        <v>27889</v>
      </c>
      <c r="K8261" t="s">
        <v>29336</v>
      </c>
      <c r="M8261" t="s">
        <v>32175</v>
      </c>
      <c r="N8261" t="s">
        <v>32524</v>
      </c>
      <c r="O8261" t="s">
        <v>32525</v>
      </c>
      <c r="P8261">
        <v>0</v>
      </c>
      <c r="Q8261">
        <v>0</v>
      </c>
      <c r="R8261" t="s">
        <v>32535</v>
      </c>
      <c r="S8261" t="s">
        <v>32777</v>
      </c>
      <c r="T8261" t="s">
        <v>33327</v>
      </c>
      <c r="U8261" t="s">
        <v>40498</v>
      </c>
      <c r="W8261" t="s">
        <v>32175</v>
      </c>
      <c r="X8261" t="s">
        <v>32536</v>
      </c>
    </row>
    <row r="8262" spans="1:24">
      <c r="A8262">
        <f>HYPERLINK("https://www.philgeps.gov.ph/GEPSNONPILOT/Tender/SplashBidNoticeAbstractUI.aspx?menuIndex=3&amp;refID=7032742&amp;Result=3","7032742")</f>
        <v>0</v>
      </c>
      <c r="B8262" t="s">
        <v>1352</v>
      </c>
      <c r="C8262" t="s">
        <v>10573</v>
      </c>
      <c r="E8262" t="s">
        <v>20341</v>
      </c>
      <c r="F8262" t="s">
        <v>22436</v>
      </c>
      <c r="G8262" t="s">
        <v>22444</v>
      </c>
      <c r="H8262" t="s">
        <v>22452</v>
      </c>
      <c r="I8262" t="s">
        <v>22560</v>
      </c>
      <c r="J8262" t="s">
        <v>27890</v>
      </c>
      <c r="K8262" t="s">
        <v>29333</v>
      </c>
      <c r="M8262" t="s">
        <v>31008</v>
      </c>
      <c r="N8262" t="s">
        <v>32524</v>
      </c>
      <c r="O8262" t="s">
        <v>32525</v>
      </c>
      <c r="Q8262">
        <v>4</v>
      </c>
      <c r="R8262" t="s">
        <v>32534</v>
      </c>
      <c r="S8262" t="s">
        <v>32782</v>
      </c>
      <c r="T8262" t="s">
        <v>33157</v>
      </c>
      <c r="U8262" t="s">
        <v>40506</v>
      </c>
      <c r="W8262" t="s">
        <v>31008</v>
      </c>
      <c r="X8262" t="s">
        <v>32535</v>
      </c>
    </row>
    <row r="8263" spans="1:24">
      <c r="A8263">
        <f>HYPERLINK("https://www.philgeps.gov.ph/GEPSNONPILOT/Tender/SplashBidNoticeAbstractUI.aspx?menuIndex=3&amp;refID=7032108&amp;Result=3","7032108")</f>
        <v>0</v>
      </c>
      <c r="B8263" t="s">
        <v>2388</v>
      </c>
      <c r="C8263" t="s">
        <v>10574</v>
      </c>
      <c r="D8263" t="s">
        <v>13001</v>
      </c>
      <c r="E8263" t="s">
        <v>20342</v>
      </c>
      <c r="F8263" t="s">
        <v>22436</v>
      </c>
      <c r="G8263" t="s">
        <v>22444</v>
      </c>
      <c r="H8263" t="s">
        <v>22454</v>
      </c>
      <c r="I8263" t="s">
        <v>7738</v>
      </c>
      <c r="J8263" t="s">
        <v>22634</v>
      </c>
      <c r="K8263" t="s">
        <v>29413</v>
      </c>
      <c r="M8263" t="s">
        <v>32180</v>
      </c>
      <c r="N8263" t="s">
        <v>32524</v>
      </c>
      <c r="O8263" t="s">
        <v>32525</v>
      </c>
      <c r="P8263">
        <v>0</v>
      </c>
      <c r="Q8263">
        <v>46</v>
      </c>
      <c r="R8263" t="s">
        <v>32535</v>
      </c>
      <c r="S8263" t="s">
        <v>32777</v>
      </c>
      <c r="T8263" t="s">
        <v>33249</v>
      </c>
      <c r="U8263" t="s">
        <v>40507</v>
      </c>
      <c r="W8263" t="s">
        <v>32180</v>
      </c>
      <c r="X8263" t="s">
        <v>32536</v>
      </c>
    </row>
    <row r="8264" spans="1:24">
      <c r="A8264">
        <f>HYPERLINK("https://www.philgeps.gov.ph/GEPSNONPILOT/Tender/SplashBidNoticeAbstractUI.aspx?menuIndex=3&amp;refID=7032240&amp;Result=3","7032240")</f>
        <v>0</v>
      </c>
      <c r="B8264" t="s">
        <v>2389</v>
      </c>
      <c r="C8264" t="s">
        <v>10575</v>
      </c>
      <c r="D8264" t="s">
        <v>13008</v>
      </c>
      <c r="E8264" t="s">
        <v>20343</v>
      </c>
      <c r="F8264" t="s">
        <v>22436</v>
      </c>
      <c r="G8264" t="s">
        <v>22444</v>
      </c>
      <c r="H8264" t="s">
        <v>22452</v>
      </c>
      <c r="I8264" t="s">
        <v>6387</v>
      </c>
      <c r="J8264" t="s">
        <v>27891</v>
      </c>
      <c r="K8264" t="s">
        <v>29335</v>
      </c>
      <c r="M8264" t="s">
        <v>32181</v>
      </c>
      <c r="N8264" t="s">
        <v>32524</v>
      </c>
      <c r="O8264" t="s">
        <v>32525</v>
      </c>
      <c r="P8264">
        <v>0</v>
      </c>
      <c r="Q8264">
        <v>0</v>
      </c>
      <c r="R8264" t="s">
        <v>32535</v>
      </c>
      <c r="S8264" t="s">
        <v>32777</v>
      </c>
      <c r="T8264" t="s">
        <v>33227</v>
      </c>
      <c r="U8264" t="s">
        <v>40508</v>
      </c>
      <c r="W8264" t="s">
        <v>32181</v>
      </c>
      <c r="X8264" t="s">
        <v>32536</v>
      </c>
    </row>
    <row r="8265" spans="1:24">
      <c r="A8265">
        <f>HYPERLINK("https://www.philgeps.gov.ph/GEPSNONPILOT/Tender/SplashBidNoticeAbstractUI.aspx?menuIndex=3&amp;refID=7032093&amp;Result=3","7032093")</f>
        <v>0</v>
      </c>
      <c r="B8265" t="s">
        <v>2384</v>
      </c>
      <c r="C8265" t="s">
        <v>10576</v>
      </c>
      <c r="D8265" t="s">
        <v>12988</v>
      </c>
      <c r="E8265" t="s">
        <v>20344</v>
      </c>
      <c r="F8265" t="s">
        <v>22436</v>
      </c>
      <c r="G8265" t="s">
        <v>22444</v>
      </c>
      <c r="H8265" t="s">
        <v>22452</v>
      </c>
      <c r="I8265" t="s">
        <v>2981</v>
      </c>
      <c r="J8265" t="s">
        <v>22758</v>
      </c>
      <c r="K8265" t="s">
        <v>29336</v>
      </c>
      <c r="M8265" t="s">
        <v>32175</v>
      </c>
      <c r="N8265" t="s">
        <v>32524</v>
      </c>
      <c r="O8265" t="s">
        <v>32525</v>
      </c>
      <c r="P8265">
        <v>0</v>
      </c>
      <c r="Q8265">
        <v>0</v>
      </c>
      <c r="R8265" t="s">
        <v>32535</v>
      </c>
      <c r="S8265" t="s">
        <v>32777</v>
      </c>
      <c r="T8265" t="s">
        <v>33310</v>
      </c>
      <c r="U8265" t="s">
        <v>40498</v>
      </c>
      <c r="W8265" t="s">
        <v>32175</v>
      </c>
      <c r="X8265" t="s">
        <v>32536</v>
      </c>
    </row>
    <row r="8266" spans="1:24">
      <c r="A8266">
        <f>HYPERLINK("https://www.philgeps.gov.ph/GEPSNONPILOT/Tender/SplashBidNoticeAbstractUI.aspx?menuIndex=3&amp;refID=7032038&amp;Result=3","7032038")</f>
        <v>0</v>
      </c>
      <c r="B8266" t="s">
        <v>2390</v>
      </c>
      <c r="C8266" t="s">
        <v>10577</v>
      </c>
      <c r="D8266" t="s">
        <v>13020</v>
      </c>
      <c r="E8266" t="s">
        <v>20345</v>
      </c>
      <c r="F8266" t="s">
        <v>22436</v>
      </c>
      <c r="G8266" t="s">
        <v>22444</v>
      </c>
      <c r="H8266" t="s">
        <v>22454</v>
      </c>
      <c r="I8266" t="s">
        <v>7738</v>
      </c>
      <c r="J8266" t="s">
        <v>22616</v>
      </c>
      <c r="K8266" t="s">
        <v>29333</v>
      </c>
      <c r="M8266" t="s">
        <v>32182</v>
      </c>
      <c r="N8266" t="s">
        <v>32524</v>
      </c>
      <c r="O8266" t="s">
        <v>32525</v>
      </c>
      <c r="P8266">
        <v>0</v>
      </c>
      <c r="Q8266">
        <v>2</v>
      </c>
      <c r="R8266" t="s">
        <v>32535</v>
      </c>
      <c r="S8266" t="s">
        <v>32777</v>
      </c>
      <c r="T8266" t="s">
        <v>33309</v>
      </c>
      <c r="U8266" t="s">
        <v>40509</v>
      </c>
      <c r="W8266" t="s">
        <v>32182</v>
      </c>
      <c r="X8266" t="s">
        <v>32536</v>
      </c>
    </row>
    <row r="8267" spans="1:24">
      <c r="A8267">
        <f>HYPERLINK("https://www.philgeps.gov.ph/GEPSNONPILOT/Tender/SplashBidNoticeAbstractUI.aspx?menuIndex=3&amp;refID=7032190&amp;Result=3","7032190")</f>
        <v>0</v>
      </c>
      <c r="B8267" t="s">
        <v>2387</v>
      </c>
      <c r="C8267" t="s">
        <v>10571</v>
      </c>
      <c r="D8267" t="s">
        <v>13006</v>
      </c>
      <c r="E8267" t="s">
        <v>20346</v>
      </c>
      <c r="F8267" t="s">
        <v>22436</v>
      </c>
      <c r="G8267" t="s">
        <v>22444</v>
      </c>
      <c r="H8267" t="s">
        <v>22454</v>
      </c>
      <c r="I8267" t="s">
        <v>7738</v>
      </c>
      <c r="J8267" t="s">
        <v>25785</v>
      </c>
      <c r="K8267" t="s">
        <v>29334</v>
      </c>
      <c r="M8267" t="s">
        <v>32179</v>
      </c>
      <c r="N8267" t="s">
        <v>32524</v>
      </c>
      <c r="O8267" t="s">
        <v>32525</v>
      </c>
      <c r="P8267">
        <v>0</v>
      </c>
      <c r="Q8267">
        <v>0</v>
      </c>
      <c r="R8267" t="s">
        <v>32535</v>
      </c>
      <c r="S8267" t="s">
        <v>32777</v>
      </c>
      <c r="T8267" t="s">
        <v>33171</v>
      </c>
      <c r="U8267" t="s">
        <v>40510</v>
      </c>
      <c r="W8267" t="s">
        <v>32179</v>
      </c>
      <c r="X8267" t="s">
        <v>32536</v>
      </c>
    </row>
    <row r="8268" spans="1:24">
      <c r="A8268">
        <f>HYPERLINK("https://www.philgeps.gov.ph/GEPSNONPILOT/Tender/SplashBidNoticeAbstractUI.aspx?menuIndex=3&amp;refID=7032031&amp;Result=3","7032031")</f>
        <v>0</v>
      </c>
      <c r="B8268" t="s">
        <v>2390</v>
      </c>
      <c r="C8268" t="s">
        <v>10578</v>
      </c>
      <c r="D8268" t="s">
        <v>13020</v>
      </c>
      <c r="E8268" t="s">
        <v>20347</v>
      </c>
      <c r="F8268" t="s">
        <v>22436</v>
      </c>
      <c r="G8268" t="s">
        <v>22444</v>
      </c>
      <c r="H8268" t="s">
        <v>22454</v>
      </c>
      <c r="I8268" t="s">
        <v>7738</v>
      </c>
      <c r="J8268" t="s">
        <v>22640</v>
      </c>
      <c r="K8268" t="s">
        <v>29329</v>
      </c>
      <c r="M8268" t="s">
        <v>32182</v>
      </c>
      <c r="N8268" t="s">
        <v>32524</v>
      </c>
      <c r="O8268" t="s">
        <v>32525</v>
      </c>
      <c r="P8268">
        <v>0</v>
      </c>
      <c r="Q8268">
        <v>3</v>
      </c>
      <c r="R8268" t="s">
        <v>32535</v>
      </c>
      <c r="S8268" t="s">
        <v>32777</v>
      </c>
      <c r="T8268" t="s">
        <v>33218</v>
      </c>
      <c r="U8268" t="s">
        <v>40511</v>
      </c>
      <c r="W8268" t="s">
        <v>32182</v>
      </c>
      <c r="X8268" t="s">
        <v>32536</v>
      </c>
    </row>
    <row r="8269" spans="1:24">
      <c r="A8269">
        <f>HYPERLINK("https://www.philgeps.gov.ph/GEPSNONPILOT/Tender/SplashBidNoticeAbstractUI.aspx?menuIndex=3&amp;refID=7031992&amp;Result=3","7031992")</f>
        <v>0</v>
      </c>
      <c r="B8269" t="s">
        <v>2385</v>
      </c>
      <c r="C8269" t="s">
        <v>10579</v>
      </c>
      <c r="D8269" t="s">
        <v>13007</v>
      </c>
      <c r="E8269" t="s">
        <v>20348</v>
      </c>
      <c r="F8269" t="s">
        <v>22436</v>
      </c>
      <c r="G8269" t="s">
        <v>22444</v>
      </c>
      <c r="H8269" t="s">
        <v>22452</v>
      </c>
      <c r="I8269" t="s">
        <v>3529</v>
      </c>
      <c r="J8269" t="s">
        <v>23315</v>
      </c>
      <c r="K8269" t="s">
        <v>29357</v>
      </c>
      <c r="M8269" t="s">
        <v>32176</v>
      </c>
      <c r="N8269" t="s">
        <v>32524</v>
      </c>
      <c r="O8269" t="s">
        <v>32525</v>
      </c>
      <c r="P8269">
        <v>0</v>
      </c>
      <c r="Q8269">
        <v>0</v>
      </c>
      <c r="R8269" t="s">
        <v>32535</v>
      </c>
      <c r="S8269" t="s">
        <v>32777</v>
      </c>
      <c r="T8269" t="s">
        <v>33259</v>
      </c>
      <c r="U8269" t="s">
        <v>40512</v>
      </c>
      <c r="W8269" t="s">
        <v>32176</v>
      </c>
      <c r="X8269" t="s">
        <v>32536</v>
      </c>
    </row>
    <row r="8270" spans="1:24">
      <c r="A8270">
        <f>HYPERLINK("https://www.philgeps.gov.ph/GEPSNONPILOT/Tender/SplashBidNoticeAbstractUI.aspx?menuIndex=3&amp;refID=7031996&amp;Result=3","7031996")</f>
        <v>0</v>
      </c>
      <c r="B8270" t="s">
        <v>1161</v>
      </c>
      <c r="C8270" t="s">
        <v>10580</v>
      </c>
      <c r="D8270" t="s">
        <v>12998</v>
      </c>
      <c r="E8270" t="s">
        <v>20349</v>
      </c>
      <c r="F8270" t="s">
        <v>22436</v>
      </c>
      <c r="G8270" t="s">
        <v>22444</v>
      </c>
      <c r="H8270" t="s">
        <v>22454</v>
      </c>
      <c r="I8270" t="s">
        <v>7738</v>
      </c>
      <c r="J8270" t="s">
        <v>27892</v>
      </c>
      <c r="K8270" t="s">
        <v>29338</v>
      </c>
      <c r="M8270" t="s">
        <v>30807</v>
      </c>
      <c r="N8270" t="s">
        <v>32524</v>
      </c>
      <c r="O8270" t="s">
        <v>32525</v>
      </c>
      <c r="Q8270">
        <v>23</v>
      </c>
      <c r="R8270" t="s">
        <v>32535</v>
      </c>
      <c r="S8270" t="s">
        <v>32783</v>
      </c>
      <c r="T8270" t="s">
        <v>33181</v>
      </c>
      <c r="U8270" t="s">
        <v>36416</v>
      </c>
      <c r="W8270" t="s">
        <v>30807</v>
      </c>
      <c r="X8270" t="s">
        <v>32536</v>
      </c>
    </row>
    <row r="8271" spans="1:24">
      <c r="A8271">
        <f>HYPERLINK("https://www.philgeps.gov.ph/GEPSNONPILOT/Tender/SplashBidNoticeAbstractUI.aspx?menuIndex=3&amp;refID=7032027&amp;Result=3","7032027")</f>
        <v>0</v>
      </c>
      <c r="B8271" t="s">
        <v>2360</v>
      </c>
      <c r="C8271" t="s">
        <v>10581</v>
      </c>
      <c r="D8271" t="s">
        <v>13000</v>
      </c>
      <c r="E8271" t="s">
        <v>20350</v>
      </c>
      <c r="F8271" t="s">
        <v>22436</v>
      </c>
      <c r="G8271" t="s">
        <v>22444</v>
      </c>
      <c r="H8271" t="s">
        <v>22452</v>
      </c>
      <c r="I8271" t="s">
        <v>22474</v>
      </c>
      <c r="J8271" t="s">
        <v>27893</v>
      </c>
      <c r="K8271" t="s">
        <v>29342</v>
      </c>
      <c r="M8271" t="s">
        <v>32144</v>
      </c>
      <c r="N8271" t="s">
        <v>32524</v>
      </c>
      <c r="O8271" t="s">
        <v>32525</v>
      </c>
      <c r="P8271">
        <v>0</v>
      </c>
      <c r="Q8271">
        <v>0</v>
      </c>
      <c r="R8271" t="s">
        <v>32535</v>
      </c>
      <c r="S8271" t="s">
        <v>32777</v>
      </c>
      <c r="T8271" t="s">
        <v>33230</v>
      </c>
      <c r="U8271" t="s">
        <v>40513</v>
      </c>
      <c r="V8271" t="s">
        <v>43329</v>
      </c>
      <c r="W8271" t="s">
        <v>32144</v>
      </c>
      <c r="X8271" t="s">
        <v>32536</v>
      </c>
    </row>
    <row r="8272" spans="1:24">
      <c r="A8272">
        <f>HYPERLINK("https://www.philgeps.gov.ph/GEPSNONPILOT/Tender/SplashBidNoticeAbstractUI.aspx?menuIndex=3&amp;refID=7032045&amp;Result=3","7032045")</f>
        <v>0</v>
      </c>
      <c r="B8272" t="s">
        <v>2388</v>
      </c>
      <c r="C8272" t="s">
        <v>10582</v>
      </c>
      <c r="D8272" t="s">
        <v>13001</v>
      </c>
      <c r="E8272" t="s">
        <v>20351</v>
      </c>
      <c r="F8272" t="s">
        <v>22436</v>
      </c>
      <c r="G8272" t="s">
        <v>22444</v>
      </c>
      <c r="H8272" t="s">
        <v>22452</v>
      </c>
      <c r="I8272" t="s">
        <v>22465</v>
      </c>
      <c r="J8272" t="s">
        <v>27894</v>
      </c>
      <c r="K8272" t="s">
        <v>29331</v>
      </c>
      <c r="M8272" t="s">
        <v>32180</v>
      </c>
      <c r="N8272" t="s">
        <v>32524</v>
      </c>
      <c r="O8272" t="s">
        <v>32525</v>
      </c>
      <c r="Q8272">
        <v>12</v>
      </c>
      <c r="R8272" t="s">
        <v>32535</v>
      </c>
      <c r="S8272" t="s">
        <v>32784</v>
      </c>
      <c r="T8272" t="s">
        <v>33249</v>
      </c>
      <c r="U8272" t="s">
        <v>40514</v>
      </c>
      <c r="W8272" t="s">
        <v>32180</v>
      </c>
      <c r="X8272" t="s">
        <v>32536</v>
      </c>
    </row>
    <row r="8273" spans="1:24">
      <c r="A8273">
        <f>HYPERLINK("https://www.philgeps.gov.ph/GEPSNONPILOT/Tender/SplashBidNoticeAbstractUI.aspx?menuIndex=3&amp;refID=7032056&amp;Result=3","7032056")</f>
        <v>0</v>
      </c>
      <c r="B8273" t="s">
        <v>2388</v>
      </c>
      <c r="C8273" t="s">
        <v>10583</v>
      </c>
      <c r="D8273" t="s">
        <v>13001</v>
      </c>
      <c r="E8273" t="s">
        <v>20352</v>
      </c>
      <c r="F8273" t="s">
        <v>22436</v>
      </c>
      <c r="G8273" t="s">
        <v>22444</v>
      </c>
      <c r="H8273" t="s">
        <v>22454</v>
      </c>
      <c r="I8273" t="s">
        <v>7738</v>
      </c>
      <c r="J8273" t="s">
        <v>22779</v>
      </c>
      <c r="K8273" t="s">
        <v>29378</v>
      </c>
      <c r="M8273" t="s">
        <v>32180</v>
      </c>
      <c r="N8273" t="s">
        <v>32524</v>
      </c>
      <c r="O8273" t="s">
        <v>32525</v>
      </c>
      <c r="P8273">
        <v>0</v>
      </c>
      <c r="Q8273">
        <v>45</v>
      </c>
      <c r="R8273" t="s">
        <v>32535</v>
      </c>
      <c r="S8273" t="s">
        <v>32777</v>
      </c>
      <c r="T8273" t="s">
        <v>33249</v>
      </c>
      <c r="U8273" t="s">
        <v>40515</v>
      </c>
      <c r="W8273" t="s">
        <v>32180</v>
      </c>
      <c r="X8273" t="s">
        <v>32536</v>
      </c>
    </row>
    <row r="8274" spans="1:24">
      <c r="A8274">
        <f>HYPERLINK("https://www.philgeps.gov.ph/GEPSNONPILOT/Tender/SplashBidNoticeAbstractUI.aspx?menuIndex=3&amp;refID=7028222&amp;Result=3","7028222")</f>
        <v>0</v>
      </c>
      <c r="B8274" t="s">
        <v>146</v>
      </c>
      <c r="C8274" t="s">
        <v>10584</v>
      </c>
      <c r="D8274" t="s">
        <v>13042</v>
      </c>
      <c r="E8274" t="s">
        <v>20353</v>
      </c>
      <c r="F8274" t="s">
        <v>22436</v>
      </c>
      <c r="G8274" t="s">
        <v>22444</v>
      </c>
      <c r="H8274" t="s">
        <v>22454</v>
      </c>
      <c r="I8274" t="s">
        <v>7738</v>
      </c>
      <c r="J8274" t="s">
        <v>27895</v>
      </c>
      <c r="K8274" t="s">
        <v>29343</v>
      </c>
      <c r="M8274" t="s">
        <v>32183</v>
      </c>
      <c r="N8274" t="s">
        <v>32524</v>
      </c>
      <c r="O8274" t="s">
        <v>32525</v>
      </c>
      <c r="P8274">
        <v>0</v>
      </c>
      <c r="Q8274">
        <v>0</v>
      </c>
      <c r="R8274" t="s">
        <v>32536</v>
      </c>
      <c r="S8274" t="s">
        <v>32785</v>
      </c>
      <c r="T8274" t="s">
        <v>33571</v>
      </c>
      <c r="U8274" t="s">
        <v>40516</v>
      </c>
      <c r="W8274" t="s">
        <v>32183</v>
      </c>
      <c r="X8274" t="s">
        <v>32538</v>
      </c>
    </row>
    <row r="8275" spans="1:24">
      <c r="A8275">
        <f>HYPERLINK("https://www.philgeps.gov.ph/GEPSNONPILOT/Tender/SplashBidNoticeAbstractUI.aspx?menuIndex=3&amp;refID=7028487&amp;Result=3","7028487")</f>
        <v>0</v>
      </c>
      <c r="B8275" t="s">
        <v>1448</v>
      </c>
      <c r="C8275" t="s">
        <v>10585</v>
      </c>
      <c r="D8275" t="s">
        <v>12988</v>
      </c>
      <c r="E8275" t="s">
        <v>20354</v>
      </c>
      <c r="F8275" t="s">
        <v>22436</v>
      </c>
      <c r="G8275" t="s">
        <v>22444</v>
      </c>
      <c r="H8275" t="s">
        <v>22454</v>
      </c>
      <c r="I8275" t="s">
        <v>7738</v>
      </c>
      <c r="J8275" t="s">
        <v>27896</v>
      </c>
      <c r="K8275" t="s">
        <v>29513</v>
      </c>
      <c r="M8275" t="s">
        <v>31512</v>
      </c>
      <c r="N8275" t="s">
        <v>32524</v>
      </c>
      <c r="O8275" t="s">
        <v>32525</v>
      </c>
      <c r="P8275">
        <v>0</v>
      </c>
      <c r="Q8275">
        <v>3</v>
      </c>
      <c r="R8275" t="s">
        <v>32536</v>
      </c>
      <c r="S8275" t="s">
        <v>32785</v>
      </c>
      <c r="T8275" t="s">
        <v>33324</v>
      </c>
      <c r="U8275" t="s">
        <v>40517</v>
      </c>
      <c r="V8275" t="s">
        <v>43342</v>
      </c>
      <c r="W8275" t="s">
        <v>31512</v>
      </c>
      <c r="X8275" t="s">
        <v>32538</v>
      </c>
    </row>
    <row r="8276" spans="1:24">
      <c r="A8276">
        <f>HYPERLINK("https://www.philgeps.gov.ph/GEPSNONPILOT/Tender/SplashBidNoticeAbstractUI.aspx?menuIndex=3&amp;refID=7031995&amp;Result=3","7031995")</f>
        <v>0</v>
      </c>
      <c r="B8276" t="s">
        <v>2385</v>
      </c>
      <c r="C8276" t="s">
        <v>10586</v>
      </c>
      <c r="D8276" t="s">
        <v>13007</v>
      </c>
      <c r="E8276" t="s">
        <v>20355</v>
      </c>
      <c r="F8276" t="s">
        <v>22436</v>
      </c>
      <c r="G8276" t="s">
        <v>22444</v>
      </c>
      <c r="H8276" t="s">
        <v>22452</v>
      </c>
      <c r="I8276" t="s">
        <v>2993</v>
      </c>
      <c r="J8276" t="s">
        <v>27897</v>
      </c>
      <c r="K8276" t="s">
        <v>29357</v>
      </c>
      <c r="M8276" t="s">
        <v>32176</v>
      </c>
      <c r="N8276" t="s">
        <v>32524</v>
      </c>
      <c r="O8276" t="s">
        <v>32525</v>
      </c>
      <c r="P8276">
        <v>0</v>
      </c>
      <c r="Q8276">
        <v>0</v>
      </c>
      <c r="R8276" t="s">
        <v>32535</v>
      </c>
      <c r="S8276" t="s">
        <v>32777</v>
      </c>
      <c r="T8276" t="s">
        <v>33259</v>
      </c>
      <c r="U8276" t="s">
        <v>40518</v>
      </c>
      <c r="W8276" t="s">
        <v>32176</v>
      </c>
      <c r="X8276" t="s">
        <v>32536</v>
      </c>
    </row>
    <row r="8277" spans="1:24">
      <c r="A8277">
        <f>HYPERLINK("https://www.philgeps.gov.ph/GEPSNONPILOT/Tender/SplashBidNoticeAbstractUI.aspx?menuIndex=3&amp;refID=7028326&amp;Result=3","7028326")</f>
        <v>0</v>
      </c>
      <c r="B8277" t="s">
        <v>146</v>
      </c>
      <c r="C8277" t="s">
        <v>10587</v>
      </c>
      <c r="D8277" t="s">
        <v>13042</v>
      </c>
      <c r="E8277" t="s">
        <v>20356</v>
      </c>
      <c r="F8277" t="s">
        <v>22436</v>
      </c>
      <c r="G8277" t="s">
        <v>22444</v>
      </c>
      <c r="H8277" t="s">
        <v>22454</v>
      </c>
      <c r="I8277" t="s">
        <v>7738</v>
      </c>
      <c r="J8277" t="s">
        <v>27898</v>
      </c>
      <c r="K8277" t="s">
        <v>29342</v>
      </c>
      <c r="M8277" t="s">
        <v>32183</v>
      </c>
      <c r="N8277" t="s">
        <v>32524</v>
      </c>
      <c r="O8277" t="s">
        <v>32525</v>
      </c>
      <c r="P8277">
        <v>0</v>
      </c>
      <c r="Q8277">
        <v>0</v>
      </c>
      <c r="R8277" t="s">
        <v>32536</v>
      </c>
      <c r="S8277" t="s">
        <v>32785</v>
      </c>
      <c r="T8277" t="s">
        <v>33571</v>
      </c>
      <c r="U8277" t="s">
        <v>40519</v>
      </c>
      <c r="W8277" t="s">
        <v>32183</v>
      </c>
      <c r="X8277" t="s">
        <v>32538</v>
      </c>
    </row>
    <row r="8278" spans="1:24">
      <c r="A8278">
        <f>HYPERLINK("https://www.philgeps.gov.ph/GEPSNONPILOT/Tender/SplashBidNoticeAbstractUI.aspx?menuIndex=3&amp;refID=7028454&amp;Result=3","7028454")</f>
        <v>0</v>
      </c>
      <c r="B8278" t="s">
        <v>146</v>
      </c>
      <c r="C8278" t="s">
        <v>10588</v>
      </c>
      <c r="D8278" t="s">
        <v>13042</v>
      </c>
      <c r="E8278" t="s">
        <v>20357</v>
      </c>
      <c r="F8278" t="s">
        <v>22436</v>
      </c>
      <c r="G8278" t="s">
        <v>22444</v>
      </c>
      <c r="H8278" t="s">
        <v>22454</v>
      </c>
      <c r="I8278" t="s">
        <v>7738</v>
      </c>
      <c r="J8278" t="s">
        <v>27899</v>
      </c>
      <c r="K8278" t="s">
        <v>29350</v>
      </c>
      <c r="M8278" t="s">
        <v>32183</v>
      </c>
      <c r="N8278" t="s">
        <v>32524</v>
      </c>
      <c r="O8278" t="s">
        <v>32525</v>
      </c>
      <c r="P8278">
        <v>0</v>
      </c>
      <c r="Q8278">
        <v>0</v>
      </c>
      <c r="R8278" t="s">
        <v>32536</v>
      </c>
      <c r="S8278" t="s">
        <v>32785</v>
      </c>
      <c r="T8278" t="s">
        <v>33571</v>
      </c>
      <c r="U8278" t="s">
        <v>40520</v>
      </c>
      <c r="W8278" t="s">
        <v>32183</v>
      </c>
      <c r="X8278" t="s">
        <v>32538</v>
      </c>
    </row>
    <row r="8279" spans="1:24">
      <c r="A8279">
        <f>HYPERLINK("https://www.philgeps.gov.ph/GEPSNONPILOT/Tender/SplashBidNoticeAbstractUI.aspx?menuIndex=3&amp;refID=7027696&amp;Result=3","7027696")</f>
        <v>0</v>
      </c>
      <c r="B8279" t="s">
        <v>1197</v>
      </c>
      <c r="C8279" t="s">
        <v>10589</v>
      </c>
      <c r="D8279" t="s">
        <v>13021</v>
      </c>
      <c r="E8279" t="s">
        <v>20358</v>
      </c>
      <c r="F8279" t="s">
        <v>22436</v>
      </c>
      <c r="G8279" t="s">
        <v>22444</v>
      </c>
      <c r="H8279" t="s">
        <v>22452</v>
      </c>
      <c r="I8279" t="s">
        <v>22467</v>
      </c>
      <c r="J8279" t="s">
        <v>27900</v>
      </c>
      <c r="K8279" t="s">
        <v>29335</v>
      </c>
      <c r="M8279" t="s">
        <v>30845</v>
      </c>
      <c r="N8279" t="s">
        <v>32524</v>
      </c>
      <c r="O8279" t="s">
        <v>32525</v>
      </c>
      <c r="P8279">
        <v>0</v>
      </c>
      <c r="Q8279">
        <v>0</v>
      </c>
      <c r="R8279" t="s">
        <v>32536</v>
      </c>
      <c r="S8279" t="s">
        <v>32785</v>
      </c>
      <c r="T8279" t="s">
        <v>33249</v>
      </c>
      <c r="U8279" t="s">
        <v>40521</v>
      </c>
      <c r="V8279" t="s">
        <v>43343</v>
      </c>
      <c r="W8279" t="s">
        <v>30845</v>
      </c>
      <c r="X8279" t="s">
        <v>32538</v>
      </c>
    </row>
    <row r="8280" spans="1:24">
      <c r="A8280">
        <f>HYPERLINK("https://www.philgeps.gov.ph/GEPSNONPILOT/Tender/SplashBidNoticeAbstractUI.aspx?menuIndex=3&amp;refID=7032090&amp;Result=3","7032090")</f>
        <v>0</v>
      </c>
      <c r="B8280" t="s">
        <v>2388</v>
      </c>
      <c r="C8280" t="s">
        <v>10590</v>
      </c>
      <c r="D8280" t="s">
        <v>13001</v>
      </c>
      <c r="E8280" t="s">
        <v>20359</v>
      </c>
      <c r="F8280" t="s">
        <v>22436</v>
      </c>
      <c r="G8280" t="s">
        <v>22444</v>
      </c>
      <c r="H8280" t="s">
        <v>22452</v>
      </c>
      <c r="I8280" t="s">
        <v>22474</v>
      </c>
      <c r="J8280" t="s">
        <v>27901</v>
      </c>
      <c r="K8280" t="s">
        <v>29335</v>
      </c>
      <c r="M8280" t="s">
        <v>32180</v>
      </c>
      <c r="N8280" t="s">
        <v>32524</v>
      </c>
      <c r="O8280" t="s">
        <v>32525</v>
      </c>
      <c r="P8280">
        <v>0</v>
      </c>
      <c r="Q8280">
        <v>6</v>
      </c>
      <c r="R8280" t="s">
        <v>32535</v>
      </c>
      <c r="S8280" t="s">
        <v>32777</v>
      </c>
      <c r="T8280" t="s">
        <v>33249</v>
      </c>
      <c r="U8280" t="s">
        <v>40522</v>
      </c>
      <c r="W8280" t="s">
        <v>32180</v>
      </c>
      <c r="X8280" t="s">
        <v>32536</v>
      </c>
    </row>
    <row r="8281" spans="1:24">
      <c r="A8281">
        <f>HYPERLINK("https://www.philgeps.gov.ph/GEPSNONPILOT/Tender/SplashBidNoticeAbstractUI.aspx?menuIndex=3&amp;refID=7028119&amp;Result=3","7028119")</f>
        <v>0</v>
      </c>
      <c r="B8281" t="s">
        <v>146</v>
      </c>
      <c r="C8281" t="s">
        <v>10591</v>
      </c>
      <c r="D8281" t="s">
        <v>13042</v>
      </c>
      <c r="E8281" t="s">
        <v>20360</v>
      </c>
      <c r="F8281" t="s">
        <v>22436</v>
      </c>
      <c r="G8281" t="s">
        <v>22444</v>
      </c>
      <c r="H8281" t="s">
        <v>22454</v>
      </c>
      <c r="I8281" t="s">
        <v>7738</v>
      </c>
      <c r="J8281" t="s">
        <v>27902</v>
      </c>
      <c r="K8281" t="s">
        <v>29384</v>
      </c>
      <c r="M8281" t="s">
        <v>32183</v>
      </c>
      <c r="N8281" t="s">
        <v>32524</v>
      </c>
      <c r="O8281" t="s">
        <v>32525</v>
      </c>
      <c r="P8281">
        <v>0</v>
      </c>
      <c r="Q8281">
        <v>0</v>
      </c>
      <c r="R8281" t="s">
        <v>32536</v>
      </c>
      <c r="S8281" t="s">
        <v>32785</v>
      </c>
      <c r="T8281" t="s">
        <v>33571</v>
      </c>
      <c r="U8281" t="s">
        <v>40523</v>
      </c>
      <c r="W8281" t="s">
        <v>32183</v>
      </c>
      <c r="X8281" t="s">
        <v>32538</v>
      </c>
    </row>
    <row r="8282" spans="1:24">
      <c r="A8282">
        <f>HYPERLINK("https://www.philgeps.gov.ph/GEPSNONPILOT/Tender/SplashBidNoticeAbstractUI.aspx?menuIndex=3&amp;refID=7032197&amp;Result=3","7032197")</f>
        <v>0</v>
      </c>
      <c r="B8282" t="s">
        <v>2387</v>
      </c>
      <c r="C8282" t="s">
        <v>10592</v>
      </c>
      <c r="D8282" t="s">
        <v>13006</v>
      </c>
      <c r="E8282" t="s">
        <v>18981</v>
      </c>
      <c r="F8282" t="s">
        <v>22436</v>
      </c>
      <c r="G8282" t="s">
        <v>22444</v>
      </c>
      <c r="H8282" t="s">
        <v>22452</v>
      </c>
      <c r="I8282" t="s">
        <v>22474</v>
      </c>
      <c r="J8282" t="s">
        <v>27476</v>
      </c>
      <c r="K8282" t="s">
        <v>29338</v>
      </c>
      <c r="M8282" t="s">
        <v>32179</v>
      </c>
      <c r="N8282" t="s">
        <v>32524</v>
      </c>
      <c r="O8282" t="s">
        <v>32525</v>
      </c>
      <c r="P8282">
        <v>0</v>
      </c>
      <c r="Q8282">
        <v>2</v>
      </c>
      <c r="R8282" t="s">
        <v>32535</v>
      </c>
      <c r="S8282" t="s">
        <v>32777</v>
      </c>
      <c r="T8282" t="s">
        <v>33171</v>
      </c>
      <c r="U8282" t="s">
        <v>40524</v>
      </c>
      <c r="W8282" t="s">
        <v>32179</v>
      </c>
      <c r="X8282" t="s">
        <v>32536</v>
      </c>
    </row>
    <row r="8283" spans="1:24">
      <c r="A8283">
        <f>HYPERLINK("https://www.philgeps.gov.ph/GEPSNONPILOT/Tender/SplashBidNoticeAbstractUI.aspx?menuIndex=3&amp;refID=7026122&amp;Result=3","7026122")</f>
        <v>0</v>
      </c>
      <c r="B8283" t="s">
        <v>469</v>
      </c>
      <c r="C8283" t="s">
        <v>10593</v>
      </c>
      <c r="D8283" t="s">
        <v>13055</v>
      </c>
      <c r="E8283" t="s">
        <v>20361</v>
      </c>
      <c r="F8283" t="s">
        <v>22436</v>
      </c>
      <c r="G8283" t="s">
        <v>22444</v>
      </c>
      <c r="H8283" t="s">
        <v>22454</v>
      </c>
      <c r="I8283" t="s">
        <v>7738</v>
      </c>
      <c r="J8283" t="s">
        <v>27903</v>
      </c>
      <c r="K8283" t="s">
        <v>29329</v>
      </c>
      <c r="M8283" t="s">
        <v>30053</v>
      </c>
      <c r="N8283" t="s">
        <v>32524</v>
      </c>
      <c r="O8283" t="s">
        <v>32525</v>
      </c>
      <c r="P8283">
        <v>0</v>
      </c>
      <c r="Q8283">
        <v>0</v>
      </c>
      <c r="R8283" t="s">
        <v>32536</v>
      </c>
      <c r="S8283" t="s">
        <v>32785</v>
      </c>
      <c r="T8283" t="s">
        <v>33423</v>
      </c>
      <c r="U8283" t="s">
        <v>40525</v>
      </c>
      <c r="W8283" t="s">
        <v>30053</v>
      </c>
      <c r="X8283" t="s">
        <v>32539</v>
      </c>
    </row>
    <row r="8284" spans="1:24">
      <c r="A8284">
        <f>HYPERLINK("https://www.philgeps.gov.ph/GEPSNONPILOT/Tender/SplashBidNoticeAbstractUI.aspx?menuIndex=3&amp;refID=7026083&amp;Result=3","7026083")</f>
        <v>0</v>
      </c>
      <c r="B8284" t="s">
        <v>469</v>
      </c>
      <c r="C8284" t="s">
        <v>10593</v>
      </c>
      <c r="D8284" t="s">
        <v>13055</v>
      </c>
      <c r="E8284" t="s">
        <v>20362</v>
      </c>
      <c r="F8284" t="s">
        <v>22436</v>
      </c>
      <c r="G8284" t="s">
        <v>22444</v>
      </c>
      <c r="H8284" t="s">
        <v>22454</v>
      </c>
      <c r="I8284" t="s">
        <v>7738</v>
      </c>
      <c r="J8284" t="s">
        <v>27904</v>
      </c>
      <c r="K8284" t="s">
        <v>29362</v>
      </c>
      <c r="M8284" t="s">
        <v>30053</v>
      </c>
      <c r="N8284" t="s">
        <v>32524</v>
      </c>
      <c r="O8284" t="s">
        <v>32525</v>
      </c>
      <c r="P8284">
        <v>0</v>
      </c>
      <c r="Q8284">
        <v>0</v>
      </c>
      <c r="R8284" t="s">
        <v>32536</v>
      </c>
      <c r="S8284" t="s">
        <v>32785</v>
      </c>
      <c r="T8284" t="s">
        <v>33423</v>
      </c>
      <c r="U8284" t="s">
        <v>40526</v>
      </c>
      <c r="W8284" t="s">
        <v>30053</v>
      </c>
      <c r="X8284" t="s">
        <v>32539</v>
      </c>
    </row>
    <row r="8285" spans="1:24">
      <c r="A8285">
        <f>HYPERLINK("https://www.philgeps.gov.ph/GEPSNONPILOT/Tender/SplashBidNoticeAbstractUI.aspx?menuIndex=3&amp;refID=7032346&amp;Result=3","7032346")</f>
        <v>0</v>
      </c>
      <c r="B8285" t="s">
        <v>1075</v>
      </c>
      <c r="C8285" t="s">
        <v>10594</v>
      </c>
      <c r="D8285" t="s">
        <v>13022</v>
      </c>
      <c r="E8285" t="s">
        <v>20363</v>
      </c>
      <c r="F8285" t="s">
        <v>22436</v>
      </c>
      <c r="G8285" t="s">
        <v>22444</v>
      </c>
      <c r="H8285" t="s">
        <v>22452</v>
      </c>
      <c r="I8285" t="s">
        <v>22479</v>
      </c>
      <c r="J8285" t="s">
        <v>27905</v>
      </c>
      <c r="K8285" t="s">
        <v>29341</v>
      </c>
      <c r="M8285" t="s">
        <v>30710</v>
      </c>
      <c r="N8285" t="s">
        <v>32524</v>
      </c>
      <c r="O8285" t="s">
        <v>32525</v>
      </c>
      <c r="P8285">
        <v>0</v>
      </c>
      <c r="Q8285">
        <v>3</v>
      </c>
      <c r="R8285" t="s">
        <v>32535</v>
      </c>
      <c r="S8285" t="s">
        <v>32777</v>
      </c>
      <c r="T8285" t="s">
        <v>33340</v>
      </c>
      <c r="U8285" t="s">
        <v>40527</v>
      </c>
      <c r="V8285" t="s">
        <v>43344</v>
      </c>
      <c r="W8285" t="s">
        <v>30710</v>
      </c>
      <c r="X8285" t="s">
        <v>32536</v>
      </c>
    </row>
    <row r="8286" spans="1:24">
      <c r="A8286">
        <f>HYPERLINK("https://www.philgeps.gov.ph/GEPSNONPILOT/Tender/SplashBidNoticeAbstractUI.aspx?menuIndex=3&amp;refID=7027642&amp;Result=3","7027642")</f>
        <v>0</v>
      </c>
      <c r="B8286" t="s">
        <v>1197</v>
      </c>
      <c r="C8286" t="s">
        <v>10595</v>
      </c>
      <c r="D8286" t="s">
        <v>13021</v>
      </c>
      <c r="E8286" t="s">
        <v>20364</v>
      </c>
      <c r="F8286" t="s">
        <v>22436</v>
      </c>
      <c r="G8286" t="s">
        <v>22444</v>
      </c>
      <c r="H8286" t="s">
        <v>22452</v>
      </c>
      <c r="I8286" t="s">
        <v>3827</v>
      </c>
      <c r="J8286" t="s">
        <v>27906</v>
      </c>
      <c r="K8286" t="s">
        <v>29335</v>
      </c>
      <c r="M8286" t="s">
        <v>30845</v>
      </c>
      <c r="N8286" t="s">
        <v>32524</v>
      </c>
      <c r="O8286" t="s">
        <v>32525</v>
      </c>
      <c r="Q8286">
        <v>3</v>
      </c>
      <c r="R8286" t="s">
        <v>32536</v>
      </c>
      <c r="S8286" t="s">
        <v>32786</v>
      </c>
      <c r="T8286" t="s">
        <v>33249</v>
      </c>
      <c r="U8286" t="s">
        <v>40528</v>
      </c>
      <c r="V8286" t="s">
        <v>43345</v>
      </c>
      <c r="W8286" t="s">
        <v>30845</v>
      </c>
      <c r="X8286" t="s">
        <v>32538</v>
      </c>
    </row>
    <row r="8287" spans="1:24">
      <c r="A8287">
        <f>HYPERLINK("https://www.philgeps.gov.ph/GEPSNONPILOT/Tender/SplashBidNoticeAbstractUI.aspx?menuIndex=3&amp;refID=7032337&amp;Result=3","7032337")</f>
        <v>0</v>
      </c>
      <c r="B8287" t="s">
        <v>1352</v>
      </c>
      <c r="C8287" t="s">
        <v>10596</v>
      </c>
      <c r="E8287" t="s">
        <v>20365</v>
      </c>
      <c r="F8287" t="s">
        <v>22436</v>
      </c>
      <c r="G8287" t="s">
        <v>22444</v>
      </c>
      <c r="H8287" t="s">
        <v>22452</v>
      </c>
      <c r="I8287" t="s">
        <v>22560</v>
      </c>
      <c r="J8287" t="s">
        <v>23505</v>
      </c>
      <c r="K8287" t="s">
        <v>29333</v>
      </c>
      <c r="M8287" t="s">
        <v>31008</v>
      </c>
      <c r="N8287" t="s">
        <v>32524</v>
      </c>
      <c r="O8287" t="s">
        <v>32525</v>
      </c>
      <c r="Q8287">
        <v>9</v>
      </c>
      <c r="R8287" t="s">
        <v>32535</v>
      </c>
      <c r="S8287" t="s">
        <v>32787</v>
      </c>
      <c r="T8287" t="s">
        <v>33572</v>
      </c>
      <c r="U8287" t="s">
        <v>40529</v>
      </c>
      <c r="W8287" t="s">
        <v>31008</v>
      </c>
      <c r="X8287" t="s">
        <v>32536</v>
      </c>
    </row>
    <row r="8288" spans="1:24">
      <c r="A8288">
        <f>HYPERLINK("https://www.philgeps.gov.ph/GEPSNONPILOT/Tender/SplashBidNoticeAbstractUI.aspx?menuIndex=3&amp;refID=7025719&amp;Result=3","7025719")</f>
        <v>0</v>
      </c>
      <c r="B8288" t="s">
        <v>469</v>
      </c>
      <c r="C8288" t="s">
        <v>10593</v>
      </c>
      <c r="D8288" t="s">
        <v>13055</v>
      </c>
      <c r="E8288" t="s">
        <v>20366</v>
      </c>
      <c r="F8288" t="s">
        <v>22436</v>
      </c>
      <c r="G8288" t="s">
        <v>22444</v>
      </c>
      <c r="H8288" t="s">
        <v>22454</v>
      </c>
      <c r="I8288" t="s">
        <v>7738</v>
      </c>
      <c r="J8288" t="s">
        <v>27907</v>
      </c>
      <c r="K8288" t="s">
        <v>29534</v>
      </c>
      <c r="M8288" t="s">
        <v>30053</v>
      </c>
      <c r="N8288" t="s">
        <v>32524</v>
      </c>
      <c r="O8288" t="s">
        <v>32525</v>
      </c>
      <c r="P8288">
        <v>0</v>
      </c>
      <c r="Q8288">
        <v>0</v>
      </c>
      <c r="R8288" t="s">
        <v>32536</v>
      </c>
      <c r="S8288" t="s">
        <v>32785</v>
      </c>
      <c r="T8288" t="s">
        <v>33423</v>
      </c>
      <c r="U8288" t="s">
        <v>40530</v>
      </c>
      <c r="W8288" t="s">
        <v>30053</v>
      </c>
      <c r="X8288" t="s">
        <v>32539</v>
      </c>
    </row>
    <row r="8289" spans="1:24">
      <c r="A8289">
        <f>HYPERLINK("https://www.philgeps.gov.ph/GEPSNONPILOT/Tender/SplashBidNoticeAbstractUI.aspx?menuIndex=3&amp;refID=7025763&amp;Result=3","7025763")</f>
        <v>0</v>
      </c>
      <c r="B8289" t="s">
        <v>469</v>
      </c>
      <c r="C8289" t="s">
        <v>10593</v>
      </c>
      <c r="D8289" t="s">
        <v>13055</v>
      </c>
      <c r="E8289" t="s">
        <v>20367</v>
      </c>
      <c r="F8289" t="s">
        <v>22436</v>
      </c>
      <c r="G8289" t="s">
        <v>22444</v>
      </c>
      <c r="H8289" t="s">
        <v>22454</v>
      </c>
      <c r="I8289" t="s">
        <v>7738</v>
      </c>
      <c r="J8289" t="s">
        <v>27908</v>
      </c>
      <c r="K8289" t="s">
        <v>29362</v>
      </c>
      <c r="M8289" t="s">
        <v>30053</v>
      </c>
      <c r="N8289" t="s">
        <v>32524</v>
      </c>
      <c r="O8289" t="s">
        <v>32525</v>
      </c>
      <c r="P8289">
        <v>0</v>
      </c>
      <c r="Q8289">
        <v>0</v>
      </c>
      <c r="R8289" t="s">
        <v>32536</v>
      </c>
      <c r="S8289" t="s">
        <v>32785</v>
      </c>
      <c r="T8289" t="s">
        <v>33423</v>
      </c>
      <c r="U8289" t="s">
        <v>40531</v>
      </c>
      <c r="W8289" t="s">
        <v>30053</v>
      </c>
      <c r="X8289" t="s">
        <v>32539</v>
      </c>
    </row>
    <row r="8290" spans="1:24">
      <c r="A8290">
        <f>HYPERLINK("https://www.philgeps.gov.ph/GEPSNONPILOT/Tender/SplashBidNoticeAbstractUI.aspx?menuIndex=3&amp;refID=7032333&amp;Result=3","7032333")</f>
        <v>0</v>
      </c>
      <c r="B8290" t="s">
        <v>1352</v>
      </c>
      <c r="C8290" t="s">
        <v>10597</v>
      </c>
      <c r="E8290" t="s">
        <v>20368</v>
      </c>
      <c r="F8290" t="s">
        <v>22436</v>
      </c>
      <c r="G8290" t="s">
        <v>22444</v>
      </c>
      <c r="H8290" t="s">
        <v>22453</v>
      </c>
      <c r="I8290" t="s">
        <v>22457</v>
      </c>
      <c r="J8290" t="s">
        <v>27909</v>
      </c>
      <c r="K8290" t="s">
        <v>29353</v>
      </c>
      <c r="M8290" t="s">
        <v>31008</v>
      </c>
      <c r="N8290" t="s">
        <v>32524</v>
      </c>
      <c r="O8290" t="s">
        <v>32525</v>
      </c>
      <c r="Q8290">
        <v>8</v>
      </c>
      <c r="R8290" t="s">
        <v>32535</v>
      </c>
      <c r="S8290" t="s">
        <v>32788</v>
      </c>
      <c r="T8290" t="s">
        <v>33165</v>
      </c>
      <c r="U8290" t="s">
        <v>40532</v>
      </c>
      <c r="W8290" t="s">
        <v>31008</v>
      </c>
      <c r="X8290" t="s">
        <v>32536</v>
      </c>
    </row>
    <row r="8291" spans="1:24">
      <c r="A8291">
        <f>HYPERLINK("https://www.philgeps.gov.ph/GEPSNONPILOT/Tender/SplashBidNoticeAbstractUI.aspx?menuIndex=3&amp;refID=7032325&amp;Result=3","7032325")</f>
        <v>0</v>
      </c>
      <c r="B8291" t="s">
        <v>2150</v>
      </c>
      <c r="C8291" t="s">
        <v>10598</v>
      </c>
      <c r="D8291" t="s">
        <v>12993</v>
      </c>
      <c r="E8291" t="s">
        <v>20369</v>
      </c>
      <c r="F8291" t="s">
        <v>22436</v>
      </c>
      <c r="G8291" t="s">
        <v>22444</v>
      </c>
      <c r="H8291" t="s">
        <v>22452</v>
      </c>
      <c r="I8291" t="s">
        <v>22474</v>
      </c>
      <c r="J8291" t="s">
        <v>24189</v>
      </c>
      <c r="K8291" t="s">
        <v>29336</v>
      </c>
      <c r="M8291" t="s">
        <v>31902</v>
      </c>
      <c r="N8291" t="s">
        <v>32524</v>
      </c>
      <c r="O8291" t="s">
        <v>32525</v>
      </c>
      <c r="P8291">
        <v>0</v>
      </c>
      <c r="Q8291">
        <v>3</v>
      </c>
      <c r="R8291" t="s">
        <v>32535</v>
      </c>
      <c r="S8291" t="s">
        <v>32777</v>
      </c>
      <c r="T8291" t="s">
        <v>33228</v>
      </c>
      <c r="U8291" t="s">
        <v>40533</v>
      </c>
      <c r="W8291" t="s">
        <v>31902</v>
      </c>
      <c r="X8291" t="s">
        <v>32536</v>
      </c>
    </row>
    <row r="8292" spans="1:24">
      <c r="A8292">
        <f>HYPERLINK("https://www.philgeps.gov.ph/GEPSNONPILOT/Tender/SplashBidNoticeAbstractUI.aspx?menuIndex=3&amp;refID=7027998&amp;Result=3","7027998")</f>
        <v>0</v>
      </c>
      <c r="B8292" t="s">
        <v>146</v>
      </c>
      <c r="C8292" t="s">
        <v>10599</v>
      </c>
      <c r="D8292" t="s">
        <v>13042</v>
      </c>
      <c r="E8292" t="s">
        <v>20370</v>
      </c>
      <c r="F8292" t="s">
        <v>22436</v>
      </c>
      <c r="G8292" t="s">
        <v>22444</v>
      </c>
      <c r="H8292" t="s">
        <v>22454</v>
      </c>
      <c r="I8292" t="s">
        <v>7738</v>
      </c>
      <c r="J8292" t="s">
        <v>27910</v>
      </c>
      <c r="K8292" t="s">
        <v>29487</v>
      </c>
      <c r="M8292" t="s">
        <v>32183</v>
      </c>
      <c r="N8292" t="s">
        <v>32524</v>
      </c>
      <c r="O8292" t="s">
        <v>32525</v>
      </c>
      <c r="P8292">
        <v>0</v>
      </c>
      <c r="Q8292">
        <v>0</v>
      </c>
      <c r="R8292" t="s">
        <v>32536</v>
      </c>
      <c r="S8292" t="s">
        <v>32785</v>
      </c>
      <c r="T8292" t="s">
        <v>33571</v>
      </c>
      <c r="U8292" t="s">
        <v>40534</v>
      </c>
      <c r="W8292" t="s">
        <v>32183</v>
      </c>
      <c r="X8292" t="s">
        <v>32538</v>
      </c>
    </row>
    <row r="8293" spans="1:24">
      <c r="A8293">
        <f>HYPERLINK("https://www.philgeps.gov.ph/GEPSNONPILOT/Tender/SplashBidNoticeAbstractUI.aspx?menuIndex=3&amp;refID=7032343&amp;Result=3","7032343")</f>
        <v>0</v>
      </c>
      <c r="B8293" t="s">
        <v>1075</v>
      </c>
      <c r="C8293" t="s">
        <v>10600</v>
      </c>
      <c r="D8293" t="s">
        <v>13022</v>
      </c>
      <c r="E8293" t="s">
        <v>20371</v>
      </c>
      <c r="F8293" t="s">
        <v>22436</v>
      </c>
      <c r="G8293" t="s">
        <v>22444</v>
      </c>
      <c r="H8293" t="s">
        <v>22452</v>
      </c>
      <c r="I8293" t="s">
        <v>22479</v>
      </c>
      <c r="J8293" t="s">
        <v>27911</v>
      </c>
      <c r="K8293" t="s">
        <v>29338</v>
      </c>
      <c r="M8293" t="s">
        <v>30710</v>
      </c>
      <c r="N8293" t="s">
        <v>32524</v>
      </c>
      <c r="O8293" t="s">
        <v>32525</v>
      </c>
      <c r="P8293">
        <v>0</v>
      </c>
      <c r="Q8293">
        <v>4</v>
      </c>
      <c r="R8293" t="s">
        <v>32535</v>
      </c>
      <c r="S8293" t="s">
        <v>32777</v>
      </c>
      <c r="T8293" t="s">
        <v>33259</v>
      </c>
      <c r="U8293" t="s">
        <v>40535</v>
      </c>
      <c r="V8293" t="s">
        <v>43344</v>
      </c>
      <c r="W8293" t="s">
        <v>30710</v>
      </c>
      <c r="X8293" t="s">
        <v>32536</v>
      </c>
    </row>
    <row r="8294" spans="1:24">
      <c r="A8294">
        <f>HYPERLINK("https://www.philgeps.gov.ph/GEPSNONPILOT/Tender/SplashBidNoticeAbstractUI.aspx?menuIndex=3&amp;refID=7025738&amp;Result=3","7025738")</f>
        <v>0</v>
      </c>
      <c r="B8294" t="s">
        <v>2391</v>
      </c>
      <c r="C8294" t="s">
        <v>10601</v>
      </c>
      <c r="D8294" t="s">
        <v>13045</v>
      </c>
      <c r="E8294" t="s">
        <v>13182</v>
      </c>
      <c r="F8294" t="s">
        <v>22436</v>
      </c>
      <c r="G8294" t="s">
        <v>22444</v>
      </c>
      <c r="H8294" t="s">
        <v>22452</v>
      </c>
      <c r="I8294" t="s">
        <v>3529</v>
      </c>
      <c r="J8294" t="s">
        <v>27912</v>
      </c>
      <c r="K8294" t="s">
        <v>29331</v>
      </c>
      <c r="M8294" t="s">
        <v>32184</v>
      </c>
      <c r="N8294" t="s">
        <v>32524</v>
      </c>
      <c r="O8294" t="s">
        <v>32525</v>
      </c>
      <c r="P8294">
        <v>0</v>
      </c>
      <c r="Q8294">
        <v>1</v>
      </c>
      <c r="R8294" t="s">
        <v>32536</v>
      </c>
      <c r="S8294" t="s">
        <v>32785</v>
      </c>
      <c r="T8294" t="s">
        <v>33220</v>
      </c>
      <c r="U8294" t="s">
        <v>40536</v>
      </c>
      <c r="W8294" t="s">
        <v>32184</v>
      </c>
      <c r="X8294" t="s">
        <v>32539</v>
      </c>
    </row>
    <row r="8295" spans="1:24">
      <c r="A8295">
        <f>HYPERLINK("https://www.philgeps.gov.ph/GEPSNONPILOT/Tender/SplashBidNoticeAbstractUI.aspx?menuIndex=3&amp;refID=7028596&amp;Result=3","7028596")</f>
        <v>0</v>
      </c>
      <c r="B8295" t="s">
        <v>146</v>
      </c>
      <c r="C8295" t="s">
        <v>10602</v>
      </c>
      <c r="D8295" t="s">
        <v>13042</v>
      </c>
      <c r="E8295" t="s">
        <v>20372</v>
      </c>
      <c r="F8295" t="s">
        <v>22436</v>
      </c>
      <c r="G8295" t="s">
        <v>22444</v>
      </c>
      <c r="H8295" t="s">
        <v>22454</v>
      </c>
      <c r="I8295" t="s">
        <v>7738</v>
      </c>
      <c r="J8295" t="s">
        <v>27913</v>
      </c>
      <c r="K8295" t="s">
        <v>29392</v>
      </c>
      <c r="M8295" t="s">
        <v>32183</v>
      </c>
      <c r="N8295" t="s">
        <v>32524</v>
      </c>
      <c r="O8295" t="s">
        <v>32525</v>
      </c>
      <c r="P8295">
        <v>0</v>
      </c>
      <c r="Q8295">
        <v>0</v>
      </c>
      <c r="R8295" t="s">
        <v>32536</v>
      </c>
      <c r="S8295" t="s">
        <v>32785</v>
      </c>
      <c r="T8295" t="s">
        <v>33571</v>
      </c>
      <c r="U8295" t="s">
        <v>40537</v>
      </c>
      <c r="W8295" t="s">
        <v>32183</v>
      </c>
      <c r="X8295" t="s">
        <v>32538</v>
      </c>
    </row>
    <row r="8296" spans="1:24">
      <c r="A8296">
        <f>HYPERLINK("https://www.philgeps.gov.ph/GEPSNONPILOT/Tender/SplashBidNoticeAbstractUI.aspx?menuIndex=3&amp;refID=7029811&amp;Result=3","7029811")</f>
        <v>0</v>
      </c>
      <c r="B8296" t="s">
        <v>2392</v>
      </c>
      <c r="C8296" t="s">
        <v>10603</v>
      </c>
      <c r="E8296" t="s">
        <v>13503</v>
      </c>
      <c r="F8296" t="s">
        <v>22436</v>
      </c>
      <c r="G8296" t="s">
        <v>22444</v>
      </c>
      <c r="H8296" t="s">
        <v>22454</v>
      </c>
      <c r="I8296" t="s">
        <v>7738</v>
      </c>
      <c r="J8296" t="s">
        <v>22960</v>
      </c>
      <c r="K8296" t="s">
        <v>29345</v>
      </c>
      <c r="M8296" t="s">
        <v>32185</v>
      </c>
      <c r="N8296" t="s">
        <v>32524</v>
      </c>
      <c r="O8296" t="s">
        <v>32525</v>
      </c>
      <c r="P8296">
        <v>0</v>
      </c>
      <c r="Q8296">
        <v>1</v>
      </c>
      <c r="R8296" t="s">
        <v>32536</v>
      </c>
      <c r="S8296" t="s">
        <v>32785</v>
      </c>
      <c r="T8296" t="s">
        <v>33249</v>
      </c>
      <c r="U8296" t="s">
        <v>40538</v>
      </c>
      <c r="W8296" t="s">
        <v>32185</v>
      </c>
      <c r="X8296" t="s">
        <v>32537</v>
      </c>
    </row>
    <row r="8297" spans="1:24">
      <c r="A8297">
        <f>HYPERLINK("https://www.philgeps.gov.ph/GEPSNONPILOT/Tender/SplashBidNoticeAbstractUI.aspx?menuIndex=3&amp;refID=7029821&amp;Result=3","7029821")</f>
        <v>0</v>
      </c>
      <c r="B8297" t="s">
        <v>2392</v>
      </c>
      <c r="C8297" t="s">
        <v>10604</v>
      </c>
      <c r="E8297" t="s">
        <v>20241</v>
      </c>
      <c r="F8297" t="s">
        <v>22436</v>
      </c>
      <c r="G8297" t="s">
        <v>22444</v>
      </c>
      <c r="H8297" t="s">
        <v>22454</v>
      </c>
      <c r="I8297" t="s">
        <v>7738</v>
      </c>
      <c r="J8297" t="s">
        <v>22911</v>
      </c>
      <c r="K8297" t="s">
        <v>29334</v>
      </c>
      <c r="M8297" t="s">
        <v>32185</v>
      </c>
      <c r="N8297" t="s">
        <v>32524</v>
      </c>
      <c r="O8297" t="s">
        <v>32525</v>
      </c>
      <c r="P8297">
        <v>0</v>
      </c>
      <c r="Q8297">
        <v>0</v>
      </c>
      <c r="R8297" t="s">
        <v>32536</v>
      </c>
      <c r="S8297" t="s">
        <v>32785</v>
      </c>
      <c r="T8297" t="s">
        <v>33249</v>
      </c>
      <c r="U8297" t="s">
        <v>40538</v>
      </c>
      <c r="W8297" t="s">
        <v>32185</v>
      </c>
      <c r="X8297" t="s">
        <v>32537</v>
      </c>
    </row>
    <row r="8298" spans="1:24">
      <c r="A8298">
        <f>HYPERLINK("https://www.philgeps.gov.ph/GEPSNONPILOT/Tender/SplashBidNoticeAbstractUI.aspx?menuIndex=3&amp;refID=7029809&amp;Result=3","7029809")</f>
        <v>0</v>
      </c>
      <c r="B8298" t="s">
        <v>2392</v>
      </c>
      <c r="C8298" t="s">
        <v>10605</v>
      </c>
      <c r="E8298" t="s">
        <v>13102</v>
      </c>
      <c r="F8298" t="s">
        <v>22436</v>
      </c>
      <c r="G8298" t="s">
        <v>22444</v>
      </c>
      <c r="H8298" t="s">
        <v>22454</v>
      </c>
      <c r="I8298" t="s">
        <v>7738</v>
      </c>
      <c r="J8298" t="s">
        <v>27914</v>
      </c>
      <c r="K8298" t="s">
        <v>29345</v>
      </c>
      <c r="M8298" t="s">
        <v>32185</v>
      </c>
      <c r="N8298" t="s">
        <v>32524</v>
      </c>
      <c r="O8298" t="s">
        <v>32525</v>
      </c>
      <c r="P8298">
        <v>0</v>
      </c>
      <c r="Q8298">
        <v>0</v>
      </c>
      <c r="R8298" t="s">
        <v>32536</v>
      </c>
      <c r="S8298" t="s">
        <v>32785</v>
      </c>
      <c r="T8298" t="s">
        <v>33249</v>
      </c>
      <c r="U8298" t="s">
        <v>40539</v>
      </c>
      <c r="W8298" t="s">
        <v>32185</v>
      </c>
      <c r="X8298" t="s">
        <v>32537</v>
      </c>
    </row>
    <row r="8299" spans="1:24">
      <c r="A8299">
        <f>HYPERLINK("https://www.philgeps.gov.ph/GEPSNONPILOT/Tender/SplashBidNoticeAbstractUI.aspx?menuIndex=3&amp;refID=7029820&amp;Result=3","7029820")</f>
        <v>0</v>
      </c>
      <c r="B8299" t="s">
        <v>2392</v>
      </c>
      <c r="C8299" t="s">
        <v>10606</v>
      </c>
      <c r="E8299" t="s">
        <v>20241</v>
      </c>
      <c r="F8299" t="s">
        <v>22436</v>
      </c>
      <c r="G8299" t="s">
        <v>22444</v>
      </c>
      <c r="H8299" t="s">
        <v>22454</v>
      </c>
      <c r="I8299" t="s">
        <v>7738</v>
      </c>
      <c r="J8299" t="s">
        <v>25635</v>
      </c>
      <c r="K8299" t="s">
        <v>29388</v>
      </c>
      <c r="M8299" t="s">
        <v>32185</v>
      </c>
      <c r="N8299" t="s">
        <v>32524</v>
      </c>
      <c r="O8299" t="s">
        <v>32525</v>
      </c>
      <c r="P8299">
        <v>0</v>
      </c>
      <c r="Q8299">
        <v>1</v>
      </c>
      <c r="R8299" t="s">
        <v>32536</v>
      </c>
      <c r="S8299" t="s">
        <v>32785</v>
      </c>
      <c r="T8299" t="s">
        <v>33249</v>
      </c>
      <c r="U8299" t="s">
        <v>40538</v>
      </c>
      <c r="W8299" t="s">
        <v>32185</v>
      </c>
      <c r="X8299" t="s">
        <v>32537</v>
      </c>
    </row>
    <row r="8300" spans="1:24">
      <c r="A8300">
        <f>HYPERLINK("https://www.philgeps.gov.ph/GEPSNONPILOT/Tender/SplashBidNoticeAbstractUI.aspx?menuIndex=3&amp;refID=7029819&amp;Result=3","7029819")</f>
        <v>0</v>
      </c>
      <c r="B8300" t="s">
        <v>2392</v>
      </c>
      <c r="C8300" t="s">
        <v>10607</v>
      </c>
      <c r="E8300" t="s">
        <v>17763</v>
      </c>
      <c r="F8300" t="s">
        <v>22436</v>
      </c>
      <c r="G8300" t="s">
        <v>22444</v>
      </c>
      <c r="H8300" t="s">
        <v>22454</v>
      </c>
      <c r="I8300" t="s">
        <v>7738</v>
      </c>
      <c r="J8300" t="s">
        <v>27915</v>
      </c>
      <c r="K8300" t="s">
        <v>29334</v>
      </c>
      <c r="M8300" t="s">
        <v>32185</v>
      </c>
      <c r="N8300" t="s">
        <v>32524</v>
      </c>
      <c r="O8300" t="s">
        <v>32525</v>
      </c>
      <c r="P8300">
        <v>0</v>
      </c>
      <c r="Q8300">
        <v>0</v>
      </c>
      <c r="R8300" t="s">
        <v>32536</v>
      </c>
      <c r="S8300" t="s">
        <v>32785</v>
      </c>
      <c r="T8300" t="s">
        <v>33249</v>
      </c>
      <c r="U8300" t="s">
        <v>40538</v>
      </c>
      <c r="W8300" t="s">
        <v>32185</v>
      </c>
      <c r="X8300" t="s">
        <v>32537</v>
      </c>
    </row>
    <row r="8301" spans="1:24">
      <c r="A8301">
        <f>HYPERLINK("https://www.philgeps.gov.ph/GEPSNONPILOT/Tender/SplashBidNoticeAbstractUI.aspx?menuIndex=3&amp;refID=7029818&amp;Result=3","7029818")</f>
        <v>0</v>
      </c>
      <c r="B8301" t="s">
        <v>2392</v>
      </c>
      <c r="C8301" t="s">
        <v>10608</v>
      </c>
      <c r="E8301" t="s">
        <v>17716</v>
      </c>
      <c r="F8301" t="s">
        <v>22436</v>
      </c>
      <c r="G8301" t="s">
        <v>22444</v>
      </c>
      <c r="H8301" t="s">
        <v>22454</v>
      </c>
      <c r="I8301" t="s">
        <v>7738</v>
      </c>
      <c r="J8301" t="s">
        <v>22743</v>
      </c>
      <c r="K8301" t="s">
        <v>29334</v>
      </c>
      <c r="M8301" t="s">
        <v>32185</v>
      </c>
      <c r="N8301" t="s">
        <v>32524</v>
      </c>
      <c r="O8301" t="s">
        <v>32525</v>
      </c>
      <c r="P8301">
        <v>0</v>
      </c>
      <c r="Q8301">
        <v>0</v>
      </c>
      <c r="R8301" t="s">
        <v>32536</v>
      </c>
      <c r="S8301" t="s">
        <v>32785</v>
      </c>
      <c r="T8301" t="s">
        <v>33249</v>
      </c>
      <c r="U8301" t="s">
        <v>40538</v>
      </c>
      <c r="W8301" t="s">
        <v>32185</v>
      </c>
      <c r="X8301" t="s">
        <v>32537</v>
      </c>
    </row>
    <row r="8302" spans="1:24">
      <c r="A8302">
        <f>HYPERLINK("https://www.philgeps.gov.ph/GEPSNONPILOT/Tender/SplashBidNoticeAbstractUI.aspx?menuIndex=3&amp;refID=7029816&amp;Result=3","7029816")</f>
        <v>0</v>
      </c>
      <c r="B8302" t="s">
        <v>2392</v>
      </c>
      <c r="C8302" t="s">
        <v>10609</v>
      </c>
      <c r="E8302" t="s">
        <v>13681</v>
      </c>
      <c r="F8302" t="s">
        <v>22436</v>
      </c>
      <c r="G8302" t="s">
        <v>22444</v>
      </c>
      <c r="H8302" t="s">
        <v>22454</v>
      </c>
      <c r="I8302" t="s">
        <v>7738</v>
      </c>
      <c r="J8302" t="s">
        <v>22743</v>
      </c>
      <c r="K8302" t="s">
        <v>29334</v>
      </c>
      <c r="M8302" t="s">
        <v>32185</v>
      </c>
      <c r="N8302" t="s">
        <v>32524</v>
      </c>
      <c r="O8302" t="s">
        <v>32525</v>
      </c>
      <c r="P8302">
        <v>0</v>
      </c>
      <c r="Q8302">
        <v>0</v>
      </c>
      <c r="R8302" t="s">
        <v>32536</v>
      </c>
      <c r="S8302" t="s">
        <v>32785</v>
      </c>
      <c r="T8302" t="s">
        <v>33249</v>
      </c>
      <c r="U8302" t="s">
        <v>40538</v>
      </c>
      <c r="W8302" t="s">
        <v>32185</v>
      </c>
      <c r="X8302" t="s">
        <v>32537</v>
      </c>
    </row>
    <row r="8303" spans="1:24">
      <c r="A8303">
        <f>HYPERLINK("https://www.philgeps.gov.ph/GEPSNONPILOT/Tender/SplashBidNoticeAbstractUI.aspx?menuIndex=3&amp;refID=7029807&amp;Result=3","7029807")</f>
        <v>0</v>
      </c>
      <c r="B8303" t="s">
        <v>1283</v>
      </c>
      <c r="C8303" t="s">
        <v>6397</v>
      </c>
      <c r="D8303" t="s">
        <v>13057</v>
      </c>
      <c r="E8303" t="s">
        <v>20373</v>
      </c>
      <c r="F8303" t="s">
        <v>22436</v>
      </c>
      <c r="G8303" t="s">
        <v>22444</v>
      </c>
      <c r="H8303" t="s">
        <v>22454</v>
      </c>
      <c r="I8303" t="s">
        <v>7738</v>
      </c>
      <c r="J8303" t="s">
        <v>27916</v>
      </c>
      <c r="K8303" t="s">
        <v>29388</v>
      </c>
      <c r="M8303" t="s">
        <v>30936</v>
      </c>
      <c r="N8303" t="s">
        <v>32524</v>
      </c>
      <c r="O8303" t="s">
        <v>32525</v>
      </c>
      <c r="P8303">
        <v>0</v>
      </c>
      <c r="Q8303">
        <v>1</v>
      </c>
      <c r="R8303" t="s">
        <v>32536</v>
      </c>
      <c r="S8303" t="s">
        <v>32785</v>
      </c>
      <c r="T8303" t="s">
        <v>33211</v>
      </c>
      <c r="U8303" t="s">
        <v>40540</v>
      </c>
      <c r="W8303" t="s">
        <v>30936</v>
      </c>
      <c r="X8303" t="s">
        <v>32537</v>
      </c>
    </row>
    <row r="8304" spans="1:24">
      <c r="A8304">
        <f>HYPERLINK("https://www.philgeps.gov.ph/GEPSNONPILOT/Tender/SplashBidNoticeAbstractUI.aspx?menuIndex=3&amp;refID=7029813&amp;Result=3","7029813")</f>
        <v>0</v>
      </c>
      <c r="B8304" t="s">
        <v>2392</v>
      </c>
      <c r="C8304" t="s">
        <v>10610</v>
      </c>
      <c r="E8304" t="s">
        <v>13371</v>
      </c>
      <c r="F8304" t="s">
        <v>22436</v>
      </c>
      <c r="G8304" t="s">
        <v>22444</v>
      </c>
      <c r="H8304" t="s">
        <v>22454</v>
      </c>
      <c r="I8304" t="s">
        <v>7738</v>
      </c>
      <c r="J8304" t="s">
        <v>27917</v>
      </c>
      <c r="K8304" t="s">
        <v>29346</v>
      </c>
      <c r="M8304" t="s">
        <v>32185</v>
      </c>
      <c r="N8304" t="s">
        <v>32524</v>
      </c>
      <c r="O8304" t="s">
        <v>32525</v>
      </c>
      <c r="P8304">
        <v>0</v>
      </c>
      <c r="Q8304">
        <v>0</v>
      </c>
      <c r="R8304" t="s">
        <v>32536</v>
      </c>
      <c r="S8304" t="s">
        <v>32785</v>
      </c>
      <c r="T8304" t="s">
        <v>33249</v>
      </c>
      <c r="U8304" t="s">
        <v>40538</v>
      </c>
      <c r="W8304" t="s">
        <v>32185</v>
      </c>
      <c r="X8304" t="s">
        <v>32537</v>
      </c>
    </row>
    <row r="8305" spans="1:24">
      <c r="A8305">
        <f>HYPERLINK("https://www.philgeps.gov.ph/GEPSNONPILOT/Tender/SplashBidNoticeAbstractUI.aspx?menuIndex=3&amp;refID=7029108&amp;Result=3","7029108")</f>
        <v>0</v>
      </c>
      <c r="B8305" t="s">
        <v>680</v>
      </c>
      <c r="C8305" t="s">
        <v>10611</v>
      </c>
      <c r="E8305" t="s">
        <v>20374</v>
      </c>
      <c r="F8305" t="s">
        <v>22436</v>
      </c>
      <c r="G8305" t="s">
        <v>22444</v>
      </c>
      <c r="H8305" t="s">
        <v>22452</v>
      </c>
      <c r="I8305" t="s">
        <v>22489</v>
      </c>
      <c r="J8305" t="s">
        <v>27918</v>
      </c>
      <c r="K8305" t="s">
        <v>29338</v>
      </c>
      <c r="M8305" t="s">
        <v>30274</v>
      </c>
      <c r="N8305" t="s">
        <v>32524</v>
      </c>
      <c r="O8305" t="s">
        <v>32525</v>
      </c>
      <c r="P8305">
        <v>0</v>
      </c>
      <c r="Q8305">
        <v>1</v>
      </c>
      <c r="R8305" t="s">
        <v>32536</v>
      </c>
      <c r="S8305" t="s">
        <v>32785</v>
      </c>
      <c r="T8305" t="s">
        <v>33249</v>
      </c>
      <c r="U8305" t="s">
        <v>40541</v>
      </c>
      <c r="V8305" t="s">
        <v>43346</v>
      </c>
      <c r="W8305" t="s">
        <v>30274</v>
      </c>
      <c r="X8305" t="s">
        <v>32538</v>
      </c>
    </row>
    <row r="8306" spans="1:24">
      <c r="A8306">
        <f>HYPERLINK("https://www.philgeps.gov.ph/GEPSNONPILOT/Tender/SplashBidNoticeAbstractUI.aspx?menuIndex=3&amp;refID=7032290&amp;Result=3","7032290")</f>
        <v>0</v>
      </c>
      <c r="B8306" t="s">
        <v>2150</v>
      </c>
      <c r="C8306" t="s">
        <v>10612</v>
      </c>
      <c r="D8306" t="s">
        <v>12993</v>
      </c>
      <c r="E8306" t="s">
        <v>20375</v>
      </c>
      <c r="F8306" t="s">
        <v>22436</v>
      </c>
      <c r="G8306" t="s">
        <v>22444</v>
      </c>
      <c r="H8306" t="s">
        <v>22454</v>
      </c>
      <c r="I8306" t="s">
        <v>7738</v>
      </c>
      <c r="J8306" t="s">
        <v>27919</v>
      </c>
      <c r="K8306" t="s">
        <v>29447</v>
      </c>
      <c r="M8306" t="s">
        <v>31902</v>
      </c>
      <c r="N8306" t="s">
        <v>32524</v>
      </c>
      <c r="O8306" t="s">
        <v>32525</v>
      </c>
      <c r="P8306">
        <v>0</v>
      </c>
      <c r="Q8306">
        <v>0</v>
      </c>
      <c r="R8306" t="s">
        <v>32535</v>
      </c>
      <c r="S8306" t="s">
        <v>32777</v>
      </c>
      <c r="T8306" t="s">
        <v>33228</v>
      </c>
      <c r="U8306" t="s">
        <v>40542</v>
      </c>
      <c r="W8306" t="s">
        <v>31902</v>
      </c>
      <c r="X8306" t="s">
        <v>32536</v>
      </c>
    </row>
    <row r="8307" spans="1:24">
      <c r="A8307">
        <f>HYPERLINK("https://www.philgeps.gov.ph/GEPSNONPILOT/Tender/SplashBidNoticeAbstractUI.aspx?menuIndex=3&amp;refID=7028934&amp;Result=3","7028934")</f>
        <v>0</v>
      </c>
      <c r="B8307" t="s">
        <v>146</v>
      </c>
      <c r="C8307" t="s">
        <v>10613</v>
      </c>
      <c r="D8307" t="s">
        <v>13042</v>
      </c>
      <c r="E8307" t="s">
        <v>20376</v>
      </c>
      <c r="F8307" t="s">
        <v>22436</v>
      </c>
      <c r="G8307" t="s">
        <v>22444</v>
      </c>
      <c r="H8307" t="s">
        <v>22454</v>
      </c>
      <c r="I8307" t="s">
        <v>7738</v>
      </c>
      <c r="J8307" t="s">
        <v>22634</v>
      </c>
      <c r="K8307" t="s">
        <v>29359</v>
      </c>
      <c r="M8307" t="s">
        <v>32183</v>
      </c>
      <c r="N8307" t="s">
        <v>32524</v>
      </c>
      <c r="O8307" t="s">
        <v>32525</v>
      </c>
      <c r="P8307">
        <v>0</v>
      </c>
      <c r="Q8307">
        <v>3</v>
      </c>
      <c r="R8307" t="s">
        <v>32536</v>
      </c>
      <c r="S8307" t="s">
        <v>32785</v>
      </c>
      <c r="T8307" t="s">
        <v>33571</v>
      </c>
      <c r="U8307" t="s">
        <v>40543</v>
      </c>
      <c r="W8307" t="s">
        <v>32183</v>
      </c>
      <c r="X8307" t="s">
        <v>32538</v>
      </c>
    </row>
    <row r="8308" spans="1:24">
      <c r="A8308">
        <f>HYPERLINK("https://www.philgeps.gov.ph/GEPSNONPILOT/Tender/SplashBidNoticeAbstractUI.aspx?menuIndex=3&amp;refID=7029814&amp;Result=3","7029814")</f>
        <v>0</v>
      </c>
      <c r="B8308" t="s">
        <v>2392</v>
      </c>
      <c r="C8308" t="s">
        <v>10614</v>
      </c>
      <c r="E8308" t="s">
        <v>16755</v>
      </c>
      <c r="F8308" t="s">
        <v>22436</v>
      </c>
      <c r="G8308" t="s">
        <v>22444</v>
      </c>
      <c r="H8308" t="s">
        <v>22454</v>
      </c>
      <c r="I8308" t="s">
        <v>7738</v>
      </c>
      <c r="J8308" t="s">
        <v>27917</v>
      </c>
      <c r="K8308" t="s">
        <v>29346</v>
      </c>
      <c r="M8308" t="s">
        <v>32185</v>
      </c>
      <c r="N8308" t="s">
        <v>32524</v>
      </c>
      <c r="O8308" t="s">
        <v>32525</v>
      </c>
      <c r="P8308">
        <v>0</v>
      </c>
      <c r="Q8308">
        <v>0</v>
      </c>
      <c r="R8308" t="s">
        <v>32536</v>
      </c>
      <c r="S8308" t="s">
        <v>32785</v>
      </c>
      <c r="T8308" t="s">
        <v>33249</v>
      </c>
      <c r="U8308" t="s">
        <v>40538</v>
      </c>
      <c r="W8308" t="s">
        <v>32185</v>
      </c>
      <c r="X8308" t="s">
        <v>32537</v>
      </c>
    </row>
    <row r="8309" spans="1:24">
      <c r="A8309">
        <f>HYPERLINK("https://www.philgeps.gov.ph/GEPSNONPILOT/Tender/SplashBidNoticeAbstractUI.aspx?menuIndex=3&amp;refID=7028987&amp;Result=3","7028987")</f>
        <v>0</v>
      </c>
      <c r="B8309" t="s">
        <v>2180</v>
      </c>
      <c r="C8309" t="s">
        <v>10615</v>
      </c>
      <c r="D8309" t="s">
        <v>12992</v>
      </c>
      <c r="E8309" t="s">
        <v>20377</v>
      </c>
      <c r="F8309" t="s">
        <v>22436</v>
      </c>
      <c r="G8309" t="s">
        <v>22444</v>
      </c>
      <c r="H8309" t="s">
        <v>22454</v>
      </c>
      <c r="I8309" t="s">
        <v>7738</v>
      </c>
      <c r="J8309" t="s">
        <v>27920</v>
      </c>
      <c r="K8309" t="s">
        <v>29344</v>
      </c>
      <c r="M8309" t="s">
        <v>31942</v>
      </c>
      <c r="N8309" t="s">
        <v>32524</v>
      </c>
      <c r="O8309" t="s">
        <v>32525</v>
      </c>
      <c r="Q8309">
        <v>2</v>
      </c>
      <c r="R8309" t="s">
        <v>32536</v>
      </c>
      <c r="S8309" t="s">
        <v>32789</v>
      </c>
      <c r="T8309" t="s">
        <v>33249</v>
      </c>
      <c r="U8309" t="s">
        <v>40544</v>
      </c>
      <c r="W8309" t="s">
        <v>31942</v>
      </c>
      <c r="X8309" t="s">
        <v>32538</v>
      </c>
    </row>
    <row r="8310" spans="1:24">
      <c r="A8310">
        <f>HYPERLINK("https://www.philgeps.gov.ph/GEPSNONPILOT/Tender/SplashBidNoticeAbstractUI.aspx?menuIndex=3&amp;refID=7028817&amp;Result=3","7028817")</f>
        <v>0</v>
      </c>
      <c r="B8310" t="s">
        <v>1448</v>
      </c>
      <c r="C8310" t="s">
        <v>10616</v>
      </c>
      <c r="D8310" t="s">
        <v>12988</v>
      </c>
      <c r="E8310" t="s">
        <v>20378</v>
      </c>
      <c r="F8310" t="s">
        <v>22436</v>
      </c>
      <c r="G8310" t="s">
        <v>22444</v>
      </c>
      <c r="H8310" t="s">
        <v>22454</v>
      </c>
      <c r="I8310" t="s">
        <v>7738</v>
      </c>
      <c r="J8310" t="s">
        <v>27921</v>
      </c>
      <c r="K8310" t="s">
        <v>29346</v>
      </c>
      <c r="M8310" t="s">
        <v>31512</v>
      </c>
      <c r="N8310" t="s">
        <v>32524</v>
      </c>
      <c r="O8310" t="s">
        <v>32525</v>
      </c>
      <c r="P8310">
        <v>0</v>
      </c>
      <c r="Q8310">
        <v>3</v>
      </c>
      <c r="R8310" t="s">
        <v>32536</v>
      </c>
      <c r="S8310" t="s">
        <v>32785</v>
      </c>
      <c r="T8310" t="s">
        <v>33324</v>
      </c>
      <c r="U8310" t="s">
        <v>40517</v>
      </c>
      <c r="V8310" t="s">
        <v>43342</v>
      </c>
      <c r="W8310" t="s">
        <v>31512</v>
      </c>
      <c r="X8310" t="s">
        <v>32538</v>
      </c>
    </row>
    <row r="8311" spans="1:24">
      <c r="A8311">
        <f>HYPERLINK("https://www.philgeps.gov.ph/GEPSNONPILOT/Tender/SplashBidNoticeAbstractUI.aspx?menuIndex=3&amp;refID=7029817&amp;Result=3","7029817")</f>
        <v>0</v>
      </c>
      <c r="B8311" t="s">
        <v>2392</v>
      </c>
      <c r="C8311" t="s">
        <v>10617</v>
      </c>
      <c r="E8311" t="s">
        <v>16315</v>
      </c>
      <c r="F8311" t="s">
        <v>22436</v>
      </c>
      <c r="G8311" t="s">
        <v>22444</v>
      </c>
      <c r="H8311" t="s">
        <v>22454</v>
      </c>
      <c r="I8311" t="s">
        <v>7738</v>
      </c>
      <c r="J8311" t="s">
        <v>22743</v>
      </c>
      <c r="K8311" t="s">
        <v>29334</v>
      </c>
      <c r="M8311" t="s">
        <v>32185</v>
      </c>
      <c r="N8311" t="s">
        <v>32524</v>
      </c>
      <c r="O8311" t="s">
        <v>32525</v>
      </c>
      <c r="P8311">
        <v>0</v>
      </c>
      <c r="Q8311">
        <v>0</v>
      </c>
      <c r="R8311" t="s">
        <v>32536</v>
      </c>
      <c r="S8311" t="s">
        <v>32785</v>
      </c>
      <c r="T8311" t="s">
        <v>33249</v>
      </c>
      <c r="U8311" t="s">
        <v>40538</v>
      </c>
      <c r="W8311" t="s">
        <v>32185</v>
      </c>
      <c r="X8311" t="s">
        <v>32537</v>
      </c>
    </row>
    <row r="8312" spans="1:24">
      <c r="A8312">
        <f>HYPERLINK("https://www.philgeps.gov.ph/GEPSNONPILOT/Tender/SplashBidNoticeAbstractUI.aspx?menuIndex=3&amp;refID=7028749&amp;Result=3","7028749")</f>
        <v>0</v>
      </c>
      <c r="B8312" t="s">
        <v>1448</v>
      </c>
      <c r="C8312" t="s">
        <v>10618</v>
      </c>
      <c r="D8312" t="s">
        <v>12988</v>
      </c>
      <c r="E8312" t="s">
        <v>20379</v>
      </c>
      <c r="F8312" t="s">
        <v>22436</v>
      </c>
      <c r="G8312" t="s">
        <v>22444</v>
      </c>
      <c r="H8312" t="s">
        <v>22454</v>
      </c>
      <c r="I8312" t="s">
        <v>7738</v>
      </c>
      <c r="J8312" t="s">
        <v>27922</v>
      </c>
      <c r="K8312" t="s">
        <v>29334</v>
      </c>
      <c r="M8312" t="s">
        <v>31512</v>
      </c>
      <c r="N8312" t="s">
        <v>32524</v>
      </c>
      <c r="O8312" t="s">
        <v>32525</v>
      </c>
      <c r="P8312">
        <v>0</v>
      </c>
      <c r="Q8312">
        <v>2</v>
      </c>
      <c r="R8312" t="s">
        <v>32536</v>
      </c>
      <c r="S8312" t="s">
        <v>32785</v>
      </c>
      <c r="T8312" t="s">
        <v>33324</v>
      </c>
      <c r="U8312" t="s">
        <v>40545</v>
      </c>
      <c r="V8312" t="s">
        <v>43342</v>
      </c>
      <c r="W8312" t="s">
        <v>31512</v>
      </c>
      <c r="X8312" t="s">
        <v>32538</v>
      </c>
    </row>
    <row r="8313" spans="1:24">
      <c r="A8313">
        <f>HYPERLINK("https://www.philgeps.gov.ph/GEPSNONPILOT/Tender/SplashBidNoticeAbstractUI.aspx?menuIndex=3&amp;refID=7028846&amp;Result=3","7028846")</f>
        <v>0</v>
      </c>
      <c r="B8313" t="s">
        <v>1448</v>
      </c>
      <c r="C8313" t="s">
        <v>10619</v>
      </c>
      <c r="D8313" t="s">
        <v>12988</v>
      </c>
      <c r="E8313" t="s">
        <v>20380</v>
      </c>
      <c r="F8313" t="s">
        <v>22436</v>
      </c>
      <c r="G8313" t="s">
        <v>22444</v>
      </c>
      <c r="H8313" t="s">
        <v>22454</v>
      </c>
      <c r="I8313" t="s">
        <v>7738</v>
      </c>
      <c r="J8313" t="s">
        <v>27923</v>
      </c>
      <c r="K8313" t="s">
        <v>29388</v>
      </c>
      <c r="M8313" t="s">
        <v>31512</v>
      </c>
      <c r="N8313" t="s">
        <v>32524</v>
      </c>
      <c r="O8313" t="s">
        <v>32525</v>
      </c>
      <c r="P8313">
        <v>0</v>
      </c>
      <c r="Q8313">
        <v>3</v>
      </c>
      <c r="R8313" t="s">
        <v>32536</v>
      </c>
      <c r="S8313" t="s">
        <v>32785</v>
      </c>
      <c r="T8313" t="s">
        <v>33324</v>
      </c>
      <c r="U8313" t="s">
        <v>40546</v>
      </c>
      <c r="V8313" t="s">
        <v>43342</v>
      </c>
      <c r="W8313" t="s">
        <v>31512</v>
      </c>
      <c r="X8313" t="s">
        <v>32538</v>
      </c>
    </row>
    <row r="8314" spans="1:24">
      <c r="A8314">
        <f>HYPERLINK("https://www.philgeps.gov.ph/GEPSNONPILOT/Tender/SplashBidNoticeAbstractUI.aspx?menuIndex=3&amp;refID=7028806&amp;Result=3","7028806")</f>
        <v>0</v>
      </c>
      <c r="B8314" t="s">
        <v>125</v>
      </c>
      <c r="C8314" t="s">
        <v>10620</v>
      </c>
      <c r="D8314" t="s">
        <v>13035</v>
      </c>
      <c r="E8314" t="s">
        <v>20381</v>
      </c>
      <c r="F8314" t="s">
        <v>22436</v>
      </c>
      <c r="G8314" t="s">
        <v>22444</v>
      </c>
      <c r="H8314" t="s">
        <v>22452</v>
      </c>
      <c r="I8314" t="s">
        <v>22474</v>
      </c>
      <c r="J8314" t="s">
        <v>25144</v>
      </c>
      <c r="K8314" t="s">
        <v>29338</v>
      </c>
      <c r="M8314" t="s">
        <v>29697</v>
      </c>
      <c r="N8314" t="s">
        <v>32524</v>
      </c>
      <c r="O8314" t="s">
        <v>32525</v>
      </c>
      <c r="P8314">
        <v>0</v>
      </c>
      <c r="Q8314">
        <v>8</v>
      </c>
      <c r="R8314" t="s">
        <v>32536</v>
      </c>
      <c r="S8314" t="s">
        <v>32785</v>
      </c>
      <c r="T8314" t="s">
        <v>33191</v>
      </c>
      <c r="U8314" t="s">
        <v>40547</v>
      </c>
      <c r="W8314" t="s">
        <v>29697</v>
      </c>
      <c r="X8314" t="s">
        <v>32538</v>
      </c>
    </row>
    <row r="8315" spans="1:24">
      <c r="A8315">
        <f>HYPERLINK("https://www.philgeps.gov.ph/GEPSNONPILOT/Tender/SplashBidNoticeAbstractUI.aspx?menuIndex=3&amp;refID=7030102&amp;Result=3","7030102")</f>
        <v>0</v>
      </c>
      <c r="B8315" t="s">
        <v>125</v>
      </c>
      <c r="C8315" t="s">
        <v>10621</v>
      </c>
      <c r="D8315" t="s">
        <v>13035</v>
      </c>
      <c r="E8315" t="s">
        <v>20382</v>
      </c>
      <c r="F8315" t="s">
        <v>22436</v>
      </c>
      <c r="G8315" t="s">
        <v>22444</v>
      </c>
      <c r="H8315" t="s">
        <v>22452</v>
      </c>
      <c r="I8315" t="s">
        <v>22480</v>
      </c>
      <c r="J8315" t="s">
        <v>24169</v>
      </c>
      <c r="K8315" t="s">
        <v>29338</v>
      </c>
      <c r="M8315" t="s">
        <v>29697</v>
      </c>
      <c r="N8315" t="s">
        <v>32524</v>
      </c>
      <c r="O8315" t="s">
        <v>32525</v>
      </c>
      <c r="P8315">
        <v>0</v>
      </c>
      <c r="Q8315">
        <v>2</v>
      </c>
      <c r="R8315" t="s">
        <v>32536</v>
      </c>
      <c r="S8315" t="s">
        <v>32785</v>
      </c>
      <c r="T8315" t="s">
        <v>33191</v>
      </c>
      <c r="U8315" t="s">
        <v>40548</v>
      </c>
      <c r="W8315" t="s">
        <v>29697</v>
      </c>
      <c r="X8315" t="s">
        <v>32537</v>
      </c>
    </row>
    <row r="8316" spans="1:24">
      <c r="A8316">
        <f>HYPERLINK("https://www.philgeps.gov.ph/GEPSNONPILOT/Tender/SplashBidNoticeAbstractUI.aspx?menuIndex=3&amp;refID=7030090&amp;Result=3","7030090")</f>
        <v>0</v>
      </c>
      <c r="B8316" t="s">
        <v>299</v>
      </c>
      <c r="C8316" t="s">
        <v>10622</v>
      </c>
      <c r="D8316" t="s">
        <v>13026</v>
      </c>
      <c r="E8316" t="s">
        <v>20383</v>
      </c>
      <c r="F8316" t="s">
        <v>22436</v>
      </c>
      <c r="G8316" t="s">
        <v>22444</v>
      </c>
      <c r="H8316" t="s">
        <v>22452</v>
      </c>
      <c r="I8316" t="s">
        <v>22471</v>
      </c>
      <c r="J8316" t="s">
        <v>24189</v>
      </c>
      <c r="K8316" t="s">
        <v>29336</v>
      </c>
      <c r="M8316" t="s">
        <v>31847</v>
      </c>
      <c r="N8316" t="s">
        <v>32524</v>
      </c>
      <c r="O8316" t="s">
        <v>32525</v>
      </c>
      <c r="P8316">
        <v>0</v>
      </c>
      <c r="Q8316">
        <v>1</v>
      </c>
      <c r="R8316" t="s">
        <v>32536</v>
      </c>
      <c r="S8316" t="s">
        <v>32785</v>
      </c>
      <c r="T8316" t="s">
        <v>33227</v>
      </c>
      <c r="U8316" t="s">
        <v>40549</v>
      </c>
      <c r="W8316" t="s">
        <v>29873</v>
      </c>
      <c r="X8316" t="s">
        <v>32537</v>
      </c>
    </row>
    <row r="8317" spans="1:24">
      <c r="A8317">
        <f>HYPERLINK("https://www.philgeps.gov.ph/GEPSNONPILOT/Tender/SplashBidNoticeAbstractUI.aspx?menuIndex=3&amp;refID=7029822&amp;Result=3","7029822")</f>
        <v>0</v>
      </c>
      <c r="B8317" t="s">
        <v>2392</v>
      </c>
      <c r="C8317" t="s">
        <v>10623</v>
      </c>
      <c r="E8317" t="s">
        <v>20346</v>
      </c>
      <c r="F8317" t="s">
        <v>22436</v>
      </c>
      <c r="G8317" t="s">
        <v>22444</v>
      </c>
      <c r="H8317" t="s">
        <v>22454</v>
      </c>
      <c r="I8317" t="s">
        <v>7738</v>
      </c>
      <c r="J8317" t="s">
        <v>27924</v>
      </c>
      <c r="K8317" t="s">
        <v>29346</v>
      </c>
      <c r="M8317" t="s">
        <v>32185</v>
      </c>
      <c r="N8317" t="s">
        <v>32524</v>
      </c>
      <c r="O8317" t="s">
        <v>32525</v>
      </c>
      <c r="P8317">
        <v>0</v>
      </c>
      <c r="Q8317">
        <v>0</v>
      </c>
      <c r="R8317" t="s">
        <v>32536</v>
      </c>
      <c r="S8317" t="s">
        <v>32785</v>
      </c>
      <c r="T8317" t="s">
        <v>33249</v>
      </c>
      <c r="U8317" t="s">
        <v>40538</v>
      </c>
      <c r="W8317" t="s">
        <v>32185</v>
      </c>
      <c r="X8317" t="s">
        <v>32537</v>
      </c>
    </row>
    <row r="8318" spans="1:24">
      <c r="A8318">
        <f>HYPERLINK("https://www.philgeps.gov.ph/GEPSNONPILOT/Tender/SplashBidNoticeAbstractUI.aspx?menuIndex=3&amp;refID=7028907&amp;Result=3","7028907")</f>
        <v>0</v>
      </c>
      <c r="B8318" t="s">
        <v>2393</v>
      </c>
      <c r="C8318" t="s">
        <v>10624</v>
      </c>
      <c r="D8318" t="s">
        <v>13039</v>
      </c>
      <c r="E8318" t="s">
        <v>13927</v>
      </c>
      <c r="F8318" t="s">
        <v>22436</v>
      </c>
      <c r="G8318" t="s">
        <v>22444</v>
      </c>
      <c r="H8318" t="s">
        <v>22452</v>
      </c>
      <c r="I8318" t="s">
        <v>3529</v>
      </c>
      <c r="J8318" t="s">
        <v>27925</v>
      </c>
      <c r="K8318" t="s">
        <v>29335</v>
      </c>
      <c r="M8318" t="s">
        <v>32186</v>
      </c>
      <c r="N8318" t="s">
        <v>32524</v>
      </c>
      <c r="O8318" t="s">
        <v>32525</v>
      </c>
      <c r="P8318">
        <v>0</v>
      </c>
      <c r="Q8318">
        <v>0</v>
      </c>
      <c r="R8318" t="s">
        <v>32536</v>
      </c>
      <c r="S8318" t="s">
        <v>32785</v>
      </c>
      <c r="T8318" t="s">
        <v>33278</v>
      </c>
      <c r="U8318" t="s">
        <v>40550</v>
      </c>
      <c r="W8318" t="s">
        <v>32186</v>
      </c>
      <c r="X8318" t="s">
        <v>32538</v>
      </c>
    </row>
    <row r="8319" spans="1:24">
      <c r="A8319">
        <f>HYPERLINK("https://www.philgeps.gov.ph/GEPSNONPILOT/Tender/SplashBidNoticeAbstractUI.aspx?menuIndex=3&amp;refID=7030058&amp;Result=3","7030058")</f>
        <v>0</v>
      </c>
      <c r="B8319" t="s">
        <v>125</v>
      </c>
      <c r="C8319" t="s">
        <v>10625</v>
      </c>
      <c r="D8319" t="s">
        <v>13035</v>
      </c>
      <c r="E8319" t="s">
        <v>20384</v>
      </c>
      <c r="F8319" t="s">
        <v>22436</v>
      </c>
      <c r="G8319" t="s">
        <v>22444</v>
      </c>
      <c r="H8319" t="s">
        <v>22454</v>
      </c>
      <c r="I8319" t="s">
        <v>7738</v>
      </c>
      <c r="J8319" t="s">
        <v>27926</v>
      </c>
      <c r="K8319" t="s">
        <v>29338</v>
      </c>
      <c r="M8319" t="s">
        <v>29697</v>
      </c>
      <c r="N8319" t="s">
        <v>32524</v>
      </c>
      <c r="O8319" t="s">
        <v>32525</v>
      </c>
      <c r="P8319">
        <v>0</v>
      </c>
      <c r="Q8319">
        <v>0</v>
      </c>
      <c r="R8319" t="s">
        <v>32536</v>
      </c>
      <c r="S8319" t="s">
        <v>32785</v>
      </c>
      <c r="T8319" t="s">
        <v>33191</v>
      </c>
      <c r="U8319" t="s">
        <v>40551</v>
      </c>
      <c r="W8319" t="s">
        <v>29697</v>
      </c>
      <c r="X8319" t="s">
        <v>32537</v>
      </c>
    </row>
    <row r="8320" spans="1:24">
      <c r="A8320">
        <f>HYPERLINK("https://www.philgeps.gov.ph/GEPSNONPILOT/Tender/SplashBidNoticeAbstractUI.aspx?menuIndex=3&amp;refID=7030130&amp;Result=3","7030130")</f>
        <v>0</v>
      </c>
      <c r="B8320" t="s">
        <v>1302</v>
      </c>
      <c r="C8320" t="s">
        <v>10626</v>
      </c>
      <c r="D8320" t="s">
        <v>13010</v>
      </c>
      <c r="E8320" t="s">
        <v>20385</v>
      </c>
      <c r="F8320" t="s">
        <v>22436</v>
      </c>
      <c r="G8320" t="s">
        <v>22444</v>
      </c>
      <c r="H8320" t="s">
        <v>22454</v>
      </c>
      <c r="I8320" t="s">
        <v>7738</v>
      </c>
      <c r="J8320" t="s">
        <v>25214</v>
      </c>
      <c r="K8320" t="s">
        <v>29493</v>
      </c>
      <c r="M8320" t="s">
        <v>30956</v>
      </c>
      <c r="N8320" t="s">
        <v>32524</v>
      </c>
      <c r="O8320" t="s">
        <v>32525</v>
      </c>
      <c r="P8320">
        <v>0</v>
      </c>
      <c r="Q8320">
        <v>1</v>
      </c>
      <c r="R8320" t="s">
        <v>32536</v>
      </c>
      <c r="S8320" t="s">
        <v>32785</v>
      </c>
      <c r="T8320" t="s">
        <v>33241</v>
      </c>
      <c r="U8320" t="s">
        <v>40552</v>
      </c>
      <c r="W8320" t="s">
        <v>30956</v>
      </c>
      <c r="X8320" t="s">
        <v>32537</v>
      </c>
    </row>
    <row r="8321" spans="1:24">
      <c r="A8321">
        <f>HYPERLINK("https://www.philgeps.gov.ph/GEPSNONPILOT/Tender/SplashBidNoticeAbstractUI.aspx?menuIndex=3&amp;refID=7029823&amp;Result=3","7029823")</f>
        <v>0</v>
      </c>
      <c r="B8321" t="s">
        <v>2392</v>
      </c>
      <c r="C8321" t="s">
        <v>10627</v>
      </c>
      <c r="E8321" t="s">
        <v>20339</v>
      </c>
      <c r="F8321" t="s">
        <v>22436</v>
      </c>
      <c r="G8321" t="s">
        <v>22444</v>
      </c>
      <c r="H8321" t="s">
        <v>22453</v>
      </c>
      <c r="I8321" t="s">
        <v>22553</v>
      </c>
      <c r="J8321" t="s">
        <v>23762</v>
      </c>
      <c r="K8321" t="s">
        <v>29345</v>
      </c>
      <c r="M8321" t="s">
        <v>32185</v>
      </c>
      <c r="N8321" t="s">
        <v>32524</v>
      </c>
      <c r="O8321" t="s">
        <v>32525</v>
      </c>
      <c r="P8321">
        <v>0</v>
      </c>
      <c r="Q8321">
        <v>3</v>
      </c>
      <c r="R8321" t="s">
        <v>32536</v>
      </c>
      <c r="S8321" t="s">
        <v>32785</v>
      </c>
      <c r="T8321" t="s">
        <v>33249</v>
      </c>
      <c r="U8321" t="s">
        <v>40553</v>
      </c>
      <c r="W8321" t="s">
        <v>32185</v>
      </c>
      <c r="X8321" t="s">
        <v>32537</v>
      </c>
    </row>
    <row r="8322" spans="1:24">
      <c r="A8322">
        <f>HYPERLINK("https://www.philgeps.gov.ph/GEPSNONPILOT/Tender/SplashBidNoticeAbstractUI.aspx?menuIndex=3&amp;refID=7032257&amp;Result=3","7032257")</f>
        <v>0</v>
      </c>
      <c r="B8322" t="s">
        <v>2394</v>
      </c>
      <c r="C8322" t="s">
        <v>10480</v>
      </c>
      <c r="D8322" t="s">
        <v>12999</v>
      </c>
      <c r="E8322" t="s">
        <v>20386</v>
      </c>
      <c r="F8322" t="s">
        <v>22436</v>
      </c>
      <c r="G8322" t="s">
        <v>22444</v>
      </c>
      <c r="H8322" t="s">
        <v>22454</v>
      </c>
      <c r="I8322" t="s">
        <v>7738</v>
      </c>
      <c r="J8322" t="s">
        <v>22674</v>
      </c>
      <c r="K8322" t="s">
        <v>29329</v>
      </c>
      <c r="M8322" t="s">
        <v>32187</v>
      </c>
      <c r="N8322" t="s">
        <v>32524</v>
      </c>
      <c r="O8322" t="s">
        <v>32525</v>
      </c>
      <c r="P8322">
        <v>0</v>
      </c>
      <c r="Q8322">
        <v>0</v>
      </c>
      <c r="R8322" t="s">
        <v>32535</v>
      </c>
      <c r="S8322" t="s">
        <v>32777</v>
      </c>
      <c r="T8322" t="s">
        <v>33242</v>
      </c>
      <c r="U8322" t="s">
        <v>40554</v>
      </c>
      <c r="V8322" t="s">
        <v>43347</v>
      </c>
      <c r="W8322" t="s">
        <v>32187</v>
      </c>
      <c r="X8322" t="s">
        <v>32536</v>
      </c>
    </row>
    <row r="8323" spans="1:24">
      <c r="A8323">
        <f>HYPERLINK("https://www.philgeps.gov.ph/GEPSNONPILOT/Tender/SplashBidNoticeAbstractUI.aspx?menuIndex=3&amp;refID=7030048&amp;Result=3","7030048")</f>
        <v>0</v>
      </c>
      <c r="B8323" t="s">
        <v>2395</v>
      </c>
      <c r="C8323" t="s">
        <v>10628</v>
      </c>
      <c r="D8323" t="s">
        <v>13042</v>
      </c>
      <c r="E8323" t="s">
        <v>17335</v>
      </c>
      <c r="F8323" t="s">
        <v>22436</v>
      </c>
      <c r="G8323" t="s">
        <v>22444</v>
      </c>
      <c r="H8323" t="s">
        <v>22452</v>
      </c>
      <c r="I8323" t="s">
        <v>3529</v>
      </c>
      <c r="J8323" t="s">
        <v>27927</v>
      </c>
      <c r="K8323" t="s">
        <v>29357</v>
      </c>
      <c r="M8323" t="s">
        <v>32188</v>
      </c>
      <c r="N8323" t="s">
        <v>32524</v>
      </c>
      <c r="O8323" t="s">
        <v>32525</v>
      </c>
      <c r="P8323">
        <v>0</v>
      </c>
      <c r="Q8323">
        <v>0</v>
      </c>
      <c r="R8323" t="s">
        <v>32536</v>
      </c>
      <c r="S8323" t="s">
        <v>32785</v>
      </c>
      <c r="T8323" t="s">
        <v>33435</v>
      </c>
      <c r="U8323" t="s">
        <v>40555</v>
      </c>
      <c r="W8323" t="s">
        <v>32188</v>
      </c>
      <c r="X8323" t="s">
        <v>32537</v>
      </c>
    </row>
    <row r="8324" spans="1:24">
      <c r="A8324">
        <f>HYPERLINK("https://www.philgeps.gov.ph/GEPSNONPILOT/Tender/SplashBidNoticeAbstractUI.aspx?menuIndex=3&amp;refID=7030109&amp;Result=3","7030109")</f>
        <v>0</v>
      </c>
      <c r="B8324" t="s">
        <v>121</v>
      </c>
      <c r="C8324" t="s">
        <v>10629</v>
      </c>
      <c r="D8324" t="s">
        <v>13034</v>
      </c>
      <c r="E8324" t="s">
        <v>20387</v>
      </c>
      <c r="F8324" t="s">
        <v>22436</v>
      </c>
      <c r="G8324" t="s">
        <v>22444</v>
      </c>
      <c r="H8324" t="s">
        <v>22454</v>
      </c>
      <c r="I8324" t="s">
        <v>7738</v>
      </c>
      <c r="J8324" t="s">
        <v>22779</v>
      </c>
      <c r="K8324" t="s">
        <v>29415</v>
      </c>
      <c r="M8324" t="s">
        <v>30585</v>
      </c>
      <c r="N8324" t="s">
        <v>32524</v>
      </c>
      <c r="O8324" t="s">
        <v>32525</v>
      </c>
      <c r="P8324">
        <v>0</v>
      </c>
      <c r="Q8324">
        <v>0</v>
      </c>
      <c r="R8324" t="s">
        <v>32536</v>
      </c>
      <c r="S8324" t="s">
        <v>32785</v>
      </c>
      <c r="T8324" t="s">
        <v>33155</v>
      </c>
      <c r="U8324" t="s">
        <v>40556</v>
      </c>
      <c r="V8324" t="s">
        <v>43348</v>
      </c>
      <c r="W8324" t="s">
        <v>30585</v>
      </c>
      <c r="X8324" t="s">
        <v>32537</v>
      </c>
    </row>
    <row r="8325" spans="1:24">
      <c r="A8325">
        <f>HYPERLINK("https://www.philgeps.gov.ph/GEPSNONPILOT/Tender/SplashBidNoticeAbstractUI.aspx?menuIndex=3&amp;refID=7030124&amp;Result=3","7030124")</f>
        <v>0</v>
      </c>
      <c r="B8325" t="s">
        <v>1273</v>
      </c>
      <c r="C8325" t="s">
        <v>10630</v>
      </c>
      <c r="D8325" t="s">
        <v>13006</v>
      </c>
      <c r="E8325" t="s">
        <v>20388</v>
      </c>
      <c r="F8325" t="s">
        <v>22436</v>
      </c>
      <c r="G8325" t="s">
        <v>22444</v>
      </c>
      <c r="H8325" t="s">
        <v>22452</v>
      </c>
      <c r="I8325" t="s">
        <v>3529</v>
      </c>
      <c r="J8325" t="s">
        <v>22860</v>
      </c>
      <c r="K8325" t="s">
        <v>29330</v>
      </c>
      <c r="M8325" t="s">
        <v>30926</v>
      </c>
      <c r="N8325" t="s">
        <v>32524</v>
      </c>
      <c r="O8325" t="s">
        <v>32525</v>
      </c>
      <c r="P8325">
        <v>0</v>
      </c>
      <c r="Q8325">
        <v>0</v>
      </c>
      <c r="R8325" t="s">
        <v>32536</v>
      </c>
      <c r="S8325" t="s">
        <v>32785</v>
      </c>
      <c r="T8325" t="s">
        <v>33314</v>
      </c>
      <c r="U8325" t="s">
        <v>40557</v>
      </c>
      <c r="W8325" t="s">
        <v>30926</v>
      </c>
      <c r="X8325" t="s">
        <v>32537</v>
      </c>
    </row>
    <row r="8326" spans="1:24">
      <c r="A8326">
        <f>HYPERLINK("https://www.philgeps.gov.ph/GEPSNONPILOT/Tender/SplashBidNoticeAbstractUI.aspx?menuIndex=3&amp;refID=7030143&amp;Result=3","7030143")</f>
        <v>0</v>
      </c>
      <c r="B8326" t="s">
        <v>121</v>
      </c>
      <c r="C8326" t="s">
        <v>10631</v>
      </c>
      <c r="D8326" t="s">
        <v>13034</v>
      </c>
      <c r="E8326" t="s">
        <v>20389</v>
      </c>
      <c r="F8326" t="s">
        <v>22436</v>
      </c>
      <c r="G8326" t="s">
        <v>22444</v>
      </c>
      <c r="H8326" t="s">
        <v>22454</v>
      </c>
      <c r="I8326" t="s">
        <v>7738</v>
      </c>
      <c r="J8326" t="s">
        <v>22779</v>
      </c>
      <c r="K8326" t="s">
        <v>29386</v>
      </c>
      <c r="M8326" t="s">
        <v>30585</v>
      </c>
      <c r="N8326" t="s">
        <v>32524</v>
      </c>
      <c r="O8326" t="s">
        <v>32525</v>
      </c>
      <c r="P8326">
        <v>0</v>
      </c>
      <c r="Q8326">
        <v>0</v>
      </c>
      <c r="R8326" t="s">
        <v>32536</v>
      </c>
      <c r="S8326" t="s">
        <v>32785</v>
      </c>
      <c r="T8326" t="s">
        <v>33155</v>
      </c>
      <c r="U8326" t="s">
        <v>40558</v>
      </c>
      <c r="V8326" t="s">
        <v>43349</v>
      </c>
      <c r="W8326" t="s">
        <v>30585</v>
      </c>
      <c r="X8326" t="s">
        <v>32537</v>
      </c>
    </row>
    <row r="8327" spans="1:24">
      <c r="A8327">
        <f>HYPERLINK("https://www.philgeps.gov.ph/GEPSNONPILOT/Tender/SplashBidNoticeAbstractUI.aspx?menuIndex=3&amp;refID=7030022&amp;Result=3","7030022")</f>
        <v>0</v>
      </c>
      <c r="B8327" t="s">
        <v>2395</v>
      </c>
      <c r="C8327" t="s">
        <v>10632</v>
      </c>
      <c r="D8327" t="s">
        <v>13042</v>
      </c>
      <c r="E8327" t="s">
        <v>17309</v>
      </c>
      <c r="F8327" t="s">
        <v>22436</v>
      </c>
      <c r="G8327" t="s">
        <v>22444</v>
      </c>
      <c r="H8327" t="s">
        <v>22452</v>
      </c>
      <c r="I8327" t="s">
        <v>3529</v>
      </c>
      <c r="J8327" t="s">
        <v>27928</v>
      </c>
      <c r="K8327" t="s">
        <v>29357</v>
      </c>
      <c r="M8327" t="s">
        <v>32188</v>
      </c>
      <c r="N8327" t="s">
        <v>32524</v>
      </c>
      <c r="O8327" t="s">
        <v>32525</v>
      </c>
      <c r="P8327">
        <v>0</v>
      </c>
      <c r="Q8327">
        <v>0</v>
      </c>
      <c r="R8327" t="s">
        <v>32536</v>
      </c>
      <c r="S8327" t="s">
        <v>32785</v>
      </c>
      <c r="T8327" t="s">
        <v>33435</v>
      </c>
      <c r="U8327" t="s">
        <v>40559</v>
      </c>
      <c r="W8327" t="s">
        <v>32188</v>
      </c>
      <c r="X8327" t="s">
        <v>32537</v>
      </c>
    </row>
    <row r="8328" spans="1:24">
      <c r="A8328">
        <f>HYPERLINK("https://www.philgeps.gov.ph/GEPSNONPILOT/Tender/SplashBidNoticeAbstractUI.aspx?menuIndex=3&amp;refID=7030121&amp;Result=3","7030121")</f>
        <v>0</v>
      </c>
      <c r="B8328" t="s">
        <v>299</v>
      </c>
      <c r="C8328" t="s">
        <v>10633</v>
      </c>
      <c r="D8328" t="s">
        <v>13026</v>
      </c>
      <c r="E8328" t="s">
        <v>20390</v>
      </c>
      <c r="F8328" t="s">
        <v>22436</v>
      </c>
      <c r="G8328" t="s">
        <v>22444</v>
      </c>
      <c r="H8328" t="s">
        <v>22452</v>
      </c>
      <c r="I8328" t="s">
        <v>22471</v>
      </c>
      <c r="J8328" t="s">
        <v>24096</v>
      </c>
      <c r="K8328" t="s">
        <v>29336</v>
      </c>
      <c r="M8328" t="s">
        <v>31847</v>
      </c>
      <c r="N8328" t="s">
        <v>32524</v>
      </c>
      <c r="O8328" t="s">
        <v>32525</v>
      </c>
      <c r="P8328">
        <v>0</v>
      </c>
      <c r="Q8328">
        <v>1</v>
      </c>
      <c r="R8328" t="s">
        <v>32536</v>
      </c>
      <c r="S8328" t="s">
        <v>32785</v>
      </c>
      <c r="T8328" t="s">
        <v>33227</v>
      </c>
      <c r="U8328" t="s">
        <v>40560</v>
      </c>
      <c r="W8328" t="s">
        <v>29873</v>
      </c>
      <c r="X8328" t="s">
        <v>32537</v>
      </c>
    </row>
    <row r="8329" spans="1:24">
      <c r="A8329">
        <f>HYPERLINK("https://www.philgeps.gov.ph/GEPSNONPILOT/Tender/SplashBidNoticeAbstractUI.aspx?menuIndex=3&amp;refID=7030136&amp;Result=3","7030136")</f>
        <v>0</v>
      </c>
      <c r="B8329" t="s">
        <v>763</v>
      </c>
      <c r="C8329" t="s">
        <v>10634</v>
      </c>
      <c r="D8329" t="s">
        <v>13013</v>
      </c>
      <c r="E8329" t="s">
        <v>20391</v>
      </c>
      <c r="F8329" t="s">
        <v>22436</v>
      </c>
      <c r="G8329" t="s">
        <v>22444</v>
      </c>
      <c r="H8329" t="s">
        <v>22454</v>
      </c>
      <c r="I8329" t="s">
        <v>7738</v>
      </c>
      <c r="J8329" t="s">
        <v>27929</v>
      </c>
      <c r="K8329" t="s">
        <v>29471</v>
      </c>
      <c r="M8329" t="s">
        <v>32189</v>
      </c>
      <c r="N8329" t="s">
        <v>32524</v>
      </c>
      <c r="O8329" t="s">
        <v>32525</v>
      </c>
      <c r="P8329">
        <v>0</v>
      </c>
      <c r="Q8329">
        <v>2</v>
      </c>
      <c r="R8329" t="s">
        <v>32536</v>
      </c>
      <c r="S8329" t="s">
        <v>32785</v>
      </c>
      <c r="T8329" t="s">
        <v>33242</v>
      </c>
      <c r="U8329" t="s">
        <v>40561</v>
      </c>
      <c r="W8329" t="s">
        <v>32189</v>
      </c>
      <c r="X8329" t="s">
        <v>32537</v>
      </c>
    </row>
    <row r="8330" spans="1:24">
      <c r="A8330">
        <f>HYPERLINK("https://www.philgeps.gov.ph/GEPSNONPILOT/Tender/SplashBidNoticeAbstractUI.aspx?menuIndex=3&amp;refID=7029997&amp;Result=3","7029997")</f>
        <v>0</v>
      </c>
      <c r="B8330" t="s">
        <v>1273</v>
      </c>
      <c r="C8330" t="s">
        <v>10635</v>
      </c>
      <c r="D8330" t="s">
        <v>13006</v>
      </c>
      <c r="E8330" t="s">
        <v>20392</v>
      </c>
      <c r="F8330" t="s">
        <v>22436</v>
      </c>
      <c r="G8330" t="s">
        <v>22444</v>
      </c>
      <c r="H8330" t="s">
        <v>22452</v>
      </c>
      <c r="I8330" t="s">
        <v>3529</v>
      </c>
      <c r="J8330" t="s">
        <v>27930</v>
      </c>
      <c r="K8330" t="s">
        <v>29330</v>
      </c>
      <c r="M8330" t="s">
        <v>30926</v>
      </c>
      <c r="N8330" t="s">
        <v>32524</v>
      </c>
      <c r="O8330" t="s">
        <v>32525</v>
      </c>
      <c r="P8330">
        <v>0</v>
      </c>
      <c r="Q8330">
        <v>1</v>
      </c>
      <c r="R8330" t="s">
        <v>32536</v>
      </c>
      <c r="S8330" t="s">
        <v>32785</v>
      </c>
      <c r="T8330" t="s">
        <v>33221</v>
      </c>
      <c r="U8330" t="s">
        <v>40562</v>
      </c>
      <c r="W8330" t="s">
        <v>30926</v>
      </c>
      <c r="X8330" t="s">
        <v>32537</v>
      </c>
    </row>
    <row r="8331" spans="1:24">
      <c r="A8331">
        <f>HYPERLINK("https://www.philgeps.gov.ph/GEPSNONPILOT/Tender/SplashBidNoticeAbstractUI.aspx?menuIndex=3&amp;refID=7029859&amp;Result=3","7029859")</f>
        <v>0</v>
      </c>
      <c r="B8331" t="s">
        <v>125</v>
      </c>
      <c r="C8331" t="s">
        <v>10636</v>
      </c>
      <c r="D8331" t="s">
        <v>13035</v>
      </c>
      <c r="E8331" t="s">
        <v>20393</v>
      </c>
      <c r="F8331" t="s">
        <v>22436</v>
      </c>
      <c r="G8331" t="s">
        <v>22444</v>
      </c>
      <c r="H8331" t="s">
        <v>22452</v>
      </c>
      <c r="I8331" t="s">
        <v>22474</v>
      </c>
      <c r="J8331" t="s">
        <v>23397</v>
      </c>
      <c r="K8331" t="s">
        <v>29338</v>
      </c>
      <c r="M8331" t="s">
        <v>29697</v>
      </c>
      <c r="N8331" t="s">
        <v>32524</v>
      </c>
      <c r="O8331" t="s">
        <v>32525</v>
      </c>
      <c r="P8331">
        <v>0</v>
      </c>
      <c r="Q8331">
        <v>9</v>
      </c>
      <c r="R8331" t="s">
        <v>32536</v>
      </c>
      <c r="S8331" t="s">
        <v>32785</v>
      </c>
      <c r="T8331" t="s">
        <v>33191</v>
      </c>
      <c r="U8331" t="s">
        <v>40563</v>
      </c>
      <c r="W8331" t="s">
        <v>29697</v>
      </c>
      <c r="X8331" t="s">
        <v>32537</v>
      </c>
    </row>
    <row r="8332" spans="1:24">
      <c r="A8332">
        <f>HYPERLINK("https://www.philgeps.gov.ph/GEPSNONPILOT/Tender/SplashBidNoticeAbstractUI.aspx?menuIndex=3&amp;refID=7031991&amp;Result=3","7031991")</f>
        <v>0</v>
      </c>
      <c r="B8332" t="s">
        <v>2385</v>
      </c>
      <c r="C8332" t="s">
        <v>10637</v>
      </c>
      <c r="D8332" t="s">
        <v>13007</v>
      </c>
      <c r="E8332" t="s">
        <v>20394</v>
      </c>
      <c r="F8332" t="s">
        <v>22436</v>
      </c>
      <c r="G8332" t="s">
        <v>22444</v>
      </c>
      <c r="H8332" t="s">
        <v>22452</v>
      </c>
      <c r="I8332" t="s">
        <v>3027</v>
      </c>
      <c r="J8332" t="s">
        <v>22986</v>
      </c>
      <c r="K8332" t="s">
        <v>29357</v>
      </c>
      <c r="M8332" t="s">
        <v>32176</v>
      </c>
      <c r="N8332" t="s">
        <v>32524</v>
      </c>
      <c r="O8332" t="s">
        <v>32525</v>
      </c>
      <c r="P8332">
        <v>0</v>
      </c>
      <c r="Q8332">
        <v>0</v>
      </c>
      <c r="R8332" t="s">
        <v>32535</v>
      </c>
      <c r="S8332" t="s">
        <v>32777</v>
      </c>
      <c r="T8332" t="s">
        <v>33259</v>
      </c>
      <c r="U8332" t="s">
        <v>40564</v>
      </c>
      <c r="W8332" t="s">
        <v>32176</v>
      </c>
      <c r="X8332" t="s">
        <v>32536</v>
      </c>
    </row>
    <row r="8333" spans="1:24">
      <c r="A8333">
        <f>HYPERLINK("https://www.philgeps.gov.ph/GEPSNONPILOT/Tender/SplashBidNoticeAbstractUI.aspx?menuIndex=3&amp;refID=7030179&amp;Result=3","7030179")</f>
        <v>0</v>
      </c>
      <c r="B8333" t="s">
        <v>2396</v>
      </c>
      <c r="C8333" t="s">
        <v>10638</v>
      </c>
      <c r="D8333" t="s">
        <v>13040</v>
      </c>
      <c r="E8333" t="s">
        <v>20395</v>
      </c>
      <c r="F8333" t="s">
        <v>22436</v>
      </c>
      <c r="G8333" t="s">
        <v>22447</v>
      </c>
      <c r="H8333" t="s">
        <v>22452</v>
      </c>
      <c r="I8333" t="s">
        <v>22566</v>
      </c>
      <c r="J8333" t="s">
        <v>27931</v>
      </c>
      <c r="K8333" t="s">
        <v>29338</v>
      </c>
      <c r="M8333" t="s">
        <v>32190</v>
      </c>
      <c r="N8333" t="s">
        <v>32524</v>
      </c>
      <c r="O8333" t="s">
        <v>32525</v>
      </c>
      <c r="P8333">
        <v>0</v>
      </c>
      <c r="Q8333">
        <v>2</v>
      </c>
      <c r="R8333" t="s">
        <v>32536</v>
      </c>
      <c r="S8333" t="s">
        <v>32785</v>
      </c>
      <c r="T8333" t="s">
        <v>33310</v>
      </c>
      <c r="U8333" t="s">
        <v>40565</v>
      </c>
      <c r="W8333" t="s">
        <v>32190</v>
      </c>
      <c r="X8333" t="s">
        <v>32537</v>
      </c>
    </row>
    <row r="8334" spans="1:24">
      <c r="A8334">
        <f>HYPERLINK("https://www.philgeps.gov.ph/GEPSNONPILOT/Tender/SplashBidNoticeAbstractUI.aspx?menuIndex=3&amp;refID=7029944&amp;Result=3","7029944")</f>
        <v>0</v>
      </c>
      <c r="B8334" t="s">
        <v>2397</v>
      </c>
      <c r="C8334" t="s">
        <v>10639</v>
      </c>
      <c r="D8334" t="s">
        <v>13011</v>
      </c>
      <c r="E8334" t="s">
        <v>20396</v>
      </c>
      <c r="F8334" t="s">
        <v>22436</v>
      </c>
      <c r="G8334" t="s">
        <v>22444</v>
      </c>
      <c r="H8334" t="s">
        <v>22454</v>
      </c>
      <c r="I8334" t="s">
        <v>22496</v>
      </c>
      <c r="J8334" t="s">
        <v>27932</v>
      </c>
      <c r="K8334" t="s">
        <v>29333</v>
      </c>
      <c r="M8334" t="s">
        <v>32191</v>
      </c>
      <c r="N8334" t="s">
        <v>32524</v>
      </c>
      <c r="O8334" t="s">
        <v>32525</v>
      </c>
      <c r="Q8334">
        <v>2</v>
      </c>
      <c r="R8334" t="s">
        <v>32536</v>
      </c>
      <c r="S8334" t="s">
        <v>32790</v>
      </c>
      <c r="T8334" t="s">
        <v>33155</v>
      </c>
      <c r="U8334" t="s">
        <v>40566</v>
      </c>
      <c r="V8334" t="s">
        <v>43350</v>
      </c>
      <c r="W8334" t="s">
        <v>32191</v>
      </c>
      <c r="X8334" t="s">
        <v>32537</v>
      </c>
    </row>
    <row r="8335" spans="1:24">
      <c r="A8335">
        <f>HYPERLINK("https://www.philgeps.gov.ph/GEPSNONPILOT/Tender/SplashBidNoticeAbstractUI.aspx?menuIndex=3&amp;refID=7030172&amp;Result=3","7030172")</f>
        <v>0</v>
      </c>
      <c r="B8335" t="s">
        <v>1793</v>
      </c>
      <c r="C8335" t="s">
        <v>10640</v>
      </c>
      <c r="D8335" t="s">
        <v>13012</v>
      </c>
      <c r="E8335" t="s">
        <v>20135</v>
      </c>
      <c r="F8335" t="s">
        <v>22437</v>
      </c>
      <c r="G8335" t="s">
        <v>22444</v>
      </c>
      <c r="H8335" t="s">
        <v>22454</v>
      </c>
      <c r="I8335" t="s">
        <v>7738</v>
      </c>
      <c r="J8335" t="s">
        <v>22669</v>
      </c>
      <c r="K8335" t="s">
        <v>29536</v>
      </c>
      <c r="M8335" t="s">
        <v>31504</v>
      </c>
      <c r="N8335" t="s">
        <v>32524</v>
      </c>
      <c r="O8335" t="s">
        <v>32525</v>
      </c>
      <c r="P8335">
        <v>0</v>
      </c>
      <c r="Q8335">
        <v>2</v>
      </c>
      <c r="R8335" t="s">
        <v>32536</v>
      </c>
      <c r="S8335" t="s">
        <v>32785</v>
      </c>
      <c r="T8335" t="s">
        <v>33361</v>
      </c>
      <c r="U8335" t="s">
        <v>40567</v>
      </c>
      <c r="V8335" t="s">
        <v>43351</v>
      </c>
      <c r="W8335" t="s">
        <v>31504</v>
      </c>
      <c r="X8335" t="s">
        <v>32537</v>
      </c>
    </row>
    <row r="8336" spans="1:24">
      <c r="A8336">
        <f>HYPERLINK("https://www.philgeps.gov.ph/GEPSNONPILOT/Tender/SplashBidNoticeAbstractUI.aspx?menuIndex=3&amp;refID=7029854&amp;Result=3","7029854")</f>
        <v>0</v>
      </c>
      <c r="B8336" t="s">
        <v>125</v>
      </c>
      <c r="C8336" t="s">
        <v>10641</v>
      </c>
      <c r="D8336" t="s">
        <v>13035</v>
      </c>
      <c r="E8336" t="s">
        <v>20397</v>
      </c>
      <c r="F8336" t="s">
        <v>22436</v>
      </c>
      <c r="G8336" t="s">
        <v>22444</v>
      </c>
      <c r="H8336" t="s">
        <v>22452</v>
      </c>
      <c r="I8336" t="s">
        <v>22474</v>
      </c>
      <c r="J8336" t="s">
        <v>27933</v>
      </c>
      <c r="K8336" t="s">
        <v>29338</v>
      </c>
      <c r="M8336" t="s">
        <v>29697</v>
      </c>
      <c r="N8336" t="s">
        <v>32524</v>
      </c>
      <c r="O8336" t="s">
        <v>32525</v>
      </c>
      <c r="P8336">
        <v>0</v>
      </c>
      <c r="Q8336">
        <v>7</v>
      </c>
      <c r="R8336" t="s">
        <v>32536</v>
      </c>
      <c r="S8336" t="s">
        <v>32785</v>
      </c>
      <c r="T8336" t="s">
        <v>33191</v>
      </c>
      <c r="U8336" t="s">
        <v>40568</v>
      </c>
      <c r="W8336" t="s">
        <v>29697</v>
      </c>
      <c r="X8336" t="s">
        <v>32537</v>
      </c>
    </row>
    <row r="8337" spans="1:24">
      <c r="A8337">
        <f>HYPERLINK("https://www.philgeps.gov.ph/GEPSNONPILOT/Tender/SplashBidNoticeAbstractUI.aspx?menuIndex=3&amp;refID=7030227&amp;Result=3","7030227")</f>
        <v>0</v>
      </c>
      <c r="B8337" t="s">
        <v>1793</v>
      </c>
      <c r="C8337" t="s">
        <v>10642</v>
      </c>
      <c r="D8337" t="s">
        <v>13012</v>
      </c>
      <c r="E8337" t="s">
        <v>20138</v>
      </c>
      <c r="F8337" t="s">
        <v>22437</v>
      </c>
      <c r="G8337" t="s">
        <v>22444</v>
      </c>
      <c r="H8337" t="s">
        <v>22454</v>
      </c>
      <c r="I8337" t="s">
        <v>7738</v>
      </c>
      <c r="J8337" t="s">
        <v>24103</v>
      </c>
      <c r="K8337" t="s">
        <v>29437</v>
      </c>
      <c r="M8337" t="s">
        <v>31504</v>
      </c>
      <c r="N8337" t="s">
        <v>32524</v>
      </c>
      <c r="O8337" t="s">
        <v>32525</v>
      </c>
      <c r="P8337">
        <v>0</v>
      </c>
      <c r="Q8337">
        <v>2</v>
      </c>
      <c r="R8337" t="s">
        <v>32536</v>
      </c>
      <c r="S8337" t="s">
        <v>32785</v>
      </c>
      <c r="T8337" t="s">
        <v>33261</v>
      </c>
      <c r="U8337" t="s">
        <v>40567</v>
      </c>
      <c r="V8337" t="s">
        <v>43351</v>
      </c>
      <c r="W8337" t="s">
        <v>31504</v>
      </c>
      <c r="X8337" t="s">
        <v>32537</v>
      </c>
    </row>
    <row r="8338" spans="1:24">
      <c r="A8338">
        <f>HYPERLINK("https://www.philgeps.gov.ph/GEPSNONPILOT/Tender/SplashBidNoticeAbstractUI.aspx?menuIndex=3&amp;refID=7030158&amp;Result=3","7030158")</f>
        <v>0</v>
      </c>
      <c r="B8338" t="s">
        <v>2396</v>
      </c>
      <c r="C8338" t="s">
        <v>10643</v>
      </c>
      <c r="D8338" t="s">
        <v>13040</v>
      </c>
      <c r="E8338" t="s">
        <v>20398</v>
      </c>
      <c r="F8338" t="s">
        <v>22436</v>
      </c>
      <c r="G8338" t="s">
        <v>22447</v>
      </c>
      <c r="H8338" t="s">
        <v>22452</v>
      </c>
      <c r="I8338" t="s">
        <v>22566</v>
      </c>
      <c r="J8338" t="s">
        <v>27934</v>
      </c>
      <c r="K8338" t="s">
        <v>29338</v>
      </c>
      <c r="M8338" t="s">
        <v>32190</v>
      </c>
      <c r="N8338" t="s">
        <v>32524</v>
      </c>
      <c r="O8338" t="s">
        <v>32525</v>
      </c>
      <c r="P8338">
        <v>0</v>
      </c>
      <c r="Q8338">
        <v>3</v>
      </c>
      <c r="R8338" t="s">
        <v>32536</v>
      </c>
      <c r="S8338" t="s">
        <v>32785</v>
      </c>
      <c r="T8338" t="s">
        <v>33310</v>
      </c>
      <c r="U8338" t="s">
        <v>40569</v>
      </c>
      <c r="W8338" t="s">
        <v>32190</v>
      </c>
      <c r="X8338" t="s">
        <v>32537</v>
      </c>
    </row>
    <row r="8339" spans="1:24">
      <c r="A8339">
        <f>HYPERLINK("https://www.philgeps.gov.ph/GEPSNONPILOT/Tender/SplashBidNoticeAbstractUI.aspx?menuIndex=3&amp;refID=7029875&amp;Result=3","7029875")</f>
        <v>0</v>
      </c>
      <c r="B8339" t="s">
        <v>2398</v>
      </c>
      <c r="C8339" t="s">
        <v>10644</v>
      </c>
      <c r="D8339" t="s">
        <v>13048</v>
      </c>
      <c r="E8339" t="s">
        <v>20399</v>
      </c>
      <c r="F8339" t="s">
        <v>22436</v>
      </c>
      <c r="G8339" t="s">
        <v>22444</v>
      </c>
      <c r="H8339" t="s">
        <v>22452</v>
      </c>
      <c r="I8339" t="s">
        <v>22479</v>
      </c>
      <c r="J8339" t="s">
        <v>24098</v>
      </c>
      <c r="K8339" t="s">
        <v>29344</v>
      </c>
      <c r="M8339" t="s">
        <v>32192</v>
      </c>
      <c r="N8339" t="s">
        <v>32524</v>
      </c>
      <c r="O8339" t="s">
        <v>32525</v>
      </c>
      <c r="P8339">
        <v>0</v>
      </c>
      <c r="Q8339">
        <v>2</v>
      </c>
      <c r="R8339" t="s">
        <v>32536</v>
      </c>
      <c r="S8339" t="s">
        <v>32785</v>
      </c>
      <c r="T8339" t="s">
        <v>33209</v>
      </c>
      <c r="U8339" t="s">
        <v>40570</v>
      </c>
      <c r="V8339" t="s">
        <v>43352</v>
      </c>
      <c r="W8339" t="s">
        <v>32192</v>
      </c>
      <c r="X8339" t="s">
        <v>32537</v>
      </c>
    </row>
    <row r="8340" spans="1:24">
      <c r="A8340">
        <f>HYPERLINK("https://www.philgeps.gov.ph/GEPSNONPILOT/Tender/SplashBidNoticeAbstractUI.aspx?menuIndex=3&amp;refID=7030216&amp;Result=3","7030216")</f>
        <v>0</v>
      </c>
      <c r="B8340" t="s">
        <v>214</v>
      </c>
      <c r="C8340" t="s">
        <v>10645</v>
      </c>
      <c r="D8340" t="s">
        <v>12992</v>
      </c>
      <c r="E8340" t="s">
        <v>13927</v>
      </c>
      <c r="F8340" t="s">
        <v>22436</v>
      </c>
      <c r="G8340" t="s">
        <v>22444</v>
      </c>
      <c r="H8340" t="s">
        <v>22454</v>
      </c>
      <c r="I8340" t="s">
        <v>7738</v>
      </c>
      <c r="J8340" t="s">
        <v>22617</v>
      </c>
      <c r="K8340" t="s">
        <v>29337</v>
      </c>
      <c r="M8340" t="s">
        <v>29787</v>
      </c>
      <c r="N8340" t="s">
        <v>32524</v>
      </c>
      <c r="O8340" t="s">
        <v>32525</v>
      </c>
      <c r="P8340">
        <v>0</v>
      </c>
      <c r="Q8340">
        <v>0</v>
      </c>
      <c r="R8340" t="s">
        <v>32536</v>
      </c>
      <c r="S8340" t="s">
        <v>32785</v>
      </c>
      <c r="T8340" t="s">
        <v>33190</v>
      </c>
      <c r="U8340" t="s">
        <v>40571</v>
      </c>
      <c r="V8340" t="s">
        <v>42461</v>
      </c>
      <c r="W8340" t="s">
        <v>29787</v>
      </c>
      <c r="X8340" t="s">
        <v>32537</v>
      </c>
    </row>
    <row r="8341" spans="1:24">
      <c r="A8341">
        <f>HYPERLINK("https://www.philgeps.gov.ph/GEPSNONPILOT/Tender/SplashBidNoticeAbstractUI.aspx?menuIndex=3&amp;refID=7029947&amp;Result=3","7029947")</f>
        <v>0</v>
      </c>
      <c r="B8341" t="s">
        <v>125</v>
      </c>
      <c r="C8341" t="s">
        <v>10646</v>
      </c>
      <c r="D8341" t="s">
        <v>13035</v>
      </c>
      <c r="E8341" t="s">
        <v>20400</v>
      </c>
      <c r="F8341" t="s">
        <v>22436</v>
      </c>
      <c r="G8341" t="s">
        <v>22444</v>
      </c>
      <c r="H8341" t="s">
        <v>22454</v>
      </c>
      <c r="I8341" t="s">
        <v>7738</v>
      </c>
      <c r="J8341" t="s">
        <v>27935</v>
      </c>
      <c r="K8341" t="s">
        <v>29338</v>
      </c>
      <c r="M8341" t="s">
        <v>29697</v>
      </c>
      <c r="N8341" t="s">
        <v>32524</v>
      </c>
      <c r="O8341" t="s">
        <v>32525</v>
      </c>
      <c r="P8341">
        <v>0</v>
      </c>
      <c r="Q8341">
        <v>0</v>
      </c>
      <c r="R8341" t="s">
        <v>32536</v>
      </c>
      <c r="S8341" t="s">
        <v>32785</v>
      </c>
      <c r="T8341" t="s">
        <v>33340</v>
      </c>
      <c r="U8341" t="s">
        <v>40572</v>
      </c>
      <c r="W8341" t="s">
        <v>29697</v>
      </c>
      <c r="X8341" t="s">
        <v>32537</v>
      </c>
    </row>
    <row r="8342" spans="1:24">
      <c r="A8342">
        <f>HYPERLINK("https://www.philgeps.gov.ph/GEPSNONPILOT/Tender/SplashBidNoticeAbstractUI.aspx?menuIndex=3&amp;refID=7030188&amp;Result=3","7030188")</f>
        <v>0</v>
      </c>
      <c r="B8342" t="s">
        <v>311</v>
      </c>
      <c r="C8342" t="s">
        <v>10647</v>
      </c>
      <c r="D8342" t="s">
        <v>13035</v>
      </c>
      <c r="E8342" t="s">
        <v>20401</v>
      </c>
      <c r="F8342" t="s">
        <v>22436</v>
      </c>
      <c r="G8342" t="s">
        <v>22444</v>
      </c>
      <c r="H8342" t="s">
        <v>22452</v>
      </c>
      <c r="I8342" t="s">
        <v>6421</v>
      </c>
      <c r="J8342" t="s">
        <v>27936</v>
      </c>
      <c r="K8342" t="s">
        <v>29338</v>
      </c>
      <c r="M8342" t="s">
        <v>29886</v>
      </c>
      <c r="N8342" t="s">
        <v>32524</v>
      </c>
      <c r="O8342" t="s">
        <v>32525</v>
      </c>
      <c r="P8342">
        <v>0</v>
      </c>
      <c r="Q8342">
        <v>4</v>
      </c>
      <c r="R8342" t="s">
        <v>32536</v>
      </c>
      <c r="S8342" t="s">
        <v>32785</v>
      </c>
      <c r="T8342" t="s">
        <v>33227</v>
      </c>
      <c r="U8342" t="s">
        <v>40573</v>
      </c>
      <c r="W8342" t="s">
        <v>29886</v>
      </c>
      <c r="X8342" t="s">
        <v>32537</v>
      </c>
    </row>
    <row r="8343" spans="1:24">
      <c r="A8343">
        <f>HYPERLINK("https://www.philgeps.gov.ph/GEPSNONPILOT/Tender/SplashBidNoticeAbstractUI.aspx?menuIndex=3&amp;refID=7030194&amp;Result=3","7030194")</f>
        <v>0</v>
      </c>
      <c r="B8343" t="s">
        <v>2396</v>
      </c>
      <c r="C8343" t="s">
        <v>10648</v>
      </c>
      <c r="D8343" t="s">
        <v>13040</v>
      </c>
      <c r="E8343" t="s">
        <v>20402</v>
      </c>
      <c r="F8343" t="s">
        <v>22436</v>
      </c>
      <c r="G8343" t="s">
        <v>22447</v>
      </c>
      <c r="H8343" t="s">
        <v>22452</v>
      </c>
      <c r="I8343" t="s">
        <v>22566</v>
      </c>
      <c r="J8343" t="s">
        <v>27937</v>
      </c>
      <c r="K8343" t="s">
        <v>29338</v>
      </c>
      <c r="M8343" t="s">
        <v>32190</v>
      </c>
      <c r="N8343" t="s">
        <v>32524</v>
      </c>
      <c r="O8343" t="s">
        <v>32525</v>
      </c>
      <c r="P8343">
        <v>0</v>
      </c>
      <c r="Q8343">
        <v>3</v>
      </c>
      <c r="R8343" t="s">
        <v>32536</v>
      </c>
      <c r="S8343" t="s">
        <v>32785</v>
      </c>
      <c r="T8343" t="s">
        <v>33310</v>
      </c>
      <c r="U8343" t="s">
        <v>40574</v>
      </c>
      <c r="W8343" t="s">
        <v>32190</v>
      </c>
      <c r="X8343" t="s">
        <v>32537</v>
      </c>
    </row>
    <row r="8344" spans="1:24">
      <c r="A8344">
        <f>HYPERLINK("https://www.philgeps.gov.ph/GEPSNONPILOT/Tender/SplashBidNoticeAbstractUI.aspx?menuIndex=3&amp;refID=7030281&amp;Result=3","7030281")</f>
        <v>0</v>
      </c>
      <c r="B8344" t="s">
        <v>763</v>
      </c>
      <c r="C8344" t="s">
        <v>10649</v>
      </c>
      <c r="D8344" t="s">
        <v>13013</v>
      </c>
      <c r="E8344" t="s">
        <v>20403</v>
      </c>
      <c r="F8344" t="s">
        <v>22436</v>
      </c>
      <c r="G8344" t="s">
        <v>22444</v>
      </c>
      <c r="H8344" t="s">
        <v>22452</v>
      </c>
      <c r="I8344" t="s">
        <v>6421</v>
      </c>
      <c r="J8344" t="s">
        <v>27938</v>
      </c>
      <c r="K8344" t="s">
        <v>29341</v>
      </c>
      <c r="M8344" t="s">
        <v>30364</v>
      </c>
      <c r="N8344" t="s">
        <v>32524</v>
      </c>
      <c r="O8344" t="s">
        <v>32525</v>
      </c>
      <c r="P8344">
        <v>0</v>
      </c>
      <c r="Q8344">
        <v>4</v>
      </c>
      <c r="R8344" t="s">
        <v>32536</v>
      </c>
      <c r="S8344" t="s">
        <v>32785</v>
      </c>
      <c r="T8344" t="s">
        <v>33405</v>
      </c>
      <c r="U8344" t="s">
        <v>40575</v>
      </c>
      <c r="W8344" t="s">
        <v>30364</v>
      </c>
      <c r="X8344" t="s">
        <v>32537</v>
      </c>
    </row>
    <row r="8345" spans="1:24">
      <c r="A8345">
        <f>HYPERLINK("https://www.philgeps.gov.ph/GEPSNONPILOT/Tender/SplashBidNoticeAbstractUI.aspx?menuIndex=3&amp;refID=7030282&amp;Result=3","7030282")</f>
        <v>0</v>
      </c>
      <c r="B8345" t="s">
        <v>1793</v>
      </c>
      <c r="C8345" t="s">
        <v>10650</v>
      </c>
      <c r="D8345" t="s">
        <v>13012</v>
      </c>
      <c r="E8345" t="s">
        <v>20067</v>
      </c>
      <c r="F8345" t="s">
        <v>22437</v>
      </c>
      <c r="G8345" t="s">
        <v>22444</v>
      </c>
      <c r="H8345" t="s">
        <v>22454</v>
      </c>
      <c r="I8345" t="s">
        <v>7738</v>
      </c>
      <c r="J8345" t="s">
        <v>24103</v>
      </c>
      <c r="K8345" t="s">
        <v>29537</v>
      </c>
      <c r="M8345" t="s">
        <v>31504</v>
      </c>
      <c r="N8345" t="s">
        <v>32524</v>
      </c>
      <c r="O8345" t="s">
        <v>32525</v>
      </c>
      <c r="P8345">
        <v>0</v>
      </c>
      <c r="Q8345">
        <v>2</v>
      </c>
      <c r="R8345" t="s">
        <v>32536</v>
      </c>
      <c r="S8345" t="s">
        <v>32785</v>
      </c>
      <c r="T8345" t="s">
        <v>33361</v>
      </c>
      <c r="U8345" t="s">
        <v>40567</v>
      </c>
      <c r="V8345" t="s">
        <v>43351</v>
      </c>
      <c r="W8345" t="s">
        <v>31504</v>
      </c>
      <c r="X8345" t="s">
        <v>32537</v>
      </c>
    </row>
    <row r="8346" spans="1:24">
      <c r="A8346">
        <f>HYPERLINK("https://www.philgeps.gov.ph/GEPSNONPILOT/Tender/SplashBidNoticeAbstractUI.aspx?menuIndex=3&amp;refID=7029880&amp;Result=3","7029880")</f>
        <v>0</v>
      </c>
      <c r="B8346" t="s">
        <v>2051</v>
      </c>
      <c r="C8346" t="s">
        <v>10651</v>
      </c>
      <c r="D8346" t="s">
        <v>13049</v>
      </c>
      <c r="E8346" t="s">
        <v>20404</v>
      </c>
      <c r="F8346" t="s">
        <v>22436</v>
      </c>
      <c r="G8346" t="s">
        <v>22444</v>
      </c>
      <c r="H8346" t="s">
        <v>22452</v>
      </c>
      <c r="I8346" t="s">
        <v>6387</v>
      </c>
      <c r="J8346" t="s">
        <v>22877</v>
      </c>
      <c r="K8346" t="s">
        <v>29336</v>
      </c>
      <c r="M8346" t="s">
        <v>31791</v>
      </c>
      <c r="N8346" t="s">
        <v>32524</v>
      </c>
      <c r="O8346" t="s">
        <v>32525</v>
      </c>
      <c r="P8346">
        <v>0</v>
      </c>
      <c r="Q8346">
        <v>4</v>
      </c>
      <c r="R8346" t="s">
        <v>32536</v>
      </c>
      <c r="S8346" t="s">
        <v>32785</v>
      </c>
      <c r="T8346" t="s">
        <v>33573</v>
      </c>
      <c r="U8346" t="s">
        <v>40576</v>
      </c>
      <c r="V8346" t="s">
        <v>43353</v>
      </c>
      <c r="W8346" t="s">
        <v>31791</v>
      </c>
      <c r="X8346" t="s">
        <v>32537</v>
      </c>
    </row>
    <row r="8347" spans="1:24">
      <c r="A8347">
        <f>HYPERLINK("https://www.philgeps.gov.ph/GEPSNONPILOT/Tender/SplashBidNoticeAbstractUI.aspx?menuIndex=3&amp;refID=7030185&amp;Result=3","7030185")</f>
        <v>0</v>
      </c>
      <c r="B8347" t="s">
        <v>2398</v>
      </c>
      <c r="C8347" t="s">
        <v>10652</v>
      </c>
      <c r="D8347" t="s">
        <v>13048</v>
      </c>
      <c r="E8347" t="s">
        <v>18172</v>
      </c>
      <c r="F8347" t="s">
        <v>22436</v>
      </c>
      <c r="G8347" t="s">
        <v>22444</v>
      </c>
      <c r="H8347" t="s">
        <v>22454</v>
      </c>
      <c r="I8347" t="s">
        <v>7738</v>
      </c>
      <c r="J8347" t="s">
        <v>27939</v>
      </c>
      <c r="K8347" t="s">
        <v>29333</v>
      </c>
      <c r="M8347" t="s">
        <v>32192</v>
      </c>
      <c r="N8347" t="s">
        <v>32524</v>
      </c>
      <c r="O8347" t="s">
        <v>32525</v>
      </c>
      <c r="P8347">
        <v>0</v>
      </c>
      <c r="Q8347">
        <v>2</v>
      </c>
      <c r="R8347" t="s">
        <v>32536</v>
      </c>
      <c r="S8347" t="s">
        <v>32785</v>
      </c>
      <c r="T8347" t="s">
        <v>33169</v>
      </c>
      <c r="U8347" t="s">
        <v>40577</v>
      </c>
      <c r="V8347" t="s">
        <v>43352</v>
      </c>
      <c r="W8347" t="s">
        <v>32192</v>
      </c>
      <c r="X8347" t="s">
        <v>32537</v>
      </c>
    </row>
    <row r="8348" spans="1:24">
      <c r="A8348">
        <f>HYPERLINK("https://www.philgeps.gov.ph/GEPSNONPILOT/Tender/SplashBidNoticeAbstractUI.aspx?menuIndex=3&amp;refID=7030203&amp;Result=3","7030203")</f>
        <v>0</v>
      </c>
      <c r="B8348" t="s">
        <v>121</v>
      </c>
      <c r="C8348" t="s">
        <v>10653</v>
      </c>
      <c r="D8348" t="s">
        <v>13034</v>
      </c>
      <c r="E8348" t="s">
        <v>20405</v>
      </c>
      <c r="F8348" t="s">
        <v>22436</v>
      </c>
      <c r="G8348" t="s">
        <v>22444</v>
      </c>
      <c r="H8348" t="s">
        <v>22454</v>
      </c>
      <c r="I8348" t="s">
        <v>7738</v>
      </c>
      <c r="J8348" t="s">
        <v>22779</v>
      </c>
      <c r="K8348" t="s">
        <v>29362</v>
      </c>
      <c r="M8348" t="s">
        <v>30585</v>
      </c>
      <c r="N8348" t="s">
        <v>32524</v>
      </c>
      <c r="O8348" t="s">
        <v>32525</v>
      </c>
      <c r="P8348">
        <v>0</v>
      </c>
      <c r="Q8348">
        <v>0</v>
      </c>
      <c r="R8348" t="s">
        <v>32536</v>
      </c>
      <c r="S8348" t="s">
        <v>32785</v>
      </c>
      <c r="T8348" t="s">
        <v>33155</v>
      </c>
      <c r="U8348" t="s">
        <v>40578</v>
      </c>
      <c r="V8348" t="s">
        <v>43354</v>
      </c>
      <c r="W8348" t="s">
        <v>30585</v>
      </c>
      <c r="X8348" t="s">
        <v>32537</v>
      </c>
    </row>
    <row r="8349" spans="1:24">
      <c r="A8349">
        <f>HYPERLINK("https://www.philgeps.gov.ph/GEPSNONPILOT/Tender/SplashBidNoticeAbstractUI.aspx?menuIndex=3&amp;refID=7030278&amp;Result=3","7030278")</f>
        <v>0</v>
      </c>
      <c r="B8349" t="s">
        <v>121</v>
      </c>
      <c r="C8349" t="s">
        <v>10654</v>
      </c>
      <c r="D8349" t="s">
        <v>13034</v>
      </c>
      <c r="E8349" t="s">
        <v>20406</v>
      </c>
      <c r="F8349" t="s">
        <v>22436</v>
      </c>
      <c r="G8349" t="s">
        <v>22444</v>
      </c>
      <c r="H8349" t="s">
        <v>22454</v>
      </c>
      <c r="I8349" t="s">
        <v>7738</v>
      </c>
      <c r="J8349" t="s">
        <v>27940</v>
      </c>
      <c r="K8349" t="s">
        <v>29418</v>
      </c>
      <c r="M8349" t="s">
        <v>30585</v>
      </c>
      <c r="N8349" t="s">
        <v>32524</v>
      </c>
      <c r="O8349" t="s">
        <v>32525</v>
      </c>
      <c r="P8349">
        <v>0</v>
      </c>
      <c r="Q8349">
        <v>0</v>
      </c>
      <c r="R8349" t="s">
        <v>32536</v>
      </c>
      <c r="S8349" t="s">
        <v>32785</v>
      </c>
      <c r="T8349" t="s">
        <v>33155</v>
      </c>
      <c r="U8349" t="s">
        <v>40579</v>
      </c>
      <c r="V8349" t="s">
        <v>43355</v>
      </c>
      <c r="W8349" t="s">
        <v>30585</v>
      </c>
      <c r="X8349" t="s">
        <v>32537</v>
      </c>
    </row>
    <row r="8350" spans="1:24">
      <c r="A8350">
        <f>HYPERLINK("https://www.philgeps.gov.ph/GEPSNONPILOT/Tender/SplashBidNoticeAbstractUI.aspx?menuIndex=3&amp;refID=7030375&amp;Result=3","7030375")</f>
        <v>0</v>
      </c>
      <c r="B8350" t="s">
        <v>2399</v>
      </c>
      <c r="C8350" t="s">
        <v>10655</v>
      </c>
      <c r="D8350" t="s">
        <v>13004</v>
      </c>
      <c r="E8350" t="s">
        <v>20407</v>
      </c>
      <c r="F8350" t="s">
        <v>22436</v>
      </c>
      <c r="G8350" t="s">
        <v>22444</v>
      </c>
      <c r="H8350" t="s">
        <v>22454</v>
      </c>
      <c r="I8350" t="s">
        <v>7738</v>
      </c>
      <c r="J8350" t="s">
        <v>22893</v>
      </c>
      <c r="K8350" t="s">
        <v>29329</v>
      </c>
      <c r="M8350" t="s">
        <v>32193</v>
      </c>
      <c r="N8350" t="s">
        <v>32524</v>
      </c>
      <c r="O8350" t="s">
        <v>32525</v>
      </c>
      <c r="P8350">
        <v>0</v>
      </c>
      <c r="Q8350">
        <v>0</v>
      </c>
      <c r="R8350" t="s">
        <v>32536</v>
      </c>
      <c r="S8350" t="s">
        <v>32785</v>
      </c>
      <c r="T8350" t="s">
        <v>33574</v>
      </c>
      <c r="U8350" t="s">
        <v>40580</v>
      </c>
      <c r="W8350" t="s">
        <v>32193</v>
      </c>
      <c r="X8350" t="s">
        <v>32537</v>
      </c>
    </row>
    <row r="8351" spans="1:24">
      <c r="A8351">
        <f>HYPERLINK("https://www.philgeps.gov.ph/GEPSNONPILOT/Tender/SplashBidNoticeAbstractUI.aspx?menuIndex=3&amp;refID=7030379&amp;Result=3","7030379")</f>
        <v>0</v>
      </c>
      <c r="B8351" t="s">
        <v>121</v>
      </c>
      <c r="C8351" t="s">
        <v>10656</v>
      </c>
      <c r="D8351" t="s">
        <v>13034</v>
      </c>
      <c r="E8351" t="s">
        <v>20408</v>
      </c>
      <c r="F8351" t="s">
        <v>22436</v>
      </c>
      <c r="G8351" t="s">
        <v>22444</v>
      </c>
      <c r="H8351" t="s">
        <v>22454</v>
      </c>
      <c r="I8351" t="s">
        <v>7738</v>
      </c>
      <c r="J8351" t="s">
        <v>22893</v>
      </c>
      <c r="K8351" t="s">
        <v>29403</v>
      </c>
      <c r="M8351" t="s">
        <v>30585</v>
      </c>
      <c r="N8351" t="s">
        <v>32524</v>
      </c>
      <c r="O8351" t="s">
        <v>32525</v>
      </c>
      <c r="P8351">
        <v>0</v>
      </c>
      <c r="Q8351">
        <v>0</v>
      </c>
      <c r="R8351" t="s">
        <v>32536</v>
      </c>
      <c r="S8351" t="s">
        <v>32785</v>
      </c>
      <c r="T8351" t="s">
        <v>33155</v>
      </c>
      <c r="U8351" t="s">
        <v>40581</v>
      </c>
      <c r="V8351" t="s">
        <v>43356</v>
      </c>
      <c r="W8351" t="s">
        <v>30585</v>
      </c>
      <c r="X8351" t="s">
        <v>32537</v>
      </c>
    </row>
    <row r="8352" spans="1:24">
      <c r="A8352">
        <f>HYPERLINK("https://www.philgeps.gov.ph/GEPSNONPILOT/Tender/SplashBidNoticeAbstractUI.aspx?menuIndex=3&amp;refID=7030292&amp;Result=3","7030292")</f>
        <v>0</v>
      </c>
      <c r="B8352" t="s">
        <v>2400</v>
      </c>
      <c r="C8352" t="s">
        <v>10657</v>
      </c>
      <c r="D8352" t="s">
        <v>12998</v>
      </c>
      <c r="E8352" t="s">
        <v>13368</v>
      </c>
      <c r="F8352" t="s">
        <v>22437</v>
      </c>
      <c r="G8352" t="s">
        <v>22444</v>
      </c>
      <c r="H8352" t="s">
        <v>22453</v>
      </c>
      <c r="I8352" t="s">
        <v>22477</v>
      </c>
      <c r="J8352" t="s">
        <v>22616</v>
      </c>
      <c r="K8352" t="s">
        <v>29358</v>
      </c>
      <c r="M8352" t="s">
        <v>32194</v>
      </c>
      <c r="N8352" t="s">
        <v>32524</v>
      </c>
      <c r="O8352" t="s">
        <v>32525</v>
      </c>
      <c r="P8352">
        <v>0</v>
      </c>
      <c r="Q8352">
        <v>0</v>
      </c>
      <c r="R8352" t="s">
        <v>32536</v>
      </c>
      <c r="S8352" t="s">
        <v>32785</v>
      </c>
      <c r="T8352" t="s">
        <v>33256</v>
      </c>
      <c r="U8352" t="s">
        <v>40582</v>
      </c>
      <c r="W8352" t="s">
        <v>32194</v>
      </c>
      <c r="X8352" t="s">
        <v>32537</v>
      </c>
    </row>
    <row r="8353" spans="1:24">
      <c r="A8353">
        <f>HYPERLINK("https://www.philgeps.gov.ph/GEPSNONPILOT/Tender/SplashBidNoticeAbstractUI.aspx?menuIndex=3&amp;refID=7030233&amp;Result=3","7030233")</f>
        <v>0</v>
      </c>
      <c r="B8353" t="s">
        <v>2396</v>
      </c>
      <c r="C8353" t="s">
        <v>10658</v>
      </c>
      <c r="D8353" t="s">
        <v>13040</v>
      </c>
      <c r="E8353" t="s">
        <v>20409</v>
      </c>
      <c r="F8353" t="s">
        <v>22436</v>
      </c>
      <c r="G8353" t="s">
        <v>22447</v>
      </c>
      <c r="H8353" t="s">
        <v>22452</v>
      </c>
      <c r="I8353" t="s">
        <v>22580</v>
      </c>
      <c r="J8353" t="s">
        <v>27941</v>
      </c>
      <c r="K8353" t="s">
        <v>29338</v>
      </c>
      <c r="M8353" t="s">
        <v>32190</v>
      </c>
      <c r="N8353" t="s">
        <v>32524</v>
      </c>
      <c r="O8353" t="s">
        <v>32525</v>
      </c>
      <c r="P8353">
        <v>0</v>
      </c>
      <c r="Q8353">
        <v>4</v>
      </c>
      <c r="R8353" t="s">
        <v>32536</v>
      </c>
      <c r="S8353" t="s">
        <v>32785</v>
      </c>
      <c r="T8353" t="s">
        <v>33310</v>
      </c>
      <c r="U8353" t="s">
        <v>40583</v>
      </c>
      <c r="W8353" t="s">
        <v>32190</v>
      </c>
      <c r="X8353" t="s">
        <v>32537</v>
      </c>
    </row>
    <row r="8354" spans="1:24">
      <c r="A8354">
        <f>HYPERLINK("https://www.philgeps.gov.ph/GEPSNONPILOT/Tender/SplashBidNoticeAbstractUI.aspx?menuIndex=3&amp;refID=7030261&amp;Result=3","7030261")</f>
        <v>0</v>
      </c>
      <c r="B8354" t="s">
        <v>121</v>
      </c>
      <c r="C8354" t="s">
        <v>10659</v>
      </c>
      <c r="D8354" t="s">
        <v>13034</v>
      </c>
      <c r="E8354" t="s">
        <v>20410</v>
      </c>
      <c r="F8354" t="s">
        <v>22436</v>
      </c>
      <c r="G8354" t="s">
        <v>22444</v>
      </c>
      <c r="H8354" t="s">
        <v>22454</v>
      </c>
      <c r="I8354" t="s">
        <v>7738</v>
      </c>
      <c r="J8354" t="s">
        <v>27942</v>
      </c>
      <c r="K8354" t="s">
        <v>29418</v>
      </c>
      <c r="M8354" t="s">
        <v>30585</v>
      </c>
      <c r="N8354" t="s">
        <v>32524</v>
      </c>
      <c r="O8354" t="s">
        <v>32525</v>
      </c>
      <c r="P8354">
        <v>0</v>
      </c>
      <c r="Q8354">
        <v>0</v>
      </c>
      <c r="R8354" t="s">
        <v>32536</v>
      </c>
      <c r="S8354" t="s">
        <v>32785</v>
      </c>
      <c r="T8354" t="s">
        <v>33155</v>
      </c>
      <c r="U8354" t="s">
        <v>40584</v>
      </c>
      <c r="V8354" t="s">
        <v>43355</v>
      </c>
      <c r="W8354" t="s">
        <v>30585</v>
      </c>
      <c r="X8354" t="s">
        <v>32537</v>
      </c>
    </row>
    <row r="8355" spans="1:24">
      <c r="A8355">
        <f>HYPERLINK("https://www.philgeps.gov.ph/GEPSNONPILOT/Tender/SplashBidNoticeAbstractUI.aspx?menuIndex=3&amp;refID=7030277&amp;Result=3","7030277")</f>
        <v>0</v>
      </c>
      <c r="B8355" t="s">
        <v>1602</v>
      </c>
      <c r="C8355" t="s">
        <v>10660</v>
      </c>
      <c r="E8355" t="s">
        <v>20411</v>
      </c>
      <c r="F8355" t="s">
        <v>22436</v>
      </c>
      <c r="G8355" t="s">
        <v>22447</v>
      </c>
      <c r="H8355" t="s">
        <v>22452</v>
      </c>
      <c r="I8355" t="s">
        <v>6421</v>
      </c>
      <c r="J8355" t="s">
        <v>27943</v>
      </c>
      <c r="K8355" t="s">
        <v>29338</v>
      </c>
      <c r="M8355" t="s">
        <v>32195</v>
      </c>
      <c r="N8355" t="s">
        <v>32524</v>
      </c>
      <c r="O8355" t="s">
        <v>32525</v>
      </c>
      <c r="Q8355">
        <v>7</v>
      </c>
      <c r="R8355" t="s">
        <v>32536</v>
      </c>
      <c r="S8355" t="s">
        <v>32791</v>
      </c>
      <c r="T8355" t="s">
        <v>33323</v>
      </c>
      <c r="U8355" t="s">
        <v>40585</v>
      </c>
      <c r="W8355" t="s">
        <v>32195</v>
      </c>
      <c r="X8355" t="s">
        <v>32537</v>
      </c>
    </row>
    <row r="8356" spans="1:24">
      <c r="A8356">
        <f>HYPERLINK("https://www.philgeps.gov.ph/GEPSNONPILOT/Tender/SplashBidNoticeAbstractUI.aspx?menuIndex=3&amp;refID=7030383&amp;Result=3","7030383")</f>
        <v>0</v>
      </c>
      <c r="B8356" t="s">
        <v>275</v>
      </c>
      <c r="C8356" t="s">
        <v>10661</v>
      </c>
      <c r="E8356" t="s">
        <v>20412</v>
      </c>
      <c r="F8356" t="s">
        <v>22436</v>
      </c>
      <c r="G8356" t="s">
        <v>22444</v>
      </c>
      <c r="H8356" t="s">
        <v>22452</v>
      </c>
      <c r="I8356" t="s">
        <v>22461</v>
      </c>
      <c r="J8356" t="s">
        <v>24887</v>
      </c>
      <c r="K8356" t="s">
        <v>29338</v>
      </c>
      <c r="M8356" t="s">
        <v>29849</v>
      </c>
      <c r="N8356" t="s">
        <v>32524</v>
      </c>
      <c r="O8356" t="s">
        <v>32525</v>
      </c>
      <c r="Q8356">
        <v>3</v>
      </c>
      <c r="R8356" t="s">
        <v>32536</v>
      </c>
      <c r="S8356" t="s">
        <v>32792</v>
      </c>
      <c r="T8356" t="s">
        <v>33400</v>
      </c>
      <c r="U8356" t="s">
        <v>40586</v>
      </c>
      <c r="V8356" t="s">
        <v>43357</v>
      </c>
      <c r="W8356" t="s">
        <v>29849</v>
      </c>
      <c r="X8356" t="s">
        <v>32537</v>
      </c>
    </row>
    <row r="8357" spans="1:24">
      <c r="A8357">
        <f>HYPERLINK("https://www.philgeps.gov.ph/GEPSNONPILOT/Tender/SplashBidNoticeAbstractUI.aspx?menuIndex=3&amp;refID=7030492&amp;Result=3","7030492")</f>
        <v>0</v>
      </c>
      <c r="B8357" t="s">
        <v>1323</v>
      </c>
      <c r="C8357" t="s">
        <v>6205</v>
      </c>
      <c r="E8357" t="s">
        <v>20413</v>
      </c>
      <c r="F8357" t="s">
        <v>22436</v>
      </c>
      <c r="G8357" t="s">
        <v>22444</v>
      </c>
      <c r="H8357" t="s">
        <v>22452</v>
      </c>
      <c r="I8357" t="s">
        <v>22479</v>
      </c>
      <c r="J8357" t="s">
        <v>27944</v>
      </c>
      <c r="K8357" t="s">
        <v>29338</v>
      </c>
      <c r="M8357" t="s">
        <v>30978</v>
      </c>
      <c r="N8357" t="s">
        <v>32524</v>
      </c>
      <c r="O8357" t="s">
        <v>32525</v>
      </c>
      <c r="P8357">
        <v>0</v>
      </c>
      <c r="Q8357">
        <v>2</v>
      </c>
      <c r="R8357" t="s">
        <v>32536</v>
      </c>
      <c r="S8357" t="s">
        <v>32785</v>
      </c>
      <c r="T8357" t="s">
        <v>33422</v>
      </c>
      <c r="U8357" t="s">
        <v>40587</v>
      </c>
      <c r="W8357" t="s">
        <v>30978</v>
      </c>
      <c r="X8357" t="s">
        <v>32537</v>
      </c>
    </row>
    <row r="8358" spans="1:24">
      <c r="A8358">
        <f>HYPERLINK("https://www.philgeps.gov.ph/GEPSNONPILOT/Tender/SplashBidNoticeAbstractUI.aspx?menuIndex=3&amp;refID=7030260&amp;Result=3","7030260")</f>
        <v>0</v>
      </c>
      <c r="B8358" t="s">
        <v>2401</v>
      </c>
      <c r="C8358" t="s">
        <v>10662</v>
      </c>
      <c r="D8358" t="s">
        <v>13068</v>
      </c>
      <c r="E8358" t="s">
        <v>20414</v>
      </c>
      <c r="F8358" t="s">
        <v>22436</v>
      </c>
      <c r="G8358" t="s">
        <v>22444</v>
      </c>
      <c r="H8358" t="s">
        <v>22454</v>
      </c>
      <c r="I8358" t="s">
        <v>3529</v>
      </c>
      <c r="J8358" t="s">
        <v>23145</v>
      </c>
      <c r="K8358" t="s">
        <v>29341</v>
      </c>
      <c r="M8358" t="s">
        <v>32196</v>
      </c>
      <c r="N8358" t="s">
        <v>32524</v>
      </c>
      <c r="O8358" t="s">
        <v>32525</v>
      </c>
      <c r="P8358">
        <v>0</v>
      </c>
      <c r="Q8358">
        <v>0</v>
      </c>
      <c r="R8358" t="s">
        <v>32536</v>
      </c>
      <c r="S8358" t="s">
        <v>32785</v>
      </c>
      <c r="T8358" t="s">
        <v>33268</v>
      </c>
      <c r="U8358" t="s">
        <v>40588</v>
      </c>
      <c r="V8358" t="s">
        <v>43358</v>
      </c>
      <c r="W8358" t="s">
        <v>32196</v>
      </c>
      <c r="X8358" t="s">
        <v>32537</v>
      </c>
    </row>
    <row r="8359" spans="1:24">
      <c r="A8359">
        <f>HYPERLINK("https://www.philgeps.gov.ph/GEPSNONPILOT/Tender/SplashBidNoticeAbstractUI.aspx?menuIndex=3&amp;refID=7030487&amp;Result=3","7030487")</f>
        <v>0</v>
      </c>
      <c r="B8359" t="s">
        <v>1702</v>
      </c>
      <c r="C8359" t="s">
        <v>10663</v>
      </c>
      <c r="D8359" t="s">
        <v>13065</v>
      </c>
      <c r="E8359" t="s">
        <v>13333</v>
      </c>
      <c r="F8359" t="s">
        <v>22436</v>
      </c>
      <c r="G8359" t="s">
        <v>22444</v>
      </c>
      <c r="H8359" t="s">
        <v>22454</v>
      </c>
      <c r="I8359" t="s">
        <v>22490</v>
      </c>
      <c r="J8359" t="s">
        <v>22616</v>
      </c>
      <c r="K8359" t="s">
        <v>29433</v>
      </c>
      <c r="M8359" t="s">
        <v>31404</v>
      </c>
      <c r="N8359" t="s">
        <v>32524</v>
      </c>
      <c r="O8359" t="s">
        <v>32525</v>
      </c>
      <c r="P8359">
        <v>0</v>
      </c>
      <c r="Q8359">
        <v>0</v>
      </c>
      <c r="R8359" t="s">
        <v>32536</v>
      </c>
      <c r="S8359" t="s">
        <v>32785</v>
      </c>
      <c r="T8359" t="s">
        <v>33323</v>
      </c>
      <c r="U8359" t="s">
        <v>37883</v>
      </c>
      <c r="W8359" t="s">
        <v>31404</v>
      </c>
      <c r="X8359" t="s">
        <v>32537</v>
      </c>
    </row>
    <row r="8360" spans="1:24">
      <c r="A8360">
        <f>HYPERLINK("https://www.philgeps.gov.ph/GEPSNONPILOT/Tender/SplashBidNoticeAbstractUI.aspx?menuIndex=3&amp;refID=7030512&amp;Result=3","7030512")</f>
        <v>0</v>
      </c>
      <c r="B8360" t="s">
        <v>2402</v>
      </c>
      <c r="C8360" t="s">
        <v>10664</v>
      </c>
      <c r="E8360" t="s">
        <v>20415</v>
      </c>
      <c r="F8360" t="s">
        <v>22436</v>
      </c>
      <c r="G8360" t="s">
        <v>22450</v>
      </c>
      <c r="H8360" t="s">
        <v>22454</v>
      </c>
      <c r="I8360" t="s">
        <v>7738</v>
      </c>
      <c r="J8360" t="s">
        <v>27945</v>
      </c>
      <c r="K8360" t="s">
        <v>29347</v>
      </c>
      <c r="M8360" t="s">
        <v>32197</v>
      </c>
      <c r="N8360" t="s">
        <v>32524</v>
      </c>
      <c r="O8360" t="s">
        <v>32525</v>
      </c>
      <c r="P8360">
        <v>0</v>
      </c>
      <c r="Q8360">
        <v>0</v>
      </c>
      <c r="R8360" t="s">
        <v>32536</v>
      </c>
      <c r="S8360" t="s">
        <v>32785</v>
      </c>
      <c r="T8360" t="s">
        <v>33227</v>
      </c>
      <c r="U8360" t="s">
        <v>40589</v>
      </c>
      <c r="W8360" t="s">
        <v>32197</v>
      </c>
      <c r="X8360" t="s">
        <v>32537</v>
      </c>
    </row>
    <row r="8361" spans="1:24">
      <c r="A8361">
        <f>HYPERLINK("https://www.philgeps.gov.ph/GEPSNONPILOT/Tender/SplashBidNoticeAbstractUI.aspx?menuIndex=3&amp;refID=7030503&amp;Result=3","7030503")</f>
        <v>0</v>
      </c>
      <c r="B8361" t="s">
        <v>121</v>
      </c>
      <c r="C8361" t="s">
        <v>10665</v>
      </c>
      <c r="D8361" t="s">
        <v>13034</v>
      </c>
      <c r="E8361" t="s">
        <v>20416</v>
      </c>
      <c r="F8361" t="s">
        <v>22436</v>
      </c>
      <c r="G8361" t="s">
        <v>22444</v>
      </c>
      <c r="H8361" t="s">
        <v>22454</v>
      </c>
      <c r="I8361" t="s">
        <v>7738</v>
      </c>
      <c r="J8361" t="s">
        <v>22779</v>
      </c>
      <c r="K8361" t="s">
        <v>29385</v>
      </c>
      <c r="M8361" t="s">
        <v>30585</v>
      </c>
      <c r="N8361" t="s">
        <v>32524</v>
      </c>
      <c r="O8361" t="s">
        <v>32525</v>
      </c>
      <c r="P8361">
        <v>0</v>
      </c>
      <c r="Q8361">
        <v>0</v>
      </c>
      <c r="R8361" t="s">
        <v>32536</v>
      </c>
      <c r="S8361" t="s">
        <v>32785</v>
      </c>
      <c r="T8361" t="s">
        <v>33155</v>
      </c>
      <c r="U8361" t="s">
        <v>40590</v>
      </c>
      <c r="V8361" t="s">
        <v>43359</v>
      </c>
      <c r="W8361" t="s">
        <v>30585</v>
      </c>
      <c r="X8361" t="s">
        <v>32537</v>
      </c>
    </row>
    <row r="8362" spans="1:24">
      <c r="A8362">
        <f>HYPERLINK("https://www.philgeps.gov.ph/GEPSNONPILOT/Tender/SplashBidNoticeAbstractUI.aspx?menuIndex=3&amp;refID=7030400&amp;Result=3","7030400")</f>
        <v>0</v>
      </c>
      <c r="B8362" t="s">
        <v>121</v>
      </c>
      <c r="C8362" t="s">
        <v>10666</v>
      </c>
      <c r="D8362" t="s">
        <v>13034</v>
      </c>
      <c r="E8362" t="s">
        <v>20417</v>
      </c>
      <c r="F8362" t="s">
        <v>22436</v>
      </c>
      <c r="G8362" t="s">
        <v>22444</v>
      </c>
      <c r="H8362" t="s">
        <v>22454</v>
      </c>
      <c r="I8362" t="s">
        <v>7738</v>
      </c>
      <c r="J8362" t="s">
        <v>22779</v>
      </c>
      <c r="K8362" t="s">
        <v>29333</v>
      </c>
      <c r="M8362" t="s">
        <v>30585</v>
      </c>
      <c r="N8362" t="s">
        <v>32524</v>
      </c>
      <c r="O8362" t="s">
        <v>32525</v>
      </c>
      <c r="P8362">
        <v>0</v>
      </c>
      <c r="Q8362">
        <v>0</v>
      </c>
      <c r="R8362" t="s">
        <v>32536</v>
      </c>
      <c r="S8362" t="s">
        <v>32785</v>
      </c>
      <c r="T8362" t="s">
        <v>33155</v>
      </c>
      <c r="U8362" t="s">
        <v>40591</v>
      </c>
      <c r="V8362" t="s">
        <v>43360</v>
      </c>
      <c r="W8362" t="s">
        <v>30585</v>
      </c>
      <c r="X8362" t="s">
        <v>32537</v>
      </c>
    </row>
    <row r="8363" spans="1:24">
      <c r="A8363">
        <f>HYPERLINK("https://www.philgeps.gov.ph/GEPSNONPILOT/Tender/SplashBidNoticeAbstractUI.aspx?menuIndex=3&amp;refID=7030480&amp;Result=3","7030480")</f>
        <v>0</v>
      </c>
      <c r="B8363" t="s">
        <v>121</v>
      </c>
      <c r="C8363" t="s">
        <v>10667</v>
      </c>
      <c r="D8363" t="s">
        <v>13034</v>
      </c>
      <c r="E8363" t="s">
        <v>20418</v>
      </c>
      <c r="F8363" t="s">
        <v>22436</v>
      </c>
      <c r="G8363" t="s">
        <v>22444</v>
      </c>
      <c r="H8363" t="s">
        <v>22454</v>
      </c>
      <c r="I8363" t="s">
        <v>7738</v>
      </c>
      <c r="J8363" t="s">
        <v>22893</v>
      </c>
      <c r="K8363" t="s">
        <v>29385</v>
      </c>
      <c r="M8363" t="s">
        <v>30585</v>
      </c>
      <c r="N8363" t="s">
        <v>32524</v>
      </c>
      <c r="O8363" t="s">
        <v>32525</v>
      </c>
      <c r="P8363">
        <v>0</v>
      </c>
      <c r="Q8363">
        <v>0</v>
      </c>
      <c r="R8363" t="s">
        <v>32536</v>
      </c>
      <c r="S8363" t="s">
        <v>32785</v>
      </c>
      <c r="T8363" t="s">
        <v>33155</v>
      </c>
      <c r="U8363" t="s">
        <v>40592</v>
      </c>
      <c r="V8363" t="s">
        <v>43361</v>
      </c>
      <c r="W8363" t="s">
        <v>30585</v>
      </c>
      <c r="X8363" t="s">
        <v>32537</v>
      </c>
    </row>
    <row r="8364" spans="1:24">
      <c r="A8364">
        <f>HYPERLINK("https://www.philgeps.gov.ph/GEPSNONPILOT/Tender/SplashBidNoticeAbstractUI.aspx?menuIndex=3&amp;refID=7030390&amp;Result=3","7030390")</f>
        <v>0</v>
      </c>
      <c r="B8364" t="s">
        <v>120</v>
      </c>
      <c r="C8364" t="s">
        <v>10668</v>
      </c>
      <c r="D8364" t="s">
        <v>13015</v>
      </c>
      <c r="E8364" t="s">
        <v>20419</v>
      </c>
      <c r="F8364" t="s">
        <v>22436</v>
      </c>
      <c r="G8364" t="s">
        <v>22444</v>
      </c>
      <c r="H8364" t="s">
        <v>22452</v>
      </c>
      <c r="I8364" t="s">
        <v>3827</v>
      </c>
      <c r="J8364" t="s">
        <v>27946</v>
      </c>
      <c r="K8364" t="s">
        <v>29331</v>
      </c>
      <c r="M8364" t="s">
        <v>29692</v>
      </c>
      <c r="N8364" t="s">
        <v>32524</v>
      </c>
      <c r="O8364" t="s">
        <v>32525</v>
      </c>
      <c r="P8364">
        <v>0</v>
      </c>
      <c r="Q8364">
        <v>0</v>
      </c>
      <c r="R8364" t="s">
        <v>32536</v>
      </c>
      <c r="S8364" t="s">
        <v>32785</v>
      </c>
      <c r="T8364" t="s">
        <v>33190</v>
      </c>
      <c r="U8364" t="s">
        <v>40593</v>
      </c>
      <c r="W8364" t="s">
        <v>29692</v>
      </c>
      <c r="X8364" t="s">
        <v>32537</v>
      </c>
    </row>
    <row r="8365" spans="1:24">
      <c r="A8365">
        <f>HYPERLINK("https://www.philgeps.gov.ph/GEPSNONPILOT/Tender/SplashBidNoticeAbstractUI.aspx?menuIndex=3&amp;refID=7030415&amp;Result=3","7030415")</f>
        <v>0</v>
      </c>
      <c r="B8365" t="s">
        <v>1702</v>
      </c>
      <c r="C8365" t="s">
        <v>10669</v>
      </c>
      <c r="D8365" t="s">
        <v>13065</v>
      </c>
      <c r="E8365" t="s">
        <v>13760</v>
      </c>
      <c r="F8365" t="s">
        <v>22436</v>
      </c>
      <c r="G8365" t="s">
        <v>22444</v>
      </c>
      <c r="H8365" t="s">
        <v>22454</v>
      </c>
      <c r="I8365" t="s">
        <v>22490</v>
      </c>
      <c r="J8365" t="s">
        <v>22788</v>
      </c>
      <c r="K8365" t="s">
        <v>29433</v>
      </c>
      <c r="M8365" t="s">
        <v>31404</v>
      </c>
      <c r="N8365" t="s">
        <v>32524</v>
      </c>
      <c r="O8365" t="s">
        <v>32525</v>
      </c>
      <c r="P8365">
        <v>0</v>
      </c>
      <c r="Q8365">
        <v>0</v>
      </c>
      <c r="R8365" t="s">
        <v>32536</v>
      </c>
      <c r="S8365" t="s">
        <v>32785</v>
      </c>
      <c r="T8365" t="s">
        <v>33323</v>
      </c>
      <c r="U8365" t="s">
        <v>40594</v>
      </c>
      <c r="W8365" t="s">
        <v>31404</v>
      </c>
      <c r="X8365" t="s">
        <v>32537</v>
      </c>
    </row>
    <row r="8366" spans="1:24">
      <c r="A8366">
        <f>HYPERLINK("https://www.philgeps.gov.ph/GEPSNONPILOT/Tender/SplashBidNoticeAbstractUI.aspx?menuIndex=3&amp;refID=7030506&amp;Result=3","7030506")</f>
        <v>0</v>
      </c>
      <c r="B8366" t="s">
        <v>1498</v>
      </c>
      <c r="C8366" t="s">
        <v>10670</v>
      </c>
      <c r="D8366" t="s">
        <v>13045</v>
      </c>
      <c r="E8366" t="s">
        <v>20420</v>
      </c>
      <c r="F8366" t="s">
        <v>22436</v>
      </c>
      <c r="G8366" t="s">
        <v>22444</v>
      </c>
      <c r="H8366" t="s">
        <v>22454</v>
      </c>
      <c r="I8366" t="s">
        <v>7738</v>
      </c>
      <c r="J8366" t="s">
        <v>27947</v>
      </c>
      <c r="K8366" t="s">
        <v>29334</v>
      </c>
      <c r="M8366" t="s">
        <v>31172</v>
      </c>
      <c r="N8366" t="s">
        <v>32524</v>
      </c>
      <c r="O8366" t="s">
        <v>32525</v>
      </c>
      <c r="P8366">
        <v>0</v>
      </c>
      <c r="Q8366">
        <v>3</v>
      </c>
      <c r="R8366" t="s">
        <v>32536</v>
      </c>
      <c r="S8366" t="s">
        <v>32785</v>
      </c>
      <c r="T8366" t="s">
        <v>33344</v>
      </c>
      <c r="U8366" t="s">
        <v>40595</v>
      </c>
      <c r="W8366" t="s">
        <v>31172</v>
      </c>
      <c r="X8366" t="s">
        <v>32537</v>
      </c>
    </row>
    <row r="8367" spans="1:24">
      <c r="A8367">
        <f>HYPERLINK("https://www.philgeps.gov.ph/GEPSNONPILOT/Tender/SplashBidNoticeAbstractUI.aspx?menuIndex=3&amp;refID=7030437&amp;Result=3","7030437")</f>
        <v>0</v>
      </c>
      <c r="B8367" t="s">
        <v>666</v>
      </c>
      <c r="C8367" t="s">
        <v>10671</v>
      </c>
      <c r="D8367" t="s">
        <v>13051</v>
      </c>
      <c r="E8367" t="s">
        <v>20421</v>
      </c>
      <c r="F8367" t="s">
        <v>22436</v>
      </c>
      <c r="G8367" t="s">
        <v>22444</v>
      </c>
      <c r="H8367" t="s">
        <v>22454</v>
      </c>
      <c r="I8367" t="s">
        <v>7738</v>
      </c>
      <c r="J8367" t="s">
        <v>22743</v>
      </c>
      <c r="K8367" t="s">
        <v>29403</v>
      </c>
      <c r="M8367" t="s">
        <v>30258</v>
      </c>
      <c r="N8367" t="s">
        <v>32524</v>
      </c>
      <c r="O8367" t="s">
        <v>32525</v>
      </c>
      <c r="P8367">
        <v>0</v>
      </c>
      <c r="Q8367">
        <v>0</v>
      </c>
      <c r="R8367" t="s">
        <v>32536</v>
      </c>
      <c r="S8367" t="s">
        <v>32785</v>
      </c>
      <c r="T8367" t="s">
        <v>33227</v>
      </c>
      <c r="U8367" t="s">
        <v>35020</v>
      </c>
      <c r="W8367" t="s">
        <v>30258</v>
      </c>
      <c r="X8367" t="s">
        <v>32537</v>
      </c>
    </row>
    <row r="8368" spans="1:24">
      <c r="A8368">
        <f>HYPERLINK("https://www.philgeps.gov.ph/GEPSNONPILOT/Tender/SplashBidNoticeAbstractUI.aspx?menuIndex=3&amp;refID=7030552&amp;Result=3","7030552")</f>
        <v>0</v>
      </c>
      <c r="B8368" t="s">
        <v>195</v>
      </c>
      <c r="C8368" t="s">
        <v>10672</v>
      </c>
      <c r="D8368" t="s">
        <v>13031</v>
      </c>
      <c r="E8368" t="s">
        <v>20422</v>
      </c>
      <c r="F8368" t="s">
        <v>22436</v>
      </c>
      <c r="G8368" t="s">
        <v>22444</v>
      </c>
      <c r="H8368" t="s">
        <v>22454</v>
      </c>
      <c r="I8368" t="s">
        <v>7738</v>
      </c>
      <c r="J8368" t="s">
        <v>24074</v>
      </c>
      <c r="K8368" t="s">
        <v>29345</v>
      </c>
      <c r="M8368" t="s">
        <v>32198</v>
      </c>
      <c r="N8368" t="s">
        <v>32524</v>
      </c>
      <c r="O8368" t="s">
        <v>32525</v>
      </c>
      <c r="P8368">
        <v>0</v>
      </c>
      <c r="Q8368">
        <v>2</v>
      </c>
      <c r="R8368" t="s">
        <v>32536</v>
      </c>
      <c r="S8368" t="s">
        <v>32785</v>
      </c>
      <c r="T8368" t="s">
        <v>33234</v>
      </c>
      <c r="U8368" t="s">
        <v>40596</v>
      </c>
      <c r="W8368" t="s">
        <v>32198</v>
      </c>
      <c r="X8368" t="s">
        <v>32537</v>
      </c>
    </row>
    <row r="8369" spans="1:24">
      <c r="A8369">
        <f>HYPERLINK("https://www.philgeps.gov.ph/GEPSNONPILOT/Tender/SplashBidNoticeAbstractUI.aspx?menuIndex=3&amp;refID=7030637&amp;Result=3","7030637")</f>
        <v>0</v>
      </c>
      <c r="B8369" t="s">
        <v>986</v>
      </c>
      <c r="C8369" t="s">
        <v>10673</v>
      </c>
      <c r="D8369" t="s">
        <v>13016</v>
      </c>
      <c r="E8369" t="s">
        <v>20423</v>
      </c>
      <c r="F8369" t="s">
        <v>22436</v>
      </c>
      <c r="G8369" t="s">
        <v>22443</v>
      </c>
      <c r="H8369" t="s">
        <v>22452</v>
      </c>
      <c r="I8369" t="s">
        <v>3529</v>
      </c>
      <c r="J8369" t="s">
        <v>27948</v>
      </c>
      <c r="K8369" t="s">
        <v>29336</v>
      </c>
      <c r="L8369" t="s">
        <v>986</v>
      </c>
      <c r="M8369" t="s">
        <v>30608</v>
      </c>
      <c r="N8369" t="s">
        <v>32524</v>
      </c>
      <c r="O8369" t="s">
        <v>32525</v>
      </c>
      <c r="P8369">
        <v>0</v>
      </c>
      <c r="Q8369">
        <v>0</v>
      </c>
      <c r="R8369" t="s">
        <v>32536</v>
      </c>
      <c r="S8369" t="s">
        <v>32785</v>
      </c>
      <c r="T8369" t="s">
        <v>33197</v>
      </c>
      <c r="U8369" t="s">
        <v>40597</v>
      </c>
      <c r="V8369" t="s">
        <v>42676</v>
      </c>
      <c r="W8369" t="s">
        <v>30608</v>
      </c>
      <c r="X8369" t="s">
        <v>32537</v>
      </c>
    </row>
    <row r="8370" spans="1:24">
      <c r="A8370">
        <f>HYPERLINK("https://www.philgeps.gov.ph/GEPSNONPILOT/Tender/SplashBidNoticeAbstractUI.aspx?menuIndex=3&amp;refID=7030646&amp;Result=3","7030646")</f>
        <v>0</v>
      </c>
      <c r="B8370" t="s">
        <v>1740</v>
      </c>
      <c r="C8370" t="s">
        <v>10674</v>
      </c>
      <c r="D8370" t="s">
        <v>13045</v>
      </c>
      <c r="E8370" t="s">
        <v>20424</v>
      </c>
      <c r="F8370" t="s">
        <v>22436</v>
      </c>
      <c r="G8370" t="s">
        <v>22444</v>
      </c>
      <c r="H8370" t="s">
        <v>22452</v>
      </c>
      <c r="I8370" t="s">
        <v>22474</v>
      </c>
      <c r="J8370" t="s">
        <v>24714</v>
      </c>
      <c r="K8370" t="s">
        <v>29335</v>
      </c>
      <c r="M8370" t="s">
        <v>31445</v>
      </c>
      <c r="N8370" t="s">
        <v>32524</v>
      </c>
      <c r="O8370" t="s">
        <v>32525</v>
      </c>
      <c r="P8370">
        <v>0</v>
      </c>
      <c r="Q8370">
        <v>6</v>
      </c>
      <c r="R8370" t="s">
        <v>32536</v>
      </c>
      <c r="S8370" t="s">
        <v>32785</v>
      </c>
      <c r="T8370" t="s">
        <v>33187</v>
      </c>
      <c r="U8370" t="s">
        <v>40598</v>
      </c>
      <c r="V8370" t="s">
        <v>43362</v>
      </c>
      <c r="W8370" t="s">
        <v>31445</v>
      </c>
      <c r="X8370" t="s">
        <v>32537</v>
      </c>
    </row>
    <row r="8371" spans="1:24">
      <c r="A8371">
        <f>HYPERLINK("https://www.philgeps.gov.ph/GEPSNONPILOT/Tender/SplashBidNoticeAbstractUI.aspx?menuIndex=3&amp;refID=7030634&amp;Result=3","7030634")</f>
        <v>0</v>
      </c>
      <c r="B8371" t="s">
        <v>1498</v>
      </c>
      <c r="C8371" t="s">
        <v>10675</v>
      </c>
      <c r="D8371" t="s">
        <v>13045</v>
      </c>
      <c r="E8371" t="s">
        <v>20425</v>
      </c>
      <c r="F8371" t="s">
        <v>22436</v>
      </c>
      <c r="G8371" t="s">
        <v>22444</v>
      </c>
      <c r="H8371" t="s">
        <v>22454</v>
      </c>
      <c r="I8371" t="s">
        <v>7738</v>
      </c>
      <c r="J8371" t="s">
        <v>27949</v>
      </c>
      <c r="K8371" t="s">
        <v>29334</v>
      </c>
      <c r="M8371" t="s">
        <v>31172</v>
      </c>
      <c r="N8371" t="s">
        <v>32524</v>
      </c>
      <c r="O8371" t="s">
        <v>32525</v>
      </c>
      <c r="P8371">
        <v>0</v>
      </c>
      <c r="Q8371">
        <v>3</v>
      </c>
      <c r="R8371" t="s">
        <v>32536</v>
      </c>
      <c r="S8371" t="s">
        <v>32785</v>
      </c>
      <c r="T8371" t="s">
        <v>33344</v>
      </c>
      <c r="U8371" t="s">
        <v>40595</v>
      </c>
      <c r="W8371" t="s">
        <v>31172</v>
      </c>
      <c r="X8371" t="s">
        <v>32537</v>
      </c>
    </row>
    <row r="8372" spans="1:24">
      <c r="A8372">
        <f>HYPERLINK("https://www.philgeps.gov.ph/GEPSNONPILOT/Tender/SplashBidNoticeAbstractUI.aspx?menuIndex=3&amp;refID=7030585&amp;Result=3","7030585")</f>
        <v>0</v>
      </c>
      <c r="B8372" t="s">
        <v>2403</v>
      </c>
      <c r="C8372" t="s">
        <v>10676</v>
      </c>
      <c r="D8372" t="s">
        <v>13054</v>
      </c>
      <c r="E8372" t="s">
        <v>20426</v>
      </c>
      <c r="F8372" t="s">
        <v>22436</v>
      </c>
      <c r="G8372" t="s">
        <v>22444</v>
      </c>
      <c r="H8372" t="s">
        <v>22452</v>
      </c>
      <c r="I8372" t="s">
        <v>2981</v>
      </c>
      <c r="J8372" t="s">
        <v>27950</v>
      </c>
      <c r="K8372" t="s">
        <v>29338</v>
      </c>
      <c r="M8372" t="s">
        <v>32199</v>
      </c>
      <c r="N8372" t="s">
        <v>32524</v>
      </c>
      <c r="O8372" t="s">
        <v>32525</v>
      </c>
      <c r="P8372">
        <v>0</v>
      </c>
      <c r="Q8372">
        <v>0</v>
      </c>
      <c r="R8372" t="s">
        <v>32536</v>
      </c>
      <c r="S8372" t="s">
        <v>32785</v>
      </c>
      <c r="T8372" t="s">
        <v>33168</v>
      </c>
      <c r="U8372" t="s">
        <v>40599</v>
      </c>
      <c r="V8372" t="s">
        <v>43363</v>
      </c>
      <c r="W8372" t="s">
        <v>32199</v>
      </c>
      <c r="X8372" t="s">
        <v>32537</v>
      </c>
    </row>
    <row r="8373" spans="1:24">
      <c r="A8373">
        <f>HYPERLINK("https://www.philgeps.gov.ph/GEPSNONPILOT/Tender/SplashBidNoticeAbstractUI.aspx?menuIndex=3&amp;refID=7030618&amp;Result=3","7030618")</f>
        <v>0</v>
      </c>
      <c r="B8373" t="s">
        <v>1323</v>
      </c>
      <c r="C8373" t="s">
        <v>10677</v>
      </c>
      <c r="E8373" t="s">
        <v>20427</v>
      </c>
      <c r="F8373" t="s">
        <v>22436</v>
      </c>
      <c r="G8373" t="s">
        <v>22444</v>
      </c>
      <c r="H8373" t="s">
        <v>22452</v>
      </c>
      <c r="I8373" t="s">
        <v>22468</v>
      </c>
      <c r="J8373" t="s">
        <v>27951</v>
      </c>
      <c r="K8373" t="s">
        <v>29338</v>
      </c>
      <c r="M8373" t="s">
        <v>30978</v>
      </c>
      <c r="N8373" t="s">
        <v>32524</v>
      </c>
      <c r="O8373" t="s">
        <v>32525</v>
      </c>
      <c r="P8373">
        <v>0</v>
      </c>
      <c r="Q8373">
        <v>2</v>
      </c>
      <c r="R8373" t="s">
        <v>32536</v>
      </c>
      <c r="S8373" t="s">
        <v>32785</v>
      </c>
      <c r="T8373" t="s">
        <v>33422</v>
      </c>
      <c r="U8373" t="s">
        <v>40600</v>
      </c>
      <c r="W8373" t="s">
        <v>30978</v>
      </c>
      <c r="X8373" t="s">
        <v>32537</v>
      </c>
    </row>
    <row r="8374" spans="1:24">
      <c r="A8374">
        <f>HYPERLINK("https://www.philgeps.gov.ph/GEPSNONPILOT/Tender/SplashBidNoticeAbstractUI.aspx?menuIndex=3&amp;refID=7030538&amp;Result=3","7030538")</f>
        <v>0</v>
      </c>
      <c r="B8374" t="s">
        <v>1702</v>
      </c>
      <c r="C8374" t="s">
        <v>10678</v>
      </c>
      <c r="D8374" t="s">
        <v>13065</v>
      </c>
      <c r="E8374" t="s">
        <v>16213</v>
      </c>
      <c r="F8374" t="s">
        <v>22436</v>
      </c>
      <c r="G8374" t="s">
        <v>22444</v>
      </c>
      <c r="H8374" t="s">
        <v>22454</v>
      </c>
      <c r="I8374" t="s">
        <v>22490</v>
      </c>
      <c r="J8374" t="s">
        <v>23226</v>
      </c>
      <c r="K8374" t="s">
        <v>29362</v>
      </c>
      <c r="M8374" t="s">
        <v>31404</v>
      </c>
      <c r="N8374" t="s">
        <v>32524</v>
      </c>
      <c r="O8374" t="s">
        <v>32525</v>
      </c>
      <c r="P8374">
        <v>0</v>
      </c>
      <c r="Q8374">
        <v>0</v>
      </c>
      <c r="R8374" t="s">
        <v>32536</v>
      </c>
      <c r="S8374" t="s">
        <v>32785</v>
      </c>
      <c r="T8374" t="s">
        <v>33323</v>
      </c>
      <c r="U8374" t="s">
        <v>40601</v>
      </c>
      <c r="W8374" t="s">
        <v>31404</v>
      </c>
      <c r="X8374" t="s">
        <v>32537</v>
      </c>
    </row>
    <row r="8375" spans="1:24">
      <c r="A8375">
        <f>HYPERLINK("https://www.philgeps.gov.ph/GEPSNONPILOT/Tender/SplashBidNoticeAbstractUI.aspx?menuIndex=3&amp;refID=7030578&amp;Result=3","7030578")</f>
        <v>0</v>
      </c>
      <c r="B8375" t="s">
        <v>195</v>
      </c>
      <c r="C8375" t="s">
        <v>10679</v>
      </c>
      <c r="D8375" t="s">
        <v>13031</v>
      </c>
      <c r="E8375" t="s">
        <v>20428</v>
      </c>
      <c r="F8375" t="s">
        <v>22436</v>
      </c>
      <c r="G8375" t="s">
        <v>22444</v>
      </c>
      <c r="H8375" t="s">
        <v>22454</v>
      </c>
      <c r="I8375" t="s">
        <v>7738</v>
      </c>
      <c r="J8375" t="s">
        <v>27465</v>
      </c>
      <c r="K8375" t="s">
        <v>29344</v>
      </c>
      <c r="M8375" t="s">
        <v>32198</v>
      </c>
      <c r="N8375" t="s">
        <v>32524</v>
      </c>
      <c r="O8375" t="s">
        <v>32525</v>
      </c>
      <c r="P8375">
        <v>0</v>
      </c>
      <c r="Q8375">
        <v>2</v>
      </c>
      <c r="R8375" t="s">
        <v>32536</v>
      </c>
      <c r="S8375" t="s">
        <v>32785</v>
      </c>
      <c r="T8375" t="s">
        <v>33234</v>
      </c>
      <c r="U8375" t="s">
        <v>40602</v>
      </c>
      <c r="W8375" t="s">
        <v>32198</v>
      </c>
      <c r="X8375" t="s">
        <v>32537</v>
      </c>
    </row>
    <row r="8376" spans="1:24">
      <c r="A8376">
        <f>HYPERLINK("https://www.philgeps.gov.ph/GEPSNONPILOT/Tender/SplashBidNoticeAbstractUI.aspx?menuIndex=3&amp;refID=7030594&amp;Result=3","7030594")</f>
        <v>0</v>
      </c>
      <c r="B8376" t="s">
        <v>195</v>
      </c>
      <c r="C8376" t="s">
        <v>10680</v>
      </c>
      <c r="D8376" t="s">
        <v>13031</v>
      </c>
      <c r="E8376" t="s">
        <v>20429</v>
      </c>
      <c r="F8376" t="s">
        <v>22436</v>
      </c>
      <c r="G8376" t="s">
        <v>22444</v>
      </c>
      <c r="H8376" t="s">
        <v>22454</v>
      </c>
      <c r="I8376" t="s">
        <v>7738</v>
      </c>
      <c r="J8376" t="s">
        <v>27952</v>
      </c>
      <c r="K8376" t="s">
        <v>29485</v>
      </c>
      <c r="M8376" t="s">
        <v>32198</v>
      </c>
      <c r="N8376" t="s">
        <v>32524</v>
      </c>
      <c r="O8376" t="s">
        <v>32525</v>
      </c>
      <c r="P8376">
        <v>0</v>
      </c>
      <c r="Q8376">
        <v>0</v>
      </c>
      <c r="R8376" t="s">
        <v>32536</v>
      </c>
      <c r="S8376" t="s">
        <v>32785</v>
      </c>
      <c r="T8376" t="s">
        <v>33234</v>
      </c>
      <c r="U8376" t="s">
        <v>40603</v>
      </c>
      <c r="W8376" t="s">
        <v>32198</v>
      </c>
      <c r="X8376" t="s">
        <v>32537</v>
      </c>
    </row>
    <row r="8377" spans="1:24">
      <c r="A8377">
        <f>HYPERLINK("https://www.philgeps.gov.ph/GEPSNONPILOT/Tender/SplashBidNoticeAbstractUI.aspx?menuIndex=3&amp;refID=7030708&amp;Result=3","7030708")</f>
        <v>0</v>
      </c>
      <c r="B8377" t="s">
        <v>1332</v>
      </c>
      <c r="C8377" t="s">
        <v>10681</v>
      </c>
      <c r="D8377" t="s">
        <v>13037</v>
      </c>
      <c r="E8377" t="s">
        <v>14828</v>
      </c>
      <c r="F8377" t="s">
        <v>22436</v>
      </c>
      <c r="G8377" t="s">
        <v>22444</v>
      </c>
      <c r="H8377" t="s">
        <v>22452</v>
      </c>
      <c r="I8377" t="s">
        <v>3529</v>
      </c>
      <c r="J8377" t="s">
        <v>22877</v>
      </c>
      <c r="K8377" t="s">
        <v>29338</v>
      </c>
      <c r="M8377" t="s">
        <v>30987</v>
      </c>
      <c r="N8377" t="s">
        <v>32524</v>
      </c>
      <c r="O8377" t="s">
        <v>32525</v>
      </c>
      <c r="P8377">
        <v>0</v>
      </c>
      <c r="Q8377">
        <v>0</v>
      </c>
      <c r="R8377" t="s">
        <v>32536</v>
      </c>
      <c r="S8377" t="s">
        <v>32785</v>
      </c>
      <c r="T8377" t="s">
        <v>33163</v>
      </c>
      <c r="U8377" t="s">
        <v>36776</v>
      </c>
      <c r="W8377" t="s">
        <v>30987</v>
      </c>
      <c r="X8377" t="s">
        <v>32537</v>
      </c>
    </row>
    <row r="8378" spans="1:24">
      <c r="A8378">
        <f>HYPERLINK("https://www.philgeps.gov.ph/GEPSNONPILOT/Tender/SplashBidNoticeAbstractUI.aspx?menuIndex=3&amp;refID=7030655&amp;Result=3","7030655")</f>
        <v>0</v>
      </c>
      <c r="B8378" t="s">
        <v>688</v>
      </c>
      <c r="C8378" t="s">
        <v>10682</v>
      </c>
      <c r="D8378" t="s">
        <v>12994</v>
      </c>
      <c r="E8378" t="s">
        <v>20430</v>
      </c>
      <c r="F8378" t="s">
        <v>22436</v>
      </c>
      <c r="G8378" t="s">
        <v>22444</v>
      </c>
      <c r="H8378" t="s">
        <v>22452</v>
      </c>
      <c r="I8378" t="s">
        <v>22474</v>
      </c>
      <c r="J8378" t="s">
        <v>26321</v>
      </c>
      <c r="K8378" t="s">
        <v>29335</v>
      </c>
      <c r="M8378" t="s">
        <v>30282</v>
      </c>
      <c r="N8378" t="s">
        <v>32524</v>
      </c>
      <c r="O8378" t="s">
        <v>32525</v>
      </c>
      <c r="Q8378">
        <v>4</v>
      </c>
      <c r="R8378" t="s">
        <v>32536</v>
      </c>
      <c r="S8378" t="s">
        <v>32793</v>
      </c>
      <c r="T8378" t="s">
        <v>33551</v>
      </c>
      <c r="U8378" t="s">
        <v>40604</v>
      </c>
      <c r="W8378" t="s">
        <v>43692</v>
      </c>
      <c r="X8378" t="s">
        <v>32537</v>
      </c>
    </row>
    <row r="8379" spans="1:24">
      <c r="A8379">
        <f>HYPERLINK("https://www.philgeps.gov.ph/GEPSNONPILOT/Tender/SplashBidNoticeAbstractUI.aspx?menuIndex=3&amp;refID=7030241&amp;Result=3","7030241")</f>
        <v>0</v>
      </c>
      <c r="B8379" t="s">
        <v>121</v>
      </c>
      <c r="C8379" t="s">
        <v>10683</v>
      </c>
      <c r="D8379" t="s">
        <v>13034</v>
      </c>
      <c r="E8379" t="s">
        <v>20431</v>
      </c>
      <c r="F8379" t="s">
        <v>22436</v>
      </c>
      <c r="G8379" t="s">
        <v>22444</v>
      </c>
      <c r="H8379" t="s">
        <v>22454</v>
      </c>
      <c r="I8379" t="s">
        <v>7738</v>
      </c>
      <c r="J8379" t="s">
        <v>22779</v>
      </c>
      <c r="K8379" t="s">
        <v>29425</v>
      </c>
      <c r="M8379" t="s">
        <v>30585</v>
      </c>
      <c r="N8379" t="s">
        <v>32524</v>
      </c>
      <c r="O8379" t="s">
        <v>32525</v>
      </c>
      <c r="P8379">
        <v>0</v>
      </c>
      <c r="Q8379">
        <v>0</v>
      </c>
      <c r="R8379" t="s">
        <v>32536</v>
      </c>
      <c r="S8379" t="s">
        <v>32785</v>
      </c>
      <c r="T8379" t="s">
        <v>33155</v>
      </c>
      <c r="U8379" t="s">
        <v>40605</v>
      </c>
      <c r="V8379" t="s">
        <v>43364</v>
      </c>
      <c r="W8379" t="s">
        <v>30585</v>
      </c>
      <c r="X8379" t="s">
        <v>32537</v>
      </c>
    </row>
    <row r="8380" spans="1:24">
      <c r="A8380">
        <f>HYPERLINK("https://www.philgeps.gov.ph/GEPSNONPILOT/Tender/SplashBidNoticeAbstractUI.aspx?menuIndex=3&amp;refID=7030719&amp;Result=3","7030719")</f>
        <v>0</v>
      </c>
      <c r="B8380" t="s">
        <v>1721</v>
      </c>
      <c r="C8380" t="s">
        <v>10684</v>
      </c>
      <c r="D8380" t="s">
        <v>13032</v>
      </c>
      <c r="E8380" t="s">
        <v>14329</v>
      </c>
      <c r="F8380" t="s">
        <v>22436</v>
      </c>
      <c r="G8380" t="s">
        <v>22444</v>
      </c>
      <c r="H8380" t="s">
        <v>22454</v>
      </c>
      <c r="I8380" t="s">
        <v>7738</v>
      </c>
      <c r="J8380" t="s">
        <v>22877</v>
      </c>
      <c r="K8380" t="s">
        <v>29333</v>
      </c>
      <c r="M8380" t="s">
        <v>31425</v>
      </c>
      <c r="N8380" t="s">
        <v>32524</v>
      </c>
      <c r="O8380" t="s">
        <v>32525</v>
      </c>
      <c r="P8380">
        <v>0</v>
      </c>
      <c r="Q8380">
        <v>1</v>
      </c>
      <c r="R8380" t="s">
        <v>32536</v>
      </c>
      <c r="S8380" t="s">
        <v>32785</v>
      </c>
      <c r="T8380" t="s">
        <v>33181</v>
      </c>
      <c r="U8380" t="s">
        <v>40606</v>
      </c>
      <c r="W8380" t="s">
        <v>31425</v>
      </c>
      <c r="X8380" t="s">
        <v>32537</v>
      </c>
    </row>
    <row r="8381" spans="1:24">
      <c r="A8381">
        <f>HYPERLINK("https://www.philgeps.gov.ph/GEPSNONPILOT/Tender/SplashBidNoticeAbstractUI.aspx?menuIndex=3&amp;refID=7030872&amp;Result=3","7030872")</f>
        <v>0</v>
      </c>
      <c r="B8381" t="s">
        <v>583</v>
      </c>
      <c r="C8381" t="s">
        <v>10685</v>
      </c>
      <c r="D8381" t="s">
        <v>13008</v>
      </c>
      <c r="E8381" t="s">
        <v>14970</v>
      </c>
      <c r="F8381" t="s">
        <v>22436</v>
      </c>
      <c r="G8381" t="s">
        <v>22444</v>
      </c>
      <c r="H8381" t="s">
        <v>22452</v>
      </c>
      <c r="I8381" t="s">
        <v>22469</v>
      </c>
      <c r="J8381" t="s">
        <v>22654</v>
      </c>
      <c r="K8381" t="s">
        <v>29335</v>
      </c>
      <c r="M8381" t="s">
        <v>30173</v>
      </c>
      <c r="N8381" t="s">
        <v>32524</v>
      </c>
      <c r="O8381" t="s">
        <v>32525</v>
      </c>
      <c r="P8381">
        <v>0</v>
      </c>
      <c r="Q8381">
        <v>2</v>
      </c>
      <c r="R8381" t="s">
        <v>32536</v>
      </c>
      <c r="S8381" t="s">
        <v>32785</v>
      </c>
      <c r="T8381" t="s">
        <v>33460</v>
      </c>
      <c r="U8381" t="s">
        <v>40607</v>
      </c>
      <c r="W8381" t="s">
        <v>30173</v>
      </c>
      <c r="X8381" t="s">
        <v>32537</v>
      </c>
    </row>
    <row r="8382" spans="1:24">
      <c r="A8382">
        <f>HYPERLINK("https://www.philgeps.gov.ph/GEPSNONPILOT/Tender/SplashBidNoticeAbstractUI.aspx?menuIndex=3&amp;refID=7030695&amp;Result=3","7030695")</f>
        <v>0</v>
      </c>
      <c r="B8382" t="s">
        <v>2404</v>
      </c>
      <c r="C8382" t="s">
        <v>10686</v>
      </c>
      <c r="D8382" t="s">
        <v>13011</v>
      </c>
      <c r="E8382" t="s">
        <v>13182</v>
      </c>
      <c r="F8382" t="s">
        <v>22437</v>
      </c>
      <c r="G8382" t="s">
        <v>22444</v>
      </c>
      <c r="H8382" t="s">
        <v>22453</v>
      </c>
      <c r="I8382" t="s">
        <v>22471</v>
      </c>
      <c r="J8382" t="s">
        <v>27953</v>
      </c>
      <c r="K8382" t="s">
        <v>29434</v>
      </c>
      <c r="M8382" t="s">
        <v>32200</v>
      </c>
      <c r="N8382" t="s">
        <v>32524</v>
      </c>
      <c r="O8382" t="s">
        <v>32525</v>
      </c>
      <c r="P8382">
        <v>0</v>
      </c>
      <c r="Q8382">
        <v>0</v>
      </c>
      <c r="R8382" t="s">
        <v>32536</v>
      </c>
      <c r="S8382" t="s">
        <v>32785</v>
      </c>
      <c r="T8382" t="s">
        <v>33230</v>
      </c>
      <c r="U8382" t="s">
        <v>40608</v>
      </c>
      <c r="V8382" t="s">
        <v>43365</v>
      </c>
      <c r="W8382" t="s">
        <v>32200</v>
      </c>
      <c r="X8382" t="s">
        <v>32537</v>
      </c>
    </row>
    <row r="8383" spans="1:24">
      <c r="A8383">
        <f>HYPERLINK("https://www.philgeps.gov.ph/GEPSNONPILOT/Tender/SplashBidNoticeAbstractUI.aspx?menuIndex=3&amp;refID=7030722&amp;Result=3","7030722")</f>
        <v>0</v>
      </c>
      <c r="B8383" t="s">
        <v>2405</v>
      </c>
      <c r="C8383" t="s">
        <v>10687</v>
      </c>
      <c r="D8383" t="s">
        <v>13045</v>
      </c>
      <c r="E8383" t="s">
        <v>20432</v>
      </c>
      <c r="F8383" t="s">
        <v>22436</v>
      </c>
      <c r="G8383" t="s">
        <v>22444</v>
      </c>
      <c r="H8383" t="s">
        <v>22452</v>
      </c>
      <c r="I8383" t="s">
        <v>22517</v>
      </c>
      <c r="J8383" t="s">
        <v>27206</v>
      </c>
      <c r="K8383" t="s">
        <v>29335</v>
      </c>
      <c r="M8383" t="s">
        <v>32201</v>
      </c>
      <c r="N8383" t="s">
        <v>32524</v>
      </c>
      <c r="O8383" t="s">
        <v>32525</v>
      </c>
      <c r="P8383">
        <v>0</v>
      </c>
      <c r="Q8383">
        <v>4</v>
      </c>
      <c r="R8383" t="s">
        <v>32536</v>
      </c>
      <c r="S8383" t="s">
        <v>32785</v>
      </c>
      <c r="T8383" t="s">
        <v>33405</v>
      </c>
      <c r="U8383" t="s">
        <v>40609</v>
      </c>
      <c r="W8383" t="s">
        <v>32201</v>
      </c>
      <c r="X8383" t="s">
        <v>32537</v>
      </c>
    </row>
    <row r="8384" spans="1:24">
      <c r="A8384">
        <f>HYPERLINK("https://www.philgeps.gov.ph/GEPSNONPILOT/Tender/SplashBidNoticeAbstractUI.aspx?menuIndex=3&amp;refID=7030838&amp;Result=3","7030838")</f>
        <v>0</v>
      </c>
      <c r="B8384" t="s">
        <v>2262</v>
      </c>
      <c r="C8384" t="s">
        <v>10688</v>
      </c>
      <c r="D8384" t="s">
        <v>13020</v>
      </c>
      <c r="E8384" t="s">
        <v>20433</v>
      </c>
      <c r="F8384" t="s">
        <v>22436</v>
      </c>
      <c r="G8384" t="s">
        <v>22444</v>
      </c>
      <c r="H8384" t="s">
        <v>22454</v>
      </c>
      <c r="I8384" t="s">
        <v>7738</v>
      </c>
      <c r="J8384" t="s">
        <v>25071</v>
      </c>
      <c r="K8384" t="s">
        <v>29538</v>
      </c>
      <c r="L8384" t="s">
        <v>2262</v>
      </c>
      <c r="M8384" t="s">
        <v>32032</v>
      </c>
      <c r="N8384" t="s">
        <v>32524</v>
      </c>
      <c r="O8384" t="s">
        <v>32525</v>
      </c>
      <c r="P8384">
        <v>0</v>
      </c>
      <c r="Q8384">
        <v>17</v>
      </c>
      <c r="R8384" t="s">
        <v>32536</v>
      </c>
      <c r="S8384" t="s">
        <v>32785</v>
      </c>
      <c r="T8384" t="s">
        <v>33249</v>
      </c>
      <c r="U8384" t="s">
        <v>40610</v>
      </c>
      <c r="W8384" t="s">
        <v>32032</v>
      </c>
      <c r="X8384" t="s">
        <v>32537</v>
      </c>
    </row>
    <row r="8385" spans="1:24">
      <c r="A8385">
        <f>HYPERLINK("https://www.philgeps.gov.ph/GEPSNONPILOT/Tender/SplashBidNoticeAbstractUI.aspx?menuIndex=3&amp;refID=7030686&amp;Result=3","7030686")</f>
        <v>0</v>
      </c>
      <c r="B8385" t="s">
        <v>713</v>
      </c>
      <c r="C8385" t="s">
        <v>10689</v>
      </c>
      <c r="D8385" t="s">
        <v>13007</v>
      </c>
      <c r="E8385" t="s">
        <v>20434</v>
      </c>
      <c r="F8385" t="s">
        <v>22436</v>
      </c>
      <c r="G8385" t="s">
        <v>22444</v>
      </c>
      <c r="H8385" t="s">
        <v>22452</v>
      </c>
      <c r="I8385" t="s">
        <v>22566</v>
      </c>
      <c r="J8385" t="s">
        <v>25144</v>
      </c>
      <c r="K8385" t="s">
        <v>29333</v>
      </c>
      <c r="M8385" t="s">
        <v>32202</v>
      </c>
      <c r="N8385" t="s">
        <v>32524</v>
      </c>
      <c r="O8385" t="s">
        <v>32525</v>
      </c>
      <c r="P8385">
        <v>0</v>
      </c>
      <c r="Q8385">
        <v>5</v>
      </c>
      <c r="R8385" t="s">
        <v>32536</v>
      </c>
      <c r="S8385" t="s">
        <v>32785</v>
      </c>
      <c r="T8385" t="s">
        <v>33387</v>
      </c>
      <c r="U8385" t="s">
        <v>40611</v>
      </c>
      <c r="V8385" t="s">
        <v>43366</v>
      </c>
      <c r="W8385" t="s">
        <v>32202</v>
      </c>
      <c r="X8385" t="s">
        <v>32537</v>
      </c>
    </row>
    <row r="8386" spans="1:24">
      <c r="A8386">
        <f>HYPERLINK("https://www.philgeps.gov.ph/GEPSNONPILOT/Tender/SplashBidNoticeAbstractUI.aspx?menuIndex=3&amp;refID=7030810&amp;Result=3","7030810")</f>
        <v>0</v>
      </c>
      <c r="B8386" t="s">
        <v>2023</v>
      </c>
      <c r="C8386" t="s">
        <v>10690</v>
      </c>
      <c r="D8386" t="s">
        <v>13022</v>
      </c>
      <c r="E8386" t="s">
        <v>20435</v>
      </c>
      <c r="F8386" t="s">
        <v>22436</v>
      </c>
      <c r="G8386" t="s">
        <v>22444</v>
      </c>
      <c r="H8386" t="s">
        <v>22452</v>
      </c>
      <c r="I8386" t="s">
        <v>22484</v>
      </c>
      <c r="J8386" t="s">
        <v>23205</v>
      </c>
      <c r="K8386" t="s">
        <v>29333</v>
      </c>
      <c r="M8386" t="s">
        <v>31757</v>
      </c>
      <c r="N8386" t="s">
        <v>32524</v>
      </c>
      <c r="O8386" t="s">
        <v>32525</v>
      </c>
      <c r="P8386">
        <v>0</v>
      </c>
      <c r="Q8386">
        <v>10</v>
      </c>
      <c r="R8386" t="s">
        <v>32536</v>
      </c>
      <c r="S8386" t="s">
        <v>32785</v>
      </c>
      <c r="T8386" t="s">
        <v>33249</v>
      </c>
      <c r="U8386" t="s">
        <v>40612</v>
      </c>
      <c r="W8386" t="s">
        <v>31757</v>
      </c>
      <c r="X8386" t="s">
        <v>32537</v>
      </c>
    </row>
    <row r="8387" spans="1:24">
      <c r="A8387">
        <f>HYPERLINK("https://www.philgeps.gov.ph/GEPSNONPILOT/Tender/SplashBidNoticeAbstractUI.aspx?menuIndex=3&amp;refID=7030691&amp;Result=3","7030691")</f>
        <v>0</v>
      </c>
      <c r="B8387" t="s">
        <v>1332</v>
      </c>
      <c r="C8387" t="s">
        <v>10691</v>
      </c>
      <c r="D8387" t="s">
        <v>13037</v>
      </c>
      <c r="E8387" t="s">
        <v>15368</v>
      </c>
      <c r="F8387" t="s">
        <v>22436</v>
      </c>
      <c r="G8387" t="s">
        <v>22444</v>
      </c>
      <c r="H8387" t="s">
        <v>22454</v>
      </c>
      <c r="I8387" t="s">
        <v>7738</v>
      </c>
      <c r="J8387" t="s">
        <v>22703</v>
      </c>
      <c r="K8387" t="s">
        <v>29338</v>
      </c>
      <c r="M8387" t="s">
        <v>30987</v>
      </c>
      <c r="N8387" t="s">
        <v>32524</v>
      </c>
      <c r="O8387" t="s">
        <v>32525</v>
      </c>
      <c r="P8387">
        <v>0</v>
      </c>
      <c r="Q8387">
        <v>0</v>
      </c>
      <c r="R8387" t="s">
        <v>32536</v>
      </c>
      <c r="S8387" t="s">
        <v>32785</v>
      </c>
      <c r="T8387" t="s">
        <v>33268</v>
      </c>
      <c r="U8387" t="s">
        <v>36776</v>
      </c>
      <c r="W8387" t="s">
        <v>30987</v>
      </c>
      <c r="X8387" t="s">
        <v>32537</v>
      </c>
    </row>
    <row r="8388" spans="1:24">
      <c r="A8388">
        <f>HYPERLINK("https://www.philgeps.gov.ph/GEPSNONPILOT/Tender/SplashBidNoticeAbstractUI.aspx?menuIndex=3&amp;refID=7030836&amp;Result=3","7030836")</f>
        <v>0</v>
      </c>
      <c r="B8388" t="s">
        <v>449</v>
      </c>
      <c r="C8388" t="s">
        <v>10692</v>
      </c>
      <c r="D8388" t="s">
        <v>12999</v>
      </c>
      <c r="E8388" t="s">
        <v>20436</v>
      </c>
      <c r="F8388" t="s">
        <v>22436</v>
      </c>
      <c r="G8388" t="s">
        <v>22446</v>
      </c>
      <c r="H8388" t="s">
        <v>22452</v>
      </c>
      <c r="I8388" t="s">
        <v>22458</v>
      </c>
      <c r="J8388" t="s">
        <v>22657</v>
      </c>
      <c r="K8388" t="s">
        <v>29335</v>
      </c>
      <c r="M8388" t="s">
        <v>31950</v>
      </c>
      <c r="N8388" t="s">
        <v>32524</v>
      </c>
      <c r="O8388" t="s">
        <v>32525</v>
      </c>
      <c r="P8388">
        <v>0</v>
      </c>
      <c r="Q8388">
        <v>6</v>
      </c>
      <c r="R8388" t="s">
        <v>32536</v>
      </c>
      <c r="S8388" t="s">
        <v>32785</v>
      </c>
      <c r="T8388" t="s">
        <v>33167</v>
      </c>
      <c r="U8388" t="s">
        <v>39774</v>
      </c>
      <c r="W8388" t="s">
        <v>43747</v>
      </c>
      <c r="X8388" t="s">
        <v>32537</v>
      </c>
    </row>
    <row r="8389" spans="1:24">
      <c r="A8389">
        <f>HYPERLINK("https://www.philgeps.gov.ph/GEPSNONPILOT/Tender/SplashBidNoticeAbstractUI.aspx?menuIndex=3&amp;refID=7030804&amp;Result=3","7030804")</f>
        <v>0</v>
      </c>
      <c r="B8389" t="s">
        <v>2109</v>
      </c>
      <c r="C8389" t="s">
        <v>10693</v>
      </c>
      <c r="E8389" t="s">
        <v>20437</v>
      </c>
      <c r="F8389" t="s">
        <v>22436</v>
      </c>
      <c r="G8389" t="s">
        <v>22444</v>
      </c>
      <c r="H8389" t="s">
        <v>22454</v>
      </c>
      <c r="I8389" t="s">
        <v>7738</v>
      </c>
      <c r="J8389" t="s">
        <v>27954</v>
      </c>
      <c r="K8389" t="s">
        <v>29539</v>
      </c>
      <c r="M8389" t="s">
        <v>31859</v>
      </c>
      <c r="N8389" t="s">
        <v>32524</v>
      </c>
      <c r="O8389" t="s">
        <v>32525</v>
      </c>
      <c r="Q8389">
        <v>3</v>
      </c>
      <c r="R8389" t="s">
        <v>32536</v>
      </c>
      <c r="S8389" t="s">
        <v>32794</v>
      </c>
      <c r="T8389" t="s">
        <v>33234</v>
      </c>
      <c r="U8389" t="s">
        <v>39450</v>
      </c>
      <c r="V8389" t="s">
        <v>43183</v>
      </c>
      <c r="W8389" t="s">
        <v>31859</v>
      </c>
      <c r="X8389" t="s">
        <v>32537</v>
      </c>
    </row>
    <row r="8390" spans="1:24">
      <c r="A8390">
        <f>HYPERLINK("https://www.philgeps.gov.ph/GEPSNONPILOT/Tender/SplashBidNoticeAbstractUI.aspx?menuIndex=3&amp;refID=7030752&amp;Result=3","7030752")</f>
        <v>0</v>
      </c>
      <c r="B8390" t="s">
        <v>2405</v>
      </c>
      <c r="C8390" t="s">
        <v>10694</v>
      </c>
      <c r="D8390" t="s">
        <v>13045</v>
      </c>
      <c r="E8390" t="s">
        <v>20438</v>
      </c>
      <c r="F8390" t="s">
        <v>22436</v>
      </c>
      <c r="G8390" t="s">
        <v>22444</v>
      </c>
      <c r="H8390" t="s">
        <v>22452</v>
      </c>
      <c r="I8390" t="s">
        <v>22517</v>
      </c>
      <c r="J8390" t="s">
        <v>23185</v>
      </c>
      <c r="K8390" t="s">
        <v>29335</v>
      </c>
      <c r="M8390" t="s">
        <v>32201</v>
      </c>
      <c r="N8390" t="s">
        <v>32524</v>
      </c>
      <c r="O8390" t="s">
        <v>32525</v>
      </c>
      <c r="P8390">
        <v>0</v>
      </c>
      <c r="Q8390">
        <v>2</v>
      </c>
      <c r="R8390" t="s">
        <v>32536</v>
      </c>
      <c r="S8390" t="s">
        <v>32785</v>
      </c>
      <c r="T8390" t="s">
        <v>33405</v>
      </c>
      <c r="U8390" t="s">
        <v>40613</v>
      </c>
      <c r="W8390" t="s">
        <v>32201</v>
      </c>
      <c r="X8390" t="s">
        <v>32537</v>
      </c>
    </row>
    <row r="8391" spans="1:24">
      <c r="A8391">
        <f>HYPERLINK("https://www.philgeps.gov.ph/GEPSNONPILOT/Tender/SplashBidNoticeAbstractUI.aspx?menuIndex=3&amp;refID=7030745&amp;Result=3","7030745")</f>
        <v>0</v>
      </c>
      <c r="B8391" t="s">
        <v>2406</v>
      </c>
      <c r="C8391" t="s">
        <v>10695</v>
      </c>
      <c r="D8391" t="s">
        <v>12994</v>
      </c>
      <c r="E8391" t="s">
        <v>20439</v>
      </c>
      <c r="F8391" t="s">
        <v>22436</v>
      </c>
      <c r="G8391" t="s">
        <v>22444</v>
      </c>
      <c r="H8391" t="s">
        <v>22454</v>
      </c>
      <c r="I8391" t="s">
        <v>7738</v>
      </c>
      <c r="J8391" t="s">
        <v>25164</v>
      </c>
      <c r="K8391" t="s">
        <v>29344</v>
      </c>
      <c r="M8391" t="s">
        <v>32203</v>
      </c>
      <c r="N8391" t="s">
        <v>32524</v>
      </c>
      <c r="O8391" t="s">
        <v>32525</v>
      </c>
      <c r="P8391">
        <v>0</v>
      </c>
      <c r="Q8391">
        <v>52</v>
      </c>
      <c r="R8391" t="s">
        <v>32536</v>
      </c>
      <c r="S8391" t="s">
        <v>32785</v>
      </c>
      <c r="T8391" t="s">
        <v>33180</v>
      </c>
      <c r="U8391" t="s">
        <v>40614</v>
      </c>
      <c r="W8391" t="s">
        <v>32203</v>
      </c>
      <c r="X8391" t="s">
        <v>32537</v>
      </c>
    </row>
    <row r="8392" spans="1:24">
      <c r="A8392">
        <f>HYPERLINK("https://www.philgeps.gov.ph/GEPSNONPILOT/Tender/SplashBidNoticeAbstractUI.aspx?menuIndex=3&amp;refID=7030740&amp;Result=3","7030740")</f>
        <v>0</v>
      </c>
      <c r="B8392" t="s">
        <v>2405</v>
      </c>
      <c r="C8392" t="s">
        <v>10696</v>
      </c>
      <c r="D8392" t="s">
        <v>13045</v>
      </c>
      <c r="E8392" t="s">
        <v>20440</v>
      </c>
      <c r="F8392" t="s">
        <v>22436</v>
      </c>
      <c r="G8392" t="s">
        <v>22444</v>
      </c>
      <c r="H8392" t="s">
        <v>22452</v>
      </c>
      <c r="I8392" t="s">
        <v>22508</v>
      </c>
      <c r="J8392" t="s">
        <v>27955</v>
      </c>
      <c r="K8392" t="s">
        <v>29334</v>
      </c>
      <c r="M8392" t="s">
        <v>32201</v>
      </c>
      <c r="N8392" t="s">
        <v>32524</v>
      </c>
      <c r="O8392" t="s">
        <v>32525</v>
      </c>
      <c r="P8392">
        <v>0</v>
      </c>
      <c r="Q8392">
        <v>6</v>
      </c>
      <c r="R8392" t="s">
        <v>32536</v>
      </c>
      <c r="S8392" t="s">
        <v>32785</v>
      </c>
      <c r="T8392" t="s">
        <v>33405</v>
      </c>
      <c r="U8392" t="s">
        <v>40615</v>
      </c>
      <c r="W8392" t="s">
        <v>32201</v>
      </c>
      <c r="X8392" t="s">
        <v>32537</v>
      </c>
    </row>
    <row r="8393" spans="1:24">
      <c r="A8393">
        <f>HYPERLINK("https://www.philgeps.gov.ph/GEPSNONPILOT/Tender/SplashBidNoticeAbstractUI.aspx?menuIndex=3&amp;refID=7030842&amp;Result=3","7030842")</f>
        <v>0</v>
      </c>
      <c r="B8393" t="s">
        <v>195</v>
      </c>
      <c r="C8393" t="s">
        <v>10697</v>
      </c>
      <c r="D8393" t="s">
        <v>13031</v>
      </c>
      <c r="E8393" t="s">
        <v>20441</v>
      </c>
      <c r="F8393" t="s">
        <v>22436</v>
      </c>
      <c r="G8393" t="s">
        <v>22444</v>
      </c>
      <c r="H8393" t="s">
        <v>22454</v>
      </c>
      <c r="I8393" t="s">
        <v>7738</v>
      </c>
      <c r="J8393" t="s">
        <v>24891</v>
      </c>
      <c r="K8393" t="s">
        <v>29540</v>
      </c>
      <c r="M8393" t="s">
        <v>32198</v>
      </c>
      <c r="N8393" t="s">
        <v>32524</v>
      </c>
      <c r="O8393" t="s">
        <v>32525</v>
      </c>
      <c r="P8393">
        <v>0</v>
      </c>
      <c r="Q8393">
        <v>1</v>
      </c>
      <c r="R8393" t="s">
        <v>32536</v>
      </c>
      <c r="S8393" t="s">
        <v>32785</v>
      </c>
      <c r="T8393" t="s">
        <v>33234</v>
      </c>
      <c r="U8393" t="s">
        <v>40616</v>
      </c>
      <c r="W8393" t="s">
        <v>32198</v>
      </c>
      <c r="X8393" t="s">
        <v>32537</v>
      </c>
    </row>
    <row r="8394" spans="1:24">
      <c r="A8394">
        <f>HYPERLINK("https://www.philgeps.gov.ph/GEPSNONPILOT/Tender/SplashBidNoticeAbstractUI.aspx?menuIndex=3&amp;refID=7030875&amp;Result=3","7030875")</f>
        <v>0</v>
      </c>
      <c r="B8394" t="s">
        <v>449</v>
      </c>
      <c r="C8394" t="s">
        <v>10698</v>
      </c>
      <c r="D8394" t="s">
        <v>12999</v>
      </c>
      <c r="E8394" t="s">
        <v>17852</v>
      </c>
      <c r="F8394" t="s">
        <v>22436</v>
      </c>
      <c r="G8394" t="s">
        <v>22443</v>
      </c>
      <c r="H8394" t="s">
        <v>22452</v>
      </c>
      <c r="I8394" t="s">
        <v>22486</v>
      </c>
      <c r="J8394" t="s">
        <v>27956</v>
      </c>
      <c r="K8394" t="s">
        <v>29335</v>
      </c>
      <c r="M8394" t="s">
        <v>31950</v>
      </c>
      <c r="N8394" t="s">
        <v>32524</v>
      </c>
      <c r="O8394" t="s">
        <v>32525</v>
      </c>
      <c r="P8394">
        <v>0</v>
      </c>
      <c r="Q8394">
        <v>0</v>
      </c>
      <c r="R8394" t="s">
        <v>32536</v>
      </c>
      <c r="S8394" t="s">
        <v>32785</v>
      </c>
      <c r="T8394" t="s">
        <v>33167</v>
      </c>
      <c r="U8394" t="s">
        <v>39774</v>
      </c>
      <c r="W8394" t="s">
        <v>43747</v>
      </c>
      <c r="X8394" t="s">
        <v>32537</v>
      </c>
    </row>
    <row r="8395" spans="1:24">
      <c r="A8395">
        <f>HYPERLINK("https://www.philgeps.gov.ph/GEPSNONPILOT/Tender/SplashBidNoticeAbstractUI.aspx?menuIndex=3&amp;refID=7030826&amp;Result=3","7030826")</f>
        <v>0</v>
      </c>
      <c r="B8395" t="s">
        <v>2407</v>
      </c>
      <c r="C8395" t="s">
        <v>10699</v>
      </c>
      <c r="D8395" t="s">
        <v>13006</v>
      </c>
      <c r="E8395" t="s">
        <v>20442</v>
      </c>
      <c r="F8395" t="s">
        <v>22436</v>
      </c>
      <c r="G8395" t="s">
        <v>22444</v>
      </c>
      <c r="H8395" t="s">
        <v>22452</v>
      </c>
      <c r="I8395" t="s">
        <v>3529</v>
      </c>
      <c r="J8395" t="s">
        <v>27957</v>
      </c>
      <c r="K8395" t="s">
        <v>29403</v>
      </c>
      <c r="M8395" t="s">
        <v>32204</v>
      </c>
      <c r="N8395" t="s">
        <v>32524</v>
      </c>
      <c r="O8395" t="s">
        <v>32525</v>
      </c>
      <c r="P8395">
        <v>0</v>
      </c>
      <c r="Q8395">
        <v>0</v>
      </c>
      <c r="R8395" t="s">
        <v>32536</v>
      </c>
      <c r="S8395" t="s">
        <v>32785</v>
      </c>
      <c r="T8395" t="s">
        <v>33575</v>
      </c>
      <c r="U8395" t="s">
        <v>40617</v>
      </c>
      <c r="V8395" t="s">
        <v>43367</v>
      </c>
      <c r="W8395" t="s">
        <v>32204</v>
      </c>
      <c r="X8395" t="s">
        <v>32537</v>
      </c>
    </row>
    <row r="8396" spans="1:24">
      <c r="A8396">
        <f>HYPERLINK("https://www.philgeps.gov.ph/GEPSNONPILOT/Tender/SplashBidNoticeAbstractUI.aspx?menuIndex=3&amp;refID=7030889&amp;Result=3","7030889")</f>
        <v>0</v>
      </c>
      <c r="B8396" t="s">
        <v>2393</v>
      </c>
      <c r="C8396" t="s">
        <v>10700</v>
      </c>
      <c r="D8396" t="s">
        <v>13039</v>
      </c>
      <c r="E8396" t="s">
        <v>15063</v>
      </c>
      <c r="F8396" t="s">
        <v>22436</v>
      </c>
      <c r="G8396" t="s">
        <v>22443</v>
      </c>
      <c r="H8396" t="s">
        <v>22452</v>
      </c>
      <c r="I8396" t="s">
        <v>22512</v>
      </c>
      <c r="J8396" t="s">
        <v>27958</v>
      </c>
      <c r="K8396" t="s">
        <v>29335</v>
      </c>
      <c r="M8396" t="s">
        <v>32186</v>
      </c>
      <c r="N8396" t="s">
        <v>32524</v>
      </c>
      <c r="O8396" t="s">
        <v>32525</v>
      </c>
      <c r="P8396">
        <v>0</v>
      </c>
      <c r="Q8396">
        <v>0</v>
      </c>
      <c r="R8396" t="s">
        <v>32536</v>
      </c>
      <c r="S8396" t="s">
        <v>32785</v>
      </c>
      <c r="T8396" t="s">
        <v>33278</v>
      </c>
      <c r="U8396" t="s">
        <v>40618</v>
      </c>
      <c r="W8396" t="s">
        <v>32186</v>
      </c>
      <c r="X8396" t="s">
        <v>32537</v>
      </c>
    </row>
    <row r="8397" spans="1:24">
      <c r="A8397">
        <f>HYPERLINK("https://www.philgeps.gov.ph/GEPSNONPILOT/Tender/SplashBidNoticeAbstractUI.aspx?menuIndex=3&amp;refID=7030732&amp;Result=3","7030732")</f>
        <v>0</v>
      </c>
      <c r="B8397" t="s">
        <v>2405</v>
      </c>
      <c r="C8397" t="s">
        <v>10701</v>
      </c>
      <c r="D8397" t="s">
        <v>13045</v>
      </c>
      <c r="E8397" t="s">
        <v>20443</v>
      </c>
      <c r="F8397" t="s">
        <v>22436</v>
      </c>
      <c r="G8397" t="s">
        <v>22444</v>
      </c>
      <c r="H8397" t="s">
        <v>22452</v>
      </c>
      <c r="I8397" t="s">
        <v>22517</v>
      </c>
      <c r="J8397" t="s">
        <v>27959</v>
      </c>
      <c r="K8397" t="s">
        <v>29333</v>
      </c>
      <c r="M8397" t="s">
        <v>32201</v>
      </c>
      <c r="N8397" t="s">
        <v>32524</v>
      </c>
      <c r="O8397" t="s">
        <v>32525</v>
      </c>
      <c r="P8397">
        <v>0</v>
      </c>
      <c r="Q8397">
        <v>5</v>
      </c>
      <c r="R8397" t="s">
        <v>32536</v>
      </c>
      <c r="S8397" t="s">
        <v>32785</v>
      </c>
      <c r="T8397" t="s">
        <v>33405</v>
      </c>
      <c r="U8397" t="s">
        <v>40619</v>
      </c>
      <c r="W8397" t="s">
        <v>32201</v>
      </c>
      <c r="X8397" t="s">
        <v>32537</v>
      </c>
    </row>
    <row r="8398" spans="1:24">
      <c r="A8398">
        <f>HYPERLINK("https://www.philgeps.gov.ph/GEPSNONPILOT/Tender/SplashBidNoticeAbstractUI.aspx?menuIndex=3&amp;refID=7030912&amp;Result=3","7030912")</f>
        <v>0</v>
      </c>
      <c r="B8398" t="s">
        <v>986</v>
      </c>
      <c r="C8398" t="s">
        <v>8057</v>
      </c>
      <c r="D8398" t="s">
        <v>13016</v>
      </c>
      <c r="E8398" t="s">
        <v>20423</v>
      </c>
      <c r="F8398" t="s">
        <v>22436</v>
      </c>
      <c r="G8398" t="s">
        <v>22443</v>
      </c>
      <c r="H8398" t="s">
        <v>22452</v>
      </c>
      <c r="I8398" t="s">
        <v>22463</v>
      </c>
      <c r="J8398" t="s">
        <v>27960</v>
      </c>
      <c r="K8398" t="s">
        <v>29336</v>
      </c>
      <c r="L8398" t="s">
        <v>986</v>
      </c>
      <c r="M8398" t="s">
        <v>30608</v>
      </c>
      <c r="N8398" t="s">
        <v>32524</v>
      </c>
      <c r="O8398" t="s">
        <v>32525</v>
      </c>
      <c r="P8398">
        <v>0</v>
      </c>
      <c r="Q8398">
        <v>0</v>
      </c>
      <c r="R8398" t="s">
        <v>32536</v>
      </c>
      <c r="S8398" t="s">
        <v>32785</v>
      </c>
      <c r="T8398" t="s">
        <v>33197</v>
      </c>
      <c r="U8398" t="s">
        <v>40620</v>
      </c>
      <c r="V8398" t="s">
        <v>42676</v>
      </c>
      <c r="W8398" t="s">
        <v>30608</v>
      </c>
      <c r="X8398" t="s">
        <v>32537</v>
      </c>
    </row>
    <row r="8399" spans="1:24">
      <c r="A8399">
        <f>HYPERLINK("https://www.philgeps.gov.ph/GEPSNONPILOT/Tender/SplashBidNoticeAbstractUI.aspx?menuIndex=3&amp;refID=7030910&amp;Result=3","7030910")</f>
        <v>0</v>
      </c>
      <c r="B8399" t="s">
        <v>583</v>
      </c>
      <c r="C8399" t="s">
        <v>10702</v>
      </c>
      <c r="D8399" t="s">
        <v>13008</v>
      </c>
      <c r="E8399" t="s">
        <v>20444</v>
      </c>
      <c r="F8399" t="s">
        <v>22436</v>
      </c>
      <c r="G8399" t="s">
        <v>22444</v>
      </c>
      <c r="H8399" t="s">
        <v>22452</v>
      </c>
      <c r="I8399" t="s">
        <v>22469</v>
      </c>
      <c r="J8399" t="s">
        <v>23198</v>
      </c>
      <c r="K8399" t="s">
        <v>29335</v>
      </c>
      <c r="M8399" t="s">
        <v>30173</v>
      </c>
      <c r="N8399" t="s">
        <v>32524</v>
      </c>
      <c r="O8399" t="s">
        <v>32525</v>
      </c>
      <c r="P8399">
        <v>0</v>
      </c>
      <c r="Q8399">
        <v>2</v>
      </c>
      <c r="R8399" t="s">
        <v>32536</v>
      </c>
      <c r="S8399" t="s">
        <v>32785</v>
      </c>
      <c r="T8399" t="s">
        <v>33460</v>
      </c>
      <c r="U8399" t="s">
        <v>40621</v>
      </c>
      <c r="W8399" t="s">
        <v>30173</v>
      </c>
      <c r="X8399" t="s">
        <v>32537</v>
      </c>
    </row>
    <row r="8400" spans="1:24">
      <c r="A8400">
        <f>HYPERLINK("https://www.philgeps.gov.ph/GEPSNONPILOT/Tender/SplashBidNoticeAbstractUI.aspx?menuIndex=3&amp;refID=7030890&amp;Result=3","7030890")</f>
        <v>0</v>
      </c>
      <c r="B8400" t="s">
        <v>195</v>
      </c>
      <c r="C8400" t="s">
        <v>10703</v>
      </c>
      <c r="D8400" t="s">
        <v>13031</v>
      </c>
      <c r="E8400" t="s">
        <v>20445</v>
      </c>
      <c r="F8400" t="s">
        <v>22436</v>
      </c>
      <c r="G8400" t="s">
        <v>22444</v>
      </c>
      <c r="H8400" t="s">
        <v>22454</v>
      </c>
      <c r="I8400" t="s">
        <v>7738</v>
      </c>
      <c r="J8400" t="s">
        <v>24891</v>
      </c>
      <c r="K8400" t="s">
        <v>29541</v>
      </c>
      <c r="M8400" t="s">
        <v>32198</v>
      </c>
      <c r="N8400" t="s">
        <v>32524</v>
      </c>
      <c r="O8400" t="s">
        <v>32525</v>
      </c>
      <c r="P8400">
        <v>0</v>
      </c>
      <c r="Q8400">
        <v>0</v>
      </c>
      <c r="R8400" t="s">
        <v>32536</v>
      </c>
      <c r="S8400" t="s">
        <v>32785</v>
      </c>
      <c r="T8400" t="s">
        <v>33234</v>
      </c>
      <c r="U8400" t="s">
        <v>40622</v>
      </c>
      <c r="W8400" t="s">
        <v>32198</v>
      </c>
      <c r="X8400" t="s">
        <v>32537</v>
      </c>
    </row>
    <row r="8401" spans="1:24">
      <c r="A8401">
        <f>HYPERLINK("https://www.philgeps.gov.ph/GEPSNONPILOT/Tender/SplashBidNoticeAbstractUI.aspx?menuIndex=3&amp;refID=7030907&amp;Result=3","7030907")</f>
        <v>0</v>
      </c>
      <c r="B8401" t="s">
        <v>449</v>
      </c>
      <c r="C8401" t="s">
        <v>10704</v>
      </c>
      <c r="D8401" t="s">
        <v>12999</v>
      </c>
      <c r="E8401" t="s">
        <v>20446</v>
      </c>
      <c r="F8401" t="s">
        <v>22436</v>
      </c>
      <c r="G8401" t="s">
        <v>22443</v>
      </c>
      <c r="H8401" t="s">
        <v>22452</v>
      </c>
      <c r="I8401" t="s">
        <v>22460</v>
      </c>
      <c r="J8401" t="s">
        <v>27961</v>
      </c>
      <c r="K8401" t="s">
        <v>29335</v>
      </c>
      <c r="M8401" t="s">
        <v>31950</v>
      </c>
      <c r="N8401" t="s">
        <v>32524</v>
      </c>
      <c r="O8401" t="s">
        <v>32525</v>
      </c>
      <c r="P8401">
        <v>0</v>
      </c>
      <c r="Q8401">
        <v>4</v>
      </c>
      <c r="R8401" t="s">
        <v>32536</v>
      </c>
      <c r="S8401" t="s">
        <v>32785</v>
      </c>
      <c r="T8401" t="s">
        <v>33167</v>
      </c>
      <c r="U8401" t="s">
        <v>39774</v>
      </c>
      <c r="W8401" t="s">
        <v>43747</v>
      </c>
      <c r="X8401" t="s">
        <v>32537</v>
      </c>
    </row>
    <row r="8402" spans="1:24">
      <c r="A8402">
        <f>HYPERLINK("https://www.philgeps.gov.ph/GEPSNONPILOT/Tender/SplashBidNoticeAbstractUI.aspx?menuIndex=3&amp;refID=7030923&amp;Result=3","7030923")</f>
        <v>0</v>
      </c>
      <c r="B8402" t="s">
        <v>195</v>
      </c>
      <c r="C8402" t="s">
        <v>10705</v>
      </c>
      <c r="D8402" t="s">
        <v>13031</v>
      </c>
      <c r="E8402" t="s">
        <v>20447</v>
      </c>
      <c r="F8402" t="s">
        <v>22436</v>
      </c>
      <c r="G8402" t="s">
        <v>22444</v>
      </c>
      <c r="H8402" t="s">
        <v>22454</v>
      </c>
      <c r="I8402" t="s">
        <v>7738</v>
      </c>
      <c r="J8402" t="s">
        <v>24904</v>
      </c>
      <c r="K8402" t="s">
        <v>29535</v>
      </c>
      <c r="M8402" t="s">
        <v>32198</v>
      </c>
      <c r="N8402" t="s">
        <v>32524</v>
      </c>
      <c r="O8402" t="s">
        <v>32525</v>
      </c>
      <c r="P8402">
        <v>0</v>
      </c>
      <c r="Q8402">
        <v>1</v>
      </c>
      <c r="R8402" t="s">
        <v>32536</v>
      </c>
      <c r="S8402" t="s">
        <v>32785</v>
      </c>
      <c r="T8402" t="s">
        <v>33234</v>
      </c>
      <c r="U8402" t="s">
        <v>40623</v>
      </c>
      <c r="W8402" t="s">
        <v>32198</v>
      </c>
      <c r="X8402" t="s">
        <v>32537</v>
      </c>
    </row>
    <row r="8403" spans="1:24">
      <c r="A8403">
        <f>HYPERLINK("https://www.philgeps.gov.ph/GEPSNONPILOT/Tender/SplashBidNoticeAbstractUI.aspx?menuIndex=3&amp;refID=7031006&amp;Result=3","7031006")</f>
        <v>0</v>
      </c>
      <c r="B8403" t="s">
        <v>1586</v>
      </c>
      <c r="C8403" t="s">
        <v>10706</v>
      </c>
      <c r="E8403" t="s">
        <v>20448</v>
      </c>
      <c r="F8403" t="s">
        <v>22436</v>
      </c>
      <c r="G8403" t="s">
        <v>22444</v>
      </c>
      <c r="H8403" t="s">
        <v>22452</v>
      </c>
      <c r="I8403" t="s">
        <v>22458</v>
      </c>
      <c r="J8403" t="s">
        <v>27962</v>
      </c>
      <c r="K8403" t="s">
        <v>29338</v>
      </c>
      <c r="M8403" t="s">
        <v>31268</v>
      </c>
      <c r="N8403" t="s">
        <v>32524</v>
      </c>
      <c r="O8403" t="s">
        <v>32525</v>
      </c>
      <c r="P8403">
        <v>0</v>
      </c>
      <c r="Q8403">
        <v>4</v>
      </c>
      <c r="R8403" t="s">
        <v>32536</v>
      </c>
      <c r="S8403" t="s">
        <v>32785</v>
      </c>
      <c r="T8403" t="s">
        <v>33550</v>
      </c>
      <c r="U8403" t="s">
        <v>40624</v>
      </c>
      <c r="W8403" t="s">
        <v>31268</v>
      </c>
      <c r="X8403" t="s">
        <v>32537</v>
      </c>
    </row>
    <row r="8404" spans="1:24">
      <c r="A8404">
        <f>HYPERLINK("https://www.philgeps.gov.ph/GEPSNONPILOT/Tender/SplashBidNoticeAbstractUI.aspx?menuIndex=3&amp;refID=7030933&amp;Result=3","7030933")</f>
        <v>0</v>
      </c>
      <c r="B8404" t="s">
        <v>2262</v>
      </c>
      <c r="C8404" t="s">
        <v>10707</v>
      </c>
      <c r="D8404" t="s">
        <v>13020</v>
      </c>
      <c r="E8404" t="s">
        <v>20449</v>
      </c>
      <c r="F8404" t="s">
        <v>22436</v>
      </c>
      <c r="G8404" t="s">
        <v>22444</v>
      </c>
      <c r="H8404" t="s">
        <v>22454</v>
      </c>
      <c r="I8404" t="s">
        <v>7738</v>
      </c>
      <c r="J8404" t="s">
        <v>25584</v>
      </c>
      <c r="K8404" t="s">
        <v>29542</v>
      </c>
      <c r="L8404" t="s">
        <v>2262</v>
      </c>
      <c r="M8404" t="s">
        <v>32032</v>
      </c>
      <c r="N8404" t="s">
        <v>32524</v>
      </c>
      <c r="O8404" t="s">
        <v>32525</v>
      </c>
      <c r="P8404">
        <v>0</v>
      </c>
      <c r="Q8404">
        <v>20</v>
      </c>
      <c r="R8404" t="s">
        <v>32536</v>
      </c>
      <c r="S8404" t="s">
        <v>32785</v>
      </c>
      <c r="T8404" t="s">
        <v>33234</v>
      </c>
      <c r="U8404" t="s">
        <v>40610</v>
      </c>
      <c r="W8404" t="s">
        <v>32032</v>
      </c>
      <c r="X8404" t="s">
        <v>32537</v>
      </c>
    </row>
    <row r="8405" spans="1:24">
      <c r="A8405">
        <f>HYPERLINK("https://www.philgeps.gov.ph/GEPSNONPILOT/Tender/SplashBidNoticeAbstractUI.aspx?menuIndex=3&amp;refID=7031014&amp;Result=3","7031014")</f>
        <v>0</v>
      </c>
      <c r="B8405" t="s">
        <v>2408</v>
      </c>
      <c r="C8405" t="s">
        <v>10708</v>
      </c>
      <c r="D8405" t="s">
        <v>13032</v>
      </c>
      <c r="E8405" t="s">
        <v>20450</v>
      </c>
      <c r="F8405" t="s">
        <v>22437</v>
      </c>
      <c r="G8405" t="s">
        <v>22444</v>
      </c>
      <c r="H8405" t="s">
        <v>22454</v>
      </c>
      <c r="I8405" t="s">
        <v>7738</v>
      </c>
      <c r="J8405" t="s">
        <v>25369</v>
      </c>
      <c r="K8405" t="s">
        <v>29401</v>
      </c>
      <c r="M8405" t="s">
        <v>32205</v>
      </c>
      <c r="N8405" t="s">
        <v>32524</v>
      </c>
      <c r="O8405" t="s">
        <v>32525</v>
      </c>
      <c r="P8405">
        <v>0</v>
      </c>
      <c r="Q8405">
        <v>3</v>
      </c>
      <c r="R8405" t="s">
        <v>32536</v>
      </c>
      <c r="S8405" t="s">
        <v>32785</v>
      </c>
      <c r="T8405" t="s">
        <v>33403</v>
      </c>
      <c r="U8405" t="s">
        <v>40625</v>
      </c>
      <c r="V8405" t="s">
        <v>43368</v>
      </c>
      <c r="W8405" t="s">
        <v>32205</v>
      </c>
      <c r="X8405" t="s">
        <v>32537</v>
      </c>
    </row>
    <row r="8406" spans="1:24">
      <c r="A8406">
        <f>HYPERLINK("https://www.philgeps.gov.ph/GEPSNONPILOT/Tender/SplashBidNoticeAbstractUI.aspx?menuIndex=3&amp;refID=7030914&amp;Result=3","7030914")</f>
        <v>0</v>
      </c>
      <c r="B8406" t="s">
        <v>2131</v>
      </c>
      <c r="C8406" t="s">
        <v>10709</v>
      </c>
      <c r="D8406" t="s">
        <v>13041</v>
      </c>
      <c r="E8406" t="s">
        <v>20451</v>
      </c>
      <c r="F8406" t="s">
        <v>22436</v>
      </c>
      <c r="G8406" t="s">
        <v>22444</v>
      </c>
      <c r="H8406" t="s">
        <v>22454</v>
      </c>
      <c r="I8406" t="s">
        <v>7738</v>
      </c>
      <c r="J8406" t="s">
        <v>22893</v>
      </c>
      <c r="K8406" t="s">
        <v>29409</v>
      </c>
      <c r="M8406" t="s">
        <v>32206</v>
      </c>
      <c r="N8406" t="s">
        <v>32524</v>
      </c>
      <c r="O8406" t="s">
        <v>32525</v>
      </c>
      <c r="P8406">
        <v>0</v>
      </c>
      <c r="Q8406">
        <v>0</v>
      </c>
      <c r="R8406" t="s">
        <v>32536</v>
      </c>
      <c r="S8406" t="s">
        <v>32785</v>
      </c>
      <c r="T8406" t="s">
        <v>33175</v>
      </c>
      <c r="U8406" t="s">
        <v>40626</v>
      </c>
      <c r="V8406" t="s">
        <v>43369</v>
      </c>
      <c r="W8406" t="s">
        <v>32206</v>
      </c>
      <c r="X8406" t="s">
        <v>32537</v>
      </c>
    </row>
    <row r="8407" spans="1:24">
      <c r="A8407">
        <f>HYPERLINK("https://www.philgeps.gov.ph/GEPSNONPILOT/Tender/SplashBidNoticeAbstractUI.aspx?menuIndex=3&amp;refID=7030990&amp;Result=3","7030990")</f>
        <v>0</v>
      </c>
      <c r="B8407" t="s">
        <v>2409</v>
      </c>
      <c r="C8407" t="s">
        <v>10710</v>
      </c>
      <c r="D8407" t="s">
        <v>13022</v>
      </c>
      <c r="E8407" t="s">
        <v>13181</v>
      </c>
      <c r="F8407" t="s">
        <v>22436</v>
      </c>
      <c r="G8407" t="s">
        <v>22444</v>
      </c>
      <c r="H8407" t="s">
        <v>22454</v>
      </c>
      <c r="I8407" t="s">
        <v>7738</v>
      </c>
      <c r="J8407" t="s">
        <v>27963</v>
      </c>
      <c r="K8407" t="s">
        <v>29338</v>
      </c>
      <c r="M8407" t="s">
        <v>32207</v>
      </c>
      <c r="N8407" t="s">
        <v>32524</v>
      </c>
      <c r="O8407" t="s">
        <v>32525</v>
      </c>
      <c r="P8407">
        <v>0</v>
      </c>
      <c r="Q8407">
        <v>0</v>
      </c>
      <c r="R8407" t="s">
        <v>32536</v>
      </c>
      <c r="S8407" t="s">
        <v>32785</v>
      </c>
      <c r="T8407" t="s">
        <v>33259</v>
      </c>
      <c r="U8407" t="s">
        <v>40627</v>
      </c>
      <c r="W8407" t="s">
        <v>32207</v>
      </c>
      <c r="X8407" t="s">
        <v>32537</v>
      </c>
    </row>
    <row r="8408" spans="1:24">
      <c r="A8408">
        <f>HYPERLINK("https://www.philgeps.gov.ph/GEPSNONPILOT/Tender/SplashBidNoticeAbstractUI.aspx?menuIndex=3&amp;refID=7030993&amp;Result=3","7030993")</f>
        <v>0</v>
      </c>
      <c r="B8408" t="s">
        <v>1586</v>
      </c>
      <c r="C8408" t="s">
        <v>10711</v>
      </c>
      <c r="E8408" t="s">
        <v>20452</v>
      </c>
      <c r="F8408" t="s">
        <v>22436</v>
      </c>
      <c r="G8408" t="s">
        <v>22444</v>
      </c>
      <c r="H8408" t="s">
        <v>22452</v>
      </c>
      <c r="I8408" t="s">
        <v>22469</v>
      </c>
      <c r="J8408" t="s">
        <v>27964</v>
      </c>
      <c r="K8408" t="s">
        <v>29338</v>
      </c>
      <c r="M8408" t="s">
        <v>31268</v>
      </c>
      <c r="N8408" t="s">
        <v>32524</v>
      </c>
      <c r="O8408" t="s">
        <v>32525</v>
      </c>
      <c r="P8408">
        <v>0</v>
      </c>
      <c r="Q8408">
        <v>9</v>
      </c>
      <c r="R8408" t="s">
        <v>32536</v>
      </c>
      <c r="S8408" t="s">
        <v>32785</v>
      </c>
      <c r="T8408" t="s">
        <v>33550</v>
      </c>
      <c r="U8408" t="s">
        <v>40628</v>
      </c>
      <c r="W8408" t="s">
        <v>31268</v>
      </c>
      <c r="X8408" t="s">
        <v>32537</v>
      </c>
    </row>
    <row r="8409" spans="1:24">
      <c r="A8409">
        <f>HYPERLINK("https://www.philgeps.gov.ph/GEPSNONPILOT/Tender/SplashBidNoticeAbstractUI.aspx?menuIndex=3&amp;refID=7031004&amp;Result=3","7031004")</f>
        <v>0</v>
      </c>
      <c r="B8409" t="s">
        <v>2410</v>
      </c>
      <c r="C8409" t="s">
        <v>10712</v>
      </c>
      <c r="D8409" t="s">
        <v>13038</v>
      </c>
      <c r="E8409" t="s">
        <v>20453</v>
      </c>
      <c r="F8409" t="s">
        <v>22436</v>
      </c>
      <c r="G8409" t="s">
        <v>22444</v>
      </c>
      <c r="H8409" t="s">
        <v>22454</v>
      </c>
      <c r="I8409" t="s">
        <v>7738</v>
      </c>
      <c r="J8409" t="s">
        <v>27965</v>
      </c>
      <c r="K8409" t="s">
        <v>29344</v>
      </c>
      <c r="M8409" t="s">
        <v>32208</v>
      </c>
      <c r="N8409" t="s">
        <v>32524</v>
      </c>
      <c r="O8409" t="s">
        <v>32525</v>
      </c>
      <c r="P8409">
        <v>0</v>
      </c>
      <c r="Q8409">
        <v>0</v>
      </c>
      <c r="R8409" t="s">
        <v>32536</v>
      </c>
      <c r="S8409" t="s">
        <v>32785</v>
      </c>
      <c r="T8409" t="s">
        <v>33168</v>
      </c>
      <c r="U8409" t="s">
        <v>40629</v>
      </c>
      <c r="V8409" t="s">
        <v>43370</v>
      </c>
      <c r="W8409" t="s">
        <v>32208</v>
      </c>
      <c r="X8409" t="s">
        <v>32537</v>
      </c>
    </row>
    <row r="8410" spans="1:24">
      <c r="A8410">
        <f>HYPERLINK("https://www.philgeps.gov.ph/GEPSNONPILOT/Tender/SplashBidNoticeAbstractUI.aspx?menuIndex=3&amp;refID=7030988&amp;Result=3","7030988")</f>
        <v>0</v>
      </c>
      <c r="B8410" t="s">
        <v>2411</v>
      </c>
      <c r="C8410" t="s">
        <v>10713</v>
      </c>
      <c r="D8410" t="s">
        <v>13060</v>
      </c>
      <c r="E8410" t="s">
        <v>20454</v>
      </c>
      <c r="F8410" t="s">
        <v>22436</v>
      </c>
      <c r="G8410" t="s">
        <v>22443</v>
      </c>
      <c r="H8410" t="s">
        <v>22452</v>
      </c>
      <c r="I8410" t="s">
        <v>3122</v>
      </c>
      <c r="J8410" t="s">
        <v>27966</v>
      </c>
      <c r="K8410" t="s">
        <v>29354</v>
      </c>
      <c r="M8410" t="s">
        <v>32209</v>
      </c>
      <c r="N8410" t="s">
        <v>32524</v>
      </c>
      <c r="O8410" t="s">
        <v>32525</v>
      </c>
      <c r="Q8410">
        <v>0</v>
      </c>
      <c r="R8410" t="s">
        <v>32536</v>
      </c>
      <c r="S8410" t="s">
        <v>32795</v>
      </c>
      <c r="T8410" t="s">
        <v>33169</v>
      </c>
      <c r="U8410" t="s">
        <v>40630</v>
      </c>
      <c r="V8410" t="s">
        <v>43371</v>
      </c>
      <c r="W8410" t="s">
        <v>32209</v>
      </c>
      <c r="X8410" t="s">
        <v>32537</v>
      </c>
    </row>
    <row r="8411" spans="1:24">
      <c r="A8411">
        <f>HYPERLINK("https://www.philgeps.gov.ph/GEPSNONPILOT/Tender/SplashBidNoticeAbstractUI.aspx?menuIndex=3&amp;refID=7030973&amp;Result=3","7030973")</f>
        <v>0</v>
      </c>
      <c r="B8411" t="s">
        <v>2412</v>
      </c>
      <c r="C8411" t="s">
        <v>6338</v>
      </c>
      <c r="D8411" t="s">
        <v>13001</v>
      </c>
      <c r="E8411" t="s">
        <v>20455</v>
      </c>
      <c r="F8411" t="s">
        <v>22436</v>
      </c>
      <c r="G8411" t="s">
        <v>22444</v>
      </c>
      <c r="H8411" t="s">
        <v>22452</v>
      </c>
      <c r="I8411" t="s">
        <v>22476</v>
      </c>
      <c r="J8411" t="s">
        <v>23840</v>
      </c>
      <c r="K8411" t="s">
        <v>29329</v>
      </c>
      <c r="M8411" t="s">
        <v>32210</v>
      </c>
      <c r="N8411" t="s">
        <v>32524</v>
      </c>
      <c r="O8411" t="s">
        <v>32525</v>
      </c>
      <c r="Q8411">
        <v>4</v>
      </c>
      <c r="R8411" t="s">
        <v>32536</v>
      </c>
      <c r="S8411" t="s">
        <v>32590</v>
      </c>
      <c r="T8411" t="s">
        <v>33371</v>
      </c>
      <c r="U8411" t="s">
        <v>40631</v>
      </c>
      <c r="W8411" t="s">
        <v>32210</v>
      </c>
      <c r="X8411" t="s">
        <v>32537</v>
      </c>
    </row>
    <row r="8412" spans="1:24">
      <c r="A8412">
        <f>HYPERLINK("https://www.philgeps.gov.ph/GEPSNONPILOT/Tender/SplashBidNoticeAbstractUI.aspx?menuIndex=3&amp;refID=7030959&amp;Result=3","7030959")</f>
        <v>0</v>
      </c>
      <c r="B8412" t="s">
        <v>195</v>
      </c>
      <c r="C8412" t="s">
        <v>10714</v>
      </c>
      <c r="D8412" t="s">
        <v>13031</v>
      </c>
      <c r="E8412" t="s">
        <v>20456</v>
      </c>
      <c r="F8412" t="s">
        <v>22436</v>
      </c>
      <c r="G8412" t="s">
        <v>22444</v>
      </c>
      <c r="H8412" t="s">
        <v>22454</v>
      </c>
      <c r="I8412" t="s">
        <v>7738</v>
      </c>
      <c r="J8412" t="s">
        <v>24904</v>
      </c>
      <c r="K8412" t="s">
        <v>29458</v>
      </c>
      <c r="M8412" t="s">
        <v>32198</v>
      </c>
      <c r="N8412" t="s">
        <v>32524</v>
      </c>
      <c r="O8412" t="s">
        <v>32525</v>
      </c>
      <c r="P8412">
        <v>0</v>
      </c>
      <c r="Q8412">
        <v>1</v>
      </c>
      <c r="R8412" t="s">
        <v>32536</v>
      </c>
      <c r="S8412" t="s">
        <v>32785</v>
      </c>
      <c r="T8412" t="s">
        <v>33234</v>
      </c>
      <c r="U8412" t="s">
        <v>40632</v>
      </c>
      <c r="W8412" t="s">
        <v>32198</v>
      </c>
      <c r="X8412" t="s">
        <v>32537</v>
      </c>
    </row>
    <row r="8413" spans="1:24">
      <c r="A8413">
        <f>HYPERLINK("https://www.philgeps.gov.ph/GEPSNONPILOT/Tender/SplashBidNoticeAbstractUI.aspx?menuIndex=3&amp;refID=7030979&amp;Result=3","7030979")</f>
        <v>0</v>
      </c>
      <c r="B8413" t="s">
        <v>1586</v>
      </c>
      <c r="C8413" t="s">
        <v>10715</v>
      </c>
      <c r="E8413" t="s">
        <v>20457</v>
      </c>
      <c r="F8413" t="s">
        <v>22436</v>
      </c>
      <c r="G8413" t="s">
        <v>22444</v>
      </c>
      <c r="H8413" t="s">
        <v>22452</v>
      </c>
      <c r="I8413" t="s">
        <v>22482</v>
      </c>
      <c r="J8413" t="s">
        <v>27967</v>
      </c>
      <c r="K8413" t="s">
        <v>29338</v>
      </c>
      <c r="M8413" t="s">
        <v>31268</v>
      </c>
      <c r="N8413" t="s">
        <v>32524</v>
      </c>
      <c r="O8413" t="s">
        <v>32525</v>
      </c>
      <c r="P8413">
        <v>0</v>
      </c>
      <c r="Q8413">
        <v>12</v>
      </c>
      <c r="R8413" t="s">
        <v>32536</v>
      </c>
      <c r="S8413" t="s">
        <v>32785</v>
      </c>
      <c r="T8413" t="s">
        <v>33550</v>
      </c>
      <c r="U8413" t="s">
        <v>40633</v>
      </c>
      <c r="W8413" t="s">
        <v>31268</v>
      </c>
      <c r="X8413" t="s">
        <v>32537</v>
      </c>
    </row>
    <row r="8414" spans="1:24">
      <c r="A8414">
        <f>HYPERLINK("https://www.philgeps.gov.ph/GEPSNONPILOT/Tender/SplashBidNoticeAbstractUI.aspx?menuIndex=3&amp;refID=7030941&amp;Result=3","7030941")</f>
        <v>0</v>
      </c>
      <c r="B8414" t="s">
        <v>2410</v>
      </c>
      <c r="C8414" t="s">
        <v>10716</v>
      </c>
      <c r="D8414" t="s">
        <v>13038</v>
      </c>
      <c r="E8414" t="s">
        <v>20458</v>
      </c>
      <c r="F8414" t="s">
        <v>22436</v>
      </c>
      <c r="G8414" t="s">
        <v>22444</v>
      </c>
      <c r="H8414" t="s">
        <v>22454</v>
      </c>
      <c r="I8414" t="s">
        <v>7738</v>
      </c>
      <c r="J8414" t="s">
        <v>27968</v>
      </c>
      <c r="K8414" t="s">
        <v>29344</v>
      </c>
      <c r="M8414" t="s">
        <v>32208</v>
      </c>
      <c r="N8414" t="s">
        <v>32524</v>
      </c>
      <c r="O8414" t="s">
        <v>32525</v>
      </c>
      <c r="P8414">
        <v>0</v>
      </c>
      <c r="Q8414">
        <v>0</v>
      </c>
      <c r="R8414" t="s">
        <v>32536</v>
      </c>
      <c r="S8414" t="s">
        <v>32785</v>
      </c>
      <c r="T8414" t="s">
        <v>33168</v>
      </c>
      <c r="U8414" t="s">
        <v>40634</v>
      </c>
      <c r="V8414" t="s">
        <v>43370</v>
      </c>
      <c r="W8414" t="s">
        <v>32208</v>
      </c>
      <c r="X8414" t="s">
        <v>32537</v>
      </c>
    </row>
    <row r="8415" spans="1:24">
      <c r="A8415">
        <f>HYPERLINK("https://www.philgeps.gov.ph/GEPSNONPILOT/Tender/SplashBidNoticeAbstractUI.aspx?menuIndex=3&amp;refID=7030963&amp;Result=3","7030963")</f>
        <v>0</v>
      </c>
      <c r="B8415" t="s">
        <v>1586</v>
      </c>
      <c r="C8415" t="s">
        <v>10717</v>
      </c>
      <c r="E8415" t="s">
        <v>20459</v>
      </c>
      <c r="F8415" t="s">
        <v>22436</v>
      </c>
      <c r="G8415" t="s">
        <v>22444</v>
      </c>
      <c r="H8415" t="s">
        <v>22452</v>
      </c>
      <c r="I8415" t="s">
        <v>22515</v>
      </c>
      <c r="J8415" t="s">
        <v>27969</v>
      </c>
      <c r="K8415" t="s">
        <v>29338</v>
      </c>
      <c r="M8415" t="s">
        <v>31268</v>
      </c>
      <c r="N8415" t="s">
        <v>32524</v>
      </c>
      <c r="O8415" t="s">
        <v>32525</v>
      </c>
      <c r="P8415">
        <v>0</v>
      </c>
      <c r="Q8415">
        <v>8</v>
      </c>
      <c r="R8415" t="s">
        <v>32536</v>
      </c>
      <c r="S8415" t="s">
        <v>32785</v>
      </c>
      <c r="T8415" t="s">
        <v>33550</v>
      </c>
      <c r="U8415" t="s">
        <v>40635</v>
      </c>
      <c r="W8415" t="s">
        <v>31268</v>
      </c>
      <c r="X8415" t="s">
        <v>32537</v>
      </c>
    </row>
    <row r="8416" spans="1:24">
      <c r="A8416">
        <f>HYPERLINK("https://www.philgeps.gov.ph/GEPSNONPILOT/Tender/SplashBidNoticeAbstractUI.aspx?menuIndex=3&amp;refID=7030960&amp;Result=3","7030960")</f>
        <v>0</v>
      </c>
      <c r="B8416" t="s">
        <v>2408</v>
      </c>
      <c r="C8416" t="s">
        <v>10718</v>
      </c>
      <c r="D8416" t="s">
        <v>13032</v>
      </c>
      <c r="E8416" t="s">
        <v>20460</v>
      </c>
      <c r="F8416" t="s">
        <v>22437</v>
      </c>
      <c r="G8416" t="s">
        <v>22444</v>
      </c>
      <c r="H8416" t="s">
        <v>22454</v>
      </c>
      <c r="I8416" t="s">
        <v>7738</v>
      </c>
      <c r="J8416" t="s">
        <v>25369</v>
      </c>
      <c r="K8416" t="s">
        <v>29401</v>
      </c>
      <c r="M8416" t="s">
        <v>32205</v>
      </c>
      <c r="N8416" t="s">
        <v>32524</v>
      </c>
      <c r="O8416" t="s">
        <v>32525</v>
      </c>
      <c r="P8416">
        <v>0</v>
      </c>
      <c r="Q8416">
        <v>4</v>
      </c>
      <c r="R8416" t="s">
        <v>32536</v>
      </c>
      <c r="S8416" t="s">
        <v>32785</v>
      </c>
      <c r="T8416" t="s">
        <v>33403</v>
      </c>
      <c r="U8416" t="s">
        <v>40625</v>
      </c>
      <c r="V8416" t="s">
        <v>43372</v>
      </c>
      <c r="W8416" t="s">
        <v>32205</v>
      </c>
      <c r="X8416" t="s">
        <v>32537</v>
      </c>
    </row>
    <row r="8417" spans="1:24">
      <c r="A8417">
        <f>HYPERLINK("https://www.philgeps.gov.ph/GEPSNONPILOT/Tender/SplashBidNoticeAbstractUI.aspx?menuIndex=3&amp;refID=7031021&amp;Result=3","7031021")</f>
        <v>0</v>
      </c>
      <c r="B8417" t="s">
        <v>2319</v>
      </c>
      <c r="C8417" t="s">
        <v>10719</v>
      </c>
      <c r="D8417" t="s">
        <v>12988</v>
      </c>
      <c r="E8417" t="s">
        <v>13278</v>
      </c>
      <c r="F8417" t="s">
        <v>22436</v>
      </c>
      <c r="G8417" t="s">
        <v>22444</v>
      </c>
      <c r="H8417" t="s">
        <v>22452</v>
      </c>
      <c r="I8417" t="s">
        <v>3827</v>
      </c>
      <c r="J8417" t="s">
        <v>22788</v>
      </c>
      <c r="K8417" t="s">
        <v>29331</v>
      </c>
      <c r="M8417" t="s">
        <v>32095</v>
      </c>
      <c r="N8417" t="s">
        <v>32524</v>
      </c>
      <c r="O8417" t="s">
        <v>32525</v>
      </c>
      <c r="P8417">
        <v>0</v>
      </c>
      <c r="Q8417">
        <v>1</v>
      </c>
      <c r="R8417" t="s">
        <v>32536</v>
      </c>
      <c r="S8417" t="s">
        <v>32785</v>
      </c>
      <c r="T8417" t="s">
        <v>33197</v>
      </c>
      <c r="U8417" t="s">
        <v>40636</v>
      </c>
      <c r="W8417" t="s">
        <v>32095</v>
      </c>
      <c r="X8417" t="s">
        <v>32537</v>
      </c>
    </row>
    <row r="8418" spans="1:24">
      <c r="A8418">
        <f>HYPERLINK("https://www.philgeps.gov.ph/GEPSNONPILOT/Tender/SplashBidNoticeAbstractUI.aspx?menuIndex=3&amp;refID=7031015&amp;Result=3","7031015")</f>
        <v>0</v>
      </c>
      <c r="B8418" t="s">
        <v>2071</v>
      </c>
      <c r="C8418" t="s">
        <v>10720</v>
      </c>
      <c r="D8418" t="s">
        <v>13007</v>
      </c>
      <c r="E8418" t="s">
        <v>20461</v>
      </c>
      <c r="F8418" t="s">
        <v>22436</v>
      </c>
      <c r="G8418" t="s">
        <v>22444</v>
      </c>
      <c r="H8418" t="s">
        <v>22452</v>
      </c>
      <c r="I8418" t="s">
        <v>22465</v>
      </c>
      <c r="J8418" t="s">
        <v>27970</v>
      </c>
      <c r="K8418" t="s">
        <v>29337</v>
      </c>
      <c r="M8418" t="s">
        <v>31814</v>
      </c>
      <c r="N8418" t="s">
        <v>32524</v>
      </c>
      <c r="O8418" t="s">
        <v>32525</v>
      </c>
      <c r="P8418">
        <v>0</v>
      </c>
      <c r="Q8418">
        <v>0</v>
      </c>
      <c r="R8418" t="s">
        <v>32536</v>
      </c>
      <c r="S8418" t="s">
        <v>32785</v>
      </c>
      <c r="T8418" t="s">
        <v>33371</v>
      </c>
      <c r="U8418" t="s">
        <v>40637</v>
      </c>
      <c r="W8418" t="s">
        <v>31814</v>
      </c>
      <c r="X8418" t="s">
        <v>32537</v>
      </c>
    </row>
    <row r="8419" spans="1:24">
      <c r="A8419">
        <f>HYPERLINK("https://www.philgeps.gov.ph/GEPSNONPILOT/Tender/SplashBidNoticeAbstractUI.aspx?menuIndex=3&amp;refID=7031041&amp;Result=3","7031041")</f>
        <v>0</v>
      </c>
      <c r="B8419" t="s">
        <v>1586</v>
      </c>
      <c r="C8419" t="s">
        <v>10721</v>
      </c>
      <c r="E8419" t="s">
        <v>20462</v>
      </c>
      <c r="F8419" t="s">
        <v>22436</v>
      </c>
      <c r="G8419" t="s">
        <v>22444</v>
      </c>
      <c r="H8419" t="s">
        <v>22452</v>
      </c>
      <c r="I8419" t="s">
        <v>22463</v>
      </c>
      <c r="J8419" t="s">
        <v>27971</v>
      </c>
      <c r="K8419" t="s">
        <v>29338</v>
      </c>
      <c r="M8419" t="s">
        <v>31268</v>
      </c>
      <c r="N8419" t="s">
        <v>32524</v>
      </c>
      <c r="O8419" t="s">
        <v>32525</v>
      </c>
      <c r="P8419">
        <v>0</v>
      </c>
      <c r="Q8419">
        <v>15</v>
      </c>
      <c r="R8419" t="s">
        <v>32536</v>
      </c>
      <c r="S8419" t="s">
        <v>32785</v>
      </c>
      <c r="T8419" t="s">
        <v>33550</v>
      </c>
      <c r="U8419" t="s">
        <v>40638</v>
      </c>
      <c r="W8419" t="s">
        <v>31268</v>
      </c>
      <c r="X8419" t="s">
        <v>32537</v>
      </c>
    </row>
    <row r="8420" spans="1:24">
      <c r="A8420">
        <f>HYPERLINK("https://www.philgeps.gov.ph/GEPSNONPILOT/Tender/SplashBidNoticeAbstractUI.aspx?menuIndex=3&amp;refID=7031075&amp;Result=3","7031075")</f>
        <v>0</v>
      </c>
      <c r="B8420" t="s">
        <v>1586</v>
      </c>
      <c r="C8420" t="s">
        <v>10722</v>
      </c>
      <c r="E8420" t="s">
        <v>20463</v>
      </c>
      <c r="F8420" t="s">
        <v>22436</v>
      </c>
      <c r="G8420" t="s">
        <v>22444</v>
      </c>
      <c r="H8420" t="s">
        <v>22452</v>
      </c>
      <c r="I8420" t="s">
        <v>3827</v>
      </c>
      <c r="J8420" t="s">
        <v>27972</v>
      </c>
      <c r="K8420" t="s">
        <v>29338</v>
      </c>
      <c r="M8420" t="s">
        <v>31268</v>
      </c>
      <c r="N8420" t="s">
        <v>32524</v>
      </c>
      <c r="O8420" t="s">
        <v>32525</v>
      </c>
      <c r="P8420">
        <v>0</v>
      </c>
      <c r="Q8420">
        <v>12</v>
      </c>
      <c r="R8420" t="s">
        <v>32536</v>
      </c>
      <c r="S8420" t="s">
        <v>32785</v>
      </c>
      <c r="T8420" t="s">
        <v>33550</v>
      </c>
      <c r="U8420" t="s">
        <v>40639</v>
      </c>
      <c r="W8420" t="s">
        <v>31268</v>
      </c>
      <c r="X8420" t="s">
        <v>32537</v>
      </c>
    </row>
    <row r="8421" spans="1:24">
      <c r="A8421">
        <f>HYPERLINK("https://www.philgeps.gov.ph/GEPSNONPILOT/Tender/SplashBidNoticeAbstractUI.aspx?menuIndex=3&amp;refID=7031066&amp;Result=3","7031066")</f>
        <v>0</v>
      </c>
      <c r="B8421" t="s">
        <v>2409</v>
      </c>
      <c r="C8421" t="s">
        <v>10723</v>
      </c>
      <c r="D8421" t="s">
        <v>13022</v>
      </c>
      <c r="E8421" t="s">
        <v>13333</v>
      </c>
      <c r="F8421" t="s">
        <v>22436</v>
      </c>
      <c r="G8421" t="s">
        <v>22444</v>
      </c>
      <c r="H8421" t="s">
        <v>22454</v>
      </c>
      <c r="I8421" t="s">
        <v>7738</v>
      </c>
      <c r="J8421" t="s">
        <v>27973</v>
      </c>
      <c r="K8421" t="s">
        <v>29338</v>
      </c>
      <c r="M8421" t="s">
        <v>32207</v>
      </c>
      <c r="N8421" t="s">
        <v>32524</v>
      </c>
      <c r="O8421" t="s">
        <v>32525</v>
      </c>
      <c r="P8421">
        <v>0</v>
      </c>
      <c r="Q8421">
        <v>1</v>
      </c>
      <c r="R8421" t="s">
        <v>32536</v>
      </c>
      <c r="S8421" t="s">
        <v>32785</v>
      </c>
      <c r="T8421" t="s">
        <v>33259</v>
      </c>
      <c r="U8421" t="s">
        <v>40627</v>
      </c>
      <c r="W8421" t="s">
        <v>32207</v>
      </c>
      <c r="X8421" t="s">
        <v>32537</v>
      </c>
    </row>
    <row r="8422" spans="1:24">
      <c r="A8422">
        <f>HYPERLINK("https://www.philgeps.gov.ph/GEPSNONPILOT/Tender/SplashBidNoticeAbstractUI.aspx?menuIndex=3&amp;refID=7031020&amp;Result=3","7031020")</f>
        <v>0</v>
      </c>
      <c r="B8422" t="s">
        <v>1586</v>
      </c>
      <c r="C8422" t="s">
        <v>10724</v>
      </c>
      <c r="E8422" t="s">
        <v>20464</v>
      </c>
      <c r="F8422" t="s">
        <v>22436</v>
      </c>
      <c r="G8422" t="s">
        <v>22444</v>
      </c>
      <c r="H8422" t="s">
        <v>22452</v>
      </c>
      <c r="I8422" t="s">
        <v>22477</v>
      </c>
      <c r="J8422" t="s">
        <v>27974</v>
      </c>
      <c r="K8422" t="s">
        <v>29338</v>
      </c>
      <c r="M8422" t="s">
        <v>31268</v>
      </c>
      <c r="N8422" t="s">
        <v>32524</v>
      </c>
      <c r="O8422" t="s">
        <v>32525</v>
      </c>
      <c r="P8422">
        <v>0</v>
      </c>
      <c r="Q8422">
        <v>2</v>
      </c>
      <c r="R8422" t="s">
        <v>32536</v>
      </c>
      <c r="S8422" t="s">
        <v>32785</v>
      </c>
      <c r="T8422" t="s">
        <v>33550</v>
      </c>
      <c r="U8422" t="s">
        <v>40640</v>
      </c>
      <c r="W8422" t="s">
        <v>31268</v>
      </c>
      <c r="X8422" t="s">
        <v>32537</v>
      </c>
    </row>
    <row r="8423" spans="1:24">
      <c r="A8423">
        <f>HYPERLINK("https://www.philgeps.gov.ph/GEPSNONPILOT/Tender/SplashBidNoticeAbstractUI.aspx?menuIndex=3&amp;refID=7031078&amp;Result=3","7031078")</f>
        <v>0</v>
      </c>
      <c r="B8423" t="s">
        <v>2386</v>
      </c>
      <c r="C8423" t="s">
        <v>10725</v>
      </c>
      <c r="E8423" t="s">
        <v>20465</v>
      </c>
      <c r="F8423" t="s">
        <v>22436</v>
      </c>
      <c r="G8423" t="s">
        <v>22444</v>
      </c>
      <c r="H8423" t="s">
        <v>22452</v>
      </c>
      <c r="I8423" t="s">
        <v>22474</v>
      </c>
      <c r="J8423" t="s">
        <v>23397</v>
      </c>
      <c r="K8423" t="s">
        <v>29338</v>
      </c>
      <c r="M8423" t="s">
        <v>32178</v>
      </c>
      <c r="N8423" t="s">
        <v>32524</v>
      </c>
      <c r="O8423" t="s">
        <v>32525</v>
      </c>
      <c r="P8423">
        <v>0</v>
      </c>
      <c r="Q8423">
        <v>6</v>
      </c>
      <c r="R8423" t="s">
        <v>32536</v>
      </c>
      <c r="S8423" t="s">
        <v>32785</v>
      </c>
      <c r="T8423" t="s">
        <v>33191</v>
      </c>
      <c r="U8423" t="s">
        <v>40641</v>
      </c>
      <c r="W8423" t="s">
        <v>32178</v>
      </c>
      <c r="X8423" t="s">
        <v>32537</v>
      </c>
    </row>
    <row r="8424" spans="1:24">
      <c r="A8424">
        <f>HYPERLINK("https://www.philgeps.gov.ph/GEPSNONPILOT/Tender/SplashBidNoticeAbstractUI.aspx?menuIndex=3&amp;refID=7031089&amp;Result=3","7031089")</f>
        <v>0</v>
      </c>
      <c r="B8424" t="s">
        <v>1586</v>
      </c>
      <c r="C8424" t="s">
        <v>10726</v>
      </c>
      <c r="E8424" t="s">
        <v>20466</v>
      </c>
      <c r="F8424" t="s">
        <v>22436</v>
      </c>
      <c r="G8424" t="s">
        <v>22444</v>
      </c>
      <c r="H8424" t="s">
        <v>22452</v>
      </c>
      <c r="I8424" t="s">
        <v>22504</v>
      </c>
      <c r="J8424" t="s">
        <v>27975</v>
      </c>
      <c r="K8424" t="s">
        <v>29338</v>
      </c>
      <c r="M8424" t="s">
        <v>31268</v>
      </c>
      <c r="N8424" t="s">
        <v>32524</v>
      </c>
      <c r="O8424" t="s">
        <v>32525</v>
      </c>
      <c r="P8424">
        <v>0</v>
      </c>
      <c r="Q8424">
        <v>9</v>
      </c>
      <c r="R8424" t="s">
        <v>32536</v>
      </c>
      <c r="S8424" t="s">
        <v>32785</v>
      </c>
      <c r="T8424" t="s">
        <v>33550</v>
      </c>
      <c r="U8424" t="s">
        <v>40642</v>
      </c>
      <c r="W8424" t="s">
        <v>31268</v>
      </c>
      <c r="X8424" t="s">
        <v>32537</v>
      </c>
    </row>
    <row r="8425" spans="1:24">
      <c r="A8425">
        <f>HYPERLINK("https://www.philgeps.gov.ph/GEPSNONPILOT/Tender/SplashBidNoticeAbstractUI.aspx?menuIndex=3&amp;refID=7031062&amp;Result=3","7031062")</f>
        <v>0</v>
      </c>
      <c r="B8425" t="s">
        <v>1586</v>
      </c>
      <c r="C8425" t="s">
        <v>10727</v>
      </c>
      <c r="E8425" t="s">
        <v>20467</v>
      </c>
      <c r="F8425" t="s">
        <v>22436</v>
      </c>
      <c r="G8425" t="s">
        <v>22444</v>
      </c>
      <c r="H8425" t="s">
        <v>22452</v>
      </c>
      <c r="I8425" t="s">
        <v>3827</v>
      </c>
      <c r="J8425" t="s">
        <v>27976</v>
      </c>
      <c r="K8425" t="s">
        <v>29338</v>
      </c>
      <c r="M8425" t="s">
        <v>31268</v>
      </c>
      <c r="N8425" t="s">
        <v>32524</v>
      </c>
      <c r="O8425" t="s">
        <v>32525</v>
      </c>
      <c r="P8425">
        <v>0</v>
      </c>
      <c r="Q8425">
        <v>1</v>
      </c>
      <c r="R8425" t="s">
        <v>32536</v>
      </c>
      <c r="S8425" t="s">
        <v>32785</v>
      </c>
      <c r="T8425" t="s">
        <v>33550</v>
      </c>
      <c r="U8425" t="s">
        <v>40643</v>
      </c>
      <c r="W8425" t="s">
        <v>31268</v>
      </c>
      <c r="X8425" t="s">
        <v>32537</v>
      </c>
    </row>
    <row r="8426" spans="1:24">
      <c r="A8426">
        <f>HYPERLINK("https://www.philgeps.gov.ph/GEPSNONPILOT/Tender/SplashBidNoticeAbstractUI.aspx?menuIndex=3&amp;refID=7031024&amp;Result=3","7031024")</f>
        <v>0</v>
      </c>
      <c r="B8426" t="s">
        <v>195</v>
      </c>
      <c r="C8426" t="s">
        <v>10728</v>
      </c>
      <c r="D8426" t="s">
        <v>13031</v>
      </c>
      <c r="E8426" t="s">
        <v>20468</v>
      </c>
      <c r="F8426" t="s">
        <v>22436</v>
      </c>
      <c r="G8426" t="s">
        <v>22444</v>
      </c>
      <c r="H8426" t="s">
        <v>22454</v>
      </c>
      <c r="I8426" t="s">
        <v>7738</v>
      </c>
      <c r="J8426" t="s">
        <v>25899</v>
      </c>
      <c r="K8426" t="s">
        <v>29543</v>
      </c>
      <c r="M8426" t="s">
        <v>32198</v>
      </c>
      <c r="N8426" t="s">
        <v>32524</v>
      </c>
      <c r="O8426" t="s">
        <v>32525</v>
      </c>
      <c r="P8426">
        <v>0</v>
      </c>
      <c r="Q8426">
        <v>1</v>
      </c>
      <c r="R8426" t="s">
        <v>32536</v>
      </c>
      <c r="S8426" t="s">
        <v>32785</v>
      </c>
      <c r="T8426" t="s">
        <v>33234</v>
      </c>
      <c r="U8426" t="s">
        <v>36512</v>
      </c>
      <c r="W8426" t="s">
        <v>32198</v>
      </c>
      <c r="X8426" t="s">
        <v>32537</v>
      </c>
    </row>
    <row r="8427" spans="1:24">
      <c r="A8427">
        <f>HYPERLINK("https://www.philgeps.gov.ph/GEPSNONPILOT/Tender/SplashBidNoticeAbstractUI.aspx?menuIndex=3&amp;refID=7031031&amp;Result=3","7031031")</f>
        <v>0</v>
      </c>
      <c r="B8427" t="s">
        <v>2409</v>
      </c>
      <c r="C8427" t="s">
        <v>10729</v>
      </c>
      <c r="D8427" t="s">
        <v>13022</v>
      </c>
      <c r="E8427" t="s">
        <v>13559</v>
      </c>
      <c r="F8427" t="s">
        <v>22436</v>
      </c>
      <c r="G8427" t="s">
        <v>22444</v>
      </c>
      <c r="H8427" t="s">
        <v>22454</v>
      </c>
      <c r="I8427" t="s">
        <v>7738</v>
      </c>
      <c r="J8427" t="s">
        <v>27977</v>
      </c>
      <c r="K8427" t="s">
        <v>29338</v>
      </c>
      <c r="M8427" t="s">
        <v>32207</v>
      </c>
      <c r="N8427" t="s">
        <v>32524</v>
      </c>
      <c r="O8427" t="s">
        <v>32525</v>
      </c>
      <c r="P8427">
        <v>0</v>
      </c>
      <c r="Q8427">
        <v>1</v>
      </c>
      <c r="R8427" t="s">
        <v>32536</v>
      </c>
      <c r="S8427" t="s">
        <v>32785</v>
      </c>
      <c r="T8427" t="s">
        <v>33259</v>
      </c>
      <c r="U8427" t="s">
        <v>40627</v>
      </c>
      <c r="W8427" t="s">
        <v>32207</v>
      </c>
      <c r="X8427" t="s">
        <v>32537</v>
      </c>
    </row>
    <row r="8428" spans="1:24">
      <c r="A8428">
        <f>HYPERLINK("https://www.philgeps.gov.ph/GEPSNONPILOT/Tender/SplashBidNoticeAbstractUI.aspx?menuIndex=3&amp;refID=7031096&amp;Result=3","7031096")</f>
        <v>0</v>
      </c>
      <c r="B8428" t="s">
        <v>1586</v>
      </c>
      <c r="C8428" t="s">
        <v>10730</v>
      </c>
      <c r="E8428" t="s">
        <v>20469</v>
      </c>
      <c r="F8428" t="s">
        <v>22436</v>
      </c>
      <c r="G8428" t="s">
        <v>22444</v>
      </c>
      <c r="H8428" t="s">
        <v>22452</v>
      </c>
      <c r="I8428" t="s">
        <v>22474</v>
      </c>
      <c r="J8428" t="s">
        <v>27978</v>
      </c>
      <c r="K8428" t="s">
        <v>29338</v>
      </c>
      <c r="M8428" t="s">
        <v>31268</v>
      </c>
      <c r="N8428" t="s">
        <v>32524</v>
      </c>
      <c r="O8428" t="s">
        <v>32525</v>
      </c>
      <c r="P8428">
        <v>0</v>
      </c>
      <c r="Q8428">
        <v>13</v>
      </c>
      <c r="R8428" t="s">
        <v>32536</v>
      </c>
      <c r="S8428" t="s">
        <v>32785</v>
      </c>
      <c r="T8428" t="s">
        <v>33550</v>
      </c>
      <c r="U8428" t="s">
        <v>40644</v>
      </c>
      <c r="W8428" t="s">
        <v>31268</v>
      </c>
      <c r="X8428" t="s">
        <v>32537</v>
      </c>
    </row>
    <row r="8429" spans="1:24">
      <c r="A8429">
        <f>HYPERLINK("https://www.philgeps.gov.ph/GEPSNONPILOT/Tender/SplashBidNoticeAbstractUI.aspx?menuIndex=3&amp;refID=7031139&amp;Result=3","7031139")</f>
        <v>0</v>
      </c>
      <c r="B8429" t="s">
        <v>2413</v>
      </c>
      <c r="C8429" t="s">
        <v>10731</v>
      </c>
      <c r="D8429" t="s">
        <v>13006</v>
      </c>
      <c r="E8429" t="s">
        <v>17728</v>
      </c>
      <c r="F8429" t="s">
        <v>22436</v>
      </c>
      <c r="G8429" t="s">
        <v>22444</v>
      </c>
      <c r="H8429" t="s">
        <v>22452</v>
      </c>
      <c r="I8429" t="s">
        <v>22474</v>
      </c>
      <c r="J8429" t="s">
        <v>26864</v>
      </c>
      <c r="K8429" t="s">
        <v>29344</v>
      </c>
      <c r="M8429" t="s">
        <v>32211</v>
      </c>
      <c r="N8429" t="s">
        <v>32524</v>
      </c>
      <c r="O8429" t="s">
        <v>32525</v>
      </c>
      <c r="P8429">
        <v>0</v>
      </c>
      <c r="Q8429">
        <v>6</v>
      </c>
      <c r="R8429" t="s">
        <v>32536</v>
      </c>
      <c r="S8429" t="s">
        <v>32785</v>
      </c>
      <c r="T8429" t="s">
        <v>33249</v>
      </c>
      <c r="U8429" t="s">
        <v>40645</v>
      </c>
      <c r="V8429" t="s">
        <v>43373</v>
      </c>
      <c r="W8429" t="s">
        <v>32211</v>
      </c>
      <c r="X8429" t="s">
        <v>32537</v>
      </c>
    </row>
    <row r="8430" spans="1:24">
      <c r="A8430">
        <f>HYPERLINK("https://www.philgeps.gov.ph/GEPSNONPILOT/Tender/SplashBidNoticeAbstractUI.aspx?menuIndex=3&amp;refID=7031113&amp;Result=3","7031113")</f>
        <v>0</v>
      </c>
      <c r="B8430" t="s">
        <v>1586</v>
      </c>
      <c r="C8430" t="s">
        <v>10732</v>
      </c>
      <c r="E8430" t="s">
        <v>20470</v>
      </c>
      <c r="F8430" t="s">
        <v>22436</v>
      </c>
      <c r="G8430" t="s">
        <v>22444</v>
      </c>
      <c r="H8430" t="s">
        <v>22452</v>
      </c>
      <c r="I8430" t="s">
        <v>22465</v>
      </c>
      <c r="J8430" t="s">
        <v>27979</v>
      </c>
      <c r="K8430" t="s">
        <v>29338</v>
      </c>
      <c r="M8430" t="s">
        <v>31268</v>
      </c>
      <c r="N8430" t="s">
        <v>32524</v>
      </c>
      <c r="O8430" t="s">
        <v>32525</v>
      </c>
      <c r="P8430">
        <v>0</v>
      </c>
      <c r="Q8430">
        <v>4</v>
      </c>
      <c r="R8430" t="s">
        <v>32536</v>
      </c>
      <c r="S8430" t="s">
        <v>32785</v>
      </c>
      <c r="T8430" t="s">
        <v>33550</v>
      </c>
      <c r="U8430" t="s">
        <v>40646</v>
      </c>
      <c r="W8430" t="s">
        <v>31268</v>
      </c>
      <c r="X8430" t="s">
        <v>32537</v>
      </c>
    </row>
    <row r="8431" spans="1:24">
      <c r="A8431">
        <f>HYPERLINK("https://www.philgeps.gov.ph/GEPSNONPILOT/Tender/SplashBidNoticeAbstractUI.aspx?menuIndex=3&amp;refID=7031127&amp;Result=3","7031127")</f>
        <v>0</v>
      </c>
      <c r="B8431" t="s">
        <v>2411</v>
      </c>
      <c r="C8431" t="s">
        <v>10733</v>
      </c>
      <c r="D8431" t="s">
        <v>13060</v>
      </c>
      <c r="E8431" t="s">
        <v>20471</v>
      </c>
      <c r="F8431" t="s">
        <v>22436</v>
      </c>
      <c r="G8431" t="s">
        <v>22443</v>
      </c>
      <c r="H8431" t="s">
        <v>22452</v>
      </c>
      <c r="I8431" t="s">
        <v>22482</v>
      </c>
      <c r="J8431" t="s">
        <v>27980</v>
      </c>
      <c r="K8431" t="s">
        <v>29333</v>
      </c>
      <c r="M8431" t="s">
        <v>32209</v>
      </c>
      <c r="N8431" t="s">
        <v>32524</v>
      </c>
      <c r="O8431" t="s">
        <v>32525</v>
      </c>
      <c r="Q8431">
        <v>0</v>
      </c>
      <c r="R8431" t="s">
        <v>32536</v>
      </c>
      <c r="S8431" t="s">
        <v>32796</v>
      </c>
      <c r="T8431" t="s">
        <v>33169</v>
      </c>
      <c r="U8431" t="s">
        <v>40647</v>
      </c>
      <c r="V8431" t="s">
        <v>43371</v>
      </c>
      <c r="W8431" t="s">
        <v>32209</v>
      </c>
      <c r="X8431" t="s">
        <v>32537</v>
      </c>
    </row>
    <row r="8432" spans="1:24">
      <c r="A8432">
        <f>HYPERLINK("https://www.philgeps.gov.ph/GEPSNONPILOT/Tender/SplashBidNoticeAbstractUI.aspx?menuIndex=3&amp;refID=7031146&amp;Result=3","7031146")</f>
        <v>0</v>
      </c>
      <c r="B8432" t="s">
        <v>2414</v>
      </c>
      <c r="C8432" t="s">
        <v>10734</v>
      </c>
      <c r="D8432" t="s">
        <v>13012</v>
      </c>
      <c r="E8432" t="s">
        <v>20472</v>
      </c>
      <c r="F8432" t="s">
        <v>22436</v>
      </c>
      <c r="G8432" t="s">
        <v>22444</v>
      </c>
      <c r="H8432" t="s">
        <v>22452</v>
      </c>
      <c r="I8432" t="s">
        <v>22474</v>
      </c>
      <c r="J8432" t="s">
        <v>22585</v>
      </c>
      <c r="K8432" t="s">
        <v>29335</v>
      </c>
      <c r="M8432" t="s">
        <v>32212</v>
      </c>
      <c r="N8432" t="s">
        <v>32524</v>
      </c>
      <c r="O8432" t="s">
        <v>32525</v>
      </c>
      <c r="Q8432">
        <v>0</v>
      </c>
      <c r="R8432" t="s">
        <v>32536</v>
      </c>
      <c r="S8432" t="s">
        <v>32797</v>
      </c>
      <c r="T8432" t="s">
        <v>33169</v>
      </c>
      <c r="U8432" t="s">
        <v>40648</v>
      </c>
      <c r="W8432" t="s">
        <v>32212</v>
      </c>
      <c r="X8432" t="s">
        <v>32537</v>
      </c>
    </row>
    <row r="8433" spans="1:24">
      <c r="A8433">
        <f>HYPERLINK("https://www.philgeps.gov.ph/GEPSNONPILOT/Tender/SplashBidNoticeAbstractUI.aspx?menuIndex=3&amp;refID=7031111&amp;Result=3","7031111")</f>
        <v>0</v>
      </c>
      <c r="B8433" t="s">
        <v>2415</v>
      </c>
      <c r="C8433" t="s">
        <v>10735</v>
      </c>
      <c r="E8433" t="s">
        <v>20473</v>
      </c>
      <c r="F8433" t="s">
        <v>22436</v>
      </c>
      <c r="G8433" t="s">
        <v>22443</v>
      </c>
      <c r="H8433" t="s">
        <v>22452</v>
      </c>
      <c r="I8433" t="s">
        <v>3529</v>
      </c>
      <c r="J8433" t="s">
        <v>27981</v>
      </c>
      <c r="K8433" t="s">
        <v>29337</v>
      </c>
      <c r="M8433" t="s">
        <v>32213</v>
      </c>
      <c r="N8433" t="s">
        <v>32524</v>
      </c>
      <c r="O8433" t="s">
        <v>32525</v>
      </c>
      <c r="P8433">
        <v>0</v>
      </c>
      <c r="Q8433">
        <v>0</v>
      </c>
      <c r="R8433" t="s">
        <v>32536</v>
      </c>
      <c r="S8433" t="s">
        <v>32785</v>
      </c>
      <c r="T8433" t="s">
        <v>33163</v>
      </c>
      <c r="U8433" t="s">
        <v>40649</v>
      </c>
      <c r="W8433" t="s">
        <v>32213</v>
      </c>
      <c r="X8433" t="s">
        <v>32537</v>
      </c>
    </row>
    <row r="8434" spans="1:24">
      <c r="A8434">
        <f>HYPERLINK("https://www.philgeps.gov.ph/GEPSNONPILOT/Tender/SplashBidNoticeAbstractUI.aspx?menuIndex=3&amp;refID=7031150&amp;Result=3","7031150")</f>
        <v>0</v>
      </c>
      <c r="B8434" t="s">
        <v>2416</v>
      </c>
      <c r="C8434" t="s">
        <v>4415</v>
      </c>
      <c r="D8434" t="s">
        <v>13006</v>
      </c>
      <c r="E8434" t="s">
        <v>13165</v>
      </c>
      <c r="F8434" t="s">
        <v>22436</v>
      </c>
      <c r="G8434" t="s">
        <v>22444</v>
      </c>
      <c r="H8434" t="s">
        <v>22452</v>
      </c>
      <c r="I8434" t="s">
        <v>6387</v>
      </c>
      <c r="J8434" t="s">
        <v>23441</v>
      </c>
      <c r="K8434" t="s">
        <v>29338</v>
      </c>
      <c r="M8434" t="s">
        <v>32214</v>
      </c>
      <c r="N8434" t="s">
        <v>32524</v>
      </c>
      <c r="O8434" t="s">
        <v>32525</v>
      </c>
      <c r="P8434">
        <v>0</v>
      </c>
      <c r="Q8434">
        <v>0</v>
      </c>
      <c r="R8434" t="s">
        <v>32536</v>
      </c>
      <c r="S8434" t="s">
        <v>32785</v>
      </c>
      <c r="T8434" t="s">
        <v>33161</v>
      </c>
      <c r="U8434" t="s">
        <v>40650</v>
      </c>
      <c r="W8434" t="s">
        <v>32214</v>
      </c>
      <c r="X8434" t="s">
        <v>32537</v>
      </c>
    </row>
    <row r="8435" spans="1:24">
      <c r="A8435">
        <f>HYPERLINK("https://www.philgeps.gov.ph/GEPSNONPILOT/Tender/SplashBidNoticeAbstractUI.aspx?menuIndex=3&amp;refID=7031193&amp;Result=3","7031193")</f>
        <v>0</v>
      </c>
      <c r="B8435" t="s">
        <v>2417</v>
      </c>
      <c r="C8435" t="s">
        <v>10736</v>
      </c>
      <c r="D8435" t="s">
        <v>13039</v>
      </c>
      <c r="E8435" t="s">
        <v>20474</v>
      </c>
      <c r="F8435" t="s">
        <v>22436</v>
      </c>
      <c r="G8435" t="s">
        <v>22444</v>
      </c>
      <c r="H8435" t="s">
        <v>22454</v>
      </c>
      <c r="I8435" t="s">
        <v>7738</v>
      </c>
      <c r="J8435" t="s">
        <v>27982</v>
      </c>
      <c r="K8435" t="s">
        <v>29408</v>
      </c>
      <c r="M8435" t="s">
        <v>32215</v>
      </c>
      <c r="N8435" t="s">
        <v>32524</v>
      </c>
      <c r="O8435" t="s">
        <v>32525</v>
      </c>
      <c r="P8435">
        <v>0</v>
      </c>
      <c r="Q8435">
        <v>1</v>
      </c>
      <c r="R8435" t="s">
        <v>32536</v>
      </c>
      <c r="S8435" t="s">
        <v>32785</v>
      </c>
      <c r="T8435" t="s">
        <v>33191</v>
      </c>
      <c r="U8435" t="s">
        <v>40651</v>
      </c>
      <c r="W8435" t="s">
        <v>32215</v>
      </c>
      <c r="X8435" t="s">
        <v>32537</v>
      </c>
    </row>
    <row r="8436" spans="1:24">
      <c r="A8436">
        <f>HYPERLINK("https://www.philgeps.gov.ph/GEPSNONPILOT/Tender/SplashBidNoticeAbstractUI.aspx?menuIndex=3&amp;refID=7031131&amp;Result=3","7031131")</f>
        <v>0</v>
      </c>
      <c r="B8436" t="s">
        <v>1586</v>
      </c>
      <c r="C8436" t="s">
        <v>10737</v>
      </c>
      <c r="E8436" t="s">
        <v>20475</v>
      </c>
      <c r="F8436" t="s">
        <v>22436</v>
      </c>
      <c r="G8436" t="s">
        <v>22444</v>
      </c>
      <c r="H8436" t="s">
        <v>22452</v>
      </c>
      <c r="I8436" t="s">
        <v>22466</v>
      </c>
      <c r="J8436" t="s">
        <v>27983</v>
      </c>
      <c r="K8436" t="s">
        <v>29338</v>
      </c>
      <c r="M8436" t="s">
        <v>31268</v>
      </c>
      <c r="N8436" t="s">
        <v>32524</v>
      </c>
      <c r="O8436" t="s">
        <v>32525</v>
      </c>
      <c r="P8436">
        <v>0</v>
      </c>
      <c r="Q8436">
        <v>10</v>
      </c>
      <c r="R8436" t="s">
        <v>32536</v>
      </c>
      <c r="S8436" t="s">
        <v>32785</v>
      </c>
      <c r="T8436" t="s">
        <v>33550</v>
      </c>
      <c r="U8436" t="s">
        <v>40652</v>
      </c>
      <c r="W8436" t="s">
        <v>31268</v>
      </c>
      <c r="X8436" t="s">
        <v>32537</v>
      </c>
    </row>
    <row r="8437" spans="1:24">
      <c r="A8437">
        <f>HYPERLINK("https://www.philgeps.gov.ph/GEPSNONPILOT/Tender/SplashBidNoticeAbstractUI.aspx?menuIndex=3&amp;refID=7031130&amp;Result=3","7031130")</f>
        <v>0</v>
      </c>
      <c r="B8437" t="s">
        <v>437</v>
      </c>
      <c r="C8437" t="s">
        <v>10738</v>
      </c>
      <c r="D8437" t="s">
        <v>13023</v>
      </c>
      <c r="E8437" t="s">
        <v>20476</v>
      </c>
      <c r="F8437" t="s">
        <v>22437</v>
      </c>
      <c r="G8437" t="s">
        <v>22444</v>
      </c>
      <c r="H8437" t="s">
        <v>22452</v>
      </c>
      <c r="I8437" t="s">
        <v>22502</v>
      </c>
      <c r="J8437" t="s">
        <v>23505</v>
      </c>
      <c r="K8437" t="s">
        <v>29334</v>
      </c>
      <c r="M8437" t="s">
        <v>30018</v>
      </c>
      <c r="N8437" t="s">
        <v>32524</v>
      </c>
      <c r="O8437" t="s">
        <v>32525</v>
      </c>
      <c r="Q8437">
        <v>10</v>
      </c>
      <c r="R8437" t="s">
        <v>32536</v>
      </c>
      <c r="S8437" t="s">
        <v>32798</v>
      </c>
      <c r="T8437" t="s">
        <v>33309</v>
      </c>
      <c r="U8437" t="s">
        <v>40653</v>
      </c>
      <c r="W8437" t="s">
        <v>30018</v>
      </c>
      <c r="X8437" t="s">
        <v>32537</v>
      </c>
    </row>
    <row r="8438" spans="1:24">
      <c r="A8438">
        <f>HYPERLINK("https://www.philgeps.gov.ph/GEPSNONPILOT/Tender/SplashBidNoticeAbstractUI.aspx?menuIndex=3&amp;refID=7031190&amp;Result=3","7031190")</f>
        <v>0</v>
      </c>
      <c r="B8438" t="s">
        <v>2408</v>
      </c>
      <c r="C8438" t="s">
        <v>10739</v>
      </c>
      <c r="D8438" t="s">
        <v>13032</v>
      </c>
      <c r="E8438" t="s">
        <v>20477</v>
      </c>
      <c r="F8438" t="s">
        <v>22437</v>
      </c>
      <c r="G8438" t="s">
        <v>22444</v>
      </c>
      <c r="H8438" t="s">
        <v>22454</v>
      </c>
      <c r="I8438" t="s">
        <v>7738</v>
      </c>
      <c r="J8438" t="s">
        <v>25071</v>
      </c>
      <c r="K8438" t="s">
        <v>29419</v>
      </c>
      <c r="M8438" t="s">
        <v>32205</v>
      </c>
      <c r="N8438" t="s">
        <v>32524</v>
      </c>
      <c r="O8438" t="s">
        <v>32525</v>
      </c>
      <c r="P8438">
        <v>0</v>
      </c>
      <c r="Q8438">
        <v>6</v>
      </c>
      <c r="R8438" t="s">
        <v>32536</v>
      </c>
      <c r="S8438" t="s">
        <v>32785</v>
      </c>
      <c r="T8438" t="s">
        <v>33403</v>
      </c>
      <c r="U8438" t="s">
        <v>40625</v>
      </c>
      <c r="V8438" t="s">
        <v>43368</v>
      </c>
      <c r="W8438" t="s">
        <v>32205</v>
      </c>
      <c r="X8438" t="s">
        <v>32537</v>
      </c>
    </row>
    <row r="8439" spans="1:24">
      <c r="A8439">
        <f>HYPERLINK("https://www.philgeps.gov.ph/GEPSNONPILOT/Tender/SplashBidNoticeAbstractUI.aspx?menuIndex=3&amp;refID=7031114&amp;Result=3","7031114")</f>
        <v>0</v>
      </c>
      <c r="B8439" t="s">
        <v>2262</v>
      </c>
      <c r="C8439" t="s">
        <v>10740</v>
      </c>
      <c r="D8439" t="s">
        <v>13020</v>
      </c>
      <c r="E8439" t="s">
        <v>20478</v>
      </c>
      <c r="F8439" t="s">
        <v>22436</v>
      </c>
      <c r="G8439" t="s">
        <v>22444</v>
      </c>
      <c r="H8439" t="s">
        <v>22454</v>
      </c>
      <c r="I8439" t="s">
        <v>7738</v>
      </c>
      <c r="J8439" t="s">
        <v>24130</v>
      </c>
      <c r="K8439" t="s">
        <v>29449</v>
      </c>
      <c r="L8439" t="s">
        <v>2262</v>
      </c>
      <c r="M8439" t="s">
        <v>32032</v>
      </c>
      <c r="N8439" t="s">
        <v>32524</v>
      </c>
      <c r="O8439" t="s">
        <v>32525</v>
      </c>
      <c r="P8439">
        <v>0</v>
      </c>
      <c r="Q8439">
        <v>18</v>
      </c>
      <c r="R8439" t="s">
        <v>32536</v>
      </c>
      <c r="S8439" t="s">
        <v>32785</v>
      </c>
      <c r="T8439" t="s">
        <v>33212</v>
      </c>
      <c r="U8439" t="s">
        <v>40654</v>
      </c>
      <c r="W8439" t="s">
        <v>32032</v>
      </c>
      <c r="X8439" t="s">
        <v>32537</v>
      </c>
    </row>
    <row r="8440" spans="1:24">
      <c r="A8440">
        <f>HYPERLINK("https://www.philgeps.gov.ph/GEPSNONPILOT/Tender/SplashBidNoticeAbstractUI.aspx?menuIndex=3&amp;refID=7031121&amp;Result=3","7031121")</f>
        <v>0</v>
      </c>
      <c r="B8440" t="s">
        <v>195</v>
      </c>
      <c r="C8440" t="s">
        <v>10741</v>
      </c>
      <c r="D8440" t="s">
        <v>13031</v>
      </c>
      <c r="E8440" t="s">
        <v>20479</v>
      </c>
      <c r="F8440" t="s">
        <v>22436</v>
      </c>
      <c r="G8440" t="s">
        <v>22444</v>
      </c>
      <c r="H8440" t="s">
        <v>22454</v>
      </c>
      <c r="I8440" t="s">
        <v>7738</v>
      </c>
      <c r="J8440" t="s">
        <v>27952</v>
      </c>
      <c r="K8440" t="s">
        <v>29544</v>
      </c>
      <c r="M8440" t="s">
        <v>32198</v>
      </c>
      <c r="N8440" t="s">
        <v>32524</v>
      </c>
      <c r="O8440" t="s">
        <v>32525</v>
      </c>
      <c r="P8440">
        <v>0</v>
      </c>
      <c r="Q8440">
        <v>1</v>
      </c>
      <c r="R8440" t="s">
        <v>32536</v>
      </c>
      <c r="S8440" t="s">
        <v>32785</v>
      </c>
      <c r="T8440" t="s">
        <v>33234</v>
      </c>
      <c r="U8440" t="s">
        <v>40655</v>
      </c>
      <c r="W8440" t="s">
        <v>32198</v>
      </c>
      <c r="X8440" t="s">
        <v>32537</v>
      </c>
    </row>
    <row r="8441" spans="1:24">
      <c r="A8441">
        <f>HYPERLINK("https://www.philgeps.gov.ph/GEPSNONPILOT/Tender/SplashBidNoticeAbstractUI.aspx?menuIndex=3&amp;refID=7031194&amp;Result=3","7031194")</f>
        <v>0</v>
      </c>
      <c r="B8441" t="s">
        <v>1586</v>
      </c>
      <c r="C8441" t="s">
        <v>10742</v>
      </c>
      <c r="E8441" t="s">
        <v>20480</v>
      </c>
      <c r="F8441" t="s">
        <v>22436</v>
      </c>
      <c r="G8441" t="s">
        <v>22444</v>
      </c>
      <c r="H8441" t="s">
        <v>22452</v>
      </c>
      <c r="I8441" t="s">
        <v>22460</v>
      </c>
      <c r="J8441" t="s">
        <v>27984</v>
      </c>
      <c r="K8441" t="s">
        <v>29338</v>
      </c>
      <c r="M8441" t="s">
        <v>31268</v>
      </c>
      <c r="N8441" t="s">
        <v>32524</v>
      </c>
      <c r="O8441" t="s">
        <v>32525</v>
      </c>
      <c r="P8441">
        <v>0</v>
      </c>
      <c r="Q8441">
        <v>0</v>
      </c>
      <c r="R8441" t="s">
        <v>32536</v>
      </c>
      <c r="S8441" t="s">
        <v>32785</v>
      </c>
      <c r="T8441" t="s">
        <v>33550</v>
      </c>
      <c r="U8441" t="s">
        <v>40656</v>
      </c>
      <c r="W8441" t="s">
        <v>31268</v>
      </c>
      <c r="X8441" t="s">
        <v>32537</v>
      </c>
    </row>
    <row r="8442" spans="1:24">
      <c r="A8442">
        <f>HYPERLINK("https://www.philgeps.gov.ph/GEPSNONPILOT/Tender/SplashBidNoticeAbstractUI.aspx?menuIndex=3&amp;refID=7031185&amp;Result=3","7031185")</f>
        <v>0</v>
      </c>
      <c r="B8442" t="s">
        <v>2410</v>
      </c>
      <c r="C8442" t="s">
        <v>10743</v>
      </c>
      <c r="D8442" t="s">
        <v>13038</v>
      </c>
      <c r="E8442" t="s">
        <v>20481</v>
      </c>
      <c r="F8442" t="s">
        <v>22436</v>
      </c>
      <c r="G8442" t="s">
        <v>22444</v>
      </c>
      <c r="H8442" t="s">
        <v>22454</v>
      </c>
      <c r="I8442" t="s">
        <v>7738</v>
      </c>
      <c r="J8442" t="s">
        <v>27985</v>
      </c>
      <c r="K8442" t="s">
        <v>29333</v>
      </c>
      <c r="M8442" t="s">
        <v>32208</v>
      </c>
      <c r="N8442" t="s">
        <v>32524</v>
      </c>
      <c r="O8442" t="s">
        <v>32525</v>
      </c>
      <c r="P8442">
        <v>0</v>
      </c>
      <c r="Q8442">
        <v>0</v>
      </c>
      <c r="R8442" t="s">
        <v>32536</v>
      </c>
      <c r="S8442" t="s">
        <v>32785</v>
      </c>
      <c r="T8442" t="s">
        <v>33168</v>
      </c>
      <c r="U8442" t="s">
        <v>40657</v>
      </c>
      <c r="V8442" t="s">
        <v>43370</v>
      </c>
      <c r="W8442" t="s">
        <v>32208</v>
      </c>
      <c r="X8442" t="s">
        <v>32537</v>
      </c>
    </row>
    <row r="8443" spans="1:24">
      <c r="A8443">
        <f>HYPERLINK("https://www.philgeps.gov.ph/GEPSNONPILOT/Tender/SplashBidNoticeAbstractUI.aspx?menuIndex=3&amp;refID=7031247&amp;Result=3","7031247")</f>
        <v>0</v>
      </c>
      <c r="B8443" t="s">
        <v>2319</v>
      </c>
      <c r="C8443" t="s">
        <v>10744</v>
      </c>
      <c r="D8443" t="s">
        <v>12988</v>
      </c>
      <c r="E8443" t="s">
        <v>13589</v>
      </c>
      <c r="F8443" t="s">
        <v>22436</v>
      </c>
      <c r="G8443" t="s">
        <v>22444</v>
      </c>
      <c r="H8443" t="s">
        <v>22452</v>
      </c>
      <c r="I8443" t="s">
        <v>5194</v>
      </c>
      <c r="J8443" t="s">
        <v>27986</v>
      </c>
      <c r="K8443" t="s">
        <v>29331</v>
      </c>
      <c r="M8443" t="s">
        <v>32095</v>
      </c>
      <c r="N8443" t="s">
        <v>32524</v>
      </c>
      <c r="O8443" t="s">
        <v>32525</v>
      </c>
      <c r="P8443">
        <v>0</v>
      </c>
      <c r="Q8443">
        <v>0</v>
      </c>
      <c r="R8443" t="s">
        <v>32536</v>
      </c>
      <c r="S8443" t="s">
        <v>32785</v>
      </c>
      <c r="T8443" t="s">
        <v>33197</v>
      </c>
      <c r="U8443" t="s">
        <v>40658</v>
      </c>
      <c r="W8443" t="s">
        <v>32095</v>
      </c>
      <c r="X8443" t="s">
        <v>32537</v>
      </c>
    </row>
    <row r="8444" spans="1:24">
      <c r="A8444">
        <f>HYPERLINK("https://www.philgeps.gov.ph/GEPSNONPILOT/Tender/SplashBidNoticeAbstractUI.aspx?menuIndex=3&amp;refID=7031266&amp;Result=3","7031266")</f>
        <v>0</v>
      </c>
      <c r="B8444" t="s">
        <v>121</v>
      </c>
      <c r="C8444" t="s">
        <v>10745</v>
      </c>
      <c r="D8444" t="s">
        <v>13034</v>
      </c>
      <c r="E8444" t="s">
        <v>20482</v>
      </c>
      <c r="F8444" t="s">
        <v>22436</v>
      </c>
      <c r="G8444" t="s">
        <v>22443</v>
      </c>
      <c r="H8444" t="s">
        <v>22452</v>
      </c>
      <c r="I8444" t="s">
        <v>12358</v>
      </c>
      <c r="J8444" t="s">
        <v>27987</v>
      </c>
      <c r="K8444" t="s">
        <v>29341</v>
      </c>
      <c r="M8444" t="s">
        <v>32216</v>
      </c>
      <c r="N8444" t="s">
        <v>32524</v>
      </c>
      <c r="O8444" t="s">
        <v>32525</v>
      </c>
      <c r="Q8444">
        <v>1</v>
      </c>
      <c r="R8444" t="s">
        <v>32536</v>
      </c>
      <c r="S8444" t="s">
        <v>32799</v>
      </c>
      <c r="T8444" t="s">
        <v>33502</v>
      </c>
      <c r="U8444" t="s">
        <v>40659</v>
      </c>
      <c r="W8444" t="s">
        <v>32216</v>
      </c>
      <c r="X8444" t="s">
        <v>32537</v>
      </c>
    </row>
    <row r="8445" spans="1:24">
      <c r="A8445">
        <f>HYPERLINK("https://www.philgeps.gov.ph/GEPSNONPILOT/Tender/SplashBidNoticeAbstractUI.aspx?menuIndex=3&amp;refID=7031151&amp;Result=3","7031151")</f>
        <v>0</v>
      </c>
      <c r="B8445" t="s">
        <v>1983</v>
      </c>
      <c r="C8445" t="s">
        <v>10746</v>
      </c>
      <c r="D8445" t="s">
        <v>13022</v>
      </c>
      <c r="E8445" t="s">
        <v>20483</v>
      </c>
      <c r="F8445" t="s">
        <v>22436</v>
      </c>
      <c r="G8445" t="s">
        <v>22444</v>
      </c>
      <c r="H8445" t="s">
        <v>22454</v>
      </c>
      <c r="I8445" t="s">
        <v>7738</v>
      </c>
      <c r="J8445" t="s">
        <v>22877</v>
      </c>
      <c r="K8445" t="s">
        <v>29333</v>
      </c>
      <c r="M8445" t="s">
        <v>31715</v>
      </c>
      <c r="N8445" t="s">
        <v>32524</v>
      </c>
      <c r="O8445" t="s">
        <v>32525</v>
      </c>
      <c r="P8445">
        <v>0</v>
      </c>
      <c r="Q8445">
        <v>0</v>
      </c>
      <c r="R8445" t="s">
        <v>32536</v>
      </c>
      <c r="S8445" t="s">
        <v>32785</v>
      </c>
      <c r="T8445" t="s">
        <v>33227</v>
      </c>
      <c r="U8445" t="s">
        <v>40660</v>
      </c>
      <c r="W8445" t="s">
        <v>31715</v>
      </c>
      <c r="X8445" t="s">
        <v>32537</v>
      </c>
    </row>
    <row r="8446" spans="1:24">
      <c r="A8446">
        <f>HYPERLINK("https://www.philgeps.gov.ph/GEPSNONPILOT/Tender/SplashBidNoticeAbstractUI.aspx?menuIndex=3&amp;refID=7031257&amp;Result=3","7031257")</f>
        <v>0</v>
      </c>
      <c r="B8446" t="s">
        <v>2262</v>
      </c>
      <c r="C8446" t="s">
        <v>10747</v>
      </c>
      <c r="D8446" t="s">
        <v>13020</v>
      </c>
      <c r="E8446" t="s">
        <v>20484</v>
      </c>
      <c r="F8446" t="s">
        <v>22436</v>
      </c>
      <c r="G8446" t="s">
        <v>22444</v>
      </c>
      <c r="H8446" t="s">
        <v>22454</v>
      </c>
      <c r="I8446" t="s">
        <v>7738</v>
      </c>
      <c r="J8446" t="s">
        <v>25369</v>
      </c>
      <c r="K8446" t="s">
        <v>29345</v>
      </c>
      <c r="L8446" t="s">
        <v>2262</v>
      </c>
      <c r="M8446" t="s">
        <v>32032</v>
      </c>
      <c r="N8446" t="s">
        <v>32524</v>
      </c>
      <c r="O8446" t="s">
        <v>32525</v>
      </c>
      <c r="P8446">
        <v>0</v>
      </c>
      <c r="Q8446">
        <v>20</v>
      </c>
      <c r="R8446" t="s">
        <v>32536</v>
      </c>
      <c r="S8446" t="s">
        <v>32785</v>
      </c>
      <c r="T8446" t="s">
        <v>33212</v>
      </c>
      <c r="U8446" t="s">
        <v>40661</v>
      </c>
      <c r="W8446" t="s">
        <v>32032</v>
      </c>
      <c r="X8446" t="s">
        <v>32537</v>
      </c>
    </row>
    <row r="8447" spans="1:24">
      <c r="A8447">
        <f>HYPERLINK("https://www.philgeps.gov.ph/GEPSNONPILOT/Tender/SplashBidNoticeAbstractUI.aspx?menuIndex=3&amp;refID=7031260&amp;Result=3","7031260")</f>
        <v>0</v>
      </c>
      <c r="B8447" t="s">
        <v>1586</v>
      </c>
      <c r="C8447" t="s">
        <v>10748</v>
      </c>
      <c r="E8447" t="s">
        <v>20485</v>
      </c>
      <c r="F8447" t="s">
        <v>22436</v>
      </c>
      <c r="G8447" t="s">
        <v>22444</v>
      </c>
      <c r="H8447" t="s">
        <v>22452</v>
      </c>
      <c r="I8447" t="s">
        <v>3122</v>
      </c>
      <c r="J8447" t="s">
        <v>27988</v>
      </c>
      <c r="K8447" t="s">
        <v>29338</v>
      </c>
      <c r="M8447" t="s">
        <v>31268</v>
      </c>
      <c r="N8447" t="s">
        <v>32524</v>
      </c>
      <c r="O8447" t="s">
        <v>32525</v>
      </c>
      <c r="P8447">
        <v>0</v>
      </c>
      <c r="Q8447">
        <v>5</v>
      </c>
      <c r="R8447" t="s">
        <v>32536</v>
      </c>
      <c r="S8447" t="s">
        <v>32785</v>
      </c>
      <c r="T8447" t="s">
        <v>33550</v>
      </c>
      <c r="U8447" t="s">
        <v>40662</v>
      </c>
      <c r="W8447" t="s">
        <v>31268</v>
      </c>
      <c r="X8447" t="s">
        <v>32537</v>
      </c>
    </row>
    <row r="8448" spans="1:24">
      <c r="A8448">
        <f>HYPERLINK("https://www.philgeps.gov.ph/GEPSNONPILOT/Tender/SplashBidNoticeAbstractUI.aspx?menuIndex=3&amp;refID=7031249&amp;Result=3","7031249")</f>
        <v>0</v>
      </c>
      <c r="B8448" t="s">
        <v>2418</v>
      </c>
      <c r="C8448" t="s">
        <v>10749</v>
      </c>
      <c r="D8448" t="s">
        <v>12988</v>
      </c>
      <c r="E8448" t="s">
        <v>10749</v>
      </c>
      <c r="F8448" t="s">
        <v>22436</v>
      </c>
      <c r="G8448" t="s">
        <v>22444</v>
      </c>
      <c r="H8448" t="s">
        <v>22452</v>
      </c>
      <c r="I8448" t="s">
        <v>5194</v>
      </c>
      <c r="J8448" t="s">
        <v>22893</v>
      </c>
      <c r="K8448" t="s">
        <v>29335</v>
      </c>
      <c r="M8448" t="s">
        <v>32217</v>
      </c>
      <c r="N8448" t="s">
        <v>32524</v>
      </c>
      <c r="O8448" t="s">
        <v>32525</v>
      </c>
      <c r="P8448">
        <v>0</v>
      </c>
      <c r="Q8448">
        <v>1</v>
      </c>
      <c r="R8448" t="s">
        <v>32536</v>
      </c>
      <c r="S8448" t="s">
        <v>32785</v>
      </c>
      <c r="T8448" t="s">
        <v>33180</v>
      </c>
      <c r="U8448" t="s">
        <v>40663</v>
      </c>
      <c r="W8448" t="s">
        <v>32217</v>
      </c>
      <c r="X8448" t="s">
        <v>32537</v>
      </c>
    </row>
    <row r="8449" spans="1:24">
      <c r="A8449">
        <f>HYPERLINK("https://www.philgeps.gov.ph/GEPSNONPILOT/Tender/SplashBidNoticeAbstractUI.aspx?menuIndex=3&amp;refID=7031221&amp;Result=3","7031221")</f>
        <v>0</v>
      </c>
      <c r="B8449" t="s">
        <v>1586</v>
      </c>
      <c r="C8449" t="s">
        <v>10750</v>
      </c>
      <c r="E8449" t="s">
        <v>20486</v>
      </c>
      <c r="F8449" t="s">
        <v>22436</v>
      </c>
      <c r="G8449" t="s">
        <v>22444</v>
      </c>
      <c r="H8449" t="s">
        <v>22452</v>
      </c>
      <c r="I8449" t="s">
        <v>3027</v>
      </c>
      <c r="J8449" t="s">
        <v>27989</v>
      </c>
      <c r="K8449" t="s">
        <v>29338</v>
      </c>
      <c r="M8449" t="s">
        <v>31268</v>
      </c>
      <c r="N8449" t="s">
        <v>32524</v>
      </c>
      <c r="O8449" t="s">
        <v>32525</v>
      </c>
      <c r="P8449">
        <v>0</v>
      </c>
      <c r="Q8449">
        <v>2</v>
      </c>
      <c r="R8449" t="s">
        <v>32536</v>
      </c>
      <c r="S8449" t="s">
        <v>32785</v>
      </c>
      <c r="T8449" t="s">
        <v>33550</v>
      </c>
      <c r="U8449" t="s">
        <v>40664</v>
      </c>
      <c r="W8449" t="s">
        <v>31268</v>
      </c>
      <c r="X8449" t="s">
        <v>32537</v>
      </c>
    </row>
    <row r="8450" spans="1:24">
      <c r="A8450">
        <f>HYPERLINK("https://www.philgeps.gov.ph/GEPSNONPILOT/Tender/SplashBidNoticeAbstractUI.aspx?menuIndex=3&amp;refID=7031236&amp;Result=3","7031236")</f>
        <v>0</v>
      </c>
      <c r="B8450" t="s">
        <v>1702</v>
      </c>
      <c r="C8450" t="s">
        <v>10751</v>
      </c>
      <c r="D8450" t="s">
        <v>13065</v>
      </c>
      <c r="E8450" t="s">
        <v>16225</v>
      </c>
      <c r="F8450" t="s">
        <v>22436</v>
      </c>
      <c r="G8450" t="s">
        <v>22444</v>
      </c>
      <c r="H8450" t="s">
        <v>22454</v>
      </c>
      <c r="I8450" t="s">
        <v>22490</v>
      </c>
      <c r="J8450" t="s">
        <v>22640</v>
      </c>
      <c r="K8450" t="s">
        <v>29333</v>
      </c>
      <c r="M8450" t="s">
        <v>31404</v>
      </c>
      <c r="N8450" t="s">
        <v>32524</v>
      </c>
      <c r="O8450" t="s">
        <v>32525</v>
      </c>
      <c r="P8450">
        <v>0</v>
      </c>
      <c r="Q8450">
        <v>0</v>
      </c>
      <c r="R8450" t="s">
        <v>32536</v>
      </c>
      <c r="S8450" t="s">
        <v>32785</v>
      </c>
      <c r="T8450" t="s">
        <v>33323</v>
      </c>
      <c r="U8450" t="s">
        <v>37883</v>
      </c>
      <c r="W8450" t="s">
        <v>31404</v>
      </c>
      <c r="X8450" t="s">
        <v>32537</v>
      </c>
    </row>
    <row r="8451" spans="1:24">
      <c r="A8451">
        <f>HYPERLINK("https://www.philgeps.gov.ph/GEPSNONPILOT/Tender/SplashBidNoticeAbstractUI.aspx?menuIndex=3&amp;refID=7031240&amp;Result=3","7031240")</f>
        <v>0</v>
      </c>
      <c r="B8451" t="s">
        <v>2408</v>
      </c>
      <c r="C8451" t="s">
        <v>10752</v>
      </c>
      <c r="D8451" t="s">
        <v>13032</v>
      </c>
      <c r="E8451" t="s">
        <v>20487</v>
      </c>
      <c r="F8451" t="s">
        <v>22437</v>
      </c>
      <c r="G8451" t="s">
        <v>22444</v>
      </c>
      <c r="H8451" t="s">
        <v>22454</v>
      </c>
      <c r="I8451" t="s">
        <v>7738</v>
      </c>
      <c r="J8451" t="s">
        <v>26864</v>
      </c>
      <c r="K8451" t="s">
        <v>29345</v>
      </c>
      <c r="M8451" t="s">
        <v>32205</v>
      </c>
      <c r="N8451" t="s">
        <v>32524</v>
      </c>
      <c r="O8451" t="s">
        <v>32525</v>
      </c>
      <c r="P8451">
        <v>0</v>
      </c>
      <c r="Q8451">
        <v>2</v>
      </c>
      <c r="R8451" t="s">
        <v>32536</v>
      </c>
      <c r="S8451" t="s">
        <v>32785</v>
      </c>
      <c r="T8451" t="s">
        <v>33403</v>
      </c>
      <c r="U8451" t="s">
        <v>40625</v>
      </c>
      <c r="V8451" t="s">
        <v>43368</v>
      </c>
      <c r="W8451" t="s">
        <v>32205</v>
      </c>
      <c r="X8451" t="s">
        <v>32537</v>
      </c>
    </row>
    <row r="8452" spans="1:24">
      <c r="A8452">
        <f>HYPERLINK("https://www.philgeps.gov.ph/GEPSNONPILOT/Tender/SplashBidNoticeAbstractUI.aspx?menuIndex=3&amp;refID=7031271&amp;Result=3","7031271")</f>
        <v>0</v>
      </c>
      <c r="B8452" t="s">
        <v>2408</v>
      </c>
      <c r="C8452" t="s">
        <v>10753</v>
      </c>
      <c r="D8452" t="s">
        <v>13032</v>
      </c>
      <c r="E8452" t="s">
        <v>20488</v>
      </c>
      <c r="F8452" t="s">
        <v>22437</v>
      </c>
      <c r="G8452" t="s">
        <v>22444</v>
      </c>
      <c r="H8452" t="s">
        <v>22454</v>
      </c>
      <c r="I8452" t="s">
        <v>7738</v>
      </c>
      <c r="J8452" t="s">
        <v>27952</v>
      </c>
      <c r="K8452" t="s">
        <v>29380</v>
      </c>
      <c r="M8452" t="s">
        <v>32205</v>
      </c>
      <c r="N8452" t="s">
        <v>32524</v>
      </c>
      <c r="O8452" t="s">
        <v>32525</v>
      </c>
      <c r="P8452">
        <v>0</v>
      </c>
      <c r="Q8452">
        <v>6</v>
      </c>
      <c r="R8452" t="s">
        <v>32536</v>
      </c>
      <c r="S8452" t="s">
        <v>32785</v>
      </c>
      <c r="T8452" t="s">
        <v>33403</v>
      </c>
      <c r="U8452" t="s">
        <v>40625</v>
      </c>
      <c r="V8452" t="s">
        <v>43368</v>
      </c>
      <c r="W8452" t="s">
        <v>32205</v>
      </c>
      <c r="X8452" t="s">
        <v>32537</v>
      </c>
    </row>
    <row r="8453" spans="1:24">
      <c r="A8453">
        <f>HYPERLINK("https://www.philgeps.gov.ph/GEPSNONPILOT/Tender/SplashBidNoticeAbstractUI.aspx?menuIndex=3&amp;refID=7031268&amp;Result=3","7031268")</f>
        <v>0</v>
      </c>
      <c r="B8453" t="s">
        <v>2419</v>
      </c>
      <c r="C8453" t="s">
        <v>10754</v>
      </c>
      <c r="D8453" t="s">
        <v>12990</v>
      </c>
      <c r="E8453" t="s">
        <v>20489</v>
      </c>
      <c r="F8453" t="s">
        <v>22436</v>
      </c>
      <c r="G8453" t="s">
        <v>22444</v>
      </c>
      <c r="H8453" t="s">
        <v>22454</v>
      </c>
      <c r="I8453" t="s">
        <v>7738</v>
      </c>
      <c r="J8453" t="s">
        <v>27990</v>
      </c>
      <c r="K8453" t="s">
        <v>29335</v>
      </c>
      <c r="M8453" t="s">
        <v>32218</v>
      </c>
      <c r="N8453" t="s">
        <v>32524</v>
      </c>
      <c r="O8453" t="s">
        <v>32525</v>
      </c>
      <c r="P8453">
        <v>0</v>
      </c>
      <c r="Q8453">
        <v>0</v>
      </c>
      <c r="R8453" t="s">
        <v>32536</v>
      </c>
      <c r="S8453" t="s">
        <v>32785</v>
      </c>
      <c r="T8453" t="s">
        <v>33184</v>
      </c>
      <c r="U8453" t="s">
        <v>40665</v>
      </c>
      <c r="W8453" t="s">
        <v>32218</v>
      </c>
      <c r="X8453" t="s">
        <v>32537</v>
      </c>
    </row>
    <row r="8454" spans="1:24">
      <c r="A8454">
        <f>HYPERLINK("https://www.philgeps.gov.ph/GEPSNONPILOT/Tender/SplashBidNoticeAbstractUI.aspx?menuIndex=3&amp;refID=7031223&amp;Result=3","7031223")</f>
        <v>0</v>
      </c>
      <c r="B8454" t="s">
        <v>2222</v>
      </c>
      <c r="C8454" t="s">
        <v>10755</v>
      </c>
      <c r="E8454" t="s">
        <v>20490</v>
      </c>
      <c r="F8454" t="s">
        <v>22436</v>
      </c>
      <c r="G8454" t="s">
        <v>22444</v>
      </c>
      <c r="H8454" t="s">
        <v>22454</v>
      </c>
      <c r="I8454" t="s">
        <v>7738</v>
      </c>
      <c r="J8454" t="s">
        <v>27991</v>
      </c>
      <c r="K8454" t="s">
        <v>29545</v>
      </c>
      <c r="M8454" t="s">
        <v>31988</v>
      </c>
      <c r="N8454" t="s">
        <v>32524</v>
      </c>
      <c r="O8454" t="s">
        <v>32525</v>
      </c>
      <c r="Q8454">
        <v>7</v>
      </c>
      <c r="R8454" t="s">
        <v>32536</v>
      </c>
      <c r="S8454" t="s">
        <v>32800</v>
      </c>
      <c r="T8454" t="s">
        <v>33249</v>
      </c>
      <c r="U8454" t="s">
        <v>40666</v>
      </c>
      <c r="W8454" t="s">
        <v>31988</v>
      </c>
      <c r="X8454" t="s">
        <v>32537</v>
      </c>
    </row>
    <row r="8455" spans="1:24">
      <c r="A8455">
        <f>HYPERLINK("https://www.philgeps.gov.ph/GEPSNONPILOT/Tender/SplashBidNoticeAbstractUI.aspx?menuIndex=3&amp;refID=7031152&amp;Result=3","7031152")</f>
        <v>0</v>
      </c>
      <c r="B8455" t="s">
        <v>1586</v>
      </c>
      <c r="C8455" t="s">
        <v>10756</v>
      </c>
      <c r="E8455" t="s">
        <v>20491</v>
      </c>
      <c r="F8455" t="s">
        <v>22436</v>
      </c>
      <c r="G8455" t="s">
        <v>22444</v>
      </c>
      <c r="H8455" t="s">
        <v>22452</v>
      </c>
      <c r="I8455" t="s">
        <v>22466</v>
      </c>
      <c r="J8455" t="s">
        <v>27992</v>
      </c>
      <c r="K8455" t="s">
        <v>29338</v>
      </c>
      <c r="M8455" t="s">
        <v>31268</v>
      </c>
      <c r="N8455" t="s">
        <v>32524</v>
      </c>
      <c r="O8455" t="s">
        <v>32525</v>
      </c>
      <c r="P8455">
        <v>0</v>
      </c>
      <c r="Q8455">
        <v>8</v>
      </c>
      <c r="R8455" t="s">
        <v>32536</v>
      </c>
      <c r="S8455" t="s">
        <v>32785</v>
      </c>
      <c r="T8455" t="s">
        <v>33550</v>
      </c>
      <c r="U8455" t="s">
        <v>40667</v>
      </c>
      <c r="W8455" t="s">
        <v>31268</v>
      </c>
      <c r="X8455" t="s">
        <v>32537</v>
      </c>
    </row>
    <row r="8456" spans="1:24">
      <c r="A8456">
        <f>HYPERLINK("https://www.philgeps.gov.ph/GEPSNONPILOT/Tender/SplashBidNoticeAbstractUI.aspx?menuIndex=3&amp;refID=7031233&amp;Result=3","7031233")</f>
        <v>0</v>
      </c>
      <c r="B8456" t="s">
        <v>1586</v>
      </c>
      <c r="C8456" t="s">
        <v>10757</v>
      </c>
      <c r="E8456" t="s">
        <v>20492</v>
      </c>
      <c r="F8456" t="s">
        <v>22436</v>
      </c>
      <c r="G8456" t="s">
        <v>22444</v>
      </c>
      <c r="H8456" t="s">
        <v>22452</v>
      </c>
      <c r="I8456" t="s">
        <v>3122</v>
      </c>
      <c r="J8456" t="s">
        <v>27113</v>
      </c>
      <c r="K8456" t="s">
        <v>29338</v>
      </c>
      <c r="M8456" t="s">
        <v>31268</v>
      </c>
      <c r="N8456" t="s">
        <v>32524</v>
      </c>
      <c r="O8456" t="s">
        <v>32525</v>
      </c>
      <c r="P8456">
        <v>0</v>
      </c>
      <c r="Q8456">
        <v>1</v>
      </c>
      <c r="R8456" t="s">
        <v>32536</v>
      </c>
      <c r="S8456" t="s">
        <v>32785</v>
      </c>
      <c r="T8456" t="s">
        <v>33550</v>
      </c>
      <c r="U8456" t="s">
        <v>40668</v>
      </c>
      <c r="W8456" t="s">
        <v>31268</v>
      </c>
      <c r="X8456" t="s">
        <v>32537</v>
      </c>
    </row>
    <row r="8457" spans="1:24">
      <c r="A8457">
        <f>HYPERLINK("https://www.philgeps.gov.ph/GEPSNONPILOT/Tender/SplashBidNoticeAbstractUI.aspx?menuIndex=3&amp;refID=7031164&amp;Result=3","7031164")</f>
        <v>0</v>
      </c>
      <c r="B8457" t="s">
        <v>1586</v>
      </c>
      <c r="C8457" t="s">
        <v>10758</v>
      </c>
      <c r="E8457" t="s">
        <v>20493</v>
      </c>
      <c r="F8457" t="s">
        <v>22436</v>
      </c>
      <c r="G8457" t="s">
        <v>22444</v>
      </c>
      <c r="H8457" t="s">
        <v>22452</v>
      </c>
      <c r="I8457" t="s">
        <v>22466</v>
      </c>
      <c r="J8457" t="s">
        <v>27993</v>
      </c>
      <c r="K8457" t="s">
        <v>29338</v>
      </c>
      <c r="M8457" t="s">
        <v>31268</v>
      </c>
      <c r="N8457" t="s">
        <v>32524</v>
      </c>
      <c r="O8457" t="s">
        <v>32525</v>
      </c>
      <c r="P8457">
        <v>0</v>
      </c>
      <c r="Q8457">
        <v>5</v>
      </c>
      <c r="R8457" t="s">
        <v>32536</v>
      </c>
      <c r="S8457" t="s">
        <v>32785</v>
      </c>
      <c r="T8457" t="s">
        <v>33550</v>
      </c>
      <c r="U8457" t="s">
        <v>40669</v>
      </c>
      <c r="W8457" t="s">
        <v>31268</v>
      </c>
      <c r="X8457" t="s">
        <v>32537</v>
      </c>
    </row>
    <row r="8458" spans="1:24">
      <c r="A8458">
        <f>HYPERLINK("https://www.philgeps.gov.ph/GEPSNONPILOT/Tender/SplashBidNoticeAbstractUI.aspx?menuIndex=3&amp;refID=7031406&amp;Result=3","7031406")</f>
        <v>0</v>
      </c>
      <c r="B8458" t="s">
        <v>2399</v>
      </c>
      <c r="C8458" t="s">
        <v>10759</v>
      </c>
      <c r="D8458" t="s">
        <v>13004</v>
      </c>
      <c r="E8458" t="s">
        <v>20494</v>
      </c>
      <c r="F8458" t="s">
        <v>22436</v>
      </c>
      <c r="G8458" t="s">
        <v>22444</v>
      </c>
      <c r="H8458" t="s">
        <v>22452</v>
      </c>
      <c r="I8458" t="s">
        <v>3529</v>
      </c>
      <c r="J8458" t="s">
        <v>27994</v>
      </c>
      <c r="K8458" t="s">
        <v>29335</v>
      </c>
      <c r="M8458" t="s">
        <v>32193</v>
      </c>
      <c r="N8458" t="s">
        <v>32524</v>
      </c>
      <c r="O8458" t="s">
        <v>32525</v>
      </c>
      <c r="P8458">
        <v>0</v>
      </c>
      <c r="Q8458">
        <v>0</v>
      </c>
      <c r="R8458" t="s">
        <v>32536</v>
      </c>
      <c r="S8458" t="s">
        <v>32785</v>
      </c>
      <c r="T8458" t="s">
        <v>33574</v>
      </c>
      <c r="U8458" t="s">
        <v>40670</v>
      </c>
      <c r="W8458" t="s">
        <v>32193</v>
      </c>
      <c r="X8458" t="s">
        <v>32537</v>
      </c>
    </row>
    <row r="8459" spans="1:24">
      <c r="A8459">
        <f>HYPERLINK("https://www.philgeps.gov.ph/GEPSNONPILOT/Tender/SplashBidNoticeAbstractUI.aspx?menuIndex=3&amp;refID=7031213&amp;Result=3","7031213")</f>
        <v>0</v>
      </c>
      <c r="B8459" t="s">
        <v>2399</v>
      </c>
      <c r="C8459" t="s">
        <v>10760</v>
      </c>
      <c r="D8459" t="s">
        <v>13004</v>
      </c>
      <c r="E8459" t="s">
        <v>20495</v>
      </c>
      <c r="F8459" t="s">
        <v>22436</v>
      </c>
      <c r="G8459" t="s">
        <v>22444</v>
      </c>
      <c r="H8459" t="s">
        <v>22452</v>
      </c>
      <c r="I8459" t="s">
        <v>22488</v>
      </c>
      <c r="J8459" t="s">
        <v>27995</v>
      </c>
      <c r="K8459" t="s">
        <v>29335</v>
      </c>
      <c r="M8459" t="s">
        <v>32193</v>
      </c>
      <c r="N8459" t="s">
        <v>32524</v>
      </c>
      <c r="O8459" t="s">
        <v>32525</v>
      </c>
      <c r="P8459">
        <v>0</v>
      </c>
      <c r="Q8459">
        <v>3</v>
      </c>
      <c r="R8459" t="s">
        <v>32536</v>
      </c>
      <c r="S8459" t="s">
        <v>32785</v>
      </c>
      <c r="T8459" t="s">
        <v>33574</v>
      </c>
      <c r="U8459" t="s">
        <v>40671</v>
      </c>
      <c r="W8459" t="s">
        <v>32193</v>
      </c>
      <c r="X8459" t="s">
        <v>32537</v>
      </c>
    </row>
    <row r="8460" spans="1:24">
      <c r="A8460">
        <f>HYPERLINK("https://www.philgeps.gov.ph/GEPSNONPILOT/Tender/SplashBidNoticeAbstractUI.aspx?menuIndex=3&amp;refID=7031405&amp;Result=3","7031405")</f>
        <v>0</v>
      </c>
      <c r="B8460" t="s">
        <v>121</v>
      </c>
      <c r="C8460" t="s">
        <v>10761</v>
      </c>
      <c r="D8460" t="s">
        <v>13034</v>
      </c>
      <c r="E8460" t="s">
        <v>20496</v>
      </c>
      <c r="F8460" t="s">
        <v>22436</v>
      </c>
      <c r="G8460" t="s">
        <v>22443</v>
      </c>
      <c r="H8460" t="s">
        <v>22452</v>
      </c>
      <c r="I8460" t="s">
        <v>12358</v>
      </c>
      <c r="J8460" t="s">
        <v>27996</v>
      </c>
      <c r="K8460" t="s">
        <v>29341</v>
      </c>
      <c r="M8460" t="s">
        <v>32216</v>
      </c>
      <c r="N8460" t="s">
        <v>32524</v>
      </c>
      <c r="O8460" t="s">
        <v>32525</v>
      </c>
      <c r="Q8460">
        <v>0</v>
      </c>
      <c r="R8460" t="s">
        <v>32536</v>
      </c>
      <c r="S8460" t="s">
        <v>32801</v>
      </c>
      <c r="T8460" t="s">
        <v>33502</v>
      </c>
      <c r="U8460" t="s">
        <v>40672</v>
      </c>
      <c r="W8460" t="s">
        <v>32216</v>
      </c>
      <c r="X8460" t="s">
        <v>32537</v>
      </c>
    </row>
    <row r="8461" spans="1:24">
      <c r="A8461">
        <f>HYPERLINK("https://www.philgeps.gov.ph/GEPSNONPILOT/Tender/SplashBidNoticeAbstractUI.aspx?menuIndex=3&amp;refID=7031401&amp;Result=3","7031401")</f>
        <v>0</v>
      </c>
      <c r="B8461" t="s">
        <v>1702</v>
      </c>
      <c r="C8461" t="s">
        <v>10762</v>
      </c>
      <c r="D8461" t="s">
        <v>13065</v>
      </c>
      <c r="E8461" t="s">
        <v>20497</v>
      </c>
      <c r="F8461" t="s">
        <v>22436</v>
      </c>
      <c r="G8461" t="s">
        <v>22444</v>
      </c>
      <c r="H8461" t="s">
        <v>22454</v>
      </c>
      <c r="I8461" t="s">
        <v>22490</v>
      </c>
      <c r="J8461" t="s">
        <v>22640</v>
      </c>
      <c r="K8461" t="s">
        <v>29333</v>
      </c>
      <c r="M8461" t="s">
        <v>31404</v>
      </c>
      <c r="N8461" t="s">
        <v>32524</v>
      </c>
      <c r="O8461" t="s">
        <v>32525</v>
      </c>
      <c r="P8461">
        <v>0</v>
      </c>
      <c r="Q8461">
        <v>0</v>
      </c>
      <c r="R8461" t="s">
        <v>32536</v>
      </c>
      <c r="S8461" t="s">
        <v>32785</v>
      </c>
      <c r="T8461" t="s">
        <v>33323</v>
      </c>
      <c r="U8461" t="s">
        <v>37883</v>
      </c>
      <c r="W8461" t="s">
        <v>31404</v>
      </c>
      <c r="X8461" t="s">
        <v>32537</v>
      </c>
    </row>
    <row r="8462" spans="1:24">
      <c r="A8462">
        <f>HYPERLINK("https://www.philgeps.gov.ph/GEPSNONPILOT/Tender/SplashBidNoticeAbstractUI.aspx?menuIndex=3&amp;refID=7031384&amp;Result=3","7031384")</f>
        <v>0</v>
      </c>
      <c r="B8462" t="s">
        <v>2262</v>
      </c>
      <c r="C8462" t="s">
        <v>10763</v>
      </c>
      <c r="D8462" t="s">
        <v>13020</v>
      </c>
      <c r="E8462" t="s">
        <v>20498</v>
      </c>
      <c r="F8462" t="s">
        <v>22436</v>
      </c>
      <c r="G8462" t="s">
        <v>22444</v>
      </c>
      <c r="H8462" t="s">
        <v>22454</v>
      </c>
      <c r="I8462" t="s">
        <v>7738</v>
      </c>
      <c r="J8462" t="s">
        <v>27997</v>
      </c>
      <c r="K8462" t="s">
        <v>29333</v>
      </c>
      <c r="L8462" t="s">
        <v>2262</v>
      </c>
      <c r="M8462" t="s">
        <v>32032</v>
      </c>
      <c r="N8462" t="s">
        <v>32524</v>
      </c>
      <c r="O8462" t="s">
        <v>32525</v>
      </c>
      <c r="P8462">
        <v>0</v>
      </c>
      <c r="Q8462">
        <v>16</v>
      </c>
      <c r="R8462" t="s">
        <v>32536</v>
      </c>
      <c r="S8462" t="s">
        <v>32785</v>
      </c>
      <c r="T8462" t="s">
        <v>33212</v>
      </c>
      <c r="U8462" t="s">
        <v>40673</v>
      </c>
      <c r="W8462" t="s">
        <v>32032</v>
      </c>
      <c r="X8462" t="s">
        <v>32537</v>
      </c>
    </row>
    <row r="8463" spans="1:24">
      <c r="A8463">
        <f>HYPERLINK("https://www.philgeps.gov.ph/GEPSNONPILOT/Tender/SplashBidNoticeAbstractUI.aspx?menuIndex=3&amp;refID=7031374&amp;Result=3","7031374")</f>
        <v>0</v>
      </c>
      <c r="B8463" t="s">
        <v>953</v>
      </c>
      <c r="C8463" t="s">
        <v>10764</v>
      </c>
      <c r="D8463" t="s">
        <v>12994</v>
      </c>
      <c r="E8463" t="s">
        <v>20499</v>
      </c>
      <c r="F8463" t="s">
        <v>22436</v>
      </c>
      <c r="G8463" t="s">
        <v>22444</v>
      </c>
      <c r="H8463" t="s">
        <v>22452</v>
      </c>
      <c r="I8463" t="s">
        <v>22488</v>
      </c>
      <c r="J8463" t="s">
        <v>27998</v>
      </c>
      <c r="K8463" t="s">
        <v>29361</v>
      </c>
      <c r="M8463" t="s">
        <v>32219</v>
      </c>
      <c r="N8463" t="s">
        <v>32524</v>
      </c>
      <c r="O8463" t="s">
        <v>32525</v>
      </c>
      <c r="P8463">
        <v>0</v>
      </c>
      <c r="Q8463">
        <v>1</v>
      </c>
      <c r="R8463" t="s">
        <v>32536</v>
      </c>
      <c r="S8463" t="s">
        <v>32785</v>
      </c>
      <c r="T8463" t="s">
        <v>33259</v>
      </c>
      <c r="U8463" t="s">
        <v>40674</v>
      </c>
      <c r="W8463" t="s">
        <v>32219</v>
      </c>
      <c r="X8463" t="s">
        <v>32537</v>
      </c>
    </row>
    <row r="8464" spans="1:24">
      <c r="A8464">
        <f>HYPERLINK("https://www.philgeps.gov.ph/GEPSNONPILOT/Tender/SplashBidNoticeAbstractUI.aspx?menuIndex=3&amp;refID=7031385&amp;Result=3","7031385")</f>
        <v>0</v>
      </c>
      <c r="B8464" t="s">
        <v>1501</v>
      </c>
      <c r="C8464" t="s">
        <v>10765</v>
      </c>
      <c r="D8464" t="s">
        <v>13039</v>
      </c>
      <c r="E8464" t="s">
        <v>20500</v>
      </c>
      <c r="F8464" t="s">
        <v>22436</v>
      </c>
      <c r="G8464" t="s">
        <v>22444</v>
      </c>
      <c r="H8464" t="s">
        <v>22452</v>
      </c>
      <c r="I8464" t="s">
        <v>22502</v>
      </c>
      <c r="J8464" t="s">
        <v>27999</v>
      </c>
      <c r="K8464" t="s">
        <v>29335</v>
      </c>
      <c r="M8464" t="s">
        <v>31175</v>
      </c>
      <c r="N8464" t="s">
        <v>32524</v>
      </c>
      <c r="O8464" t="s">
        <v>32525</v>
      </c>
      <c r="P8464">
        <v>0</v>
      </c>
      <c r="Q8464">
        <v>12</v>
      </c>
      <c r="R8464" t="s">
        <v>32536</v>
      </c>
      <c r="S8464" t="s">
        <v>32785</v>
      </c>
      <c r="T8464" t="s">
        <v>33227</v>
      </c>
      <c r="U8464" t="s">
        <v>37277</v>
      </c>
      <c r="W8464" t="s">
        <v>31175</v>
      </c>
      <c r="X8464" t="s">
        <v>32537</v>
      </c>
    </row>
    <row r="8465" spans="1:24">
      <c r="A8465">
        <f>HYPERLINK("https://www.philgeps.gov.ph/GEPSNONPILOT/Tender/SplashBidNoticeAbstractUI.aspx?menuIndex=3&amp;refID=7031343&amp;Result=3","7031343")</f>
        <v>0</v>
      </c>
      <c r="B8465" t="s">
        <v>1702</v>
      </c>
      <c r="C8465" t="s">
        <v>10766</v>
      </c>
      <c r="D8465" t="s">
        <v>13065</v>
      </c>
      <c r="E8465" t="s">
        <v>14968</v>
      </c>
      <c r="F8465" t="s">
        <v>22436</v>
      </c>
      <c r="G8465" t="s">
        <v>22444</v>
      </c>
      <c r="H8465" t="s">
        <v>22454</v>
      </c>
      <c r="I8465" t="s">
        <v>22490</v>
      </c>
      <c r="J8465" t="s">
        <v>22616</v>
      </c>
      <c r="K8465" t="s">
        <v>29333</v>
      </c>
      <c r="M8465" t="s">
        <v>31404</v>
      </c>
      <c r="N8465" t="s">
        <v>32524</v>
      </c>
      <c r="O8465" t="s">
        <v>32525</v>
      </c>
      <c r="P8465">
        <v>0</v>
      </c>
      <c r="Q8465">
        <v>0</v>
      </c>
      <c r="R8465" t="s">
        <v>32536</v>
      </c>
      <c r="S8465" t="s">
        <v>32785</v>
      </c>
      <c r="T8465" t="s">
        <v>33323</v>
      </c>
      <c r="U8465" t="s">
        <v>37883</v>
      </c>
      <c r="W8465" t="s">
        <v>31404</v>
      </c>
      <c r="X8465" t="s">
        <v>32537</v>
      </c>
    </row>
    <row r="8466" spans="1:24">
      <c r="A8466">
        <f>HYPERLINK("https://www.philgeps.gov.ph/GEPSNONPILOT/Tender/SplashBidNoticeAbstractUI.aspx?menuIndex=3&amp;refID=7031380&amp;Result=3","7031380")</f>
        <v>0</v>
      </c>
      <c r="B8466" t="s">
        <v>1702</v>
      </c>
      <c r="C8466" t="s">
        <v>10767</v>
      </c>
      <c r="D8466" t="s">
        <v>13065</v>
      </c>
      <c r="E8466" t="s">
        <v>15607</v>
      </c>
      <c r="F8466" t="s">
        <v>22436</v>
      </c>
      <c r="G8466" t="s">
        <v>22444</v>
      </c>
      <c r="H8466" t="s">
        <v>22454</v>
      </c>
      <c r="I8466" t="s">
        <v>7738</v>
      </c>
      <c r="J8466" t="s">
        <v>22788</v>
      </c>
      <c r="K8466" t="s">
        <v>29333</v>
      </c>
      <c r="M8466" t="s">
        <v>31404</v>
      </c>
      <c r="N8466" t="s">
        <v>32524</v>
      </c>
      <c r="O8466" t="s">
        <v>32525</v>
      </c>
      <c r="P8466">
        <v>0</v>
      </c>
      <c r="Q8466">
        <v>0</v>
      </c>
      <c r="R8466" t="s">
        <v>32536</v>
      </c>
      <c r="S8466" t="s">
        <v>32785</v>
      </c>
      <c r="T8466" t="s">
        <v>33323</v>
      </c>
      <c r="U8466" t="s">
        <v>37883</v>
      </c>
      <c r="W8466" t="s">
        <v>31404</v>
      </c>
      <c r="X8466" t="s">
        <v>32537</v>
      </c>
    </row>
    <row r="8467" spans="1:24">
      <c r="A8467">
        <f>HYPERLINK("https://www.philgeps.gov.ph/GEPSNONPILOT/Tender/SplashBidNoticeAbstractUI.aspx?menuIndex=3&amp;refID=7031407&amp;Result=3","7031407")</f>
        <v>0</v>
      </c>
      <c r="B8467" t="s">
        <v>2420</v>
      </c>
      <c r="C8467" t="s">
        <v>10768</v>
      </c>
      <c r="D8467" t="s">
        <v>13041</v>
      </c>
      <c r="E8467" t="s">
        <v>20501</v>
      </c>
      <c r="F8467" t="s">
        <v>22436</v>
      </c>
      <c r="G8467" t="s">
        <v>22444</v>
      </c>
      <c r="H8467" t="s">
        <v>22452</v>
      </c>
      <c r="I8467" t="s">
        <v>22474</v>
      </c>
      <c r="J8467" t="s">
        <v>28000</v>
      </c>
      <c r="K8467" t="s">
        <v>29344</v>
      </c>
      <c r="M8467" t="s">
        <v>32220</v>
      </c>
      <c r="N8467" t="s">
        <v>32524</v>
      </c>
      <c r="O8467" t="s">
        <v>32525</v>
      </c>
      <c r="P8467">
        <v>0</v>
      </c>
      <c r="Q8467">
        <v>16</v>
      </c>
      <c r="R8467" t="s">
        <v>32536</v>
      </c>
      <c r="S8467" t="s">
        <v>32785</v>
      </c>
      <c r="T8467" t="s">
        <v>33249</v>
      </c>
      <c r="U8467" t="s">
        <v>40675</v>
      </c>
      <c r="V8467" t="s">
        <v>43374</v>
      </c>
      <c r="W8467" t="s">
        <v>43759</v>
      </c>
      <c r="X8467" t="s">
        <v>32537</v>
      </c>
    </row>
    <row r="8468" spans="1:24">
      <c r="A8468">
        <f>HYPERLINK("https://www.philgeps.gov.ph/GEPSNONPILOT/Tender/SplashBidNoticeAbstractUI.aspx?menuIndex=3&amp;refID=7031361&amp;Result=3","7031361")</f>
        <v>0</v>
      </c>
      <c r="B8468" t="s">
        <v>1702</v>
      </c>
      <c r="C8468" t="s">
        <v>10769</v>
      </c>
      <c r="D8468" t="s">
        <v>13065</v>
      </c>
      <c r="E8468" t="s">
        <v>13483</v>
      </c>
      <c r="F8468" t="s">
        <v>22436</v>
      </c>
      <c r="G8468" t="s">
        <v>22444</v>
      </c>
      <c r="H8468" t="s">
        <v>22454</v>
      </c>
      <c r="I8468" t="s">
        <v>22490</v>
      </c>
      <c r="J8468" t="s">
        <v>22616</v>
      </c>
      <c r="K8468" t="s">
        <v>29333</v>
      </c>
      <c r="M8468" t="s">
        <v>31404</v>
      </c>
      <c r="N8468" t="s">
        <v>32524</v>
      </c>
      <c r="O8468" t="s">
        <v>32525</v>
      </c>
      <c r="P8468">
        <v>0</v>
      </c>
      <c r="Q8468">
        <v>0</v>
      </c>
      <c r="R8468" t="s">
        <v>32536</v>
      </c>
      <c r="S8468" t="s">
        <v>32785</v>
      </c>
      <c r="T8468" t="s">
        <v>33323</v>
      </c>
      <c r="U8468" t="s">
        <v>37883</v>
      </c>
      <c r="W8468" t="s">
        <v>31404</v>
      </c>
      <c r="X8468" t="s">
        <v>32537</v>
      </c>
    </row>
    <row r="8469" spans="1:24">
      <c r="A8469">
        <f>HYPERLINK("https://www.philgeps.gov.ph/GEPSNONPILOT/Tender/SplashBidNoticeAbstractUI.aspx?menuIndex=3&amp;refID=7031324&amp;Result=3","7031324")</f>
        <v>0</v>
      </c>
      <c r="B8469" t="s">
        <v>1586</v>
      </c>
      <c r="C8469" t="s">
        <v>10770</v>
      </c>
      <c r="E8469" t="s">
        <v>20502</v>
      </c>
      <c r="F8469" t="s">
        <v>22436</v>
      </c>
      <c r="G8469" t="s">
        <v>22444</v>
      </c>
      <c r="H8469" t="s">
        <v>22454</v>
      </c>
      <c r="I8469" t="s">
        <v>7738</v>
      </c>
      <c r="J8469" t="s">
        <v>28001</v>
      </c>
      <c r="K8469" t="s">
        <v>29338</v>
      </c>
      <c r="M8469" t="s">
        <v>31268</v>
      </c>
      <c r="N8469" t="s">
        <v>32524</v>
      </c>
      <c r="O8469" t="s">
        <v>32525</v>
      </c>
      <c r="P8469">
        <v>0</v>
      </c>
      <c r="Q8469">
        <v>2</v>
      </c>
      <c r="R8469" t="s">
        <v>32536</v>
      </c>
      <c r="S8469" t="s">
        <v>32785</v>
      </c>
      <c r="T8469" t="s">
        <v>33550</v>
      </c>
      <c r="U8469" t="s">
        <v>40676</v>
      </c>
      <c r="W8469" t="s">
        <v>31268</v>
      </c>
      <c r="X8469" t="s">
        <v>32537</v>
      </c>
    </row>
    <row r="8470" spans="1:24">
      <c r="A8470">
        <f>HYPERLINK("https://www.philgeps.gov.ph/GEPSNONPILOT/Tender/SplashBidNoticeAbstractUI.aspx?menuIndex=3&amp;refID=7031180&amp;Result=3","7031180")</f>
        <v>0</v>
      </c>
      <c r="B8470" t="s">
        <v>2319</v>
      </c>
      <c r="C8470" t="s">
        <v>10771</v>
      </c>
      <c r="D8470" t="s">
        <v>12988</v>
      </c>
      <c r="E8470" t="s">
        <v>13571</v>
      </c>
      <c r="F8470" t="s">
        <v>22436</v>
      </c>
      <c r="G8470" t="s">
        <v>22444</v>
      </c>
      <c r="H8470" t="s">
        <v>22453</v>
      </c>
      <c r="I8470" t="s">
        <v>22534</v>
      </c>
      <c r="J8470" t="s">
        <v>22605</v>
      </c>
      <c r="K8470" t="s">
        <v>29331</v>
      </c>
      <c r="M8470" t="s">
        <v>32095</v>
      </c>
      <c r="N8470" t="s">
        <v>32524</v>
      </c>
      <c r="O8470" t="s">
        <v>32525</v>
      </c>
      <c r="P8470">
        <v>0</v>
      </c>
      <c r="Q8470">
        <v>6</v>
      </c>
      <c r="R8470" t="s">
        <v>32536</v>
      </c>
      <c r="S8470" t="s">
        <v>32785</v>
      </c>
      <c r="T8470" t="s">
        <v>33197</v>
      </c>
      <c r="U8470" t="s">
        <v>40677</v>
      </c>
      <c r="W8470" t="s">
        <v>32095</v>
      </c>
      <c r="X8470" t="s">
        <v>32537</v>
      </c>
    </row>
    <row r="8471" spans="1:24">
      <c r="A8471">
        <f>HYPERLINK("https://www.philgeps.gov.ph/GEPSNONPILOT/Tender/SplashBidNoticeAbstractUI.aspx?menuIndex=3&amp;refID=7031354&amp;Result=3","7031354")</f>
        <v>0</v>
      </c>
      <c r="B8471" t="s">
        <v>953</v>
      </c>
      <c r="C8471" t="s">
        <v>10772</v>
      </c>
      <c r="D8471" t="s">
        <v>12994</v>
      </c>
      <c r="E8471" t="s">
        <v>20503</v>
      </c>
      <c r="F8471" t="s">
        <v>22436</v>
      </c>
      <c r="G8471" t="s">
        <v>22444</v>
      </c>
      <c r="H8471" t="s">
        <v>22452</v>
      </c>
      <c r="I8471" t="s">
        <v>3358</v>
      </c>
      <c r="J8471" t="s">
        <v>28002</v>
      </c>
      <c r="K8471" t="s">
        <v>29333</v>
      </c>
      <c r="M8471" t="s">
        <v>32219</v>
      </c>
      <c r="N8471" t="s">
        <v>32524</v>
      </c>
      <c r="O8471" t="s">
        <v>32525</v>
      </c>
      <c r="P8471">
        <v>0</v>
      </c>
      <c r="Q8471">
        <v>0</v>
      </c>
      <c r="R8471" t="s">
        <v>32536</v>
      </c>
      <c r="S8471" t="s">
        <v>32785</v>
      </c>
      <c r="T8471" t="s">
        <v>33259</v>
      </c>
      <c r="U8471" t="s">
        <v>40678</v>
      </c>
      <c r="W8471" t="s">
        <v>32219</v>
      </c>
      <c r="X8471" t="s">
        <v>32537</v>
      </c>
    </row>
    <row r="8472" spans="1:24">
      <c r="A8472">
        <f>HYPERLINK("https://www.philgeps.gov.ph/GEPSNONPILOT/Tender/SplashBidNoticeAbstractUI.aspx?menuIndex=3&amp;refID=7031297&amp;Result=3","7031297")</f>
        <v>0</v>
      </c>
      <c r="B8472" t="s">
        <v>2054</v>
      </c>
      <c r="C8472" t="s">
        <v>10773</v>
      </c>
      <c r="D8472" t="s">
        <v>13045</v>
      </c>
      <c r="E8472" t="s">
        <v>20504</v>
      </c>
      <c r="F8472" t="s">
        <v>22436</v>
      </c>
      <c r="G8472" t="s">
        <v>22444</v>
      </c>
      <c r="H8472" t="s">
        <v>22452</v>
      </c>
      <c r="I8472" t="s">
        <v>22464</v>
      </c>
      <c r="J8472" t="s">
        <v>28003</v>
      </c>
      <c r="K8472" t="s">
        <v>29388</v>
      </c>
      <c r="L8472" t="s">
        <v>2054</v>
      </c>
      <c r="M8472" t="s">
        <v>31796</v>
      </c>
      <c r="N8472" t="s">
        <v>32524</v>
      </c>
      <c r="O8472" t="s">
        <v>32525</v>
      </c>
      <c r="Q8472">
        <v>12</v>
      </c>
      <c r="R8472" t="s">
        <v>32536</v>
      </c>
      <c r="S8472" t="s">
        <v>32802</v>
      </c>
      <c r="T8472" t="s">
        <v>33249</v>
      </c>
      <c r="U8472" t="s">
        <v>40679</v>
      </c>
      <c r="W8472" t="s">
        <v>31796</v>
      </c>
      <c r="X8472" t="s">
        <v>32537</v>
      </c>
    </row>
    <row r="8473" spans="1:24">
      <c r="A8473">
        <f>HYPERLINK("https://www.philgeps.gov.ph/GEPSNONPILOT/Tender/SplashBidNoticeAbstractUI.aspx?menuIndex=3&amp;refID=7031301&amp;Result=3","7031301")</f>
        <v>0</v>
      </c>
      <c r="B8473" t="s">
        <v>1586</v>
      </c>
      <c r="C8473" t="s">
        <v>10774</v>
      </c>
      <c r="E8473" t="s">
        <v>20505</v>
      </c>
      <c r="F8473" t="s">
        <v>22436</v>
      </c>
      <c r="G8473" t="s">
        <v>22444</v>
      </c>
      <c r="H8473" t="s">
        <v>22452</v>
      </c>
      <c r="I8473" t="s">
        <v>3122</v>
      </c>
      <c r="J8473" t="s">
        <v>23387</v>
      </c>
      <c r="K8473" t="s">
        <v>29338</v>
      </c>
      <c r="M8473" t="s">
        <v>31268</v>
      </c>
      <c r="N8473" t="s">
        <v>32524</v>
      </c>
      <c r="O8473" t="s">
        <v>32525</v>
      </c>
      <c r="P8473">
        <v>0</v>
      </c>
      <c r="Q8473">
        <v>0</v>
      </c>
      <c r="R8473" t="s">
        <v>32536</v>
      </c>
      <c r="S8473" t="s">
        <v>32785</v>
      </c>
      <c r="T8473" t="s">
        <v>33550</v>
      </c>
      <c r="U8473" t="s">
        <v>40680</v>
      </c>
      <c r="W8473" t="s">
        <v>31268</v>
      </c>
      <c r="X8473" t="s">
        <v>32537</v>
      </c>
    </row>
    <row r="8474" spans="1:24">
      <c r="A8474">
        <f>HYPERLINK("https://www.philgeps.gov.ph/GEPSNONPILOT/Tender/SplashBidNoticeAbstractUI.aspx?menuIndex=3&amp;refID=7031342&amp;Result=3","7031342")</f>
        <v>0</v>
      </c>
      <c r="B8474" t="s">
        <v>2408</v>
      </c>
      <c r="C8474" t="s">
        <v>10775</v>
      </c>
      <c r="D8474" t="s">
        <v>13032</v>
      </c>
      <c r="E8474" t="s">
        <v>20506</v>
      </c>
      <c r="F8474" t="s">
        <v>22437</v>
      </c>
      <c r="G8474" t="s">
        <v>22444</v>
      </c>
      <c r="H8474" t="s">
        <v>22454</v>
      </c>
      <c r="I8474" t="s">
        <v>7738</v>
      </c>
      <c r="J8474" t="s">
        <v>25346</v>
      </c>
      <c r="K8474" t="s">
        <v>29472</v>
      </c>
      <c r="M8474" t="s">
        <v>32205</v>
      </c>
      <c r="N8474" t="s">
        <v>32524</v>
      </c>
      <c r="O8474" t="s">
        <v>32525</v>
      </c>
      <c r="P8474">
        <v>0</v>
      </c>
      <c r="Q8474">
        <v>4</v>
      </c>
      <c r="R8474" t="s">
        <v>32536</v>
      </c>
      <c r="S8474" t="s">
        <v>32785</v>
      </c>
      <c r="T8474" t="s">
        <v>33403</v>
      </c>
      <c r="U8474" t="s">
        <v>40625</v>
      </c>
      <c r="V8474" t="s">
        <v>43368</v>
      </c>
      <c r="W8474" t="s">
        <v>32205</v>
      </c>
      <c r="X8474" t="s">
        <v>32537</v>
      </c>
    </row>
    <row r="8475" spans="1:24">
      <c r="A8475">
        <f>HYPERLINK("https://www.philgeps.gov.ph/GEPSNONPILOT/Tender/SplashBidNoticeAbstractUI.aspx?menuIndex=3&amp;refID=7031408&amp;Result=3","7031408")</f>
        <v>0</v>
      </c>
      <c r="B8475" t="s">
        <v>2421</v>
      </c>
      <c r="C8475" t="s">
        <v>10776</v>
      </c>
      <c r="D8475" t="s">
        <v>13045</v>
      </c>
      <c r="E8475" t="s">
        <v>20507</v>
      </c>
      <c r="F8475" t="s">
        <v>22436</v>
      </c>
      <c r="G8475" t="s">
        <v>22444</v>
      </c>
      <c r="H8475" t="s">
        <v>22452</v>
      </c>
      <c r="I8475" t="s">
        <v>22461</v>
      </c>
      <c r="J8475" t="s">
        <v>28004</v>
      </c>
      <c r="K8475" t="s">
        <v>29412</v>
      </c>
      <c r="M8475" t="s">
        <v>32221</v>
      </c>
      <c r="N8475" t="s">
        <v>32524</v>
      </c>
      <c r="O8475" t="s">
        <v>32525</v>
      </c>
      <c r="P8475">
        <v>0</v>
      </c>
      <c r="Q8475">
        <v>0</v>
      </c>
      <c r="R8475" t="s">
        <v>32536</v>
      </c>
      <c r="S8475" t="s">
        <v>32785</v>
      </c>
      <c r="T8475" t="s">
        <v>33259</v>
      </c>
      <c r="U8475" t="s">
        <v>40681</v>
      </c>
      <c r="W8475" t="s">
        <v>32221</v>
      </c>
      <c r="X8475" t="s">
        <v>32537</v>
      </c>
    </row>
    <row r="8476" spans="1:24">
      <c r="A8476">
        <f>HYPERLINK("https://www.philgeps.gov.ph/GEPSNONPILOT/Tender/SplashBidNoticeAbstractUI.aspx?menuIndex=3&amp;refID=7031285&amp;Result=3","7031285")</f>
        <v>0</v>
      </c>
      <c r="B8476" t="s">
        <v>519</v>
      </c>
      <c r="C8476" t="s">
        <v>10777</v>
      </c>
      <c r="D8476" t="s">
        <v>12988</v>
      </c>
      <c r="E8476" t="s">
        <v>20508</v>
      </c>
      <c r="F8476" t="s">
        <v>22436</v>
      </c>
      <c r="G8476" t="s">
        <v>22444</v>
      </c>
      <c r="H8476" t="s">
        <v>22454</v>
      </c>
      <c r="I8476" t="s">
        <v>7738</v>
      </c>
      <c r="J8476" t="s">
        <v>28005</v>
      </c>
      <c r="K8476" t="s">
        <v>29345</v>
      </c>
      <c r="M8476" t="s">
        <v>30103</v>
      </c>
      <c r="N8476" t="s">
        <v>32524</v>
      </c>
      <c r="O8476" t="s">
        <v>32525</v>
      </c>
      <c r="Q8476">
        <v>14</v>
      </c>
      <c r="R8476" t="s">
        <v>32536</v>
      </c>
      <c r="S8476" t="s">
        <v>32803</v>
      </c>
      <c r="T8476" t="s">
        <v>33385</v>
      </c>
      <c r="U8476" t="s">
        <v>40682</v>
      </c>
      <c r="V8476" t="s">
        <v>42538</v>
      </c>
      <c r="W8476" t="s">
        <v>30103</v>
      </c>
      <c r="X8476" t="s">
        <v>32537</v>
      </c>
    </row>
    <row r="8477" spans="1:24">
      <c r="A8477">
        <f>HYPERLINK("https://www.philgeps.gov.ph/GEPSNONPILOT/Tender/SplashBidNoticeAbstractUI.aspx?menuIndex=3&amp;refID=7031515&amp;Result=3","7031515")</f>
        <v>0</v>
      </c>
      <c r="B8477" t="s">
        <v>2422</v>
      </c>
      <c r="C8477" t="s">
        <v>10778</v>
      </c>
      <c r="D8477" t="s">
        <v>13018</v>
      </c>
      <c r="E8477" t="s">
        <v>20509</v>
      </c>
      <c r="F8477" t="s">
        <v>22436</v>
      </c>
      <c r="G8477" t="s">
        <v>22444</v>
      </c>
      <c r="H8477" t="s">
        <v>22452</v>
      </c>
      <c r="I8477" t="s">
        <v>22467</v>
      </c>
      <c r="J8477" t="s">
        <v>28006</v>
      </c>
      <c r="K8477" t="s">
        <v>29334</v>
      </c>
      <c r="M8477" t="s">
        <v>32222</v>
      </c>
      <c r="N8477" t="s">
        <v>32524</v>
      </c>
      <c r="O8477" t="s">
        <v>32525</v>
      </c>
      <c r="P8477">
        <v>0</v>
      </c>
      <c r="Q8477">
        <v>0</v>
      </c>
      <c r="R8477" t="s">
        <v>32536</v>
      </c>
      <c r="S8477" t="s">
        <v>32785</v>
      </c>
      <c r="T8477" t="s">
        <v>33227</v>
      </c>
      <c r="U8477" t="s">
        <v>40683</v>
      </c>
      <c r="V8477" t="s">
        <v>43375</v>
      </c>
      <c r="W8477" t="s">
        <v>32222</v>
      </c>
      <c r="X8477" t="s">
        <v>32537</v>
      </c>
    </row>
    <row r="8478" spans="1:24">
      <c r="A8478">
        <f>HYPERLINK("https://www.philgeps.gov.ph/GEPSNONPILOT/Tender/SplashBidNoticeAbstractUI.aspx?menuIndex=3&amp;refID=7031550&amp;Result=3","7031550")</f>
        <v>0</v>
      </c>
      <c r="B8478" t="s">
        <v>1446</v>
      </c>
      <c r="C8478" t="s">
        <v>10779</v>
      </c>
      <c r="D8478" t="s">
        <v>13049</v>
      </c>
      <c r="E8478" t="s">
        <v>20510</v>
      </c>
      <c r="F8478" t="s">
        <v>22436</v>
      </c>
      <c r="G8478" t="s">
        <v>22444</v>
      </c>
      <c r="H8478" t="s">
        <v>22454</v>
      </c>
      <c r="I8478" t="s">
        <v>7738</v>
      </c>
      <c r="J8478" t="s">
        <v>28007</v>
      </c>
      <c r="K8478" t="s">
        <v>29543</v>
      </c>
      <c r="M8478" t="s">
        <v>31110</v>
      </c>
      <c r="N8478" t="s">
        <v>32524</v>
      </c>
      <c r="O8478" t="s">
        <v>32525</v>
      </c>
      <c r="P8478">
        <v>0</v>
      </c>
      <c r="Q8478">
        <v>0</v>
      </c>
      <c r="R8478" t="s">
        <v>32536</v>
      </c>
      <c r="S8478" t="s">
        <v>32785</v>
      </c>
      <c r="T8478" t="s">
        <v>33211</v>
      </c>
      <c r="U8478" t="s">
        <v>40684</v>
      </c>
      <c r="V8478" t="s">
        <v>43376</v>
      </c>
      <c r="W8478" t="s">
        <v>31110</v>
      </c>
      <c r="X8478" t="s">
        <v>32537</v>
      </c>
    </row>
    <row r="8479" spans="1:24">
      <c r="A8479">
        <f>HYPERLINK("https://www.philgeps.gov.ph/GEPSNONPILOT/Tender/SplashBidNoticeAbstractUI.aspx?menuIndex=3&amp;refID=7031512&amp;Result=3","7031512")</f>
        <v>0</v>
      </c>
      <c r="B8479" t="s">
        <v>1702</v>
      </c>
      <c r="C8479" t="s">
        <v>10780</v>
      </c>
      <c r="D8479" t="s">
        <v>13065</v>
      </c>
      <c r="E8479" t="s">
        <v>14823</v>
      </c>
      <c r="F8479" t="s">
        <v>22436</v>
      </c>
      <c r="G8479" t="s">
        <v>22444</v>
      </c>
      <c r="H8479" t="s">
        <v>22454</v>
      </c>
      <c r="I8479" t="s">
        <v>7738</v>
      </c>
      <c r="J8479" t="s">
        <v>22788</v>
      </c>
      <c r="K8479" t="s">
        <v>29334</v>
      </c>
      <c r="M8479" t="s">
        <v>31404</v>
      </c>
      <c r="N8479" t="s">
        <v>32524</v>
      </c>
      <c r="O8479" t="s">
        <v>32525</v>
      </c>
      <c r="P8479">
        <v>0</v>
      </c>
      <c r="Q8479">
        <v>0</v>
      </c>
      <c r="R8479" t="s">
        <v>32536</v>
      </c>
      <c r="S8479" t="s">
        <v>32785</v>
      </c>
      <c r="T8479" t="s">
        <v>33323</v>
      </c>
      <c r="U8479" t="s">
        <v>37883</v>
      </c>
      <c r="W8479" t="s">
        <v>31404</v>
      </c>
      <c r="X8479" t="s">
        <v>32537</v>
      </c>
    </row>
    <row r="8480" spans="1:24">
      <c r="A8480">
        <f>HYPERLINK("https://www.philgeps.gov.ph/GEPSNONPILOT/Tender/SplashBidNoticeAbstractUI.aspx?menuIndex=3&amp;refID=7031502&amp;Result=3","7031502")</f>
        <v>0</v>
      </c>
      <c r="B8480" t="s">
        <v>2393</v>
      </c>
      <c r="C8480" t="s">
        <v>10781</v>
      </c>
      <c r="D8480" t="s">
        <v>13039</v>
      </c>
      <c r="E8480" t="s">
        <v>13106</v>
      </c>
      <c r="F8480" t="s">
        <v>22436</v>
      </c>
      <c r="G8480" t="s">
        <v>22444</v>
      </c>
      <c r="H8480" t="s">
        <v>22452</v>
      </c>
      <c r="I8480" t="s">
        <v>3529</v>
      </c>
      <c r="J8480" t="s">
        <v>28008</v>
      </c>
      <c r="K8480" t="s">
        <v>29335</v>
      </c>
      <c r="M8480" t="s">
        <v>32186</v>
      </c>
      <c r="N8480" t="s">
        <v>32524</v>
      </c>
      <c r="O8480" t="s">
        <v>32525</v>
      </c>
      <c r="P8480">
        <v>0</v>
      </c>
      <c r="Q8480">
        <v>0</v>
      </c>
      <c r="R8480" t="s">
        <v>32536</v>
      </c>
      <c r="S8480" t="s">
        <v>32785</v>
      </c>
      <c r="T8480" t="s">
        <v>33278</v>
      </c>
      <c r="U8480" t="s">
        <v>40685</v>
      </c>
      <c r="W8480" t="s">
        <v>32186</v>
      </c>
      <c r="X8480" t="s">
        <v>32537</v>
      </c>
    </row>
    <row r="8481" spans="1:24">
      <c r="A8481">
        <f>HYPERLINK("https://www.philgeps.gov.ph/GEPSNONPILOT/Tender/SplashBidNoticeAbstractUI.aspx?menuIndex=3&amp;refID=7031527&amp;Result=3","7031527")</f>
        <v>0</v>
      </c>
      <c r="B8481" t="s">
        <v>1410</v>
      </c>
      <c r="C8481" t="s">
        <v>10782</v>
      </c>
      <c r="D8481" t="s">
        <v>13014</v>
      </c>
      <c r="E8481" t="s">
        <v>20511</v>
      </c>
      <c r="F8481" t="s">
        <v>22436</v>
      </c>
      <c r="G8481" t="s">
        <v>22444</v>
      </c>
      <c r="H8481" t="s">
        <v>22454</v>
      </c>
      <c r="I8481" t="s">
        <v>7738</v>
      </c>
      <c r="J8481" t="s">
        <v>28009</v>
      </c>
      <c r="K8481" t="s">
        <v>29412</v>
      </c>
      <c r="M8481" t="s">
        <v>31070</v>
      </c>
      <c r="N8481" t="s">
        <v>32524</v>
      </c>
      <c r="O8481" t="s">
        <v>32525</v>
      </c>
      <c r="P8481">
        <v>0</v>
      </c>
      <c r="Q8481">
        <v>0</v>
      </c>
      <c r="R8481" t="s">
        <v>32536</v>
      </c>
      <c r="S8481" t="s">
        <v>32785</v>
      </c>
      <c r="T8481" t="s">
        <v>33524</v>
      </c>
      <c r="U8481" t="s">
        <v>40686</v>
      </c>
      <c r="W8481" t="s">
        <v>31070</v>
      </c>
      <c r="X8481" t="s">
        <v>32537</v>
      </c>
    </row>
    <row r="8482" spans="1:24">
      <c r="A8482">
        <f>HYPERLINK("https://www.philgeps.gov.ph/GEPSNONPILOT/Tender/SplashBidNoticeAbstractUI.aspx?menuIndex=3&amp;refID=7031480&amp;Result=3","7031480")</f>
        <v>0</v>
      </c>
      <c r="B8482" t="s">
        <v>1062</v>
      </c>
      <c r="C8482" t="s">
        <v>10783</v>
      </c>
      <c r="D8482" t="s">
        <v>13036</v>
      </c>
      <c r="E8482" t="s">
        <v>20512</v>
      </c>
      <c r="F8482" t="s">
        <v>22436</v>
      </c>
      <c r="G8482" t="s">
        <v>22443</v>
      </c>
      <c r="H8482" t="s">
        <v>22455</v>
      </c>
      <c r="I8482" t="s">
        <v>22455</v>
      </c>
      <c r="J8482" t="s">
        <v>22971</v>
      </c>
      <c r="K8482" t="s">
        <v>29333</v>
      </c>
      <c r="M8482" t="s">
        <v>30695</v>
      </c>
      <c r="N8482" t="s">
        <v>32524</v>
      </c>
      <c r="O8482" t="s">
        <v>32525</v>
      </c>
      <c r="P8482">
        <v>0</v>
      </c>
      <c r="Q8482">
        <v>0</v>
      </c>
      <c r="R8482" t="s">
        <v>32536</v>
      </c>
      <c r="S8482" t="s">
        <v>32785</v>
      </c>
      <c r="T8482" t="s">
        <v>33230</v>
      </c>
      <c r="U8482" t="s">
        <v>40687</v>
      </c>
      <c r="W8482" t="s">
        <v>30695</v>
      </c>
      <c r="X8482" t="s">
        <v>32537</v>
      </c>
    </row>
    <row r="8483" spans="1:24">
      <c r="A8483">
        <f>HYPERLINK("https://www.philgeps.gov.ph/GEPSNONPILOT/Tender/SplashBidNoticeAbstractUI.aspx?menuIndex=3&amp;refID=7031530&amp;Result=3","7031530")</f>
        <v>0</v>
      </c>
      <c r="B8483" t="s">
        <v>1702</v>
      </c>
      <c r="C8483" t="s">
        <v>10784</v>
      </c>
      <c r="D8483" t="s">
        <v>13065</v>
      </c>
      <c r="E8483" t="s">
        <v>14837</v>
      </c>
      <c r="F8483" t="s">
        <v>22436</v>
      </c>
      <c r="G8483" t="s">
        <v>22444</v>
      </c>
      <c r="H8483" t="s">
        <v>22454</v>
      </c>
      <c r="I8483" t="s">
        <v>7738</v>
      </c>
      <c r="J8483" t="s">
        <v>22616</v>
      </c>
      <c r="K8483" t="s">
        <v>29333</v>
      </c>
      <c r="M8483" t="s">
        <v>31404</v>
      </c>
      <c r="N8483" t="s">
        <v>32524</v>
      </c>
      <c r="O8483" t="s">
        <v>32525</v>
      </c>
      <c r="P8483">
        <v>0</v>
      </c>
      <c r="Q8483">
        <v>0</v>
      </c>
      <c r="R8483" t="s">
        <v>32536</v>
      </c>
      <c r="S8483" t="s">
        <v>32785</v>
      </c>
      <c r="T8483" t="s">
        <v>33323</v>
      </c>
      <c r="U8483" t="s">
        <v>37883</v>
      </c>
      <c r="W8483" t="s">
        <v>31404</v>
      </c>
      <c r="X8483" t="s">
        <v>32537</v>
      </c>
    </row>
    <row r="8484" spans="1:24">
      <c r="A8484">
        <f>HYPERLINK("https://www.philgeps.gov.ph/GEPSNONPILOT/Tender/SplashBidNoticeAbstractUI.aspx?menuIndex=3&amp;refID=7031424&amp;Result=3","7031424")</f>
        <v>0</v>
      </c>
      <c r="B8484" t="s">
        <v>2221</v>
      </c>
      <c r="C8484" t="s">
        <v>10785</v>
      </c>
      <c r="D8484" t="s">
        <v>13037</v>
      </c>
      <c r="E8484" t="s">
        <v>14074</v>
      </c>
      <c r="F8484" t="s">
        <v>22436</v>
      </c>
      <c r="G8484" t="s">
        <v>22444</v>
      </c>
      <c r="H8484" t="s">
        <v>22454</v>
      </c>
      <c r="I8484" t="s">
        <v>7738</v>
      </c>
      <c r="J8484" t="s">
        <v>23835</v>
      </c>
      <c r="K8484" t="s">
        <v>29380</v>
      </c>
      <c r="M8484" t="s">
        <v>31987</v>
      </c>
      <c r="N8484" t="s">
        <v>32524</v>
      </c>
      <c r="O8484" t="s">
        <v>32525</v>
      </c>
      <c r="P8484">
        <v>0</v>
      </c>
      <c r="Q8484">
        <v>0</v>
      </c>
      <c r="R8484" t="s">
        <v>32536</v>
      </c>
      <c r="S8484" t="s">
        <v>32785</v>
      </c>
      <c r="T8484" t="s">
        <v>33218</v>
      </c>
      <c r="U8484" t="s">
        <v>40688</v>
      </c>
      <c r="V8484" t="s">
        <v>43377</v>
      </c>
      <c r="W8484" t="s">
        <v>31987</v>
      </c>
      <c r="X8484" t="s">
        <v>32537</v>
      </c>
    </row>
    <row r="8485" spans="1:24">
      <c r="A8485">
        <f>HYPERLINK("https://www.philgeps.gov.ph/GEPSNONPILOT/Tender/SplashBidNoticeAbstractUI.aspx?menuIndex=3&amp;refID=7031471&amp;Result=3","7031471")</f>
        <v>0</v>
      </c>
      <c r="B8485" t="s">
        <v>1197</v>
      </c>
      <c r="C8485" t="s">
        <v>10786</v>
      </c>
      <c r="D8485" t="s">
        <v>13021</v>
      </c>
      <c r="E8485" t="s">
        <v>20513</v>
      </c>
      <c r="F8485" t="s">
        <v>22436</v>
      </c>
      <c r="G8485" t="s">
        <v>22444</v>
      </c>
      <c r="H8485" t="s">
        <v>22454</v>
      </c>
      <c r="I8485" t="s">
        <v>7738</v>
      </c>
      <c r="J8485" t="s">
        <v>25369</v>
      </c>
      <c r="K8485" t="s">
        <v>29388</v>
      </c>
      <c r="M8485" t="s">
        <v>30845</v>
      </c>
      <c r="N8485" t="s">
        <v>32524</v>
      </c>
      <c r="O8485" t="s">
        <v>32525</v>
      </c>
      <c r="P8485">
        <v>0</v>
      </c>
      <c r="Q8485">
        <v>2</v>
      </c>
      <c r="R8485" t="s">
        <v>32536</v>
      </c>
      <c r="S8485" t="s">
        <v>32785</v>
      </c>
      <c r="T8485" t="s">
        <v>33249</v>
      </c>
      <c r="U8485" t="s">
        <v>40689</v>
      </c>
      <c r="V8485" t="s">
        <v>43378</v>
      </c>
      <c r="W8485" t="s">
        <v>30845</v>
      </c>
      <c r="X8485" t="s">
        <v>32537</v>
      </c>
    </row>
    <row r="8486" spans="1:24">
      <c r="A8486">
        <f>HYPERLINK("https://www.philgeps.gov.ph/GEPSNONPILOT/Tender/SplashBidNoticeAbstractUI.aspx?menuIndex=3&amp;refID=7031481&amp;Result=3","7031481")</f>
        <v>0</v>
      </c>
      <c r="B8486" t="s">
        <v>1702</v>
      </c>
      <c r="C8486" t="s">
        <v>10787</v>
      </c>
      <c r="D8486" t="s">
        <v>13065</v>
      </c>
      <c r="E8486" t="s">
        <v>13551</v>
      </c>
      <c r="F8486" t="s">
        <v>22436</v>
      </c>
      <c r="G8486" t="s">
        <v>22444</v>
      </c>
      <c r="H8486" t="s">
        <v>22454</v>
      </c>
      <c r="I8486" t="s">
        <v>7738</v>
      </c>
      <c r="J8486" t="s">
        <v>22788</v>
      </c>
      <c r="K8486" t="s">
        <v>29337</v>
      </c>
      <c r="M8486" t="s">
        <v>31404</v>
      </c>
      <c r="N8486" t="s">
        <v>32524</v>
      </c>
      <c r="O8486" t="s">
        <v>32525</v>
      </c>
      <c r="P8486">
        <v>0</v>
      </c>
      <c r="Q8486">
        <v>0</v>
      </c>
      <c r="R8486" t="s">
        <v>32536</v>
      </c>
      <c r="S8486" t="s">
        <v>32785</v>
      </c>
      <c r="T8486" t="s">
        <v>33323</v>
      </c>
      <c r="U8486" t="s">
        <v>37883</v>
      </c>
      <c r="W8486" t="s">
        <v>31404</v>
      </c>
      <c r="X8486" t="s">
        <v>32537</v>
      </c>
    </row>
    <row r="8487" spans="1:24">
      <c r="A8487">
        <f>HYPERLINK("https://www.philgeps.gov.ph/GEPSNONPILOT/Tender/SplashBidNoticeAbstractUI.aspx?menuIndex=3&amp;refID=7031547&amp;Result=3","7031547")</f>
        <v>0</v>
      </c>
      <c r="B8487" t="s">
        <v>1702</v>
      </c>
      <c r="C8487" t="s">
        <v>10788</v>
      </c>
      <c r="D8487" t="s">
        <v>13065</v>
      </c>
      <c r="E8487" t="s">
        <v>14843</v>
      </c>
      <c r="F8487" t="s">
        <v>22436</v>
      </c>
      <c r="G8487" t="s">
        <v>22444</v>
      </c>
      <c r="H8487" t="s">
        <v>22454</v>
      </c>
      <c r="I8487" t="s">
        <v>7738</v>
      </c>
      <c r="J8487" t="s">
        <v>22616</v>
      </c>
      <c r="K8487" t="s">
        <v>29333</v>
      </c>
      <c r="M8487" t="s">
        <v>31404</v>
      </c>
      <c r="N8487" t="s">
        <v>32524</v>
      </c>
      <c r="O8487" t="s">
        <v>32525</v>
      </c>
      <c r="P8487">
        <v>0</v>
      </c>
      <c r="Q8487">
        <v>0</v>
      </c>
      <c r="R8487" t="s">
        <v>32536</v>
      </c>
      <c r="S8487" t="s">
        <v>32785</v>
      </c>
      <c r="T8487" t="s">
        <v>33323</v>
      </c>
      <c r="U8487" t="s">
        <v>37883</v>
      </c>
      <c r="W8487" t="s">
        <v>31404</v>
      </c>
      <c r="X8487" t="s">
        <v>32537</v>
      </c>
    </row>
    <row r="8488" spans="1:24">
      <c r="A8488">
        <f>HYPERLINK("https://www.philgeps.gov.ph/GEPSNONPILOT/Tender/SplashBidNoticeAbstractUI.aspx?menuIndex=3&amp;refID=7031459&amp;Result=3","7031459")</f>
        <v>0</v>
      </c>
      <c r="B8488" t="s">
        <v>1702</v>
      </c>
      <c r="C8488" t="s">
        <v>10789</v>
      </c>
      <c r="D8488" t="s">
        <v>13065</v>
      </c>
      <c r="E8488" t="s">
        <v>14961</v>
      </c>
      <c r="F8488" t="s">
        <v>22436</v>
      </c>
      <c r="G8488" t="s">
        <v>22444</v>
      </c>
      <c r="H8488" t="s">
        <v>22454</v>
      </c>
      <c r="I8488" t="s">
        <v>22490</v>
      </c>
      <c r="J8488" t="s">
        <v>23226</v>
      </c>
      <c r="K8488" t="s">
        <v>29335</v>
      </c>
      <c r="M8488" t="s">
        <v>31404</v>
      </c>
      <c r="N8488" t="s">
        <v>32524</v>
      </c>
      <c r="O8488" t="s">
        <v>32525</v>
      </c>
      <c r="P8488">
        <v>0</v>
      </c>
      <c r="Q8488">
        <v>0</v>
      </c>
      <c r="R8488" t="s">
        <v>32536</v>
      </c>
      <c r="S8488" t="s">
        <v>32785</v>
      </c>
      <c r="T8488" t="s">
        <v>33323</v>
      </c>
      <c r="U8488" t="s">
        <v>37883</v>
      </c>
      <c r="W8488" t="s">
        <v>31404</v>
      </c>
      <c r="X8488" t="s">
        <v>32537</v>
      </c>
    </row>
    <row r="8489" spans="1:24">
      <c r="A8489">
        <f>HYPERLINK("https://www.philgeps.gov.ph/GEPSNONPILOT/Tender/SplashBidNoticeAbstractUI.aspx?menuIndex=3&amp;refID=7031499&amp;Result=3","7031499")</f>
        <v>0</v>
      </c>
      <c r="B8489" t="s">
        <v>1702</v>
      </c>
      <c r="C8489" t="s">
        <v>10790</v>
      </c>
      <c r="D8489" t="s">
        <v>13065</v>
      </c>
      <c r="E8489" t="s">
        <v>13540</v>
      </c>
      <c r="F8489" t="s">
        <v>22436</v>
      </c>
      <c r="G8489" t="s">
        <v>22444</v>
      </c>
      <c r="H8489" t="s">
        <v>22454</v>
      </c>
      <c r="I8489" t="s">
        <v>22490</v>
      </c>
      <c r="J8489" t="s">
        <v>22788</v>
      </c>
      <c r="K8489" t="s">
        <v>29333</v>
      </c>
      <c r="M8489" t="s">
        <v>31404</v>
      </c>
      <c r="N8489" t="s">
        <v>32524</v>
      </c>
      <c r="O8489" t="s">
        <v>32525</v>
      </c>
      <c r="P8489">
        <v>0</v>
      </c>
      <c r="Q8489">
        <v>0</v>
      </c>
      <c r="R8489" t="s">
        <v>32536</v>
      </c>
      <c r="S8489" t="s">
        <v>32785</v>
      </c>
      <c r="T8489" t="s">
        <v>33323</v>
      </c>
      <c r="U8489" t="s">
        <v>37883</v>
      </c>
      <c r="W8489" t="s">
        <v>31404</v>
      </c>
      <c r="X8489" t="s">
        <v>32537</v>
      </c>
    </row>
    <row r="8490" spans="1:24">
      <c r="A8490">
        <f>HYPERLINK("https://www.philgeps.gov.ph/GEPSNONPILOT/Tender/SplashBidNoticeAbstractUI.aspx?menuIndex=3&amp;refID=7031469&amp;Result=3","7031469")</f>
        <v>0</v>
      </c>
      <c r="B8490" t="s">
        <v>1410</v>
      </c>
      <c r="C8490" t="s">
        <v>10791</v>
      </c>
      <c r="D8490" t="s">
        <v>13003</v>
      </c>
      <c r="E8490" t="s">
        <v>20514</v>
      </c>
      <c r="F8490" t="s">
        <v>22436</v>
      </c>
      <c r="G8490" t="s">
        <v>22444</v>
      </c>
      <c r="H8490" t="s">
        <v>22454</v>
      </c>
      <c r="I8490" t="s">
        <v>7738</v>
      </c>
      <c r="J8490" t="s">
        <v>28010</v>
      </c>
      <c r="K8490" t="s">
        <v>29471</v>
      </c>
      <c r="M8490" t="s">
        <v>31070</v>
      </c>
      <c r="N8490" t="s">
        <v>32524</v>
      </c>
      <c r="O8490" t="s">
        <v>32525</v>
      </c>
      <c r="Q8490">
        <v>1</v>
      </c>
      <c r="R8490" t="s">
        <v>32536</v>
      </c>
      <c r="S8490" t="s">
        <v>32576</v>
      </c>
      <c r="T8490" t="s">
        <v>33380</v>
      </c>
      <c r="U8490" t="s">
        <v>40690</v>
      </c>
      <c r="W8490" t="s">
        <v>31070</v>
      </c>
      <c r="X8490" t="s">
        <v>32537</v>
      </c>
    </row>
    <row r="8491" spans="1:24">
      <c r="A8491">
        <f>HYPERLINK("https://www.philgeps.gov.ph/GEPSNONPILOT/Tender/SplashBidNoticeAbstractUI.aspx?menuIndex=3&amp;refID=7031451&amp;Result=3","7031451")</f>
        <v>0</v>
      </c>
      <c r="B8491" t="s">
        <v>2422</v>
      </c>
      <c r="C8491" t="s">
        <v>10792</v>
      </c>
      <c r="D8491" t="s">
        <v>13018</v>
      </c>
      <c r="E8491" t="s">
        <v>20515</v>
      </c>
      <c r="F8491" t="s">
        <v>22436</v>
      </c>
      <c r="G8491" t="s">
        <v>22444</v>
      </c>
      <c r="H8491" t="s">
        <v>22452</v>
      </c>
      <c r="I8491" t="s">
        <v>22467</v>
      </c>
      <c r="J8491" t="s">
        <v>28011</v>
      </c>
      <c r="K8491" t="s">
        <v>29334</v>
      </c>
      <c r="M8491" t="s">
        <v>32222</v>
      </c>
      <c r="N8491" t="s">
        <v>32524</v>
      </c>
      <c r="O8491" t="s">
        <v>32525</v>
      </c>
      <c r="P8491">
        <v>0</v>
      </c>
      <c r="Q8491">
        <v>0</v>
      </c>
      <c r="R8491" t="s">
        <v>32536</v>
      </c>
      <c r="S8491" t="s">
        <v>32785</v>
      </c>
      <c r="T8491" t="s">
        <v>33227</v>
      </c>
      <c r="U8491" t="s">
        <v>40691</v>
      </c>
      <c r="V8491" t="s">
        <v>43375</v>
      </c>
      <c r="W8491" t="s">
        <v>32222</v>
      </c>
      <c r="X8491" t="s">
        <v>32537</v>
      </c>
    </row>
    <row r="8492" spans="1:24">
      <c r="A8492">
        <f>HYPERLINK("https://www.philgeps.gov.ph/GEPSNONPILOT/Tender/SplashBidNoticeAbstractUI.aspx?menuIndex=3&amp;refID=7031444&amp;Result=3","7031444")</f>
        <v>0</v>
      </c>
      <c r="B8492" t="s">
        <v>1702</v>
      </c>
      <c r="C8492" t="s">
        <v>10793</v>
      </c>
      <c r="D8492" t="s">
        <v>13065</v>
      </c>
      <c r="E8492" t="s">
        <v>14916</v>
      </c>
      <c r="F8492" t="s">
        <v>22436</v>
      </c>
      <c r="G8492" t="s">
        <v>22444</v>
      </c>
      <c r="H8492" t="s">
        <v>22454</v>
      </c>
      <c r="I8492" t="s">
        <v>7738</v>
      </c>
      <c r="J8492" t="s">
        <v>22654</v>
      </c>
      <c r="K8492" t="s">
        <v>29333</v>
      </c>
      <c r="M8492" t="s">
        <v>31404</v>
      </c>
      <c r="N8492" t="s">
        <v>32524</v>
      </c>
      <c r="O8492" t="s">
        <v>32525</v>
      </c>
      <c r="P8492">
        <v>0</v>
      </c>
      <c r="Q8492">
        <v>0</v>
      </c>
      <c r="R8492" t="s">
        <v>32536</v>
      </c>
      <c r="S8492" t="s">
        <v>32785</v>
      </c>
      <c r="T8492" t="s">
        <v>33323</v>
      </c>
      <c r="U8492" t="s">
        <v>37883</v>
      </c>
      <c r="W8492" t="s">
        <v>31404</v>
      </c>
      <c r="X8492" t="s">
        <v>32537</v>
      </c>
    </row>
    <row r="8493" spans="1:24">
      <c r="A8493">
        <f>HYPERLINK("https://www.philgeps.gov.ph/GEPSNONPILOT/Tender/SplashBidNoticeAbstractUI.aspx?menuIndex=3&amp;refID=7031425&amp;Result=3","7031425")</f>
        <v>0</v>
      </c>
      <c r="B8493" t="s">
        <v>1702</v>
      </c>
      <c r="C8493" t="s">
        <v>10794</v>
      </c>
      <c r="D8493" t="s">
        <v>13065</v>
      </c>
      <c r="E8493" t="s">
        <v>18222</v>
      </c>
      <c r="F8493" t="s">
        <v>22436</v>
      </c>
      <c r="G8493" t="s">
        <v>22444</v>
      </c>
      <c r="H8493" t="s">
        <v>22454</v>
      </c>
      <c r="I8493" t="s">
        <v>22490</v>
      </c>
      <c r="J8493" t="s">
        <v>23356</v>
      </c>
      <c r="K8493" t="s">
        <v>29333</v>
      </c>
      <c r="M8493" t="s">
        <v>31404</v>
      </c>
      <c r="N8493" t="s">
        <v>32524</v>
      </c>
      <c r="O8493" t="s">
        <v>32525</v>
      </c>
      <c r="P8493">
        <v>0</v>
      </c>
      <c r="Q8493">
        <v>0</v>
      </c>
      <c r="R8493" t="s">
        <v>32536</v>
      </c>
      <c r="S8493" t="s">
        <v>32785</v>
      </c>
      <c r="T8493" t="s">
        <v>33323</v>
      </c>
      <c r="U8493" t="s">
        <v>37883</v>
      </c>
      <c r="W8493" t="s">
        <v>31404</v>
      </c>
      <c r="X8493" t="s">
        <v>32537</v>
      </c>
    </row>
    <row r="8494" spans="1:24">
      <c r="A8494">
        <f>HYPERLINK("https://www.philgeps.gov.ph/GEPSNONPILOT/Tender/SplashBidNoticeAbstractUI.aspx?menuIndex=3&amp;refID=7031465&amp;Result=3","7031465")</f>
        <v>0</v>
      </c>
      <c r="B8494" t="s">
        <v>1773</v>
      </c>
      <c r="C8494" t="s">
        <v>10795</v>
      </c>
      <c r="D8494" t="s">
        <v>12994</v>
      </c>
      <c r="E8494" t="s">
        <v>20516</v>
      </c>
      <c r="F8494" t="s">
        <v>22436</v>
      </c>
      <c r="G8494" t="s">
        <v>22444</v>
      </c>
      <c r="H8494" t="s">
        <v>22454</v>
      </c>
      <c r="I8494" t="s">
        <v>22496</v>
      </c>
      <c r="J8494" t="s">
        <v>28012</v>
      </c>
      <c r="K8494" t="s">
        <v>29338</v>
      </c>
      <c r="M8494" t="s">
        <v>31480</v>
      </c>
      <c r="N8494" t="s">
        <v>32524</v>
      </c>
      <c r="O8494" t="s">
        <v>32525</v>
      </c>
      <c r="P8494">
        <v>0</v>
      </c>
      <c r="Q8494">
        <v>8</v>
      </c>
      <c r="R8494" t="s">
        <v>32536</v>
      </c>
      <c r="S8494" t="s">
        <v>32785</v>
      </c>
      <c r="T8494" t="s">
        <v>33256</v>
      </c>
      <c r="U8494" t="s">
        <v>40692</v>
      </c>
      <c r="V8494" t="s">
        <v>43005</v>
      </c>
      <c r="W8494" t="s">
        <v>31480</v>
      </c>
      <c r="X8494" t="s">
        <v>32537</v>
      </c>
    </row>
    <row r="8495" spans="1:24">
      <c r="A8495">
        <f>HYPERLINK("https://www.philgeps.gov.ph/GEPSNONPILOT/Tender/SplashBidNoticeAbstractUI.aspx?menuIndex=3&amp;refID=7031284&amp;Result=3","7031284")</f>
        <v>0</v>
      </c>
      <c r="B8495" t="s">
        <v>2418</v>
      </c>
      <c r="C8495" t="s">
        <v>10796</v>
      </c>
      <c r="D8495" t="s">
        <v>12988</v>
      </c>
      <c r="E8495" t="s">
        <v>20517</v>
      </c>
      <c r="F8495" t="s">
        <v>22436</v>
      </c>
      <c r="G8495" t="s">
        <v>22444</v>
      </c>
      <c r="H8495" t="s">
        <v>22452</v>
      </c>
      <c r="I8495" t="s">
        <v>22502</v>
      </c>
      <c r="J8495" t="s">
        <v>28013</v>
      </c>
      <c r="K8495" t="s">
        <v>29335</v>
      </c>
      <c r="M8495" t="s">
        <v>32217</v>
      </c>
      <c r="N8495" t="s">
        <v>32524</v>
      </c>
      <c r="O8495" t="s">
        <v>32525</v>
      </c>
      <c r="P8495">
        <v>0</v>
      </c>
      <c r="Q8495">
        <v>12</v>
      </c>
      <c r="R8495" t="s">
        <v>32536</v>
      </c>
      <c r="S8495" t="s">
        <v>32785</v>
      </c>
      <c r="T8495" t="s">
        <v>33180</v>
      </c>
      <c r="U8495" t="s">
        <v>40693</v>
      </c>
      <c r="W8495" t="s">
        <v>32217</v>
      </c>
      <c r="X8495" t="s">
        <v>32537</v>
      </c>
    </row>
    <row r="8496" spans="1:24">
      <c r="A8496">
        <f>HYPERLINK("https://www.philgeps.gov.ph/GEPSNONPILOT/Tender/SplashBidNoticeAbstractUI.aspx?menuIndex=3&amp;refID=7031561&amp;Result=3","7031561")</f>
        <v>0</v>
      </c>
      <c r="B8496" t="s">
        <v>1702</v>
      </c>
      <c r="C8496" t="s">
        <v>10797</v>
      </c>
      <c r="D8496" t="s">
        <v>13065</v>
      </c>
      <c r="E8496" t="s">
        <v>14859</v>
      </c>
      <c r="F8496" t="s">
        <v>22436</v>
      </c>
      <c r="G8496" t="s">
        <v>22444</v>
      </c>
      <c r="H8496" t="s">
        <v>22454</v>
      </c>
      <c r="I8496" t="s">
        <v>22490</v>
      </c>
      <c r="J8496" t="s">
        <v>22640</v>
      </c>
      <c r="K8496" t="s">
        <v>29329</v>
      </c>
      <c r="M8496" t="s">
        <v>31404</v>
      </c>
      <c r="N8496" t="s">
        <v>32524</v>
      </c>
      <c r="O8496" t="s">
        <v>32525</v>
      </c>
      <c r="P8496">
        <v>0</v>
      </c>
      <c r="Q8496">
        <v>0</v>
      </c>
      <c r="R8496" t="s">
        <v>32536</v>
      </c>
      <c r="S8496" t="s">
        <v>32785</v>
      </c>
      <c r="T8496" t="s">
        <v>33323</v>
      </c>
      <c r="U8496" t="s">
        <v>37883</v>
      </c>
      <c r="W8496" t="s">
        <v>31404</v>
      </c>
      <c r="X8496" t="s">
        <v>32537</v>
      </c>
    </row>
    <row r="8497" spans="1:24">
      <c r="A8497">
        <f>HYPERLINK("https://www.philgeps.gov.ph/GEPSNONPILOT/Tender/SplashBidNoticeAbstractUI.aspx?menuIndex=3&amp;refID=7031438&amp;Result=3","7031438")</f>
        <v>0</v>
      </c>
      <c r="B8497" t="s">
        <v>2418</v>
      </c>
      <c r="C8497" t="s">
        <v>10798</v>
      </c>
      <c r="D8497" t="s">
        <v>12988</v>
      </c>
      <c r="E8497" t="s">
        <v>10798</v>
      </c>
      <c r="F8497" t="s">
        <v>22436</v>
      </c>
      <c r="G8497" t="s">
        <v>22444</v>
      </c>
      <c r="H8497" t="s">
        <v>22452</v>
      </c>
      <c r="I8497" t="s">
        <v>22502</v>
      </c>
      <c r="J8497" t="s">
        <v>22893</v>
      </c>
      <c r="K8497" t="s">
        <v>29335</v>
      </c>
      <c r="M8497" t="s">
        <v>32217</v>
      </c>
      <c r="N8497" t="s">
        <v>32524</v>
      </c>
      <c r="O8497" t="s">
        <v>32525</v>
      </c>
      <c r="P8497">
        <v>0</v>
      </c>
      <c r="Q8497">
        <v>6</v>
      </c>
      <c r="R8497" t="s">
        <v>32536</v>
      </c>
      <c r="S8497" t="s">
        <v>32785</v>
      </c>
      <c r="T8497" t="s">
        <v>33180</v>
      </c>
      <c r="U8497" t="s">
        <v>40694</v>
      </c>
      <c r="W8497" t="s">
        <v>32217</v>
      </c>
      <c r="X8497" t="s">
        <v>32537</v>
      </c>
    </row>
    <row r="8498" spans="1:24">
      <c r="A8498">
        <f>HYPERLINK("https://www.philgeps.gov.ph/GEPSNONPILOT/Tender/SplashBidNoticeAbstractUI.aspx?menuIndex=3&amp;refID=7031593&amp;Result=3","7031593")</f>
        <v>0</v>
      </c>
      <c r="B8498" t="s">
        <v>2423</v>
      </c>
      <c r="C8498" t="s">
        <v>10799</v>
      </c>
      <c r="D8498" t="s">
        <v>12996</v>
      </c>
      <c r="E8498" t="s">
        <v>20518</v>
      </c>
      <c r="F8498" t="s">
        <v>22436</v>
      </c>
      <c r="G8498" t="s">
        <v>22444</v>
      </c>
      <c r="H8498" t="s">
        <v>22452</v>
      </c>
      <c r="I8498" t="s">
        <v>22474</v>
      </c>
      <c r="J8498" t="s">
        <v>24714</v>
      </c>
      <c r="K8498" t="s">
        <v>29330</v>
      </c>
      <c r="M8498" t="s">
        <v>32223</v>
      </c>
      <c r="N8498" t="s">
        <v>32524</v>
      </c>
      <c r="O8498" t="s">
        <v>32525</v>
      </c>
      <c r="P8498">
        <v>0</v>
      </c>
      <c r="Q8498">
        <v>8</v>
      </c>
      <c r="R8498" t="s">
        <v>32536</v>
      </c>
      <c r="S8498" t="s">
        <v>32785</v>
      </c>
      <c r="T8498" t="s">
        <v>33236</v>
      </c>
      <c r="U8498" t="s">
        <v>40695</v>
      </c>
      <c r="W8498" t="s">
        <v>32223</v>
      </c>
      <c r="X8498" t="s">
        <v>32537</v>
      </c>
    </row>
    <row r="8499" spans="1:24">
      <c r="A8499">
        <f>HYPERLINK("https://www.philgeps.gov.ph/GEPSNONPILOT/Tender/SplashBidNoticeAbstractUI.aspx?menuIndex=3&amp;refID=7031591&amp;Result=3","7031591")</f>
        <v>0</v>
      </c>
      <c r="B8499" t="s">
        <v>2418</v>
      </c>
      <c r="C8499" t="s">
        <v>10800</v>
      </c>
      <c r="D8499" t="s">
        <v>12988</v>
      </c>
      <c r="E8499" t="s">
        <v>10800</v>
      </c>
      <c r="F8499" t="s">
        <v>22436</v>
      </c>
      <c r="G8499" t="s">
        <v>22444</v>
      </c>
      <c r="H8499" t="s">
        <v>22452</v>
      </c>
      <c r="I8499" t="s">
        <v>22502</v>
      </c>
      <c r="J8499" t="s">
        <v>28014</v>
      </c>
      <c r="K8499" t="s">
        <v>29335</v>
      </c>
      <c r="M8499" t="s">
        <v>32217</v>
      </c>
      <c r="N8499" t="s">
        <v>32524</v>
      </c>
      <c r="O8499" t="s">
        <v>32525</v>
      </c>
      <c r="P8499">
        <v>0</v>
      </c>
      <c r="Q8499">
        <v>5</v>
      </c>
      <c r="R8499" t="s">
        <v>32536</v>
      </c>
      <c r="S8499" t="s">
        <v>32785</v>
      </c>
      <c r="T8499" t="s">
        <v>33180</v>
      </c>
      <c r="U8499" t="s">
        <v>37299</v>
      </c>
      <c r="W8499" t="s">
        <v>32217</v>
      </c>
      <c r="X8499" t="s">
        <v>32537</v>
      </c>
    </row>
    <row r="8500" spans="1:24">
      <c r="A8500">
        <f>HYPERLINK("https://www.philgeps.gov.ph/GEPSNONPILOT/Tender/SplashBidNoticeAbstractUI.aspx?menuIndex=3&amp;refID=7031275&amp;Result=3","7031275")</f>
        <v>0</v>
      </c>
      <c r="B8500" t="s">
        <v>1702</v>
      </c>
      <c r="C8500" t="s">
        <v>10801</v>
      </c>
      <c r="D8500" t="s">
        <v>13065</v>
      </c>
      <c r="E8500" t="s">
        <v>16231</v>
      </c>
      <c r="F8500" t="s">
        <v>22436</v>
      </c>
      <c r="G8500" t="s">
        <v>22444</v>
      </c>
      <c r="H8500" t="s">
        <v>22454</v>
      </c>
      <c r="I8500" t="s">
        <v>7738</v>
      </c>
      <c r="J8500" t="s">
        <v>22605</v>
      </c>
      <c r="K8500" t="s">
        <v>29333</v>
      </c>
      <c r="M8500" t="s">
        <v>31404</v>
      </c>
      <c r="N8500" t="s">
        <v>32524</v>
      </c>
      <c r="O8500" t="s">
        <v>32525</v>
      </c>
      <c r="P8500">
        <v>0</v>
      </c>
      <c r="Q8500">
        <v>0</v>
      </c>
      <c r="R8500" t="s">
        <v>32536</v>
      </c>
      <c r="S8500" t="s">
        <v>32785</v>
      </c>
      <c r="T8500" t="s">
        <v>33323</v>
      </c>
      <c r="U8500" t="s">
        <v>40696</v>
      </c>
      <c r="W8500" t="s">
        <v>31404</v>
      </c>
      <c r="X8500" t="s">
        <v>32537</v>
      </c>
    </row>
    <row r="8501" spans="1:24">
      <c r="A8501">
        <f>HYPERLINK("https://www.philgeps.gov.ph/GEPSNONPILOT/Tender/SplashBidNoticeAbstractUI.aspx?menuIndex=3&amp;refID=7031581&amp;Result=3","7031581")</f>
        <v>0</v>
      </c>
      <c r="B8501" t="s">
        <v>1478</v>
      </c>
      <c r="C8501" t="s">
        <v>10802</v>
      </c>
      <c r="D8501" t="s">
        <v>13050</v>
      </c>
      <c r="E8501" t="s">
        <v>20519</v>
      </c>
      <c r="F8501" t="s">
        <v>22436</v>
      </c>
      <c r="G8501" t="s">
        <v>22444</v>
      </c>
      <c r="H8501" t="s">
        <v>22452</v>
      </c>
      <c r="I8501" t="s">
        <v>22470</v>
      </c>
      <c r="J8501" t="s">
        <v>28015</v>
      </c>
      <c r="K8501" t="s">
        <v>29335</v>
      </c>
      <c r="M8501" t="s">
        <v>31147</v>
      </c>
      <c r="N8501" t="s">
        <v>32524</v>
      </c>
      <c r="O8501" t="s">
        <v>32525</v>
      </c>
      <c r="P8501">
        <v>0</v>
      </c>
      <c r="Q8501">
        <v>7</v>
      </c>
      <c r="R8501" t="s">
        <v>32536</v>
      </c>
      <c r="S8501" t="s">
        <v>32785</v>
      </c>
      <c r="T8501" t="s">
        <v>33249</v>
      </c>
      <c r="U8501" t="s">
        <v>40697</v>
      </c>
      <c r="W8501" t="s">
        <v>31147</v>
      </c>
      <c r="X8501" t="s">
        <v>32537</v>
      </c>
    </row>
    <row r="8502" spans="1:24">
      <c r="A8502">
        <f>HYPERLINK("https://www.philgeps.gov.ph/GEPSNONPILOT/Tender/SplashBidNoticeAbstractUI.aspx?menuIndex=3&amp;refID=7031650&amp;Result=3","7031650")</f>
        <v>0</v>
      </c>
      <c r="B8502" t="s">
        <v>1702</v>
      </c>
      <c r="C8502" t="s">
        <v>10803</v>
      </c>
      <c r="D8502" t="s">
        <v>13065</v>
      </c>
      <c r="E8502" t="s">
        <v>20520</v>
      </c>
      <c r="F8502" t="s">
        <v>22436</v>
      </c>
      <c r="G8502" t="s">
        <v>22444</v>
      </c>
      <c r="H8502" t="s">
        <v>22454</v>
      </c>
      <c r="I8502" t="s">
        <v>22490</v>
      </c>
      <c r="J8502" t="s">
        <v>22605</v>
      </c>
      <c r="K8502" t="s">
        <v>29362</v>
      </c>
      <c r="M8502" t="s">
        <v>31404</v>
      </c>
      <c r="N8502" t="s">
        <v>32524</v>
      </c>
      <c r="O8502" t="s">
        <v>32525</v>
      </c>
      <c r="P8502">
        <v>0</v>
      </c>
      <c r="Q8502">
        <v>0</v>
      </c>
      <c r="R8502" t="s">
        <v>32536</v>
      </c>
      <c r="S8502" t="s">
        <v>32785</v>
      </c>
      <c r="T8502" t="s">
        <v>33323</v>
      </c>
      <c r="U8502" t="s">
        <v>37883</v>
      </c>
      <c r="W8502" t="s">
        <v>31404</v>
      </c>
      <c r="X8502" t="s">
        <v>32537</v>
      </c>
    </row>
    <row r="8503" spans="1:24">
      <c r="A8503">
        <f>HYPERLINK("https://www.philgeps.gov.ph/GEPSNONPILOT/Tender/SplashBidNoticeAbstractUI.aspx?menuIndex=3&amp;refID=7031583&amp;Result=3","7031583")</f>
        <v>0</v>
      </c>
      <c r="B8503" t="s">
        <v>1345</v>
      </c>
      <c r="C8503" t="s">
        <v>10804</v>
      </c>
      <c r="D8503" t="s">
        <v>13004</v>
      </c>
      <c r="E8503" t="s">
        <v>20521</v>
      </c>
      <c r="F8503" t="s">
        <v>22436</v>
      </c>
      <c r="G8503" t="s">
        <v>22444</v>
      </c>
      <c r="H8503" t="s">
        <v>22452</v>
      </c>
      <c r="I8503" t="s">
        <v>22469</v>
      </c>
      <c r="J8503" t="s">
        <v>28016</v>
      </c>
      <c r="K8503" t="s">
        <v>29334</v>
      </c>
      <c r="M8503" t="s">
        <v>31000</v>
      </c>
      <c r="N8503" t="s">
        <v>32524</v>
      </c>
      <c r="O8503" t="s">
        <v>32525</v>
      </c>
      <c r="P8503">
        <v>0</v>
      </c>
      <c r="Q8503">
        <v>9</v>
      </c>
      <c r="R8503" t="s">
        <v>32536</v>
      </c>
      <c r="S8503" t="s">
        <v>32785</v>
      </c>
      <c r="T8503" t="s">
        <v>33218</v>
      </c>
      <c r="U8503" t="s">
        <v>36985</v>
      </c>
      <c r="W8503" t="s">
        <v>31000</v>
      </c>
      <c r="X8503" t="s">
        <v>32537</v>
      </c>
    </row>
    <row r="8504" spans="1:24">
      <c r="A8504">
        <f>HYPERLINK("https://www.philgeps.gov.ph/GEPSNONPILOT/Tender/SplashBidNoticeAbstractUI.aspx?menuIndex=3&amp;refID=7031636&amp;Result=3","7031636")</f>
        <v>0</v>
      </c>
      <c r="B8504" t="s">
        <v>290</v>
      </c>
      <c r="C8504" t="s">
        <v>10805</v>
      </c>
      <c r="D8504" t="s">
        <v>13011</v>
      </c>
      <c r="E8504" t="s">
        <v>20522</v>
      </c>
      <c r="F8504" t="s">
        <v>22436</v>
      </c>
      <c r="G8504" t="s">
        <v>22444</v>
      </c>
      <c r="H8504" t="s">
        <v>22453</v>
      </c>
      <c r="I8504" t="s">
        <v>3027</v>
      </c>
      <c r="J8504" t="s">
        <v>28017</v>
      </c>
      <c r="K8504" t="s">
        <v>29371</v>
      </c>
      <c r="M8504" t="s">
        <v>29864</v>
      </c>
      <c r="N8504" t="s">
        <v>32524</v>
      </c>
      <c r="O8504" t="s">
        <v>32525</v>
      </c>
      <c r="P8504">
        <v>0</v>
      </c>
      <c r="Q8504">
        <v>1</v>
      </c>
      <c r="R8504" t="s">
        <v>32536</v>
      </c>
      <c r="S8504" t="s">
        <v>32785</v>
      </c>
      <c r="T8504" t="s">
        <v>33190</v>
      </c>
      <c r="U8504" t="s">
        <v>40698</v>
      </c>
      <c r="W8504" t="s">
        <v>43676</v>
      </c>
      <c r="X8504" t="s">
        <v>32537</v>
      </c>
    </row>
    <row r="8505" spans="1:24">
      <c r="A8505">
        <f>HYPERLINK("https://www.philgeps.gov.ph/GEPSNONPILOT/Tender/SplashBidNoticeAbstractUI.aspx?menuIndex=3&amp;refID=7031584&amp;Result=3","7031584")</f>
        <v>0</v>
      </c>
      <c r="B8505" t="s">
        <v>2418</v>
      </c>
      <c r="C8505" t="s">
        <v>10806</v>
      </c>
      <c r="D8505" t="s">
        <v>12988</v>
      </c>
      <c r="E8505" t="s">
        <v>10806</v>
      </c>
      <c r="F8505" t="s">
        <v>22436</v>
      </c>
      <c r="G8505" t="s">
        <v>22444</v>
      </c>
      <c r="H8505" t="s">
        <v>22452</v>
      </c>
      <c r="I8505" t="s">
        <v>22502</v>
      </c>
      <c r="J8505" t="s">
        <v>28018</v>
      </c>
      <c r="K8505" t="s">
        <v>29335</v>
      </c>
      <c r="M8505" t="s">
        <v>32217</v>
      </c>
      <c r="N8505" t="s">
        <v>32524</v>
      </c>
      <c r="O8505" t="s">
        <v>32525</v>
      </c>
      <c r="P8505">
        <v>0</v>
      </c>
      <c r="Q8505">
        <v>3</v>
      </c>
      <c r="R8505" t="s">
        <v>32536</v>
      </c>
      <c r="S8505" t="s">
        <v>32785</v>
      </c>
      <c r="T8505" t="s">
        <v>33180</v>
      </c>
      <c r="U8505" t="s">
        <v>37299</v>
      </c>
      <c r="W8505" t="s">
        <v>32217</v>
      </c>
      <c r="X8505" t="s">
        <v>32537</v>
      </c>
    </row>
    <row r="8506" spans="1:24">
      <c r="A8506">
        <f>HYPERLINK("https://www.philgeps.gov.ph/GEPSNONPILOT/Tender/SplashBidNoticeAbstractUI.aspx?menuIndex=3&amp;refID=7031611&amp;Result=3","7031611")</f>
        <v>0</v>
      </c>
      <c r="B8506" t="s">
        <v>1410</v>
      </c>
      <c r="C8506" t="s">
        <v>10807</v>
      </c>
      <c r="D8506" t="s">
        <v>13014</v>
      </c>
      <c r="E8506" t="s">
        <v>20523</v>
      </c>
      <c r="F8506" t="s">
        <v>22436</v>
      </c>
      <c r="G8506" t="s">
        <v>22444</v>
      </c>
      <c r="H8506" t="s">
        <v>22454</v>
      </c>
      <c r="I8506" t="s">
        <v>7738</v>
      </c>
      <c r="J8506" t="s">
        <v>28019</v>
      </c>
      <c r="K8506" t="s">
        <v>29412</v>
      </c>
      <c r="M8506" t="s">
        <v>31070</v>
      </c>
      <c r="N8506" t="s">
        <v>32524</v>
      </c>
      <c r="O8506" t="s">
        <v>32525</v>
      </c>
      <c r="P8506">
        <v>0</v>
      </c>
      <c r="Q8506">
        <v>0</v>
      </c>
      <c r="R8506" t="s">
        <v>32536</v>
      </c>
      <c r="S8506" t="s">
        <v>32785</v>
      </c>
      <c r="T8506" t="s">
        <v>33524</v>
      </c>
      <c r="U8506" t="s">
        <v>40699</v>
      </c>
      <c r="W8506" t="s">
        <v>31070</v>
      </c>
      <c r="X8506" t="s">
        <v>32537</v>
      </c>
    </row>
    <row r="8507" spans="1:24">
      <c r="A8507">
        <f>HYPERLINK("https://www.philgeps.gov.ph/GEPSNONPILOT/Tender/SplashBidNoticeAbstractUI.aspx?menuIndex=3&amp;refID=7031649&amp;Result=3","7031649")</f>
        <v>0</v>
      </c>
      <c r="B8507" t="s">
        <v>2424</v>
      </c>
      <c r="C8507" t="s">
        <v>10808</v>
      </c>
      <c r="D8507" t="s">
        <v>13039</v>
      </c>
      <c r="E8507" t="s">
        <v>20524</v>
      </c>
      <c r="F8507" t="s">
        <v>22436</v>
      </c>
      <c r="G8507" t="s">
        <v>22444</v>
      </c>
      <c r="H8507" t="s">
        <v>22452</v>
      </c>
      <c r="I8507" t="s">
        <v>22456</v>
      </c>
      <c r="J8507" t="s">
        <v>28020</v>
      </c>
      <c r="K8507" t="s">
        <v>29335</v>
      </c>
      <c r="M8507" t="s">
        <v>32224</v>
      </c>
      <c r="N8507" t="s">
        <v>32524</v>
      </c>
      <c r="O8507" t="s">
        <v>32525</v>
      </c>
      <c r="P8507">
        <v>0</v>
      </c>
      <c r="Q8507">
        <v>5</v>
      </c>
      <c r="R8507" t="s">
        <v>32536</v>
      </c>
      <c r="S8507" t="s">
        <v>32785</v>
      </c>
      <c r="T8507" t="s">
        <v>33417</v>
      </c>
      <c r="U8507" t="s">
        <v>40700</v>
      </c>
      <c r="W8507" t="s">
        <v>32224</v>
      </c>
      <c r="X8507" t="s">
        <v>32537</v>
      </c>
    </row>
    <row r="8508" spans="1:24">
      <c r="A8508">
        <f>HYPERLINK("https://www.philgeps.gov.ph/GEPSNONPILOT/Tender/SplashBidNoticeAbstractUI.aspx?menuIndex=3&amp;refID=7031631&amp;Result=3","7031631")</f>
        <v>0</v>
      </c>
      <c r="B8508" t="s">
        <v>1702</v>
      </c>
      <c r="C8508" t="s">
        <v>10809</v>
      </c>
      <c r="D8508" t="s">
        <v>13065</v>
      </c>
      <c r="E8508" t="s">
        <v>17347</v>
      </c>
      <c r="F8508" t="s">
        <v>22436</v>
      </c>
      <c r="G8508" t="s">
        <v>22444</v>
      </c>
      <c r="H8508" t="s">
        <v>22454</v>
      </c>
      <c r="I8508" t="s">
        <v>22490</v>
      </c>
      <c r="J8508" t="s">
        <v>22605</v>
      </c>
      <c r="K8508" t="s">
        <v>29362</v>
      </c>
      <c r="M8508" t="s">
        <v>31404</v>
      </c>
      <c r="N8508" t="s">
        <v>32524</v>
      </c>
      <c r="O8508" t="s">
        <v>32525</v>
      </c>
      <c r="P8508">
        <v>0</v>
      </c>
      <c r="Q8508">
        <v>0</v>
      </c>
      <c r="R8508" t="s">
        <v>32536</v>
      </c>
      <c r="S8508" t="s">
        <v>32785</v>
      </c>
      <c r="T8508" t="s">
        <v>33323</v>
      </c>
      <c r="U8508" t="s">
        <v>37883</v>
      </c>
      <c r="W8508" t="s">
        <v>31404</v>
      </c>
      <c r="X8508" t="s">
        <v>32537</v>
      </c>
    </row>
    <row r="8509" spans="1:24">
      <c r="A8509">
        <f>HYPERLINK("https://www.philgeps.gov.ph/GEPSNONPILOT/Tender/SplashBidNoticeAbstractUI.aspx?menuIndex=3&amp;refID=7031609&amp;Result=3","7031609")</f>
        <v>0</v>
      </c>
      <c r="B8509" t="s">
        <v>1830</v>
      </c>
      <c r="C8509" t="s">
        <v>10810</v>
      </c>
      <c r="D8509" t="s">
        <v>12990</v>
      </c>
      <c r="E8509" t="s">
        <v>20525</v>
      </c>
      <c r="F8509" t="s">
        <v>22436</v>
      </c>
      <c r="G8509" t="s">
        <v>22444</v>
      </c>
      <c r="H8509" t="s">
        <v>22453</v>
      </c>
      <c r="I8509" t="s">
        <v>22457</v>
      </c>
      <c r="J8509" t="s">
        <v>28021</v>
      </c>
      <c r="K8509" t="s">
        <v>29426</v>
      </c>
      <c r="M8509" t="s">
        <v>31545</v>
      </c>
      <c r="N8509" t="s">
        <v>32524</v>
      </c>
      <c r="O8509" t="s">
        <v>32525</v>
      </c>
      <c r="P8509">
        <v>0</v>
      </c>
      <c r="Q8509">
        <v>1</v>
      </c>
      <c r="R8509" t="s">
        <v>32536</v>
      </c>
      <c r="S8509" t="s">
        <v>32785</v>
      </c>
      <c r="T8509" t="s">
        <v>33211</v>
      </c>
      <c r="U8509" t="s">
        <v>40701</v>
      </c>
      <c r="W8509" t="s">
        <v>31545</v>
      </c>
      <c r="X8509" t="s">
        <v>32537</v>
      </c>
    </row>
    <row r="8510" spans="1:24">
      <c r="A8510">
        <f>HYPERLINK("https://www.philgeps.gov.ph/GEPSNONPILOT/Tender/SplashBidNoticeAbstractUI.aspx?menuIndex=3&amp;refID=7031615&amp;Result=3","7031615")</f>
        <v>0</v>
      </c>
      <c r="B8510" t="s">
        <v>2393</v>
      </c>
      <c r="C8510" t="s">
        <v>10811</v>
      </c>
      <c r="D8510" t="s">
        <v>13039</v>
      </c>
      <c r="E8510" t="s">
        <v>13102</v>
      </c>
      <c r="F8510" t="s">
        <v>22436</v>
      </c>
      <c r="G8510" t="s">
        <v>22444</v>
      </c>
      <c r="H8510" t="s">
        <v>22452</v>
      </c>
      <c r="I8510" t="s">
        <v>3529</v>
      </c>
      <c r="J8510" t="s">
        <v>28022</v>
      </c>
      <c r="K8510" t="s">
        <v>29335</v>
      </c>
      <c r="M8510" t="s">
        <v>32186</v>
      </c>
      <c r="N8510" t="s">
        <v>32524</v>
      </c>
      <c r="O8510" t="s">
        <v>32525</v>
      </c>
      <c r="P8510">
        <v>0</v>
      </c>
      <c r="Q8510">
        <v>0</v>
      </c>
      <c r="R8510" t="s">
        <v>32536</v>
      </c>
      <c r="S8510" t="s">
        <v>32785</v>
      </c>
      <c r="T8510" t="s">
        <v>33278</v>
      </c>
      <c r="U8510" t="s">
        <v>40702</v>
      </c>
      <c r="W8510" t="s">
        <v>32186</v>
      </c>
      <c r="X8510" t="s">
        <v>32537</v>
      </c>
    </row>
    <row r="8511" spans="1:24">
      <c r="A8511">
        <f>HYPERLINK("https://www.philgeps.gov.ph/GEPSNONPILOT/Tender/SplashBidNoticeAbstractUI.aspx?menuIndex=3&amp;refID=7031595&amp;Result=3","7031595")</f>
        <v>0</v>
      </c>
      <c r="B8511" t="s">
        <v>1446</v>
      </c>
      <c r="C8511" t="s">
        <v>10812</v>
      </c>
      <c r="D8511" t="s">
        <v>13049</v>
      </c>
      <c r="E8511" t="s">
        <v>20526</v>
      </c>
      <c r="F8511" t="s">
        <v>22436</v>
      </c>
      <c r="G8511" t="s">
        <v>22444</v>
      </c>
      <c r="H8511" t="s">
        <v>22454</v>
      </c>
      <c r="I8511" t="s">
        <v>7738</v>
      </c>
      <c r="J8511" t="s">
        <v>28023</v>
      </c>
      <c r="K8511" t="s">
        <v>29543</v>
      </c>
      <c r="M8511" t="s">
        <v>31110</v>
      </c>
      <c r="N8511" t="s">
        <v>32524</v>
      </c>
      <c r="O8511" t="s">
        <v>32525</v>
      </c>
      <c r="P8511">
        <v>0</v>
      </c>
      <c r="Q8511">
        <v>0</v>
      </c>
      <c r="R8511" t="s">
        <v>32536</v>
      </c>
      <c r="S8511" t="s">
        <v>32785</v>
      </c>
      <c r="T8511" t="s">
        <v>33211</v>
      </c>
      <c r="U8511" t="s">
        <v>40703</v>
      </c>
      <c r="V8511" t="s">
        <v>43379</v>
      </c>
      <c r="W8511" t="s">
        <v>31110</v>
      </c>
      <c r="X8511" t="s">
        <v>32537</v>
      </c>
    </row>
    <row r="8512" spans="1:24">
      <c r="A8512">
        <f>HYPERLINK("https://www.philgeps.gov.ph/GEPSNONPILOT/Tender/SplashBidNoticeAbstractUI.aspx?menuIndex=3&amp;refID=7031638&amp;Result=3","7031638")</f>
        <v>0</v>
      </c>
      <c r="B8512" t="s">
        <v>1702</v>
      </c>
      <c r="C8512" t="s">
        <v>10813</v>
      </c>
      <c r="D8512" t="s">
        <v>13065</v>
      </c>
      <c r="E8512" t="s">
        <v>17391</v>
      </c>
      <c r="F8512" t="s">
        <v>22436</v>
      </c>
      <c r="G8512" t="s">
        <v>22444</v>
      </c>
      <c r="H8512" t="s">
        <v>22454</v>
      </c>
      <c r="I8512" t="s">
        <v>22490</v>
      </c>
      <c r="J8512" t="s">
        <v>22616</v>
      </c>
      <c r="K8512" t="s">
        <v>29433</v>
      </c>
      <c r="M8512" t="s">
        <v>31404</v>
      </c>
      <c r="N8512" t="s">
        <v>32524</v>
      </c>
      <c r="O8512" t="s">
        <v>32525</v>
      </c>
      <c r="P8512">
        <v>0</v>
      </c>
      <c r="Q8512">
        <v>0</v>
      </c>
      <c r="R8512" t="s">
        <v>32536</v>
      </c>
      <c r="S8512" t="s">
        <v>32785</v>
      </c>
      <c r="T8512" t="s">
        <v>33323</v>
      </c>
      <c r="U8512" t="s">
        <v>37883</v>
      </c>
      <c r="W8512" t="s">
        <v>31404</v>
      </c>
      <c r="X8512" t="s">
        <v>32537</v>
      </c>
    </row>
    <row r="8513" spans="1:24">
      <c r="A8513">
        <f>HYPERLINK("https://www.philgeps.gov.ph/GEPSNONPILOT/Tender/SplashBidNoticeAbstractUI.aspx?menuIndex=3&amp;refID=7031623&amp;Result=3","7031623")</f>
        <v>0</v>
      </c>
      <c r="B8513" t="s">
        <v>2425</v>
      </c>
      <c r="C8513" t="s">
        <v>10814</v>
      </c>
      <c r="E8513" t="s">
        <v>13137</v>
      </c>
      <c r="F8513" t="s">
        <v>22436</v>
      </c>
      <c r="G8513" t="s">
        <v>22444</v>
      </c>
      <c r="H8513" t="s">
        <v>22454</v>
      </c>
      <c r="I8513" t="s">
        <v>7738</v>
      </c>
      <c r="J8513" t="s">
        <v>28024</v>
      </c>
      <c r="K8513" t="s">
        <v>29338</v>
      </c>
      <c r="M8513" t="s">
        <v>32225</v>
      </c>
      <c r="N8513" t="s">
        <v>32524</v>
      </c>
      <c r="O8513" t="s">
        <v>32525</v>
      </c>
      <c r="P8513">
        <v>0</v>
      </c>
      <c r="Q8513">
        <v>2</v>
      </c>
      <c r="R8513" t="s">
        <v>32536</v>
      </c>
      <c r="S8513" t="s">
        <v>32785</v>
      </c>
      <c r="T8513" t="s">
        <v>33385</v>
      </c>
      <c r="U8513" t="s">
        <v>40704</v>
      </c>
      <c r="W8513" t="s">
        <v>32225</v>
      </c>
      <c r="X8513" t="s">
        <v>32537</v>
      </c>
    </row>
    <row r="8514" spans="1:24">
      <c r="A8514">
        <f>HYPERLINK("https://www.philgeps.gov.ph/GEPSNONPILOT/Tender/SplashBidNoticeAbstractUI.aspx?menuIndex=3&amp;refID=7031566&amp;Result=3","7031566")</f>
        <v>0</v>
      </c>
      <c r="B8514" t="s">
        <v>2418</v>
      </c>
      <c r="C8514" t="s">
        <v>10815</v>
      </c>
      <c r="D8514" t="s">
        <v>12988</v>
      </c>
      <c r="E8514" t="s">
        <v>10815</v>
      </c>
      <c r="F8514" t="s">
        <v>22436</v>
      </c>
      <c r="G8514" t="s">
        <v>22444</v>
      </c>
      <c r="H8514" t="s">
        <v>22452</v>
      </c>
      <c r="I8514" t="s">
        <v>22502</v>
      </c>
      <c r="J8514" t="s">
        <v>23350</v>
      </c>
      <c r="K8514" t="s">
        <v>29335</v>
      </c>
      <c r="M8514" t="s">
        <v>32217</v>
      </c>
      <c r="N8514" t="s">
        <v>32524</v>
      </c>
      <c r="O8514" t="s">
        <v>32525</v>
      </c>
      <c r="P8514">
        <v>0</v>
      </c>
      <c r="Q8514">
        <v>6</v>
      </c>
      <c r="R8514" t="s">
        <v>32536</v>
      </c>
      <c r="S8514" t="s">
        <v>32785</v>
      </c>
      <c r="T8514" t="s">
        <v>33180</v>
      </c>
      <c r="U8514" t="s">
        <v>37299</v>
      </c>
      <c r="W8514" t="s">
        <v>32217</v>
      </c>
      <c r="X8514" t="s">
        <v>32537</v>
      </c>
    </row>
    <row r="8515" spans="1:24">
      <c r="A8515">
        <f>HYPERLINK("https://www.philgeps.gov.ph/GEPSNONPILOT/Tender/SplashBidNoticeAbstractUI.aspx?menuIndex=3&amp;refID=7031608&amp;Result=3","7031608")</f>
        <v>0</v>
      </c>
      <c r="B8515" t="s">
        <v>1702</v>
      </c>
      <c r="C8515" t="s">
        <v>10816</v>
      </c>
      <c r="D8515" t="s">
        <v>13065</v>
      </c>
      <c r="E8515" t="s">
        <v>14890</v>
      </c>
      <c r="F8515" t="s">
        <v>22436</v>
      </c>
      <c r="G8515" t="s">
        <v>22444</v>
      </c>
      <c r="H8515" t="s">
        <v>22454</v>
      </c>
      <c r="I8515" t="s">
        <v>7738</v>
      </c>
      <c r="J8515" t="s">
        <v>22616</v>
      </c>
      <c r="K8515" t="s">
        <v>29329</v>
      </c>
      <c r="M8515" t="s">
        <v>31404</v>
      </c>
      <c r="N8515" t="s">
        <v>32524</v>
      </c>
      <c r="O8515" t="s">
        <v>32525</v>
      </c>
      <c r="P8515">
        <v>0</v>
      </c>
      <c r="Q8515">
        <v>0</v>
      </c>
      <c r="R8515" t="s">
        <v>32536</v>
      </c>
      <c r="S8515" t="s">
        <v>32785</v>
      </c>
      <c r="T8515" t="s">
        <v>33323</v>
      </c>
      <c r="U8515" t="s">
        <v>37883</v>
      </c>
      <c r="W8515" t="s">
        <v>31404</v>
      </c>
      <c r="X8515" t="s">
        <v>32537</v>
      </c>
    </row>
    <row r="8516" spans="1:24">
      <c r="A8516">
        <f>HYPERLINK("https://www.philgeps.gov.ph/GEPSNONPILOT/Tender/SplashBidNoticeAbstractUI.aspx?menuIndex=3&amp;refID=7031710&amp;Result=3","7031710")</f>
        <v>0</v>
      </c>
      <c r="B8516" t="s">
        <v>1702</v>
      </c>
      <c r="C8516" t="s">
        <v>10817</v>
      </c>
      <c r="D8516" t="s">
        <v>13065</v>
      </c>
      <c r="E8516" t="s">
        <v>20527</v>
      </c>
      <c r="F8516" t="s">
        <v>22436</v>
      </c>
      <c r="G8516" t="s">
        <v>22444</v>
      </c>
      <c r="H8516" t="s">
        <v>22454</v>
      </c>
      <c r="I8516" t="s">
        <v>22490</v>
      </c>
      <c r="J8516" t="s">
        <v>22605</v>
      </c>
      <c r="K8516" t="s">
        <v>29362</v>
      </c>
      <c r="M8516" t="s">
        <v>31404</v>
      </c>
      <c r="N8516" t="s">
        <v>32524</v>
      </c>
      <c r="O8516" t="s">
        <v>32525</v>
      </c>
      <c r="P8516">
        <v>0</v>
      </c>
      <c r="Q8516">
        <v>0</v>
      </c>
      <c r="R8516" t="s">
        <v>32536</v>
      </c>
      <c r="S8516" t="s">
        <v>32785</v>
      </c>
      <c r="T8516" t="s">
        <v>33323</v>
      </c>
      <c r="U8516" t="s">
        <v>37883</v>
      </c>
      <c r="W8516" t="s">
        <v>31404</v>
      </c>
      <c r="X8516" t="s">
        <v>32537</v>
      </c>
    </row>
    <row r="8517" spans="1:24">
      <c r="A8517">
        <f>HYPERLINK("https://www.philgeps.gov.ph/GEPSNONPILOT/Tender/SplashBidNoticeAbstractUI.aspx?menuIndex=3&amp;refID=7031657&amp;Result=3","7031657")</f>
        <v>0</v>
      </c>
      <c r="B8517" t="s">
        <v>1208</v>
      </c>
      <c r="C8517" t="s">
        <v>10818</v>
      </c>
      <c r="D8517" t="s">
        <v>13044</v>
      </c>
      <c r="E8517" t="s">
        <v>20528</v>
      </c>
      <c r="F8517" t="s">
        <v>22436</v>
      </c>
      <c r="G8517" t="s">
        <v>22444</v>
      </c>
      <c r="H8517" t="s">
        <v>22452</v>
      </c>
      <c r="I8517" t="s">
        <v>3122</v>
      </c>
      <c r="J8517" t="s">
        <v>22640</v>
      </c>
      <c r="K8517" t="s">
        <v>29329</v>
      </c>
      <c r="M8517" t="s">
        <v>30857</v>
      </c>
      <c r="N8517" t="s">
        <v>32524</v>
      </c>
      <c r="O8517" t="s">
        <v>32525</v>
      </c>
      <c r="P8517">
        <v>0</v>
      </c>
      <c r="Q8517">
        <v>1</v>
      </c>
      <c r="R8517" t="s">
        <v>32536</v>
      </c>
      <c r="S8517" t="s">
        <v>32785</v>
      </c>
      <c r="T8517" t="s">
        <v>33184</v>
      </c>
      <c r="U8517" t="s">
        <v>40705</v>
      </c>
      <c r="W8517" t="s">
        <v>30857</v>
      </c>
      <c r="X8517" t="s">
        <v>32537</v>
      </c>
    </row>
    <row r="8518" spans="1:24">
      <c r="A8518">
        <f>HYPERLINK("https://www.philgeps.gov.ph/GEPSNONPILOT/Tender/SplashBidNoticeAbstractUI.aspx?menuIndex=3&amp;refID=7031702&amp;Result=3","7031702")</f>
        <v>0</v>
      </c>
      <c r="B8518" t="s">
        <v>1702</v>
      </c>
      <c r="C8518" t="s">
        <v>10819</v>
      </c>
      <c r="D8518" t="s">
        <v>13065</v>
      </c>
      <c r="E8518" t="s">
        <v>20529</v>
      </c>
      <c r="F8518" t="s">
        <v>22436</v>
      </c>
      <c r="G8518" t="s">
        <v>22444</v>
      </c>
      <c r="H8518" t="s">
        <v>22454</v>
      </c>
      <c r="I8518" t="s">
        <v>22490</v>
      </c>
      <c r="J8518" t="s">
        <v>22605</v>
      </c>
      <c r="K8518" t="s">
        <v>29362</v>
      </c>
      <c r="M8518" t="s">
        <v>31404</v>
      </c>
      <c r="N8518" t="s">
        <v>32524</v>
      </c>
      <c r="O8518" t="s">
        <v>32525</v>
      </c>
      <c r="P8518">
        <v>0</v>
      </c>
      <c r="Q8518">
        <v>0</v>
      </c>
      <c r="R8518" t="s">
        <v>32536</v>
      </c>
      <c r="S8518" t="s">
        <v>32785</v>
      </c>
      <c r="T8518" t="s">
        <v>33323</v>
      </c>
      <c r="U8518" t="s">
        <v>37883</v>
      </c>
      <c r="W8518" t="s">
        <v>31404</v>
      </c>
      <c r="X8518" t="s">
        <v>32537</v>
      </c>
    </row>
    <row r="8519" spans="1:24">
      <c r="A8519">
        <f>HYPERLINK("https://www.philgeps.gov.ph/GEPSNONPILOT/Tender/SplashBidNoticeAbstractUI.aspx?menuIndex=3&amp;refID=7031597&amp;Result=3","7031597")</f>
        <v>0</v>
      </c>
      <c r="B8519" t="s">
        <v>1345</v>
      </c>
      <c r="C8519" t="s">
        <v>10820</v>
      </c>
      <c r="D8519" t="s">
        <v>13004</v>
      </c>
      <c r="E8519" t="s">
        <v>20521</v>
      </c>
      <c r="F8519" t="s">
        <v>22436</v>
      </c>
      <c r="G8519" t="s">
        <v>22444</v>
      </c>
      <c r="H8519" t="s">
        <v>22452</v>
      </c>
      <c r="I8519" t="s">
        <v>22469</v>
      </c>
      <c r="J8519" t="s">
        <v>28025</v>
      </c>
      <c r="K8519" t="s">
        <v>29334</v>
      </c>
      <c r="M8519" t="s">
        <v>31000</v>
      </c>
      <c r="N8519" t="s">
        <v>32524</v>
      </c>
      <c r="O8519" t="s">
        <v>32525</v>
      </c>
      <c r="P8519">
        <v>0</v>
      </c>
      <c r="Q8519">
        <v>7</v>
      </c>
      <c r="R8519" t="s">
        <v>32536</v>
      </c>
      <c r="S8519" t="s">
        <v>32785</v>
      </c>
      <c r="T8519" t="s">
        <v>33234</v>
      </c>
      <c r="U8519" t="s">
        <v>36985</v>
      </c>
      <c r="W8519" t="s">
        <v>31000</v>
      </c>
      <c r="X8519" t="s">
        <v>32537</v>
      </c>
    </row>
    <row r="8520" spans="1:24">
      <c r="A8520">
        <f>HYPERLINK("https://www.philgeps.gov.ph/GEPSNONPILOT/Tender/SplashBidNoticeAbstractUI.aspx?menuIndex=3&amp;refID=7031720&amp;Result=3","7031720")</f>
        <v>0</v>
      </c>
      <c r="B8520" t="s">
        <v>290</v>
      </c>
      <c r="C8520" t="s">
        <v>10821</v>
      </c>
      <c r="D8520" t="s">
        <v>13011</v>
      </c>
      <c r="E8520" t="s">
        <v>20530</v>
      </c>
      <c r="F8520" t="s">
        <v>22436</v>
      </c>
      <c r="G8520" t="s">
        <v>22444</v>
      </c>
      <c r="H8520" t="s">
        <v>22453</v>
      </c>
      <c r="I8520" t="s">
        <v>4170</v>
      </c>
      <c r="J8520" t="s">
        <v>28026</v>
      </c>
      <c r="K8520" t="s">
        <v>29376</v>
      </c>
      <c r="M8520" t="s">
        <v>29864</v>
      </c>
      <c r="N8520" t="s">
        <v>32524</v>
      </c>
      <c r="O8520" t="s">
        <v>32525</v>
      </c>
      <c r="P8520">
        <v>0</v>
      </c>
      <c r="Q8520">
        <v>3</v>
      </c>
      <c r="R8520" t="s">
        <v>32536</v>
      </c>
      <c r="S8520" t="s">
        <v>32785</v>
      </c>
      <c r="T8520" t="s">
        <v>33190</v>
      </c>
      <c r="U8520" t="s">
        <v>40706</v>
      </c>
      <c r="W8520" t="s">
        <v>43676</v>
      </c>
      <c r="X8520" t="s">
        <v>32537</v>
      </c>
    </row>
    <row r="8521" spans="1:24">
      <c r="A8521">
        <f>HYPERLINK("https://www.philgeps.gov.ph/GEPSNONPILOT/Tender/SplashBidNoticeAbstractUI.aspx?menuIndex=3&amp;refID=7031679&amp;Result=3","7031679")</f>
        <v>0</v>
      </c>
      <c r="B8521" t="s">
        <v>1702</v>
      </c>
      <c r="C8521" t="s">
        <v>10822</v>
      </c>
      <c r="D8521" t="s">
        <v>13065</v>
      </c>
      <c r="E8521" t="s">
        <v>14644</v>
      </c>
      <c r="F8521" t="s">
        <v>22436</v>
      </c>
      <c r="G8521" t="s">
        <v>22444</v>
      </c>
      <c r="H8521" t="s">
        <v>22452</v>
      </c>
      <c r="I8521" t="s">
        <v>22490</v>
      </c>
      <c r="J8521" t="s">
        <v>22616</v>
      </c>
      <c r="K8521" t="s">
        <v>29333</v>
      </c>
      <c r="M8521" t="s">
        <v>31404</v>
      </c>
      <c r="N8521" t="s">
        <v>32524</v>
      </c>
      <c r="O8521" t="s">
        <v>32525</v>
      </c>
      <c r="P8521">
        <v>0</v>
      </c>
      <c r="Q8521">
        <v>0</v>
      </c>
      <c r="R8521" t="s">
        <v>32536</v>
      </c>
      <c r="S8521" t="s">
        <v>32785</v>
      </c>
      <c r="T8521" t="s">
        <v>33323</v>
      </c>
      <c r="U8521" t="s">
        <v>37883</v>
      </c>
      <c r="W8521" t="s">
        <v>31404</v>
      </c>
      <c r="X8521" t="s">
        <v>32537</v>
      </c>
    </row>
    <row r="8522" spans="1:24">
      <c r="A8522">
        <f>HYPERLINK("https://www.philgeps.gov.ph/GEPSNONPILOT/Tender/SplashBidNoticeAbstractUI.aspx?menuIndex=3&amp;refID=7031570&amp;Result=3","7031570")</f>
        <v>0</v>
      </c>
      <c r="B8522" t="s">
        <v>2399</v>
      </c>
      <c r="C8522" t="s">
        <v>10823</v>
      </c>
      <c r="D8522" t="s">
        <v>13004</v>
      </c>
      <c r="E8522" t="s">
        <v>20531</v>
      </c>
      <c r="F8522" t="s">
        <v>22436</v>
      </c>
      <c r="G8522" t="s">
        <v>22444</v>
      </c>
      <c r="H8522" t="s">
        <v>22454</v>
      </c>
      <c r="I8522" t="s">
        <v>7738</v>
      </c>
      <c r="J8522" t="s">
        <v>28027</v>
      </c>
      <c r="K8522" t="s">
        <v>29362</v>
      </c>
      <c r="M8522" t="s">
        <v>32193</v>
      </c>
      <c r="N8522" t="s">
        <v>32524</v>
      </c>
      <c r="O8522" t="s">
        <v>32525</v>
      </c>
      <c r="P8522">
        <v>0</v>
      </c>
      <c r="Q8522">
        <v>0</v>
      </c>
      <c r="R8522" t="s">
        <v>32536</v>
      </c>
      <c r="S8522" t="s">
        <v>32785</v>
      </c>
      <c r="T8522" t="s">
        <v>33574</v>
      </c>
      <c r="U8522" t="s">
        <v>40580</v>
      </c>
      <c r="W8522" t="s">
        <v>32193</v>
      </c>
      <c r="X8522" t="s">
        <v>32537</v>
      </c>
    </row>
    <row r="8523" spans="1:24">
      <c r="A8523">
        <f>HYPERLINK("https://www.philgeps.gov.ph/GEPSNONPILOT/Tender/SplashBidNoticeAbstractUI.aspx?menuIndex=3&amp;refID=7031718&amp;Result=3","7031718")</f>
        <v>0</v>
      </c>
      <c r="B8523" t="s">
        <v>1702</v>
      </c>
      <c r="C8523" t="s">
        <v>10824</v>
      </c>
      <c r="D8523" t="s">
        <v>13065</v>
      </c>
      <c r="E8523" t="s">
        <v>20532</v>
      </c>
      <c r="F8523" t="s">
        <v>22436</v>
      </c>
      <c r="G8523" t="s">
        <v>22444</v>
      </c>
      <c r="H8523" t="s">
        <v>22454</v>
      </c>
      <c r="I8523" t="s">
        <v>22490</v>
      </c>
      <c r="J8523" t="s">
        <v>22788</v>
      </c>
      <c r="K8523" t="s">
        <v>29329</v>
      </c>
      <c r="M8523" t="s">
        <v>31404</v>
      </c>
      <c r="N8523" t="s">
        <v>32524</v>
      </c>
      <c r="O8523" t="s">
        <v>32525</v>
      </c>
      <c r="P8523">
        <v>0</v>
      </c>
      <c r="Q8523">
        <v>0</v>
      </c>
      <c r="R8523" t="s">
        <v>32536</v>
      </c>
      <c r="S8523" t="s">
        <v>32785</v>
      </c>
      <c r="T8523" t="s">
        <v>33323</v>
      </c>
      <c r="U8523" t="s">
        <v>37883</v>
      </c>
      <c r="W8523" t="s">
        <v>31404</v>
      </c>
      <c r="X8523" t="s">
        <v>32537</v>
      </c>
    </row>
    <row r="8524" spans="1:24">
      <c r="A8524">
        <f>HYPERLINK("https://www.philgeps.gov.ph/GEPSNONPILOT/Tender/SplashBidNoticeAbstractUI.aspx?menuIndex=3&amp;refID=7031686&amp;Result=3","7031686")</f>
        <v>0</v>
      </c>
      <c r="B8524" t="s">
        <v>1702</v>
      </c>
      <c r="C8524" t="s">
        <v>10825</v>
      </c>
      <c r="D8524" t="s">
        <v>13065</v>
      </c>
      <c r="E8524" t="s">
        <v>20533</v>
      </c>
      <c r="F8524" t="s">
        <v>22436</v>
      </c>
      <c r="G8524" t="s">
        <v>22444</v>
      </c>
      <c r="H8524" t="s">
        <v>22454</v>
      </c>
      <c r="I8524" t="s">
        <v>22490</v>
      </c>
      <c r="J8524" t="s">
        <v>22893</v>
      </c>
      <c r="K8524" t="s">
        <v>29419</v>
      </c>
      <c r="M8524" t="s">
        <v>31404</v>
      </c>
      <c r="N8524" t="s">
        <v>32524</v>
      </c>
      <c r="O8524" t="s">
        <v>32525</v>
      </c>
      <c r="P8524">
        <v>0</v>
      </c>
      <c r="Q8524">
        <v>0</v>
      </c>
      <c r="R8524" t="s">
        <v>32536</v>
      </c>
      <c r="S8524" t="s">
        <v>32785</v>
      </c>
      <c r="T8524" t="s">
        <v>33323</v>
      </c>
      <c r="U8524" t="s">
        <v>37883</v>
      </c>
      <c r="W8524" t="s">
        <v>31404</v>
      </c>
      <c r="X8524" t="s">
        <v>32537</v>
      </c>
    </row>
    <row r="8525" spans="1:24">
      <c r="A8525">
        <f>HYPERLINK("https://www.philgeps.gov.ph/GEPSNONPILOT/Tender/SplashBidNoticeAbstractUI.aspx?menuIndex=3&amp;refID=7031676&amp;Result=3","7031676")</f>
        <v>0</v>
      </c>
      <c r="B8525" t="s">
        <v>1982</v>
      </c>
      <c r="C8525" t="s">
        <v>10826</v>
      </c>
      <c r="D8525" t="s">
        <v>13003</v>
      </c>
      <c r="E8525" t="s">
        <v>20534</v>
      </c>
      <c r="F8525" t="s">
        <v>22436</v>
      </c>
      <c r="G8525" t="s">
        <v>22444</v>
      </c>
      <c r="H8525" t="s">
        <v>22454</v>
      </c>
      <c r="I8525" t="s">
        <v>7738</v>
      </c>
      <c r="J8525" t="s">
        <v>23384</v>
      </c>
      <c r="K8525" t="s">
        <v>29333</v>
      </c>
      <c r="M8525" t="s">
        <v>31714</v>
      </c>
      <c r="N8525" t="s">
        <v>32524</v>
      </c>
      <c r="O8525" t="s">
        <v>32525</v>
      </c>
      <c r="Q8525">
        <v>0</v>
      </c>
      <c r="R8525" t="s">
        <v>32536</v>
      </c>
      <c r="S8525" t="s">
        <v>32804</v>
      </c>
      <c r="T8525" t="s">
        <v>33241</v>
      </c>
      <c r="U8525" t="s">
        <v>40707</v>
      </c>
      <c r="V8525" t="s">
        <v>43121</v>
      </c>
      <c r="W8525" t="s">
        <v>31714</v>
      </c>
      <c r="X8525" t="s">
        <v>32537</v>
      </c>
    </row>
    <row r="8526" spans="1:24">
      <c r="A8526">
        <f>HYPERLINK("https://www.philgeps.gov.ph/GEPSNONPILOT/Tender/SplashBidNoticeAbstractUI.aspx?menuIndex=3&amp;refID=7031667&amp;Result=3","7031667")</f>
        <v>0</v>
      </c>
      <c r="B8526" t="s">
        <v>1702</v>
      </c>
      <c r="C8526" t="s">
        <v>10827</v>
      </c>
      <c r="D8526" t="s">
        <v>13065</v>
      </c>
      <c r="E8526" t="s">
        <v>20535</v>
      </c>
      <c r="F8526" t="s">
        <v>22436</v>
      </c>
      <c r="G8526" t="s">
        <v>22444</v>
      </c>
      <c r="H8526" t="s">
        <v>22454</v>
      </c>
      <c r="I8526" t="s">
        <v>7738</v>
      </c>
      <c r="J8526" t="s">
        <v>22605</v>
      </c>
      <c r="K8526" t="s">
        <v>29433</v>
      </c>
      <c r="M8526" t="s">
        <v>31404</v>
      </c>
      <c r="N8526" t="s">
        <v>32524</v>
      </c>
      <c r="O8526" t="s">
        <v>32525</v>
      </c>
      <c r="P8526">
        <v>0</v>
      </c>
      <c r="Q8526">
        <v>0</v>
      </c>
      <c r="R8526" t="s">
        <v>32536</v>
      </c>
      <c r="S8526" t="s">
        <v>32785</v>
      </c>
      <c r="T8526" t="s">
        <v>33323</v>
      </c>
      <c r="U8526" t="s">
        <v>37883</v>
      </c>
      <c r="W8526" t="s">
        <v>31404</v>
      </c>
      <c r="X8526" t="s">
        <v>32537</v>
      </c>
    </row>
    <row r="8527" spans="1:24">
      <c r="A8527">
        <f>HYPERLINK("https://www.philgeps.gov.ph/GEPSNONPILOT/Tender/SplashBidNoticeAbstractUI.aspx?menuIndex=3&amp;refID=7031661&amp;Result=3","7031661")</f>
        <v>0</v>
      </c>
      <c r="B8527" t="s">
        <v>2426</v>
      </c>
      <c r="C8527" t="s">
        <v>10828</v>
      </c>
      <c r="D8527" t="s">
        <v>13022</v>
      </c>
      <c r="E8527" t="s">
        <v>20536</v>
      </c>
      <c r="F8527" t="s">
        <v>22436</v>
      </c>
      <c r="G8527" t="s">
        <v>22444</v>
      </c>
      <c r="H8527" t="s">
        <v>22452</v>
      </c>
      <c r="I8527" t="s">
        <v>22504</v>
      </c>
      <c r="J8527" t="s">
        <v>28028</v>
      </c>
      <c r="K8527" t="s">
        <v>29335</v>
      </c>
      <c r="M8527" t="s">
        <v>32226</v>
      </c>
      <c r="N8527" t="s">
        <v>32524</v>
      </c>
      <c r="O8527" t="s">
        <v>32525</v>
      </c>
      <c r="P8527">
        <v>0</v>
      </c>
      <c r="Q8527">
        <v>5</v>
      </c>
      <c r="R8527" t="s">
        <v>32536</v>
      </c>
      <c r="S8527" t="s">
        <v>32785</v>
      </c>
      <c r="T8527" t="s">
        <v>33180</v>
      </c>
      <c r="U8527" t="s">
        <v>40708</v>
      </c>
      <c r="W8527" t="s">
        <v>32226</v>
      </c>
      <c r="X8527" t="s">
        <v>32537</v>
      </c>
    </row>
    <row r="8528" spans="1:24">
      <c r="A8528">
        <f>HYPERLINK("https://www.philgeps.gov.ph/GEPSNONPILOT/Tender/SplashBidNoticeAbstractUI.aspx?menuIndex=3&amp;refID=7031673&amp;Result=3","7031673")</f>
        <v>0</v>
      </c>
      <c r="B8528" t="s">
        <v>1702</v>
      </c>
      <c r="C8528" t="s">
        <v>10829</v>
      </c>
      <c r="D8528" t="s">
        <v>13065</v>
      </c>
      <c r="E8528" t="s">
        <v>20537</v>
      </c>
      <c r="F8528" t="s">
        <v>22436</v>
      </c>
      <c r="G8528" t="s">
        <v>22444</v>
      </c>
      <c r="H8528" t="s">
        <v>22454</v>
      </c>
      <c r="I8528" t="s">
        <v>7738</v>
      </c>
      <c r="J8528" t="s">
        <v>22788</v>
      </c>
      <c r="K8528" t="s">
        <v>29333</v>
      </c>
      <c r="M8528" t="s">
        <v>31404</v>
      </c>
      <c r="N8528" t="s">
        <v>32524</v>
      </c>
      <c r="O8528" t="s">
        <v>32525</v>
      </c>
      <c r="P8528">
        <v>0</v>
      </c>
      <c r="Q8528">
        <v>0</v>
      </c>
      <c r="R8528" t="s">
        <v>32536</v>
      </c>
      <c r="S8528" t="s">
        <v>32785</v>
      </c>
      <c r="T8528" t="s">
        <v>33323</v>
      </c>
      <c r="U8528" t="s">
        <v>37883</v>
      </c>
      <c r="W8528" t="s">
        <v>31404</v>
      </c>
      <c r="X8528" t="s">
        <v>32537</v>
      </c>
    </row>
    <row r="8529" spans="1:24">
      <c r="A8529">
        <f>HYPERLINK("https://www.philgeps.gov.ph/GEPSNONPILOT/Tender/SplashBidNoticeAbstractUI.aspx?menuIndex=3&amp;refID=7031680&amp;Result=3","7031680")</f>
        <v>0</v>
      </c>
      <c r="B8529" t="s">
        <v>455</v>
      </c>
      <c r="C8529" t="s">
        <v>10830</v>
      </c>
      <c r="D8529" t="s">
        <v>13006</v>
      </c>
      <c r="E8529" t="s">
        <v>20538</v>
      </c>
      <c r="F8529" t="s">
        <v>22436</v>
      </c>
      <c r="G8529" t="s">
        <v>22444</v>
      </c>
      <c r="H8529" t="s">
        <v>22454</v>
      </c>
      <c r="I8529" t="s">
        <v>7738</v>
      </c>
      <c r="J8529" t="s">
        <v>28029</v>
      </c>
      <c r="K8529" t="s">
        <v>29333</v>
      </c>
      <c r="M8529" t="s">
        <v>30037</v>
      </c>
      <c r="N8529" t="s">
        <v>32524</v>
      </c>
      <c r="O8529" t="s">
        <v>32525</v>
      </c>
      <c r="P8529">
        <v>0</v>
      </c>
      <c r="Q8529">
        <v>0</v>
      </c>
      <c r="R8529" t="s">
        <v>32536</v>
      </c>
      <c r="S8529" t="s">
        <v>32785</v>
      </c>
      <c r="T8529" t="s">
        <v>33211</v>
      </c>
      <c r="U8529" t="s">
        <v>40709</v>
      </c>
      <c r="V8529" t="s">
        <v>43380</v>
      </c>
      <c r="W8529" t="s">
        <v>30037</v>
      </c>
      <c r="X8529" t="s">
        <v>32537</v>
      </c>
    </row>
    <row r="8530" spans="1:24">
      <c r="A8530">
        <f>HYPERLINK("https://www.philgeps.gov.ph/GEPSNONPILOT/Tender/SplashBidNoticeAbstractUI.aspx?menuIndex=3&amp;refID=7031742&amp;Result=3","7031742")</f>
        <v>0</v>
      </c>
      <c r="B8530" t="s">
        <v>1807</v>
      </c>
      <c r="C8530" t="s">
        <v>10831</v>
      </c>
      <c r="D8530" t="s">
        <v>13018</v>
      </c>
      <c r="E8530" t="s">
        <v>20539</v>
      </c>
      <c r="F8530" t="s">
        <v>22436</v>
      </c>
      <c r="G8530" t="s">
        <v>22444</v>
      </c>
      <c r="H8530" t="s">
        <v>22454</v>
      </c>
      <c r="I8530" t="s">
        <v>7738</v>
      </c>
      <c r="J8530" t="s">
        <v>23399</v>
      </c>
      <c r="K8530" t="s">
        <v>29546</v>
      </c>
      <c r="M8530" t="s">
        <v>31520</v>
      </c>
      <c r="N8530" t="s">
        <v>32524</v>
      </c>
      <c r="O8530" t="s">
        <v>32525</v>
      </c>
      <c r="Q8530">
        <v>2</v>
      </c>
      <c r="R8530" t="s">
        <v>32536</v>
      </c>
      <c r="S8530" t="s">
        <v>32805</v>
      </c>
      <c r="T8530" t="s">
        <v>33576</v>
      </c>
      <c r="U8530" t="s">
        <v>38299</v>
      </c>
      <c r="W8530" t="s">
        <v>31520</v>
      </c>
      <c r="X8530" t="s">
        <v>32537</v>
      </c>
    </row>
    <row r="8531" spans="1:24">
      <c r="A8531">
        <f>HYPERLINK("https://www.philgeps.gov.ph/GEPSNONPILOT/Tender/SplashBidNoticeAbstractUI.aspx?menuIndex=3&amp;refID=7031761&amp;Result=3","7031761")</f>
        <v>0</v>
      </c>
      <c r="B8531" t="s">
        <v>1510</v>
      </c>
      <c r="C8531" t="s">
        <v>10832</v>
      </c>
      <c r="D8531" t="s">
        <v>12988</v>
      </c>
      <c r="E8531" t="s">
        <v>20540</v>
      </c>
      <c r="F8531" t="s">
        <v>22436</v>
      </c>
      <c r="G8531" t="s">
        <v>22444</v>
      </c>
      <c r="H8531" t="s">
        <v>22454</v>
      </c>
      <c r="I8531" t="s">
        <v>7738</v>
      </c>
      <c r="J8531" t="s">
        <v>28030</v>
      </c>
      <c r="K8531" t="s">
        <v>29333</v>
      </c>
      <c r="M8531" t="s">
        <v>31185</v>
      </c>
      <c r="N8531" t="s">
        <v>32524</v>
      </c>
      <c r="O8531" t="s">
        <v>32525</v>
      </c>
      <c r="P8531">
        <v>0</v>
      </c>
      <c r="Q8531">
        <v>99</v>
      </c>
      <c r="R8531" t="s">
        <v>32536</v>
      </c>
      <c r="S8531" t="s">
        <v>32785</v>
      </c>
      <c r="T8531" t="s">
        <v>33173</v>
      </c>
      <c r="U8531" t="s">
        <v>37305</v>
      </c>
      <c r="V8531" t="s">
        <v>43381</v>
      </c>
      <c r="W8531" t="s">
        <v>31185</v>
      </c>
      <c r="X8531" t="s">
        <v>32537</v>
      </c>
    </row>
    <row r="8532" spans="1:24">
      <c r="A8532">
        <f>HYPERLINK("https://www.philgeps.gov.ph/GEPSNONPILOT/Tender/SplashBidNoticeAbstractUI.aspx?menuIndex=3&amp;refID=7031741&amp;Result=3","7031741")</f>
        <v>0</v>
      </c>
      <c r="B8532" t="s">
        <v>669</v>
      </c>
      <c r="C8532" t="s">
        <v>10833</v>
      </c>
      <c r="D8532" t="s">
        <v>12988</v>
      </c>
      <c r="E8532" t="s">
        <v>20541</v>
      </c>
      <c r="F8532" t="s">
        <v>22436</v>
      </c>
      <c r="G8532" t="s">
        <v>22444</v>
      </c>
      <c r="H8532" t="s">
        <v>22452</v>
      </c>
      <c r="I8532" t="s">
        <v>22547</v>
      </c>
      <c r="J8532" t="s">
        <v>28031</v>
      </c>
      <c r="K8532" t="s">
        <v>29344</v>
      </c>
      <c r="M8532" t="s">
        <v>32227</v>
      </c>
      <c r="N8532" t="s">
        <v>32524</v>
      </c>
      <c r="O8532" t="s">
        <v>32525</v>
      </c>
      <c r="P8532">
        <v>0</v>
      </c>
      <c r="Q8532">
        <v>2</v>
      </c>
      <c r="R8532" t="s">
        <v>32536</v>
      </c>
      <c r="S8532" t="s">
        <v>32785</v>
      </c>
      <c r="T8532" t="s">
        <v>33249</v>
      </c>
      <c r="U8532" t="s">
        <v>40710</v>
      </c>
      <c r="W8532" t="s">
        <v>32227</v>
      </c>
      <c r="X8532" t="s">
        <v>32537</v>
      </c>
    </row>
    <row r="8533" spans="1:24">
      <c r="A8533">
        <f>HYPERLINK("https://www.philgeps.gov.ph/GEPSNONPILOT/Tender/SplashBidNoticeAbstractUI.aspx?menuIndex=3&amp;refID=7031748&amp;Result=3","7031748")</f>
        <v>0</v>
      </c>
      <c r="B8533" t="s">
        <v>2296</v>
      </c>
      <c r="C8533" t="s">
        <v>10834</v>
      </c>
      <c r="D8533" t="s">
        <v>13022</v>
      </c>
      <c r="E8533" t="s">
        <v>20542</v>
      </c>
      <c r="F8533" t="s">
        <v>22436</v>
      </c>
      <c r="G8533" t="s">
        <v>22444</v>
      </c>
      <c r="H8533" t="s">
        <v>22453</v>
      </c>
      <c r="I8533" t="s">
        <v>2962</v>
      </c>
      <c r="J8533" t="s">
        <v>28032</v>
      </c>
      <c r="K8533" t="s">
        <v>29335</v>
      </c>
      <c r="M8533" t="s">
        <v>32068</v>
      </c>
      <c r="N8533" t="s">
        <v>32524</v>
      </c>
      <c r="O8533" t="s">
        <v>32525</v>
      </c>
      <c r="Q8533">
        <v>4</v>
      </c>
      <c r="R8533" t="s">
        <v>32536</v>
      </c>
      <c r="S8533" t="s">
        <v>32806</v>
      </c>
      <c r="T8533" t="s">
        <v>33345</v>
      </c>
      <c r="U8533" t="s">
        <v>40711</v>
      </c>
      <c r="W8533" t="s">
        <v>32068</v>
      </c>
      <c r="X8533" t="s">
        <v>32537</v>
      </c>
    </row>
    <row r="8534" spans="1:24">
      <c r="A8534">
        <f>HYPERLINK("https://www.philgeps.gov.ph/GEPSNONPILOT/Tender/SplashBidNoticeAbstractUI.aspx?menuIndex=3&amp;refID=7031755&amp;Result=3","7031755")</f>
        <v>0</v>
      </c>
      <c r="B8534" t="s">
        <v>1510</v>
      </c>
      <c r="C8534" t="s">
        <v>10835</v>
      </c>
      <c r="D8534" t="s">
        <v>12988</v>
      </c>
      <c r="E8534" t="s">
        <v>20543</v>
      </c>
      <c r="F8534" t="s">
        <v>22436</v>
      </c>
      <c r="G8534" t="s">
        <v>22444</v>
      </c>
      <c r="H8534" t="s">
        <v>22454</v>
      </c>
      <c r="I8534" t="s">
        <v>7738</v>
      </c>
      <c r="J8534" t="s">
        <v>28033</v>
      </c>
      <c r="K8534" t="s">
        <v>29388</v>
      </c>
      <c r="M8534" t="s">
        <v>31185</v>
      </c>
      <c r="N8534" t="s">
        <v>32524</v>
      </c>
      <c r="O8534" t="s">
        <v>32525</v>
      </c>
      <c r="P8534">
        <v>0</v>
      </c>
      <c r="Q8534">
        <v>127</v>
      </c>
      <c r="R8534" t="s">
        <v>32536</v>
      </c>
      <c r="S8534" t="s">
        <v>32785</v>
      </c>
      <c r="T8534" t="s">
        <v>33173</v>
      </c>
      <c r="U8534" t="s">
        <v>37305</v>
      </c>
      <c r="V8534" t="s">
        <v>43382</v>
      </c>
      <c r="W8534" t="s">
        <v>31185</v>
      </c>
      <c r="X8534" t="s">
        <v>32537</v>
      </c>
    </row>
    <row r="8535" spans="1:24">
      <c r="A8535">
        <f>HYPERLINK("https://www.philgeps.gov.ph/GEPSNONPILOT/Tender/SplashBidNoticeAbstractUI.aspx?menuIndex=3&amp;refID=7031835&amp;Result=3","7031835")</f>
        <v>0</v>
      </c>
      <c r="B8535" t="s">
        <v>1873</v>
      </c>
      <c r="C8535" t="s">
        <v>10836</v>
      </c>
      <c r="D8535" t="s">
        <v>12988</v>
      </c>
      <c r="E8535" t="s">
        <v>20544</v>
      </c>
      <c r="F8535" t="s">
        <v>22436</v>
      </c>
      <c r="G8535" t="s">
        <v>22444</v>
      </c>
      <c r="H8535" t="s">
        <v>22454</v>
      </c>
      <c r="I8535" t="s">
        <v>7738</v>
      </c>
      <c r="J8535" t="s">
        <v>28034</v>
      </c>
      <c r="K8535" t="s">
        <v>29388</v>
      </c>
      <c r="M8535" t="s">
        <v>31591</v>
      </c>
      <c r="N8535" t="s">
        <v>32524</v>
      </c>
      <c r="O8535" t="s">
        <v>32525</v>
      </c>
      <c r="Q8535">
        <v>37</v>
      </c>
      <c r="R8535" t="s">
        <v>32536</v>
      </c>
      <c r="S8535" t="s">
        <v>32807</v>
      </c>
      <c r="T8535" t="s">
        <v>33211</v>
      </c>
      <c r="U8535" t="s">
        <v>38523</v>
      </c>
      <c r="W8535" t="s">
        <v>31591</v>
      </c>
      <c r="X8535" t="s">
        <v>32537</v>
      </c>
    </row>
    <row r="8536" spans="1:24">
      <c r="A8536">
        <f>HYPERLINK("https://www.philgeps.gov.ph/GEPSNONPILOT/Tender/SplashBidNoticeAbstractUI.aspx?menuIndex=3&amp;refID=7031659&amp;Result=3","7031659")</f>
        <v>0</v>
      </c>
      <c r="B8536" t="s">
        <v>1702</v>
      </c>
      <c r="C8536" t="s">
        <v>10837</v>
      </c>
      <c r="D8536" t="s">
        <v>13065</v>
      </c>
      <c r="E8536" t="s">
        <v>20545</v>
      </c>
      <c r="F8536" t="s">
        <v>22436</v>
      </c>
      <c r="G8536" t="s">
        <v>22444</v>
      </c>
      <c r="H8536" t="s">
        <v>22454</v>
      </c>
      <c r="I8536" t="s">
        <v>7738</v>
      </c>
      <c r="J8536" t="s">
        <v>22640</v>
      </c>
      <c r="K8536" t="s">
        <v>29433</v>
      </c>
      <c r="M8536" t="s">
        <v>31404</v>
      </c>
      <c r="N8536" t="s">
        <v>32524</v>
      </c>
      <c r="O8536" t="s">
        <v>32525</v>
      </c>
      <c r="P8536">
        <v>0</v>
      </c>
      <c r="Q8536">
        <v>0</v>
      </c>
      <c r="R8536" t="s">
        <v>32536</v>
      </c>
      <c r="S8536" t="s">
        <v>32785</v>
      </c>
      <c r="T8536" t="s">
        <v>33323</v>
      </c>
      <c r="U8536" t="s">
        <v>37883</v>
      </c>
      <c r="W8536" t="s">
        <v>31404</v>
      </c>
      <c r="X8536" t="s">
        <v>32537</v>
      </c>
    </row>
    <row r="8537" spans="1:24">
      <c r="A8537">
        <f>HYPERLINK("https://www.philgeps.gov.ph/GEPSNONPILOT/Tender/SplashBidNoticeAbstractUI.aspx?menuIndex=3&amp;refID=7031764&amp;Result=3","7031764")</f>
        <v>0</v>
      </c>
      <c r="B8537" t="s">
        <v>1982</v>
      </c>
      <c r="C8537" t="s">
        <v>10838</v>
      </c>
      <c r="D8537" t="s">
        <v>13003</v>
      </c>
      <c r="E8537" t="s">
        <v>20546</v>
      </c>
      <c r="F8537" t="s">
        <v>22436</v>
      </c>
      <c r="G8537" t="s">
        <v>22444</v>
      </c>
      <c r="H8537" t="s">
        <v>22454</v>
      </c>
      <c r="I8537" t="s">
        <v>7738</v>
      </c>
      <c r="J8537" t="s">
        <v>28035</v>
      </c>
      <c r="K8537" t="s">
        <v>29335</v>
      </c>
      <c r="M8537" t="s">
        <v>31714</v>
      </c>
      <c r="N8537" t="s">
        <v>32524</v>
      </c>
      <c r="O8537" t="s">
        <v>32525</v>
      </c>
      <c r="Q8537">
        <v>0</v>
      </c>
      <c r="R8537" t="s">
        <v>32536</v>
      </c>
      <c r="S8537" t="s">
        <v>32808</v>
      </c>
      <c r="T8537" t="s">
        <v>33241</v>
      </c>
      <c r="U8537" t="s">
        <v>40712</v>
      </c>
      <c r="V8537" t="s">
        <v>43383</v>
      </c>
      <c r="W8537" t="s">
        <v>31714</v>
      </c>
      <c r="X8537" t="s">
        <v>32537</v>
      </c>
    </row>
    <row r="8538" spans="1:24">
      <c r="A8538">
        <f>HYPERLINK("https://www.philgeps.gov.ph/GEPSNONPILOT/Tender/SplashBidNoticeAbstractUI.aspx?menuIndex=3&amp;refID=7031724&amp;Result=3","7031724")</f>
        <v>0</v>
      </c>
      <c r="B8538" t="s">
        <v>2424</v>
      </c>
      <c r="C8538" t="s">
        <v>10839</v>
      </c>
      <c r="D8538" t="s">
        <v>13039</v>
      </c>
      <c r="E8538" t="s">
        <v>20547</v>
      </c>
      <c r="F8538" t="s">
        <v>22436</v>
      </c>
      <c r="G8538" t="s">
        <v>22444</v>
      </c>
      <c r="H8538" t="s">
        <v>22452</v>
      </c>
      <c r="I8538" t="s">
        <v>22456</v>
      </c>
      <c r="J8538" t="s">
        <v>28036</v>
      </c>
      <c r="K8538" t="s">
        <v>29335</v>
      </c>
      <c r="M8538" t="s">
        <v>32224</v>
      </c>
      <c r="N8538" t="s">
        <v>32524</v>
      </c>
      <c r="O8538" t="s">
        <v>32525</v>
      </c>
      <c r="P8538">
        <v>0</v>
      </c>
      <c r="Q8538">
        <v>6</v>
      </c>
      <c r="R8538" t="s">
        <v>32536</v>
      </c>
      <c r="S8538" t="s">
        <v>32785</v>
      </c>
      <c r="T8538" t="s">
        <v>33455</v>
      </c>
      <c r="U8538" t="s">
        <v>40713</v>
      </c>
      <c r="W8538" t="s">
        <v>32224</v>
      </c>
      <c r="X8538" t="s">
        <v>32537</v>
      </c>
    </row>
    <row r="8539" spans="1:24">
      <c r="A8539">
        <f>HYPERLINK("https://www.philgeps.gov.ph/GEPSNONPILOT/Tender/SplashBidNoticeAbstractUI.aspx?menuIndex=3&amp;refID=7031826&amp;Result=3","7031826")</f>
        <v>0</v>
      </c>
      <c r="B8539" t="s">
        <v>2427</v>
      </c>
      <c r="C8539" t="s">
        <v>8807</v>
      </c>
      <c r="D8539" t="s">
        <v>12999</v>
      </c>
      <c r="E8539" t="s">
        <v>13131</v>
      </c>
      <c r="F8539" t="s">
        <v>22436</v>
      </c>
      <c r="G8539" t="s">
        <v>22444</v>
      </c>
      <c r="H8539" t="s">
        <v>22454</v>
      </c>
      <c r="I8539" t="s">
        <v>7738</v>
      </c>
      <c r="J8539" t="s">
        <v>22624</v>
      </c>
      <c r="K8539" t="s">
        <v>29345</v>
      </c>
      <c r="M8539" t="s">
        <v>32228</v>
      </c>
      <c r="N8539" t="s">
        <v>32524</v>
      </c>
      <c r="O8539" t="s">
        <v>32525</v>
      </c>
      <c r="P8539">
        <v>0</v>
      </c>
      <c r="Q8539">
        <v>0</v>
      </c>
      <c r="R8539" t="s">
        <v>32536</v>
      </c>
      <c r="S8539" t="s">
        <v>32785</v>
      </c>
      <c r="T8539" t="s">
        <v>33259</v>
      </c>
      <c r="U8539" t="s">
        <v>40714</v>
      </c>
      <c r="W8539" t="s">
        <v>32228</v>
      </c>
      <c r="X8539" t="s">
        <v>32537</v>
      </c>
    </row>
    <row r="8540" spans="1:24">
      <c r="A8540">
        <f>HYPERLINK("https://www.philgeps.gov.ph/GEPSNONPILOT/Tender/SplashBidNoticeAbstractUI.aspx?menuIndex=3&amp;refID=7031833&amp;Result=3","7031833")</f>
        <v>0</v>
      </c>
      <c r="B8540" t="s">
        <v>1873</v>
      </c>
      <c r="C8540" t="s">
        <v>10840</v>
      </c>
      <c r="D8540" t="s">
        <v>12988</v>
      </c>
      <c r="E8540" t="s">
        <v>20548</v>
      </c>
      <c r="F8540" t="s">
        <v>22436</v>
      </c>
      <c r="G8540" t="s">
        <v>22444</v>
      </c>
      <c r="H8540" t="s">
        <v>22454</v>
      </c>
      <c r="I8540" t="s">
        <v>7738</v>
      </c>
      <c r="J8540" t="s">
        <v>28037</v>
      </c>
      <c r="K8540" t="s">
        <v>29344</v>
      </c>
      <c r="M8540" t="s">
        <v>31591</v>
      </c>
      <c r="N8540" t="s">
        <v>32524</v>
      </c>
      <c r="O8540" t="s">
        <v>32525</v>
      </c>
      <c r="Q8540">
        <v>36</v>
      </c>
      <c r="R8540" t="s">
        <v>32536</v>
      </c>
      <c r="S8540" t="s">
        <v>32809</v>
      </c>
      <c r="T8540" t="s">
        <v>33211</v>
      </c>
      <c r="U8540" t="s">
        <v>38523</v>
      </c>
      <c r="W8540" t="s">
        <v>31591</v>
      </c>
      <c r="X8540" t="s">
        <v>32537</v>
      </c>
    </row>
    <row r="8541" spans="1:24">
      <c r="A8541">
        <f>HYPERLINK("https://www.philgeps.gov.ph/GEPSNONPILOT/Tender/SplashBidNoticeAbstractUI.aspx?menuIndex=3&amp;refID=7031816&amp;Result=3","7031816")</f>
        <v>0</v>
      </c>
      <c r="B8541" t="s">
        <v>2427</v>
      </c>
      <c r="C8541" t="s">
        <v>10841</v>
      </c>
      <c r="D8541" t="s">
        <v>12999</v>
      </c>
      <c r="E8541" t="s">
        <v>15628</v>
      </c>
      <c r="F8541" t="s">
        <v>22436</v>
      </c>
      <c r="G8541" t="s">
        <v>22444</v>
      </c>
      <c r="H8541" t="s">
        <v>22452</v>
      </c>
      <c r="I8541" t="s">
        <v>22469</v>
      </c>
      <c r="J8541" t="s">
        <v>23149</v>
      </c>
      <c r="K8541" t="s">
        <v>29335</v>
      </c>
      <c r="M8541" t="s">
        <v>32228</v>
      </c>
      <c r="N8541" t="s">
        <v>32524</v>
      </c>
      <c r="O8541" t="s">
        <v>32525</v>
      </c>
      <c r="P8541">
        <v>0</v>
      </c>
      <c r="Q8541">
        <v>6</v>
      </c>
      <c r="R8541" t="s">
        <v>32536</v>
      </c>
      <c r="S8541" t="s">
        <v>32785</v>
      </c>
      <c r="T8541" t="s">
        <v>33259</v>
      </c>
      <c r="U8541" t="s">
        <v>40715</v>
      </c>
      <c r="W8541" t="s">
        <v>32228</v>
      </c>
      <c r="X8541" t="s">
        <v>32537</v>
      </c>
    </row>
    <row r="8542" spans="1:24">
      <c r="A8542">
        <f>HYPERLINK("https://www.philgeps.gov.ph/GEPSNONPILOT/Tender/SplashBidNoticeAbstractUI.aspx?menuIndex=3&amp;refID=7031831&amp;Result=3","7031831")</f>
        <v>0</v>
      </c>
      <c r="B8542" t="s">
        <v>1106</v>
      </c>
      <c r="C8542" t="s">
        <v>10842</v>
      </c>
      <c r="D8542" t="s">
        <v>12988</v>
      </c>
      <c r="E8542" t="s">
        <v>20549</v>
      </c>
      <c r="F8542" t="s">
        <v>22436</v>
      </c>
      <c r="G8542" t="s">
        <v>22443</v>
      </c>
      <c r="H8542" t="s">
        <v>22452</v>
      </c>
      <c r="I8542" t="s">
        <v>22463</v>
      </c>
      <c r="J8542" t="s">
        <v>23093</v>
      </c>
      <c r="K8542" t="s">
        <v>29336</v>
      </c>
      <c r="M8542" t="s">
        <v>30742</v>
      </c>
      <c r="N8542" t="s">
        <v>32524</v>
      </c>
      <c r="O8542" t="s">
        <v>32525</v>
      </c>
      <c r="Q8542">
        <v>2</v>
      </c>
      <c r="R8542" t="s">
        <v>32536</v>
      </c>
      <c r="S8542" t="s">
        <v>32810</v>
      </c>
      <c r="T8542" t="s">
        <v>33327</v>
      </c>
      <c r="U8542" t="s">
        <v>40716</v>
      </c>
      <c r="W8542" t="s">
        <v>30742</v>
      </c>
      <c r="X8542" t="s">
        <v>32537</v>
      </c>
    </row>
    <row r="8543" spans="1:24">
      <c r="A8543">
        <f>HYPERLINK("https://www.philgeps.gov.ph/GEPSNONPILOT/Tender/SplashBidNoticeAbstractUI.aspx?menuIndex=3&amp;refID=7031739&amp;Result=3","7031739")</f>
        <v>0</v>
      </c>
      <c r="B8543" t="s">
        <v>1982</v>
      </c>
      <c r="C8543" t="s">
        <v>10843</v>
      </c>
      <c r="D8543" t="s">
        <v>13003</v>
      </c>
      <c r="E8543" t="s">
        <v>20550</v>
      </c>
      <c r="F8543" t="s">
        <v>22436</v>
      </c>
      <c r="G8543" t="s">
        <v>22444</v>
      </c>
      <c r="H8543" t="s">
        <v>22454</v>
      </c>
      <c r="I8543" t="s">
        <v>7738</v>
      </c>
      <c r="J8543" t="s">
        <v>28038</v>
      </c>
      <c r="K8543" t="s">
        <v>29335</v>
      </c>
      <c r="M8543" t="s">
        <v>31714</v>
      </c>
      <c r="N8543" t="s">
        <v>32524</v>
      </c>
      <c r="O8543" t="s">
        <v>32525</v>
      </c>
      <c r="Q8543">
        <v>0</v>
      </c>
      <c r="R8543" t="s">
        <v>32536</v>
      </c>
      <c r="S8543" t="s">
        <v>32811</v>
      </c>
      <c r="T8543" t="s">
        <v>33241</v>
      </c>
      <c r="U8543" t="s">
        <v>40717</v>
      </c>
      <c r="V8543" t="s">
        <v>43121</v>
      </c>
      <c r="W8543" t="s">
        <v>31714</v>
      </c>
      <c r="X8543" t="s">
        <v>32537</v>
      </c>
    </row>
    <row r="8544" spans="1:24">
      <c r="A8544">
        <f>HYPERLINK("https://www.philgeps.gov.ph/GEPSNONPILOT/Tender/SplashBidNoticeAbstractUI.aspx?menuIndex=3&amp;refID=7031798&amp;Result=3","7031798")</f>
        <v>0</v>
      </c>
      <c r="B8544" t="s">
        <v>2422</v>
      </c>
      <c r="C8544" t="s">
        <v>10844</v>
      </c>
      <c r="D8544" t="s">
        <v>13018</v>
      </c>
      <c r="E8544" t="s">
        <v>20551</v>
      </c>
      <c r="F8544" t="s">
        <v>22436</v>
      </c>
      <c r="G8544" t="s">
        <v>22444</v>
      </c>
      <c r="H8544" t="s">
        <v>22454</v>
      </c>
      <c r="I8544" t="s">
        <v>7738</v>
      </c>
      <c r="J8544" t="s">
        <v>28039</v>
      </c>
      <c r="K8544" t="s">
        <v>29345</v>
      </c>
      <c r="M8544" t="s">
        <v>32222</v>
      </c>
      <c r="N8544" t="s">
        <v>32524</v>
      </c>
      <c r="O8544" t="s">
        <v>32525</v>
      </c>
      <c r="P8544">
        <v>0</v>
      </c>
      <c r="Q8544">
        <v>2</v>
      </c>
      <c r="R8544" t="s">
        <v>32536</v>
      </c>
      <c r="S8544" t="s">
        <v>32785</v>
      </c>
      <c r="T8544" t="s">
        <v>33227</v>
      </c>
      <c r="U8544" t="s">
        <v>40718</v>
      </c>
      <c r="V8544" t="s">
        <v>43375</v>
      </c>
      <c r="W8544" t="s">
        <v>32222</v>
      </c>
      <c r="X8544" t="s">
        <v>32537</v>
      </c>
    </row>
    <row r="8545" spans="1:24">
      <c r="A8545">
        <f>HYPERLINK("https://www.philgeps.gov.ph/GEPSNONPILOT/Tender/SplashBidNoticeAbstractUI.aspx?menuIndex=3&amp;refID=7031820&amp;Result=3","7031820")</f>
        <v>0</v>
      </c>
      <c r="B8545" t="s">
        <v>1832</v>
      </c>
      <c r="C8545" t="s">
        <v>10845</v>
      </c>
      <c r="D8545" t="s">
        <v>13027</v>
      </c>
      <c r="E8545" t="s">
        <v>20552</v>
      </c>
      <c r="F8545" t="s">
        <v>22436</v>
      </c>
      <c r="G8545" t="s">
        <v>22444</v>
      </c>
      <c r="H8545" t="s">
        <v>22453</v>
      </c>
      <c r="I8545" t="s">
        <v>22477</v>
      </c>
      <c r="J8545" t="s">
        <v>28040</v>
      </c>
      <c r="K8545" t="s">
        <v>29344</v>
      </c>
      <c r="M8545" t="s">
        <v>31547</v>
      </c>
      <c r="N8545" t="s">
        <v>32524</v>
      </c>
      <c r="O8545" t="s">
        <v>32525</v>
      </c>
      <c r="P8545">
        <v>0</v>
      </c>
      <c r="Q8545">
        <v>9</v>
      </c>
      <c r="R8545" t="s">
        <v>32536</v>
      </c>
      <c r="S8545" t="s">
        <v>32785</v>
      </c>
      <c r="T8545" t="s">
        <v>33577</v>
      </c>
      <c r="U8545" t="s">
        <v>40719</v>
      </c>
      <c r="W8545" t="s">
        <v>31547</v>
      </c>
      <c r="X8545" t="s">
        <v>32537</v>
      </c>
    </row>
    <row r="8546" spans="1:24">
      <c r="A8546">
        <f>HYPERLINK("https://www.philgeps.gov.ph/GEPSNONPILOT/Tender/SplashBidNoticeAbstractUI.aspx?menuIndex=3&amp;refID=7031830&amp;Result=3","7031830")</f>
        <v>0</v>
      </c>
      <c r="B8546" t="s">
        <v>1873</v>
      </c>
      <c r="C8546" t="s">
        <v>10846</v>
      </c>
      <c r="D8546" t="s">
        <v>12988</v>
      </c>
      <c r="E8546" t="s">
        <v>20553</v>
      </c>
      <c r="F8546" t="s">
        <v>22436</v>
      </c>
      <c r="G8546" t="s">
        <v>22444</v>
      </c>
      <c r="H8546" t="s">
        <v>22454</v>
      </c>
      <c r="I8546" t="s">
        <v>7738</v>
      </c>
      <c r="J8546" t="s">
        <v>28041</v>
      </c>
      <c r="K8546" t="s">
        <v>29344</v>
      </c>
      <c r="M8546" t="s">
        <v>31591</v>
      </c>
      <c r="N8546" t="s">
        <v>32524</v>
      </c>
      <c r="O8546" t="s">
        <v>32525</v>
      </c>
      <c r="Q8546">
        <v>35</v>
      </c>
      <c r="R8546" t="s">
        <v>32536</v>
      </c>
      <c r="S8546" t="s">
        <v>32812</v>
      </c>
      <c r="T8546" t="s">
        <v>33211</v>
      </c>
      <c r="U8546" t="s">
        <v>38523</v>
      </c>
      <c r="W8546" t="s">
        <v>31591</v>
      </c>
      <c r="X8546" t="s">
        <v>32537</v>
      </c>
    </row>
    <row r="8547" spans="1:24">
      <c r="A8547">
        <f>HYPERLINK("https://www.philgeps.gov.ph/GEPSNONPILOT/Tender/SplashBidNoticeAbstractUI.aspx?menuIndex=3&amp;refID=7031808&amp;Result=3","7031808")</f>
        <v>0</v>
      </c>
      <c r="B8547" t="s">
        <v>2427</v>
      </c>
      <c r="C8547" t="s">
        <v>10847</v>
      </c>
      <c r="D8547" t="s">
        <v>12999</v>
      </c>
      <c r="E8547" t="s">
        <v>14832</v>
      </c>
      <c r="F8547" t="s">
        <v>22436</v>
      </c>
      <c r="G8547" t="s">
        <v>22444</v>
      </c>
      <c r="H8547" t="s">
        <v>22452</v>
      </c>
      <c r="I8547" t="s">
        <v>22460</v>
      </c>
      <c r="J8547" t="s">
        <v>27915</v>
      </c>
      <c r="K8547" t="s">
        <v>29335</v>
      </c>
      <c r="M8547" t="s">
        <v>32228</v>
      </c>
      <c r="N8547" t="s">
        <v>32524</v>
      </c>
      <c r="O8547" t="s">
        <v>32525</v>
      </c>
      <c r="P8547">
        <v>0</v>
      </c>
      <c r="Q8547">
        <v>5</v>
      </c>
      <c r="R8547" t="s">
        <v>32536</v>
      </c>
      <c r="S8547" t="s">
        <v>32785</v>
      </c>
      <c r="T8547" t="s">
        <v>33259</v>
      </c>
      <c r="U8547" t="s">
        <v>40720</v>
      </c>
      <c r="W8547" t="s">
        <v>32228</v>
      </c>
      <c r="X8547" t="s">
        <v>32537</v>
      </c>
    </row>
    <row r="8548" spans="1:24">
      <c r="A8548">
        <f>HYPERLINK("https://www.philgeps.gov.ph/GEPSNONPILOT/Tender/SplashBidNoticeAbstractUI.aspx?menuIndex=3&amp;refID=7031844&amp;Result=3","7031844")</f>
        <v>0</v>
      </c>
      <c r="B8548" t="s">
        <v>1461</v>
      </c>
      <c r="C8548" t="s">
        <v>10848</v>
      </c>
      <c r="D8548" t="s">
        <v>12994</v>
      </c>
      <c r="E8548" t="s">
        <v>20554</v>
      </c>
      <c r="F8548" t="s">
        <v>22436</v>
      </c>
      <c r="G8548" t="s">
        <v>22444</v>
      </c>
      <c r="H8548" t="s">
        <v>22454</v>
      </c>
      <c r="I8548" t="s">
        <v>7738</v>
      </c>
      <c r="J8548" t="s">
        <v>24895</v>
      </c>
      <c r="K8548" t="s">
        <v>29547</v>
      </c>
      <c r="M8548" t="s">
        <v>31129</v>
      </c>
      <c r="N8548" t="s">
        <v>32524</v>
      </c>
      <c r="O8548" t="s">
        <v>32525</v>
      </c>
      <c r="P8548">
        <v>0</v>
      </c>
      <c r="Q8548">
        <v>33</v>
      </c>
      <c r="R8548" t="s">
        <v>32536</v>
      </c>
      <c r="S8548" t="s">
        <v>32785</v>
      </c>
      <c r="T8548" t="s">
        <v>33172</v>
      </c>
      <c r="U8548" t="s">
        <v>37152</v>
      </c>
      <c r="W8548" t="s">
        <v>31129</v>
      </c>
      <c r="X8548" t="s">
        <v>32537</v>
      </c>
    </row>
    <row r="8549" spans="1:24">
      <c r="A8549">
        <f>HYPERLINK("https://www.philgeps.gov.ph/GEPSNONPILOT/Tender/SplashBidNoticeAbstractUI.aspx?menuIndex=3&amp;refID=7031797&amp;Result=3","7031797")</f>
        <v>0</v>
      </c>
      <c r="B8549" t="s">
        <v>2427</v>
      </c>
      <c r="C8549" t="s">
        <v>10849</v>
      </c>
      <c r="D8549" t="s">
        <v>12999</v>
      </c>
      <c r="E8549" t="s">
        <v>14765</v>
      </c>
      <c r="F8549" t="s">
        <v>22436</v>
      </c>
      <c r="G8549" t="s">
        <v>22447</v>
      </c>
      <c r="H8549" t="s">
        <v>22452</v>
      </c>
      <c r="I8549" t="s">
        <v>22485</v>
      </c>
      <c r="J8549" t="s">
        <v>22936</v>
      </c>
      <c r="K8549" t="s">
        <v>29335</v>
      </c>
      <c r="M8549" t="s">
        <v>32228</v>
      </c>
      <c r="N8549" t="s">
        <v>32524</v>
      </c>
      <c r="O8549" t="s">
        <v>32525</v>
      </c>
      <c r="P8549">
        <v>0</v>
      </c>
      <c r="Q8549">
        <v>5</v>
      </c>
      <c r="R8549" t="s">
        <v>32536</v>
      </c>
      <c r="S8549" t="s">
        <v>32785</v>
      </c>
      <c r="T8549" t="s">
        <v>33259</v>
      </c>
      <c r="U8549" t="s">
        <v>40721</v>
      </c>
      <c r="W8549" t="s">
        <v>32228</v>
      </c>
      <c r="X8549" t="s">
        <v>32537</v>
      </c>
    </row>
    <row r="8550" spans="1:24">
      <c r="A8550">
        <f>HYPERLINK("https://www.philgeps.gov.ph/GEPSNONPILOT/Tender/SplashBidNoticeAbstractUI.aspx?menuIndex=3&amp;refID=7031841&amp;Result=3","7031841")</f>
        <v>0</v>
      </c>
      <c r="B8550" t="s">
        <v>1873</v>
      </c>
      <c r="C8550" t="s">
        <v>10850</v>
      </c>
      <c r="D8550" t="s">
        <v>12988</v>
      </c>
      <c r="E8550" t="s">
        <v>20555</v>
      </c>
      <c r="F8550" t="s">
        <v>22436</v>
      </c>
      <c r="G8550" t="s">
        <v>22444</v>
      </c>
      <c r="H8550" t="s">
        <v>22454</v>
      </c>
      <c r="I8550" t="s">
        <v>7738</v>
      </c>
      <c r="J8550" t="s">
        <v>28042</v>
      </c>
      <c r="K8550" t="s">
        <v>29333</v>
      </c>
      <c r="M8550" t="s">
        <v>31591</v>
      </c>
      <c r="N8550" t="s">
        <v>32524</v>
      </c>
      <c r="O8550" t="s">
        <v>32525</v>
      </c>
      <c r="Q8550">
        <v>33</v>
      </c>
      <c r="R8550" t="s">
        <v>32536</v>
      </c>
      <c r="S8550" t="s">
        <v>32813</v>
      </c>
      <c r="T8550" t="s">
        <v>33211</v>
      </c>
      <c r="U8550" t="s">
        <v>38523</v>
      </c>
      <c r="W8550" t="s">
        <v>31591</v>
      </c>
      <c r="X8550" t="s">
        <v>32537</v>
      </c>
    </row>
    <row r="8551" spans="1:24">
      <c r="A8551">
        <f>HYPERLINK("https://www.philgeps.gov.ph/GEPSNONPILOT/Tender/SplashBidNoticeAbstractUI.aspx?menuIndex=3&amp;refID=7031774&amp;Result=3","7031774")</f>
        <v>0</v>
      </c>
      <c r="B8551" t="s">
        <v>1301</v>
      </c>
      <c r="C8551" t="s">
        <v>10851</v>
      </c>
      <c r="D8551" t="s">
        <v>13023</v>
      </c>
      <c r="E8551" t="s">
        <v>20556</v>
      </c>
      <c r="F8551" t="s">
        <v>22436</v>
      </c>
      <c r="G8551" t="s">
        <v>22444</v>
      </c>
      <c r="H8551" t="s">
        <v>22452</v>
      </c>
      <c r="I8551" t="s">
        <v>22489</v>
      </c>
      <c r="J8551" t="s">
        <v>28043</v>
      </c>
      <c r="K8551" t="s">
        <v>29335</v>
      </c>
      <c r="M8551" t="s">
        <v>30955</v>
      </c>
      <c r="N8551" t="s">
        <v>32524</v>
      </c>
      <c r="O8551" t="s">
        <v>32525</v>
      </c>
      <c r="P8551">
        <v>0</v>
      </c>
      <c r="Q8551">
        <v>10</v>
      </c>
      <c r="R8551" t="s">
        <v>32536</v>
      </c>
      <c r="S8551" t="s">
        <v>32785</v>
      </c>
      <c r="T8551" t="s">
        <v>33380</v>
      </c>
      <c r="U8551" t="s">
        <v>40722</v>
      </c>
      <c r="W8551" t="s">
        <v>30955</v>
      </c>
      <c r="X8551" t="s">
        <v>32537</v>
      </c>
    </row>
    <row r="8552" spans="1:24">
      <c r="A8552">
        <f>HYPERLINK("https://www.philgeps.gov.ph/GEPSNONPILOT/Tender/SplashBidNoticeAbstractUI.aspx?menuIndex=3&amp;refID=7031845&amp;Result=3","7031845")</f>
        <v>0</v>
      </c>
      <c r="B8552" t="s">
        <v>1873</v>
      </c>
      <c r="C8552" t="s">
        <v>10852</v>
      </c>
      <c r="D8552" t="s">
        <v>12988</v>
      </c>
      <c r="E8552" t="s">
        <v>20557</v>
      </c>
      <c r="F8552" t="s">
        <v>22436</v>
      </c>
      <c r="G8552" t="s">
        <v>22444</v>
      </c>
      <c r="H8552" t="s">
        <v>22454</v>
      </c>
      <c r="I8552" t="s">
        <v>7738</v>
      </c>
      <c r="J8552" t="s">
        <v>28044</v>
      </c>
      <c r="K8552" t="s">
        <v>29335</v>
      </c>
      <c r="M8552" t="s">
        <v>31591</v>
      </c>
      <c r="N8552" t="s">
        <v>32524</v>
      </c>
      <c r="O8552" t="s">
        <v>32525</v>
      </c>
      <c r="Q8552">
        <v>41</v>
      </c>
      <c r="R8552" t="s">
        <v>32536</v>
      </c>
      <c r="S8552" t="s">
        <v>32814</v>
      </c>
      <c r="T8552" t="s">
        <v>33211</v>
      </c>
      <c r="U8552" t="s">
        <v>38523</v>
      </c>
      <c r="W8552" t="s">
        <v>31591</v>
      </c>
      <c r="X8552" t="s">
        <v>32537</v>
      </c>
    </row>
    <row r="8553" spans="1:24">
      <c r="A8553">
        <f>HYPERLINK("https://www.philgeps.gov.ph/GEPSNONPILOT/Tender/SplashBidNoticeAbstractUI.aspx?menuIndex=3&amp;refID=7031840&amp;Result=3","7031840")</f>
        <v>0</v>
      </c>
      <c r="B8553" t="s">
        <v>2428</v>
      </c>
      <c r="C8553" t="s">
        <v>10853</v>
      </c>
      <c r="D8553" t="s">
        <v>13022</v>
      </c>
      <c r="E8553" t="s">
        <v>20558</v>
      </c>
      <c r="F8553" t="s">
        <v>22436</v>
      </c>
      <c r="G8553" t="s">
        <v>22444</v>
      </c>
      <c r="H8553" t="s">
        <v>22454</v>
      </c>
      <c r="I8553" t="s">
        <v>7738</v>
      </c>
      <c r="J8553" t="s">
        <v>28045</v>
      </c>
      <c r="K8553" t="s">
        <v>29335</v>
      </c>
      <c r="M8553" t="s">
        <v>32229</v>
      </c>
      <c r="N8553" t="s">
        <v>32524</v>
      </c>
      <c r="O8553" t="s">
        <v>32525</v>
      </c>
      <c r="P8553">
        <v>0</v>
      </c>
      <c r="Q8553">
        <v>0</v>
      </c>
      <c r="R8553" t="s">
        <v>32536</v>
      </c>
      <c r="S8553" t="s">
        <v>32785</v>
      </c>
      <c r="T8553" t="s">
        <v>33180</v>
      </c>
      <c r="U8553" t="s">
        <v>40723</v>
      </c>
      <c r="W8553" t="s">
        <v>32229</v>
      </c>
      <c r="X8553" t="s">
        <v>32537</v>
      </c>
    </row>
    <row r="8554" spans="1:24">
      <c r="A8554">
        <f>HYPERLINK("https://www.philgeps.gov.ph/GEPSNONPILOT/Tender/SplashBidNoticeAbstractUI.aspx?menuIndex=3&amp;refID=7031782&amp;Result=3","7031782")</f>
        <v>0</v>
      </c>
      <c r="B8554" t="s">
        <v>1301</v>
      </c>
      <c r="C8554" t="s">
        <v>10854</v>
      </c>
      <c r="D8554" t="s">
        <v>13023</v>
      </c>
      <c r="E8554" t="s">
        <v>20559</v>
      </c>
      <c r="F8554" t="s">
        <v>22436</v>
      </c>
      <c r="G8554" t="s">
        <v>22444</v>
      </c>
      <c r="H8554" t="s">
        <v>22452</v>
      </c>
      <c r="I8554" t="s">
        <v>22566</v>
      </c>
      <c r="J8554" t="s">
        <v>28046</v>
      </c>
      <c r="K8554" t="s">
        <v>29344</v>
      </c>
      <c r="M8554" t="s">
        <v>30955</v>
      </c>
      <c r="N8554" t="s">
        <v>32524</v>
      </c>
      <c r="O8554" t="s">
        <v>32525</v>
      </c>
      <c r="P8554">
        <v>0</v>
      </c>
      <c r="Q8554">
        <v>10</v>
      </c>
      <c r="R8554" t="s">
        <v>32536</v>
      </c>
      <c r="S8554" t="s">
        <v>32785</v>
      </c>
      <c r="T8554" t="s">
        <v>33249</v>
      </c>
      <c r="U8554" t="s">
        <v>40724</v>
      </c>
      <c r="W8554" t="s">
        <v>30955</v>
      </c>
      <c r="X8554" t="s">
        <v>32537</v>
      </c>
    </row>
    <row r="8555" spans="1:24">
      <c r="A8555">
        <f>HYPERLINK("https://www.philgeps.gov.ph/GEPSNONPILOT/Tender/SplashBidNoticeAbstractUI.aspx?menuIndex=3&amp;refID=7031769&amp;Result=3","7031769")</f>
        <v>0</v>
      </c>
      <c r="B8555" t="s">
        <v>835</v>
      </c>
      <c r="C8555" t="s">
        <v>10855</v>
      </c>
      <c r="D8555" t="s">
        <v>13067</v>
      </c>
      <c r="E8555" t="s">
        <v>20560</v>
      </c>
      <c r="F8555" t="s">
        <v>22436</v>
      </c>
      <c r="G8555" t="s">
        <v>22444</v>
      </c>
      <c r="H8555" t="s">
        <v>22454</v>
      </c>
      <c r="I8555" t="s">
        <v>7738</v>
      </c>
      <c r="J8555" t="s">
        <v>28047</v>
      </c>
      <c r="K8555" t="s">
        <v>29347</v>
      </c>
      <c r="L8555" t="s">
        <v>835</v>
      </c>
      <c r="M8555" t="s">
        <v>30441</v>
      </c>
      <c r="N8555" t="s">
        <v>32524</v>
      </c>
      <c r="O8555" t="s">
        <v>32525</v>
      </c>
      <c r="P8555">
        <v>0</v>
      </c>
      <c r="Q8555">
        <v>4</v>
      </c>
      <c r="R8555" t="s">
        <v>32536</v>
      </c>
      <c r="S8555" t="s">
        <v>32785</v>
      </c>
      <c r="T8555" t="s">
        <v>33486</v>
      </c>
      <c r="U8555" t="s">
        <v>40725</v>
      </c>
      <c r="W8555" t="s">
        <v>30441</v>
      </c>
      <c r="X8555" t="s">
        <v>32537</v>
      </c>
    </row>
    <row r="8556" spans="1:24">
      <c r="A8556">
        <f>HYPERLINK("https://www.philgeps.gov.ph/GEPSNONPILOT/Tender/SplashBidNoticeAbstractUI.aspx?menuIndex=3&amp;refID=7031846&amp;Result=3","7031846")</f>
        <v>0</v>
      </c>
      <c r="B8556" t="s">
        <v>1868</v>
      </c>
      <c r="C8556" t="s">
        <v>10856</v>
      </c>
      <c r="E8556" t="s">
        <v>20561</v>
      </c>
      <c r="F8556" t="s">
        <v>22436</v>
      </c>
      <c r="G8556" t="s">
        <v>22444</v>
      </c>
      <c r="H8556" t="s">
        <v>22452</v>
      </c>
      <c r="I8556" t="s">
        <v>22479</v>
      </c>
      <c r="J8556" t="s">
        <v>23758</v>
      </c>
      <c r="K8556" t="s">
        <v>29338</v>
      </c>
      <c r="M8556" t="s">
        <v>32230</v>
      </c>
      <c r="N8556" t="s">
        <v>32524</v>
      </c>
      <c r="O8556" t="s">
        <v>32525</v>
      </c>
      <c r="P8556">
        <v>0</v>
      </c>
      <c r="Q8556">
        <v>2</v>
      </c>
      <c r="R8556" t="s">
        <v>32536</v>
      </c>
      <c r="S8556" t="s">
        <v>32785</v>
      </c>
      <c r="T8556" t="s">
        <v>33249</v>
      </c>
      <c r="U8556" t="s">
        <v>40726</v>
      </c>
      <c r="W8556" t="s">
        <v>32230</v>
      </c>
      <c r="X8556" t="s">
        <v>32537</v>
      </c>
    </row>
    <row r="8557" spans="1:24">
      <c r="A8557">
        <f>HYPERLINK("https://www.philgeps.gov.ph/GEPSNONPILOT/Tender/SplashBidNoticeAbstractUI.aspx?menuIndex=3&amp;refID=7031788&amp;Result=3","7031788")</f>
        <v>0</v>
      </c>
      <c r="B8557" t="s">
        <v>2319</v>
      </c>
      <c r="C8557" t="s">
        <v>10857</v>
      </c>
      <c r="D8557" t="s">
        <v>12988</v>
      </c>
      <c r="E8557" t="s">
        <v>14933</v>
      </c>
      <c r="F8557" t="s">
        <v>22436</v>
      </c>
      <c r="G8557" t="s">
        <v>22444</v>
      </c>
      <c r="H8557" t="s">
        <v>22453</v>
      </c>
      <c r="I8557" t="s">
        <v>2981</v>
      </c>
      <c r="J8557" t="s">
        <v>22616</v>
      </c>
      <c r="K8557" t="s">
        <v>29331</v>
      </c>
      <c r="M8557" t="s">
        <v>32095</v>
      </c>
      <c r="N8557" t="s">
        <v>32524</v>
      </c>
      <c r="O8557" t="s">
        <v>32525</v>
      </c>
      <c r="P8557">
        <v>0</v>
      </c>
      <c r="Q8557">
        <v>0</v>
      </c>
      <c r="R8557" t="s">
        <v>32536</v>
      </c>
      <c r="S8557" t="s">
        <v>32785</v>
      </c>
      <c r="T8557" t="s">
        <v>33197</v>
      </c>
      <c r="U8557" t="s">
        <v>40727</v>
      </c>
      <c r="W8557" t="s">
        <v>32095</v>
      </c>
      <c r="X8557" t="s">
        <v>32537</v>
      </c>
    </row>
    <row r="8558" spans="1:24">
      <c r="A8558">
        <f>HYPERLINK("https://www.philgeps.gov.ph/GEPSNONPILOT/Tender/SplashBidNoticeAbstractUI.aspx?menuIndex=3&amp;refID=7031870&amp;Result=3","7031870")</f>
        <v>0</v>
      </c>
      <c r="B8558" t="s">
        <v>2323</v>
      </c>
      <c r="C8558" t="s">
        <v>10858</v>
      </c>
      <c r="D8558" t="s">
        <v>13009</v>
      </c>
      <c r="E8558" t="s">
        <v>20562</v>
      </c>
      <c r="F8558" t="s">
        <v>22436</v>
      </c>
      <c r="G8558" t="s">
        <v>22444</v>
      </c>
      <c r="H8558" t="s">
        <v>22452</v>
      </c>
      <c r="I8558" t="s">
        <v>22484</v>
      </c>
      <c r="J8558" t="s">
        <v>22743</v>
      </c>
      <c r="K8558" t="s">
        <v>29335</v>
      </c>
      <c r="M8558" t="s">
        <v>32100</v>
      </c>
      <c r="N8558" t="s">
        <v>32524</v>
      </c>
      <c r="O8558" t="s">
        <v>32525</v>
      </c>
      <c r="Q8558">
        <v>11</v>
      </c>
      <c r="R8558" t="s">
        <v>32536</v>
      </c>
      <c r="S8558" t="s">
        <v>32815</v>
      </c>
      <c r="T8558" t="s">
        <v>33253</v>
      </c>
      <c r="U8558" t="s">
        <v>40728</v>
      </c>
      <c r="W8558" t="s">
        <v>32100</v>
      </c>
      <c r="X8558" t="s">
        <v>32537</v>
      </c>
    </row>
    <row r="8559" spans="1:24">
      <c r="A8559">
        <f>HYPERLINK("https://www.philgeps.gov.ph/GEPSNONPILOT/Tender/SplashBidNoticeAbstractUI.aspx?menuIndex=3&amp;refID=7031838&amp;Result=3","7031838")</f>
        <v>0</v>
      </c>
      <c r="B8559" t="s">
        <v>1873</v>
      </c>
      <c r="C8559" t="s">
        <v>10859</v>
      </c>
      <c r="E8559" t="s">
        <v>20563</v>
      </c>
      <c r="F8559" t="s">
        <v>22436</v>
      </c>
      <c r="G8559" t="s">
        <v>22444</v>
      </c>
      <c r="H8559" t="s">
        <v>22454</v>
      </c>
      <c r="I8559" t="s">
        <v>7738</v>
      </c>
      <c r="J8559" t="s">
        <v>28048</v>
      </c>
      <c r="K8559" t="s">
        <v>29334</v>
      </c>
      <c r="M8559" t="s">
        <v>31591</v>
      </c>
      <c r="N8559" t="s">
        <v>32524</v>
      </c>
      <c r="O8559" t="s">
        <v>32525</v>
      </c>
      <c r="Q8559">
        <v>35</v>
      </c>
      <c r="R8559" t="s">
        <v>32536</v>
      </c>
      <c r="S8559" t="s">
        <v>32816</v>
      </c>
      <c r="T8559" t="s">
        <v>33211</v>
      </c>
      <c r="U8559" t="s">
        <v>38523</v>
      </c>
      <c r="W8559" t="s">
        <v>31591</v>
      </c>
      <c r="X8559" t="s">
        <v>32537</v>
      </c>
    </row>
    <row r="8560" spans="1:24">
      <c r="A8560">
        <f>HYPERLINK("https://www.philgeps.gov.ph/GEPSNONPILOT/Tender/SplashBidNoticeAbstractUI.aspx?menuIndex=3&amp;refID=7031863&amp;Result=3","7031863")</f>
        <v>0</v>
      </c>
      <c r="B8560" t="s">
        <v>527</v>
      </c>
      <c r="C8560" t="s">
        <v>10860</v>
      </c>
      <c r="D8560" t="s">
        <v>12988</v>
      </c>
      <c r="E8560" t="s">
        <v>20564</v>
      </c>
      <c r="F8560" t="s">
        <v>22436</v>
      </c>
      <c r="G8560" t="s">
        <v>22447</v>
      </c>
      <c r="H8560" t="s">
        <v>22454</v>
      </c>
      <c r="I8560" t="s">
        <v>7738</v>
      </c>
      <c r="J8560" t="s">
        <v>28049</v>
      </c>
      <c r="K8560" t="s">
        <v>29344</v>
      </c>
      <c r="M8560" t="s">
        <v>32231</v>
      </c>
      <c r="N8560" t="s">
        <v>32524</v>
      </c>
      <c r="O8560" t="s">
        <v>32525</v>
      </c>
      <c r="P8560">
        <v>0</v>
      </c>
      <c r="Q8560">
        <v>1</v>
      </c>
      <c r="R8560" t="s">
        <v>32536</v>
      </c>
      <c r="S8560" t="s">
        <v>32785</v>
      </c>
      <c r="T8560" t="s">
        <v>33296</v>
      </c>
      <c r="U8560" t="s">
        <v>40729</v>
      </c>
      <c r="W8560" t="s">
        <v>32231</v>
      </c>
      <c r="X8560" t="s">
        <v>32537</v>
      </c>
    </row>
    <row r="8561" spans="1:24">
      <c r="A8561">
        <f>HYPERLINK("https://www.philgeps.gov.ph/GEPSNONPILOT/Tender/SplashBidNoticeAbstractUI.aspx?menuIndex=3&amp;refID=7031871&amp;Result=3","7031871")</f>
        <v>0</v>
      </c>
      <c r="B8561" t="s">
        <v>1461</v>
      </c>
      <c r="C8561" t="s">
        <v>10861</v>
      </c>
      <c r="D8561" t="s">
        <v>12994</v>
      </c>
      <c r="E8561" t="s">
        <v>20565</v>
      </c>
      <c r="F8561" t="s">
        <v>22436</v>
      </c>
      <c r="G8561" t="s">
        <v>22444</v>
      </c>
      <c r="H8561" t="s">
        <v>22454</v>
      </c>
      <c r="I8561" t="s">
        <v>7738</v>
      </c>
      <c r="J8561" t="s">
        <v>25263</v>
      </c>
      <c r="K8561" t="s">
        <v>29471</v>
      </c>
      <c r="M8561" t="s">
        <v>31129</v>
      </c>
      <c r="N8561" t="s">
        <v>32524</v>
      </c>
      <c r="O8561" t="s">
        <v>32525</v>
      </c>
      <c r="P8561">
        <v>0</v>
      </c>
      <c r="Q8561">
        <v>26</v>
      </c>
      <c r="R8561" t="s">
        <v>32536</v>
      </c>
      <c r="S8561" t="s">
        <v>32785</v>
      </c>
      <c r="T8561" t="s">
        <v>33172</v>
      </c>
      <c r="U8561" t="s">
        <v>37152</v>
      </c>
      <c r="W8561" t="s">
        <v>31129</v>
      </c>
      <c r="X8561" t="s">
        <v>32537</v>
      </c>
    </row>
    <row r="8562" spans="1:24">
      <c r="A8562">
        <f>HYPERLINK("https://www.philgeps.gov.ph/GEPSNONPILOT/Tender/SplashBidNoticeAbstractUI.aspx?menuIndex=3&amp;refID=7031858&amp;Result=3","7031858")</f>
        <v>0</v>
      </c>
      <c r="B8562" t="s">
        <v>2323</v>
      </c>
      <c r="C8562" t="s">
        <v>10862</v>
      </c>
      <c r="D8562" t="s">
        <v>13009</v>
      </c>
      <c r="E8562" t="s">
        <v>20566</v>
      </c>
      <c r="F8562" t="s">
        <v>22436</v>
      </c>
      <c r="G8562" t="s">
        <v>22444</v>
      </c>
      <c r="H8562" t="s">
        <v>22452</v>
      </c>
      <c r="I8562" t="s">
        <v>6421</v>
      </c>
      <c r="J8562" t="s">
        <v>22779</v>
      </c>
      <c r="K8562" t="s">
        <v>29335</v>
      </c>
      <c r="M8562" t="s">
        <v>32100</v>
      </c>
      <c r="N8562" t="s">
        <v>32524</v>
      </c>
      <c r="O8562" t="s">
        <v>32525</v>
      </c>
      <c r="Q8562">
        <v>3</v>
      </c>
      <c r="R8562" t="s">
        <v>32536</v>
      </c>
      <c r="S8562" t="s">
        <v>32817</v>
      </c>
      <c r="T8562" t="s">
        <v>33253</v>
      </c>
      <c r="U8562" t="s">
        <v>40730</v>
      </c>
      <c r="W8562" t="s">
        <v>32100</v>
      </c>
      <c r="X8562" t="s">
        <v>32537</v>
      </c>
    </row>
    <row r="8563" spans="1:24">
      <c r="A8563">
        <f>HYPERLINK("https://www.philgeps.gov.ph/GEPSNONPILOT/Tender/SplashBidNoticeAbstractUI.aspx?menuIndex=3&amp;refID=7031864&amp;Result=3","7031864")</f>
        <v>0</v>
      </c>
      <c r="B8563" t="s">
        <v>1873</v>
      </c>
      <c r="C8563" t="s">
        <v>10863</v>
      </c>
      <c r="D8563" t="s">
        <v>12988</v>
      </c>
      <c r="E8563" t="s">
        <v>20567</v>
      </c>
      <c r="F8563" t="s">
        <v>22436</v>
      </c>
      <c r="G8563" t="s">
        <v>22444</v>
      </c>
      <c r="H8563" t="s">
        <v>22454</v>
      </c>
      <c r="I8563" t="s">
        <v>7738</v>
      </c>
      <c r="J8563" t="s">
        <v>28050</v>
      </c>
      <c r="K8563" t="s">
        <v>29335</v>
      </c>
      <c r="M8563" t="s">
        <v>31591</v>
      </c>
      <c r="N8563" t="s">
        <v>32524</v>
      </c>
      <c r="O8563" t="s">
        <v>32525</v>
      </c>
      <c r="Q8563">
        <v>33</v>
      </c>
      <c r="R8563" t="s">
        <v>32536</v>
      </c>
      <c r="S8563" t="s">
        <v>32818</v>
      </c>
      <c r="T8563" t="s">
        <v>33211</v>
      </c>
      <c r="U8563" t="s">
        <v>38523</v>
      </c>
      <c r="W8563" t="s">
        <v>31591</v>
      </c>
      <c r="X8563" t="s">
        <v>32537</v>
      </c>
    </row>
    <row r="8564" spans="1:24">
      <c r="A8564">
        <f>HYPERLINK("https://www.philgeps.gov.ph/GEPSNONPILOT/Tender/SplashBidNoticeAbstractUI.aspx?menuIndex=3&amp;refID=7031856&amp;Result=3","7031856")</f>
        <v>0</v>
      </c>
      <c r="B8564" t="s">
        <v>1868</v>
      </c>
      <c r="C8564" t="s">
        <v>10864</v>
      </c>
      <c r="E8564" t="s">
        <v>20568</v>
      </c>
      <c r="F8564" t="s">
        <v>22436</v>
      </c>
      <c r="G8564" t="s">
        <v>22444</v>
      </c>
      <c r="H8564" t="s">
        <v>22454</v>
      </c>
      <c r="I8564" t="s">
        <v>7738</v>
      </c>
      <c r="J8564" t="s">
        <v>28051</v>
      </c>
      <c r="K8564" t="s">
        <v>29338</v>
      </c>
      <c r="M8564" t="s">
        <v>32230</v>
      </c>
      <c r="N8564" t="s">
        <v>32524</v>
      </c>
      <c r="O8564" t="s">
        <v>32525</v>
      </c>
      <c r="P8564">
        <v>0</v>
      </c>
      <c r="Q8564">
        <v>4</v>
      </c>
      <c r="R8564" t="s">
        <v>32536</v>
      </c>
      <c r="S8564" t="s">
        <v>32785</v>
      </c>
      <c r="T8564" t="s">
        <v>33249</v>
      </c>
      <c r="U8564" t="s">
        <v>40731</v>
      </c>
      <c r="W8564" t="s">
        <v>32230</v>
      </c>
      <c r="X8564" t="s">
        <v>32537</v>
      </c>
    </row>
    <row r="8565" spans="1:24">
      <c r="A8565">
        <f>HYPERLINK("https://www.philgeps.gov.ph/GEPSNONPILOT/Tender/SplashBidNoticeAbstractUI.aspx?menuIndex=3&amp;refID=7031868&amp;Result=3","7031868")</f>
        <v>0</v>
      </c>
      <c r="B8565" t="s">
        <v>2323</v>
      </c>
      <c r="C8565" t="s">
        <v>10865</v>
      </c>
      <c r="D8565" t="s">
        <v>13009</v>
      </c>
      <c r="E8565" t="s">
        <v>20569</v>
      </c>
      <c r="F8565" t="s">
        <v>22436</v>
      </c>
      <c r="G8565" t="s">
        <v>22444</v>
      </c>
      <c r="H8565" t="s">
        <v>22452</v>
      </c>
      <c r="I8565" t="s">
        <v>6421</v>
      </c>
      <c r="J8565" t="s">
        <v>22877</v>
      </c>
      <c r="K8565" t="s">
        <v>29335</v>
      </c>
      <c r="M8565" t="s">
        <v>32100</v>
      </c>
      <c r="N8565" t="s">
        <v>32524</v>
      </c>
      <c r="O8565" t="s">
        <v>32525</v>
      </c>
      <c r="Q8565">
        <v>3</v>
      </c>
      <c r="R8565" t="s">
        <v>32536</v>
      </c>
      <c r="S8565" t="s">
        <v>32819</v>
      </c>
      <c r="T8565" t="s">
        <v>33253</v>
      </c>
      <c r="U8565" t="s">
        <v>40732</v>
      </c>
      <c r="W8565" t="s">
        <v>32100</v>
      </c>
      <c r="X8565" t="s">
        <v>32537</v>
      </c>
    </row>
    <row r="8566" spans="1:24">
      <c r="A8566">
        <f>HYPERLINK("https://www.philgeps.gov.ph/GEPSNONPILOT/Tender/SplashBidNoticeAbstractUI.aspx?menuIndex=3&amp;refID=7031857&amp;Result=3","7031857")</f>
        <v>0</v>
      </c>
      <c r="B8566" t="s">
        <v>2323</v>
      </c>
      <c r="C8566" t="s">
        <v>10866</v>
      </c>
      <c r="D8566" t="s">
        <v>13009</v>
      </c>
      <c r="E8566" t="s">
        <v>20570</v>
      </c>
      <c r="F8566" t="s">
        <v>22436</v>
      </c>
      <c r="G8566" t="s">
        <v>22444</v>
      </c>
      <c r="H8566" t="s">
        <v>22452</v>
      </c>
      <c r="I8566" t="s">
        <v>6421</v>
      </c>
      <c r="J8566" t="s">
        <v>28052</v>
      </c>
      <c r="K8566" t="s">
        <v>29335</v>
      </c>
      <c r="M8566" t="s">
        <v>32100</v>
      </c>
      <c r="N8566" t="s">
        <v>32524</v>
      </c>
      <c r="O8566" t="s">
        <v>32525</v>
      </c>
      <c r="Q8566">
        <v>4</v>
      </c>
      <c r="R8566" t="s">
        <v>32536</v>
      </c>
      <c r="S8566" t="s">
        <v>32820</v>
      </c>
      <c r="T8566" t="s">
        <v>33253</v>
      </c>
      <c r="U8566" t="s">
        <v>40733</v>
      </c>
      <c r="W8566" t="s">
        <v>32100</v>
      </c>
      <c r="X8566" t="s">
        <v>32537</v>
      </c>
    </row>
    <row r="8567" spans="1:24">
      <c r="A8567">
        <f>HYPERLINK("https://www.philgeps.gov.ph/GEPSNONPILOT/Tender/SplashBidNoticeAbstractUI.aspx?menuIndex=3&amp;refID=7031887&amp;Result=3","7031887")</f>
        <v>0</v>
      </c>
      <c r="B8567" t="s">
        <v>1873</v>
      </c>
      <c r="C8567" t="s">
        <v>10867</v>
      </c>
      <c r="E8567" t="s">
        <v>20571</v>
      </c>
      <c r="F8567" t="s">
        <v>22436</v>
      </c>
      <c r="G8567" t="s">
        <v>22444</v>
      </c>
      <c r="H8567" t="s">
        <v>22454</v>
      </c>
      <c r="I8567" t="s">
        <v>7738</v>
      </c>
      <c r="J8567" t="s">
        <v>28053</v>
      </c>
      <c r="K8567" t="s">
        <v>29335</v>
      </c>
      <c r="M8567" t="s">
        <v>31591</v>
      </c>
      <c r="N8567" t="s">
        <v>32524</v>
      </c>
      <c r="O8567" t="s">
        <v>32525</v>
      </c>
      <c r="Q8567">
        <v>41</v>
      </c>
      <c r="R8567" t="s">
        <v>32536</v>
      </c>
      <c r="S8567" t="s">
        <v>32821</v>
      </c>
      <c r="T8567" t="s">
        <v>33211</v>
      </c>
      <c r="U8567" t="s">
        <v>38523</v>
      </c>
      <c r="W8567" t="s">
        <v>31591</v>
      </c>
      <c r="X8567" t="s">
        <v>32537</v>
      </c>
    </row>
    <row r="8568" spans="1:24">
      <c r="A8568">
        <f>HYPERLINK("https://www.philgeps.gov.ph/GEPSNONPILOT/Tender/SplashBidNoticeAbstractUI.aspx?menuIndex=3&amp;refID=7031866&amp;Result=3","7031866")</f>
        <v>0</v>
      </c>
      <c r="B8568" t="s">
        <v>1461</v>
      </c>
      <c r="C8568" t="s">
        <v>10868</v>
      </c>
      <c r="D8568" t="s">
        <v>12994</v>
      </c>
      <c r="E8568" t="s">
        <v>20572</v>
      </c>
      <c r="F8568" t="s">
        <v>22436</v>
      </c>
      <c r="G8568" t="s">
        <v>22444</v>
      </c>
      <c r="H8568" t="s">
        <v>22454</v>
      </c>
      <c r="I8568" t="s">
        <v>7738</v>
      </c>
      <c r="J8568" t="s">
        <v>25263</v>
      </c>
      <c r="K8568" t="s">
        <v>29471</v>
      </c>
      <c r="M8568" t="s">
        <v>31129</v>
      </c>
      <c r="N8568" t="s">
        <v>32524</v>
      </c>
      <c r="O8568" t="s">
        <v>32525</v>
      </c>
      <c r="P8568">
        <v>0</v>
      </c>
      <c r="Q8568">
        <v>28</v>
      </c>
      <c r="R8568" t="s">
        <v>32536</v>
      </c>
      <c r="S8568" t="s">
        <v>32785</v>
      </c>
      <c r="T8568" t="s">
        <v>33172</v>
      </c>
      <c r="U8568" t="s">
        <v>37152</v>
      </c>
      <c r="W8568" t="s">
        <v>31129</v>
      </c>
      <c r="X8568" t="s">
        <v>32537</v>
      </c>
    </row>
    <row r="8569" spans="1:24">
      <c r="A8569">
        <f>HYPERLINK("https://www.philgeps.gov.ph/GEPSNONPILOT/Tender/SplashBidNoticeAbstractUI.aspx?menuIndex=3&amp;refID=7031850&amp;Result=3","7031850")</f>
        <v>0</v>
      </c>
      <c r="B8569" t="s">
        <v>1868</v>
      </c>
      <c r="C8569" t="s">
        <v>10869</v>
      </c>
      <c r="E8569" t="s">
        <v>20573</v>
      </c>
      <c r="F8569" t="s">
        <v>22436</v>
      </c>
      <c r="G8569" t="s">
        <v>22444</v>
      </c>
      <c r="H8569" t="s">
        <v>22452</v>
      </c>
      <c r="I8569" t="s">
        <v>22479</v>
      </c>
      <c r="J8569" t="s">
        <v>27305</v>
      </c>
      <c r="K8569" t="s">
        <v>29338</v>
      </c>
      <c r="M8569" t="s">
        <v>32230</v>
      </c>
      <c r="N8569" t="s">
        <v>32524</v>
      </c>
      <c r="O8569" t="s">
        <v>32525</v>
      </c>
      <c r="P8569">
        <v>0</v>
      </c>
      <c r="Q8569">
        <v>2</v>
      </c>
      <c r="R8569" t="s">
        <v>32536</v>
      </c>
      <c r="S8569" t="s">
        <v>32785</v>
      </c>
      <c r="T8569" t="s">
        <v>33249</v>
      </c>
      <c r="U8569" t="s">
        <v>40734</v>
      </c>
      <c r="W8569" t="s">
        <v>32230</v>
      </c>
      <c r="X8569" t="s">
        <v>32537</v>
      </c>
    </row>
    <row r="8570" spans="1:24">
      <c r="A8570">
        <f>HYPERLINK("https://www.philgeps.gov.ph/GEPSNONPILOT/Tender/SplashBidNoticeAbstractUI.aspx?menuIndex=3&amp;refID=7031881&amp;Result=3","7031881")</f>
        <v>0</v>
      </c>
      <c r="B8570" t="s">
        <v>2323</v>
      </c>
      <c r="C8570" t="s">
        <v>10870</v>
      </c>
      <c r="D8570" t="s">
        <v>13009</v>
      </c>
      <c r="E8570" t="s">
        <v>20574</v>
      </c>
      <c r="F8570" t="s">
        <v>22436</v>
      </c>
      <c r="G8570" t="s">
        <v>22444</v>
      </c>
      <c r="H8570" t="s">
        <v>22452</v>
      </c>
      <c r="I8570" t="s">
        <v>22484</v>
      </c>
      <c r="J8570" t="s">
        <v>23350</v>
      </c>
      <c r="K8570" t="s">
        <v>29347</v>
      </c>
      <c r="M8570" t="s">
        <v>32100</v>
      </c>
      <c r="N8570" t="s">
        <v>32524</v>
      </c>
      <c r="O8570" t="s">
        <v>32525</v>
      </c>
      <c r="Q8570">
        <v>19</v>
      </c>
      <c r="R8570" t="s">
        <v>32536</v>
      </c>
      <c r="S8570" t="s">
        <v>32822</v>
      </c>
      <c r="T8570" t="s">
        <v>33253</v>
      </c>
      <c r="U8570" t="s">
        <v>40735</v>
      </c>
      <c r="W8570" t="s">
        <v>32100</v>
      </c>
      <c r="X8570" t="s">
        <v>32537</v>
      </c>
    </row>
    <row r="8571" spans="1:24">
      <c r="A8571">
        <f>HYPERLINK("https://www.philgeps.gov.ph/GEPSNONPILOT/Tender/SplashBidNoticeAbstractUI.aspx?menuIndex=3&amp;refID=7031885&amp;Result=3","7031885")</f>
        <v>0</v>
      </c>
      <c r="B8571" t="s">
        <v>1873</v>
      </c>
      <c r="C8571" t="s">
        <v>10871</v>
      </c>
      <c r="D8571" t="s">
        <v>12988</v>
      </c>
      <c r="E8571" t="s">
        <v>20575</v>
      </c>
      <c r="F8571" t="s">
        <v>22436</v>
      </c>
      <c r="G8571" t="s">
        <v>22444</v>
      </c>
      <c r="H8571" t="s">
        <v>22454</v>
      </c>
      <c r="I8571" t="s">
        <v>7738</v>
      </c>
      <c r="J8571" t="s">
        <v>28054</v>
      </c>
      <c r="K8571" t="s">
        <v>29333</v>
      </c>
      <c r="M8571" t="s">
        <v>31591</v>
      </c>
      <c r="N8571" t="s">
        <v>32524</v>
      </c>
      <c r="O8571" t="s">
        <v>32525</v>
      </c>
      <c r="Q8571">
        <v>24</v>
      </c>
      <c r="R8571" t="s">
        <v>32536</v>
      </c>
      <c r="S8571" t="s">
        <v>32823</v>
      </c>
      <c r="T8571" t="s">
        <v>33211</v>
      </c>
      <c r="U8571" t="s">
        <v>38523</v>
      </c>
      <c r="W8571" t="s">
        <v>31591</v>
      </c>
      <c r="X8571" t="s">
        <v>32537</v>
      </c>
    </row>
    <row r="8572" spans="1:24">
      <c r="A8572">
        <f>HYPERLINK("https://www.philgeps.gov.ph/GEPSNONPILOT/Tender/SplashBidNoticeAbstractUI.aspx?menuIndex=3&amp;refID=7031873&amp;Result=3","7031873")</f>
        <v>0</v>
      </c>
      <c r="B8572" t="s">
        <v>1125</v>
      </c>
      <c r="C8572" t="s">
        <v>10872</v>
      </c>
      <c r="D8572" t="s">
        <v>13041</v>
      </c>
      <c r="E8572" t="s">
        <v>20576</v>
      </c>
      <c r="F8572" t="s">
        <v>22436</v>
      </c>
      <c r="G8572" t="s">
        <v>22444</v>
      </c>
      <c r="H8572" t="s">
        <v>22454</v>
      </c>
      <c r="I8572" t="s">
        <v>7738</v>
      </c>
      <c r="J8572" t="s">
        <v>28055</v>
      </c>
      <c r="K8572" t="s">
        <v>29548</v>
      </c>
      <c r="M8572" t="s">
        <v>30763</v>
      </c>
      <c r="N8572" t="s">
        <v>32524</v>
      </c>
      <c r="O8572" t="s">
        <v>32525</v>
      </c>
      <c r="P8572">
        <v>0</v>
      </c>
      <c r="Q8572">
        <v>1</v>
      </c>
      <c r="R8572" t="s">
        <v>32536</v>
      </c>
      <c r="S8572" t="s">
        <v>32785</v>
      </c>
      <c r="T8572" t="s">
        <v>33245</v>
      </c>
      <c r="U8572" t="s">
        <v>40736</v>
      </c>
      <c r="W8572" t="s">
        <v>30763</v>
      </c>
      <c r="X8572" t="s">
        <v>32537</v>
      </c>
    </row>
    <row r="8573" spans="1:24">
      <c r="A8573">
        <f>HYPERLINK("https://www.philgeps.gov.ph/GEPSNONPILOT/Tender/SplashBidNoticeAbstractUI.aspx?menuIndex=3&amp;refID=7031859&amp;Result=3","7031859")</f>
        <v>0</v>
      </c>
      <c r="B8573" t="s">
        <v>1461</v>
      </c>
      <c r="C8573" t="s">
        <v>10873</v>
      </c>
      <c r="D8573" t="s">
        <v>12994</v>
      </c>
      <c r="E8573" t="s">
        <v>20577</v>
      </c>
      <c r="F8573" t="s">
        <v>22436</v>
      </c>
      <c r="G8573" t="s">
        <v>22444</v>
      </c>
      <c r="H8573" t="s">
        <v>22454</v>
      </c>
      <c r="I8573" t="s">
        <v>7738</v>
      </c>
      <c r="J8573" t="s">
        <v>24295</v>
      </c>
      <c r="K8573" t="s">
        <v>29549</v>
      </c>
      <c r="M8573" t="s">
        <v>31129</v>
      </c>
      <c r="N8573" t="s">
        <v>32524</v>
      </c>
      <c r="O8573" t="s">
        <v>32525</v>
      </c>
      <c r="P8573">
        <v>0</v>
      </c>
      <c r="Q8573">
        <v>36</v>
      </c>
      <c r="R8573" t="s">
        <v>32536</v>
      </c>
      <c r="S8573" t="s">
        <v>32785</v>
      </c>
      <c r="T8573" t="s">
        <v>33172</v>
      </c>
      <c r="U8573" t="s">
        <v>37152</v>
      </c>
      <c r="W8573" t="s">
        <v>31129</v>
      </c>
      <c r="X8573" t="s">
        <v>32537</v>
      </c>
    </row>
    <row r="8574" spans="1:24">
      <c r="A8574">
        <f>HYPERLINK("https://www.philgeps.gov.ph/GEPSNONPILOT/Tender/SplashBidNoticeAbstractUI.aspx?menuIndex=3&amp;refID=7031877&amp;Result=3","7031877")</f>
        <v>0</v>
      </c>
      <c r="B8574" t="s">
        <v>2323</v>
      </c>
      <c r="C8574" t="s">
        <v>10874</v>
      </c>
      <c r="D8574" t="s">
        <v>13009</v>
      </c>
      <c r="E8574" t="s">
        <v>20578</v>
      </c>
      <c r="F8574" t="s">
        <v>22436</v>
      </c>
      <c r="G8574" t="s">
        <v>22444</v>
      </c>
      <c r="H8574" t="s">
        <v>22452</v>
      </c>
      <c r="I8574" t="s">
        <v>22463</v>
      </c>
      <c r="J8574" t="s">
        <v>22779</v>
      </c>
      <c r="K8574" t="s">
        <v>29335</v>
      </c>
      <c r="M8574" t="s">
        <v>32100</v>
      </c>
      <c r="N8574" t="s">
        <v>32524</v>
      </c>
      <c r="O8574" t="s">
        <v>32525</v>
      </c>
      <c r="Q8574">
        <v>9</v>
      </c>
      <c r="R8574" t="s">
        <v>32536</v>
      </c>
      <c r="S8574" t="s">
        <v>32824</v>
      </c>
      <c r="T8574" t="s">
        <v>33253</v>
      </c>
      <c r="U8574" t="s">
        <v>40737</v>
      </c>
      <c r="W8574" t="s">
        <v>32100</v>
      </c>
      <c r="X8574" t="s">
        <v>32537</v>
      </c>
    </row>
    <row r="8575" spans="1:24">
      <c r="A8575">
        <f>HYPERLINK("https://www.philgeps.gov.ph/GEPSNONPILOT/Tender/SplashBidNoticeAbstractUI.aspx?menuIndex=3&amp;refID=7031876&amp;Result=3","7031876")</f>
        <v>0</v>
      </c>
      <c r="B8575" t="s">
        <v>1461</v>
      </c>
      <c r="C8575" t="s">
        <v>10875</v>
      </c>
      <c r="D8575" t="s">
        <v>12994</v>
      </c>
      <c r="E8575" t="s">
        <v>20579</v>
      </c>
      <c r="F8575" t="s">
        <v>22436</v>
      </c>
      <c r="G8575" t="s">
        <v>22444</v>
      </c>
      <c r="H8575" t="s">
        <v>22454</v>
      </c>
      <c r="I8575" t="s">
        <v>7738</v>
      </c>
      <c r="J8575" t="s">
        <v>28056</v>
      </c>
      <c r="K8575" t="s">
        <v>29550</v>
      </c>
      <c r="M8575" t="s">
        <v>31129</v>
      </c>
      <c r="N8575" t="s">
        <v>32524</v>
      </c>
      <c r="O8575" t="s">
        <v>32525</v>
      </c>
      <c r="P8575">
        <v>0</v>
      </c>
      <c r="Q8575">
        <v>25</v>
      </c>
      <c r="R8575" t="s">
        <v>32536</v>
      </c>
      <c r="S8575" t="s">
        <v>32785</v>
      </c>
      <c r="T8575" t="s">
        <v>33172</v>
      </c>
      <c r="U8575" t="s">
        <v>37152</v>
      </c>
      <c r="W8575" t="s">
        <v>31129</v>
      </c>
      <c r="X8575" t="s">
        <v>32537</v>
      </c>
    </row>
    <row r="8576" spans="1:24">
      <c r="A8576">
        <f>HYPERLINK("https://www.philgeps.gov.ph/GEPSNONPILOT/Tender/SplashBidNoticeAbstractUI.aspx?menuIndex=3&amp;refID=7031888&amp;Result=3","7031888")</f>
        <v>0</v>
      </c>
      <c r="B8576" t="s">
        <v>2429</v>
      </c>
      <c r="C8576" t="s">
        <v>10876</v>
      </c>
      <c r="D8576" t="s">
        <v>12999</v>
      </c>
      <c r="E8576" t="s">
        <v>14741</v>
      </c>
      <c r="F8576" t="s">
        <v>22436</v>
      </c>
      <c r="G8576" t="s">
        <v>22444</v>
      </c>
      <c r="H8576" t="s">
        <v>22454</v>
      </c>
      <c r="I8576" t="s">
        <v>7738</v>
      </c>
      <c r="J8576" t="s">
        <v>22605</v>
      </c>
      <c r="K8576" t="s">
        <v>29335</v>
      </c>
      <c r="M8576" t="s">
        <v>32232</v>
      </c>
      <c r="N8576" t="s">
        <v>32524</v>
      </c>
      <c r="O8576" t="s">
        <v>32525</v>
      </c>
      <c r="P8576">
        <v>0</v>
      </c>
      <c r="Q8576">
        <v>0</v>
      </c>
      <c r="R8576" t="s">
        <v>32536</v>
      </c>
      <c r="S8576" t="s">
        <v>32785</v>
      </c>
      <c r="T8576" t="s">
        <v>33578</v>
      </c>
      <c r="U8576" t="s">
        <v>40738</v>
      </c>
      <c r="V8576" t="s">
        <v>43384</v>
      </c>
      <c r="W8576" t="s">
        <v>32232</v>
      </c>
      <c r="X8576" t="s">
        <v>32537</v>
      </c>
    </row>
    <row r="8577" spans="1:24">
      <c r="A8577">
        <f>HYPERLINK("https://www.philgeps.gov.ph/GEPSNONPILOT/Tender/SplashBidNoticeAbstractUI.aspx?menuIndex=3&amp;refID=7031875&amp;Result=3","7031875")</f>
        <v>0</v>
      </c>
      <c r="B8577" t="s">
        <v>2429</v>
      </c>
      <c r="C8577" t="s">
        <v>10877</v>
      </c>
      <c r="D8577" t="s">
        <v>12999</v>
      </c>
      <c r="E8577" t="s">
        <v>15063</v>
      </c>
      <c r="F8577" t="s">
        <v>22436</v>
      </c>
      <c r="G8577" t="s">
        <v>22444</v>
      </c>
      <c r="H8577" t="s">
        <v>22454</v>
      </c>
      <c r="I8577" t="s">
        <v>7738</v>
      </c>
      <c r="J8577" t="s">
        <v>22605</v>
      </c>
      <c r="K8577" t="s">
        <v>29335</v>
      </c>
      <c r="M8577" t="s">
        <v>32232</v>
      </c>
      <c r="N8577" t="s">
        <v>32524</v>
      </c>
      <c r="O8577" t="s">
        <v>32525</v>
      </c>
      <c r="P8577">
        <v>0</v>
      </c>
      <c r="Q8577">
        <v>0</v>
      </c>
      <c r="R8577" t="s">
        <v>32536</v>
      </c>
      <c r="S8577" t="s">
        <v>32785</v>
      </c>
      <c r="T8577" t="s">
        <v>33578</v>
      </c>
      <c r="U8577" t="s">
        <v>40739</v>
      </c>
      <c r="V8577" t="s">
        <v>40739</v>
      </c>
      <c r="W8577" t="s">
        <v>32232</v>
      </c>
      <c r="X8577" t="s">
        <v>32537</v>
      </c>
    </row>
    <row r="8578" spans="1:24">
      <c r="A8578">
        <f>HYPERLINK("https://www.philgeps.gov.ph/GEPSNONPILOT/Tender/SplashBidNoticeAbstractUI.aspx?menuIndex=3&amp;refID=7031874&amp;Result=3","7031874")</f>
        <v>0</v>
      </c>
      <c r="B8578" t="s">
        <v>2323</v>
      </c>
      <c r="C8578" t="s">
        <v>10878</v>
      </c>
      <c r="D8578" t="s">
        <v>13009</v>
      </c>
      <c r="E8578" t="s">
        <v>20580</v>
      </c>
      <c r="F8578" t="s">
        <v>22436</v>
      </c>
      <c r="G8578" t="s">
        <v>22444</v>
      </c>
      <c r="H8578" t="s">
        <v>22452</v>
      </c>
      <c r="I8578" t="s">
        <v>22484</v>
      </c>
      <c r="J8578" t="s">
        <v>28057</v>
      </c>
      <c r="K8578" t="s">
        <v>29335</v>
      </c>
      <c r="M8578" t="s">
        <v>32100</v>
      </c>
      <c r="N8578" t="s">
        <v>32524</v>
      </c>
      <c r="O8578" t="s">
        <v>32525</v>
      </c>
      <c r="Q8578">
        <v>10</v>
      </c>
      <c r="R8578" t="s">
        <v>32536</v>
      </c>
      <c r="S8578" t="s">
        <v>32825</v>
      </c>
      <c r="T8578" t="s">
        <v>33253</v>
      </c>
      <c r="U8578" t="s">
        <v>40740</v>
      </c>
      <c r="W8578" t="s">
        <v>32100</v>
      </c>
      <c r="X8578" t="s">
        <v>32537</v>
      </c>
    </row>
    <row r="8579" spans="1:24">
      <c r="A8579">
        <f>HYPERLINK("https://www.philgeps.gov.ph/GEPSNONPILOT/Tender/SplashBidNoticeAbstractUI.aspx?menuIndex=3&amp;refID=7031942&amp;Result=3","7031942")</f>
        <v>0</v>
      </c>
      <c r="B8579" t="s">
        <v>2430</v>
      </c>
      <c r="C8579" t="s">
        <v>10879</v>
      </c>
      <c r="D8579" t="s">
        <v>13038</v>
      </c>
      <c r="E8579" t="s">
        <v>20581</v>
      </c>
      <c r="F8579" t="s">
        <v>22436</v>
      </c>
      <c r="G8579" t="s">
        <v>22444</v>
      </c>
      <c r="H8579" t="s">
        <v>22452</v>
      </c>
      <c r="I8579" t="s">
        <v>22469</v>
      </c>
      <c r="J8579" t="s">
        <v>22634</v>
      </c>
      <c r="K8579" t="s">
        <v>29333</v>
      </c>
      <c r="M8579" t="s">
        <v>32233</v>
      </c>
      <c r="N8579" t="s">
        <v>32524</v>
      </c>
      <c r="O8579" t="s">
        <v>32525</v>
      </c>
      <c r="P8579">
        <v>0</v>
      </c>
      <c r="Q8579">
        <v>5</v>
      </c>
      <c r="R8579" t="s">
        <v>32536</v>
      </c>
      <c r="S8579" t="s">
        <v>32785</v>
      </c>
      <c r="T8579" t="s">
        <v>33259</v>
      </c>
      <c r="U8579" t="s">
        <v>40741</v>
      </c>
      <c r="W8579" t="s">
        <v>32233</v>
      </c>
      <c r="X8579" t="s">
        <v>32537</v>
      </c>
    </row>
    <row r="8580" spans="1:24">
      <c r="A8580">
        <f>HYPERLINK("https://www.philgeps.gov.ph/GEPSNONPILOT/Tender/SplashBidNoticeAbstractUI.aspx?menuIndex=3&amp;refID=7031904&amp;Result=3","7031904")</f>
        <v>0</v>
      </c>
      <c r="B8580" t="s">
        <v>1147</v>
      </c>
      <c r="C8580" t="s">
        <v>10880</v>
      </c>
      <c r="D8580" t="s">
        <v>13000</v>
      </c>
      <c r="E8580" t="s">
        <v>20582</v>
      </c>
      <c r="F8580" t="s">
        <v>22436</v>
      </c>
      <c r="G8580" t="s">
        <v>22444</v>
      </c>
      <c r="H8580" t="s">
        <v>22454</v>
      </c>
      <c r="I8580" t="s">
        <v>7738</v>
      </c>
      <c r="J8580" t="s">
        <v>28058</v>
      </c>
      <c r="K8580" t="s">
        <v>29402</v>
      </c>
      <c r="M8580" t="s">
        <v>30791</v>
      </c>
      <c r="N8580" t="s">
        <v>32524</v>
      </c>
      <c r="O8580" t="s">
        <v>32525</v>
      </c>
      <c r="P8580">
        <v>0</v>
      </c>
      <c r="Q8580">
        <v>0</v>
      </c>
      <c r="R8580" t="s">
        <v>32536</v>
      </c>
      <c r="S8580" t="s">
        <v>32785</v>
      </c>
      <c r="T8580" t="s">
        <v>33236</v>
      </c>
      <c r="U8580" t="s">
        <v>40742</v>
      </c>
      <c r="V8580" t="s">
        <v>43385</v>
      </c>
      <c r="W8580" t="s">
        <v>30791</v>
      </c>
      <c r="X8580" t="s">
        <v>32537</v>
      </c>
    </row>
    <row r="8581" spans="1:24">
      <c r="A8581">
        <f>HYPERLINK("https://www.philgeps.gov.ph/GEPSNONPILOT/Tender/SplashBidNoticeAbstractUI.aspx?menuIndex=3&amp;refID=7031954&amp;Result=3","7031954")</f>
        <v>0</v>
      </c>
      <c r="B8581" t="s">
        <v>2423</v>
      </c>
      <c r="C8581" t="s">
        <v>10881</v>
      </c>
      <c r="D8581" t="s">
        <v>12996</v>
      </c>
      <c r="E8581" t="s">
        <v>20583</v>
      </c>
      <c r="F8581" t="s">
        <v>22436</v>
      </c>
      <c r="G8581" t="s">
        <v>22444</v>
      </c>
      <c r="H8581" t="s">
        <v>22452</v>
      </c>
      <c r="I8581" t="s">
        <v>22499</v>
      </c>
      <c r="J8581" t="s">
        <v>22589</v>
      </c>
      <c r="K8581" t="s">
        <v>29338</v>
      </c>
      <c r="M8581" t="s">
        <v>32223</v>
      </c>
      <c r="N8581" t="s">
        <v>32524</v>
      </c>
      <c r="O8581" t="s">
        <v>32525</v>
      </c>
      <c r="P8581">
        <v>0</v>
      </c>
      <c r="Q8581">
        <v>6</v>
      </c>
      <c r="R8581" t="s">
        <v>32536</v>
      </c>
      <c r="S8581" t="s">
        <v>32785</v>
      </c>
      <c r="T8581" t="s">
        <v>33418</v>
      </c>
      <c r="U8581" t="s">
        <v>40743</v>
      </c>
      <c r="W8581" t="s">
        <v>32223</v>
      </c>
      <c r="X8581" t="s">
        <v>32537</v>
      </c>
    </row>
    <row r="8582" spans="1:24">
      <c r="A8582">
        <f>HYPERLINK("https://www.philgeps.gov.ph/GEPSNONPILOT/Tender/SplashBidNoticeAbstractUI.aspx?menuIndex=3&amp;refID=7031896&amp;Result=3","7031896")</f>
        <v>0</v>
      </c>
      <c r="B8582" t="s">
        <v>1873</v>
      </c>
      <c r="C8582" t="s">
        <v>10882</v>
      </c>
      <c r="D8582" t="s">
        <v>12988</v>
      </c>
      <c r="E8582" t="s">
        <v>20584</v>
      </c>
      <c r="F8582" t="s">
        <v>22436</v>
      </c>
      <c r="G8582" t="s">
        <v>22444</v>
      </c>
      <c r="H8582" t="s">
        <v>22454</v>
      </c>
      <c r="I8582" t="s">
        <v>7738</v>
      </c>
      <c r="J8582" t="s">
        <v>28059</v>
      </c>
      <c r="K8582" t="s">
        <v>29335</v>
      </c>
      <c r="M8582" t="s">
        <v>31591</v>
      </c>
      <c r="N8582" t="s">
        <v>32524</v>
      </c>
      <c r="O8582" t="s">
        <v>32525</v>
      </c>
      <c r="Q8582">
        <v>35</v>
      </c>
      <c r="R8582" t="s">
        <v>32536</v>
      </c>
      <c r="S8582" t="s">
        <v>32826</v>
      </c>
      <c r="T8582" t="s">
        <v>33211</v>
      </c>
      <c r="U8582" t="s">
        <v>38523</v>
      </c>
      <c r="W8582" t="s">
        <v>31591</v>
      </c>
      <c r="X8582" t="s">
        <v>32537</v>
      </c>
    </row>
    <row r="8583" spans="1:24">
      <c r="A8583">
        <f>HYPERLINK("https://www.philgeps.gov.ph/GEPSNONPILOT/Tender/SplashBidNoticeAbstractUI.aspx?menuIndex=3&amp;refID=7031892&amp;Result=3","7031892")</f>
        <v>0</v>
      </c>
      <c r="B8583" t="s">
        <v>1873</v>
      </c>
      <c r="C8583" t="s">
        <v>10883</v>
      </c>
      <c r="D8583" t="s">
        <v>12988</v>
      </c>
      <c r="E8583" t="s">
        <v>20585</v>
      </c>
      <c r="F8583" t="s">
        <v>22436</v>
      </c>
      <c r="G8583" t="s">
        <v>22444</v>
      </c>
      <c r="H8583" t="s">
        <v>22454</v>
      </c>
      <c r="I8583" t="s">
        <v>7738</v>
      </c>
      <c r="J8583" t="s">
        <v>28060</v>
      </c>
      <c r="K8583" t="s">
        <v>29335</v>
      </c>
      <c r="M8583" t="s">
        <v>31591</v>
      </c>
      <c r="N8583" t="s">
        <v>32524</v>
      </c>
      <c r="O8583" t="s">
        <v>32525</v>
      </c>
      <c r="Q8583">
        <v>34</v>
      </c>
      <c r="R8583" t="s">
        <v>32536</v>
      </c>
      <c r="S8583" t="s">
        <v>32827</v>
      </c>
      <c r="T8583" t="s">
        <v>33211</v>
      </c>
      <c r="U8583" t="s">
        <v>38523</v>
      </c>
      <c r="W8583" t="s">
        <v>31591</v>
      </c>
      <c r="X8583" t="s">
        <v>32537</v>
      </c>
    </row>
    <row r="8584" spans="1:24">
      <c r="A8584">
        <f>HYPERLINK("https://www.philgeps.gov.ph/GEPSNONPILOT/Tender/SplashBidNoticeAbstractUI.aspx?menuIndex=3&amp;refID=7031958&amp;Result=3","7031958")</f>
        <v>0</v>
      </c>
      <c r="B8584" t="s">
        <v>2431</v>
      </c>
      <c r="C8584" t="s">
        <v>10884</v>
      </c>
      <c r="D8584" t="s">
        <v>13074</v>
      </c>
      <c r="E8584" t="s">
        <v>10884</v>
      </c>
      <c r="F8584" t="s">
        <v>22436</v>
      </c>
      <c r="G8584" t="s">
        <v>22444</v>
      </c>
      <c r="H8584" t="s">
        <v>22452</v>
      </c>
      <c r="I8584" t="s">
        <v>3529</v>
      </c>
      <c r="J8584" t="s">
        <v>28061</v>
      </c>
      <c r="K8584" t="s">
        <v>29335</v>
      </c>
      <c r="M8584" t="s">
        <v>32234</v>
      </c>
      <c r="N8584" t="s">
        <v>32524</v>
      </c>
      <c r="O8584" t="s">
        <v>32525</v>
      </c>
      <c r="P8584">
        <v>0</v>
      </c>
      <c r="Q8584">
        <v>0</v>
      </c>
      <c r="R8584" t="s">
        <v>32536</v>
      </c>
      <c r="S8584" t="s">
        <v>32785</v>
      </c>
      <c r="T8584" t="s">
        <v>33400</v>
      </c>
      <c r="U8584" t="s">
        <v>40744</v>
      </c>
      <c r="W8584" t="s">
        <v>32234</v>
      </c>
      <c r="X8584" t="s">
        <v>32537</v>
      </c>
    </row>
    <row r="8585" spans="1:24">
      <c r="A8585">
        <f>HYPERLINK("https://www.philgeps.gov.ph/GEPSNONPILOT/Tender/SplashBidNoticeAbstractUI.aspx?menuIndex=3&amp;refID=7016779&amp;Result=3","7016779")</f>
        <v>0</v>
      </c>
      <c r="B8585" t="s">
        <v>432</v>
      </c>
      <c r="C8585" t="s">
        <v>10885</v>
      </c>
      <c r="D8585" t="s">
        <v>13028</v>
      </c>
      <c r="E8585" t="s">
        <v>20586</v>
      </c>
      <c r="F8585" t="s">
        <v>22436</v>
      </c>
      <c r="G8585" t="s">
        <v>22444</v>
      </c>
      <c r="H8585" t="s">
        <v>22454</v>
      </c>
      <c r="I8585" t="s">
        <v>7738</v>
      </c>
      <c r="J8585" t="s">
        <v>24130</v>
      </c>
      <c r="K8585" t="s">
        <v>29344</v>
      </c>
      <c r="M8585" t="s">
        <v>32235</v>
      </c>
      <c r="N8585" t="s">
        <v>32524</v>
      </c>
      <c r="O8585" t="s">
        <v>32525</v>
      </c>
      <c r="P8585">
        <v>0</v>
      </c>
      <c r="Q8585">
        <v>5</v>
      </c>
      <c r="R8585" t="s">
        <v>32537</v>
      </c>
      <c r="S8585" t="s">
        <v>32828</v>
      </c>
      <c r="T8585" t="s">
        <v>33211</v>
      </c>
      <c r="U8585" t="s">
        <v>34672</v>
      </c>
      <c r="V8585" t="s">
        <v>43386</v>
      </c>
      <c r="W8585" t="s">
        <v>32235</v>
      </c>
      <c r="X8585" t="s">
        <v>43782</v>
      </c>
    </row>
    <row r="8586" spans="1:24">
      <c r="A8586">
        <f>HYPERLINK("https://www.philgeps.gov.ph/GEPSNONPILOT/Tender/SplashBidNoticeAbstractUI.aspx?menuIndex=3&amp;refID=7017536&amp;Result=3","7017536")</f>
        <v>0</v>
      </c>
      <c r="B8586" t="s">
        <v>432</v>
      </c>
      <c r="C8586" t="s">
        <v>10886</v>
      </c>
      <c r="D8586" t="s">
        <v>13028</v>
      </c>
      <c r="E8586" t="s">
        <v>20587</v>
      </c>
      <c r="F8586" t="s">
        <v>22436</v>
      </c>
      <c r="G8586" t="s">
        <v>22444</v>
      </c>
      <c r="H8586" t="s">
        <v>22454</v>
      </c>
      <c r="I8586" t="s">
        <v>7738</v>
      </c>
      <c r="J8586" t="s">
        <v>23384</v>
      </c>
      <c r="K8586" t="s">
        <v>29347</v>
      </c>
      <c r="M8586" t="s">
        <v>32235</v>
      </c>
      <c r="N8586" t="s">
        <v>32524</v>
      </c>
      <c r="O8586" t="s">
        <v>32525</v>
      </c>
      <c r="P8586">
        <v>0</v>
      </c>
      <c r="Q8586">
        <v>0</v>
      </c>
      <c r="R8586" t="s">
        <v>32537</v>
      </c>
      <c r="S8586" t="s">
        <v>32828</v>
      </c>
      <c r="T8586" t="s">
        <v>33211</v>
      </c>
      <c r="U8586" t="s">
        <v>34672</v>
      </c>
      <c r="V8586" t="s">
        <v>43387</v>
      </c>
      <c r="W8586" t="s">
        <v>32235</v>
      </c>
      <c r="X8586" t="s">
        <v>43782</v>
      </c>
    </row>
    <row r="8587" spans="1:24">
      <c r="A8587">
        <f>HYPERLINK("https://www.philgeps.gov.ph/GEPSNONPILOT/Tender/SplashBidNoticeAbstractUI.aspx?menuIndex=3&amp;refID=7002927-2&amp;Result=3","7002927-2")</f>
        <v>0</v>
      </c>
      <c r="B8587" t="s">
        <v>1249</v>
      </c>
      <c r="C8587" t="s">
        <v>10887</v>
      </c>
      <c r="D8587" t="s">
        <v>13032</v>
      </c>
      <c r="E8587" t="s">
        <v>20588</v>
      </c>
      <c r="F8587" t="s">
        <v>22436</v>
      </c>
      <c r="G8587" t="s">
        <v>22444</v>
      </c>
      <c r="H8587" t="s">
        <v>22455</v>
      </c>
      <c r="I8587" t="s">
        <v>22455</v>
      </c>
      <c r="J8587" t="s">
        <v>22669</v>
      </c>
      <c r="K8587" t="s">
        <v>29346</v>
      </c>
      <c r="M8587" t="s">
        <v>30901</v>
      </c>
      <c r="N8587" t="s">
        <v>32524</v>
      </c>
      <c r="O8587" t="s">
        <v>32525</v>
      </c>
      <c r="P8587">
        <v>0</v>
      </c>
      <c r="Q8587">
        <v>0</v>
      </c>
      <c r="R8587" t="s">
        <v>32537</v>
      </c>
      <c r="S8587" t="s">
        <v>32828</v>
      </c>
      <c r="T8587" t="s">
        <v>33212</v>
      </c>
      <c r="U8587" t="s">
        <v>40745</v>
      </c>
      <c r="W8587" t="s">
        <v>30901</v>
      </c>
      <c r="X8587" t="s">
        <v>32538</v>
      </c>
    </row>
    <row r="8588" spans="1:24">
      <c r="A8588">
        <f>HYPERLINK("https://www.philgeps.gov.ph/GEPSNONPILOT/Tender/SplashBidNoticeAbstractUI.aspx?menuIndex=3&amp;refID=7031933&amp;Result=3","7031933")</f>
        <v>0</v>
      </c>
      <c r="B8588" t="s">
        <v>2432</v>
      </c>
      <c r="C8588" t="s">
        <v>10888</v>
      </c>
      <c r="D8588" t="s">
        <v>13028</v>
      </c>
      <c r="E8588" t="s">
        <v>20589</v>
      </c>
      <c r="F8588" t="s">
        <v>22436</v>
      </c>
      <c r="G8588" t="s">
        <v>22443</v>
      </c>
      <c r="H8588" t="s">
        <v>22454</v>
      </c>
      <c r="I8588" t="s">
        <v>7738</v>
      </c>
      <c r="J8588" t="s">
        <v>28062</v>
      </c>
      <c r="K8588" t="s">
        <v>29338</v>
      </c>
      <c r="M8588" t="s">
        <v>32236</v>
      </c>
      <c r="N8588" t="s">
        <v>32524</v>
      </c>
      <c r="O8588" t="s">
        <v>32525</v>
      </c>
      <c r="P8588">
        <v>0</v>
      </c>
      <c r="Q8588">
        <v>0</v>
      </c>
      <c r="R8588" t="s">
        <v>32536</v>
      </c>
      <c r="S8588" t="s">
        <v>32785</v>
      </c>
      <c r="T8588" t="s">
        <v>33220</v>
      </c>
      <c r="U8588" t="s">
        <v>40746</v>
      </c>
      <c r="W8588" t="s">
        <v>32236</v>
      </c>
      <c r="X8588" t="s">
        <v>32537</v>
      </c>
    </row>
    <row r="8589" spans="1:24">
      <c r="A8589">
        <f>HYPERLINK("https://www.philgeps.gov.ph/GEPSNONPILOT/Tender/SplashBidNoticeAbstractUI.aspx?menuIndex=3&amp;refID=7016892&amp;Result=3","7016892")</f>
        <v>0</v>
      </c>
      <c r="B8589" t="s">
        <v>432</v>
      </c>
      <c r="C8589" t="s">
        <v>10889</v>
      </c>
      <c r="D8589" t="s">
        <v>13028</v>
      </c>
      <c r="E8589" t="s">
        <v>20590</v>
      </c>
      <c r="F8589" t="s">
        <v>22436</v>
      </c>
      <c r="G8589" t="s">
        <v>22444</v>
      </c>
      <c r="H8589" t="s">
        <v>22454</v>
      </c>
      <c r="I8589" t="s">
        <v>7738</v>
      </c>
      <c r="J8589" t="s">
        <v>23384</v>
      </c>
      <c r="K8589" t="s">
        <v>29347</v>
      </c>
      <c r="M8589" t="s">
        <v>32235</v>
      </c>
      <c r="N8589" t="s">
        <v>32524</v>
      </c>
      <c r="O8589" t="s">
        <v>32525</v>
      </c>
      <c r="P8589">
        <v>0</v>
      </c>
      <c r="Q8589">
        <v>0</v>
      </c>
      <c r="R8589" t="s">
        <v>32537</v>
      </c>
      <c r="S8589" t="s">
        <v>32828</v>
      </c>
      <c r="T8589" t="s">
        <v>33211</v>
      </c>
      <c r="U8589" t="s">
        <v>40747</v>
      </c>
      <c r="V8589" t="s">
        <v>43388</v>
      </c>
      <c r="W8589" t="s">
        <v>32235</v>
      </c>
      <c r="X8589" t="s">
        <v>43782</v>
      </c>
    </row>
    <row r="8590" spans="1:24">
      <c r="A8590">
        <f>HYPERLINK("https://www.philgeps.gov.ph/GEPSNONPILOT/Tender/SplashBidNoticeAbstractUI.aspx?menuIndex=3&amp;refID=6997958-2&amp;Result=3","6997958-2")</f>
        <v>0</v>
      </c>
      <c r="B8590" t="s">
        <v>2433</v>
      </c>
      <c r="C8590" t="s">
        <v>10890</v>
      </c>
      <c r="D8590" t="s">
        <v>13046</v>
      </c>
      <c r="E8590" t="s">
        <v>20591</v>
      </c>
      <c r="F8590" t="s">
        <v>22436</v>
      </c>
      <c r="G8590" t="s">
        <v>22444</v>
      </c>
      <c r="H8590" t="s">
        <v>22455</v>
      </c>
      <c r="I8590" t="s">
        <v>22455</v>
      </c>
      <c r="J8590" t="s">
        <v>22911</v>
      </c>
      <c r="K8590" t="s">
        <v>29335</v>
      </c>
      <c r="M8590" t="s">
        <v>32237</v>
      </c>
      <c r="N8590" t="s">
        <v>32524</v>
      </c>
      <c r="O8590" t="s">
        <v>32525</v>
      </c>
      <c r="P8590">
        <v>0</v>
      </c>
      <c r="Q8590">
        <v>1</v>
      </c>
      <c r="R8590" t="s">
        <v>32537</v>
      </c>
      <c r="S8590" t="s">
        <v>32828</v>
      </c>
      <c r="T8590" t="s">
        <v>33180</v>
      </c>
      <c r="U8590" t="s">
        <v>40748</v>
      </c>
      <c r="V8590" t="s">
        <v>43389</v>
      </c>
      <c r="W8590" t="s">
        <v>32237</v>
      </c>
      <c r="X8590" t="s">
        <v>32538</v>
      </c>
    </row>
    <row r="8591" spans="1:24">
      <c r="A8591">
        <f>HYPERLINK("https://www.philgeps.gov.ph/GEPSNONPILOT/Tender/SplashBidNoticeAbstractUI.aspx?menuIndex=3&amp;refID=7002935-2&amp;Result=3","7002935-2")</f>
        <v>0</v>
      </c>
      <c r="B8591" t="s">
        <v>1249</v>
      </c>
      <c r="C8591" t="s">
        <v>10891</v>
      </c>
      <c r="E8591" t="s">
        <v>20592</v>
      </c>
      <c r="F8591" t="s">
        <v>22436</v>
      </c>
      <c r="G8591" t="s">
        <v>22444</v>
      </c>
      <c r="H8591" t="s">
        <v>22455</v>
      </c>
      <c r="I8591" t="s">
        <v>22455</v>
      </c>
      <c r="J8591" t="s">
        <v>23505</v>
      </c>
      <c r="K8591" t="s">
        <v>29331</v>
      </c>
      <c r="M8591" t="s">
        <v>30901</v>
      </c>
      <c r="N8591" t="s">
        <v>32524</v>
      </c>
      <c r="O8591" t="s">
        <v>32525</v>
      </c>
      <c r="P8591">
        <v>0</v>
      </c>
      <c r="Q8591">
        <v>1</v>
      </c>
      <c r="R8591" t="s">
        <v>32537</v>
      </c>
      <c r="S8591" t="s">
        <v>32828</v>
      </c>
      <c r="T8591" t="s">
        <v>33212</v>
      </c>
      <c r="U8591" t="s">
        <v>40749</v>
      </c>
      <c r="W8591" t="s">
        <v>30901</v>
      </c>
      <c r="X8591" t="s">
        <v>32538</v>
      </c>
    </row>
    <row r="8592" spans="1:24">
      <c r="A8592">
        <f>HYPERLINK("https://www.philgeps.gov.ph/GEPSNONPILOT/Tender/SplashBidNoticeAbstractUI.aspx?menuIndex=3&amp;refID=7031961&amp;Result=3","7031961")</f>
        <v>0</v>
      </c>
      <c r="B8592" t="s">
        <v>916</v>
      </c>
      <c r="C8592" t="s">
        <v>4923</v>
      </c>
      <c r="D8592" t="s">
        <v>13007</v>
      </c>
      <c r="E8592" t="s">
        <v>13521</v>
      </c>
      <c r="F8592" t="s">
        <v>22441</v>
      </c>
      <c r="G8592" t="s">
        <v>22444</v>
      </c>
      <c r="H8592" t="s">
        <v>22452</v>
      </c>
      <c r="I8592" t="s">
        <v>22474</v>
      </c>
      <c r="J8592" t="s">
        <v>22788</v>
      </c>
      <c r="K8592" t="s">
        <v>29336</v>
      </c>
      <c r="M8592" t="s">
        <v>30530</v>
      </c>
      <c r="N8592" t="s">
        <v>32524</v>
      </c>
      <c r="O8592" t="s">
        <v>32525</v>
      </c>
      <c r="P8592">
        <v>0</v>
      </c>
      <c r="Q8592">
        <v>0</v>
      </c>
      <c r="R8592" t="s">
        <v>32536</v>
      </c>
      <c r="S8592" t="s">
        <v>32785</v>
      </c>
      <c r="T8592" t="s">
        <v>33268</v>
      </c>
      <c r="U8592" t="s">
        <v>40750</v>
      </c>
      <c r="V8592" t="s">
        <v>42700</v>
      </c>
      <c r="W8592" t="s">
        <v>30530</v>
      </c>
      <c r="X8592" t="s">
        <v>32537</v>
      </c>
    </row>
    <row r="8593" spans="1:24">
      <c r="A8593">
        <f>HYPERLINK("https://www.philgeps.gov.ph/GEPSNONPILOT/Tender/SplashBidNoticeAbstractUI.aspx?menuIndex=3&amp;refID=7031919&amp;Result=3","7031919")</f>
        <v>0</v>
      </c>
      <c r="B8593" t="s">
        <v>1241</v>
      </c>
      <c r="C8593" t="s">
        <v>10892</v>
      </c>
      <c r="D8593" t="s">
        <v>12988</v>
      </c>
      <c r="E8593" t="s">
        <v>20593</v>
      </c>
      <c r="F8593" t="s">
        <v>22436</v>
      </c>
      <c r="G8593" t="s">
        <v>22444</v>
      </c>
      <c r="H8593" t="s">
        <v>22452</v>
      </c>
      <c r="I8593" t="s">
        <v>22469</v>
      </c>
      <c r="J8593" t="s">
        <v>24712</v>
      </c>
      <c r="K8593" t="s">
        <v>29333</v>
      </c>
      <c r="M8593" t="s">
        <v>30893</v>
      </c>
      <c r="N8593" t="s">
        <v>32524</v>
      </c>
      <c r="O8593" t="s">
        <v>32525</v>
      </c>
      <c r="P8593">
        <v>0</v>
      </c>
      <c r="Q8593">
        <v>20</v>
      </c>
      <c r="R8593" t="s">
        <v>32536</v>
      </c>
      <c r="S8593" t="s">
        <v>32785</v>
      </c>
      <c r="T8593" t="s">
        <v>33191</v>
      </c>
      <c r="U8593" t="s">
        <v>40751</v>
      </c>
      <c r="W8593" t="s">
        <v>30893</v>
      </c>
      <c r="X8593" t="s">
        <v>32537</v>
      </c>
    </row>
    <row r="8594" spans="1:24">
      <c r="A8594">
        <f>HYPERLINK("https://www.philgeps.gov.ph/GEPSNONPILOT/Tender/SplashBidNoticeAbstractUI.aspx?menuIndex=3&amp;refID=6997949-2&amp;Result=3","6997949-2")</f>
        <v>0</v>
      </c>
      <c r="B8594" t="s">
        <v>2433</v>
      </c>
      <c r="C8594" t="s">
        <v>10893</v>
      </c>
      <c r="E8594" t="s">
        <v>20594</v>
      </c>
      <c r="F8594" t="s">
        <v>22436</v>
      </c>
      <c r="G8594" t="s">
        <v>22444</v>
      </c>
      <c r="H8594" t="s">
        <v>22455</v>
      </c>
      <c r="I8594" t="s">
        <v>22455</v>
      </c>
      <c r="J8594" t="s">
        <v>22936</v>
      </c>
      <c r="K8594" t="s">
        <v>29333</v>
      </c>
      <c r="M8594" t="s">
        <v>32237</v>
      </c>
      <c r="N8594" t="s">
        <v>32524</v>
      </c>
      <c r="O8594" t="s">
        <v>32525</v>
      </c>
      <c r="P8594">
        <v>0</v>
      </c>
      <c r="Q8594">
        <v>2</v>
      </c>
      <c r="R8594" t="s">
        <v>32537</v>
      </c>
      <c r="S8594" t="s">
        <v>32828</v>
      </c>
      <c r="T8594" t="s">
        <v>33180</v>
      </c>
      <c r="U8594" t="s">
        <v>40752</v>
      </c>
      <c r="V8594" t="s">
        <v>43390</v>
      </c>
      <c r="W8594" t="s">
        <v>32237</v>
      </c>
      <c r="X8594" t="s">
        <v>32538</v>
      </c>
    </row>
    <row r="8595" spans="1:24">
      <c r="A8595">
        <f>HYPERLINK("https://www.philgeps.gov.ph/GEPSNONPILOT/Tender/SplashBidNoticeAbstractUI.aspx?menuIndex=3&amp;refID=6944866-2&amp;Result=3","6944866-2")</f>
        <v>0</v>
      </c>
      <c r="B8595" t="s">
        <v>2434</v>
      </c>
      <c r="C8595" t="s">
        <v>10894</v>
      </c>
      <c r="D8595" t="s">
        <v>13020</v>
      </c>
      <c r="E8595" t="s">
        <v>20595</v>
      </c>
      <c r="F8595" t="s">
        <v>22436</v>
      </c>
      <c r="G8595" t="s">
        <v>22444</v>
      </c>
      <c r="H8595" t="s">
        <v>22455</v>
      </c>
      <c r="I8595" t="s">
        <v>22455</v>
      </c>
      <c r="J8595" t="s">
        <v>28063</v>
      </c>
      <c r="K8595" t="s">
        <v>29334</v>
      </c>
      <c r="M8595" t="s">
        <v>32238</v>
      </c>
      <c r="N8595" t="s">
        <v>32524</v>
      </c>
      <c r="O8595" t="s">
        <v>32525</v>
      </c>
      <c r="P8595">
        <v>0</v>
      </c>
      <c r="Q8595">
        <v>0</v>
      </c>
      <c r="R8595" t="s">
        <v>32537</v>
      </c>
      <c r="S8595" t="s">
        <v>32828</v>
      </c>
      <c r="T8595" t="s">
        <v>33579</v>
      </c>
      <c r="U8595" t="s">
        <v>40753</v>
      </c>
      <c r="W8595" t="s">
        <v>32238</v>
      </c>
      <c r="X8595" t="s">
        <v>32538</v>
      </c>
    </row>
    <row r="8596" spans="1:24">
      <c r="A8596">
        <f>HYPERLINK("https://www.philgeps.gov.ph/GEPSNONPILOT/Tender/SplashBidNoticeAbstractUI.aspx?menuIndex=3&amp;refID=6997964-2&amp;Result=3","6997964-2")</f>
        <v>0</v>
      </c>
      <c r="B8596" t="s">
        <v>2433</v>
      </c>
      <c r="C8596" t="s">
        <v>10895</v>
      </c>
      <c r="D8596" t="s">
        <v>13046</v>
      </c>
      <c r="E8596" t="s">
        <v>20596</v>
      </c>
      <c r="F8596" t="s">
        <v>22436</v>
      </c>
      <c r="G8596" t="s">
        <v>22444</v>
      </c>
      <c r="H8596" t="s">
        <v>22455</v>
      </c>
      <c r="I8596" t="s">
        <v>22455</v>
      </c>
      <c r="J8596" t="s">
        <v>22911</v>
      </c>
      <c r="K8596" t="s">
        <v>29335</v>
      </c>
      <c r="M8596" t="s">
        <v>32237</v>
      </c>
      <c r="N8596" t="s">
        <v>32524</v>
      </c>
      <c r="O8596" t="s">
        <v>32525</v>
      </c>
      <c r="P8596">
        <v>0</v>
      </c>
      <c r="Q8596">
        <v>1</v>
      </c>
      <c r="R8596" t="s">
        <v>32537</v>
      </c>
      <c r="S8596" t="s">
        <v>32828</v>
      </c>
      <c r="T8596" t="s">
        <v>33180</v>
      </c>
      <c r="U8596" t="s">
        <v>40748</v>
      </c>
      <c r="V8596" t="s">
        <v>43391</v>
      </c>
      <c r="W8596" t="s">
        <v>32237</v>
      </c>
      <c r="X8596" t="s">
        <v>32538</v>
      </c>
    </row>
    <row r="8597" spans="1:24">
      <c r="A8597">
        <f>HYPERLINK("https://www.philgeps.gov.ph/GEPSNONPILOT/Tender/SplashBidNoticeAbstractUI.aspx?menuIndex=3&amp;refID=7022181&amp;Result=3","7022181")</f>
        <v>0</v>
      </c>
      <c r="B8597" t="s">
        <v>1337</v>
      </c>
      <c r="C8597" t="s">
        <v>10896</v>
      </c>
      <c r="D8597" t="s">
        <v>13042</v>
      </c>
      <c r="E8597" t="s">
        <v>20597</v>
      </c>
      <c r="F8597" t="s">
        <v>22436</v>
      </c>
      <c r="G8597" t="s">
        <v>22444</v>
      </c>
      <c r="H8597" t="s">
        <v>22454</v>
      </c>
      <c r="I8597" t="s">
        <v>7738</v>
      </c>
      <c r="J8597" t="s">
        <v>22587</v>
      </c>
      <c r="K8597" t="s">
        <v>29334</v>
      </c>
      <c r="M8597" t="s">
        <v>30992</v>
      </c>
      <c r="N8597" t="s">
        <v>32524</v>
      </c>
      <c r="O8597" t="s">
        <v>32525</v>
      </c>
      <c r="P8597">
        <v>0</v>
      </c>
      <c r="Q8597">
        <v>0</v>
      </c>
      <c r="R8597" t="s">
        <v>32537</v>
      </c>
      <c r="S8597" t="s">
        <v>32828</v>
      </c>
      <c r="T8597" t="s">
        <v>33190</v>
      </c>
      <c r="U8597" t="s">
        <v>40754</v>
      </c>
      <c r="W8597" t="s">
        <v>30992</v>
      </c>
      <c r="X8597" t="s">
        <v>32540</v>
      </c>
    </row>
    <row r="8598" spans="1:24">
      <c r="A8598">
        <f>HYPERLINK("https://www.philgeps.gov.ph/GEPSNONPILOT/Tender/SplashBidNoticeAbstractUI.aspx?menuIndex=3&amp;refID=7017640&amp;Result=3","7017640")</f>
        <v>0</v>
      </c>
      <c r="B8598" t="s">
        <v>432</v>
      </c>
      <c r="C8598" t="s">
        <v>10897</v>
      </c>
      <c r="D8598" t="s">
        <v>13028</v>
      </c>
      <c r="E8598" t="s">
        <v>20598</v>
      </c>
      <c r="F8598" t="s">
        <v>22436</v>
      </c>
      <c r="G8598" t="s">
        <v>22444</v>
      </c>
      <c r="H8598" t="s">
        <v>22454</v>
      </c>
      <c r="I8598" t="s">
        <v>7738</v>
      </c>
      <c r="J8598" t="s">
        <v>23384</v>
      </c>
      <c r="K8598" t="s">
        <v>29347</v>
      </c>
      <c r="M8598" t="s">
        <v>32235</v>
      </c>
      <c r="N8598" t="s">
        <v>32524</v>
      </c>
      <c r="O8598" t="s">
        <v>32525</v>
      </c>
      <c r="P8598">
        <v>0</v>
      </c>
      <c r="Q8598">
        <v>1</v>
      </c>
      <c r="R8598" t="s">
        <v>32537</v>
      </c>
      <c r="S8598" t="s">
        <v>32828</v>
      </c>
      <c r="T8598" t="s">
        <v>33211</v>
      </c>
      <c r="U8598" t="s">
        <v>34672</v>
      </c>
      <c r="V8598" t="s">
        <v>43392</v>
      </c>
      <c r="W8598" t="s">
        <v>32235</v>
      </c>
      <c r="X8598" t="s">
        <v>43782</v>
      </c>
    </row>
    <row r="8599" spans="1:24">
      <c r="A8599">
        <f>HYPERLINK("https://www.philgeps.gov.ph/GEPSNONPILOT/Tender/SplashBidNoticeAbstractUI.aspx?menuIndex=3&amp;refID=7031903&amp;Result=3","7031903")</f>
        <v>0</v>
      </c>
      <c r="B8599" t="s">
        <v>1229</v>
      </c>
      <c r="C8599" t="s">
        <v>10898</v>
      </c>
      <c r="D8599" t="s">
        <v>13026</v>
      </c>
      <c r="E8599" t="s">
        <v>20599</v>
      </c>
      <c r="F8599" t="s">
        <v>22436</v>
      </c>
      <c r="G8599" t="s">
        <v>22444</v>
      </c>
      <c r="H8599" t="s">
        <v>22454</v>
      </c>
      <c r="I8599" t="s">
        <v>7738</v>
      </c>
      <c r="J8599" t="s">
        <v>28064</v>
      </c>
      <c r="K8599" t="s">
        <v>29344</v>
      </c>
      <c r="M8599" t="s">
        <v>30881</v>
      </c>
      <c r="N8599" t="s">
        <v>32524</v>
      </c>
      <c r="O8599" t="s">
        <v>32525</v>
      </c>
      <c r="P8599">
        <v>0</v>
      </c>
      <c r="Q8599">
        <v>2</v>
      </c>
      <c r="R8599" t="s">
        <v>32536</v>
      </c>
      <c r="S8599" t="s">
        <v>32785</v>
      </c>
      <c r="T8599" t="s">
        <v>33227</v>
      </c>
      <c r="U8599" t="s">
        <v>40755</v>
      </c>
      <c r="W8599" t="s">
        <v>30881</v>
      </c>
      <c r="X8599" t="s">
        <v>32537</v>
      </c>
    </row>
    <row r="8600" spans="1:24">
      <c r="A8600">
        <f>HYPERLINK("https://www.philgeps.gov.ph/GEPSNONPILOT/Tender/SplashBidNoticeAbstractUI.aspx?menuIndex=3&amp;refID=7017568&amp;Result=3","7017568")</f>
        <v>0</v>
      </c>
      <c r="B8600" t="s">
        <v>432</v>
      </c>
      <c r="C8600" t="s">
        <v>10899</v>
      </c>
      <c r="D8600" t="s">
        <v>13028</v>
      </c>
      <c r="E8600" t="s">
        <v>20600</v>
      </c>
      <c r="F8600" t="s">
        <v>22436</v>
      </c>
      <c r="G8600" t="s">
        <v>22444</v>
      </c>
      <c r="H8600" t="s">
        <v>22454</v>
      </c>
      <c r="I8600" t="s">
        <v>7738</v>
      </c>
      <c r="J8600" t="s">
        <v>23384</v>
      </c>
      <c r="K8600" t="s">
        <v>29347</v>
      </c>
      <c r="M8600" t="s">
        <v>32235</v>
      </c>
      <c r="N8600" t="s">
        <v>32524</v>
      </c>
      <c r="O8600" t="s">
        <v>32525</v>
      </c>
      <c r="P8600">
        <v>0</v>
      </c>
      <c r="Q8600">
        <v>1</v>
      </c>
      <c r="R8600" t="s">
        <v>32537</v>
      </c>
      <c r="S8600" t="s">
        <v>32828</v>
      </c>
      <c r="T8600" t="s">
        <v>33211</v>
      </c>
      <c r="U8600" t="s">
        <v>40747</v>
      </c>
      <c r="V8600" t="s">
        <v>43393</v>
      </c>
      <c r="W8600" t="s">
        <v>32235</v>
      </c>
      <c r="X8600" t="s">
        <v>43782</v>
      </c>
    </row>
    <row r="8601" spans="1:24">
      <c r="A8601">
        <f>HYPERLINK("https://www.philgeps.gov.ph/GEPSNONPILOT/Tender/SplashBidNoticeAbstractUI.aspx?menuIndex=3&amp;refID=7020918&amp;Result=3","7020918")</f>
        <v>0</v>
      </c>
      <c r="B8601" t="s">
        <v>213</v>
      </c>
      <c r="C8601" t="s">
        <v>10900</v>
      </c>
      <c r="D8601" t="s">
        <v>13046</v>
      </c>
      <c r="E8601" t="s">
        <v>20601</v>
      </c>
      <c r="F8601" t="s">
        <v>22436</v>
      </c>
      <c r="G8601" t="s">
        <v>22444</v>
      </c>
      <c r="H8601" t="s">
        <v>22452</v>
      </c>
      <c r="I8601" t="s">
        <v>22512</v>
      </c>
      <c r="J8601" t="s">
        <v>28065</v>
      </c>
      <c r="K8601" t="s">
        <v>29330</v>
      </c>
      <c r="M8601" t="s">
        <v>29786</v>
      </c>
      <c r="N8601" t="s">
        <v>32524</v>
      </c>
      <c r="O8601" t="s">
        <v>32525</v>
      </c>
      <c r="P8601">
        <v>0</v>
      </c>
      <c r="Q8601">
        <v>3</v>
      </c>
      <c r="R8601" t="s">
        <v>32537</v>
      </c>
      <c r="S8601" t="s">
        <v>32828</v>
      </c>
      <c r="T8601" t="s">
        <v>33371</v>
      </c>
      <c r="U8601" t="s">
        <v>40756</v>
      </c>
      <c r="W8601" t="s">
        <v>29786</v>
      </c>
      <c r="X8601" t="s">
        <v>43779</v>
      </c>
    </row>
    <row r="8602" spans="1:24">
      <c r="A8602">
        <f>HYPERLINK("https://www.philgeps.gov.ph/GEPSNONPILOT/Tender/SplashBidNoticeAbstractUI.aspx?menuIndex=3&amp;refID=7020471&amp;Result=3","7020471")</f>
        <v>0</v>
      </c>
      <c r="B8602" t="s">
        <v>1828</v>
      </c>
      <c r="C8602" t="s">
        <v>10901</v>
      </c>
      <c r="D8602" t="s">
        <v>13026</v>
      </c>
      <c r="E8602" t="s">
        <v>20602</v>
      </c>
      <c r="F8602" t="s">
        <v>22436</v>
      </c>
      <c r="G8602" t="s">
        <v>22444</v>
      </c>
      <c r="H8602" t="s">
        <v>22454</v>
      </c>
      <c r="I8602" t="s">
        <v>7738</v>
      </c>
      <c r="J8602" t="s">
        <v>22624</v>
      </c>
      <c r="K8602" t="s">
        <v>29333</v>
      </c>
      <c r="M8602" t="s">
        <v>31543</v>
      </c>
      <c r="N8602" t="s">
        <v>32524</v>
      </c>
      <c r="O8602" t="s">
        <v>32525</v>
      </c>
      <c r="P8602">
        <v>0</v>
      </c>
      <c r="Q8602">
        <v>0</v>
      </c>
      <c r="R8602" t="s">
        <v>32537</v>
      </c>
      <c r="S8602" t="s">
        <v>32828</v>
      </c>
      <c r="T8602" t="s">
        <v>33155</v>
      </c>
      <c r="U8602" t="s">
        <v>40757</v>
      </c>
      <c r="W8602" t="s">
        <v>31543</v>
      </c>
      <c r="X8602" t="s">
        <v>43779</v>
      </c>
    </row>
    <row r="8603" spans="1:24">
      <c r="A8603">
        <f>HYPERLINK("https://www.philgeps.gov.ph/GEPSNONPILOT/Tender/SplashBidNoticeAbstractUI.aspx?menuIndex=3&amp;refID=7022852&amp;Result=3","7022852")</f>
        <v>0</v>
      </c>
      <c r="B8603" t="s">
        <v>453</v>
      </c>
      <c r="C8603" t="s">
        <v>10902</v>
      </c>
      <c r="D8603" t="s">
        <v>13006</v>
      </c>
      <c r="E8603" t="s">
        <v>20603</v>
      </c>
      <c r="F8603" t="s">
        <v>22436</v>
      </c>
      <c r="G8603" t="s">
        <v>22444</v>
      </c>
      <c r="H8603" t="s">
        <v>22452</v>
      </c>
      <c r="I8603" t="s">
        <v>3529</v>
      </c>
      <c r="J8603" t="s">
        <v>28066</v>
      </c>
      <c r="K8603" t="s">
        <v>29341</v>
      </c>
      <c r="M8603" t="s">
        <v>30035</v>
      </c>
      <c r="N8603" t="s">
        <v>32524</v>
      </c>
      <c r="O8603" t="s">
        <v>32525</v>
      </c>
      <c r="P8603">
        <v>0</v>
      </c>
      <c r="Q8603">
        <v>1</v>
      </c>
      <c r="R8603" t="s">
        <v>32537</v>
      </c>
      <c r="S8603" t="s">
        <v>32828</v>
      </c>
      <c r="T8603" t="s">
        <v>33344</v>
      </c>
      <c r="U8603" t="s">
        <v>34531</v>
      </c>
      <c r="W8603" t="s">
        <v>30035</v>
      </c>
      <c r="X8603" t="s">
        <v>32540</v>
      </c>
    </row>
    <row r="8604" spans="1:24">
      <c r="A8604">
        <f>HYPERLINK("https://www.philgeps.gov.ph/GEPSNONPILOT/Tender/SplashBidNoticeAbstractUI.aspx?menuIndex=3&amp;refID=7022968&amp;Result=3","7022968")</f>
        <v>0</v>
      </c>
      <c r="B8604" t="s">
        <v>453</v>
      </c>
      <c r="C8604" t="s">
        <v>10903</v>
      </c>
      <c r="D8604" t="s">
        <v>13006</v>
      </c>
      <c r="E8604" t="s">
        <v>20604</v>
      </c>
      <c r="F8604" t="s">
        <v>22436</v>
      </c>
      <c r="G8604" t="s">
        <v>22444</v>
      </c>
      <c r="H8604" t="s">
        <v>22452</v>
      </c>
      <c r="I8604" t="s">
        <v>3529</v>
      </c>
      <c r="J8604" t="s">
        <v>28067</v>
      </c>
      <c r="K8604" t="s">
        <v>29341</v>
      </c>
      <c r="M8604" t="s">
        <v>30035</v>
      </c>
      <c r="N8604" t="s">
        <v>32524</v>
      </c>
      <c r="O8604" t="s">
        <v>32525</v>
      </c>
      <c r="P8604">
        <v>0</v>
      </c>
      <c r="Q8604">
        <v>3</v>
      </c>
      <c r="R8604" t="s">
        <v>32537</v>
      </c>
      <c r="S8604" t="s">
        <v>32828</v>
      </c>
      <c r="T8604" t="s">
        <v>33344</v>
      </c>
      <c r="U8604" t="s">
        <v>34531</v>
      </c>
      <c r="W8604" t="s">
        <v>30035</v>
      </c>
      <c r="X8604" t="s">
        <v>32540</v>
      </c>
    </row>
    <row r="8605" spans="1:24">
      <c r="A8605">
        <f>HYPERLINK("https://www.philgeps.gov.ph/GEPSNONPILOT/Tender/SplashBidNoticeAbstractUI.aspx?menuIndex=3&amp;refID=7019904&amp;Result=3","7019904")</f>
        <v>0</v>
      </c>
      <c r="B8605" t="s">
        <v>2435</v>
      </c>
      <c r="C8605" t="s">
        <v>10904</v>
      </c>
      <c r="D8605" t="s">
        <v>13022</v>
      </c>
      <c r="E8605" t="s">
        <v>20605</v>
      </c>
      <c r="F8605" t="s">
        <v>22436</v>
      </c>
      <c r="G8605" t="s">
        <v>22444</v>
      </c>
      <c r="H8605" t="s">
        <v>22452</v>
      </c>
      <c r="I8605" t="s">
        <v>3529</v>
      </c>
      <c r="J8605" t="s">
        <v>28068</v>
      </c>
      <c r="K8605" t="s">
        <v>29390</v>
      </c>
      <c r="M8605" t="s">
        <v>32239</v>
      </c>
      <c r="N8605" t="s">
        <v>32524</v>
      </c>
      <c r="O8605" t="s">
        <v>32525</v>
      </c>
      <c r="P8605">
        <v>0</v>
      </c>
      <c r="Q8605">
        <v>0</v>
      </c>
      <c r="R8605" t="s">
        <v>32537</v>
      </c>
      <c r="S8605" t="s">
        <v>32828</v>
      </c>
      <c r="T8605" t="s">
        <v>33172</v>
      </c>
      <c r="U8605" t="s">
        <v>40758</v>
      </c>
      <c r="W8605" t="s">
        <v>32239</v>
      </c>
      <c r="X8605" t="s">
        <v>43779</v>
      </c>
    </row>
    <row r="8606" spans="1:24">
      <c r="A8606">
        <f>HYPERLINK("https://www.philgeps.gov.ph/GEPSNONPILOT/Tender/SplashBidNoticeAbstractUI.aspx?menuIndex=3&amp;refID=7020167&amp;Result=3","7020167")</f>
        <v>0</v>
      </c>
      <c r="B8606" t="s">
        <v>2436</v>
      </c>
      <c r="C8606" t="s">
        <v>10905</v>
      </c>
      <c r="D8606" t="s">
        <v>13022</v>
      </c>
      <c r="E8606" t="s">
        <v>20605</v>
      </c>
      <c r="F8606" t="s">
        <v>22436</v>
      </c>
      <c r="G8606" t="s">
        <v>22444</v>
      </c>
      <c r="H8606" t="s">
        <v>22452</v>
      </c>
      <c r="I8606" t="s">
        <v>3529</v>
      </c>
      <c r="J8606" t="s">
        <v>28069</v>
      </c>
      <c r="K8606" t="s">
        <v>29362</v>
      </c>
      <c r="M8606" t="s">
        <v>32240</v>
      </c>
      <c r="N8606" t="s">
        <v>32524</v>
      </c>
      <c r="O8606" t="s">
        <v>32525</v>
      </c>
      <c r="P8606">
        <v>0</v>
      </c>
      <c r="Q8606">
        <v>0</v>
      </c>
      <c r="R8606" t="s">
        <v>32537</v>
      </c>
      <c r="S8606" t="s">
        <v>32828</v>
      </c>
      <c r="T8606" t="s">
        <v>33175</v>
      </c>
      <c r="U8606" t="s">
        <v>40759</v>
      </c>
      <c r="W8606" t="s">
        <v>32240</v>
      </c>
      <c r="X8606" t="s">
        <v>43779</v>
      </c>
    </row>
    <row r="8607" spans="1:24">
      <c r="A8607">
        <f>HYPERLINK("https://www.philgeps.gov.ph/GEPSNONPILOT/Tender/SplashBidNoticeAbstractUI.aspx?menuIndex=3&amp;refID=7019873&amp;Result=3","7019873")</f>
        <v>0</v>
      </c>
      <c r="B8607" t="s">
        <v>2437</v>
      </c>
      <c r="C8607" t="s">
        <v>10906</v>
      </c>
      <c r="D8607" t="s">
        <v>13022</v>
      </c>
      <c r="E8607" t="s">
        <v>20605</v>
      </c>
      <c r="F8607" t="s">
        <v>22436</v>
      </c>
      <c r="G8607" t="s">
        <v>22444</v>
      </c>
      <c r="H8607" t="s">
        <v>22452</v>
      </c>
      <c r="I8607" t="s">
        <v>3529</v>
      </c>
      <c r="J8607" t="s">
        <v>27575</v>
      </c>
      <c r="K8607" t="s">
        <v>29335</v>
      </c>
      <c r="M8607" t="s">
        <v>32241</v>
      </c>
      <c r="N8607" t="s">
        <v>32524</v>
      </c>
      <c r="O8607" t="s">
        <v>32525</v>
      </c>
      <c r="P8607">
        <v>0</v>
      </c>
      <c r="Q8607">
        <v>0</v>
      </c>
      <c r="R8607" t="s">
        <v>32537</v>
      </c>
      <c r="S8607" t="s">
        <v>32828</v>
      </c>
      <c r="T8607" t="s">
        <v>33175</v>
      </c>
      <c r="U8607" t="s">
        <v>40760</v>
      </c>
      <c r="W8607" t="s">
        <v>32241</v>
      </c>
      <c r="X8607" t="s">
        <v>43779</v>
      </c>
    </row>
    <row r="8608" spans="1:24">
      <c r="A8608">
        <f>HYPERLINK("https://www.philgeps.gov.ph/GEPSNONPILOT/Tender/SplashBidNoticeAbstractUI.aspx?menuIndex=3&amp;refID=7023830&amp;Result=3","7023830")</f>
        <v>0</v>
      </c>
      <c r="B8608" t="s">
        <v>1028</v>
      </c>
      <c r="C8608" t="s">
        <v>10907</v>
      </c>
      <c r="D8608" t="s">
        <v>13045</v>
      </c>
      <c r="E8608" t="s">
        <v>20606</v>
      </c>
      <c r="F8608" t="s">
        <v>22436</v>
      </c>
      <c r="G8608" t="s">
        <v>22444</v>
      </c>
      <c r="H8608" t="s">
        <v>22454</v>
      </c>
      <c r="I8608" t="s">
        <v>7738</v>
      </c>
      <c r="J8608" t="s">
        <v>28070</v>
      </c>
      <c r="K8608" t="s">
        <v>29335</v>
      </c>
      <c r="M8608" t="s">
        <v>30658</v>
      </c>
      <c r="N8608" t="s">
        <v>32524</v>
      </c>
      <c r="O8608" t="s">
        <v>32525</v>
      </c>
      <c r="P8608">
        <v>0</v>
      </c>
      <c r="Q8608">
        <v>0</v>
      </c>
      <c r="R8608" t="s">
        <v>32537</v>
      </c>
      <c r="S8608" t="s">
        <v>32828</v>
      </c>
      <c r="T8608" t="s">
        <v>33249</v>
      </c>
      <c r="U8608" t="s">
        <v>40761</v>
      </c>
      <c r="W8608" t="s">
        <v>30658</v>
      </c>
      <c r="X8608" t="s">
        <v>32540</v>
      </c>
    </row>
    <row r="8609" spans="1:24">
      <c r="A8609">
        <f>HYPERLINK("https://www.philgeps.gov.ph/GEPSNONPILOT/Tender/SplashBidNoticeAbstractUI.aspx?menuIndex=3&amp;refID=7023422&amp;Result=3","7023422")</f>
        <v>0</v>
      </c>
      <c r="B8609" t="s">
        <v>622</v>
      </c>
      <c r="C8609" t="s">
        <v>10908</v>
      </c>
      <c r="D8609" t="s">
        <v>12996</v>
      </c>
      <c r="E8609" t="s">
        <v>20607</v>
      </c>
      <c r="F8609" t="s">
        <v>22436</v>
      </c>
      <c r="G8609" t="s">
        <v>22444</v>
      </c>
      <c r="H8609" t="s">
        <v>22452</v>
      </c>
      <c r="I8609" t="s">
        <v>22479</v>
      </c>
      <c r="J8609" t="s">
        <v>28071</v>
      </c>
      <c r="K8609" t="s">
        <v>29333</v>
      </c>
      <c r="M8609" t="s">
        <v>30212</v>
      </c>
      <c r="N8609" t="s">
        <v>32524</v>
      </c>
      <c r="O8609" t="s">
        <v>32525</v>
      </c>
      <c r="P8609">
        <v>0</v>
      </c>
      <c r="Q8609">
        <v>8</v>
      </c>
      <c r="R8609" t="s">
        <v>32537</v>
      </c>
      <c r="S8609" t="s">
        <v>32828</v>
      </c>
      <c r="T8609" t="s">
        <v>33470</v>
      </c>
      <c r="U8609" t="s">
        <v>40762</v>
      </c>
      <c r="V8609" t="s">
        <v>43074</v>
      </c>
      <c r="W8609" t="s">
        <v>30212</v>
      </c>
      <c r="X8609" t="s">
        <v>32540</v>
      </c>
    </row>
    <row r="8610" spans="1:24">
      <c r="A8610">
        <f>HYPERLINK("https://www.philgeps.gov.ph/GEPSNONPILOT/Tender/SplashBidNoticeAbstractUI.aspx?menuIndex=3&amp;refID=7023811&amp;Result=3","7023811")</f>
        <v>0</v>
      </c>
      <c r="B8610" t="s">
        <v>1028</v>
      </c>
      <c r="C8610" t="s">
        <v>10909</v>
      </c>
      <c r="D8610" t="s">
        <v>13045</v>
      </c>
      <c r="E8610" t="s">
        <v>20608</v>
      </c>
      <c r="F8610" t="s">
        <v>22436</v>
      </c>
      <c r="G8610" t="s">
        <v>22444</v>
      </c>
      <c r="H8610" t="s">
        <v>22454</v>
      </c>
      <c r="I8610" t="s">
        <v>7738</v>
      </c>
      <c r="J8610" t="s">
        <v>22669</v>
      </c>
      <c r="K8610" t="s">
        <v>29388</v>
      </c>
      <c r="M8610" t="s">
        <v>30658</v>
      </c>
      <c r="N8610" t="s">
        <v>32524</v>
      </c>
      <c r="O8610" t="s">
        <v>32525</v>
      </c>
      <c r="P8610">
        <v>0</v>
      </c>
      <c r="Q8610">
        <v>0</v>
      </c>
      <c r="R8610" t="s">
        <v>32537</v>
      </c>
      <c r="S8610" t="s">
        <v>32828</v>
      </c>
      <c r="T8610" t="s">
        <v>33249</v>
      </c>
      <c r="U8610" t="s">
        <v>40763</v>
      </c>
      <c r="W8610" t="s">
        <v>30658</v>
      </c>
      <c r="X8610" t="s">
        <v>32540</v>
      </c>
    </row>
    <row r="8611" spans="1:24">
      <c r="A8611">
        <f>HYPERLINK("https://www.philgeps.gov.ph/GEPSNONPILOT/Tender/SplashBidNoticeAbstractUI.aspx?menuIndex=3&amp;refID=7024775&amp;Result=3","7024775")</f>
        <v>0</v>
      </c>
      <c r="B8611" t="s">
        <v>2438</v>
      </c>
      <c r="C8611" t="s">
        <v>10910</v>
      </c>
      <c r="D8611" t="s">
        <v>12988</v>
      </c>
      <c r="E8611" t="s">
        <v>20609</v>
      </c>
      <c r="F8611" t="s">
        <v>22436</v>
      </c>
      <c r="G8611" t="s">
        <v>22444</v>
      </c>
      <c r="H8611" t="s">
        <v>22454</v>
      </c>
      <c r="I8611" t="s">
        <v>7738</v>
      </c>
      <c r="J8611" t="s">
        <v>28072</v>
      </c>
      <c r="K8611" t="s">
        <v>29335</v>
      </c>
      <c r="M8611" t="s">
        <v>32242</v>
      </c>
      <c r="N8611" t="s">
        <v>32524</v>
      </c>
      <c r="O8611" t="s">
        <v>32525</v>
      </c>
      <c r="P8611">
        <v>0</v>
      </c>
      <c r="Q8611">
        <v>0</v>
      </c>
      <c r="R8611" t="s">
        <v>32537</v>
      </c>
      <c r="S8611" t="s">
        <v>32828</v>
      </c>
      <c r="T8611" t="s">
        <v>33236</v>
      </c>
      <c r="U8611" t="s">
        <v>40764</v>
      </c>
      <c r="W8611" t="s">
        <v>32242</v>
      </c>
      <c r="X8611" t="s">
        <v>32539</v>
      </c>
    </row>
    <row r="8612" spans="1:24">
      <c r="A8612">
        <f>HYPERLINK("https://www.philgeps.gov.ph/GEPSNONPILOT/Tender/SplashBidNoticeAbstractUI.aspx?menuIndex=3&amp;refID=7017692&amp;Result=3","7017692")</f>
        <v>0</v>
      </c>
      <c r="B8612" t="s">
        <v>432</v>
      </c>
      <c r="C8612" t="s">
        <v>10911</v>
      </c>
      <c r="D8612" t="s">
        <v>13028</v>
      </c>
      <c r="E8612" t="s">
        <v>20610</v>
      </c>
      <c r="F8612" t="s">
        <v>22436</v>
      </c>
      <c r="G8612" t="s">
        <v>22444</v>
      </c>
      <c r="H8612" t="s">
        <v>22454</v>
      </c>
      <c r="I8612" t="s">
        <v>7738</v>
      </c>
      <c r="J8612" t="s">
        <v>23384</v>
      </c>
      <c r="K8612" t="s">
        <v>29347</v>
      </c>
      <c r="M8612" t="s">
        <v>32235</v>
      </c>
      <c r="N8612" t="s">
        <v>32524</v>
      </c>
      <c r="O8612" t="s">
        <v>32525</v>
      </c>
      <c r="P8612">
        <v>0</v>
      </c>
      <c r="Q8612">
        <v>0</v>
      </c>
      <c r="R8612" t="s">
        <v>32537</v>
      </c>
      <c r="S8612" t="s">
        <v>32828</v>
      </c>
      <c r="T8612" t="s">
        <v>33211</v>
      </c>
      <c r="U8612" t="s">
        <v>34672</v>
      </c>
      <c r="V8612" t="s">
        <v>43394</v>
      </c>
      <c r="W8612" t="s">
        <v>32235</v>
      </c>
      <c r="X8612" t="s">
        <v>43782</v>
      </c>
    </row>
    <row r="8613" spans="1:24">
      <c r="A8613">
        <f>HYPERLINK("https://www.philgeps.gov.ph/GEPSNONPILOT/Tender/SplashBidNoticeAbstractUI.aspx?menuIndex=3&amp;refID=7024840&amp;Result=3","7024840")</f>
        <v>0</v>
      </c>
      <c r="B8613" t="s">
        <v>2331</v>
      </c>
      <c r="C8613" t="s">
        <v>10912</v>
      </c>
      <c r="D8613" t="s">
        <v>13031</v>
      </c>
      <c r="E8613" t="s">
        <v>20611</v>
      </c>
      <c r="F8613" t="s">
        <v>22436</v>
      </c>
      <c r="G8613" t="s">
        <v>22444</v>
      </c>
      <c r="H8613" t="s">
        <v>22452</v>
      </c>
      <c r="I8613" t="s">
        <v>22540</v>
      </c>
      <c r="J8613" t="s">
        <v>28073</v>
      </c>
      <c r="K8613" t="s">
        <v>29333</v>
      </c>
      <c r="M8613" t="s">
        <v>32108</v>
      </c>
      <c r="N8613" t="s">
        <v>32524</v>
      </c>
      <c r="O8613" t="s">
        <v>32525</v>
      </c>
      <c r="P8613">
        <v>0</v>
      </c>
      <c r="Q8613">
        <v>7</v>
      </c>
      <c r="R8613" t="s">
        <v>32537</v>
      </c>
      <c r="S8613" t="s">
        <v>32828</v>
      </c>
      <c r="T8613" t="s">
        <v>33249</v>
      </c>
      <c r="U8613" t="s">
        <v>40293</v>
      </c>
      <c r="V8613" t="s">
        <v>43395</v>
      </c>
      <c r="W8613" t="s">
        <v>32108</v>
      </c>
      <c r="X8613" t="s">
        <v>32539</v>
      </c>
    </row>
    <row r="8614" spans="1:24">
      <c r="A8614">
        <f>HYPERLINK("https://www.philgeps.gov.ph/GEPSNONPILOT/Tender/SplashBidNoticeAbstractUI.aspx?menuIndex=3&amp;refID=7024728&amp;Result=3","7024728")</f>
        <v>0</v>
      </c>
      <c r="B8614" t="s">
        <v>2331</v>
      </c>
      <c r="C8614" t="s">
        <v>10913</v>
      </c>
      <c r="D8614" t="s">
        <v>13031</v>
      </c>
      <c r="E8614" t="s">
        <v>20612</v>
      </c>
      <c r="F8614" t="s">
        <v>22436</v>
      </c>
      <c r="G8614" t="s">
        <v>22444</v>
      </c>
      <c r="H8614" t="s">
        <v>22452</v>
      </c>
      <c r="I8614" t="s">
        <v>22468</v>
      </c>
      <c r="J8614" t="s">
        <v>26913</v>
      </c>
      <c r="K8614" t="s">
        <v>29333</v>
      </c>
      <c r="M8614" t="s">
        <v>32108</v>
      </c>
      <c r="N8614" t="s">
        <v>32524</v>
      </c>
      <c r="O8614" t="s">
        <v>32525</v>
      </c>
      <c r="P8614">
        <v>0</v>
      </c>
      <c r="Q8614">
        <v>8</v>
      </c>
      <c r="R8614" t="s">
        <v>32537</v>
      </c>
      <c r="S8614" t="s">
        <v>32828</v>
      </c>
      <c r="T8614" t="s">
        <v>33249</v>
      </c>
      <c r="U8614" t="s">
        <v>40765</v>
      </c>
      <c r="V8614" t="s">
        <v>43395</v>
      </c>
      <c r="W8614" t="s">
        <v>32108</v>
      </c>
      <c r="X8614" t="s">
        <v>32539</v>
      </c>
    </row>
    <row r="8615" spans="1:24">
      <c r="A8615">
        <f>HYPERLINK("https://www.philgeps.gov.ph/GEPSNONPILOT/Tender/SplashBidNoticeAbstractUI.aspx?menuIndex=3&amp;refID=7023821&amp;Result=3","7023821")</f>
        <v>0</v>
      </c>
      <c r="B8615" t="s">
        <v>1028</v>
      </c>
      <c r="C8615" t="s">
        <v>10914</v>
      </c>
      <c r="D8615" t="s">
        <v>13045</v>
      </c>
      <c r="E8615" t="s">
        <v>20613</v>
      </c>
      <c r="F8615" t="s">
        <v>22436</v>
      </c>
      <c r="G8615" t="s">
        <v>22444</v>
      </c>
      <c r="H8615" t="s">
        <v>22454</v>
      </c>
      <c r="I8615" t="s">
        <v>7738</v>
      </c>
      <c r="J8615" t="s">
        <v>22877</v>
      </c>
      <c r="K8615" t="s">
        <v>29334</v>
      </c>
      <c r="M8615" t="s">
        <v>30658</v>
      </c>
      <c r="N8615" t="s">
        <v>32524</v>
      </c>
      <c r="O8615" t="s">
        <v>32525</v>
      </c>
      <c r="P8615">
        <v>0</v>
      </c>
      <c r="Q8615">
        <v>0</v>
      </c>
      <c r="R8615" t="s">
        <v>32537</v>
      </c>
      <c r="S8615" t="s">
        <v>32828</v>
      </c>
      <c r="T8615" t="s">
        <v>33249</v>
      </c>
      <c r="U8615" t="s">
        <v>40766</v>
      </c>
      <c r="W8615" t="s">
        <v>30658</v>
      </c>
      <c r="X8615" t="s">
        <v>32540</v>
      </c>
    </row>
    <row r="8616" spans="1:24">
      <c r="A8616">
        <f>HYPERLINK("https://www.philgeps.gov.ph/GEPSNONPILOT/Tender/SplashBidNoticeAbstractUI.aspx?menuIndex=3&amp;refID=7024572&amp;Result=3","7024572")</f>
        <v>0</v>
      </c>
      <c r="B8616" t="s">
        <v>2331</v>
      </c>
      <c r="C8616" t="s">
        <v>10915</v>
      </c>
      <c r="D8616" t="s">
        <v>13031</v>
      </c>
      <c r="E8616" t="s">
        <v>20614</v>
      </c>
      <c r="F8616" t="s">
        <v>22436</v>
      </c>
      <c r="G8616" t="s">
        <v>22444</v>
      </c>
      <c r="H8616" t="s">
        <v>22452</v>
      </c>
      <c r="I8616" t="s">
        <v>22540</v>
      </c>
      <c r="J8616" t="s">
        <v>28074</v>
      </c>
      <c r="K8616" t="s">
        <v>29333</v>
      </c>
      <c r="M8616" t="s">
        <v>32108</v>
      </c>
      <c r="N8616" t="s">
        <v>32524</v>
      </c>
      <c r="O8616" t="s">
        <v>32525</v>
      </c>
      <c r="P8616">
        <v>0</v>
      </c>
      <c r="Q8616">
        <v>8</v>
      </c>
      <c r="R8616" t="s">
        <v>32537</v>
      </c>
      <c r="S8616" t="s">
        <v>32828</v>
      </c>
      <c r="T8616" t="s">
        <v>33249</v>
      </c>
      <c r="U8616" t="s">
        <v>40293</v>
      </c>
      <c r="V8616" t="s">
        <v>43396</v>
      </c>
      <c r="W8616" t="s">
        <v>32108</v>
      </c>
      <c r="X8616" t="s">
        <v>32539</v>
      </c>
    </row>
    <row r="8617" spans="1:24">
      <c r="A8617">
        <f>HYPERLINK("https://www.philgeps.gov.ph/GEPSNONPILOT/Tender/SplashBidNoticeAbstractUI.aspx?menuIndex=3&amp;refID=7026014&amp;Result=3","7026014")</f>
        <v>0</v>
      </c>
      <c r="B8617" t="s">
        <v>1384</v>
      </c>
      <c r="C8617" t="s">
        <v>10916</v>
      </c>
      <c r="D8617" t="s">
        <v>13054</v>
      </c>
      <c r="E8617" t="s">
        <v>20615</v>
      </c>
      <c r="F8617" t="s">
        <v>22436</v>
      </c>
      <c r="G8617" t="s">
        <v>22444</v>
      </c>
      <c r="H8617" t="s">
        <v>22454</v>
      </c>
      <c r="I8617" t="s">
        <v>7738</v>
      </c>
      <c r="J8617" t="s">
        <v>28075</v>
      </c>
      <c r="K8617" t="s">
        <v>29433</v>
      </c>
      <c r="M8617" t="s">
        <v>31042</v>
      </c>
      <c r="N8617" t="s">
        <v>32524</v>
      </c>
      <c r="O8617" t="s">
        <v>32525</v>
      </c>
      <c r="P8617">
        <v>0</v>
      </c>
      <c r="Q8617">
        <v>0</v>
      </c>
      <c r="R8617" t="s">
        <v>32537</v>
      </c>
      <c r="S8617" t="s">
        <v>32828</v>
      </c>
      <c r="T8617" t="s">
        <v>33181</v>
      </c>
      <c r="U8617" t="s">
        <v>40767</v>
      </c>
      <c r="V8617" t="s">
        <v>42823</v>
      </c>
      <c r="W8617" t="s">
        <v>31042</v>
      </c>
      <c r="X8617" t="s">
        <v>32539</v>
      </c>
    </row>
    <row r="8618" spans="1:24">
      <c r="A8618">
        <f>HYPERLINK("https://www.philgeps.gov.ph/GEPSNONPILOT/Tender/SplashBidNoticeAbstractUI.aspx?menuIndex=3&amp;refID=7025816&amp;Result=3","7025816")</f>
        <v>0</v>
      </c>
      <c r="B8618" t="s">
        <v>1384</v>
      </c>
      <c r="C8618" t="s">
        <v>10917</v>
      </c>
      <c r="D8618" t="s">
        <v>13054</v>
      </c>
      <c r="E8618" t="s">
        <v>20616</v>
      </c>
      <c r="F8618" t="s">
        <v>22436</v>
      </c>
      <c r="G8618" t="s">
        <v>22444</v>
      </c>
      <c r="H8618" t="s">
        <v>22454</v>
      </c>
      <c r="I8618" t="s">
        <v>7738</v>
      </c>
      <c r="J8618" t="s">
        <v>28076</v>
      </c>
      <c r="K8618" t="s">
        <v>29386</v>
      </c>
      <c r="M8618" t="s">
        <v>31042</v>
      </c>
      <c r="N8618" t="s">
        <v>32524</v>
      </c>
      <c r="O8618" t="s">
        <v>32525</v>
      </c>
      <c r="P8618">
        <v>0</v>
      </c>
      <c r="Q8618">
        <v>0</v>
      </c>
      <c r="R8618" t="s">
        <v>32537</v>
      </c>
      <c r="S8618" t="s">
        <v>32828</v>
      </c>
      <c r="T8618" t="s">
        <v>33181</v>
      </c>
      <c r="U8618" t="s">
        <v>40768</v>
      </c>
      <c r="V8618" t="s">
        <v>42823</v>
      </c>
      <c r="W8618" t="s">
        <v>31042</v>
      </c>
      <c r="X8618" t="s">
        <v>32539</v>
      </c>
    </row>
    <row r="8619" spans="1:24">
      <c r="A8619">
        <f>HYPERLINK("https://www.philgeps.gov.ph/GEPSNONPILOT/Tender/SplashBidNoticeAbstractUI.aspx?menuIndex=3&amp;refID=7025700&amp;Result=3","7025700")</f>
        <v>0</v>
      </c>
      <c r="B8619" t="s">
        <v>1384</v>
      </c>
      <c r="C8619" t="s">
        <v>10918</v>
      </c>
      <c r="D8619" t="s">
        <v>13054</v>
      </c>
      <c r="E8619" t="s">
        <v>20617</v>
      </c>
      <c r="F8619" t="s">
        <v>22436</v>
      </c>
      <c r="G8619" t="s">
        <v>22444</v>
      </c>
      <c r="H8619" t="s">
        <v>22454</v>
      </c>
      <c r="I8619" t="s">
        <v>7738</v>
      </c>
      <c r="J8619" t="s">
        <v>28077</v>
      </c>
      <c r="K8619" t="s">
        <v>29471</v>
      </c>
      <c r="M8619" t="s">
        <v>31042</v>
      </c>
      <c r="N8619" t="s">
        <v>32524</v>
      </c>
      <c r="O8619" t="s">
        <v>32525</v>
      </c>
      <c r="P8619">
        <v>0</v>
      </c>
      <c r="Q8619">
        <v>1</v>
      </c>
      <c r="R8619" t="s">
        <v>32537</v>
      </c>
      <c r="S8619" t="s">
        <v>32828</v>
      </c>
      <c r="T8619" t="s">
        <v>33181</v>
      </c>
      <c r="U8619" t="s">
        <v>40769</v>
      </c>
      <c r="V8619" t="s">
        <v>42823</v>
      </c>
      <c r="W8619" t="s">
        <v>31042</v>
      </c>
      <c r="X8619" t="s">
        <v>32539</v>
      </c>
    </row>
    <row r="8620" spans="1:24">
      <c r="A8620">
        <f>HYPERLINK("https://www.philgeps.gov.ph/GEPSNONPILOT/Tender/SplashBidNoticeAbstractUI.aspx?menuIndex=3&amp;refID=7023205&amp;Result=3","7023205")</f>
        <v>0</v>
      </c>
      <c r="B8620" t="s">
        <v>1261</v>
      </c>
      <c r="C8620" t="s">
        <v>10919</v>
      </c>
      <c r="D8620" t="s">
        <v>13042</v>
      </c>
      <c r="E8620" t="s">
        <v>20618</v>
      </c>
      <c r="F8620" t="s">
        <v>22436</v>
      </c>
      <c r="G8620" t="s">
        <v>22444</v>
      </c>
      <c r="H8620" t="s">
        <v>22454</v>
      </c>
      <c r="I8620" t="s">
        <v>7738</v>
      </c>
      <c r="J8620" t="s">
        <v>28078</v>
      </c>
      <c r="K8620" t="s">
        <v>29551</v>
      </c>
      <c r="M8620" t="s">
        <v>30914</v>
      </c>
      <c r="N8620" t="s">
        <v>32524</v>
      </c>
      <c r="O8620" t="s">
        <v>32525</v>
      </c>
      <c r="P8620">
        <v>0</v>
      </c>
      <c r="Q8620">
        <v>0</v>
      </c>
      <c r="R8620" t="s">
        <v>32537</v>
      </c>
      <c r="S8620" t="s">
        <v>32828</v>
      </c>
      <c r="T8620" t="s">
        <v>33487</v>
      </c>
      <c r="U8620" t="s">
        <v>40770</v>
      </c>
      <c r="W8620" t="s">
        <v>30914</v>
      </c>
      <c r="X8620" t="s">
        <v>32540</v>
      </c>
    </row>
    <row r="8621" spans="1:24">
      <c r="A8621">
        <f>HYPERLINK("https://www.philgeps.gov.ph/GEPSNONPILOT/Tender/SplashBidNoticeAbstractUI.aspx?menuIndex=3&amp;refID=7025645&amp;Result=3","7025645")</f>
        <v>0</v>
      </c>
      <c r="B8621" t="s">
        <v>2331</v>
      </c>
      <c r="C8621" t="s">
        <v>10920</v>
      </c>
      <c r="D8621" t="s">
        <v>13031</v>
      </c>
      <c r="E8621" t="s">
        <v>20619</v>
      </c>
      <c r="F8621" t="s">
        <v>22436</v>
      </c>
      <c r="G8621" t="s">
        <v>22444</v>
      </c>
      <c r="H8621" t="s">
        <v>22452</v>
      </c>
      <c r="I8621" t="s">
        <v>22468</v>
      </c>
      <c r="J8621" t="s">
        <v>28079</v>
      </c>
      <c r="K8621" t="s">
        <v>29333</v>
      </c>
      <c r="M8621" t="s">
        <v>32108</v>
      </c>
      <c r="N8621" t="s">
        <v>32524</v>
      </c>
      <c r="O8621" t="s">
        <v>32525</v>
      </c>
      <c r="P8621">
        <v>0</v>
      </c>
      <c r="Q8621">
        <v>9</v>
      </c>
      <c r="R8621" t="s">
        <v>32537</v>
      </c>
      <c r="S8621" t="s">
        <v>32828</v>
      </c>
      <c r="T8621" t="s">
        <v>33249</v>
      </c>
      <c r="U8621" t="s">
        <v>40293</v>
      </c>
      <c r="V8621" t="s">
        <v>43395</v>
      </c>
      <c r="W8621" t="s">
        <v>32108</v>
      </c>
      <c r="X8621" t="s">
        <v>32539</v>
      </c>
    </row>
    <row r="8622" spans="1:24">
      <c r="A8622">
        <f>HYPERLINK("https://www.philgeps.gov.ph/GEPSNONPILOT/Tender/SplashBidNoticeAbstractUI.aspx?menuIndex=3&amp;refID=7025316&amp;Result=3","7025316")</f>
        <v>0</v>
      </c>
      <c r="B8622" t="s">
        <v>2331</v>
      </c>
      <c r="C8622" t="s">
        <v>10921</v>
      </c>
      <c r="D8622" t="s">
        <v>13031</v>
      </c>
      <c r="E8622" t="s">
        <v>20620</v>
      </c>
      <c r="F8622" t="s">
        <v>22436</v>
      </c>
      <c r="G8622" t="s">
        <v>22444</v>
      </c>
      <c r="H8622" t="s">
        <v>22452</v>
      </c>
      <c r="I8622" t="s">
        <v>22540</v>
      </c>
      <c r="J8622" t="s">
        <v>28080</v>
      </c>
      <c r="K8622" t="s">
        <v>29333</v>
      </c>
      <c r="M8622" t="s">
        <v>32108</v>
      </c>
      <c r="N8622" t="s">
        <v>32524</v>
      </c>
      <c r="O8622" t="s">
        <v>32525</v>
      </c>
      <c r="P8622">
        <v>0</v>
      </c>
      <c r="Q8622">
        <v>7</v>
      </c>
      <c r="R8622" t="s">
        <v>32537</v>
      </c>
      <c r="S8622" t="s">
        <v>32828</v>
      </c>
      <c r="T8622" t="s">
        <v>33249</v>
      </c>
      <c r="U8622" t="s">
        <v>40293</v>
      </c>
      <c r="V8622" t="s">
        <v>43395</v>
      </c>
      <c r="W8622" t="s">
        <v>32108</v>
      </c>
      <c r="X8622" t="s">
        <v>32539</v>
      </c>
    </row>
    <row r="8623" spans="1:24">
      <c r="A8623">
        <f>HYPERLINK("https://www.philgeps.gov.ph/GEPSNONPILOT/Tender/SplashBidNoticeAbstractUI.aspx?menuIndex=3&amp;refID=7025964&amp;Result=3","7025964")</f>
        <v>0</v>
      </c>
      <c r="B8623" t="s">
        <v>1384</v>
      </c>
      <c r="C8623" t="s">
        <v>10922</v>
      </c>
      <c r="D8623" t="s">
        <v>13054</v>
      </c>
      <c r="E8623" t="s">
        <v>20621</v>
      </c>
      <c r="F8623" t="s">
        <v>22436</v>
      </c>
      <c r="G8623" t="s">
        <v>22444</v>
      </c>
      <c r="H8623" t="s">
        <v>22454</v>
      </c>
      <c r="I8623" t="s">
        <v>7738</v>
      </c>
      <c r="J8623" t="s">
        <v>28081</v>
      </c>
      <c r="K8623" t="s">
        <v>29433</v>
      </c>
      <c r="M8623" t="s">
        <v>31042</v>
      </c>
      <c r="N8623" t="s">
        <v>32524</v>
      </c>
      <c r="O8623" t="s">
        <v>32525</v>
      </c>
      <c r="P8623">
        <v>0</v>
      </c>
      <c r="Q8623">
        <v>0</v>
      </c>
      <c r="R8623" t="s">
        <v>32537</v>
      </c>
      <c r="S8623" t="s">
        <v>32828</v>
      </c>
      <c r="T8623" t="s">
        <v>33181</v>
      </c>
      <c r="U8623" t="s">
        <v>40771</v>
      </c>
      <c r="V8623" t="s">
        <v>42823</v>
      </c>
      <c r="W8623" t="s">
        <v>31042</v>
      </c>
      <c r="X8623" t="s">
        <v>32539</v>
      </c>
    </row>
    <row r="8624" spans="1:24">
      <c r="A8624">
        <f>HYPERLINK("https://www.philgeps.gov.ph/GEPSNONPILOT/Tender/SplashBidNoticeAbstractUI.aspx?menuIndex=3&amp;refID=7025776&amp;Result=3","7025776")</f>
        <v>0</v>
      </c>
      <c r="B8624" t="s">
        <v>1384</v>
      </c>
      <c r="C8624" t="s">
        <v>10923</v>
      </c>
      <c r="D8624" t="s">
        <v>13054</v>
      </c>
      <c r="E8624" t="s">
        <v>20622</v>
      </c>
      <c r="F8624" t="s">
        <v>22436</v>
      </c>
      <c r="G8624" t="s">
        <v>22444</v>
      </c>
      <c r="H8624" t="s">
        <v>22454</v>
      </c>
      <c r="I8624" t="s">
        <v>7738</v>
      </c>
      <c r="J8624" t="s">
        <v>28082</v>
      </c>
      <c r="K8624" t="s">
        <v>29367</v>
      </c>
      <c r="M8624" t="s">
        <v>31042</v>
      </c>
      <c r="N8624" t="s">
        <v>32524</v>
      </c>
      <c r="O8624" t="s">
        <v>32525</v>
      </c>
      <c r="P8624">
        <v>0</v>
      </c>
      <c r="Q8624">
        <v>0</v>
      </c>
      <c r="R8624" t="s">
        <v>32537</v>
      </c>
      <c r="S8624" t="s">
        <v>32828</v>
      </c>
      <c r="T8624" t="s">
        <v>33181</v>
      </c>
      <c r="U8624" t="s">
        <v>40772</v>
      </c>
      <c r="V8624" t="s">
        <v>42823</v>
      </c>
      <c r="W8624" t="s">
        <v>31042</v>
      </c>
      <c r="X8624" t="s">
        <v>32539</v>
      </c>
    </row>
    <row r="8625" spans="1:24">
      <c r="A8625">
        <f>HYPERLINK("https://www.philgeps.gov.ph/GEPSNONPILOT/Tender/SplashBidNoticeAbstractUI.aspx?menuIndex=3&amp;refID=7025515&amp;Result=3","7025515")</f>
        <v>0</v>
      </c>
      <c r="B8625" t="s">
        <v>2385</v>
      </c>
      <c r="C8625" t="s">
        <v>10924</v>
      </c>
      <c r="D8625" t="s">
        <v>13007</v>
      </c>
      <c r="E8625" t="s">
        <v>20623</v>
      </c>
      <c r="F8625" t="s">
        <v>22436</v>
      </c>
      <c r="G8625" t="s">
        <v>22444</v>
      </c>
      <c r="H8625" t="s">
        <v>22452</v>
      </c>
      <c r="I8625" t="s">
        <v>3529</v>
      </c>
      <c r="J8625" t="s">
        <v>22986</v>
      </c>
      <c r="K8625" t="s">
        <v>29357</v>
      </c>
      <c r="M8625" t="s">
        <v>32176</v>
      </c>
      <c r="N8625" t="s">
        <v>32524</v>
      </c>
      <c r="O8625" t="s">
        <v>32525</v>
      </c>
      <c r="P8625">
        <v>0</v>
      </c>
      <c r="Q8625">
        <v>0</v>
      </c>
      <c r="R8625" t="s">
        <v>32537</v>
      </c>
      <c r="S8625" t="s">
        <v>32828</v>
      </c>
      <c r="T8625" t="s">
        <v>33168</v>
      </c>
      <c r="U8625" t="s">
        <v>40773</v>
      </c>
      <c r="W8625" t="s">
        <v>32176</v>
      </c>
      <c r="X8625" t="s">
        <v>32539</v>
      </c>
    </row>
    <row r="8626" spans="1:24">
      <c r="A8626">
        <f>HYPERLINK("https://www.philgeps.gov.ph/GEPSNONPILOT/Tender/SplashBidNoticeAbstractUI.aspx?menuIndex=3&amp;refID=7023323&amp;Result=3","7023323")</f>
        <v>0</v>
      </c>
      <c r="B8626" t="s">
        <v>622</v>
      </c>
      <c r="C8626" t="s">
        <v>10925</v>
      </c>
      <c r="D8626" t="s">
        <v>12996</v>
      </c>
      <c r="E8626" t="s">
        <v>20624</v>
      </c>
      <c r="F8626" t="s">
        <v>22436</v>
      </c>
      <c r="G8626" t="s">
        <v>22444</v>
      </c>
      <c r="H8626" t="s">
        <v>22452</v>
      </c>
      <c r="I8626" t="s">
        <v>22464</v>
      </c>
      <c r="J8626" t="s">
        <v>23835</v>
      </c>
      <c r="K8626" t="s">
        <v>29333</v>
      </c>
      <c r="M8626" t="s">
        <v>30212</v>
      </c>
      <c r="N8626" t="s">
        <v>32524</v>
      </c>
      <c r="O8626" t="s">
        <v>32525</v>
      </c>
      <c r="P8626">
        <v>0</v>
      </c>
      <c r="Q8626">
        <v>10</v>
      </c>
      <c r="R8626" t="s">
        <v>32537</v>
      </c>
      <c r="S8626" t="s">
        <v>32828</v>
      </c>
      <c r="T8626" t="s">
        <v>33470</v>
      </c>
      <c r="U8626" t="s">
        <v>40774</v>
      </c>
      <c r="V8626" t="s">
        <v>43074</v>
      </c>
      <c r="W8626" t="s">
        <v>30212</v>
      </c>
      <c r="X8626" t="s">
        <v>32540</v>
      </c>
    </row>
    <row r="8627" spans="1:24">
      <c r="A8627">
        <f>HYPERLINK("https://www.philgeps.gov.ph/GEPSNONPILOT/Tender/SplashBidNoticeAbstractUI.aspx?menuIndex=3&amp;refID=7025946&amp;Result=3","7025946")</f>
        <v>0</v>
      </c>
      <c r="B8627" t="s">
        <v>2331</v>
      </c>
      <c r="C8627" t="s">
        <v>10926</v>
      </c>
      <c r="D8627" t="s">
        <v>13031</v>
      </c>
      <c r="E8627" t="s">
        <v>20625</v>
      </c>
      <c r="F8627" t="s">
        <v>22436</v>
      </c>
      <c r="G8627" t="s">
        <v>22444</v>
      </c>
      <c r="H8627" t="s">
        <v>22452</v>
      </c>
      <c r="I8627" t="s">
        <v>22540</v>
      </c>
      <c r="J8627" t="s">
        <v>22750</v>
      </c>
      <c r="K8627" t="s">
        <v>29333</v>
      </c>
      <c r="M8627" t="s">
        <v>32108</v>
      </c>
      <c r="N8627" t="s">
        <v>32524</v>
      </c>
      <c r="O8627" t="s">
        <v>32525</v>
      </c>
      <c r="P8627">
        <v>0</v>
      </c>
      <c r="Q8627">
        <v>6</v>
      </c>
      <c r="R8627" t="s">
        <v>32537</v>
      </c>
      <c r="S8627" t="s">
        <v>32828</v>
      </c>
      <c r="T8627" t="s">
        <v>33249</v>
      </c>
      <c r="U8627" t="s">
        <v>40293</v>
      </c>
      <c r="V8627" t="s">
        <v>43397</v>
      </c>
      <c r="W8627" t="s">
        <v>32108</v>
      </c>
      <c r="X8627" t="s">
        <v>32539</v>
      </c>
    </row>
    <row r="8628" spans="1:24">
      <c r="A8628">
        <f>HYPERLINK("https://www.philgeps.gov.ph/GEPSNONPILOT/Tender/SplashBidNoticeAbstractUI.aspx?menuIndex=3&amp;refID=7025404&amp;Result=3","7025404")</f>
        <v>0</v>
      </c>
      <c r="B8628" t="s">
        <v>2439</v>
      </c>
      <c r="C8628" t="s">
        <v>10927</v>
      </c>
      <c r="D8628" t="s">
        <v>13022</v>
      </c>
      <c r="E8628" t="s">
        <v>20605</v>
      </c>
      <c r="F8628" t="s">
        <v>22436</v>
      </c>
      <c r="G8628" t="s">
        <v>22444</v>
      </c>
      <c r="H8628" t="s">
        <v>22452</v>
      </c>
      <c r="I8628" t="s">
        <v>3529</v>
      </c>
      <c r="J8628" t="s">
        <v>28083</v>
      </c>
      <c r="K8628" t="s">
        <v>29329</v>
      </c>
      <c r="M8628" t="s">
        <v>32243</v>
      </c>
      <c r="N8628" t="s">
        <v>32524</v>
      </c>
      <c r="O8628" t="s">
        <v>32525</v>
      </c>
      <c r="P8628">
        <v>0</v>
      </c>
      <c r="Q8628">
        <v>0</v>
      </c>
      <c r="R8628" t="s">
        <v>32537</v>
      </c>
      <c r="S8628" t="s">
        <v>32828</v>
      </c>
      <c r="T8628" t="s">
        <v>33175</v>
      </c>
      <c r="U8628" t="s">
        <v>40775</v>
      </c>
      <c r="W8628" t="s">
        <v>32243</v>
      </c>
      <c r="X8628" t="s">
        <v>32539</v>
      </c>
    </row>
    <row r="8629" spans="1:24">
      <c r="A8629">
        <f>HYPERLINK("https://www.philgeps.gov.ph/GEPSNONPILOT/Tender/SplashBidNoticeAbstractUI.aspx?menuIndex=3&amp;refID=7026212&amp;Result=3","7026212")</f>
        <v>0</v>
      </c>
      <c r="B8629" t="s">
        <v>1796</v>
      </c>
      <c r="C8629" t="s">
        <v>10928</v>
      </c>
      <c r="D8629" t="s">
        <v>12997</v>
      </c>
      <c r="E8629" t="s">
        <v>20626</v>
      </c>
      <c r="F8629" t="s">
        <v>22436</v>
      </c>
      <c r="G8629" t="s">
        <v>22443</v>
      </c>
      <c r="H8629" t="s">
        <v>22452</v>
      </c>
      <c r="I8629" t="s">
        <v>22494</v>
      </c>
      <c r="J8629" t="s">
        <v>28084</v>
      </c>
      <c r="K8629" t="s">
        <v>29357</v>
      </c>
      <c r="M8629" t="s">
        <v>31507</v>
      </c>
      <c r="N8629" t="s">
        <v>32524</v>
      </c>
      <c r="O8629" t="s">
        <v>32525</v>
      </c>
      <c r="P8629">
        <v>0</v>
      </c>
      <c r="Q8629">
        <v>0</v>
      </c>
      <c r="R8629" t="s">
        <v>32537</v>
      </c>
      <c r="S8629" t="s">
        <v>32828</v>
      </c>
      <c r="T8629" t="s">
        <v>33196</v>
      </c>
      <c r="U8629" t="s">
        <v>40776</v>
      </c>
      <c r="W8629" t="s">
        <v>31507</v>
      </c>
      <c r="X8629" t="s">
        <v>32539</v>
      </c>
    </row>
    <row r="8630" spans="1:24">
      <c r="A8630">
        <f>HYPERLINK("https://www.philgeps.gov.ph/GEPSNONPILOT/Tender/SplashBidNoticeAbstractUI.aspx?menuIndex=3&amp;refID=7026293&amp;Result=3","7026293")</f>
        <v>0</v>
      </c>
      <c r="B8630" t="s">
        <v>1796</v>
      </c>
      <c r="C8630" t="s">
        <v>10929</v>
      </c>
      <c r="D8630" t="s">
        <v>12997</v>
      </c>
      <c r="E8630" t="s">
        <v>20627</v>
      </c>
      <c r="F8630" t="s">
        <v>22436</v>
      </c>
      <c r="G8630" t="s">
        <v>22443</v>
      </c>
      <c r="H8630" t="s">
        <v>22452</v>
      </c>
      <c r="I8630" t="s">
        <v>22494</v>
      </c>
      <c r="J8630" t="s">
        <v>28085</v>
      </c>
      <c r="K8630" t="s">
        <v>29357</v>
      </c>
      <c r="M8630" t="s">
        <v>31507</v>
      </c>
      <c r="N8630" t="s">
        <v>32524</v>
      </c>
      <c r="O8630" t="s">
        <v>32525</v>
      </c>
      <c r="P8630">
        <v>0</v>
      </c>
      <c r="Q8630">
        <v>0</v>
      </c>
      <c r="R8630" t="s">
        <v>32537</v>
      </c>
      <c r="S8630" t="s">
        <v>32828</v>
      </c>
      <c r="T8630" t="s">
        <v>33161</v>
      </c>
      <c r="U8630" t="s">
        <v>40777</v>
      </c>
      <c r="W8630" t="s">
        <v>31507</v>
      </c>
      <c r="X8630" t="s">
        <v>32539</v>
      </c>
    </row>
    <row r="8631" spans="1:24">
      <c r="A8631">
        <f>HYPERLINK("https://www.philgeps.gov.ph/GEPSNONPILOT/Tender/SplashBidNoticeAbstractUI.aspx?menuIndex=3&amp;refID=7026496&amp;Result=3","7026496")</f>
        <v>0</v>
      </c>
      <c r="B8631" t="s">
        <v>1796</v>
      </c>
      <c r="C8631" t="s">
        <v>10930</v>
      </c>
      <c r="D8631" t="s">
        <v>12997</v>
      </c>
      <c r="E8631" t="s">
        <v>20628</v>
      </c>
      <c r="F8631" t="s">
        <v>22436</v>
      </c>
      <c r="G8631" t="s">
        <v>22443</v>
      </c>
      <c r="H8631" t="s">
        <v>22452</v>
      </c>
      <c r="I8631" t="s">
        <v>22494</v>
      </c>
      <c r="J8631" t="s">
        <v>28086</v>
      </c>
      <c r="K8631" t="s">
        <v>29357</v>
      </c>
      <c r="M8631" t="s">
        <v>31507</v>
      </c>
      <c r="N8631" t="s">
        <v>32524</v>
      </c>
      <c r="O8631" t="s">
        <v>32525</v>
      </c>
      <c r="P8631">
        <v>0</v>
      </c>
      <c r="Q8631">
        <v>0</v>
      </c>
      <c r="R8631" t="s">
        <v>32537</v>
      </c>
      <c r="S8631" t="s">
        <v>32828</v>
      </c>
      <c r="T8631" t="s">
        <v>33167</v>
      </c>
      <c r="U8631" t="s">
        <v>40778</v>
      </c>
      <c r="W8631" t="s">
        <v>31507</v>
      </c>
      <c r="X8631" t="s">
        <v>32539</v>
      </c>
    </row>
    <row r="8632" spans="1:24">
      <c r="A8632">
        <f>HYPERLINK("https://www.philgeps.gov.ph/GEPSNONPILOT/Tender/SplashBidNoticeAbstractUI.aspx?menuIndex=3&amp;refID=7024988&amp;Result=3","7024988")</f>
        <v>0</v>
      </c>
      <c r="B8632" t="s">
        <v>2440</v>
      </c>
      <c r="C8632" t="s">
        <v>10931</v>
      </c>
      <c r="D8632" t="s">
        <v>13007</v>
      </c>
      <c r="E8632" t="s">
        <v>20629</v>
      </c>
      <c r="F8632" t="s">
        <v>22436</v>
      </c>
      <c r="G8632" t="s">
        <v>22444</v>
      </c>
      <c r="H8632" t="s">
        <v>22452</v>
      </c>
      <c r="I8632" t="s">
        <v>22462</v>
      </c>
      <c r="J8632" t="s">
        <v>28087</v>
      </c>
      <c r="K8632" t="s">
        <v>29338</v>
      </c>
      <c r="M8632" t="s">
        <v>32244</v>
      </c>
      <c r="N8632" t="s">
        <v>32524</v>
      </c>
      <c r="O8632" t="s">
        <v>32525</v>
      </c>
      <c r="Q8632">
        <v>0</v>
      </c>
      <c r="R8632" t="s">
        <v>32537</v>
      </c>
      <c r="S8632" t="s">
        <v>32829</v>
      </c>
      <c r="T8632" t="s">
        <v>33242</v>
      </c>
      <c r="U8632" t="s">
        <v>40779</v>
      </c>
      <c r="W8632" t="s">
        <v>32244</v>
      </c>
      <c r="X8632" t="s">
        <v>32539</v>
      </c>
    </row>
    <row r="8633" spans="1:24">
      <c r="A8633">
        <f>HYPERLINK("https://www.philgeps.gov.ph/GEPSNONPILOT/Tender/SplashBidNoticeAbstractUI.aspx?menuIndex=3&amp;refID=7026359&amp;Result=3","7026359")</f>
        <v>0</v>
      </c>
      <c r="B8633" t="s">
        <v>1574</v>
      </c>
      <c r="C8633" t="s">
        <v>2961</v>
      </c>
      <c r="D8633" t="s">
        <v>13008</v>
      </c>
      <c r="E8633" t="s">
        <v>20630</v>
      </c>
      <c r="F8633" t="s">
        <v>22436</v>
      </c>
      <c r="G8633" t="s">
        <v>22444</v>
      </c>
      <c r="H8633" t="s">
        <v>22452</v>
      </c>
      <c r="I8633" t="s">
        <v>6421</v>
      </c>
      <c r="J8633" t="s">
        <v>28088</v>
      </c>
      <c r="K8633" t="s">
        <v>29338</v>
      </c>
      <c r="M8633" t="s">
        <v>31256</v>
      </c>
      <c r="N8633" t="s">
        <v>32524</v>
      </c>
      <c r="O8633" t="s">
        <v>32525</v>
      </c>
      <c r="P8633">
        <v>0</v>
      </c>
      <c r="Q8633">
        <v>4</v>
      </c>
      <c r="R8633" t="s">
        <v>32537</v>
      </c>
      <c r="S8633" t="s">
        <v>32828</v>
      </c>
      <c r="T8633" t="s">
        <v>33249</v>
      </c>
      <c r="U8633" t="s">
        <v>40780</v>
      </c>
      <c r="W8633" t="s">
        <v>31256</v>
      </c>
      <c r="X8633" t="s">
        <v>32539</v>
      </c>
    </row>
    <row r="8634" spans="1:24">
      <c r="A8634">
        <f>HYPERLINK("https://www.philgeps.gov.ph/GEPSNONPILOT/Tender/SplashBidNoticeAbstractUI.aspx?menuIndex=3&amp;refID=7026405&amp;Result=3","7026405")</f>
        <v>0</v>
      </c>
      <c r="B8634" t="s">
        <v>2438</v>
      </c>
      <c r="C8634" t="s">
        <v>10932</v>
      </c>
      <c r="D8634" t="s">
        <v>12988</v>
      </c>
      <c r="E8634" t="s">
        <v>20631</v>
      </c>
      <c r="F8634" t="s">
        <v>22436</v>
      </c>
      <c r="G8634" t="s">
        <v>22444</v>
      </c>
      <c r="H8634" t="s">
        <v>22454</v>
      </c>
      <c r="I8634" t="s">
        <v>7738</v>
      </c>
      <c r="J8634" t="s">
        <v>28089</v>
      </c>
      <c r="K8634" t="s">
        <v>29335</v>
      </c>
      <c r="M8634" t="s">
        <v>32242</v>
      </c>
      <c r="N8634" t="s">
        <v>32524</v>
      </c>
      <c r="O8634" t="s">
        <v>32525</v>
      </c>
      <c r="P8634">
        <v>0</v>
      </c>
      <c r="Q8634">
        <v>0</v>
      </c>
      <c r="R8634" t="s">
        <v>32537</v>
      </c>
      <c r="S8634" t="s">
        <v>32828</v>
      </c>
      <c r="T8634" t="s">
        <v>33388</v>
      </c>
      <c r="U8634" t="s">
        <v>40781</v>
      </c>
      <c r="W8634" t="s">
        <v>32242</v>
      </c>
      <c r="X8634" t="s">
        <v>32539</v>
      </c>
    </row>
    <row r="8635" spans="1:24">
      <c r="A8635">
        <f>HYPERLINK("https://www.philgeps.gov.ph/GEPSNONPILOT/Tender/SplashBidNoticeAbstractUI.aspx?menuIndex=3&amp;refID=7025095&amp;Result=3","7025095")</f>
        <v>0</v>
      </c>
      <c r="B8635" t="s">
        <v>163</v>
      </c>
      <c r="C8635" t="s">
        <v>10933</v>
      </c>
      <c r="D8635" t="s">
        <v>12994</v>
      </c>
      <c r="E8635" t="s">
        <v>20632</v>
      </c>
      <c r="F8635" t="s">
        <v>22436</v>
      </c>
      <c r="G8635" t="s">
        <v>22444</v>
      </c>
      <c r="H8635" t="s">
        <v>22452</v>
      </c>
      <c r="I8635" t="s">
        <v>22554</v>
      </c>
      <c r="J8635" t="s">
        <v>28090</v>
      </c>
      <c r="K8635" t="s">
        <v>29335</v>
      </c>
      <c r="M8635" t="s">
        <v>29735</v>
      </c>
      <c r="N8635" t="s">
        <v>32524</v>
      </c>
      <c r="O8635" t="s">
        <v>32525</v>
      </c>
      <c r="P8635">
        <v>0</v>
      </c>
      <c r="Q8635">
        <v>9</v>
      </c>
      <c r="R8635" t="s">
        <v>32537</v>
      </c>
      <c r="S8635" t="s">
        <v>32828</v>
      </c>
      <c r="T8635" t="s">
        <v>33382</v>
      </c>
      <c r="U8635" t="s">
        <v>40782</v>
      </c>
      <c r="W8635" t="s">
        <v>29735</v>
      </c>
      <c r="X8635" t="s">
        <v>32539</v>
      </c>
    </row>
    <row r="8636" spans="1:24">
      <c r="A8636">
        <f>HYPERLINK("https://www.philgeps.gov.ph/GEPSNONPILOT/Tender/SplashBidNoticeAbstractUI.aspx?menuIndex=3&amp;refID=7027087&amp;Result=3","7027087")</f>
        <v>0</v>
      </c>
      <c r="B8636" t="s">
        <v>1130</v>
      </c>
      <c r="C8636" t="s">
        <v>10934</v>
      </c>
      <c r="D8636" t="s">
        <v>12994</v>
      </c>
      <c r="E8636" t="s">
        <v>20633</v>
      </c>
      <c r="F8636" t="s">
        <v>22436</v>
      </c>
      <c r="G8636" t="s">
        <v>22444</v>
      </c>
      <c r="H8636" t="s">
        <v>22454</v>
      </c>
      <c r="I8636" t="s">
        <v>12358</v>
      </c>
      <c r="J8636" t="s">
        <v>28091</v>
      </c>
      <c r="K8636" t="s">
        <v>29335</v>
      </c>
      <c r="M8636" t="s">
        <v>30769</v>
      </c>
      <c r="N8636" t="s">
        <v>32524</v>
      </c>
      <c r="O8636" t="s">
        <v>32525</v>
      </c>
      <c r="P8636">
        <v>0</v>
      </c>
      <c r="Q8636">
        <v>2</v>
      </c>
      <c r="R8636" t="s">
        <v>32537</v>
      </c>
      <c r="S8636" t="s">
        <v>32828</v>
      </c>
      <c r="T8636" t="s">
        <v>33220</v>
      </c>
      <c r="U8636" t="s">
        <v>36329</v>
      </c>
      <c r="W8636" t="s">
        <v>30769</v>
      </c>
      <c r="X8636" t="s">
        <v>32538</v>
      </c>
    </row>
    <row r="8637" spans="1:24">
      <c r="A8637">
        <f>HYPERLINK("https://www.philgeps.gov.ph/GEPSNONPILOT/Tender/SplashBidNoticeAbstractUI.aspx?menuIndex=3&amp;refID=7026451&amp;Result=3","7026451")</f>
        <v>0</v>
      </c>
      <c r="B8637" t="s">
        <v>1796</v>
      </c>
      <c r="C8637" t="s">
        <v>10935</v>
      </c>
      <c r="D8637" t="s">
        <v>12997</v>
      </c>
      <c r="E8637" t="s">
        <v>20634</v>
      </c>
      <c r="F8637" t="s">
        <v>22436</v>
      </c>
      <c r="G8637" t="s">
        <v>22443</v>
      </c>
      <c r="H8637" t="s">
        <v>22452</v>
      </c>
      <c r="I8637" t="s">
        <v>22494</v>
      </c>
      <c r="J8637" t="s">
        <v>24555</v>
      </c>
      <c r="K8637" t="s">
        <v>29357</v>
      </c>
      <c r="M8637" t="s">
        <v>31507</v>
      </c>
      <c r="N8637" t="s">
        <v>32524</v>
      </c>
      <c r="O8637" t="s">
        <v>32525</v>
      </c>
      <c r="P8637">
        <v>0</v>
      </c>
      <c r="Q8637">
        <v>0</v>
      </c>
      <c r="R8637" t="s">
        <v>32537</v>
      </c>
      <c r="S8637" t="s">
        <v>32828</v>
      </c>
      <c r="T8637" t="s">
        <v>33161</v>
      </c>
      <c r="U8637" t="s">
        <v>40783</v>
      </c>
      <c r="W8637" t="s">
        <v>31507</v>
      </c>
      <c r="X8637" t="s">
        <v>32539</v>
      </c>
    </row>
    <row r="8638" spans="1:24">
      <c r="A8638">
        <f>HYPERLINK("https://www.philgeps.gov.ph/GEPSNONPILOT/Tender/SplashBidNoticeAbstractUI.aspx?menuIndex=3&amp;refID=7024976&amp;Result=3","7024976")</f>
        <v>0</v>
      </c>
      <c r="B8638" t="s">
        <v>2331</v>
      </c>
      <c r="C8638" t="s">
        <v>10936</v>
      </c>
      <c r="D8638" t="s">
        <v>13031</v>
      </c>
      <c r="E8638" t="s">
        <v>20635</v>
      </c>
      <c r="F8638" t="s">
        <v>22436</v>
      </c>
      <c r="G8638" t="s">
        <v>22444</v>
      </c>
      <c r="H8638" t="s">
        <v>22452</v>
      </c>
      <c r="I8638" t="s">
        <v>22468</v>
      </c>
      <c r="J8638" t="s">
        <v>28092</v>
      </c>
      <c r="K8638" t="s">
        <v>29333</v>
      </c>
      <c r="M8638" t="s">
        <v>32108</v>
      </c>
      <c r="N8638" t="s">
        <v>32524</v>
      </c>
      <c r="O8638" t="s">
        <v>32525</v>
      </c>
      <c r="P8638">
        <v>0</v>
      </c>
      <c r="Q8638">
        <v>9</v>
      </c>
      <c r="R8638" t="s">
        <v>32537</v>
      </c>
      <c r="S8638" t="s">
        <v>32828</v>
      </c>
      <c r="T8638" t="s">
        <v>33249</v>
      </c>
      <c r="U8638" t="s">
        <v>40293</v>
      </c>
      <c r="V8638" t="s">
        <v>43395</v>
      </c>
      <c r="W8638" t="s">
        <v>32108</v>
      </c>
      <c r="X8638" t="s">
        <v>32539</v>
      </c>
    </row>
    <row r="8639" spans="1:24">
      <c r="A8639">
        <f>HYPERLINK("https://www.philgeps.gov.ph/GEPSNONPILOT/Tender/SplashBidNoticeAbstractUI.aspx?menuIndex=3&amp;refID=7026657&amp;Result=3","7026657")</f>
        <v>0</v>
      </c>
      <c r="B8639" t="s">
        <v>1796</v>
      </c>
      <c r="C8639" t="s">
        <v>10937</v>
      </c>
      <c r="D8639" t="s">
        <v>12997</v>
      </c>
      <c r="E8639" t="s">
        <v>20636</v>
      </c>
      <c r="F8639" t="s">
        <v>22436</v>
      </c>
      <c r="G8639" t="s">
        <v>22443</v>
      </c>
      <c r="H8639" t="s">
        <v>22452</v>
      </c>
      <c r="I8639" t="s">
        <v>22494</v>
      </c>
      <c r="J8639" t="s">
        <v>22589</v>
      </c>
      <c r="K8639" t="s">
        <v>29357</v>
      </c>
      <c r="M8639" t="s">
        <v>31507</v>
      </c>
      <c r="N8639" t="s">
        <v>32524</v>
      </c>
      <c r="O8639" t="s">
        <v>32525</v>
      </c>
      <c r="P8639">
        <v>0</v>
      </c>
      <c r="Q8639">
        <v>0</v>
      </c>
      <c r="R8639" t="s">
        <v>32537</v>
      </c>
      <c r="S8639" t="s">
        <v>32828</v>
      </c>
      <c r="T8639" t="s">
        <v>33339</v>
      </c>
      <c r="U8639" t="s">
        <v>40784</v>
      </c>
      <c r="W8639" t="s">
        <v>31507</v>
      </c>
      <c r="X8639" t="s">
        <v>32539</v>
      </c>
    </row>
    <row r="8640" spans="1:24">
      <c r="A8640">
        <f>HYPERLINK("https://www.philgeps.gov.ph/GEPSNONPILOT/Tender/SplashBidNoticeAbstractUI.aspx?menuIndex=3&amp;refID=7027086&amp;Result=3","7027086")</f>
        <v>0</v>
      </c>
      <c r="B8640" t="s">
        <v>1130</v>
      </c>
      <c r="C8640" t="s">
        <v>10938</v>
      </c>
      <c r="D8640" t="s">
        <v>12994</v>
      </c>
      <c r="E8640" t="s">
        <v>20637</v>
      </c>
      <c r="F8640" t="s">
        <v>22436</v>
      </c>
      <c r="G8640" t="s">
        <v>22444</v>
      </c>
      <c r="H8640" t="s">
        <v>22454</v>
      </c>
      <c r="I8640" t="s">
        <v>7738</v>
      </c>
      <c r="J8640" t="s">
        <v>23347</v>
      </c>
      <c r="K8640" t="s">
        <v>29333</v>
      </c>
      <c r="M8640" t="s">
        <v>30769</v>
      </c>
      <c r="N8640" t="s">
        <v>32524</v>
      </c>
      <c r="O8640" t="s">
        <v>32525</v>
      </c>
      <c r="P8640">
        <v>0</v>
      </c>
      <c r="Q8640">
        <v>12</v>
      </c>
      <c r="R8640" t="s">
        <v>32537</v>
      </c>
      <c r="S8640" t="s">
        <v>32828</v>
      </c>
      <c r="T8640" t="s">
        <v>33184</v>
      </c>
      <c r="U8640" t="s">
        <v>40785</v>
      </c>
      <c r="W8640" t="s">
        <v>30769</v>
      </c>
      <c r="X8640" t="s">
        <v>32538</v>
      </c>
    </row>
    <row r="8641" spans="1:24">
      <c r="A8641">
        <f>HYPERLINK("https://www.philgeps.gov.ph/GEPSNONPILOT/Tender/SplashBidNoticeAbstractUI.aspx?menuIndex=3&amp;refID=7026636&amp;Result=3","7026636")</f>
        <v>0</v>
      </c>
      <c r="B8641" t="s">
        <v>831</v>
      </c>
      <c r="C8641" t="s">
        <v>10939</v>
      </c>
      <c r="D8641" t="s">
        <v>13025</v>
      </c>
      <c r="E8641" t="s">
        <v>20638</v>
      </c>
      <c r="F8641" t="s">
        <v>22436</v>
      </c>
      <c r="G8641" t="s">
        <v>22444</v>
      </c>
      <c r="H8641" t="s">
        <v>22454</v>
      </c>
      <c r="I8641" t="s">
        <v>7738</v>
      </c>
      <c r="J8641" t="s">
        <v>28093</v>
      </c>
      <c r="K8641" t="s">
        <v>29344</v>
      </c>
      <c r="M8641" t="s">
        <v>30437</v>
      </c>
      <c r="N8641" t="s">
        <v>32524</v>
      </c>
      <c r="O8641" t="s">
        <v>32525</v>
      </c>
      <c r="P8641">
        <v>0</v>
      </c>
      <c r="Q8641">
        <v>0</v>
      </c>
      <c r="R8641" t="s">
        <v>32537</v>
      </c>
      <c r="S8641" t="s">
        <v>32828</v>
      </c>
      <c r="T8641" t="s">
        <v>33242</v>
      </c>
      <c r="U8641" t="s">
        <v>40786</v>
      </c>
      <c r="W8641" t="s">
        <v>30437</v>
      </c>
      <c r="X8641" t="s">
        <v>32539</v>
      </c>
    </row>
    <row r="8642" spans="1:24">
      <c r="A8642">
        <f>HYPERLINK("https://www.philgeps.gov.ph/GEPSNONPILOT/Tender/SplashBidNoticeAbstractUI.aspx?menuIndex=3&amp;refID=7026126&amp;Result=3","7026126")</f>
        <v>0</v>
      </c>
      <c r="B8642" t="s">
        <v>1384</v>
      </c>
      <c r="C8642" t="s">
        <v>10940</v>
      </c>
      <c r="D8642" t="s">
        <v>13054</v>
      </c>
      <c r="E8642" t="s">
        <v>20639</v>
      </c>
      <c r="F8642" t="s">
        <v>22436</v>
      </c>
      <c r="G8642" t="s">
        <v>22444</v>
      </c>
      <c r="H8642" t="s">
        <v>22454</v>
      </c>
      <c r="I8642" t="s">
        <v>7738</v>
      </c>
      <c r="J8642" t="s">
        <v>28094</v>
      </c>
      <c r="K8642" t="s">
        <v>29334</v>
      </c>
      <c r="M8642" t="s">
        <v>31042</v>
      </c>
      <c r="N8642" t="s">
        <v>32524</v>
      </c>
      <c r="O8642" t="s">
        <v>32525</v>
      </c>
      <c r="P8642">
        <v>0</v>
      </c>
      <c r="Q8642">
        <v>0</v>
      </c>
      <c r="R8642" t="s">
        <v>32537</v>
      </c>
      <c r="S8642" t="s">
        <v>32828</v>
      </c>
      <c r="T8642" t="s">
        <v>33181</v>
      </c>
      <c r="U8642" t="s">
        <v>40787</v>
      </c>
      <c r="V8642" t="s">
        <v>42823</v>
      </c>
      <c r="W8642" t="s">
        <v>31042</v>
      </c>
      <c r="X8642" t="s">
        <v>32539</v>
      </c>
    </row>
    <row r="8643" spans="1:24">
      <c r="A8643">
        <f>HYPERLINK("https://www.philgeps.gov.ph/GEPSNONPILOT/Tender/SplashBidNoticeAbstractUI.aspx?menuIndex=3&amp;refID=7026967&amp;Result=3","7026967")</f>
        <v>0</v>
      </c>
      <c r="B8643" t="s">
        <v>2441</v>
      </c>
      <c r="C8643" t="s">
        <v>10941</v>
      </c>
      <c r="D8643" t="s">
        <v>13015</v>
      </c>
      <c r="E8643" t="s">
        <v>20640</v>
      </c>
      <c r="F8643" t="s">
        <v>22436</v>
      </c>
      <c r="G8643" t="s">
        <v>22444</v>
      </c>
      <c r="H8643" t="s">
        <v>22454</v>
      </c>
      <c r="I8643" t="s">
        <v>7738</v>
      </c>
      <c r="J8643" t="s">
        <v>23835</v>
      </c>
      <c r="K8643" t="s">
        <v>29401</v>
      </c>
      <c r="M8643" t="s">
        <v>32245</v>
      </c>
      <c r="N8643" t="s">
        <v>32524</v>
      </c>
      <c r="O8643" t="s">
        <v>32525</v>
      </c>
      <c r="P8643">
        <v>0</v>
      </c>
      <c r="Q8643">
        <v>3</v>
      </c>
      <c r="R8643" t="s">
        <v>32537</v>
      </c>
      <c r="S8643" t="s">
        <v>32828</v>
      </c>
      <c r="T8643" t="s">
        <v>33191</v>
      </c>
      <c r="U8643" t="s">
        <v>40788</v>
      </c>
      <c r="W8643" t="s">
        <v>32245</v>
      </c>
      <c r="X8643" t="s">
        <v>32539</v>
      </c>
    </row>
    <row r="8644" spans="1:24">
      <c r="A8644">
        <f>HYPERLINK("https://www.philgeps.gov.ph/GEPSNONPILOT/Tender/SplashBidNoticeAbstractUI.aspx?menuIndex=3&amp;refID=7026621&amp;Result=3","7026621")</f>
        <v>0</v>
      </c>
      <c r="B8644" t="s">
        <v>2253</v>
      </c>
      <c r="C8644" t="s">
        <v>10299</v>
      </c>
      <c r="D8644" t="s">
        <v>13037</v>
      </c>
      <c r="E8644" t="s">
        <v>14470</v>
      </c>
      <c r="F8644" t="s">
        <v>22436</v>
      </c>
      <c r="G8644" t="s">
        <v>22444</v>
      </c>
      <c r="H8644" t="s">
        <v>22452</v>
      </c>
      <c r="I8644" t="s">
        <v>6421</v>
      </c>
      <c r="J8644" t="s">
        <v>22893</v>
      </c>
      <c r="K8644" t="s">
        <v>29337</v>
      </c>
      <c r="M8644" t="s">
        <v>32021</v>
      </c>
      <c r="N8644" t="s">
        <v>32524</v>
      </c>
      <c r="O8644" t="s">
        <v>32525</v>
      </c>
      <c r="P8644">
        <v>0</v>
      </c>
      <c r="Q8644">
        <v>0</v>
      </c>
      <c r="R8644" t="s">
        <v>32537</v>
      </c>
      <c r="S8644" t="s">
        <v>32828</v>
      </c>
      <c r="T8644" t="s">
        <v>33241</v>
      </c>
      <c r="U8644" t="s">
        <v>40789</v>
      </c>
      <c r="V8644" t="s">
        <v>43254</v>
      </c>
      <c r="W8644" t="s">
        <v>32021</v>
      </c>
      <c r="X8644" t="s">
        <v>32539</v>
      </c>
    </row>
    <row r="8645" spans="1:24">
      <c r="A8645">
        <f>HYPERLINK("https://www.philgeps.gov.ph/GEPSNONPILOT/Tender/SplashBidNoticeAbstractUI.aspx?menuIndex=3&amp;refID=7026622&amp;Result=3","7026622")</f>
        <v>0</v>
      </c>
      <c r="B8645" t="s">
        <v>2442</v>
      </c>
      <c r="C8645" t="s">
        <v>10942</v>
      </c>
      <c r="E8645" t="s">
        <v>20641</v>
      </c>
      <c r="F8645" t="s">
        <v>22436</v>
      </c>
      <c r="G8645" t="s">
        <v>22444</v>
      </c>
      <c r="H8645" t="s">
        <v>22454</v>
      </c>
      <c r="I8645" t="s">
        <v>7738</v>
      </c>
      <c r="J8645" t="s">
        <v>28095</v>
      </c>
      <c r="K8645" t="s">
        <v>29333</v>
      </c>
      <c r="M8645" t="s">
        <v>32246</v>
      </c>
      <c r="N8645" t="s">
        <v>32524</v>
      </c>
      <c r="O8645" t="s">
        <v>32525</v>
      </c>
      <c r="P8645">
        <v>0</v>
      </c>
      <c r="Q8645">
        <v>3</v>
      </c>
      <c r="R8645" t="s">
        <v>32537</v>
      </c>
      <c r="S8645" t="s">
        <v>32828</v>
      </c>
      <c r="T8645" t="s">
        <v>33187</v>
      </c>
      <c r="U8645" t="s">
        <v>40790</v>
      </c>
      <c r="W8645" t="s">
        <v>32246</v>
      </c>
      <c r="X8645" t="s">
        <v>32539</v>
      </c>
    </row>
    <row r="8646" spans="1:24">
      <c r="A8646">
        <f>HYPERLINK("https://www.philgeps.gov.ph/GEPSNONPILOT/Tender/SplashBidNoticeAbstractUI.aspx?menuIndex=3&amp;refID=7026075&amp;Result=3","7026075")</f>
        <v>0</v>
      </c>
      <c r="B8646" t="s">
        <v>1384</v>
      </c>
      <c r="C8646" t="s">
        <v>10943</v>
      </c>
      <c r="D8646" t="s">
        <v>13054</v>
      </c>
      <c r="E8646" t="s">
        <v>20642</v>
      </c>
      <c r="F8646" t="s">
        <v>22436</v>
      </c>
      <c r="G8646" t="s">
        <v>22444</v>
      </c>
      <c r="H8646" t="s">
        <v>22454</v>
      </c>
      <c r="I8646" t="s">
        <v>7738</v>
      </c>
      <c r="J8646" t="s">
        <v>28096</v>
      </c>
      <c r="K8646" t="s">
        <v>29499</v>
      </c>
      <c r="M8646" t="s">
        <v>31042</v>
      </c>
      <c r="N8646" t="s">
        <v>32524</v>
      </c>
      <c r="O8646" t="s">
        <v>32525</v>
      </c>
      <c r="P8646">
        <v>0</v>
      </c>
      <c r="Q8646">
        <v>1</v>
      </c>
      <c r="R8646" t="s">
        <v>32537</v>
      </c>
      <c r="S8646" t="s">
        <v>32828</v>
      </c>
      <c r="T8646" t="s">
        <v>33181</v>
      </c>
      <c r="U8646" t="s">
        <v>40791</v>
      </c>
      <c r="V8646" t="s">
        <v>42823</v>
      </c>
      <c r="W8646" t="s">
        <v>31042</v>
      </c>
      <c r="X8646" t="s">
        <v>32539</v>
      </c>
    </row>
    <row r="8647" spans="1:24">
      <c r="A8647">
        <f>HYPERLINK("https://www.philgeps.gov.ph/GEPSNONPILOT/Tender/SplashBidNoticeAbstractUI.aspx?menuIndex=3&amp;refID=7026649&amp;Result=3","7026649")</f>
        <v>0</v>
      </c>
      <c r="B8647" t="s">
        <v>2442</v>
      </c>
      <c r="C8647" t="s">
        <v>10944</v>
      </c>
      <c r="E8647" t="s">
        <v>20643</v>
      </c>
      <c r="F8647" t="s">
        <v>22436</v>
      </c>
      <c r="G8647" t="s">
        <v>22444</v>
      </c>
      <c r="H8647" t="s">
        <v>22454</v>
      </c>
      <c r="I8647" t="s">
        <v>7738</v>
      </c>
      <c r="J8647" t="s">
        <v>23569</v>
      </c>
      <c r="K8647" t="s">
        <v>29331</v>
      </c>
      <c r="M8647" t="s">
        <v>32246</v>
      </c>
      <c r="N8647" t="s">
        <v>32524</v>
      </c>
      <c r="O8647" t="s">
        <v>32525</v>
      </c>
      <c r="P8647">
        <v>0</v>
      </c>
      <c r="Q8647">
        <v>2</v>
      </c>
      <c r="R8647" t="s">
        <v>32537</v>
      </c>
      <c r="S8647" t="s">
        <v>32828</v>
      </c>
      <c r="T8647" t="s">
        <v>33187</v>
      </c>
      <c r="U8647" t="s">
        <v>40790</v>
      </c>
      <c r="W8647" t="s">
        <v>32246</v>
      </c>
      <c r="X8647" t="s">
        <v>32539</v>
      </c>
    </row>
    <row r="8648" spans="1:24">
      <c r="A8648">
        <f>HYPERLINK("https://www.philgeps.gov.ph/GEPSNONPILOT/Tender/SplashBidNoticeAbstractUI.aspx?menuIndex=3&amp;refID=7027129&amp;Result=3","7027129")</f>
        <v>0</v>
      </c>
      <c r="B8648" t="s">
        <v>1469</v>
      </c>
      <c r="C8648" t="s">
        <v>10945</v>
      </c>
      <c r="D8648" t="s">
        <v>13034</v>
      </c>
      <c r="E8648" t="s">
        <v>20644</v>
      </c>
      <c r="F8648" t="s">
        <v>22436</v>
      </c>
      <c r="G8648" t="s">
        <v>22444</v>
      </c>
      <c r="H8648" t="s">
        <v>22454</v>
      </c>
      <c r="I8648" t="s">
        <v>7738</v>
      </c>
      <c r="J8648" t="s">
        <v>28097</v>
      </c>
      <c r="K8648" t="s">
        <v>29344</v>
      </c>
      <c r="M8648" t="s">
        <v>31138</v>
      </c>
      <c r="N8648" t="s">
        <v>32524</v>
      </c>
      <c r="O8648" t="s">
        <v>32525</v>
      </c>
      <c r="P8648">
        <v>0</v>
      </c>
      <c r="Q8648">
        <v>1</v>
      </c>
      <c r="R8648" t="s">
        <v>32537</v>
      </c>
      <c r="S8648" t="s">
        <v>32828</v>
      </c>
      <c r="T8648" t="s">
        <v>33242</v>
      </c>
      <c r="U8648" t="s">
        <v>40792</v>
      </c>
      <c r="W8648" t="s">
        <v>31138</v>
      </c>
      <c r="X8648" t="s">
        <v>32538</v>
      </c>
    </row>
    <row r="8649" spans="1:24">
      <c r="A8649">
        <f>HYPERLINK("https://www.philgeps.gov.ph/GEPSNONPILOT/Tender/SplashBidNoticeAbstractUI.aspx?menuIndex=3&amp;refID=7026403&amp;Result=3","7026403")</f>
        <v>0</v>
      </c>
      <c r="B8649" t="s">
        <v>1744</v>
      </c>
      <c r="C8649" t="s">
        <v>10946</v>
      </c>
      <c r="D8649" t="s">
        <v>13004</v>
      </c>
      <c r="E8649" t="s">
        <v>20645</v>
      </c>
      <c r="F8649" t="s">
        <v>22436</v>
      </c>
      <c r="G8649" t="s">
        <v>22444</v>
      </c>
      <c r="H8649" t="s">
        <v>22454</v>
      </c>
      <c r="I8649" t="s">
        <v>7738</v>
      </c>
      <c r="J8649" t="s">
        <v>28098</v>
      </c>
      <c r="K8649" t="s">
        <v>29351</v>
      </c>
      <c r="M8649" t="s">
        <v>31449</v>
      </c>
      <c r="N8649" t="s">
        <v>32524</v>
      </c>
      <c r="O8649" t="s">
        <v>32525</v>
      </c>
      <c r="P8649">
        <v>0</v>
      </c>
      <c r="Q8649">
        <v>7</v>
      </c>
      <c r="R8649" t="s">
        <v>32537</v>
      </c>
      <c r="S8649" t="s">
        <v>32828</v>
      </c>
      <c r="T8649" t="s">
        <v>33241</v>
      </c>
      <c r="U8649" t="s">
        <v>40793</v>
      </c>
      <c r="W8649" t="s">
        <v>31449</v>
      </c>
      <c r="X8649" t="s">
        <v>32539</v>
      </c>
    </row>
    <row r="8650" spans="1:24">
      <c r="A8650">
        <f>HYPERLINK("https://www.philgeps.gov.ph/GEPSNONPILOT/Tender/SplashBidNoticeAbstractUI.aspx?menuIndex=3&amp;refID=7027130&amp;Result=3","7027130")</f>
        <v>0</v>
      </c>
      <c r="B8650" t="s">
        <v>168</v>
      </c>
      <c r="C8650" t="s">
        <v>10947</v>
      </c>
      <c r="D8650" t="s">
        <v>13015</v>
      </c>
      <c r="E8650" t="s">
        <v>20646</v>
      </c>
      <c r="F8650" t="s">
        <v>22436</v>
      </c>
      <c r="G8650" t="s">
        <v>22444</v>
      </c>
      <c r="H8650" t="s">
        <v>22452</v>
      </c>
      <c r="I8650" t="s">
        <v>3529</v>
      </c>
      <c r="J8650" t="s">
        <v>28099</v>
      </c>
      <c r="K8650" t="s">
        <v>29335</v>
      </c>
      <c r="M8650" t="s">
        <v>29740</v>
      </c>
      <c r="N8650" t="s">
        <v>32524</v>
      </c>
      <c r="O8650" t="s">
        <v>32525</v>
      </c>
      <c r="P8650">
        <v>0</v>
      </c>
      <c r="Q8650">
        <v>0</v>
      </c>
      <c r="R8650" t="s">
        <v>32537</v>
      </c>
      <c r="S8650" t="s">
        <v>32828</v>
      </c>
      <c r="T8650" t="s">
        <v>33242</v>
      </c>
      <c r="U8650" t="s">
        <v>33937</v>
      </c>
      <c r="V8650" t="s">
        <v>42464</v>
      </c>
      <c r="W8650" t="s">
        <v>29740</v>
      </c>
      <c r="X8650" t="s">
        <v>32538</v>
      </c>
    </row>
    <row r="8651" spans="1:24">
      <c r="A8651">
        <f>HYPERLINK("https://www.philgeps.gov.ph/GEPSNONPILOT/Tender/SplashBidNoticeAbstractUI.aspx?menuIndex=3&amp;refID=7027128&amp;Result=3","7027128")</f>
        <v>0</v>
      </c>
      <c r="B8651" t="s">
        <v>652</v>
      </c>
      <c r="C8651" t="s">
        <v>10948</v>
      </c>
      <c r="D8651" t="s">
        <v>13040</v>
      </c>
      <c r="E8651" t="s">
        <v>20647</v>
      </c>
      <c r="F8651" t="s">
        <v>22436</v>
      </c>
      <c r="G8651" t="s">
        <v>22444</v>
      </c>
      <c r="H8651" t="s">
        <v>22452</v>
      </c>
      <c r="I8651" t="s">
        <v>6421</v>
      </c>
      <c r="J8651" t="s">
        <v>28100</v>
      </c>
      <c r="K8651" t="s">
        <v>29331</v>
      </c>
      <c r="M8651" t="s">
        <v>30244</v>
      </c>
      <c r="N8651" t="s">
        <v>32524</v>
      </c>
      <c r="O8651" t="s">
        <v>32525</v>
      </c>
      <c r="P8651">
        <v>0</v>
      </c>
      <c r="Q8651">
        <v>8</v>
      </c>
      <c r="R8651" t="s">
        <v>32537</v>
      </c>
      <c r="S8651" t="s">
        <v>32828</v>
      </c>
      <c r="T8651" t="s">
        <v>33304</v>
      </c>
      <c r="U8651" t="s">
        <v>40794</v>
      </c>
      <c r="W8651" t="s">
        <v>30244</v>
      </c>
      <c r="X8651" t="s">
        <v>32538</v>
      </c>
    </row>
    <row r="8652" spans="1:24">
      <c r="A8652">
        <f>HYPERLINK("https://www.philgeps.gov.ph/GEPSNONPILOT/Tender/SplashBidNoticeAbstractUI.aspx?menuIndex=3&amp;refID=7026503&amp;Result=3","7026503")</f>
        <v>0</v>
      </c>
      <c r="B8652" t="s">
        <v>1869</v>
      </c>
      <c r="C8652" t="s">
        <v>10949</v>
      </c>
      <c r="D8652" t="s">
        <v>13028</v>
      </c>
      <c r="E8652" t="s">
        <v>20648</v>
      </c>
      <c r="F8652" t="s">
        <v>22436</v>
      </c>
      <c r="G8652" t="s">
        <v>22444</v>
      </c>
      <c r="H8652" t="s">
        <v>22452</v>
      </c>
      <c r="I8652" t="s">
        <v>22471</v>
      </c>
      <c r="J8652" t="s">
        <v>25635</v>
      </c>
      <c r="K8652" t="s">
        <v>29337</v>
      </c>
      <c r="M8652" t="s">
        <v>31587</v>
      </c>
      <c r="N8652" t="s">
        <v>32524</v>
      </c>
      <c r="O8652" t="s">
        <v>32525</v>
      </c>
      <c r="P8652">
        <v>0</v>
      </c>
      <c r="Q8652">
        <v>7</v>
      </c>
      <c r="R8652" t="s">
        <v>32537</v>
      </c>
      <c r="S8652" t="s">
        <v>32828</v>
      </c>
      <c r="T8652" t="s">
        <v>33487</v>
      </c>
      <c r="U8652" t="s">
        <v>40795</v>
      </c>
      <c r="W8652" t="s">
        <v>31587</v>
      </c>
      <c r="X8652" t="s">
        <v>32539</v>
      </c>
    </row>
    <row r="8653" spans="1:24">
      <c r="A8653">
        <f>HYPERLINK("https://www.philgeps.gov.ph/GEPSNONPILOT/Tender/SplashBidNoticeAbstractUI.aspx?menuIndex=3&amp;refID=7026581&amp;Result=3","7026581")</f>
        <v>0</v>
      </c>
      <c r="B8653" t="s">
        <v>2442</v>
      </c>
      <c r="C8653" t="s">
        <v>10950</v>
      </c>
      <c r="E8653" t="s">
        <v>20649</v>
      </c>
      <c r="F8653" t="s">
        <v>22436</v>
      </c>
      <c r="G8653" t="s">
        <v>22444</v>
      </c>
      <c r="H8653" t="s">
        <v>22454</v>
      </c>
      <c r="I8653" t="s">
        <v>7738</v>
      </c>
      <c r="J8653" t="s">
        <v>28101</v>
      </c>
      <c r="K8653" t="s">
        <v>29334</v>
      </c>
      <c r="M8653" t="s">
        <v>32246</v>
      </c>
      <c r="N8653" t="s">
        <v>32524</v>
      </c>
      <c r="O8653" t="s">
        <v>32525</v>
      </c>
      <c r="P8653">
        <v>0</v>
      </c>
      <c r="Q8653">
        <v>5</v>
      </c>
      <c r="R8653" t="s">
        <v>32537</v>
      </c>
      <c r="S8653" t="s">
        <v>32828</v>
      </c>
      <c r="T8653" t="s">
        <v>33187</v>
      </c>
      <c r="U8653" t="s">
        <v>40790</v>
      </c>
      <c r="W8653" t="s">
        <v>32246</v>
      </c>
      <c r="X8653" t="s">
        <v>32539</v>
      </c>
    </row>
    <row r="8654" spans="1:24">
      <c r="A8654">
        <f>HYPERLINK("https://www.philgeps.gov.ph/GEPSNONPILOT/Tender/SplashBidNoticeAbstractUI.aspx?menuIndex=3&amp;refID=7027088&amp;Result=3","7027088")</f>
        <v>0</v>
      </c>
      <c r="B8654" t="s">
        <v>1868</v>
      </c>
      <c r="C8654" t="s">
        <v>10951</v>
      </c>
      <c r="E8654" t="s">
        <v>20650</v>
      </c>
      <c r="F8654" t="s">
        <v>22436</v>
      </c>
      <c r="G8654" t="s">
        <v>22444</v>
      </c>
      <c r="H8654" t="s">
        <v>22452</v>
      </c>
      <c r="I8654" t="s">
        <v>22529</v>
      </c>
      <c r="J8654" t="s">
        <v>28102</v>
      </c>
      <c r="K8654" t="s">
        <v>29338</v>
      </c>
      <c r="M8654" t="s">
        <v>31586</v>
      </c>
      <c r="N8654" t="s">
        <v>32524</v>
      </c>
      <c r="O8654" t="s">
        <v>32525</v>
      </c>
      <c r="P8654">
        <v>0</v>
      </c>
      <c r="Q8654">
        <v>0</v>
      </c>
      <c r="R8654" t="s">
        <v>32537</v>
      </c>
      <c r="S8654" t="s">
        <v>32828</v>
      </c>
      <c r="T8654" t="s">
        <v>33168</v>
      </c>
      <c r="U8654" t="s">
        <v>40796</v>
      </c>
      <c r="W8654" t="s">
        <v>31586</v>
      </c>
      <c r="X8654" t="s">
        <v>32538</v>
      </c>
    </row>
    <row r="8655" spans="1:24">
      <c r="A8655">
        <f>HYPERLINK("https://www.philgeps.gov.ph/GEPSNONPILOT/Tender/SplashBidNoticeAbstractUI.aspx?menuIndex=3&amp;refID=7026555&amp;Result=3","7026555")</f>
        <v>0</v>
      </c>
      <c r="B8655" t="s">
        <v>2442</v>
      </c>
      <c r="C8655" t="s">
        <v>10952</v>
      </c>
      <c r="E8655" t="s">
        <v>20651</v>
      </c>
      <c r="F8655" t="s">
        <v>22436</v>
      </c>
      <c r="G8655" t="s">
        <v>22444</v>
      </c>
      <c r="H8655" t="s">
        <v>22454</v>
      </c>
      <c r="I8655" t="s">
        <v>7738</v>
      </c>
      <c r="J8655" t="s">
        <v>28103</v>
      </c>
      <c r="K8655" t="s">
        <v>29333</v>
      </c>
      <c r="M8655" t="s">
        <v>32246</v>
      </c>
      <c r="N8655" t="s">
        <v>32524</v>
      </c>
      <c r="O8655" t="s">
        <v>32525</v>
      </c>
      <c r="P8655">
        <v>0</v>
      </c>
      <c r="Q8655">
        <v>4</v>
      </c>
      <c r="R8655" t="s">
        <v>32537</v>
      </c>
      <c r="S8655" t="s">
        <v>32828</v>
      </c>
      <c r="T8655" t="s">
        <v>33187</v>
      </c>
      <c r="U8655" t="s">
        <v>40790</v>
      </c>
      <c r="W8655" t="s">
        <v>32246</v>
      </c>
      <c r="X8655" t="s">
        <v>32539</v>
      </c>
    </row>
    <row r="8656" spans="1:24">
      <c r="A8656">
        <f>HYPERLINK("https://www.philgeps.gov.ph/GEPSNONPILOT/Tender/SplashBidNoticeAbstractUI.aspx?menuIndex=3&amp;refID=7027151&amp;Result=3","7027151")</f>
        <v>0</v>
      </c>
      <c r="B8656" t="s">
        <v>181</v>
      </c>
      <c r="C8656" t="s">
        <v>10953</v>
      </c>
      <c r="D8656" t="s">
        <v>13032</v>
      </c>
      <c r="E8656" t="s">
        <v>20652</v>
      </c>
      <c r="F8656" t="s">
        <v>22436</v>
      </c>
      <c r="G8656" t="s">
        <v>22444</v>
      </c>
      <c r="H8656" t="s">
        <v>22452</v>
      </c>
      <c r="I8656" t="s">
        <v>3529</v>
      </c>
      <c r="J8656" t="s">
        <v>28104</v>
      </c>
      <c r="K8656" t="s">
        <v>29341</v>
      </c>
      <c r="M8656" t="s">
        <v>29753</v>
      </c>
      <c r="N8656" t="s">
        <v>32524</v>
      </c>
      <c r="O8656" t="s">
        <v>32525</v>
      </c>
      <c r="P8656">
        <v>0</v>
      </c>
      <c r="Q8656">
        <v>0</v>
      </c>
      <c r="R8656" t="s">
        <v>32537</v>
      </c>
      <c r="S8656" t="s">
        <v>32828</v>
      </c>
      <c r="T8656" t="s">
        <v>33180</v>
      </c>
      <c r="U8656" t="s">
        <v>40797</v>
      </c>
      <c r="W8656" t="s">
        <v>29753</v>
      </c>
      <c r="X8656" t="s">
        <v>32538</v>
      </c>
    </row>
    <row r="8657" spans="1:24">
      <c r="A8657">
        <f>HYPERLINK("https://www.philgeps.gov.ph/GEPSNONPILOT/Tender/SplashBidNoticeAbstractUI.aspx?menuIndex=3&amp;refID=7027127&amp;Result=3","7027127")</f>
        <v>0</v>
      </c>
      <c r="B8657" t="s">
        <v>64</v>
      </c>
      <c r="C8657" t="s">
        <v>10954</v>
      </c>
      <c r="D8657" t="s">
        <v>13016</v>
      </c>
      <c r="E8657" t="s">
        <v>20653</v>
      </c>
      <c r="F8657" t="s">
        <v>22436</v>
      </c>
      <c r="G8657" t="s">
        <v>22443</v>
      </c>
      <c r="H8657" t="s">
        <v>22452</v>
      </c>
      <c r="I8657" t="s">
        <v>22486</v>
      </c>
      <c r="J8657" t="s">
        <v>28105</v>
      </c>
      <c r="K8657" t="s">
        <v>29335</v>
      </c>
      <c r="M8657" t="s">
        <v>31664</v>
      </c>
      <c r="N8657" t="s">
        <v>32524</v>
      </c>
      <c r="O8657" t="s">
        <v>32525</v>
      </c>
      <c r="Q8657">
        <v>0</v>
      </c>
      <c r="R8657" t="s">
        <v>32537</v>
      </c>
      <c r="S8657" t="s">
        <v>32830</v>
      </c>
      <c r="T8657" t="s">
        <v>33167</v>
      </c>
      <c r="U8657" t="s">
        <v>40798</v>
      </c>
      <c r="W8657" t="s">
        <v>31664</v>
      </c>
      <c r="X8657" t="s">
        <v>32538</v>
      </c>
    </row>
    <row r="8658" spans="1:24">
      <c r="A8658">
        <f>HYPERLINK("https://www.philgeps.gov.ph/GEPSNONPILOT/Tender/SplashBidNoticeAbstractUI.aspx?menuIndex=3&amp;refID=7026593&amp;Result=3","7026593")</f>
        <v>0</v>
      </c>
      <c r="B8658" t="s">
        <v>1796</v>
      </c>
      <c r="C8658" t="s">
        <v>10955</v>
      </c>
      <c r="D8658" t="s">
        <v>12997</v>
      </c>
      <c r="E8658" t="s">
        <v>20654</v>
      </c>
      <c r="F8658" t="s">
        <v>22436</v>
      </c>
      <c r="G8658" t="s">
        <v>22443</v>
      </c>
      <c r="H8658" t="s">
        <v>22452</v>
      </c>
      <c r="I8658" t="s">
        <v>22494</v>
      </c>
      <c r="J8658" t="s">
        <v>28106</v>
      </c>
      <c r="K8658" t="s">
        <v>29357</v>
      </c>
      <c r="M8658" t="s">
        <v>31507</v>
      </c>
      <c r="N8658" t="s">
        <v>32524</v>
      </c>
      <c r="O8658" t="s">
        <v>32525</v>
      </c>
      <c r="P8658">
        <v>0</v>
      </c>
      <c r="Q8658">
        <v>0</v>
      </c>
      <c r="R8658" t="s">
        <v>32537</v>
      </c>
      <c r="S8658" t="s">
        <v>32828</v>
      </c>
      <c r="T8658" t="s">
        <v>33339</v>
      </c>
      <c r="U8658" t="s">
        <v>40799</v>
      </c>
      <c r="W8658" t="s">
        <v>31507</v>
      </c>
      <c r="X8658" t="s">
        <v>32539</v>
      </c>
    </row>
    <row r="8659" spans="1:24">
      <c r="A8659">
        <f>HYPERLINK("https://www.philgeps.gov.ph/GEPSNONPILOT/Tender/SplashBidNoticeAbstractUI.aspx?menuIndex=3&amp;refID=7027147&amp;Result=3","7027147")</f>
        <v>0</v>
      </c>
      <c r="B8659" t="s">
        <v>1469</v>
      </c>
      <c r="C8659" t="s">
        <v>10956</v>
      </c>
      <c r="D8659" t="s">
        <v>13034</v>
      </c>
      <c r="E8659" t="s">
        <v>15350</v>
      </c>
      <c r="F8659" t="s">
        <v>22436</v>
      </c>
      <c r="G8659" t="s">
        <v>22444</v>
      </c>
      <c r="H8659" t="s">
        <v>22454</v>
      </c>
      <c r="I8659" t="s">
        <v>7738</v>
      </c>
      <c r="J8659" t="s">
        <v>28107</v>
      </c>
      <c r="K8659" t="s">
        <v>29344</v>
      </c>
      <c r="M8659" t="s">
        <v>31138</v>
      </c>
      <c r="N8659" t="s">
        <v>32524</v>
      </c>
      <c r="O8659" t="s">
        <v>32525</v>
      </c>
      <c r="P8659">
        <v>0</v>
      </c>
      <c r="Q8659">
        <v>1</v>
      </c>
      <c r="R8659" t="s">
        <v>32537</v>
      </c>
      <c r="S8659" t="s">
        <v>32828</v>
      </c>
      <c r="T8659" t="s">
        <v>33242</v>
      </c>
      <c r="U8659" t="s">
        <v>40800</v>
      </c>
      <c r="W8659" t="s">
        <v>31138</v>
      </c>
      <c r="X8659" t="s">
        <v>32538</v>
      </c>
    </row>
    <row r="8660" spans="1:24">
      <c r="A8660">
        <f>HYPERLINK("https://www.philgeps.gov.ph/GEPSNONPILOT/Tender/SplashBidNoticeAbstractUI.aspx?menuIndex=3&amp;refID=7027224&amp;Result=3","7027224")</f>
        <v>0</v>
      </c>
      <c r="B8660" t="s">
        <v>317</v>
      </c>
      <c r="C8660" t="s">
        <v>10957</v>
      </c>
      <c r="D8660" t="s">
        <v>13031</v>
      </c>
      <c r="E8660" t="s">
        <v>20655</v>
      </c>
      <c r="F8660" t="s">
        <v>22436</v>
      </c>
      <c r="G8660" t="s">
        <v>22444</v>
      </c>
      <c r="H8660" t="s">
        <v>22452</v>
      </c>
      <c r="I8660" t="s">
        <v>22463</v>
      </c>
      <c r="J8660" t="s">
        <v>28108</v>
      </c>
      <c r="K8660" t="s">
        <v>29336</v>
      </c>
      <c r="M8660" t="s">
        <v>29893</v>
      </c>
      <c r="N8660" t="s">
        <v>32524</v>
      </c>
      <c r="O8660" t="s">
        <v>32525</v>
      </c>
      <c r="P8660">
        <v>0</v>
      </c>
      <c r="Q8660">
        <v>2</v>
      </c>
      <c r="R8660" t="s">
        <v>32537</v>
      </c>
      <c r="S8660" t="s">
        <v>32828</v>
      </c>
      <c r="T8660" t="s">
        <v>33296</v>
      </c>
      <c r="U8660" t="s">
        <v>40801</v>
      </c>
      <c r="W8660" t="s">
        <v>43677</v>
      </c>
      <c r="X8660" t="s">
        <v>32538</v>
      </c>
    </row>
    <row r="8661" spans="1:24">
      <c r="A8661">
        <f>HYPERLINK("https://www.philgeps.gov.ph/GEPSNONPILOT/Tender/SplashBidNoticeAbstractUI.aspx?menuIndex=3&amp;refID=7027217&amp;Result=3","7027217")</f>
        <v>0</v>
      </c>
      <c r="B8661" t="s">
        <v>181</v>
      </c>
      <c r="C8661" t="s">
        <v>10958</v>
      </c>
      <c r="D8661" t="s">
        <v>13032</v>
      </c>
      <c r="E8661" t="s">
        <v>20656</v>
      </c>
      <c r="F8661" t="s">
        <v>22436</v>
      </c>
      <c r="G8661" t="s">
        <v>22444</v>
      </c>
      <c r="H8661" t="s">
        <v>22452</v>
      </c>
      <c r="I8661" t="s">
        <v>2981</v>
      </c>
      <c r="J8661" t="s">
        <v>27607</v>
      </c>
      <c r="K8661" t="s">
        <v>29341</v>
      </c>
      <c r="M8661" t="s">
        <v>29753</v>
      </c>
      <c r="N8661" t="s">
        <v>32524</v>
      </c>
      <c r="O8661" t="s">
        <v>32525</v>
      </c>
      <c r="P8661">
        <v>0</v>
      </c>
      <c r="Q8661">
        <v>1</v>
      </c>
      <c r="R8661" t="s">
        <v>32537</v>
      </c>
      <c r="S8661" t="s">
        <v>32828</v>
      </c>
      <c r="T8661" t="s">
        <v>33180</v>
      </c>
      <c r="U8661" t="s">
        <v>40802</v>
      </c>
      <c r="W8661" t="s">
        <v>29753</v>
      </c>
      <c r="X8661" t="s">
        <v>32538</v>
      </c>
    </row>
    <row r="8662" spans="1:24">
      <c r="A8662">
        <f>HYPERLINK("https://www.philgeps.gov.ph/GEPSNONPILOT/Tender/SplashBidNoticeAbstractUI.aspx?menuIndex=3&amp;refID=7027222&amp;Result=3","7027222")</f>
        <v>0</v>
      </c>
      <c r="B8662" t="s">
        <v>1243</v>
      </c>
      <c r="C8662" t="s">
        <v>10959</v>
      </c>
      <c r="D8662" t="s">
        <v>12994</v>
      </c>
      <c r="E8662" t="s">
        <v>20657</v>
      </c>
      <c r="F8662" t="s">
        <v>22436</v>
      </c>
      <c r="G8662" t="s">
        <v>22444</v>
      </c>
      <c r="H8662" t="s">
        <v>22452</v>
      </c>
      <c r="I8662" t="s">
        <v>6421</v>
      </c>
      <c r="J8662" t="s">
        <v>28109</v>
      </c>
      <c r="K8662" t="s">
        <v>29341</v>
      </c>
      <c r="M8662" t="s">
        <v>30895</v>
      </c>
      <c r="N8662" t="s">
        <v>32524</v>
      </c>
      <c r="O8662" t="s">
        <v>32525</v>
      </c>
      <c r="P8662">
        <v>0</v>
      </c>
      <c r="Q8662">
        <v>14</v>
      </c>
      <c r="R8662" t="s">
        <v>32537</v>
      </c>
      <c r="S8662" t="s">
        <v>32828</v>
      </c>
      <c r="T8662" t="s">
        <v>33227</v>
      </c>
      <c r="U8662" t="s">
        <v>40803</v>
      </c>
      <c r="W8662" t="s">
        <v>30895</v>
      </c>
      <c r="X8662" t="s">
        <v>32538</v>
      </c>
    </row>
    <row r="8663" spans="1:24">
      <c r="A8663">
        <f>HYPERLINK("https://www.philgeps.gov.ph/GEPSNONPILOT/Tender/SplashBidNoticeAbstractUI.aspx?menuIndex=3&amp;refID=7027187&amp;Result=3","7027187")</f>
        <v>0</v>
      </c>
      <c r="B8663" t="s">
        <v>359</v>
      </c>
      <c r="C8663" t="s">
        <v>10960</v>
      </c>
      <c r="D8663" t="s">
        <v>13044</v>
      </c>
      <c r="E8663" t="s">
        <v>20658</v>
      </c>
      <c r="F8663" t="s">
        <v>22436</v>
      </c>
      <c r="G8663" t="s">
        <v>22444</v>
      </c>
      <c r="H8663" t="s">
        <v>22452</v>
      </c>
      <c r="I8663" t="s">
        <v>6421</v>
      </c>
      <c r="J8663" t="s">
        <v>23185</v>
      </c>
      <c r="K8663" t="s">
        <v>29341</v>
      </c>
      <c r="M8663" t="s">
        <v>29936</v>
      </c>
      <c r="N8663" t="s">
        <v>32524</v>
      </c>
      <c r="O8663" t="s">
        <v>32525</v>
      </c>
      <c r="P8663">
        <v>0</v>
      </c>
      <c r="Q8663">
        <v>1</v>
      </c>
      <c r="R8663" t="s">
        <v>32537</v>
      </c>
      <c r="S8663" t="s">
        <v>32828</v>
      </c>
      <c r="T8663" t="s">
        <v>33171</v>
      </c>
      <c r="U8663" t="s">
        <v>40804</v>
      </c>
      <c r="W8663" t="s">
        <v>29936</v>
      </c>
      <c r="X8663" t="s">
        <v>32538</v>
      </c>
    </row>
    <row r="8664" spans="1:24">
      <c r="A8664">
        <f>HYPERLINK("https://www.philgeps.gov.ph/GEPSNONPILOT/Tender/SplashBidNoticeAbstractUI.aspx?menuIndex=3&amp;refID=7027193&amp;Result=3","7027193")</f>
        <v>0</v>
      </c>
      <c r="B8664" t="s">
        <v>2443</v>
      </c>
      <c r="C8664" t="s">
        <v>10961</v>
      </c>
      <c r="D8664" t="s">
        <v>13045</v>
      </c>
      <c r="E8664" t="s">
        <v>13106</v>
      </c>
      <c r="F8664" t="s">
        <v>22436</v>
      </c>
      <c r="G8664" t="s">
        <v>22444</v>
      </c>
      <c r="H8664" t="s">
        <v>22452</v>
      </c>
      <c r="I8664" t="s">
        <v>22502</v>
      </c>
      <c r="J8664" t="s">
        <v>27917</v>
      </c>
      <c r="K8664" t="s">
        <v>29344</v>
      </c>
      <c r="M8664" t="s">
        <v>32247</v>
      </c>
      <c r="N8664" t="s">
        <v>32524</v>
      </c>
      <c r="O8664" t="s">
        <v>32525</v>
      </c>
      <c r="Q8664">
        <v>13</v>
      </c>
      <c r="R8664" t="s">
        <v>32537</v>
      </c>
      <c r="S8664" t="s">
        <v>32659</v>
      </c>
      <c r="T8664" t="s">
        <v>33580</v>
      </c>
      <c r="U8664" t="s">
        <v>40805</v>
      </c>
      <c r="W8664" t="s">
        <v>32247</v>
      </c>
      <c r="X8664" t="s">
        <v>32538</v>
      </c>
    </row>
    <row r="8665" spans="1:24">
      <c r="A8665">
        <f>HYPERLINK("https://www.philgeps.gov.ph/GEPSNONPILOT/Tender/SplashBidNoticeAbstractUI.aspx?menuIndex=3&amp;refID=7027178&amp;Result=3","7027178")</f>
        <v>0</v>
      </c>
      <c r="B8665" t="s">
        <v>2444</v>
      </c>
      <c r="C8665" t="s">
        <v>10962</v>
      </c>
      <c r="D8665" t="s">
        <v>13042</v>
      </c>
      <c r="E8665" t="s">
        <v>14434</v>
      </c>
      <c r="F8665" t="s">
        <v>22436</v>
      </c>
      <c r="G8665" t="s">
        <v>22444</v>
      </c>
      <c r="H8665" t="s">
        <v>22454</v>
      </c>
      <c r="I8665" t="s">
        <v>3529</v>
      </c>
      <c r="J8665" t="s">
        <v>28110</v>
      </c>
      <c r="K8665" t="s">
        <v>29331</v>
      </c>
      <c r="M8665" t="s">
        <v>32248</v>
      </c>
      <c r="N8665" t="s">
        <v>32524</v>
      </c>
      <c r="O8665" t="s">
        <v>32525</v>
      </c>
      <c r="P8665">
        <v>0</v>
      </c>
      <c r="Q8665">
        <v>0</v>
      </c>
      <c r="R8665" t="s">
        <v>32537</v>
      </c>
      <c r="S8665" t="s">
        <v>32828</v>
      </c>
      <c r="T8665" t="s">
        <v>33168</v>
      </c>
      <c r="U8665" t="s">
        <v>40806</v>
      </c>
      <c r="V8665" t="s">
        <v>43398</v>
      </c>
      <c r="W8665" t="s">
        <v>32248</v>
      </c>
      <c r="X8665" t="s">
        <v>32538</v>
      </c>
    </row>
    <row r="8666" spans="1:24">
      <c r="A8666">
        <f>HYPERLINK("https://www.philgeps.gov.ph/GEPSNONPILOT/Tender/SplashBidNoticeAbstractUI.aspx?menuIndex=3&amp;refID=7027216&amp;Result=3","7027216")</f>
        <v>0</v>
      </c>
      <c r="B8666" t="s">
        <v>2445</v>
      </c>
      <c r="C8666" t="s">
        <v>10963</v>
      </c>
      <c r="D8666" t="s">
        <v>13037</v>
      </c>
      <c r="E8666" t="s">
        <v>20659</v>
      </c>
      <c r="F8666" t="s">
        <v>22436</v>
      </c>
      <c r="G8666" t="s">
        <v>22444</v>
      </c>
      <c r="H8666" t="s">
        <v>22454</v>
      </c>
      <c r="I8666" t="s">
        <v>22526</v>
      </c>
      <c r="J8666" t="s">
        <v>28111</v>
      </c>
      <c r="K8666" t="s">
        <v>29344</v>
      </c>
      <c r="M8666" t="s">
        <v>32249</v>
      </c>
      <c r="N8666" t="s">
        <v>32524</v>
      </c>
      <c r="O8666" t="s">
        <v>32525</v>
      </c>
      <c r="P8666">
        <v>0</v>
      </c>
      <c r="Q8666">
        <v>2</v>
      </c>
      <c r="R8666" t="s">
        <v>32537</v>
      </c>
      <c r="S8666" t="s">
        <v>32828</v>
      </c>
      <c r="T8666" t="s">
        <v>33236</v>
      </c>
      <c r="U8666" t="s">
        <v>40807</v>
      </c>
      <c r="W8666" t="s">
        <v>32249</v>
      </c>
      <c r="X8666" t="s">
        <v>32538</v>
      </c>
    </row>
    <row r="8667" spans="1:24">
      <c r="A8667">
        <f>HYPERLINK("https://www.philgeps.gov.ph/GEPSNONPILOT/Tender/SplashBidNoticeAbstractUI.aspx?menuIndex=3&amp;refID=7027156&amp;Result=3","7027156")</f>
        <v>0</v>
      </c>
      <c r="B8667" t="s">
        <v>2239</v>
      </c>
      <c r="C8667" t="s">
        <v>10964</v>
      </c>
      <c r="E8667" t="s">
        <v>20660</v>
      </c>
      <c r="F8667" t="s">
        <v>22436</v>
      </c>
      <c r="G8667" t="s">
        <v>22444</v>
      </c>
      <c r="H8667" t="s">
        <v>22452</v>
      </c>
      <c r="I8667" t="s">
        <v>3529</v>
      </c>
      <c r="J8667" t="s">
        <v>28112</v>
      </c>
      <c r="K8667" t="s">
        <v>29335</v>
      </c>
      <c r="M8667" t="s">
        <v>32006</v>
      </c>
      <c r="N8667" t="s">
        <v>32524</v>
      </c>
      <c r="O8667" t="s">
        <v>32525</v>
      </c>
      <c r="P8667">
        <v>0</v>
      </c>
      <c r="Q8667">
        <v>4</v>
      </c>
      <c r="R8667" t="s">
        <v>32537</v>
      </c>
      <c r="S8667" t="s">
        <v>32828</v>
      </c>
      <c r="T8667" t="s">
        <v>33241</v>
      </c>
      <c r="U8667" t="s">
        <v>37597</v>
      </c>
      <c r="W8667" t="s">
        <v>32006</v>
      </c>
      <c r="X8667" t="s">
        <v>32538</v>
      </c>
    </row>
    <row r="8668" spans="1:24">
      <c r="A8668">
        <f>HYPERLINK("https://www.philgeps.gov.ph/GEPSNONPILOT/Tender/SplashBidNoticeAbstractUI.aspx?menuIndex=3&amp;refID=7027199&amp;Result=3","7027199")</f>
        <v>0</v>
      </c>
      <c r="B8668" t="s">
        <v>1469</v>
      </c>
      <c r="C8668" t="s">
        <v>10965</v>
      </c>
      <c r="D8668" t="s">
        <v>13034</v>
      </c>
      <c r="E8668" t="s">
        <v>15356</v>
      </c>
      <c r="F8668" t="s">
        <v>22436</v>
      </c>
      <c r="G8668" t="s">
        <v>22444</v>
      </c>
      <c r="H8668" t="s">
        <v>22454</v>
      </c>
      <c r="I8668" t="s">
        <v>7738</v>
      </c>
      <c r="J8668" t="s">
        <v>28113</v>
      </c>
      <c r="K8668" t="s">
        <v>29344</v>
      </c>
      <c r="M8668" t="s">
        <v>31138</v>
      </c>
      <c r="N8668" t="s">
        <v>32524</v>
      </c>
      <c r="O8668" t="s">
        <v>32525</v>
      </c>
      <c r="P8668">
        <v>0</v>
      </c>
      <c r="Q8668">
        <v>2</v>
      </c>
      <c r="R8668" t="s">
        <v>32537</v>
      </c>
      <c r="S8668" t="s">
        <v>32828</v>
      </c>
      <c r="T8668" t="s">
        <v>33242</v>
      </c>
      <c r="U8668" t="s">
        <v>40808</v>
      </c>
      <c r="W8668" t="s">
        <v>31138</v>
      </c>
      <c r="X8668" t="s">
        <v>32538</v>
      </c>
    </row>
    <row r="8669" spans="1:24">
      <c r="A8669">
        <f>HYPERLINK("https://www.philgeps.gov.ph/GEPSNONPILOT/Tender/SplashBidNoticeAbstractUI.aspx?menuIndex=3&amp;refID=7027225&amp;Result=3","7027225")</f>
        <v>0</v>
      </c>
      <c r="B8669" t="s">
        <v>359</v>
      </c>
      <c r="C8669" t="s">
        <v>10966</v>
      </c>
      <c r="D8669" t="s">
        <v>13044</v>
      </c>
      <c r="E8669" t="s">
        <v>20661</v>
      </c>
      <c r="F8669" t="s">
        <v>22436</v>
      </c>
      <c r="G8669" t="s">
        <v>22444</v>
      </c>
      <c r="H8669" t="s">
        <v>22452</v>
      </c>
      <c r="I8669" t="s">
        <v>5194</v>
      </c>
      <c r="J8669" t="s">
        <v>28114</v>
      </c>
      <c r="K8669" t="s">
        <v>29341</v>
      </c>
      <c r="M8669" t="s">
        <v>29936</v>
      </c>
      <c r="N8669" t="s">
        <v>32524</v>
      </c>
      <c r="O8669" t="s">
        <v>32525</v>
      </c>
      <c r="P8669">
        <v>0</v>
      </c>
      <c r="Q8669">
        <v>2</v>
      </c>
      <c r="R8669" t="s">
        <v>32537</v>
      </c>
      <c r="S8669" t="s">
        <v>32828</v>
      </c>
      <c r="T8669" t="s">
        <v>33187</v>
      </c>
      <c r="U8669" t="s">
        <v>40809</v>
      </c>
      <c r="W8669" t="s">
        <v>29936</v>
      </c>
      <c r="X8669" t="s">
        <v>32538</v>
      </c>
    </row>
    <row r="8670" spans="1:24">
      <c r="A8670">
        <f>HYPERLINK("https://www.philgeps.gov.ph/GEPSNONPILOT/Tender/SplashBidNoticeAbstractUI.aspx?menuIndex=3&amp;refID=7027141&amp;Result=3","7027141")</f>
        <v>0</v>
      </c>
      <c r="B8670" t="s">
        <v>181</v>
      </c>
      <c r="C8670" t="s">
        <v>10967</v>
      </c>
      <c r="D8670" t="s">
        <v>13032</v>
      </c>
      <c r="E8670" t="s">
        <v>20662</v>
      </c>
      <c r="F8670" t="s">
        <v>22436</v>
      </c>
      <c r="G8670" t="s">
        <v>22444</v>
      </c>
      <c r="H8670" t="s">
        <v>22452</v>
      </c>
      <c r="I8670" t="s">
        <v>3827</v>
      </c>
      <c r="J8670" t="s">
        <v>23664</v>
      </c>
      <c r="K8670" t="s">
        <v>29341</v>
      </c>
      <c r="M8670" t="s">
        <v>29753</v>
      </c>
      <c r="N8670" t="s">
        <v>32524</v>
      </c>
      <c r="O8670" t="s">
        <v>32525</v>
      </c>
      <c r="P8670">
        <v>0</v>
      </c>
      <c r="Q8670">
        <v>0</v>
      </c>
      <c r="R8670" t="s">
        <v>32537</v>
      </c>
      <c r="S8670" t="s">
        <v>32828</v>
      </c>
      <c r="T8670" t="s">
        <v>33180</v>
      </c>
      <c r="U8670" t="s">
        <v>40810</v>
      </c>
      <c r="W8670" t="s">
        <v>29753</v>
      </c>
      <c r="X8670" t="s">
        <v>32538</v>
      </c>
    </row>
    <row r="8671" spans="1:24">
      <c r="A8671">
        <f>HYPERLINK("https://www.philgeps.gov.ph/GEPSNONPILOT/Tender/SplashBidNoticeAbstractUI.aspx?menuIndex=3&amp;refID=7027165&amp;Result=3","7027165")</f>
        <v>0</v>
      </c>
      <c r="B8671" t="s">
        <v>2239</v>
      </c>
      <c r="C8671" t="s">
        <v>10968</v>
      </c>
      <c r="E8671" t="s">
        <v>20663</v>
      </c>
      <c r="F8671" t="s">
        <v>22436</v>
      </c>
      <c r="G8671" t="s">
        <v>22444</v>
      </c>
      <c r="H8671" t="s">
        <v>22452</v>
      </c>
      <c r="I8671" t="s">
        <v>3529</v>
      </c>
      <c r="J8671" t="s">
        <v>28115</v>
      </c>
      <c r="K8671" t="s">
        <v>29335</v>
      </c>
      <c r="M8671" t="s">
        <v>32006</v>
      </c>
      <c r="N8671" t="s">
        <v>32524</v>
      </c>
      <c r="O8671" t="s">
        <v>32525</v>
      </c>
      <c r="P8671">
        <v>0</v>
      </c>
      <c r="Q8671">
        <v>1</v>
      </c>
      <c r="R8671" t="s">
        <v>32537</v>
      </c>
      <c r="S8671" t="s">
        <v>32828</v>
      </c>
      <c r="T8671" t="s">
        <v>33241</v>
      </c>
      <c r="U8671" t="s">
        <v>37597</v>
      </c>
      <c r="W8671" t="s">
        <v>32006</v>
      </c>
      <c r="X8671" t="s">
        <v>32538</v>
      </c>
    </row>
    <row r="8672" spans="1:24">
      <c r="A8672">
        <f>HYPERLINK("https://www.philgeps.gov.ph/GEPSNONPILOT/Tender/SplashBidNoticeAbstractUI.aspx?menuIndex=3&amp;refID=7027174&amp;Result=3","7027174")</f>
        <v>0</v>
      </c>
      <c r="B8672" t="s">
        <v>2239</v>
      </c>
      <c r="C8672" t="s">
        <v>10969</v>
      </c>
      <c r="E8672" t="s">
        <v>20664</v>
      </c>
      <c r="F8672" t="s">
        <v>22436</v>
      </c>
      <c r="G8672" t="s">
        <v>22444</v>
      </c>
      <c r="H8672" t="s">
        <v>22452</v>
      </c>
      <c r="I8672" t="s">
        <v>3529</v>
      </c>
      <c r="J8672" t="s">
        <v>28116</v>
      </c>
      <c r="K8672" t="s">
        <v>29335</v>
      </c>
      <c r="M8672" t="s">
        <v>32006</v>
      </c>
      <c r="N8672" t="s">
        <v>32524</v>
      </c>
      <c r="O8672" t="s">
        <v>32525</v>
      </c>
      <c r="P8672">
        <v>0</v>
      </c>
      <c r="Q8672">
        <v>3</v>
      </c>
      <c r="R8672" t="s">
        <v>32537</v>
      </c>
      <c r="S8672" t="s">
        <v>32828</v>
      </c>
      <c r="T8672" t="s">
        <v>33241</v>
      </c>
      <c r="U8672" t="s">
        <v>37597</v>
      </c>
      <c r="W8672" t="s">
        <v>32006</v>
      </c>
      <c r="X8672" t="s">
        <v>32538</v>
      </c>
    </row>
    <row r="8673" spans="1:24">
      <c r="A8673">
        <f>HYPERLINK("https://www.philgeps.gov.ph/GEPSNONPILOT/Tender/SplashBidNoticeAbstractUI.aspx?menuIndex=3&amp;refID=7027162&amp;Result=3","7027162")</f>
        <v>0</v>
      </c>
      <c r="B8673" t="s">
        <v>2239</v>
      </c>
      <c r="C8673" t="s">
        <v>10970</v>
      </c>
      <c r="E8673" t="s">
        <v>20665</v>
      </c>
      <c r="F8673" t="s">
        <v>22436</v>
      </c>
      <c r="G8673" t="s">
        <v>22444</v>
      </c>
      <c r="H8673" t="s">
        <v>22452</v>
      </c>
      <c r="I8673" t="s">
        <v>3529</v>
      </c>
      <c r="J8673" t="s">
        <v>28117</v>
      </c>
      <c r="K8673" t="s">
        <v>29335</v>
      </c>
      <c r="M8673" t="s">
        <v>32006</v>
      </c>
      <c r="N8673" t="s">
        <v>32524</v>
      </c>
      <c r="O8673" t="s">
        <v>32525</v>
      </c>
      <c r="P8673">
        <v>0</v>
      </c>
      <c r="Q8673">
        <v>1</v>
      </c>
      <c r="R8673" t="s">
        <v>32537</v>
      </c>
      <c r="S8673" t="s">
        <v>32828</v>
      </c>
      <c r="T8673" t="s">
        <v>33241</v>
      </c>
      <c r="U8673" t="s">
        <v>37597</v>
      </c>
      <c r="W8673" t="s">
        <v>32006</v>
      </c>
      <c r="X8673" t="s">
        <v>32538</v>
      </c>
    </row>
    <row r="8674" spans="1:24">
      <c r="A8674">
        <f>HYPERLINK("https://www.philgeps.gov.ph/GEPSNONPILOT/Tender/SplashBidNoticeAbstractUI.aspx?menuIndex=3&amp;refID=7027259&amp;Result=3","7027259")</f>
        <v>0</v>
      </c>
      <c r="B8674" t="s">
        <v>181</v>
      </c>
      <c r="C8674" t="s">
        <v>10971</v>
      </c>
      <c r="D8674" t="s">
        <v>13032</v>
      </c>
      <c r="E8674" t="s">
        <v>20666</v>
      </c>
      <c r="F8674" t="s">
        <v>22436</v>
      </c>
      <c r="G8674" t="s">
        <v>22444</v>
      </c>
      <c r="H8674" t="s">
        <v>22452</v>
      </c>
      <c r="I8674" t="s">
        <v>2981</v>
      </c>
      <c r="J8674" t="s">
        <v>28118</v>
      </c>
      <c r="K8674" t="s">
        <v>29341</v>
      </c>
      <c r="M8674" t="s">
        <v>29753</v>
      </c>
      <c r="N8674" t="s">
        <v>32524</v>
      </c>
      <c r="O8674" t="s">
        <v>32525</v>
      </c>
      <c r="P8674">
        <v>0</v>
      </c>
      <c r="Q8674">
        <v>2</v>
      </c>
      <c r="R8674" t="s">
        <v>32537</v>
      </c>
      <c r="S8674" t="s">
        <v>32828</v>
      </c>
      <c r="T8674" t="s">
        <v>33180</v>
      </c>
      <c r="U8674" t="s">
        <v>40811</v>
      </c>
      <c r="W8674" t="s">
        <v>29753</v>
      </c>
      <c r="X8674" t="s">
        <v>32538</v>
      </c>
    </row>
    <row r="8675" spans="1:24">
      <c r="A8675">
        <f>HYPERLINK("https://www.philgeps.gov.ph/GEPSNONPILOT/Tender/SplashBidNoticeAbstractUI.aspx?menuIndex=3&amp;refID=7027237&amp;Result=3","7027237")</f>
        <v>0</v>
      </c>
      <c r="B8675" t="s">
        <v>1469</v>
      </c>
      <c r="C8675" t="s">
        <v>10972</v>
      </c>
      <c r="D8675" t="s">
        <v>13034</v>
      </c>
      <c r="E8675" t="s">
        <v>15366</v>
      </c>
      <c r="F8675" t="s">
        <v>22436</v>
      </c>
      <c r="G8675" t="s">
        <v>22444</v>
      </c>
      <c r="H8675" t="s">
        <v>22454</v>
      </c>
      <c r="I8675" t="s">
        <v>7738</v>
      </c>
      <c r="J8675" t="s">
        <v>28119</v>
      </c>
      <c r="K8675" t="s">
        <v>29344</v>
      </c>
      <c r="M8675" t="s">
        <v>31138</v>
      </c>
      <c r="N8675" t="s">
        <v>32524</v>
      </c>
      <c r="O8675" t="s">
        <v>32525</v>
      </c>
      <c r="P8675">
        <v>0</v>
      </c>
      <c r="Q8675">
        <v>1</v>
      </c>
      <c r="R8675" t="s">
        <v>32537</v>
      </c>
      <c r="S8675" t="s">
        <v>32828</v>
      </c>
      <c r="T8675" t="s">
        <v>33242</v>
      </c>
      <c r="U8675" t="s">
        <v>40812</v>
      </c>
      <c r="W8675" t="s">
        <v>31138</v>
      </c>
      <c r="X8675" t="s">
        <v>32538</v>
      </c>
    </row>
    <row r="8676" spans="1:24">
      <c r="A8676">
        <f>HYPERLINK("https://www.philgeps.gov.ph/GEPSNONPILOT/Tender/SplashBidNoticeAbstractUI.aspx?menuIndex=3&amp;refID=7027169&amp;Result=3","7027169")</f>
        <v>0</v>
      </c>
      <c r="B8676" t="s">
        <v>2011</v>
      </c>
      <c r="C8676" t="s">
        <v>10973</v>
      </c>
      <c r="D8676" t="s">
        <v>13015</v>
      </c>
      <c r="E8676" t="s">
        <v>20667</v>
      </c>
      <c r="F8676" t="s">
        <v>22437</v>
      </c>
      <c r="G8676" t="s">
        <v>22443</v>
      </c>
      <c r="H8676" t="s">
        <v>22452</v>
      </c>
      <c r="I8676" t="s">
        <v>22460</v>
      </c>
      <c r="J8676" t="s">
        <v>22706</v>
      </c>
      <c r="K8676" t="s">
        <v>29335</v>
      </c>
      <c r="M8676" t="s">
        <v>31745</v>
      </c>
      <c r="N8676" t="s">
        <v>32524</v>
      </c>
      <c r="O8676" t="s">
        <v>32525</v>
      </c>
      <c r="P8676">
        <v>0</v>
      </c>
      <c r="Q8676">
        <v>1</v>
      </c>
      <c r="R8676" t="s">
        <v>32537</v>
      </c>
      <c r="S8676" t="s">
        <v>32828</v>
      </c>
      <c r="T8676" t="s">
        <v>33323</v>
      </c>
      <c r="U8676" t="s">
        <v>39021</v>
      </c>
      <c r="V8676" t="s">
        <v>43137</v>
      </c>
      <c r="W8676" t="s">
        <v>43738</v>
      </c>
      <c r="X8676" t="s">
        <v>32538</v>
      </c>
    </row>
    <row r="8677" spans="1:24">
      <c r="A8677">
        <f>HYPERLINK("https://www.philgeps.gov.ph/GEPSNONPILOT/Tender/SplashBidNoticeAbstractUI.aspx?menuIndex=3&amp;refID=7027227&amp;Result=3","7027227")</f>
        <v>0</v>
      </c>
      <c r="B8677" t="s">
        <v>2446</v>
      </c>
      <c r="C8677" t="s">
        <v>10974</v>
      </c>
      <c r="D8677" t="s">
        <v>13060</v>
      </c>
      <c r="E8677" t="s">
        <v>20668</v>
      </c>
      <c r="F8677" t="s">
        <v>22436</v>
      </c>
      <c r="G8677" t="s">
        <v>22444</v>
      </c>
      <c r="H8677" t="s">
        <v>22454</v>
      </c>
      <c r="I8677" t="s">
        <v>7738</v>
      </c>
      <c r="J8677" t="s">
        <v>28120</v>
      </c>
      <c r="K8677" t="s">
        <v>29345</v>
      </c>
      <c r="M8677" t="s">
        <v>32250</v>
      </c>
      <c r="N8677" t="s">
        <v>32524</v>
      </c>
      <c r="O8677" t="s">
        <v>32525</v>
      </c>
      <c r="P8677">
        <v>0</v>
      </c>
      <c r="Q8677">
        <v>3</v>
      </c>
      <c r="R8677" t="s">
        <v>32537</v>
      </c>
      <c r="S8677" t="s">
        <v>32828</v>
      </c>
      <c r="T8677" t="s">
        <v>33554</v>
      </c>
      <c r="U8677" t="s">
        <v>40813</v>
      </c>
      <c r="W8677" t="s">
        <v>32250</v>
      </c>
      <c r="X8677" t="s">
        <v>32538</v>
      </c>
    </row>
    <row r="8678" spans="1:24">
      <c r="A8678">
        <f>HYPERLINK("https://www.philgeps.gov.ph/GEPSNONPILOT/Tender/SplashBidNoticeAbstractUI.aspx?menuIndex=3&amp;refID=7027277&amp;Result=3","7027277")</f>
        <v>0</v>
      </c>
      <c r="B8678" t="s">
        <v>2331</v>
      </c>
      <c r="C8678" t="s">
        <v>10975</v>
      </c>
      <c r="D8678" t="s">
        <v>13031</v>
      </c>
      <c r="E8678" t="s">
        <v>20669</v>
      </c>
      <c r="F8678" t="s">
        <v>22436</v>
      </c>
      <c r="G8678" t="s">
        <v>22444</v>
      </c>
      <c r="H8678" t="s">
        <v>22452</v>
      </c>
      <c r="I8678" t="s">
        <v>22468</v>
      </c>
      <c r="J8678" t="s">
        <v>28121</v>
      </c>
      <c r="K8678" t="s">
        <v>29333</v>
      </c>
      <c r="M8678" t="s">
        <v>32108</v>
      </c>
      <c r="N8678" t="s">
        <v>32524</v>
      </c>
      <c r="O8678" t="s">
        <v>32525</v>
      </c>
      <c r="P8678">
        <v>0</v>
      </c>
      <c r="Q8678">
        <v>11</v>
      </c>
      <c r="R8678" t="s">
        <v>32537</v>
      </c>
      <c r="S8678" t="s">
        <v>32828</v>
      </c>
      <c r="T8678" t="s">
        <v>33249</v>
      </c>
      <c r="U8678" t="s">
        <v>40293</v>
      </c>
      <c r="V8678" t="s">
        <v>43395</v>
      </c>
      <c r="W8678" t="s">
        <v>32108</v>
      </c>
      <c r="X8678" t="s">
        <v>32538</v>
      </c>
    </row>
    <row r="8679" spans="1:24">
      <c r="A8679">
        <f>HYPERLINK("https://www.philgeps.gov.ph/GEPSNONPILOT/Tender/SplashBidNoticeAbstractUI.aspx?menuIndex=3&amp;refID=7027371&amp;Result=3","7027371")</f>
        <v>0</v>
      </c>
      <c r="B8679" t="s">
        <v>965</v>
      </c>
      <c r="C8679" t="s">
        <v>10976</v>
      </c>
      <c r="D8679" t="s">
        <v>13068</v>
      </c>
      <c r="E8679" t="s">
        <v>20670</v>
      </c>
      <c r="F8679" t="s">
        <v>22436</v>
      </c>
      <c r="G8679" t="s">
        <v>22446</v>
      </c>
      <c r="H8679" t="s">
        <v>22452</v>
      </c>
      <c r="I8679" t="s">
        <v>22572</v>
      </c>
      <c r="J8679" t="s">
        <v>28122</v>
      </c>
      <c r="K8679" t="s">
        <v>29341</v>
      </c>
      <c r="M8679" t="s">
        <v>30581</v>
      </c>
      <c r="N8679" t="s">
        <v>32524</v>
      </c>
      <c r="O8679" t="s">
        <v>32525</v>
      </c>
      <c r="P8679">
        <v>0</v>
      </c>
      <c r="Q8679">
        <v>1</v>
      </c>
      <c r="R8679" t="s">
        <v>32537</v>
      </c>
      <c r="S8679" t="s">
        <v>32828</v>
      </c>
      <c r="T8679" t="s">
        <v>33401</v>
      </c>
      <c r="U8679" t="s">
        <v>40814</v>
      </c>
      <c r="V8679" t="s">
        <v>43399</v>
      </c>
      <c r="W8679" t="s">
        <v>30581</v>
      </c>
      <c r="X8679" t="s">
        <v>32538</v>
      </c>
    </row>
    <row r="8680" spans="1:24">
      <c r="A8680">
        <f>HYPERLINK("https://www.philgeps.gov.ph/GEPSNONPILOT/Tender/SplashBidNoticeAbstractUI.aspx?menuIndex=3&amp;refID=7027267&amp;Result=3","7027267")</f>
        <v>0</v>
      </c>
      <c r="B8680" t="s">
        <v>2447</v>
      </c>
      <c r="C8680" t="s">
        <v>10977</v>
      </c>
      <c r="D8680" t="s">
        <v>13058</v>
      </c>
      <c r="E8680" t="s">
        <v>20671</v>
      </c>
      <c r="F8680" t="s">
        <v>22436</v>
      </c>
      <c r="G8680" t="s">
        <v>22446</v>
      </c>
      <c r="H8680" t="s">
        <v>22452</v>
      </c>
      <c r="I8680" t="s">
        <v>22460</v>
      </c>
      <c r="J8680" t="s">
        <v>28123</v>
      </c>
      <c r="K8680" t="s">
        <v>29336</v>
      </c>
      <c r="M8680" t="s">
        <v>32251</v>
      </c>
      <c r="N8680" t="s">
        <v>32524</v>
      </c>
      <c r="O8680" t="s">
        <v>32525</v>
      </c>
      <c r="P8680">
        <v>0</v>
      </c>
      <c r="Q8680">
        <v>1</v>
      </c>
      <c r="R8680" t="s">
        <v>32537</v>
      </c>
      <c r="S8680" t="s">
        <v>32828</v>
      </c>
      <c r="T8680" t="s">
        <v>33323</v>
      </c>
      <c r="U8680" t="s">
        <v>40815</v>
      </c>
      <c r="W8680" t="s">
        <v>32251</v>
      </c>
      <c r="X8680" t="s">
        <v>32538</v>
      </c>
    </row>
    <row r="8681" spans="1:24">
      <c r="A8681">
        <f>HYPERLINK("https://www.philgeps.gov.ph/GEPSNONPILOT/Tender/SplashBidNoticeAbstractUI.aspx?menuIndex=3&amp;refID=7027328&amp;Result=3","7027328")</f>
        <v>0</v>
      </c>
      <c r="B8681" t="s">
        <v>2448</v>
      </c>
      <c r="C8681" t="s">
        <v>10978</v>
      </c>
      <c r="D8681" t="s">
        <v>13032</v>
      </c>
      <c r="E8681" t="s">
        <v>20672</v>
      </c>
      <c r="F8681" t="s">
        <v>22437</v>
      </c>
      <c r="G8681" t="s">
        <v>22444</v>
      </c>
      <c r="H8681" t="s">
        <v>22452</v>
      </c>
      <c r="I8681" t="s">
        <v>6387</v>
      </c>
      <c r="J8681" t="s">
        <v>28124</v>
      </c>
      <c r="K8681" t="s">
        <v>29336</v>
      </c>
      <c r="M8681" t="s">
        <v>32252</v>
      </c>
      <c r="N8681" t="s">
        <v>32524</v>
      </c>
      <c r="O8681" t="s">
        <v>32525</v>
      </c>
      <c r="P8681">
        <v>0</v>
      </c>
      <c r="Q8681">
        <v>4</v>
      </c>
      <c r="R8681" t="s">
        <v>32537</v>
      </c>
      <c r="S8681" t="s">
        <v>32828</v>
      </c>
      <c r="T8681" t="s">
        <v>33235</v>
      </c>
      <c r="U8681" t="s">
        <v>40816</v>
      </c>
      <c r="W8681" t="s">
        <v>32252</v>
      </c>
      <c r="X8681" t="s">
        <v>32538</v>
      </c>
    </row>
    <row r="8682" spans="1:24">
      <c r="A8682">
        <f>HYPERLINK("https://www.philgeps.gov.ph/GEPSNONPILOT/Tender/SplashBidNoticeAbstractUI.aspx?menuIndex=3&amp;refID=7027354&amp;Result=3","7027354")</f>
        <v>0</v>
      </c>
      <c r="B8682" t="s">
        <v>1469</v>
      </c>
      <c r="C8682" t="s">
        <v>10979</v>
      </c>
      <c r="D8682" t="s">
        <v>13034</v>
      </c>
      <c r="E8682" t="s">
        <v>15368</v>
      </c>
      <c r="F8682" t="s">
        <v>22436</v>
      </c>
      <c r="G8682" t="s">
        <v>22444</v>
      </c>
      <c r="H8682" t="s">
        <v>22454</v>
      </c>
      <c r="I8682" t="s">
        <v>7738</v>
      </c>
      <c r="J8682" t="s">
        <v>28125</v>
      </c>
      <c r="K8682" t="s">
        <v>29344</v>
      </c>
      <c r="M8682" t="s">
        <v>31138</v>
      </c>
      <c r="N8682" t="s">
        <v>32524</v>
      </c>
      <c r="O8682" t="s">
        <v>32525</v>
      </c>
      <c r="P8682">
        <v>0</v>
      </c>
      <c r="Q8682">
        <v>1</v>
      </c>
      <c r="R8682" t="s">
        <v>32537</v>
      </c>
      <c r="S8682" t="s">
        <v>32828</v>
      </c>
      <c r="T8682" t="s">
        <v>33242</v>
      </c>
      <c r="U8682" t="s">
        <v>40817</v>
      </c>
      <c r="W8682" t="s">
        <v>31138</v>
      </c>
      <c r="X8682" t="s">
        <v>32538</v>
      </c>
    </row>
    <row r="8683" spans="1:24">
      <c r="A8683">
        <f>HYPERLINK("https://www.philgeps.gov.ph/GEPSNONPILOT/Tender/SplashBidNoticeAbstractUI.aspx?menuIndex=3&amp;refID=7027376&amp;Result=3","7027376")</f>
        <v>0</v>
      </c>
      <c r="B8683" t="s">
        <v>181</v>
      </c>
      <c r="C8683" t="s">
        <v>10980</v>
      </c>
      <c r="D8683" t="s">
        <v>13032</v>
      </c>
      <c r="E8683" t="s">
        <v>20673</v>
      </c>
      <c r="F8683" t="s">
        <v>22436</v>
      </c>
      <c r="G8683" t="s">
        <v>22447</v>
      </c>
      <c r="H8683" t="s">
        <v>22452</v>
      </c>
      <c r="I8683" t="s">
        <v>22525</v>
      </c>
      <c r="J8683" t="s">
        <v>24160</v>
      </c>
      <c r="K8683" t="s">
        <v>29341</v>
      </c>
      <c r="M8683" t="s">
        <v>29753</v>
      </c>
      <c r="N8683" t="s">
        <v>32524</v>
      </c>
      <c r="O8683" t="s">
        <v>32525</v>
      </c>
      <c r="P8683">
        <v>0</v>
      </c>
      <c r="Q8683">
        <v>1</v>
      </c>
      <c r="R8683" t="s">
        <v>32537</v>
      </c>
      <c r="S8683" t="s">
        <v>32828</v>
      </c>
      <c r="T8683" t="s">
        <v>33180</v>
      </c>
      <c r="U8683" t="s">
        <v>40818</v>
      </c>
      <c r="W8683" t="s">
        <v>29753</v>
      </c>
      <c r="X8683" t="s">
        <v>32538</v>
      </c>
    </row>
    <row r="8684" spans="1:24">
      <c r="A8684">
        <f>HYPERLINK("https://www.philgeps.gov.ph/GEPSNONPILOT/Tender/SplashBidNoticeAbstractUI.aspx?menuIndex=3&amp;refID=7027287&amp;Result=3","7027287")</f>
        <v>0</v>
      </c>
      <c r="B8684" t="s">
        <v>1115</v>
      </c>
      <c r="C8684" t="s">
        <v>10981</v>
      </c>
      <c r="D8684" t="s">
        <v>13039</v>
      </c>
      <c r="E8684" t="s">
        <v>20674</v>
      </c>
      <c r="F8684" t="s">
        <v>22436</v>
      </c>
      <c r="G8684" t="s">
        <v>22444</v>
      </c>
      <c r="H8684" t="s">
        <v>22454</v>
      </c>
      <c r="I8684" t="s">
        <v>7738</v>
      </c>
      <c r="J8684" t="s">
        <v>25379</v>
      </c>
      <c r="K8684" t="s">
        <v>29346</v>
      </c>
      <c r="M8684" t="s">
        <v>30753</v>
      </c>
      <c r="N8684" t="s">
        <v>32524</v>
      </c>
      <c r="O8684" t="s">
        <v>32525</v>
      </c>
      <c r="P8684">
        <v>0</v>
      </c>
      <c r="Q8684">
        <v>2</v>
      </c>
      <c r="R8684" t="s">
        <v>32537</v>
      </c>
      <c r="S8684" t="s">
        <v>32828</v>
      </c>
      <c r="T8684" t="s">
        <v>33385</v>
      </c>
      <c r="U8684" t="s">
        <v>40819</v>
      </c>
      <c r="W8684" t="s">
        <v>30753</v>
      </c>
      <c r="X8684" t="s">
        <v>32538</v>
      </c>
    </row>
    <row r="8685" spans="1:24">
      <c r="A8685">
        <f>HYPERLINK("https://www.philgeps.gov.ph/GEPSNONPILOT/Tender/SplashBidNoticeAbstractUI.aspx?menuIndex=3&amp;refID=7027350&amp;Result=3","7027350")</f>
        <v>0</v>
      </c>
      <c r="B8685" t="s">
        <v>1289</v>
      </c>
      <c r="C8685" t="s">
        <v>10982</v>
      </c>
      <c r="E8685" t="s">
        <v>20675</v>
      </c>
      <c r="F8685" t="s">
        <v>22436</v>
      </c>
      <c r="G8685" t="s">
        <v>22446</v>
      </c>
      <c r="H8685" t="s">
        <v>22452</v>
      </c>
      <c r="I8685" t="s">
        <v>11896</v>
      </c>
      <c r="J8685" t="s">
        <v>25116</v>
      </c>
      <c r="K8685" t="s">
        <v>29341</v>
      </c>
      <c r="M8685" t="s">
        <v>30943</v>
      </c>
      <c r="N8685" t="s">
        <v>32524</v>
      </c>
      <c r="O8685" t="s">
        <v>32525</v>
      </c>
      <c r="Q8685">
        <v>9</v>
      </c>
      <c r="R8685" t="s">
        <v>32537</v>
      </c>
      <c r="S8685" t="s">
        <v>32831</v>
      </c>
      <c r="T8685" t="s">
        <v>33238</v>
      </c>
      <c r="U8685" t="s">
        <v>40820</v>
      </c>
      <c r="W8685" t="s">
        <v>30943</v>
      </c>
      <c r="X8685" t="s">
        <v>32538</v>
      </c>
    </row>
    <row r="8686" spans="1:24">
      <c r="A8686">
        <f>HYPERLINK("https://www.philgeps.gov.ph/GEPSNONPILOT/Tender/SplashBidNoticeAbstractUI.aspx?menuIndex=3&amp;refID=7027368&amp;Result=3","7027368")</f>
        <v>0</v>
      </c>
      <c r="B8686" t="s">
        <v>2449</v>
      </c>
      <c r="C8686" t="s">
        <v>10983</v>
      </c>
      <c r="D8686" t="s">
        <v>13034</v>
      </c>
      <c r="E8686" t="s">
        <v>20676</v>
      </c>
      <c r="F8686" t="s">
        <v>22436</v>
      </c>
      <c r="G8686" t="s">
        <v>22444</v>
      </c>
      <c r="H8686" t="s">
        <v>22454</v>
      </c>
      <c r="I8686" t="s">
        <v>7738</v>
      </c>
      <c r="J8686" t="s">
        <v>23347</v>
      </c>
      <c r="K8686" t="s">
        <v>29344</v>
      </c>
      <c r="M8686" t="s">
        <v>32253</v>
      </c>
      <c r="N8686" t="s">
        <v>32524</v>
      </c>
      <c r="O8686" t="s">
        <v>32525</v>
      </c>
      <c r="P8686">
        <v>0</v>
      </c>
      <c r="Q8686">
        <v>0</v>
      </c>
      <c r="R8686" t="s">
        <v>32537</v>
      </c>
      <c r="S8686" t="s">
        <v>32828</v>
      </c>
      <c r="T8686" t="s">
        <v>33211</v>
      </c>
      <c r="U8686" t="s">
        <v>40821</v>
      </c>
      <c r="V8686" t="s">
        <v>43400</v>
      </c>
      <c r="W8686" t="s">
        <v>32253</v>
      </c>
      <c r="X8686" t="s">
        <v>32538</v>
      </c>
    </row>
    <row r="8687" spans="1:24">
      <c r="A8687">
        <f>HYPERLINK("https://www.philgeps.gov.ph/GEPSNONPILOT/Tender/SplashBidNoticeAbstractUI.aspx?menuIndex=3&amp;refID=7027408&amp;Result=3","7027408")</f>
        <v>0</v>
      </c>
      <c r="B8687" t="s">
        <v>1389</v>
      </c>
      <c r="C8687" t="s">
        <v>10984</v>
      </c>
      <c r="D8687" t="s">
        <v>13019</v>
      </c>
      <c r="E8687" t="s">
        <v>20677</v>
      </c>
      <c r="F8687" t="s">
        <v>22436</v>
      </c>
      <c r="G8687" t="s">
        <v>22444</v>
      </c>
      <c r="H8687" t="s">
        <v>22454</v>
      </c>
      <c r="I8687" t="s">
        <v>7738</v>
      </c>
      <c r="J8687" t="s">
        <v>22624</v>
      </c>
      <c r="K8687" t="s">
        <v>29388</v>
      </c>
      <c r="M8687" t="s">
        <v>31047</v>
      </c>
      <c r="N8687" t="s">
        <v>32524</v>
      </c>
      <c r="O8687" t="s">
        <v>32525</v>
      </c>
      <c r="P8687">
        <v>0</v>
      </c>
      <c r="Q8687">
        <v>1</v>
      </c>
      <c r="R8687" t="s">
        <v>32537</v>
      </c>
      <c r="S8687" t="s">
        <v>32828</v>
      </c>
      <c r="T8687" t="s">
        <v>33175</v>
      </c>
      <c r="U8687" t="s">
        <v>40822</v>
      </c>
      <c r="W8687" t="s">
        <v>31047</v>
      </c>
      <c r="X8687" t="s">
        <v>32538</v>
      </c>
    </row>
    <row r="8688" spans="1:24">
      <c r="A8688">
        <f>HYPERLINK("https://www.philgeps.gov.ph/GEPSNONPILOT/Tender/SplashBidNoticeAbstractUI.aspx?menuIndex=3&amp;refID=7027281&amp;Result=3","7027281")</f>
        <v>0</v>
      </c>
      <c r="B8688" t="s">
        <v>1469</v>
      </c>
      <c r="C8688" t="s">
        <v>10985</v>
      </c>
      <c r="D8688" t="s">
        <v>13034</v>
      </c>
      <c r="E8688" t="s">
        <v>15357</v>
      </c>
      <c r="F8688" t="s">
        <v>22436</v>
      </c>
      <c r="G8688" t="s">
        <v>22444</v>
      </c>
      <c r="H8688" t="s">
        <v>22454</v>
      </c>
      <c r="I8688" t="s">
        <v>7738</v>
      </c>
      <c r="J8688" t="s">
        <v>28126</v>
      </c>
      <c r="K8688" t="s">
        <v>29344</v>
      </c>
      <c r="M8688" t="s">
        <v>31138</v>
      </c>
      <c r="N8688" t="s">
        <v>32524</v>
      </c>
      <c r="O8688" t="s">
        <v>32525</v>
      </c>
      <c r="P8688">
        <v>0</v>
      </c>
      <c r="Q8688">
        <v>1</v>
      </c>
      <c r="R8688" t="s">
        <v>32537</v>
      </c>
      <c r="S8688" t="s">
        <v>32828</v>
      </c>
      <c r="T8688" t="s">
        <v>33242</v>
      </c>
      <c r="U8688" t="s">
        <v>40823</v>
      </c>
      <c r="W8688" t="s">
        <v>31138</v>
      </c>
      <c r="X8688" t="s">
        <v>32538</v>
      </c>
    </row>
    <row r="8689" spans="1:24">
      <c r="A8689">
        <f>HYPERLINK("https://www.philgeps.gov.ph/GEPSNONPILOT/Tender/SplashBidNoticeAbstractUI.aspx?menuIndex=3&amp;refID=7027370&amp;Result=3","7027370")</f>
        <v>0</v>
      </c>
      <c r="B8689" t="s">
        <v>1634</v>
      </c>
      <c r="C8689" t="s">
        <v>7289</v>
      </c>
      <c r="E8689" t="s">
        <v>20678</v>
      </c>
      <c r="F8689" t="s">
        <v>22436</v>
      </c>
      <c r="G8689" t="s">
        <v>22444</v>
      </c>
      <c r="H8689" t="s">
        <v>22452</v>
      </c>
      <c r="I8689" t="s">
        <v>22471</v>
      </c>
      <c r="J8689" t="s">
        <v>28127</v>
      </c>
      <c r="K8689" t="s">
        <v>29338</v>
      </c>
      <c r="M8689" t="s">
        <v>31324</v>
      </c>
      <c r="N8689" t="s">
        <v>32524</v>
      </c>
      <c r="O8689" t="s">
        <v>32525</v>
      </c>
      <c r="P8689">
        <v>0</v>
      </c>
      <c r="Q8689">
        <v>0</v>
      </c>
      <c r="R8689" t="s">
        <v>32537</v>
      </c>
      <c r="S8689" t="s">
        <v>32828</v>
      </c>
      <c r="T8689" t="s">
        <v>33435</v>
      </c>
      <c r="U8689" t="s">
        <v>40824</v>
      </c>
      <c r="W8689" t="s">
        <v>31324</v>
      </c>
      <c r="X8689" t="s">
        <v>32538</v>
      </c>
    </row>
    <row r="8690" spans="1:24">
      <c r="A8690">
        <f>HYPERLINK("https://www.philgeps.gov.ph/GEPSNONPILOT/Tender/SplashBidNoticeAbstractUI.aspx?menuIndex=3&amp;refID=7027455&amp;Result=3","7027455")</f>
        <v>0</v>
      </c>
      <c r="B8690" t="s">
        <v>2331</v>
      </c>
      <c r="C8690" t="s">
        <v>10986</v>
      </c>
      <c r="D8690" t="s">
        <v>13031</v>
      </c>
      <c r="E8690" t="s">
        <v>20679</v>
      </c>
      <c r="F8690" t="s">
        <v>22436</v>
      </c>
      <c r="G8690" t="s">
        <v>22444</v>
      </c>
      <c r="H8690" t="s">
        <v>22452</v>
      </c>
      <c r="I8690" t="s">
        <v>22540</v>
      </c>
      <c r="J8690" t="s">
        <v>23598</v>
      </c>
      <c r="K8690" t="s">
        <v>29333</v>
      </c>
      <c r="M8690" t="s">
        <v>32108</v>
      </c>
      <c r="N8690" t="s">
        <v>32524</v>
      </c>
      <c r="O8690" t="s">
        <v>32525</v>
      </c>
      <c r="P8690">
        <v>0</v>
      </c>
      <c r="Q8690">
        <v>7</v>
      </c>
      <c r="R8690" t="s">
        <v>32537</v>
      </c>
      <c r="S8690" t="s">
        <v>32828</v>
      </c>
      <c r="T8690" t="s">
        <v>33249</v>
      </c>
      <c r="U8690" t="s">
        <v>40293</v>
      </c>
      <c r="V8690" t="s">
        <v>43395</v>
      </c>
      <c r="W8690" t="s">
        <v>32108</v>
      </c>
      <c r="X8690" t="s">
        <v>32538</v>
      </c>
    </row>
    <row r="8691" spans="1:24">
      <c r="A8691">
        <f>HYPERLINK("https://www.philgeps.gov.ph/GEPSNONPILOT/Tender/SplashBidNoticeAbstractUI.aspx?menuIndex=3&amp;refID=7027405&amp;Result=3","7027405")</f>
        <v>0</v>
      </c>
      <c r="B8691" t="s">
        <v>2050</v>
      </c>
      <c r="C8691" t="s">
        <v>10987</v>
      </c>
      <c r="D8691" t="s">
        <v>13040</v>
      </c>
      <c r="E8691" t="s">
        <v>20680</v>
      </c>
      <c r="F8691" t="s">
        <v>22436</v>
      </c>
      <c r="G8691" t="s">
        <v>22444</v>
      </c>
      <c r="H8691" t="s">
        <v>22452</v>
      </c>
      <c r="I8691" t="s">
        <v>22479</v>
      </c>
      <c r="J8691" t="s">
        <v>28128</v>
      </c>
      <c r="K8691" t="s">
        <v>29330</v>
      </c>
      <c r="M8691" t="s">
        <v>31790</v>
      </c>
      <c r="N8691" t="s">
        <v>32524</v>
      </c>
      <c r="O8691" t="s">
        <v>32525</v>
      </c>
      <c r="P8691">
        <v>0</v>
      </c>
      <c r="Q8691">
        <v>7</v>
      </c>
      <c r="R8691" t="s">
        <v>32537</v>
      </c>
      <c r="S8691" t="s">
        <v>32828</v>
      </c>
      <c r="T8691" t="s">
        <v>33249</v>
      </c>
      <c r="U8691" t="s">
        <v>40825</v>
      </c>
      <c r="W8691" t="s">
        <v>31790</v>
      </c>
      <c r="X8691" t="s">
        <v>32538</v>
      </c>
    </row>
    <row r="8692" spans="1:24">
      <c r="A8692">
        <f>HYPERLINK("https://www.philgeps.gov.ph/GEPSNONPILOT/Tender/SplashBidNoticeAbstractUI.aspx?menuIndex=3&amp;refID=7027387&amp;Result=3","7027387")</f>
        <v>0</v>
      </c>
      <c r="B8692" t="s">
        <v>2331</v>
      </c>
      <c r="C8692" t="s">
        <v>10988</v>
      </c>
      <c r="D8692" t="s">
        <v>13031</v>
      </c>
      <c r="E8692" t="s">
        <v>20681</v>
      </c>
      <c r="F8692" t="s">
        <v>22436</v>
      </c>
      <c r="G8692" t="s">
        <v>22444</v>
      </c>
      <c r="H8692" t="s">
        <v>22452</v>
      </c>
      <c r="I8692" t="s">
        <v>22540</v>
      </c>
      <c r="J8692" t="s">
        <v>28129</v>
      </c>
      <c r="K8692" t="s">
        <v>29333</v>
      </c>
      <c r="M8692" t="s">
        <v>32108</v>
      </c>
      <c r="N8692" t="s">
        <v>32524</v>
      </c>
      <c r="O8692" t="s">
        <v>32525</v>
      </c>
      <c r="P8692">
        <v>0</v>
      </c>
      <c r="Q8692">
        <v>6</v>
      </c>
      <c r="R8692" t="s">
        <v>32537</v>
      </c>
      <c r="S8692" t="s">
        <v>32828</v>
      </c>
      <c r="T8692" t="s">
        <v>33249</v>
      </c>
      <c r="U8692" t="s">
        <v>40293</v>
      </c>
      <c r="V8692" t="s">
        <v>43395</v>
      </c>
      <c r="W8692" t="s">
        <v>32108</v>
      </c>
      <c r="X8692" t="s">
        <v>32538</v>
      </c>
    </row>
    <row r="8693" spans="1:24">
      <c r="A8693">
        <f>HYPERLINK("https://www.philgeps.gov.ph/GEPSNONPILOT/Tender/SplashBidNoticeAbstractUI.aspx?menuIndex=3&amp;refID=7027497&amp;Result=3","7027497")</f>
        <v>0</v>
      </c>
      <c r="B8693" t="s">
        <v>311</v>
      </c>
      <c r="C8693" t="s">
        <v>10989</v>
      </c>
      <c r="D8693" t="s">
        <v>13035</v>
      </c>
      <c r="E8693" t="s">
        <v>20682</v>
      </c>
      <c r="F8693" t="s">
        <v>22436</v>
      </c>
      <c r="G8693" t="s">
        <v>22444</v>
      </c>
      <c r="H8693" t="s">
        <v>22452</v>
      </c>
      <c r="I8693" t="s">
        <v>3122</v>
      </c>
      <c r="J8693" t="s">
        <v>25668</v>
      </c>
      <c r="K8693" t="s">
        <v>29338</v>
      </c>
      <c r="M8693" t="s">
        <v>29886</v>
      </c>
      <c r="N8693" t="s">
        <v>32524</v>
      </c>
      <c r="O8693" t="s">
        <v>32525</v>
      </c>
      <c r="P8693">
        <v>0</v>
      </c>
      <c r="Q8693">
        <v>1</v>
      </c>
      <c r="R8693" t="s">
        <v>32537</v>
      </c>
      <c r="S8693" t="s">
        <v>32828</v>
      </c>
      <c r="T8693" t="s">
        <v>33310</v>
      </c>
      <c r="U8693" t="s">
        <v>40826</v>
      </c>
      <c r="W8693" t="s">
        <v>29886</v>
      </c>
      <c r="X8693" t="s">
        <v>32538</v>
      </c>
    </row>
    <row r="8694" spans="1:24">
      <c r="A8694">
        <f>HYPERLINK("https://www.philgeps.gov.ph/GEPSNONPILOT/Tender/SplashBidNoticeAbstractUI.aspx?menuIndex=3&amp;refID=7027305&amp;Result=3","7027305")</f>
        <v>0</v>
      </c>
      <c r="B8694" t="s">
        <v>965</v>
      </c>
      <c r="C8694" t="s">
        <v>10990</v>
      </c>
      <c r="D8694" t="s">
        <v>13068</v>
      </c>
      <c r="E8694" t="s">
        <v>20683</v>
      </c>
      <c r="F8694" t="s">
        <v>22436</v>
      </c>
      <c r="G8694" t="s">
        <v>22446</v>
      </c>
      <c r="H8694" t="s">
        <v>22452</v>
      </c>
      <c r="I8694" t="s">
        <v>12358</v>
      </c>
      <c r="J8694" t="s">
        <v>28130</v>
      </c>
      <c r="K8694" t="s">
        <v>29341</v>
      </c>
      <c r="M8694" t="s">
        <v>30581</v>
      </c>
      <c r="N8694" t="s">
        <v>32524</v>
      </c>
      <c r="O8694" t="s">
        <v>32525</v>
      </c>
      <c r="P8694">
        <v>0</v>
      </c>
      <c r="Q8694">
        <v>0</v>
      </c>
      <c r="R8694" t="s">
        <v>32537</v>
      </c>
      <c r="S8694" t="s">
        <v>32828</v>
      </c>
      <c r="T8694" t="s">
        <v>33401</v>
      </c>
      <c r="U8694" t="s">
        <v>40827</v>
      </c>
      <c r="V8694" t="s">
        <v>43399</v>
      </c>
      <c r="W8694" t="s">
        <v>30581</v>
      </c>
      <c r="X8694" t="s">
        <v>32538</v>
      </c>
    </row>
    <row r="8695" spans="1:24">
      <c r="A8695">
        <f>HYPERLINK("https://www.philgeps.gov.ph/GEPSNONPILOT/Tender/SplashBidNoticeAbstractUI.aspx?menuIndex=3&amp;refID=7027369&amp;Result=3","7027369")</f>
        <v>0</v>
      </c>
      <c r="B8695" t="s">
        <v>1451</v>
      </c>
      <c r="C8695" t="s">
        <v>10991</v>
      </c>
      <c r="D8695" t="s">
        <v>12988</v>
      </c>
      <c r="E8695" t="s">
        <v>20684</v>
      </c>
      <c r="F8695" t="s">
        <v>22436</v>
      </c>
      <c r="G8695" t="s">
        <v>22443</v>
      </c>
      <c r="H8695" t="s">
        <v>22452</v>
      </c>
      <c r="I8695" t="s">
        <v>12358</v>
      </c>
      <c r="J8695" t="s">
        <v>23921</v>
      </c>
      <c r="K8695" t="s">
        <v>29341</v>
      </c>
      <c r="M8695" t="s">
        <v>31115</v>
      </c>
      <c r="N8695" t="s">
        <v>32524</v>
      </c>
      <c r="O8695" t="s">
        <v>32525</v>
      </c>
      <c r="Q8695">
        <v>2</v>
      </c>
      <c r="R8695" t="s">
        <v>32537</v>
      </c>
      <c r="S8695" t="s">
        <v>32832</v>
      </c>
      <c r="T8695" t="s">
        <v>33356</v>
      </c>
      <c r="U8695" t="s">
        <v>40828</v>
      </c>
      <c r="W8695" t="s">
        <v>31115</v>
      </c>
      <c r="X8695" t="s">
        <v>32538</v>
      </c>
    </row>
    <row r="8696" spans="1:24">
      <c r="A8696">
        <f>HYPERLINK("https://www.philgeps.gov.ph/GEPSNONPILOT/Tender/SplashBidNoticeAbstractUI.aspx?menuIndex=3&amp;refID=7027430&amp;Result=3","7027430")</f>
        <v>0</v>
      </c>
      <c r="B8696" t="s">
        <v>181</v>
      </c>
      <c r="C8696" t="s">
        <v>10992</v>
      </c>
      <c r="D8696" t="s">
        <v>13032</v>
      </c>
      <c r="E8696" t="s">
        <v>20685</v>
      </c>
      <c r="F8696" t="s">
        <v>22436</v>
      </c>
      <c r="G8696" t="s">
        <v>22447</v>
      </c>
      <c r="H8696" t="s">
        <v>22452</v>
      </c>
      <c r="I8696" t="s">
        <v>22525</v>
      </c>
      <c r="J8696" t="s">
        <v>24713</v>
      </c>
      <c r="K8696" t="s">
        <v>29341</v>
      </c>
      <c r="M8696" t="s">
        <v>29753</v>
      </c>
      <c r="N8696" t="s">
        <v>32524</v>
      </c>
      <c r="O8696" t="s">
        <v>32525</v>
      </c>
      <c r="P8696">
        <v>0</v>
      </c>
      <c r="Q8696">
        <v>1</v>
      </c>
      <c r="R8696" t="s">
        <v>32537</v>
      </c>
      <c r="S8696" t="s">
        <v>32828</v>
      </c>
      <c r="T8696" t="s">
        <v>33180</v>
      </c>
      <c r="U8696" t="s">
        <v>40829</v>
      </c>
      <c r="W8696" t="s">
        <v>29753</v>
      </c>
      <c r="X8696" t="s">
        <v>32538</v>
      </c>
    </row>
    <row r="8697" spans="1:24">
      <c r="A8697">
        <f>HYPERLINK("https://www.philgeps.gov.ph/GEPSNONPILOT/Tender/SplashBidNoticeAbstractUI.aspx?menuIndex=3&amp;refID=7027442&amp;Result=3","7027442")</f>
        <v>0</v>
      </c>
      <c r="B8697" t="s">
        <v>1021</v>
      </c>
      <c r="C8697" t="s">
        <v>7298</v>
      </c>
      <c r="D8697" t="s">
        <v>13020</v>
      </c>
      <c r="E8697" t="s">
        <v>20686</v>
      </c>
      <c r="F8697" t="s">
        <v>22436</v>
      </c>
      <c r="G8697" t="s">
        <v>22444</v>
      </c>
      <c r="H8697" t="s">
        <v>22452</v>
      </c>
      <c r="I8697" t="s">
        <v>3027</v>
      </c>
      <c r="J8697" t="s">
        <v>28131</v>
      </c>
      <c r="K8697" t="s">
        <v>29440</v>
      </c>
      <c r="M8697" t="s">
        <v>30649</v>
      </c>
      <c r="N8697" t="s">
        <v>32524</v>
      </c>
      <c r="O8697" t="s">
        <v>32525</v>
      </c>
      <c r="Q8697">
        <v>2</v>
      </c>
      <c r="R8697" t="s">
        <v>32537</v>
      </c>
      <c r="S8697" t="s">
        <v>32833</v>
      </c>
      <c r="T8697" t="s">
        <v>33175</v>
      </c>
      <c r="U8697" t="s">
        <v>40830</v>
      </c>
      <c r="W8697" t="s">
        <v>43703</v>
      </c>
      <c r="X8697" t="s">
        <v>32538</v>
      </c>
    </row>
    <row r="8698" spans="1:24">
      <c r="A8698">
        <f>HYPERLINK("https://www.philgeps.gov.ph/GEPSNONPILOT/Tender/SplashBidNoticeAbstractUI.aspx?menuIndex=3&amp;refID=7027548&amp;Result=3","7027548")</f>
        <v>0</v>
      </c>
      <c r="B8698" t="s">
        <v>323</v>
      </c>
      <c r="C8698" t="s">
        <v>10993</v>
      </c>
      <c r="D8698" t="s">
        <v>13013</v>
      </c>
      <c r="E8698" t="s">
        <v>20687</v>
      </c>
      <c r="F8698" t="s">
        <v>22436</v>
      </c>
      <c r="G8698" t="s">
        <v>22444</v>
      </c>
      <c r="H8698" t="s">
        <v>22452</v>
      </c>
      <c r="I8698" t="s">
        <v>7738</v>
      </c>
      <c r="J8698" t="s">
        <v>28132</v>
      </c>
      <c r="K8698" t="s">
        <v>29334</v>
      </c>
      <c r="M8698" t="s">
        <v>30298</v>
      </c>
      <c r="N8698" t="s">
        <v>32524</v>
      </c>
      <c r="O8698" t="s">
        <v>32525</v>
      </c>
      <c r="P8698">
        <v>0</v>
      </c>
      <c r="Q8698">
        <v>0</v>
      </c>
      <c r="R8698" t="s">
        <v>32537</v>
      </c>
      <c r="S8698" t="s">
        <v>32828</v>
      </c>
      <c r="T8698" t="s">
        <v>33227</v>
      </c>
      <c r="U8698" t="s">
        <v>40831</v>
      </c>
      <c r="W8698" t="s">
        <v>30298</v>
      </c>
      <c r="X8698" t="s">
        <v>32538</v>
      </c>
    </row>
    <row r="8699" spans="1:24">
      <c r="A8699">
        <f>HYPERLINK("https://www.philgeps.gov.ph/GEPSNONPILOT/Tender/SplashBidNoticeAbstractUI.aspx?menuIndex=3&amp;refID=7027602&amp;Result=3","7027602")</f>
        <v>0</v>
      </c>
      <c r="B8699" t="s">
        <v>2450</v>
      </c>
      <c r="C8699" t="s">
        <v>10994</v>
      </c>
      <c r="D8699" t="s">
        <v>13038</v>
      </c>
      <c r="E8699" t="s">
        <v>13299</v>
      </c>
      <c r="F8699" t="s">
        <v>22436</v>
      </c>
      <c r="G8699" t="s">
        <v>22444</v>
      </c>
      <c r="H8699" t="s">
        <v>22452</v>
      </c>
      <c r="I8699" t="s">
        <v>22474</v>
      </c>
      <c r="J8699" t="s">
        <v>28133</v>
      </c>
      <c r="K8699" t="s">
        <v>29335</v>
      </c>
      <c r="M8699" t="s">
        <v>32254</v>
      </c>
      <c r="N8699" t="s">
        <v>32524</v>
      </c>
      <c r="O8699" t="s">
        <v>32525</v>
      </c>
      <c r="P8699">
        <v>0</v>
      </c>
      <c r="Q8699">
        <v>0</v>
      </c>
      <c r="R8699" t="s">
        <v>32537</v>
      </c>
      <c r="S8699" t="s">
        <v>32828</v>
      </c>
      <c r="T8699" t="s">
        <v>33259</v>
      </c>
      <c r="U8699" t="s">
        <v>40832</v>
      </c>
      <c r="W8699" t="s">
        <v>32254</v>
      </c>
      <c r="X8699" t="s">
        <v>32538</v>
      </c>
    </row>
    <row r="8700" spans="1:24">
      <c r="A8700">
        <f>HYPERLINK("https://www.philgeps.gov.ph/GEPSNONPILOT/Tender/SplashBidNoticeAbstractUI.aspx?menuIndex=3&amp;refID=7027567&amp;Result=3","7027567")</f>
        <v>0</v>
      </c>
      <c r="B8700" t="s">
        <v>1796</v>
      </c>
      <c r="C8700" t="s">
        <v>10995</v>
      </c>
      <c r="D8700" t="s">
        <v>12997</v>
      </c>
      <c r="E8700" t="s">
        <v>20688</v>
      </c>
      <c r="F8700" t="s">
        <v>22436</v>
      </c>
      <c r="G8700" t="s">
        <v>22443</v>
      </c>
      <c r="H8700" t="s">
        <v>22452</v>
      </c>
      <c r="I8700" t="s">
        <v>22494</v>
      </c>
      <c r="J8700" t="s">
        <v>22875</v>
      </c>
      <c r="K8700" t="s">
        <v>29357</v>
      </c>
      <c r="M8700" t="s">
        <v>31507</v>
      </c>
      <c r="N8700" t="s">
        <v>32524</v>
      </c>
      <c r="O8700" t="s">
        <v>32525</v>
      </c>
      <c r="P8700">
        <v>0</v>
      </c>
      <c r="Q8700">
        <v>0</v>
      </c>
      <c r="R8700" t="s">
        <v>32537</v>
      </c>
      <c r="S8700" t="s">
        <v>32828</v>
      </c>
      <c r="T8700" t="s">
        <v>33229</v>
      </c>
      <c r="U8700" t="s">
        <v>40833</v>
      </c>
      <c r="W8700" t="s">
        <v>31507</v>
      </c>
      <c r="X8700" t="s">
        <v>32538</v>
      </c>
    </row>
    <row r="8701" spans="1:24">
      <c r="A8701">
        <f>HYPERLINK("https://www.philgeps.gov.ph/GEPSNONPILOT/Tender/SplashBidNoticeAbstractUI.aspx?menuIndex=3&amp;refID=7027443&amp;Result=3","7027443")</f>
        <v>0</v>
      </c>
      <c r="B8701" t="s">
        <v>2205</v>
      </c>
      <c r="C8701" t="s">
        <v>10996</v>
      </c>
      <c r="D8701" t="s">
        <v>13018</v>
      </c>
      <c r="E8701" t="s">
        <v>14863</v>
      </c>
      <c r="F8701" t="s">
        <v>22436</v>
      </c>
      <c r="G8701" t="s">
        <v>22444</v>
      </c>
      <c r="H8701" t="s">
        <v>22454</v>
      </c>
      <c r="I8701" t="s">
        <v>7738</v>
      </c>
      <c r="J8701" t="s">
        <v>22692</v>
      </c>
      <c r="K8701" t="s">
        <v>29335</v>
      </c>
      <c r="M8701" t="s">
        <v>31971</v>
      </c>
      <c r="N8701" t="s">
        <v>32524</v>
      </c>
      <c r="O8701" t="s">
        <v>32525</v>
      </c>
      <c r="P8701">
        <v>0</v>
      </c>
      <c r="Q8701">
        <v>0</v>
      </c>
      <c r="R8701" t="s">
        <v>32537</v>
      </c>
      <c r="S8701" t="s">
        <v>32828</v>
      </c>
      <c r="T8701" t="s">
        <v>33293</v>
      </c>
      <c r="U8701" t="s">
        <v>36907</v>
      </c>
      <c r="W8701" t="s">
        <v>31971</v>
      </c>
      <c r="X8701" t="s">
        <v>32538</v>
      </c>
    </row>
    <row r="8702" spans="1:24">
      <c r="A8702">
        <f>HYPERLINK("https://www.philgeps.gov.ph/GEPSNONPILOT/Tender/SplashBidNoticeAbstractUI.aspx?menuIndex=3&amp;refID=7027505&amp;Result=3","7027505")</f>
        <v>0</v>
      </c>
      <c r="B8702" t="s">
        <v>2451</v>
      </c>
      <c r="C8702" t="s">
        <v>10997</v>
      </c>
      <c r="D8702" t="s">
        <v>13039</v>
      </c>
      <c r="E8702" t="s">
        <v>20689</v>
      </c>
      <c r="F8702" t="s">
        <v>22436</v>
      </c>
      <c r="G8702" t="s">
        <v>22444</v>
      </c>
      <c r="H8702" t="s">
        <v>22454</v>
      </c>
      <c r="I8702" t="s">
        <v>7738</v>
      </c>
      <c r="J8702" t="s">
        <v>23029</v>
      </c>
      <c r="K8702" t="s">
        <v>29333</v>
      </c>
      <c r="M8702" t="s">
        <v>32255</v>
      </c>
      <c r="N8702" t="s">
        <v>32524</v>
      </c>
      <c r="O8702" t="s">
        <v>32525</v>
      </c>
      <c r="P8702">
        <v>0</v>
      </c>
      <c r="Q8702">
        <v>0</v>
      </c>
      <c r="R8702" t="s">
        <v>32537</v>
      </c>
      <c r="S8702" t="s">
        <v>32828</v>
      </c>
      <c r="T8702" t="s">
        <v>33168</v>
      </c>
      <c r="U8702" t="s">
        <v>40834</v>
      </c>
      <c r="W8702" t="s">
        <v>32255</v>
      </c>
      <c r="X8702" t="s">
        <v>32538</v>
      </c>
    </row>
    <row r="8703" spans="1:24">
      <c r="A8703">
        <f>HYPERLINK("https://www.philgeps.gov.ph/GEPSNONPILOT/Tender/SplashBidNoticeAbstractUI.aspx?menuIndex=3&amp;refID=7027603&amp;Result=3","7027603")</f>
        <v>0</v>
      </c>
      <c r="B8703" t="s">
        <v>2452</v>
      </c>
      <c r="C8703" t="s">
        <v>10998</v>
      </c>
      <c r="D8703" t="s">
        <v>13012</v>
      </c>
      <c r="E8703" t="s">
        <v>20690</v>
      </c>
      <c r="F8703" t="s">
        <v>22436</v>
      </c>
      <c r="G8703" t="s">
        <v>22444</v>
      </c>
      <c r="H8703" t="s">
        <v>22452</v>
      </c>
      <c r="I8703" t="s">
        <v>3529</v>
      </c>
      <c r="J8703" t="s">
        <v>28134</v>
      </c>
      <c r="K8703" t="s">
        <v>29331</v>
      </c>
      <c r="M8703" t="s">
        <v>32256</v>
      </c>
      <c r="N8703" t="s">
        <v>32524</v>
      </c>
      <c r="O8703" t="s">
        <v>32525</v>
      </c>
      <c r="P8703">
        <v>0</v>
      </c>
      <c r="Q8703">
        <v>4</v>
      </c>
      <c r="R8703" t="s">
        <v>32537</v>
      </c>
      <c r="S8703" t="s">
        <v>32828</v>
      </c>
      <c r="T8703" t="s">
        <v>33181</v>
      </c>
      <c r="U8703" t="s">
        <v>40835</v>
      </c>
      <c r="V8703" t="s">
        <v>43401</v>
      </c>
      <c r="W8703" t="s">
        <v>32256</v>
      </c>
      <c r="X8703" t="s">
        <v>32538</v>
      </c>
    </row>
    <row r="8704" spans="1:24">
      <c r="A8704">
        <f>HYPERLINK("https://www.philgeps.gov.ph/GEPSNONPILOT/Tender/SplashBidNoticeAbstractUI.aspx?menuIndex=3&amp;refID=7027588&amp;Result=3","7027588")</f>
        <v>0</v>
      </c>
      <c r="B8704" t="s">
        <v>2453</v>
      </c>
      <c r="C8704" t="s">
        <v>10999</v>
      </c>
      <c r="D8704" t="s">
        <v>12999</v>
      </c>
      <c r="E8704" t="s">
        <v>15001</v>
      </c>
      <c r="F8704" t="s">
        <v>22436</v>
      </c>
      <c r="G8704" t="s">
        <v>22444</v>
      </c>
      <c r="H8704" t="s">
        <v>22454</v>
      </c>
      <c r="I8704" t="s">
        <v>7738</v>
      </c>
      <c r="J8704" t="s">
        <v>22893</v>
      </c>
      <c r="K8704" t="s">
        <v>29333</v>
      </c>
      <c r="M8704" t="s">
        <v>32257</v>
      </c>
      <c r="N8704" t="s">
        <v>32524</v>
      </c>
      <c r="O8704" t="s">
        <v>32525</v>
      </c>
      <c r="P8704">
        <v>0</v>
      </c>
      <c r="Q8704">
        <v>0</v>
      </c>
      <c r="R8704" t="s">
        <v>32537</v>
      </c>
      <c r="S8704" t="s">
        <v>32828</v>
      </c>
      <c r="T8704" t="s">
        <v>33372</v>
      </c>
      <c r="U8704" t="s">
        <v>40836</v>
      </c>
      <c r="W8704" t="s">
        <v>32257</v>
      </c>
      <c r="X8704" t="s">
        <v>32538</v>
      </c>
    </row>
    <row r="8705" spans="1:24">
      <c r="A8705">
        <f>HYPERLINK("https://www.philgeps.gov.ph/GEPSNONPILOT/Tender/SplashBidNoticeAbstractUI.aspx?menuIndex=3&amp;refID=7027539&amp;Result=3","7027539")</f>
        <v>0</v>
      </c>
      <c r="B8705" t="s">
        <v>2454</v>
      </c>
      <c r="C8705" t="s">
        <v>11000</v>
      </c>
      <c r="D8705" t="s">
        <v>12998</v>
      </c>
      <c r="E8705" t="s">
        <v>18304</v>
      </c>
      <c r="F8705" t="s">
        <v>22436</v>
      </c>
      <c r="G8705" t="s">
        <v>22444</v>
      </c>
      <c r="H8705" t="s">
        <v>22452</v>
      </c>
      <c r="I8705" t="s">
        <v>22463</v>
      </c>
      <c r="J8705" t="s">
        <v>22692</v>
      </c>
      <c r="K8705" t="s">
        <v>29330</v>
      </c>
      <c r="M8705" t="s">
        <v>32258</v>
      </c>
      <c r="N8705" t="s">
        <v>32524</v>
      </c>
      <c r="O8705" t="s">
        <v>32525</v>
      </c>
      <c r="P8705">
        <v>0</v>
      </c>
      <c r="Q8705">
        <v>0</v>
      </c>
      <c r="R8705" t="s">
        <v>32537</v>
      </c>
      <c r="S8705" t="s">
        <v>32828</v>
      </c>
      <c r="T8705" t="s">
        <v>33154</v>
      </c>
      <c r="U8705" t="s">
        <v>40837</v>
      </c>
      <c r="W8705" t="s">
        <v>32258</v>
      </c>
      <c r="X8705" t="s">
        <v>32538</v>
      </c>
    </row>
    <row r="8706" spans="1:24">
      <c r="A8706">
        <f>HYPERLINK("https://www.philgeps.gov.ph/GEPSNONPILOT/Tender/SplashBidNoticeAbstractUI.aspx?menuIndex=3&amp;refID=7027664&amp;Result=3","7027664")</f>
        <v>0</v>
      </c>
      <c r="B8706" t="s">
        <v>2455</v>
      </c>
      <c r="C8706" t="s">
        <v>4483</v>
      </c>
      <c r="D8706" t="s">
        <v>12999</v>
      </c>
      <c r="E8706" t="s">
        <v>17008</v>
      </c>
      <c r="F8706" t="s">
        <v>22437</v>
      </c>
      <c r="G8706" t="s">
        <v>22444</v>
      </c>
      <c r="H8706" t="s">
        <v>22452</v>
      </c>
      <c r="I8706" t="s">
        <v>3529</v>
      </c>
      <c r="J8706" t="s">
        <v>22605</v>
      </c>
      <c r="K8706" t="s">
        <v>29330</v>
      </c>
      <c r="M8706" t="s">
        <v>32259</v>
      </c>
      <c r="N8706" t="s">
        <v>32524</v>
      </c>
      <c r="O8706" t="s">
        <v>32525</v>
      </c>
      <c r="P8706">
        <v>0</v>
      </c>
      <c r="Q8706">
        <v>0</v>
      </c>
      <c r="R8706" t="s">
        <v>32537</v>
      </c>
      <c r="S8706" t="s">
        <v>32828</v>
      </c>
      <c r="T8706" t="s">
        <v>33230</v>
      </c>
      <c r="U8706" t="s">
        <v>40838</v>
      </c>
      <c r="W8706" t="s">
        <v>32259</v>
      </c>
      <c r="X8706" t="s">
        <v>32538</v>
      </c>
    </row>
    <row r="8707" spans="1:24">
      <c r="A8707">
        <f>HYPERLINK("https://www.philgeps.gov.ph/GEPSNONPILOT/Tender/SplashBidNoticeAbstractUI.aspx?menuIndex=3&amp;refID=7027652&amp;Result=3","7027652")</f>
        <v>0</v>
      </c>
      <c r="B8707" t="s">
        <v>2452</v>
      </c>
      <c r="C8707" t="s">
        <v>11001</v>
      </c>
      <c r="D8707" t="s">
        <v>13012</v>
      </c>
      <c r="E8707" t="s">
        <v>20691</v>
      </c>
      <c r="F8707" t="s">
        <v>22436</v>
      </c>
      <c r="G8707" t="s">
        <v>22444</v>
      </c>
      <c r="H8707" t="s">
        <v>22452</v>
      </c>
      <c r="I8707" t="s">
        <v>4688</v>
      </c>
      <c r="J8707" t="s">
        <v>22957</v>
      </c>
      <c r="K8707" t="s">
        <v>29331</v>
      </c>
      <c r="M8707" t="s">
        <v>32256</v>
      </c>
      <c r="N8707" t="s">
        <v>32524</v>
      </c>
      <c r="O8707" t="s">
        <v>32525</v>
      </c>
      <c r="P8707">
        <v>0</v>
      </c>
      <c r="Q8707">
        <v>3</v>
      </c>
      <c r="R8707" t="s">
        <v>32537</v>
      </c>
      <c r="S8707" t="s">
        <v>32828</v>
      </c>
      <c r="T8707" t="s">
        <v>33181</v>
      </c>
      <c r="U8707" t="s">
        <v>40839</v>
      </c>
      <c r="V8707" t="s">
        <v>43401</v>
      </c>
      <c r="W8707" t="s">
        <v>32256</v>
      </c>
      <c r="X8707" t="s">
        <v>32538</v>
      </c>
    </row>
    <row r="8708" spans="1:24">
      <c r="A8708">
        <f>HYPERLINK("https://www.philgeps.gov.ph/GEPSNONPILOT/Tender/SplashBidNoticeAbstractUI.aspx?menuIndex=3&amp;refID=7027679&amp;Result=3","7027679")</f>
        <v>0</v>
      </c>
      <c r="B8708" t="s">
        <v>448</v>
      </c>
      <c r="C8708" t="s">
        <v>11002</v>
      </c>
      <c r="D8708" t="s">
        <v>13011</v>
      </c>
      <c r="E8708" t="s">
        <v>20692</v>
      </c>
      <c r="F8708" t="s">
        <v>22436</v>
      </c>
      <c r="G8708" t="s">
        <v>22444</v>
      </c>
      <c r="H8708" t="s">
        <v>22452</v>
      </c>
      <c r="I8708" t="s">
        <v>3122</v>
      </c>
      <c r="J8708" t="s">
        <v>28135</v>
      </c>
      <c r="K8708" t="s">
        <v>29341</v>
      </c>
      <c r="M8708" t="s">
        <v>30030</v>
      </c>
      <c r="N8708" t="s">
        <v>32524</v>
      </c>
      <c r="O8708" t="s">
        <v>32525</v>
      </c>
      <c r="P8708">
        <v>0</v>
      </c>
      <c r="Q8708">
        <v>0</v>
      </c>
      <c r="R8708" t="s">
        <v>32537</v>
      </c>
      <c r="S8708" t="s">
        <v>32828</v>
      </c>
      <c r="T8708" t="s">
        <v>33175</v>
      </c>
      <c r="U8708" t="s">
        <v>40840</v>
      </c>
      <c r="W8708" t="s">
        <v>30030</v>
      </c>
      <c r="X8708" t="s">
        <v>32538</v>
      </c>
    </row>
    <row r="8709" spans="1:24">
      <c r="A8709">
        <f>HYPERLINK("https://www.philgeps.gov.ph/GEPSNONPILOT/Tender/SplashBidNoticeAbstractUI.aspx?menuIndex=3&amp;refID=7027646&amp;Result=3","7027646")</f>
        <v>0</v>
      </c>
      <c r="B8709" t="s">
        <v>453</v>
      </c>
      <c r="C8709" t="s">
        <v>11003</v>
      </c>
      <c r="D8709" t="s">
        <v>13006</v>
      </c>
      <c r="E8709" t="s">
        <v>20693</v>
      </c>
      <c r="F8709" t="s">
        <v>22436</v>
      </c>
      <c r="G8709" t="s">
        <v>22444</v>
      </c>
      <c r="H8709" t="s">
        <v>22452</v>
      </c>
      <c r="I8709" t="s">
        <v>3529</v>
      </c>
      <c r="J8709" t="s">
        <v>28136</v>
      </c>
      <c r="K8709" t="s">
        <v>29341</v>
      </c>
      <c r="M8709" t="s">
        <v>30035</v>
      </c>
      <c r="N8709" t="s">
        <v>32524</v>
      </c>
      <c r="O8709" t="s">
        <v>32525</v>
      </c>
      <c r="P8709">
        <v>0</v>
      </c>
      <c r="Q8709">
        <v>1</v>
      </c>
      <c r="R8709" t="s">
        <v>32537</v>
      </c>
      <c r="S8709" t="s">
        <v>32828</v>
      </c>
      <c r="T8709" t="s">
        <v>33344</v>
      </c>
      <c r="U8709" t="s">
        <v>34531</v>
      </c>
      <c r="W8709" t="s">
        <v>30035</v>
      </c>
      <c r="X8709" t="s">
        <v>32538</v>
      </c>
    </row>
    <row r="8710" spans="1:24">
      <c r="A8710">
        <f>HYPERLINK("https://www.philgeps.gov.ph/GEPSNONPILOT/Tender/SplashBidNoticeAbstractUI.aspx?menuIndex=3&amp;refID=7027657&amp;Result=3","7027657")</f>
        <v>0</v>
      </c>
      <c r="B8710" t="s">
        <v>1643</v>
      </c>
      <c r="C8710" t="s">
        <v>11004</v>
      </c>
      <c r="D8710" t="s">
        <v>13073</v>
      </c>
      <c r="E8710" t="s">
        <v>20694</v>
      </c>
      <c r="F8710" t="s">
        <v>22440</v>
      </c>
      <c r="G8710" t="s">
        <v>22444</v>
      </c>
      <c r="H8710" t="s">
        <v>22454</v>
      </c>
      <c r="I8710" t="s">
        <v>7738</v>
      </c>
      <c r="J8710" t="s">
        <v>28137</v>
      </c>
      <c r="K8710" t="s">
        <v>29391</v>
      </c>
      <c r="M8710" t="s">
        <v>31336</v>
      </c>
      <c r="N8710" t="s">
        <v>32524</v>
      </c>
      <c r="O8710" t="s">
        <v>32525</v>
      </c>
      <c r="P8710">
        <v>0</v>
      </c>
      <c r="Q8710">
        <v>0</v>
      </c>
      <c r="R8710" t="s">
        <v>32537</v>
      </c>
      <c r="S8710" t="s">
        <v>32828</v>
      </c>
      <c r="T8710" t="s">
        <v>33197</v>
      </c>
      <c r="U8710" t="s">
        <v>37671</v>
      </c>
      <c r="W8710" t="s">
        <v>31336</v>
      </c>
      <c r="X8710" t="s">
        <v>32538</v>
      </c>
    </row>
    <row r="8711" spans="1:24">
      <c r="A8711">
        <f>HYPERLINK("https://www.philgeps.gov.ph/GEPSNONPILOT/Tender/SplashBidNoticeAbstractUI.aspx?menuIndex=3&amp;refID=7027661&amp;Result=3","7027661")</f>
        <v>0</v>
      </c>
      <c r="B8711" t="s">
        <v>1957</v>
      </c>
      <c r="C8711" t="s">
        <v>11005</v>
      </c>
      <c r="D8711" t="s">
        <v>12997</v>
      </c>
      <c r="E8711" t="s">
        <v>20695</v>
      </c>
      <c r="F8711" t="s">
        <v>22436</v>
      </c>
      <c r="G8711" t="s">
        <v>22444</v>
      </c>
      <c r="H8711" t="s">
        <v>22452</v>
      </c>
      <c r="I8711" t="s">
        <v>22465</v>
      </c>
      <c r="J8711" t="s">
        <v>28138</v>
      </c>
      <c r="K8711" t="s">
        <v>29341</v>
      </c>
      <c r="M8711" t="s">
        <v>31687</v>
      </c>
      <c r="N8711" t="s">
        <v>32524</v>
      </c>
      <c r="O8711" t="s">
        <v>32525</v>
      </c>
      <c r="P8711">
        <v>0</v>
      </c>
      <c r="Q8711">
        <v>0</v>
      </c>
      <c r="R8711" t="s">
        <v>32537</v>
      </c>
      <c r="S8711" t="s">
        <v>32828</v>
      </c>
      <c r="T8711" t="s">
        <v>33181</v>
      </c>
      <c r="U8711" t="s">
        <v>40841</v>
      </c>
      <c r="W8711" t="s">
        <v>31687</v>
      </c>
      <c r="X8711" t="s">
        <v>32538</v>
      </c>
    </row>
    <row r="8712" spans="1:24">
      <c r="A8712">
        <f>HYPERLINK("https://www.philgeps.gov.ph/GEPSNONPILOT/Tender/SplashBidNoticeAbstractUI.aspx?menuIndex=3&amp;refID=7027640&amp;Result=3","7027640")</f>
        <v>0</v>
      </c>
      <c r="B8712" t="s">
        <v>1379</v>
      </c>
      <c r="C8712" t="s">
        <v>11006</v>
      </c>
      <c r="D8712" t="s">
        <v>13010</v>
      </c>
      <c r="E8712" t="s">
        <v>20696</v>
      </c>
      <c r="F8712" t="s">
        <v>22436</v>
      </c>
      <c r="G8712" t="s">
        <v>22444</v>
      </c>
      <c r="H8712" t="s">
        <v>22454</v>
      </c>
      <c r="I8712" t="s">
        <v>7738</v>
      </c>
      <c r="J8712" t="s">
        <v>26864</v>
      </c>
      <c r="K8712" t="s">
        <v>29354</v>
      </c>
      <c r="M8712" t="s">
        <v>31035</v>
      </c>
      <c r="N8712" t="s">
        <v>32524</v>
      </c>
      <c r="O8712" t="s">
        <v>32525</v>
      </c>
      <c r="P8712">
        <v>0</v>
      </c>
      <c r="Q8712">
        <v>3</v>
      </c>
      <c r="R8712" t="s">
        <v>32537</v>
      </c>
      <c r="S8712" t="s">
        <v>32828</v>
      </c>
      <c r="T8712" t="s">
        <v>33171</v>
      </c>
      <c r="U8712" t="s">
        <v>40842</v>
      </c>
      <c r="W8712" t="s">
        <v>31035</v>
      </c>
      <c r="X8712" t="s">
        <v>32538</v>
      </c>
    </row>
    <row r="8713" spans="1:24">
      <c r="A8713">
        <f>HYPERLINK("https://www.philgeps.gov.ph/GEPSNONPILOT/Tender/SplashBidNoticeAbstractUI.aspx?menuIndex=3&amp;refID=7027632&amp;Result=3","7027632")</f>
        <v>0</v>
      </c>
      <c r="B8713" t="s">
        <v>242</v>
      </c>
      <c r="C8713" t="s">
        <v>11007</v>
      </c>
      <c r="D8713" t="s">
        <v>13039</v>
      </c>
      <c r="E8713" t="s">
        <v>20697</v>
      </c>
      <c r="F8713" t="s">
        <v>22437</v>
      </c>
      <c r="G8713" t="s">
        <v>22444</v>
      </c>
      <c r="H8713" t="s">
        <v>22452</v>
      </c>
      <c r="I8713" t="s">
        <v>3529</v>
      </c>
      <c r="J8713" t="s">
        <v>22788</v>
      </c>
      <c r="K8713" t="s">
        <v>29334</v>
      </c>
      <c r="M8713" t="s">
        <v>29816</v>
      </c>
      <c r="N8713" t="s">
        <v>32524</v>
      </c>
      <c r="O8713" t="s">
        <v>32525</v>
      </c>
      <c r="P8713">
        <v>0</v>
      </c>
      <c r="Q8713">
        <v>0</v>
      </c>
      <c r="R8713" t="s">
        <v>32537</v>
      </c>
      <c r="S8713" t="s">
        <v>32828</v>
      </c>
      <c r="T8713" t="s">
        <v>33167</v>
      </c>
      <c r="U8713" t="s">
        <v>40843</v>
      </c>
      <c r="W8713" t="s">
        <v>29816</v>
      </c>
      <c r="X8713" t="s">
        <v>32538</v>
      </c>
    </row>
    <row r="8714" spans="1:24">
      <c r="A8714">
        <f>HYPERLINK("https://www.philgeps.gov.ph/GEPSNONPILOT/Tender/SplashBidNoticeAbstractUI.aspx?menuIndex=3&amp;refID=7027662&amp;Result=3","7027662")</f>
        <v>0</v>
      </c>
      <c r="B8714" t="s">
        <v>269</v>
      </c>
      <c r="C8714" t="s">
        <v>11008</v>
      </c>
      <c r="D8714" t="s">
        <v>13004</v>
      </c>
      <c r="E8714" t="s">
        <v>20698</v>
      </c>
      <c r="F8714" t="s">
        <v>22436</v>
      </c>
      <c r="G8714" t="s">
        <v>22444</v>
      </c>
      <c r="H8714" t="s">
        <v>22454</v>
      </c>
      <c r="I8714" t="s">
        <v>7738</v>
      </c>
      <c r="J8714" t="s">
        <v>22779</v>
      </c>
      <c r="K8714" t="s">
        <v>29399</v>
      </c>
      <c r="M8714" t="s">
        <v>29843</v>
      </c>
      <c r="N8714" t="s">
        <v>32524</v>
      </c>
      <c r="O8714" t="s">
        <v>32525</v>
      </c>
      <c r="P8714">
        <v>0</v>
      </c>
      <c r="Q8714">
        <v>1</v>
      </c>
      <c r="R8714" t="s">
        <v>32537</v>
      </c>
      <c r="S8714" t="s">
        <v>32828</v>
      </c>
      <c r="T8714" t="s">
        <v>33227</v>
      </c>
      <c r="U8714" t="s">
        <v>40844</v>
      </c>
      <c r="V8714" t="s">
        <v>42483</v>
      </c>
      <c r="W8714" t="s">
        <v>29843</v>
      </c>
      <c r="X8714" t="s">
        <v>32538</v>
      </c>
    </row>
    <row r="8715" spans="1:24">
      <c r="A8715">
        <f>HYPERLINK("https://www.philgeps.gov.ph/GEPSNONPILOT/Tender/SplashBidNoticeAbstractUI.aspx?menuIndex=3&amp;refID=7027702&amp;Result=3","7027702")</f>
        <v>0</v>
      </c>
      <c r="B8715" t="s">
        <v>2140</v>
      </c>
      <c r="C8715" t="s">
        <v>11009</v>
      </c>
      <c r="E8715" t="s">
        <v>13865</v>
      </c>
      <c r="F8715" t="s">
        <v>22437</v>
      </c>
      <c r="G8715" t="s">
        <v>22444</v>
      </c>
      <c r="H8715" t="s">
        <v>22452</v>
      </c>
      <c r="I8715" t="s">
        <v>22488</v>
      </c>
      <c r="J8715" t="s">
        <v>28139</v>
      </c>
      <c r="K8715" t="s">
        <v>29334</v>
      </c>
      <c r="M8715" t="s">
        <v>31892</v>
      </c>
      <c r="N8715" t="s">
        <v>32524</v>
      </c>
      <c r="O8715" t="s">
        <v>32525</v>
      </c>
      <c r="P8715">
        <v>0</v>
      </c>
      <c r="Q8715">
        <v>2</v>
      </c>
      <c r="R8715" t="s">
        <v>32537</v>
      </c>
      <c r="S8715" t="s">
        <v>32828</v>
      </c>
      <c r="T8715" t="s">
        <v>33161</v>
      </c>
      <c r="U8715" t="s">
        <v>40845</v>
      </c>
      <c r="V8715" t="s">
        <v>43402</v>
      </c>
      <c r="W8715" t="s">
        <v>31892</v>
      </c>
      <c r="X8715" t="s">
        <v>32538</v>
      </c>
    </row>
    <row r="8716" spans="1:24">
      <c r="A8716">
        <f>HYPERLINK("https://www.philgeps.gov.ph/GEPSNONPILOT/Tender/SplashBidNoticeAbstractUI.aspx?menuIndex=3&amp;refID=7027676&amp;Result=3","7027676")</f>
        <v>0</v>
      </c>
      <c r="B8716" t="s">
        <v>954</v>
      </c>
      <c r="C8716" t="s">
        <v>11010</v>
      </c>
      <c r="D8716" t="s">
        <v>13046</v>
      </c>
      <c r="E8716" t="s">
        <v>20699</v>
      </c>
      <c r="F8716" t="s">
        <v>22436</v>
      </c>
      <c r="G8716" t="s">
        <v>22444</v>
      </c>
      <c r="H8716" t="s">
        <v>22454</v>
      </c>
      <c r="I8716" t="s">
        <v>7738</v>
      </c>
      <c r="J8716" t="s">
        <v>23387</v>
      </c>
      <c r="K8716" t="s">
        <v>29333</v>
      </c>
      <c r="M8716" t="s">
        <v>30570</v>
      </c>
      <c r="N8716" t="s">
        <v>32524</v>
      </c>
      <c r="O8716" t="s">
        <v>32525</v>
      </c>
      <c r="P8716">
        <v>0</v>
      </c>
      <c r="Q8716">
        <v>0</v>
      </c>
      <c r="R8716" t="s">
        <v>32537</v>
      </c>
      <c r="S8716" t="s">
        <v>32828</v>
      </c>
      <c r="T8716" t="s">
        <v>33249</v>
      </c>
      <c r="U8716" t="s">
        <v>40846</v>
      </c>
      <c r="W8716" t="s">
        <v>43701</v>
      </c>
      <c r="X8716" t="s">
        <v>32538</v>
      </c>
    </row>
    <row r="8717" spans="1:24">
      <c r="A8717">
        <f>HYPERLINK("https://www.philgeps.gov.ph/GEPSNONPILOT/Tender/SplashBidNoticeAbstractUI.aspx?menuIndex=3&amp;refID=7027627&amp;Result=3","7027627")</f>
        <v>0</v>
      </c>
      <c r="B8717" t="s">
        <v>1261</v>
      </c>
      <c r="C8717" t="s">
        <v>11011</v>
      </c>
      <c r="D8717" t="s">
        <v>13042</v>
      </c>
      <c r="E8717" t="s">
        <v>20700</v>
      </c>
      <c r="F8717" t="s">
        <v>22436</v>
      </c>
      <c r="G8717" t="s">
        <v>22444</v>
      </c>
      <c r="H8717" t="s">
        <v>22452</v>
      </c>
      <c r="I8717" t="s">
        <v>22465</v>
      </c>
      <c r="J8717" t="s">
        <v>28140</v>
      </c>
      <c r="K8717" t="s">
        <v>29335</v>
      </c>
      <c r="M8717" t="s">
        <v>30914</v>
      </c>
      <c r="N8717" t="s">
        <v>32524</v>
      </c>
      <c r="O8717" t="s">
        <v>32525</v>
      </c>
      <c r="P8717">
        <v>0</v>
      </c>
      <c r="Q8717">
        <v>0</v>
      </c>
      <c r="R8717" t="s">
        <v>32537</v>
      </c>
      <c r="S8717" t="s">
        <v>32828</v>
      </c>
      <c r="T8717" t="s">
        <v>33406</v>
      </c>
      <c r="U8717" t="s">
        <v>40847</v>
      </c>
      <c r="W8717" t="s">
        <v>30914</v>
      </c>
      <c r="X8717" t="s">
        <v>32538</v>
      </c>
    </row>
    <row r="8718" spans="1:24">
      <c r="A8718">
        <f>HYPERLINK("https://www.philgeps.gov.ph/GEPSNONPILOT/Tender/SplashBidNoticeAbstractUI.aspx?menuIndex=3&amp;refID=7027589&amp;Result=3","7027589")</f>
        <v>0</v>
      </c>
      <c r="B8718" t="s">
        <v>392</v>
      </c>
      <c r="C8718" t="s">
        <v>11012</v>
      </c>
      <c r="D8718" t="s">
        <v>13006</v>
      </c>
      <c r="E8718" t="s">
        <v>20701</v>
      </c>
      <c r="F8718" t="s">
        <v>22436</v>
      </c>
      <c r="G8718" t="s">
        <v>22444</v>
      </c>
      <c r="H8718" t="s">
        <v>22452</v>
      </c>
      <c r="I8718" t="s">
        <v>22460</v>
      </c>
      <c r="J8718" t="s">
        <v>22598</v>
      </c>
      <c r="K8718" t="s">
        <v>29338</v>
      </c>
      <c r="M8718" t="s">
        <v>29971</v>
      </c>
      <c r="N8718" t="s">
        <v>32524</v>
      </c>
      <c r="O8718" t="s">
        <v>32525</v>
      </c>
      <c r="P8718">
        <v>0</v>
      </c>
      <c r="Q8718">
        <v>4</v>
      </c>
      <c r="R8718" t="s">
        <v>32537</v>
      </c>
      <c r="S8718" t="s">
        <v>32828</v>
      </c>
      <c r="T8718" t="s">
        <v>33187</v>
      </c>
      <c r="U8718" t="s">
        <v>40848</v>
      </c>
      <c r="W8718" t="s">
        <v>29971</v>
      </c>
      <c r="X8718" t="s">
        <v>32538</v>
      </c>
    </row>
    <row r="8719" spans="1:24">
      <c r="A8719">
        <f>HYPERLINK("https://www.philgeps.gov.ph/GEPSNONPILOT/Tender/SplashBidNoticeAbstractUI.aspx?menuIndex=3&amp;refID=7027785&amp;Result=3","7027785")</f>
        <v>0</v>
      </c>
      <c r="B8719" t="s">
        <v>1796</v>
      </c>
      <c r="C8719" t="s">
        <v>11013</v>
      </c>
      <c r="D8719" t="s">
        <v>12997</v>
      </c>
      <c r="E8719" t="s">
        <v>20702</v>
      </c>
      <c r="F8719" t="s">
        <v>22436</v>
      </c>
      <c r="G8719" t="s">
        <v>22443</v>
      </c>
      <c r="H8719" t="s">
        <v>22452</v>
      </c>
      <c r="I8719" t="s">
        <v>22494</v>
      </c>
      <c r="J8719" t="s">
        <v>22616</v>
      </c>
      <c r="K8719" t="s">
        <v>29357</v>
      </c>
      <c r="M8719" t="s">
        <v>31507</v>
      </c>
      <c r="N8719" t="s">
        <v>32524</v>
      </c>
      <c r="O8719" t="s">
        <v>32525</v>
      </c>
      <c r="P8719">
        <v>0</v>
      </c>
      <c r="Q8719">
        <v>0</v>
      </c>
      <c r="R8719" t="s">
        <v>32537</v>
      </c>
      <c r="S8719" t="s">
        <v>32828</v>
      </c>
      <c r="T8719" t="s">
        <v>33161</v>
      </c>
      <c r="U8719" t="s">
        <v>40849</v>
      </c>
      <c r="W8719" t="s">
        <v>31507</v>
      </c>
      <c r="X8719" t="s">
        <v>32538</v>
      </c>
    </row>
    <row r="8720" spans="1:24">
      <c r="A8720">
        <f>HYPERLINK("https://www.philgeps.gov.ph/GEPSNONPILOT/Tender/SplashBidNoticeAbstractUI.aspx?menuIndex=3&amp;refID=7027697&amp;Result=3","7027697")</f>
        <v>0</v>
      </c>
      <c r="B8720" t="s">
        <v>1379</v>
      </c>
      <c r="C8720" t="s">
        <v>11014</v>
      </c>
      <c r="D8720" t="s">
        <v>13010</v>
      </c>
      <c r="E8720" t="s">
        <v>20703</v>
      </c>
      <c r="F8720" t="s">
        <v>22436</v>
      </c>
      <c r="G8720" t="s">
        <v>22444</v>
      </c>
      <c r="H8720" t="s">
        <v>22454</v>
      </c>
      <c r="I8720" t="s">
        <v>7738</v>
      </c>
      <c r="J8720" t="s">
        <v>26864</v>
      </c>
      <c r="K8720" t="s">
        <v>29354</v>
      </c>
      <c r="M8720" t="s">
        <v>31035</v>
      </c>
      <c r="N8720" t="s">
        <v>32524</v>
      </c>
      <c r="O8720" t="s">
        <v>32525</v>
      </c>
      <c r="P8720">
        <v>0</v>
      </c>
      <c r="Q8720">
        <v>3</v>
      </c>
      <c r="R8720" t="s">
        <v>32537</v>
      </c>
      <c r="S8720" t="s">
        <v>32828</v>
      </c>
      <c r="T8720" t="s">
        <v>33171</v>
      </c>
      <c r="U8720" t="s">
        <v>40842</v>
      </c>
      <c r="W8720" t="s">
        <v>31035</v>
      </c>
      <c r="X8720" t="s">
        <v>32538</v>
      </c>
    </row>
    <row r="8721" spans="1:24">
      <c r="A8721">
        <f>HYPERLINK("https://www.philgeps.gov.ph/GEPSNONPILOT/Tender/SplashBidNoticeAbstractUI.aspx?menuIndex=3&amp;refID=7027820&amp;Result=3","7027820")</f>
        <v>0</v>
      </c>
      <c r="B8721" t="s">
        <v>242</v>
      </c>
      <c r="C8721" t="s">
        <v>11015</v>
      </c>
      <c r="D8721" t="s">
        <v>13039</v>
      </c>
      <c r="E8721" t="s">
        <v>20704</v>
      </c>
      <c r="F8721" t="s">
        <v>22437</v>
      </c>
      <c r="G8721" t="s">
        <v>22444</v>
      </c>
      <c r="H8721" t="s">
        <v>22452</v>
      </c>
      <c r="I8721" t="s">
        <v>3529</v>
      </c>
      <c r="J8721" t="s">
        <v>22788</v>
      </c>
      <c r="K8721" t="s">
        <v>29433</v>
      </c>
      <c r="M8721" t="s">
        <v>29816</v>
      </c>
      <c r="N8721" t="s">
        <v>32524</v>
      </c>
      <c r="O8721" t="s">
        <v>32525</v>
      </c>
      <c r="P8721">
        <v>0</v>
      </c>
      <c r="Q8721">
        <v>0</v>
      </c>
      <c r="R8721" t="s">
        <v>32537</v>
      </c>
      <c r="S8721" t="s">
        <v>32828</v>
      </c>
      <c r="T8721" t="s">
        <v>33167</v>
      </c>
      <c r="U8721" t="s">
        <v>40850</v>
      </c>
      <c r="W8721" t="s">
        <v>29816</v>
      </c>
      <c r="X8721" t="s">
        <v>32538</v>
      </c>
    </row>
    <row r="8722" spans="1:24">
      <c r="A8722">
        <f>HYPERLINK("https://www.philgeps.gov.ph/GEPSNONPILOT/Tender/SplashBidNoticeAbstractUI.aspx?menuIndex=3&amp;refID=7027707&amp;Result=3","7027707")</f>
        <v>0</v>
      </c>
      <c r="B8722" t="s">
        <v>268</v>
      </c>
      <c r="C8722" t="s">
        <v>11016</v>
      </c>
      <c r="D8722" t="s">
        <v>13015</v>
      </c>
      <c r="E8722" t="s">
        <v>13165</v>
      </c>
      <c r="F8722" t="s">
        <v>22441</v>
      </c>
      <c r="G8722" t="s">
        <v>22444</v>
      </c>
      <c r="H8722" t="s">
        <v>22452</v>
      </c>
      <c r="I8722" t="s">
        <v>22460</v>
      </c>
      <c r="J8722" t="s">
        <v>28141</v>
      </c>
      <c r="K8722" t="s">
        <v>29336</v>
      </c>
      <c r="M8722" t="s">
        <v>29842</v>
      </c>
      <c r="N8722" t="s">
        <v>32524</v>
      </c>
      <c r="O8722" t="s">
        <v>32525</v>
      </c>
      <c r="P8722">
        <v>0</v>
      </c>
      <c r="Q8722">
        <v>1</v>
      </c>
      <c r="R8722" t="s">
        <v>32537</v>
      </c>
      <c r="S8722" t="s">
        <v>32828</v>
      </c>
      <c r="T8722" t="s">
        <v>33187</v>
      </c>
      <c r="U8722" t="s">
        <v>40851</v>
      </c>
      <c r="W8722" t="s">
        <v>29842</v>
      </c>
      <c r="X8722" t="s">
        <v>32538</v>
      </c>
    </row>
    <row r="8723" spans="1:24">
      <c r="A8723">
        <f>HYPERLINK("https://www.philgeps.gov.ph/GEPSNONPILOT/Tender/SplashBidNoticeAbstractUI.aspx?menuIndex=3&amp;refID=7027781&amp;Result=3","7027781")</f>
        <v>0</v>
      </c>
      <c r="B8723" t="s">
        <v>1261</v>
      </c>
      <c r="C8723" t="s">
        <v>11017</v>
      </c>
      <c r="D8723" t="s">
        <v>13042</v>
      </c>
      <c r="E8723" t="s">
        <v>20705</v>
      </c>
      <c r="F8723" t="s">
        <v>22436</v>
      </c>
      <c r="G8723" t="s">
        <v>22444</v>
      </c>
      <c r="H8723" t="s">
        <v>22454</v>
      </c>
      <c r="I8723" t="s">
        <v>7738</v>
      </c>
      <c r="J8723" t="s">
        <v>28142</v>
      </c>
      <c r="K8723" t="s">
        <v>29345</v>
      </c>
      <c r="M8723" t="s">
        <v>30914</v>
      </c>
      <c r="N8723" t="s">
        <v>32524</v>
      </c>
      <c r="O8723" t="s">
        <v>32525</v>
      </c>
      <c r="P8723">
        <v>0</v>
      </c>
      <c r="Q8723">
        <v>0</v>
      </c>
      <c r="R8723" t="s">
        <v>32537</v>
      </c>
      <c r="S8723" t="s">
        <v>32828</v>
      </c>
      <c r="T8723" t="s">
        <v>33487</v>
      </c>
      <c r="U8723" t="s">
        <v>40852</v>
      </c>
      <c r="W8723" t="s">
        <v>30914</v>
      </c>
      <c r="X8723" t="s">
        <v>32538</v>
      </c>
    </row>
    <row r="8724" spans="1:24">
      <c r="A8724">
        <f>HYPERLINK("https://www.philgeps.gov.ph/GEPSNONPILOT/Tender/SplashBidNoticeAbstractUI.aspx?menuIndex=3&amp;refID=7027788&amp;Result=3","7027788")</f>
        <v>0</v>
      </c>
      <c r="B8724" t="s">
        <v>268</v>
      </c>
      <c r="C8724" t="s">
        <v>11018</v>
      </c>
      <c r="D8724" t="s">
        <v>13015</v>
      </c>
      <c r="E8724" t="s">
        <v>13396</v>
      </c>
      <c r="F8724" t="s">
        <v>22441</v>
      </c>
      <c r="G8724" t="s">
        <v>22444</v>
      </c>
      <c r="H8724" t="s">
        <v>22452</v>
      </c>
      <c r="I8724" t="s">
        <v>22460</v>
      </c>
      <c r="J8724" t="s">
        <v>23036</v>
      </c>
      <c r="K8724" t="s">
        <v>29336</v>
      </c>
      <c r="M8724" t="s">
        <v>29842</v>
      </c>
      <c r="N8724" t="s">
        <v>32524</v>
      </c>
      <c r="O8724" t="s">
        <v>32525</v>
      </c>
      <c r="P8724">
        <v>0</v>
      </c>
      <c r="Q8724">
        <v>0</v>
      </c>
      <c r="R8724" t="s">
        <v>32537</v>
      </c>
      <c r="S8724" t="s">
        <v>32828</v>
      </c>
      <c r="T8724" t="s">
        <v>33187</v>
      </c>
      <c r="U8724" t="s">
        <v>40853</v>
      </c>
      <c r="W8724" t="s">
        <v>29842</v>
      </c>
      <c r="X8724" t="s">
        <v>32538</v>
      </c>
    </row>
    <row r="8725" spans="1:24">
      <c r="A8725">
        <f>HYPERLINK("https://www.philgeps.gov.ph/GEPSNONPILOT/Tender/SplashBidNoticeAbstractUI.aspx?menuIndex=3&amp;refID=7027812&amp;Result=3","7027812")</f>
        <v>0</v>
      </c>
      <c r="B8725" t="s">
        <v>448</v>
      </c>
      <c r="C8725" t="s">
        <v>11019</v>
      </c>
      <c r="D8725" t="s">
        <v>13011</v>
      </c>
      <c r="E8725" t="s">
        <v>20706</v>
      </c>
      <c r="F8725" t="s">
        <v>22436</v>
      </c>
      <c r="G8725" t="s">
        <v>22444</v>
      </c>
      <c r="H8725" t="s">
        <v>22454</v>
      </c>
      <c r="I8725" t="s">
        <v>7738</v>
      </c>
      <c r="J8725" t="s">
        <v>28143</v>
      </c>
      <c r="K8725" t="s">
        <v>29334</v>
      </c>
      <c r="M8725" t="s">
        <v>30030</v>
      </c>
      <c r="N8725" t="s">
        <v>32524</v>
      </c>
      <c r="O8725" t="s">
        <v>32525</v>
      </c>
      <c r="P8725">
        <v>0</v>
      </c>
      <c r="Q8725">
        <v>1</v>
      </c>
      <c r="R8725" t="s">
        <v>32537</v>
      </c>
      <c r="S8725" t="s">
        <v>32828</v>
      </c>
      <c r="T8725" t="s">
        <v>33253</v>
      </c>
      <c r="U8725" t="s">
        <v>40854</v>
      </c>
      <c r="W8725" t="s">
        <v>30030</v>
      </c>
      <c r="X8725" t="s">
        <v>32538</v>
      </c>
    </row>
    <row r="8726" spans="1:24">
      <c r="A8726">
        <f>HYPERLINK("https://www.philgeps.gov.ph/GEPSNONPILOT/Tender/SplashBidNoticeAbstractUI.aspx?menuIndex=3&amp;refID=7027805&amp;Result=3","7027805")</f>
        <v>0</v>
      </c>
      <c r="B8726" t="s">
        <v>971</v>
      </c>
      <c r="C8726" t="s">
        <v>11020</v>
      </c>
      <c r="D8726" t="s">
        <v>12999</v>
      </c>
      <c r="E8726" t="s">
        <v>20707</v>
      </c>
      <c r="F8726" t="s">
        <v>22436</v>
      </c>
      <c r="G8726" t="s">
        <v>22444</v>
      </c>
      <c r="H8726" t="s">
        <v>22454</v>
      </c>
      <c r="I8726" t="s">
        <v>7738</v>
      </c>
      <c r="J8726" t="s">
        <v>23604</v>
      </c>
      <c r="K8726" t="s">
        <v>29552</v>
      </c>
      <c r="M8726" t="s">
        <v>30591</v>
      </c>
      <c r="N8726" t="s">
        <v>32524</v>
      </c>
      <c r="O8726" t="s">
        <v>32525</v>
      </c>
      <c r="P8726">
        <v>0</v>
      </c>
      <c r="Q8726">
        <v>0</v>
      </c>
      <c r="R8726" t="s">
        <v>32537</v>
      </c>
      <c r="S8726" t="s">
        <v>32828</v>
      </c>
      <c r="T8726" t="s">
        <v>33184</v>
      </c>
      <c r="U8726" t="s">
        <v>40855</v>
      </c>
      <c r="W8726" t="s">
        <v>30591</v>
      </c>
      <c r="X8726" t="s">
        <v>32538</v>
      </c>
    </row>
    <row r="8727" spans="1:24">
      <c r="A8727">
        <f>HYPERLINK("https://www.philgeps.gov.ph/GEPSNONPILOT/Tender/SplashBidNoticeAbstractUI.aspx?menuIndex=3&amp;refID=7027748&amp;Result=3","7027748")</f>
        <v>0</v>
      </c>
      <c r="B8727" t="s">
        <v>268</v>
      </c>
      <c r="C8727" t="s">
        <v>11021</v>
      </c>
      <c r="D8727" t="s">
        <v>13015</v>
      </c>
      <c r="E8727" t="s">
        <v>13127</v>
      </c>
      <c r="F8727" t="s">
        <v>22441</v>
      </c>
      <c r="G8727" t="s">
        <v>22444</v>
      </c>
      <c r="H8727" t="s">
        <v>22452</v>
      </c>
      <c r="I8727" t="s">
        <v>22460</v>
      </c>
      <c r="J8727" t="s">
        <v>25847</v>
      </c>
      <c r="K8727" t="s">
        <v>29336</v>
      </c>
      <c r="M8727" t="s">
        <v>29842</v>
      </c>
      <c r="N8727" t="s">
        <v>32524</v>
      </c>
      <c r="O8727" t="s">
        <v>32525</v>
      </c>
      <c r="P8727">
        <v>0</v>
      </c>
      <c r="Q8727">
        <v>1</v>
      </c>
      <c r="R8727" t="s">
        <v>32537</v>
      </c>
      <c r="S8727" t="s">
        <v>32828</v>
      </c>
      <c r="T8727" t="s">
        <v>33187</v>
      </c>
      <c r="U8727" t="s">
        <v>40856</v>
      </c>
      <c r="W8727" t="s">
        <v>29842</v>
      </c>
      <c r="X8727" t="s">
        <v>32538</v>
      </c>
    </row>
    <row r="8728" spans="1:24">
      <c r="A8728">
        <f>HYPERLINK("https://www.philgeps.gov.ph/GEPSNONPILOT/Tender/SplashBidNoticeAbstractUI.aspx?menuIndex=3&amp;refID=7027778&amp;Result=3","7027778")</f>
        <v>0</v>
      </c>
      <c r="B8728" t="s">
        <v>242</v>
      </c>
      <c r="C8728" t="s">
        <v>11022</v>
      </c>
      <c r="D8728" t="s">
        <v>13039</v>
      </c>
      <c r="E8728" t="s">
        <v>20708</v>
      </c>
      <c r="F8728" t="s">
        <v>22437</v>
      </c>
      <c r="G8728" t="s">
        <v>22444</v>
      </c>
      <c r="H8728" t="s">
        <v>22452</v>
      </c>
      <c r="I8728" t="s">
        <v>3529</v>
      </c>
      <c r="J8728" t="s">
        <v>22893</v>
      </c>
      <c r="K8728" t="s">
        <v>29341</v>
      </c>
      <c r="M8728" t="s">
        <v>29816</v>
      </c>
      <c r="N8728" t="s">
        <v>32524</v>
      </c>
      <c r="O8728" t="s">
        <v>32525</v>
      </c>
      <c r="P8728">
        <v>0</v>
      </c>
      <c r="Q8728">
        <v>0</v>
      </c>
      <c r="R8728" t="s">
        <v>32537</v>
      </c>
      <c r="S8728" t="s">
        <v>32828</v>
      </c>
      <c r="T8728" t="s">
        <v>33167</v>
      </c>
      <c r="U8728" t="s">
        <v>40857</v>
      </c>
      <c r="W8728" t="s">
        <v>29816</v>
      </c>
      <c r="X8728" t="s">
        <v>32538</v>
      </c>
    </row>
    <row r="8729" spans="1:24">
      <c r="A8729">
        <f>HYPERLINK("https://www.philgeps.gov.ph/GEPSNONPILOT/Tender/SplashBidNoticeAbstractUI.aspx?menuIndex=3&amp;refID=7027730&amp;Result=3","7027730")</f>
        <v>0</v>
      </c>
      <c r="B8729" t="s">
        <v>971</v>
      </c>
      <c r="C8729" t="s">
        <v>11023</v>
      </c>
      <c r="D8729" t="s">
        <v>12999</v>
      </c>
      <c r="E8729" t="s">
        <v>20709</v>
      </c>
      <c r="F8729" t="s">
        <v>22436</v>
      </c>
      <c r="G8729" t="s">
        <v>22444</v>
      </c>
      <c r="H8729" t="s">
        <v>22454</v>
      </c>
      <c r="I8729" t="s">
        <v>7738</v>
      </c>
      <c r="J8729" t="s">
        <v>28144</v>
      </c>
      <c r="K8729" t="s">
        <v>29460</v>
      </c>
      <c r="M8729" t="s">
        <v>30591</v>
      </c>
      <c r="N8729" t="s">
        <v>32524</v>
      </c>
      <c r="O8729" t="s">
        <v>32525</v>
      </c>
      <c r="P8729">
        <v>0</v>
      </c>
      <c r="Q8729">
        <v>0</v>
      </c>
      <c r="R8729" t="s">
        <v>32537</v>
      </c>
      <c r="S8729" t="s">
        <v>32828</v>
      </c>
      <c r="T8729" t="s">
        <v>33184</v>
      </c>
      <c r="U8729" t="s">
        <v>40858</v>
      </c>
      <c r="W8729" t="s">
        <v>30591</v>
      </c>
      <c r="X8729" t="s">
        <v>32538</v>
      </c>
    </row>
    <row r="8730" spans="1:24">
      <c r="A8730">
        <f>HYPERLINK("https://www.philgeps.gov.ph/GEPSNONPILOT/Tender/SplashBidNoticeAbstractUI.aspx?menuIndex=3&amp;refID=7027799&amp;Result=3","7027799")</f>
        <v>0</v>
      </c>
      <c r="B8730" t="s">
        <v>2456</v>
      </c>
      <c r="C8730" t="s">
        <v>11024</v>
      </c>
      <c r="D8730" t="s">
        <v>13011</v>
      </c>
      <c r="E8730" t="s">
        <v>20710</v>
      </c>
      <c r="F8730" t="s">
        <v>22436</v>
      </c>
      <c r="G8730" t="s">
        <v>22444</v>
      </c>
      <c r="H8730" t="s">
        <v>22452</v>
      </c>
      <c r="I8730" t="s">
        <v>6387</v>
      </c>
      <c r="J8730" t="s">
        <v>28145</v>
      </c>
      <c r="K8730" t="s">
        <v>29357</v>
      </c>
      <c r="M8730" t="s">
        <v>32260</v>
      </c>
      <c r="N8730" t="s">
        <v>32524</v>
      </c>
      <c r="O8730" t="s">
        <v>32525</v>
      </c>
      <c r="P8730">
        <v>0</v>
      </c>
      <c r="Q8730">
        <v>3</v>
      </c>
      <c r="R8730" t="s">
        <v>32537</v>
      </c>
      <c r="S8730" t="s">
        <v>32828</v>
      </c>
      <c r="T8730" t="s">
        <v>33404</v>
      </c>
      <c r="U8730" t="s">
        <v>40859</v>
      </c>
      <c r="W8730" t="s">
        <v>32260</v>
      </c>
      <c r="X8730" t="s">
        <v>32538</v>
      </c>
    </row>
    <row r="8731" spans="1:24">
      <c r="A8731">
        <f>HYPERLINK("https://www.philgeps.gov.ph/GEPSNONPILOT/Tender/SplashBidNoticeAbstractUI.aspx?menuIndex=3&amp;refID=7027728&amp;Result=3","7027728")</f>
        <v>0</v>
      </c>
      <c r="B8731" t="s">
        <v>242</v>
      </c>
      <c r="C8731" t="s">
        <v>11025</v>
      </c>
      <c r="D8731" t="s">
        <v>13039</v>
      </c>
      <c r="E8731" t="s">
        <v>20711</v>
      </c>
      <c r="F8731" t="s">
        <v>22437</v>
      </c>
      <c r="G8731" t="s">
        <v>22444</v>
      </c>
      <c r="H8731" t="s">
        <v>22452</v>
      </c>
      <c r="I8731" t="s">
        <v>4688</v>
      </c>
      <c r="J8731" t="s">
        <v>28146</v>
      </c>
      <c r="K8731" t="s">
        <v>29337</v>
      </c>
      <c r="M8731" t="s">
        <v>29816</v>
      </c>
      <c r="N8731" t="s">
        <v>32524</v>
      </c>
      <c r="O8731" t="s">
        <v>32525</v>
      </c>
      <c r="P8731">
        <v>0</v>
      </c>
      <c r="Q8731">
        <v>2</v>
      </c>
      <c r="R8731" t="s">
        <v>32537</v>
      </c>
      <c r="S8731" t="s">
        <v>32828</v>
      </c>
      <c r="T8731" t="s">
        <v>33167</v>
      </c>
      <c r="U8731" t="s">
        <v>40860</v>
      </c>
      <c r="W8731" t="s">
        <v>29816</v>
      </c>
      <c r="X8731" t="s">
        <v>32538</v>
      </c>
    </row>
    <row r="8732" spans="1:24">
      <c r="A8732">
        <f>HYPERLINK("https://www.philgeps.gov.ph/GEPSNONPILOT/Tender/SplashBidNoticeAbstractUI.aspx?menuIndex=3&amp;refID=7027776&amp;Result=3","7027776")</f>
        <v>0</v>
      </c>
      <c r="B8732" t="s">
        <v>1379</v>
      </c>
      <c r="C8732" t="s">
        <v>11026</v>
      </c>
      <c r="D8732" t="s">
        <v>13010</v>
      </c>
      <c r="E8732" t="s">
        <v>20712</v>
      </c>
      <c r="F8732" t="s">
        <v>22436</v>
      </c>
      <c r="G8732" t="s">
        <v>22444</v>
      </c>
      <c r="H8732" t="s">
        <v>22454</v>
      </c>
      <c r="I8732" t="s">
        <v>7738</v>
      </c>
      <c r="J8732" t="s">
        <v>23347</v>
      </c>
      <c r="K8732" t="s">
        <v>29423</v>
      </c>
      <c r="M8732" t="s">
        <v>31035</v>
      </c>
      <c r="N8732" t="s">
        <v>32524</v>
      </c>
      <c r="O8732" t="s">
        <v>32525</v>
      </c>
      <c r="P8732">
        <v>0</v>
      </c>
      <c r="Q8732">
        <v>4</v>
      </c>
      <c r="R8732" t="s">
        <v>32537</v>
      </c>
      <c r="S8732" t="s">
        <v>32828</v>
      </c>
      <c r="T8732" t="s">
        <v>33171</v>
      </c>
      <c r="U8732" t="s">
        <v>40842</v>
      </c>
      <c r="W8732" t="s">
        <v>31035</v>
      </c>
      <c r="X8732" t="s">
        <v>32538</v>
      </c>
    </row>
    <row r="8733" spans="1:24">
      <c r="A8733">
        <f>HYPERLINK("https://www.philgeps.gov.ph/GEPSNONPILOT/Tender/SplashBidNoticeAbstractUI.aspx?menuIndex=3&amp;refID=7027757&amp;Result=3","7027757")</f>
        <v>0</v>
      </c>
      <c r="B8733" t="s">
        <v>971</v>
      </c>
      <c r="C8733" t="s">
        <v>11027</v>
      </c>
      <c r="D8733" t="s">
        <v>12999</v>
      </c>
      <c r="E8733" t="s">
        <v>20713</v>
      </c>
      <c r="F8733" t="s">
        <v>22436</v>
      </c>
      <c r="G8733" t="s">
        <v>22444</v>
      </c>
      <c r="H8733" t="s">
        <v>22454</v>
      </c>
      <c r="I8733" t="s">
        <v>7738</v>
      </c>
      <c r="J8733" t="s">
        <v>23604</v>
      </c>
      <c r="K8733" t="s">
        <v>29553</v>
      </c>
      <c r="M8733" t="s">
        <v>30591</v>
      </c>
      <c r="N8733" t="s">
        <v>32524</v>
      </c>
      <c r="O8733" t="s">
        <v>32525</v>
      </c>
      <c r="P8733">
        <v>0</v>
      </c>
      <c r="Q8733">
        <v>0</v>
      </c>
      <c r="R8733" t="s">
        <v>32537</v>
      </c>
      <c r="S8733" t="s">
        <v>32828</v>
      </c>
      <c r="T8733" t="s">
        <v>33184</v>
      </c>
      <c r="U8733" t="s">
        <v>40855</v>
      </c>
      <c r="W8733" t="s">
        <v>30591</v>
      </c>
      <c r="X8733" t="s">
        <v>32538</v>
      </c>
    </row>
    <row r="8734" spans="1:24">
      <c r="A8734">
        <f>HYPERLINK("https://www.philgeps.gov.ph/GEPSNONPILOT/Tender/SplashBidNoticeAbstractUI.aspx?menuIndex=3&amp;refID=7027762&amp;Result=3","7027762")</f>
        <v>0</v>
      </c>
      <c r="B8734" t="s">
        <v>1458</v>
      </c>
      <c r="C8734" t="s">
        <v>11028</v>
      </c>
      <c r="D8734" t="s">
        <v>13020</v>
      </c>
      <c r="E8734" t="s">
        <v>20714</v>
      </c>
      <c r="F8734" t="s">
        <v>22436</v>
      </c>
      <c r="G8734" t="s">
        <v>22444</v>
      </c>
      <c r="H8734" t="s">
        <v>22454</v>
      </c>
      <c r="I8734" t="s">
        <v>7738</v>
      </c>
      <c r="J8734" t="s">
        <v>22624</v>
      </c>
      <c r="K8734" t="s">
        <v>29345</v>
      </c>
      <c r="M8734" t="s">
        <v>31125</v>
      </c>
      <c r="N8734" t="s">
        <v>32524</v>
      </c>
      <c r="O8734" t="s">
        <v>32525</v>
      </c>
      <c r="P8734">
        <v>0</v>
      </c>
      <c r="Q8734">
        <v>43</v>
      </c>
      <c r="R8734" t="s">
        <v>32537</v>
      </c>
      <c r="S8734" t="s">
        <v>32828</v>
      </c>
      <c r="T8734" t="s">
        <v>33242</v>
      </c>
      <c r="U8734" t="s">
        <v>40861</v>
      </c>
      <c r="W8734" t="s">
        <v>31125</v>
      </c>
      <c r="X8734" t="s">
        <v>32538</v>
      </c>
    </row>
    <row r="8735" spans="1:24">
      <c r="A8735">
        <f>HYPERLINK("https://www.philgeps.gov.ph/GEPSNONPILOT/Tender/SplashBidNoticeAbstractUI.aspx?menuIndex=3&amp;refID=7027708&amp;Result=3","7027708")</f>
        <v>0</v>
      </c>
      <c r="B8735" t="s">
        <v>2457</v>
      </c>
      <c r="C8735" t="s">
        <v>11029</v>
      </c>
      <c r="D8735" t="s">
        <v>13037</v>
      </c>
      <c r="E8735" t="s">
        <v>20715</v>
      </c>
      <c r="F8735" t="s">
        <v>22437</v>
      </c>
      <c r="G8735" t="s">
        <v>22444</v>
      </c>
      <c r="H8735" t="s">
        <v>22452</v>
      </c>
      <c r="I8735" t="s">
        <v>22474</v>
      </c>
      <c r="J8735" t="s">
        <v>28147</v>
      </c>
      <c r="K8735" t="s">
        <v>29330</v>
      </c>
      <c r="M8735" t="s">
        <v>32261</v>
      </c>
      <c r="N8735" t="s">
        <v>32524</v>
      </c>
      <c r="O8735" t="s">
        <v>32525</v>
      </c>
      <c r="P8735">
        <v>0</v>
      </c>
      <c r="Q8735">
        <v>5</v>
      </c>
      <c r="R8735" t="s">
        <v>32537</v>
      </c>
      <c r="S8735" t="s">
        <v>32828</v>
      </c>
      <c r="T8735" t="s">
        <v>33154</v>
      </c>
      <c r="U8735" t="s">
        <v>40862</v>
      </c>
      <c r="W8735" t="s">
        <v>32261</v>
      </c>
      <c r="X8735" t="s">
        <v>32538</v>
      </c>
    </row>
    <row r="8736" spans="1:24">
      <c r="A8736">
        <f>HYPERLINK("https://www.philgeps.gov.ph/GEPSNONPILOT/Tender/SplashBidNoticeAbstractUI.aspx?menuIndex=3&amp;refID=7027823&amp;Result=3","7027823")</f>
        <v>0</v>
      </c>
      <c r="B8736" t="s">
        <v>2222</v>
      </c>
      <c r="C8736" t="s">
        <v>11030</v>
      </c>
      <c r="E8736" t="s">
        <v>20716</v>
      </c>
      <c r="F8736" t="s">
        <v>22436</v>
      </c>
      <c r="G8736" t="s">
        <v>22444</v>
      </c>
      <c r="H8736" t="s">
        <v>22452</v>
      </c>
      <c r="I8736" t="s">
        <v>7110</v>
      </c>
      <c r="J8736" t="s">
        <v>28148</v>
      </c>
      <c r="K8736" t="s">
        <v>29335</v>
      </c>
      <c r="M8736" t="s">
        <v>31988</v>
      </c>
      <c r="N8736" t="s">
        <v>32524</v>
      </c>
      <c r="O8736" t="s">
        <v>32525</v>
      </c>
      <c r="Q8736">
        <v>8</v>
      </c>
      <c r="R8736" t="s">
        <v>32537</v>
      </c>
      <c r="S8736" t="s">
        <v>32834</v>
      </c>
      <c r="T8736" t="s">
        <v>33249</v>
      </c>
      <c r="U8736" t="s">
        <v>39875</v>
      </c>
      <c r="W8736" t="s">
        <v>31988</v>
      </c>
      <c r="X8736" t="s">
        <v>32538</v>
      </c>
    </row>
    <row r="8737" spans="1:24">
      <c r="A8737">
        <f>HYPERLINK("https://www.philgeps.gov.ph/GEPSNONPILOT/Tender/SplashBidNoticeAbstractUI.aspx?menuIndex=3&amp;refID=7027774&amp;Result=3","7027774")</f>
        <v>0</v>
      </c>
      <c r="B8737" t="s">
        <v>971</v>
      </c>
      <c r="C8737" t="s">
        <v>11031</v>
      </c>
      <c r="D8737" t="s">
        <v>12999</v>
      </c>
      <c r="E8737" t="s">
        <v>20717</v>
      </c>
      <c r="F8737" t="s">
        <v>22436</v>
      </c>
      <c r="G8737" t="s">
        <v>22444</v>
      </c>
      <c r="H8737" t="s">
        <v>22454</v>
      </c>
      <c r="I8737" t="s">
        <v>7738</v>
      </c>
      <c r="J8737" t="s">
        <v>23604</v>
      </c>
      <c r="K8737" t="s">
        <v>29367</v>
      </c>
      <c r="M8737" t="s">
        <v>30591</v>
      </c>
      <c r="N8737" t="s">
        <v>32524</v>
      </c>
      <c r="O8737" t="s">
        <v>32525</v>
      </c>
      <c r="P8737">
        <v>0</v>
      </c>
      <c r="Q8737">
        <v>0</v>
      </c>
      <c r="R8737" t="s">
        <v>32537</v>
      </c>
      <c r="S8737" t="s">
        <v>32828</v>
      </c>
      <c r="T8737" t="s">
        <v>33184</v>
      </c>
      <c r="U8737" t="s">
        <v>40855</v>
      </c>
      <c r="W8737" t="s">
        <v>30591</v>
      </c>
      <c r="X8737" t="s">
        <v>32538</v>
      </c>
    </row>
    <row r="8738" spans="1:24">
      <c r="A8738">
        <f>HYPERLINK("https://www.philgeps.gov.ph/GEPSNONPILOT/Tender/SplashBidNoticeAbstractUI.aspx?menuIndex=3&amp;refID=7027914&amp;Result=3","7027914")</f>
        <v>0</v>
      </c>
      <c r="B8738" t="s">
        <v>2458</v>
      </c>
      <c r="C8738" t="s">
        <v>11032</v>
      </c>
      <c r="E8738" t="s">
        <v>14018</v>
      </c>
      <c r="F8738" t="s">
        <v>22436</v>
      </c>
      <c r="G8738" t="s">
        <v>22444</v>
      </c>
      <c r="H8738" t="s">
        <v>22454</v>
      </c>
      <c r="I8738" t="s">
        <v>7738</v>
      </c>
      <c r="J8738" t="s">
        <v>23399</v>
      </c>
      <c r="K8738" t="s">
        <v>29419</v>
      </c>
      <c r="M8738" t="s">
        <v>32262</v>
      </c>
      <c r="N8738" t="s">
        <v>32524</v>
      </c>
      <c r="O8738" t="s">
        <v>32525</v>
      </c>
      <c r="P8738">
        <v>0</v>
      </c>
      <c r="Q8738">
        <v>2</v>
      </c>
      <c r="R8738" t="s">
        <v>32537</v>
      </c>
      <c r="S8738" t="s">
        <v>32828</v>
      </c>
      <c r="T8738" t="s">
        <v>33340</v>
      </c>
      <c r="U8738" t="s">
        <v>40863</v>
      </c>
      <c r="W8738" t="s">
        <v>32262</v>
      </c>
      <c r="X8738" t="s">
        <v>32538</v>
      </c>
    </row>
    <row r="8739" spans="1:24">
      <c r="A8739">
        <f>HYPERLINK("https://www.philgeps.gov.ph/GEPSNONPILOT/Tender/SplashBidNoticeAbstractUI.aspx?menuIndex=3&amp;refID=7027915&amp;Result=3","7027915")</f>
        <v>0</v>
      </c>
      <c r="B8739" t="s">
        <v>2459</v>
      </c>
      <c r="C8739" t="s">
        <v>11033</v>
      </c>
      <c r="D8739" t="s">
        <v>13000</v>
      </c>
      <c r="E8739" t="s">
        <v>20718</v>
      </c>
      <c r="F8739" t="s">
        <v>22436</v>
      </c>
      <c r="G8739" t="s">
        <v>22444</v>
      </c>
      <c r="H8739" t="s">
        <v>22454</v>
      </c>
      <c r="I8739" t="s">
        <v>7738</v>
      </c>
      <c r="J8739" t="s">
        <v>22779</v>
      </c>
      <c r="K8739" t="s">
        <v>29335</v>
      </c>
      <c r="M8739" t="s">
        <v>32263</v>
      </c>
      <c r="N8739" t="s">
        <v>32524</v>
      </c>
      <c r="O8739" t="s">
        <v>32525</v>
      </c>
      <c r="P8739">
        <v>0</v>
      </c>
      <c r="Q8739">
        <v>2</v>
      </c>
      <c r="R8739" t="s">
        <v>32537</v>
      </c>
      <c r="S8739" t="s">
        <v>32828</v>
      </c>
      <c r="T8739" t="s">
        <v>33153</v>
      </c>
      <c r="U8739" t="s">
        <v>40864</v>
      </c>
      <c r="W8739" t="s">
        <v>32263</v>
      </c>
      <c r="X8739" t="s">
        <v>32538</v>
      </c>
    </row>
    <row r="8740" spans="1:24">
      <c r="A8740">
        <f>HYPERLINK("https://www.philgeps.gov.ph/GEPSNONPILOT/Tender/SplashBidNoticeAbstractUI.aspx?menuIndex=3&amp;refID=7027718&amp;Result=3","7027718")</f>
        <v>0</v>
      </c>
      <c r="B8740" t="s">
        <v>2460</v>
      </c>
      <c r="C8740" t="s">
        <v>11034</v>
      </c>
      <c r="E8740" t="s">
        <v>20719</v>
      </c>
      <c r="F8740" t="s">
        <v>22436</v>
      </c>
      <c r="G8740" t="s">
        <v>22444</v>
      </c>
      <c r="H8740" t="s">
        <v>22454</v>
      </c>
      <c r="I8740" t="s">
        <v>7738</v>
      </c>
      <c r="J8740" t="s">
        <v>22936</v>
      </c>
      <c r="K8740" t="s">
        <v>29338</v>
      </c>
      <c r="M8740" t="s">
        <v>32264</v>
      </c>
      <c r="N8740" t="s">
        <v>32524</v>
      </c>
      <c r="O8740" t="s">
        <v>32525</v>
      </c>
      <c r="P8740">
        <v>0</v>
      </c>
      <c r="Q8740">
        <v>1</v>
      </c>
      <c r="R8740" t="s">
        <v>32537</v>
      </c>
      <c r="S8740" t="s">
        <v>32828</v>
      </c>
      <c r="T8740" t="s">
        <v>33168</v>
      </c>
      <c r="U8740" t="s">
        <v>40865</v>
      </c>
      <c r="V8740" t="s">
        <v>43403</v>
      </c>
      <c r="W8740" t="s">
        <v>32264</v>
      </c>
      <c r="X8740" t="s">
        <v>32538</v>
      </c>
    </row>
    <row r="8741" spans="1:24">
      <c r="A8741">
        <f>HYPERLINK("https://www.philgeps.gov.ph/GEPSNONPILOT/Tender/SplashBidNoticeAbstractUI.aspx?menuIndex=3&amp;refID=7027944&amp;Result=3","7027944")</f>
        <v>0</v>
      </c>
      <c r="B8741" t="s">
        <v>971</v>
      </c>
      <c r="C8741" t="s">
        <v>11035</v>
      </c>
      <c r="D8741" t="s">
        <v>12999</v>
      </c>
      <c r="E8741" t="s">
        <v>20720</v>
      </c>
      <c r="F8741" t="s">
        <v>22436</v>
      </c>
      <c r="G8741" t="s">
        <v>22444</v>
      </c>
      <c r="H8741" t="s">
        <v>22454</v>
      </c>
      <c r="I8741" t="s">
        <v>7738</v>
      </c>
      <c r="J8741" t="s">
        <v>28149</v>
      </c>
      <c r="K8741" t="s">
        <v>29334</v>
      </c>
      <c r="M8741" t="s">
        <v>30591</v>
      </c>
      <c r="N8741" t="s">
        <v>32524</v>
      </c>
      <c r="O8741" t="s">
        <v>32525</v>
      </c>
      <c r="P8741">
        <v>0</v>
      </c>
      <c r="Q8741">
        <v>0</v>
      </c>
      <c r="R8741" t="s">
        <v>32537</v>
      </c>
      <c r="S8741" t="s">
        <v>32828</v>
      </c>
      <c r="T8741" t="s">
        <v>33184</v>
      </c>
      <c r="U8741" t="s">
        <v>40866</v>
      </c>
      <c r="W8741" t="s">
        <v>30591</v>
      </c>
      <c r="X8741" t="s">
        <v>32538</v>
      </c>
    </row>
    <row r="8742" spans="1:24">
      <c r="A8742">
        <f>HYPERLINK("https://www.philgeps.gov.ph/GEPSNONPILOT/Tender/SplashBidNoticeAbstractUI.aspx?menuIndex=3&amp;refID=7027957&amp;Result=3","7027957")</f>
        <v>0</v>
      </c>
      <c r="B8742" t="s">
        <v>971</v>
      </c>
      <c r="C8742" t="s">
        <v>11036</v>
      </c>
      <c r="D8742" t="s">
        <v>12999</v>
      </c>
      <c r="E8742" t="s">
        <v>20721</v>
      </c>
      <c r="F8742" t="s">
        <v>22436</v>
      </c>
      <c r="G8742" t="s">
        <v>22444</v>
      </c>
      <c r="H8742" t="s">
        <v>22454</v>
      </c>
      <c r="I8742" t="s">
        <v>7738</v>
      </c>
      <c r="J8742" t="s">
        <v>22779</v>
      </c>
      <c r="K8742" t="s">
        <v>29333</v>
      </c>
      <c r="M8742" t="s">
        <v>30591</v>
      </c>
      <c r="N8742" t="s">
        <v>32524</v>
      </c>
      <c r="O8742" t="s">
        <v>32525</v>
      </c>
      <c r="P8742">
        <v>0</v>
      </c>
      <c r="Q8742">
        <v>1</v>
      </c>
      <c r="R8742" t="s">
        <v>32537</v>
      </c>
      <c r="S8742" t="s">
        <v>32828</v>
      </c>
      <c r="T8742" t="s">
        <v>33184</v>
      </c>
      <c r="U8742" t="s">
        <v>40867</v>
      </c>
      <c r="W8742" t="s">
        <v>30591</v>
      </c>
      <c r="X8742" t="s">
        <v>32538</v>
      </c>
    </row>
    <row r="8743" spans="1:24">
      <c r="A8743">
        <f>HYPERLINK("https://www.philgeps.gov.ph/GEPSNONPILOT/Tender/SplashBidNoticeAbstractUI.aspx?menuIndex=3&amp;refID=7027892&amp;Result=3","7027892")</f>
        <v>0</v>
      </c>
      <c r="B8743" t="s">
        <v>242</v>
      </c>
      <c r="C8743" t="s">
        <v>11037</v>
      </c>
      <c r="D8743" t="s">
        <v>13039</v>
      </c>
      <c r="E8743" t="s">
        <v>17384</v>
      </c>
      <c r="F8743" t="s">
        <v>22437</v>
      </c>
      <c r="G8743" t="s">
        <v>22444</v>
      </c>
      <c r="H8743" t="s">
        <v>22452</v>
      </c>
      <c r="I8743" t="s">
        <v>3529</v>
      </c>
      <c r="J8743" t="s">
        <v>22788</v>
      </c>
      <c r="K8743" t="s">
        <v>29335</v>
      </c>
      <c r="M8743" t="s">
        <v>29816</v>
      </c>
      <c r="N8743" t="s">
        <v>32524</v>
      </c>
      <c r="O8743" t="s">
        <v>32525</v>
      </c>
      <c r="P8743">
        <v>0</v>
      </c>
      <c r="Q8743">
        <v>0</v>
      </c>
      <c r="R8743" t="s">
        <v>32537</v>
      </c>
      <c r="S8743" t="s">
        <v>32828</v>
      </c>
      <c r="T8743" t="s">
        <v>33167</v>
      </c>
      <c r="U8743" t="s">
        <v>40868</v>
      </c>
      <c r="W8743" t="s">
        <v>29816</v>
      </c>
      <c r="X8743" t="s">
        <v>32538</v>
      </c>
    </row>
    <row r="8744" spans="1:24">
      <c r="A8744">
        <f>HYPERLINK("https://www.philgeps.gov.ph/GEPSNONPILOT/Tender/SplashBidNoticeAbstractUI.aspx?menuIndex=3&amp;refID=7027936&amp;Result=3","7027936")</f>
        <v>0</v>
      </c>
      <c r="B8744" t="s">
        <v>2458</v>
      </c>
      <c r="C8744" t="s">
        <v>11038</v>
      </c>
      <c r="D8744" t="s">
        <v>13019</v>
      </c>
      <c r="E8744" t="s">
        <v>13668</v>
      </c>
      <c r="F8744" t="s">
        <v>22436</v>
      </c>
      <c r="G8744" t="s">
        <v>22444</v>
      </c>
      <c r="H8744" t="s">
        <v>22454</v>
      </c>
      <c r="I8744" t="s">
        <v>7738</v>
      </c>
      <c r="J8744" t="s">
        <v>22960</v>
      </c>
      <c r="K8744" t="s">
        <v>29389</v>
      </c>
      <c r="M8744" t="s">
        <v>32262</v>
      </c>
      <c r="N8744" t="s">
        <v>32524</v>
      </c>
      <c r="O8744" t="s">
        <v>32525</v>
      </c>
      <c r="P8744">
        <v>0</v>
      </c>
      <c r="Q8744">
        <v>1</v>
      </c>
      <c r="R8744" t="s">
        <v>32537</v>
      </c>
      <c r="S8744" t="s">
        <v>32828</v>
      </c>
      <c r="T8744" t="s">
        <v>33249</v>
      </c>
      <c r="U8744" t="s">
        <v>40869</v>
      </c>
      <c r="W8744" t="s">
        <v>32262</v>
      </c>
      <c r="X8744" t="s">
        <v>32538</v>
      </c>
    </row>
    <row r="8745" spans="1:24">
      <c r="A8745">
        <f>HYPERLINK("https://www.philgeps.gov.ph/GEPSNONPILOT/Tender/SplashBidNoticeAbstractUI.aspx?menuIndex=3&amp;refID=7027956&amp;Result=3","7027956")</f>
        <v>0</v>
      </c>
      <c r="B8745" t="s">
        <v>242</v>
      </c>
      <c r="C8745" t="s">
        <v>11039</v>
      </c>
      <c r="D8745" t="s">
        <v>13039</v>
      </c>
      <c r="E8745" t="s">
        <v>17374</v>
      </c>
      <c r="F8745" t="s">
        <v>22437</v>
      </c>
      <c r="G8745" t="s">
        <v>22444</v>
      </c>
      <c r="H8745" t="s">
        <v>22452</v>
      </c>
      <c r="I8745" t="s">
        <v>3529</v>
      </c>
      <c r="J8745" t="s">
        <v>22788</v>
      </c>
      <c r="K8745" t="s">
        <v>29333</v>
      </c>
      <c r="M8745" t="s">
        <v>29816</v>
      </c>
      <c r="N8745" t="s">
        <v>32524</v>
      </c>
      <c r="O8745" t="s">
        <v>32525</v>
      </c>
      <c r="P8745">
        <v>0</v>
      </c>
      <c r="Q8745">
        <v>0</v>
      </c>
      <c r="R8745" t="s">
        <v>32537</v>
      </c>
      <c r="S8745" t="s">
        <v>32828</v>
      </c>
      <c r="T8745" t="s">
        <v>33167</v>
      </c>
      <c r="U8745" t="s">
        <v>40870</v>
      </c>
      <c r="W8745" t="s">
        <v>29816</v>
      </c>
      <c r="X8745" t="s">
        <v>32538</v>
      </c>
    </row>
    <row r="8746" spans="1:24">
      <c r="A8746">
        <f>HYPERLINK("https://www.philgeps.gov.ph/GEPSNONPILOT/Tender/SplashBidNoticeAbstractUI.aspx?menuIndex=3&amp;refID=7027940&amp;Result=3","7027940")</f>
        <v>0</v>
      </c>
      <c r="B8746" t="s">
        <v>2461</v>
      </c>
      <c r="C8746" t="s">
        <v>11040</v>
      </c>
      <c r="D8746" t="s">
        <v>13069</v>
      </c>
      <c r="E8746" t="s">
        <v>14018</v>
      </c>
      <c r="F8746" t="s">
        <v>22436</v>
      </c>
      <c r="G8746" t="s">
        <v>22444</v>
      </c>
      <c r="H8746" t="s">
        <v>22452</v>
      </c>
      <c r="I8746" t="s">
        <v>3529</v>
      </c>
      <c r="J8746" t="s">
        <v>28150</v>
      </c>
      <c r="K8746" t="s">
        <v>29335</v>
      </c>
      <c r="M8746" t="s">
        <v>32265</v>
      </c>
      <c r="N8746" t="s">
        <v>32524</v>
      </c>
      <c r="O8746" t="s">
        <v>32525</v>
      </c>
      <c r="P8746">
        <v>0</v>
      </c>
      <c r="Q8746">
        <v>4</v>
      </c>
      <c r="R8746" t="s">
        <v>32537</v>
      </c>
      <c r="S8746" t="s">
        <v>32828</v>
      </c>
      <c r="T8746" t="s">
        <v>33425</v>
      </c>
      <c r="U8746" t="s">
        <v>40871</v>
      </c>
      <c r="W8746" t="s">
        <v>32265</v>
      </c>
      <c r="X8746" t="s">
        <v>32538</v>
      </c>
    </row>
    <row r="8747" spans="1:24">
      <c r="A8747">
        <f>HYPERLINK("https://www.philgeps.gov.ph/GEPSNONPILOT/Tender/SplashBidNoticeAbstractUI.aspx?menuIndex=3&amp;refID=7027916&amp;Result=3","7027916")</f>
        <v>0</v>
      </c>
      <c r="B8747" t="s">
        <v>242</v>
      </c>
      <c r="C8747" t="s">
        <v>11041</v>
      </c>
      <c r="D8747" t="s">
        <v>13039</v>
      </c>
      <c r="E8747" t="s">
        <v>20722</v>
      </c>
      <c r="F8747" t="s">
        <v>22437</v>
      </c>
      <c r="G8747" t="s">
        <v>22444</v>
      </c>
      <c r="H8747" t="s">
        <v>22452</v>
      </c>
      <c r="I8747" t="s">
        <v>3529</v>
      </c>
      <c r="J8747" t="s">
        <v>22788</v>
      </c>
      <c r="K8747" t="s">
        <v>29334</v>
      </c>
      <c r="M8747" t="s">
        <v>29816</v>
      </c>
      <c r="N8747" t="s">
        <v>32524</v>
      </c>
      <c r="O8747" t="s">
        <v>32525</v>
      </c>
      <c r="P8747">
        <v>0</v>
      </c>
      <c r="Q8747">
        <v>0</v>
      </c>
      <c r="R8747" t="s">
        <v>32537</v>
      </c>
      <c r="S8747" t="s">
        <v>32828</v>
      </c>
      <c r="T8747" t="s">
        <v>33167</v>
      </c>
      <c r="U8747" t="s">
        <v>40868</v>
      </c>
      <c r="W8747" t="s">
        <v>29816</v>
      </c>
      <c r="X8747" t="s">
        <v>32538</v>
      </c>
    </row>
    <row r="8748" spans="1:24">
      <c r="A8748">
        <f>HYPERLINK("https://www.philgeps.gov.ph/GEPSNONPILOT/Tender/SplashBidNoticeAbstractUI.aspx?menuIndex=3&amp;refID=7027934&amp;Result=3","7027934")</f>
        <v>0</v>
      </c>
      <c r="B8748" t="s">
        <v>660</v>
      </c>
      <c r="C8748" t="s">
        <v>11042</v>
      </c>
      <c r="D8748" t="s">
        <v>13013</v>
      </c>
      <c r="E8748" t="s">
        <v>20723</v>
      </c>
      <c r="F8748" t="s">
        <v>22436</v>
      </c>
      <c r="G8748" t="s">
        <v>22444</v>
      </c>
      <c r="H8748" t="s">
        <v>22454</v>
      </c>
      <c r="I8748" t="s">
        <v>7738</v>
      </c>
      <c r="J8748" t="s">
        <v>24103</v>
      </c>
      <c r="K8748" t="s">
        <v>29334</v>
      </c>
      <c r="M8748" t="s">
        <v>30252</v>
      </c>
      <c r="N8748" t="s">
        <v>32524</v>
      </c>
      <c r="O8748" t="s">
        <v>32525</v>
      </c>
      <c r="P8748">
        <v>0</v>
      </c>
      <c r="Q8748">
        <v>1</v>
      </c>
      <c r="R8748" t="s">
        <v>32537</v>
      </c>
      <c r="S8748" t="s">
        <v>32828</v>
      </c>
      <c r="T8748" t="s">
        <v>33181</v>
      </c>
      <c r="U8748" t="s">
        <v>40872</v>
      </c>
      <c r="W8748" t="s">
        <v>30252</v>
      </c>
      <c r="X8748" t="s">
        <v>32538</v>
      </c>
    </row>
    <row r="8749" spans="1:24">
      <c r="A8749">
        <f>HYPERLINK("https://www.philgeps.gov.ph/GEPSNONPILOT/Tender/SplashBidNoticeAbstractUI.aspx?menuIndex=3&amp;refID=7027872&amp;Result=3","7027872")</f>
        <v>0</v>
      </c>
      <c r="B8749" t="s">
        <v>1793</v>
      </c>
      <c r="C8749" t="s">
        <v>11043</v>
      </c>
      <c r="D8749" t="s">
        <v>13012</v>
      </c>
      <c r="E8749" t="s">
        <v>20724</v>
      </c>
      <c r="F8749" t="s">
        <v>22437</v>
      </c>
      <c r="G8749" t="s">
        <v>22443</v>
      </c>
      <c r="H8749" t="s">
        <v>22452</v>
      </c>
      <c r="I8749" t="s">
        <v>3529</v>
      </c>
      <c r="J8749" t="s">
        <v>28151</v>
      </c>
      <c r="K8749" t="s">
        <v>29336</v>
      </c>
      <c r="M8749" t="s">
        <v>31504</v>
      </c>
      <c r="N8749" t="s">
        <v>32524</v>
      </c>
      <c r="O8749" t="s">
        <v>32525</v>
      </c>
      <c r="P8749">
        <v>0</v>
      </c>
      <c r="Q8749">
        <v>0</v>
      </c>
      <c r="R8749" t="s">
        <v>32537</v>
      </c>
      <c r="S8749" t="s">
        <v>32828</v>
      </c>
      <c r="T8749" t="s">
        <v>33196</v>
      </c>
      <c r="U8749" t="s">
        <v>40873</v>
      </c>
      <c r="V8749" t="s">
        <v>43020</v>
      </c>
      <c r="W8749" t="s">
        <v>31504</v>
      </c>
      <c r="X8749" t="s">
        <v>32538</v>
      </c>
    </row>
    <row r="8750" spans="1:24">
      <c r="A8750">
        <f>HYPERLINK("https://www.philgeps.gov.ph/GEPSNONPILOT/Tender/SplashBidNoticeAbstractUI.aspx?menuIndex=3&amp;refID=7027926&amp;Result=3","7027926")</f>
        <v>0</v>
      </c>
      <c r="B8750" t="s">
        <v>971</v>
      </c>
      <c r="C8750" t="s">
        <v>11044</v>
      </c>
      <c r="D8750" t="s">
        <v>12999</v>
      </c>
      <c r="E8750" t="s">
        <v>20725</v>
      </c>
      <c r="F8750" t="s">
        <v>22436</v>
      </c>
      <c r="G8750" t="s">
        <v>22444</v>
      </c>
      <c r="H8750" t="s">
        <v>22454</v>
      </c>
      <c r="I8750" t="s">
        <v>7738</v>
      </c>
      <c r="J8750" t="s">
        <v>28152</v>
      </c>
      <c r="K8750" t="s">
        <v>29344</v>
      </c>
      <c r="M8750" t="s">
        <v>30591</v>
      </c>
      <c r="N8750" t="s">
        <v>32524</v>
      </c>
      <c r="O8750" t="s">
        <v>32525</v>
      </c>
      <c r="P8750">
        <v>0</v>
      </c>
      <c r="Q8750">
        <v>0</v>
      </c>
      <c r="R8750" t="s">
        <v>32537</v>
      </c>
      <c r="S8750" t="s">
        <v>32828</v>
      </c>
      <c r="T8750" t="s">
        <v>33184</v>
      </c>
      <c r="U8750" t="s">
        <v>40874</v>
      </c>
      <c r="W8750" t="s">
        <v>30591</v>
      </c>
      <c r="X8750" t="s">
        <v>32538</v>
      </c>
    </row>
    <row r="8751" spans="1:24">
      <c r="A8751">
        <f>HYPERLINK("https://www.philgeps.gov.ph/GEPSNONPILOT/Tender/SplashBidNoticeAbstractUI.aspx?menuIndex=3&amp;refID=7027853&amp;Result=3","7027853")</f>
        <v>0</v>
      </c>
      <c r="B8751" t="s">
        <v>242</v>
      </c>
      <c r="C8751" t="s">
        <v>11045</v>
      </c>
      <c r="D8751" t="s">
        <v>13039</v>
      </c>
      <c r="E8751" t="s">
        <v>20726</v>
      </c>
      <c r="F8751" t="s">
        <v>22437</v>
      </c>
      <c r="G8751" t="s">
        <v>22444</v>
      </c>
      <c r="H8751" t="s">
        <v>22452</v>
      </c>
      <c r="I8751" t="s">
        <v>3529</v>
      </c>
      <c r="J8751" t="s">
        <v>28153</v>
      </c>
      <c r="K8751" t="s">
        <v>29329</v>
      </c>
      <c r="M8751" t="s">
        <v>29816</v>
      </c>
      <c r="N8751" t="s">
        <v>32524</v>
      </c>
      <c r="O8751" t="s">
        <v>32525</v>
      </c>
      <c r="P8751">
        <v>0</v>
      </c>
      <c r="Q8751">
        <v>0</v>
      </c>
      <c r="R8751" t="s">
        <v>32537</v>
      </c>
      <c r="S8751" t="s">
        <v>32828</v>
      </c>
      <c r="T8751" t="s">
        <v>33167</v>
      </c>
      <c r="U8751" t="s">
        <v>40875</v>
      </c>
      <c r="W8751" t="s">
        <v>29816</v>
      </c>
      <c r="X8751" t="s">
        <v>32538</v>
      </c>
    </row>
    <row r="8752" spans="1:24">
      <c r="A8752">
        <f>HYPERLINK("https://www.philgeps.gov.ph/GEPSNONPILOT/Tender/SplashBidNoticeAbstractUI.aspx?menuIndex=3&amp;refID=7027825&amp;Result=3","7027825")</f>
        <v>0</v>
      </c>
      <c r="B8752" t="s">
        <v>971</v>
      </c>
      <c r="C8752" t="s">
        <v>11046</v>
      </c>
      <c r="D8752" t="s">
        <v>12999</v>
      </c>
      <c r="E8752" t="s">
        <v>20727</v>
      </c>
      <c r="F8752" t="s">
        <v>22436</v>
      </c>
      <c r="G8752" t="s">
        <v>22444</v>
      </c>
      <c r="H8752" t="s">
        <v>22454</v>
      </c>
      <c r="I8752" t="s">
        <v>7738</v>
      </c>
      <c r="J8752" t="s">
        <v>23604</v>
      </c>
      <c r="K8752" t="s">
        <v>29504</v>
      </c>
      <c r="M8752" t="s">
        <v>30591</v>
      </c>
      <c r="N8752" t="s">
        <v>32524</v>
      </c>
      <c r="O8752" t="s">
        <v>32525</v>
      </c>
      <c r="P8752">
        <v>0</v>
      </c>
      <c r="Q8752">
        <v>0</v>
      </c>
      <c r="R8752" t="s">
        <v>32537</v>
      </c>
      <c r="S8752" t="s">
        <v>32828</v>
      </c>
      <c r="T8752" t="s">
        <v>33184</v>
      </c>
      <c r="U8752" t="s">
        <v>40855</v>
      </c>
      <c r="W8752" t="s">
        <v>30591</v>
      </c>
      <c r="X8752" t="s">
        <v>32538</v>
      </c>
    </row>
    <row r="8753" spans="1:24">
      <c r="A8753">
        <f>HYPERLINK("https://www.philgeps.gov.ph/GEPSNONPILOT/Tender/SplashBidNoticeAbstractUI.aspx?menuIndex=3&amp;refID=7027871&amp;Result=3","7027871")</f>
        <v>0</v>
      </c>
      <c r="B8753" t="s">
        <v>1377</v>
      </c>
      <c r="C8753" t="s">
        <v>11047</v>
      </c>
      <c r="E8753" t="s">
        <v>20728</v>
      </c>
      <c r="F8753" t="s">
        <v>22436</v>
      </c>
      <c r="G8753" t="s">
        <v>22444</v>
      </c>
      <c r="H8753" t="s">
        <v>22452</v>
      </c>
      <c r="I8753" t="s">
        <v>22469</v>
      </c>
      <c r="J8753" t="s">
        <v>25075</v>
      </c>
      <c r="K8753" t="s">
        <v>29338</v>
      </c>
      <c r="M8753" t="s">
        <v>31033</v>
      </c>
      <c r="N8753" t="s">
        <v>32524</v>
      </c>
      <c r="O8753" t="s">
        <v>32525</v>
      </c>
      <c r="Q8753">
        <v>18</v>
      </c>
      <c r="R8753" t="s">
        <v>32537</v>
      </c>
      <c r="S8753" t="s">
        <v>32835</v>
      </c>
      <c r="T8753" t="s">
        <v>33487</v>
      </c>
      <c r="U8753" t="s">
        <v>40876</v>
      </c>
      <c r="W8753" t="s">
        <v>43716</v>
      </c>
      <c r="X8753" t="s">
        <v>32538</v>
      </c>
    </row>
    <row r="8754" spans="1:24">
      <c r="A8754">
        <f>HYPERLINK("https://www.philgeps.gov.ph/GEPSNONPILOT/Tender/SplashBidNoticeAbstractUI.aspx?menuIndex=3&amp;refID=7027932&amp;Result=3","7027932")</f>
        <v>0</v>
      </c>
      <c r="B8754" t="s">
        <v>1070</v>
      </c>
      <c r="C8754" t="s">
        <v>11048</v>
      </c>
      <c r="E8754" t="s">
        <v>20729</v>
      </c>
      <c r="F8754" t="s">
        <v>22436</v>
      </c>
      <c r="G8754" t="s">
        <v>22443</v>
      </c>
      <c r="H8754" t="s">
        <v>22452</v>
      </c>
      <c r="I8754" t="s">
        <v>22493</v>
      </c>
      <c r="J8754" t="s">
        <v>23643</v>
      </c>
      <c r="K8754" t="s">
        <v>29338</v>
      </c>
      <c r="M8754" t="s">
        <v>31329</v>
      </c>
      <c r="N8754" t="s">
        <v>32524</v>
      </c>
      <c r="O8754" t="s">
        <v>32525</v>
      </c>
      <c r="P8754">
        <v>0</v>
      </c>
      <c r="Q8754">
        <v>4</v>
      </c>
      <c r="R8754" t="s">
        <v>32537</v>
      </c>
      <c r="S8754" t="s">
        <v>32828</v>
      </c>
      <c r="T8754" t="s">
        <v>33372</v>
      </c>
      <c r="U8754" t="s">
        <v>40877</v>
      </c>
      <c r="V8754" t="s">
        <v>42948</v>
      </c>
      <c r="W8754" t="s">
        <v>31329</v>
      </c>
      <c r="X8754" t="s">
        <v>32538</v>
      </c>
    </row>
    <row r="8755" spans="1:24">
      <c r="A8755">
        <f>HYPERLINK("https://www.philgeps.gov.ph/GEPSNONPILOT/Tender/SplashBidNoticeAbstractUI.aspx?menuIndex=3&amp;refID=7027959&amp;Result=3","7027959")</f>
        <v>0</v>
      </c>
      <c r="B8755" t="s">
        <v>2458</v>
      </c>
      <c r="C8755" t="s">
        <v>11049</v>
      </c>
      <c r="D8755" t="s">
        <v>13019</v>
      </c>
      <c r="E8755" t="s">
        <v>13320</v>
      </c>
      <c r="F8755" t="s">
        <v>22436</v>
      </c>
      <c r="G8755" t="s">
        <v>22444</v>
      </c>
      <c r="H8755" t="s">
        <v>22454</v>
      </c>
      <c r="I8755" t="s">
        <v>7738</v>
      </c>
      <c r="J8755" t="s">
        <v>22634</v>
      </c>
      <c r="K8755" t="s">
        <v>29408</v>
      </c>
      <c r="M8755" t="s">
        <v>32262</v>
      </c>
      <c r="N8755" t="s">
        <v>32524</v>
      </c>
      <c r="O8755" t="s">
        <v>32525</v>
      </c>
      <c r="P8755">
        <v>0</v>
      </c>
      <c r="Q8755">
        <v>2</v>
      </c>
      <c r="R8755" t="s">
        <v>32537</v>
      </c>
      <c r="S8755" t="s">
        <v>32828</v>
      </c>
      <c r="T8755" t="s">
        <v>33249</v>
      </c>
      <c r="U8755" t="s">
        <v>40878</v>
      </c>
      <c r="W8755" t="s">
        <v>32262</v>
      </c>
      <c r="X8755" t="s">
        <v>32538</v>
      </c>
    </row>
    <row r="8756" spans="1:24">
      <c r="A8756">
        <f>HYPERLINK("https://www.philgeps.gov.ph/GEPSNONPILOT/Tender/SplashBidNoticeAbstractUI.aspx?menuIndex=3&amp;refID=7027868&amp;Result=3","7027868")</f>
        <v>0</v>
      </c>
      <c r="B8756" t="s">
        <v>971</v>
      </c>
      <c r="C8756" t="s">
        <v>11050</v>
      </c>
      <c r="D8756" t="s">
        <v>12999</v>
      </c>
      <c r="E8756" t="s">
        <v>20730</v>
      </c>
      <c r="F8756" t="s">
        <v>22436</v>
      </c>
      <c r="G8756" t="s">
        <v>22444</v>
      </c>
      <c r="H8756" t="s">
        <v>22454</v>
      </c>
      <c r="I8756" t="s">
        <v>7738</v>
      </c>
      <c r="J8756" t="s">
        <v>23604</v>
      </c>
      <c r="K8756" t="s">
        <v>29530</v>
      </c>
      <c r="M8756" t="s">
        <v>30591</v>
      </c>
      <c r="N8756" t="s">
        <v>32524</v>
      </c>
      <c r="O8756" t="s">
        <v>32525</v>
      </c>
      <c r="P8756">
        <v>0</v>
      </c>
      <c r="Q8756">
        <v>0</v>
      </c>
      <c r="R8756" t="s">
        <v>32537</v>
      </c>
      <c r="S8756" t="s">
        <v>32828</v>
      </c>
      <c r="T8756" t="s">
        <v>33184</v>
      </c>
      <c r="U8756" t="s">
        <v>40855</v>
      </c>
      <c r="W8756" t="s">
        <v>30591</v>
      </c>
      <c r="X8756" t="s">
        <v>32538</v>
      </c>
    </row>
    <row r="8757" spans="1:24">
      <c r="A8757">
        <f>HYPERLINK("https://www.philgeps.gov.ph/GEPSNONPILOT/Tender/SplashBidNoticeAbstractUI.aspx?menuIndex=3&amp;refID=7027838&amp;Result=3","7027838")</f>
        <v>0</v>
      </c>
      <c r="B8757" t="s">
        <v>971</v>
      </c>
      <c r="C8757" t="s">
        <v>11051</v>
      </c>
      <c r="D8757" t="s">
        <v>12999</v>
      </c>
      <c r="E8757" t="s">
        <v>20731</v>
      </c>
      <c r="F8757" t="s">
        <v>22436</v>
      </c>
      <c r="G8757" t="s">
        <v>22444</v>
      </c>
      <c r="H8757" t="s">
        <v>22454</v>
      </c>
      <c r="I8757" t="s">
        <v>7738</v>
      </c>
      <c r="J8757" t="s">
        <v>23604</v>
      </c>
      <c r="K8757" t="s">
        <v>29554</v>
      </c>
      <c r="M8757" t="s">
        <v>30591</v>
      </c>
      <c r="N8757" t="s">
        <v>32524</v>
      </c>
      <c r="O8757" t="s">
        <v>32525</v>
      </c>
      <c r="P8757">
        <v>0</v>
      </c>
      <c r="Q8757">
        <v>0</v>
      </c>
      <c r="R8757" t="s">
        <v>32537</v>
      </c>
      <c r="S8757" t="s">
        <v>32828</v>
      </c>
      <c r="T8757" t="s">
        <v>33184</v>
      </c>
      <c r="U8757" t="s">
        <v>40855</v>
      </c>
      <c r="W8757" t="s">
        <v>30591</v>
      </c>
      <c r="X8757" t="s">
        <v>32538</v>
      </c>
    </row>
    <row r="8758" spans="1:24">
      <c r="A8758">
        <f>HYPERLINK("https://www.philgeps.gov.ph/GEPSNONPILOT/Tender/SplashBidNoticeAbstractUI.aspx?menuIndex=3&amp;refID=7028009&amp;Result=3","7028009")</f>
        <v>0</v>
      </c>
      <c r="B8758" t="s">
        <v>971</v>
      </c>
      <c r="C8758" t="s">
        <v>11052</v>
      </c>
      <c r="D8758" t="s">
        <v>12999</v>
      </c>
      <c r="E8758" t="s">
        <v>20732</v>
      </c>
      <c r="F8758" t="s">
        <v>22436</v>
      </c>
      <c r="G8758" t="s">
        <v>22444</v>
      </c>
      <c r="H8758" t="s">
        <v>22454</v>
      </c>
      <c r="I8758" t="s">
        <v>7738</v>
      </c>
      <c r="J8758" t="s">
        <v>23093</v>
      </c>
      <c r="K8758" t="s">
        <v>29333</v>
      </c>
      <c r="M8758" t="s">
        <v>30591</v>
      </c>
      <c r="N8758" t="s">
        <v>32524</v>
      </c>
      <c r="O8758" t="s">
        <v>32525</v>
      </c>
      <c r="P8758">
        <v>0</v>
      </c>
      <c r="Q8758">
        <v>0</v>
      </c>
      <c r="R8758" t="s">
        <v>32537</v>
      </c>
      <c r="S8758" t="s">
        <v>32828</v>
      </c>
      <c r="T8758" t="s">
        <v>33184</v>
      </c>
      <c r="U8758" t="s">
        <v>40879</v>
      </c>
      <c r="W8758" t="s">
        <v>30591</v>
      </c>
      <c r="X8758" t="s">
        <v>32538</v>
      </c>
    </row>
    <row r="8759" spans="1:24">
      <c r="A8759">
        <f>HYPERLINK("https://www.philgeps.gov.ph/GEPSNONPILOT/Tender/SplashBidNoticeAbstractUI.aspx?menuIndex=3&amp;refID=7027850&amp;Result=3","7027850")</f>
        <v>0</v>
      </c>
      <c r="B8759" t="s">
        <v>2462</v>
      </c>
      <c r="C8759" t="s">
        <v>11053</v>
      </c>
      <c r="E8759" t="s">
        <v>20733</v>
      </c>
      <c r="F8759" t="s">
        <v>22436</v>
      </c>
      <c r="G8759" t="s">
        <v>22444</v>
      </c>
      <c r="H8759" t="s">
        <v>22454</v>
      </c>
      <c r="I8759" t="s">
        <v>7738</v>
      </c>
      <c r="J8759" t="s">
        <v>28154</v>
      </c>
      <c r="K8759" t="s">
        <v>29338</v>
      </c>
      <c r="M8759" t="s">
        <v>32266</v>
      </c>
      <c r="N8759" t="s">
        <v>32524</v>
      </c>
      <c r="O8759" t="s">
        <v>32525</v>
      </c>
      <c r="P8759">
        <v>0</v>
      </c>
      <c r="Q8759">
        <v>0</v>
      </c>
      <c r="R8759" t="s">
        <v>32537</v>
      </c>
      <c r="S8759" t="s">
        <v>32828</v>
      </c>
      <c r="T8759" t="s">
        <v>33213</v>
      </c>
      <c r="U8759" t="s">
        <v>40880</v>
      </c>
      <c r="V8759" t="s">
        <v>43403</v>
      </c>
      <c r="W8759" t="s">
        <v>32266</v>
      </c>
      <c r="X8759" t="s">
        <v>32538</v>
      </c>
    </row>
    <row r="8760" spans="1:24">
      <c r="A8760">
        <f>HYPERLINK("https://www.philgeps.gov.ph/GEPSNONPILOT/Tender/SplashBidNoticeAbstractUI.aspx?menuIndex=3&amp;refID=7027994&amp;Result=3","7027994")</f>
        <v>0</v>
      </c>
      <c r="B8760" t="s">
        <v>971</v>
      </c>
      <c r="C8760" t="s">
        <v>11054</v>
      </c>
      <c r="D8760" t="s">
        <v>12999</v>
      </c>
      <c r="E8760" t="s">
        <v>20734</v>
      </c>
      <c r="F8760" t="s">
        <v>22436</v>
      </c>
      <c r="G8760" t="s">
        <v>22444</v>
      </c>
      <c r="H8760" t="s">
        <v>22454</v>
      </c>
      <c r="I8760" t="s">
        <v>7738</v>
      </c>
      <c r="J8760" t="s">
        <v>22893</v>
      </c>
      <c r="K8760" t="s">
        <v>29333</v>
      </c>
      <c r="M8760" t="s">
        <v>30591</v>
      </c>
      <c r="N8760" t="s">
        <v>32524</v>
      </c>
      <c r="O8760" t="s">
        <v>32525</v>
      </c>
      <c r="P8760">
        <v>0</v>
      </c>
      <c r="Q8760">
        <v>0</v>
      </c>
      <c r="R8760" t="s">
        <v>32537</v>
      </c>
      <c r="S8760" t="s">
        <v>32828</v>
      </c>
      <c r="T8760" t="s">
        <v>33184</v>
      </c>
      <c r="U8760" t="s">
        <v>40881</v>
      </c>
      <c r="W8760" t="s">
        <v>30591</v>
      </c>
      <c r="X8760" t="s">
        <v>32538</v>
      </c>
    </row>
    <row r="8761" spans="1:24">
      <c r="A8761">
        <f>HYPERLINK("https://www.philgeps.gov.ph/GEPSNONPILOT/Tender/SplashBidNoticeAbstractUI.aspx?menuIndex=3&amp;refID=7028000&amp;Result=3","7028000")</f>
        <v>0</v>
      </c>
      <c r="B8761" t="s">
        <v>242</v>
      </c>
      <c r="C8761" t="s">
        <v>11055</v>
      </c>
      <c r="D8761" t="s">
        <v>13039</v>
      </c>
      <c r="E8761" t="s">
        <v>18610</v>
      </c>
      <c r="F8761" t="s">
        <v>22437</v>
      </c>
      <c r="G8761" t="s">
        <v>22444</v>
      </c>
      <c r="H8761" t="s">
        <v>22452</v>
      </c>
      <c r="I8761" t="s">
        <v>3529</v>
      </c>
      <c r="J8761" t="s">
        <v>22893</v>
      </c>
      <c r="K8761" t="s">
        <v>29334</v>
      </c>
      <c r="M8761" t="s">
        <v>29816</v>
      </c>
      <c r="N8761" t="s">
        <v>32524</v>
      </c>
      <c r="O8761" t="s">
        <v>32525</v>
      </c>
      <c r="P8761">
        <v>0</v>
      </c>
      <c r="Q8761">
        <v>0</v>
      </c>
      <c r="R8761" t="s">
        <v>32537</v>
      </c>
      <c r="S8761" t="s">
        <v>32828</v>
      </c>
      <c r="T8761" t="s">
        <v>33167</v>
      </c>
      <c r="U8761" t="s">
        <v>40882</v>
      </c>
      <c r="W8761" t="s">
        <v>29816</v>
      </c>
      <c r="X8761" t="s">
        <v>32538</v>
      </c>
    </row>
    <row r="8762" spans="1:24">
      <c r="A8762">
        <f>HYPERLINK("https://www.philgeps.gov.ph/GEPSNONPILOT/Tender/SplashBidNoticeAbstractUI.aspx?menuIndex=3&amp;refID=7027970&amp;Result=3","7027970")</f>
        <v>0</v>
      </c>
      <c r="B8762" t="s">
        <v>971</v>
      </c>
      <c r="C8762" t="s">
        <v>11056</v>
      </c>
      <c r="D8762" t="s">
        <v>12999</v>
      </c>
      <c r="E8762" t="s">
        <v>20735</v>
      </c>
      <c r="F8762" t="s">
        <v>22436</v>
      </c>
      <c r="G8762" t="s">
        <v>22444</v>
      </c>
      <c r="H8762" t="s">
        <v>22454</v>
      </c>
      <c r="I8762" t="s">
        <v>7738</v>
      </c>
      <c r="J8762" t="s">
        <v>22779</v>
      </c>
      <c r="K8762" t="s">
        <v>29333</v>
      </c>
      <c r="M8762" t="s">
        <v>30591</v>
      </c>
      <c r="N8762" t="s">
        <v>32524</v>
      </c>
      <c r="O8762" t="s">
        <v>32525</v>
      </c>
      <c r="P8762">
        <v>0</v>
      </c>
      <c r="Q8762">
        <v>0</v>
      </c>
      <c r="R8762" t="s">
        <v>32537</v>
      </c>
      <c r="S8762" t="s">
        <v>32828</v>
      </c>
      <c r="T8762" t="s">
        <v>33184</v>
      </c>
      <c r="U8762" t="s">
        <v>40883</v>
      </c>
      <c r="W8762" t="s">
        <v>30591</v>
      </c>
      <c r="X8762" t="s">
        <v>32538</v>
      </c>
    </row>
    <row r="8763" spans="1:24">
      <c r="A8763">
        <f>HYPERLINK("https://www.philgeps.gov.ph/GEPSNONPILOT/Tender/SplashBidNoticeAbstractUI.aspx?menuIndex=3&amp;refID=7028001&amp;Result=3","7028001")</f>
        <v>0</v>
      </c>
      <c r="B8763" t="s">
        <v>971</v>
      </c>
      <c r="C8763" t="s">
        <v>11057</v>
      </c>
      <c r="D8763" t="s">
        <v>12999</v>
      </c>
      <c r="E8763" t="s">
        <v>20736</v>
      </c>
      <c r="F8763" t="s">
        <v>22436</v>
      </c>
      <c r="G8763" t="s">
        <v>22444</v>
      </c>
      <c r="H8763" t="s">
        <v>22454</v>
      </c>
      <c r="I8763" t="s">
        <v>7738</v>
      </c>
      <c r="J8763" t="s">
        <v>23093</v>
      </c>
      <c r="K8763" t="s">
        <v>29333</v>
      </c>
      <c r="M8763" t="s">
        <v>30591</v>
      </c>
      <c r="N8763" t="s">
        <v>32524</v>
      </c>
      <c r="O8763" t="s">
        <v>32525</v>
      </c>
      <c r="P8763">
        <v>0</v>
      </c>
      <c r="Q8763">
        <v>0</v>
      </c>
      <c r="R8763" t="s">
        <v>32537</v>
      </c>
      <c r="S8763" t="s">
        <v>32828</v>
      </c>
      <c r="T8763" t="s">
        <v>33184</v>
      </c>
      <c r="U8763" t="s">
        <v>40879</v>
      </c>
      <c r="W8763" t="s">
        <v>30591</v>
      </c>
      <c r="X8763" t="s">
        <v>32538</v>
      </c>
    </row>
    <row r="8764" spans="1:24">
      <c r="A8764">
        <f>HYPERLINK("https://www.philgeps.gov.ph/GEPSNONPILOT/Tender/SplashBidNoticeAbstractUI.aspx?menuIndex=3&amp;refID=7027992&amp;Result=3","7027992")</f>
        <v>0</v>
      </c>
      <c r="B8764" t="s">
        <v>1806</v>
      </c>
      <c r="C8764" t="s">
        <v>11058</v>
      </c>
      <c r="D8764" t="s">
        <v>13007</v>
      </c>
      <c r="E8764" t="s">
        <v>20737</v>
      </c>
      <c r="F8764" t="s">
        <v>22436</v>
      </c>
      <c r="G8764" t="s">
        <v>22444</v>
      </c>
      <c r="H8764" t="s">
        <v>22454</v>
      </c>
      <c r="I8764" t="s">
        <v>7738</v>
      </c>
      <c r="J8764" t="s">
        <v>23604</v>
      </c>
      <c r="K8764" t="s">
        <v>29515</v>
      </c>
      <c r="M8764" t="s">
        <v>31519</v>
      </c>
      <c r="N8764" t="s">
        <v>32524</v>
      </c>
      <c r="O8764" t="s">
        <v>32525</v>
      </c>
      <c r="P8764">
        <v>0</v>
      </c>
      <c r="Q8764">
        <v>5</v>
      </c>
      <c r="R8764" t="s">
        <v>32537</v>
      </c>
      <c r="S8764" t="s">
        <v>32828</v>
      </c>
      <c r="T8764" t="s">
        <v>33249</v>
      </c>
      <c r="U8764" t="s">
        <v>40884</v>
      </c>
      <c r="W8764" t="s">
        <v>31519</v>
      </c>
      <c r="X8764" t="s">
        <v>32538</v>
      </c>
    </row>
    <row r="8765" spans="1:24">
      <c r="A8765">
        <f>HYPERLINK("https://www.philgeps.gov.ph/GEPSNONPILOT/Tender/SplashBidNoticeAbstractUI.aspx?menuIndex=3&amp;refID=7027962&amp;Result=3","7027962")</f>
        <v>0</v>
      </c>
      <c r="B8765" t="s">
        <v>1806</v>
      </c>
      <c r="C8765" t="s">
        <v>11059</v>
      </c>
      <c r="D8765" t="s">
        <v>13007</v>
      </c>
      <c r="E8765" t="s">
        <v>20738</v>
      </c>
      <c r="F8765" t="s">
        <v>22436</v>
      </c>
      <c r="G8765" t="s">
        <v>22444</v>
      </c>
      <c r="H8765" t="s">
        <v>22454</v>
      </c>
      <c r="I8765" t="s">
        <v>7738</v>
      </c>
      <c r="J8765" t="s">
        <v>28155</v>
      </c>
      <c r="K8765" t="s">
        <v>29400</v>
      </c>
      <c r="M8765" t="s">
        <v>31519</v>
      </c>
      <c r="N8765" t="s">
        <v>32524</v>
      </c>
      <c r="O8765" t="s">
        <v>32525</v>
      </c>
      <c r="P8765">
        <v>0</v>
      </c>
      <c r="Q8765">
        <v>8</v>
      </c>
      <c r="R8765" t="s">
        <v>32537</v>
      </c>
      <c r="S8765" t="s">
        <v>32828</v>
      </c>
      <c r="T8765" t="s">
        <v>33249</v>
      </c>
      <c r="U8765" t="s">
        <v>40885</v>
      </c>
      <c r="W8765" t="s">
        <v>31519</v>
      </c>
      <c r="X8765" t="s">
        <v>32538</v>
      </c>
    </row>
    <row r="8766" spans="1:24">
      <c r="A8766">
        <f>HYPERLINK("https://www.philgeps.gov.ph/GEPSNONPILOT/Tender/SplashBidNoticeAbstractUI.aspx?menuIndex=3&amp;refID=7028003&amp;Result=3","7028003")</f>
        <v>0</v>
      </c>
      <c r="B8766" t="s">
        <v>1523</v>
      </c>
      <c r="C8766" t="s">
        <v>11060</v>
      </c>
      <c r="D8766" t="s">
        <v>13037</v>
      </c>
      <c r="E8766" t="s">
        <v>20739</v>
      </c>
      <c r="F8766" t="s">
        <v>22436</v>
      </c>
      <c r="G8766" t="s">
        <v>22444</v>
      </c>
      <c r="H8766" t="s">
        <v>22454</v>
      </c>
      <c r="I8766" t="s">
        <v>22505</v>
      </c>
      <c r="J8766" t="s">
        <v>28156</v>
      </c>
      <c r="K8766" t="s">
        <v>29329</v>
      </c>
      <c r="M8766" t="s">
        <v>31198</v>
      </c>
      <c r="N8766" t="s">
        <v>32524</v>
      </c>
      <c r="O8766" t="s">
        <v>32525</v>
      </c>
      <c r="Q8766">
        <v>3</v>
      </c>
      <c r="R8766" t="s">
        <v>32537</v>
      </c>
      <c r="S8766" t="s">
        <v>32836</v>
      </c>
      <c r="T8766" t="s">
        <v>33181</v>
      </c>
      <c r="U8766" t="s">
        <v>37344</v>
      </c>
      <c r="W8766" t="s">
        <v>31198</v>
      </c>
      <c r="X8766" t="s">
        <v>32538</v>
      </c>
    </row>
    <row r="8767" spans="1:24">
      <c r="A8767">
        <f>HYPERLINK("https://www.philgeps.gov.ph/GEPSNONPILOT/Tender/SplashBidNoticeAbstractUI.aspx?menuIndex=3&amp;refID=7028073&amp;Result=3","7028073")</f>
        <v>0</v>
      </c>
      <c r="B8767" t="s">
        <v>479</v>
      </c>
      <c r="C8767" t="s">
        <v>11061</v>
      </c>
      <c r="D8767" t="s">
        <v>13008</v>
      </c>
      <c r="E8767" t="s">
        <v>20740</v>
      </c>
      <c r="F8767" t="s">
        <v>22436</v>
      </c>
      <c r="G8767" t="s">
        <v>22444</v>
      </c>
      <c r="H8767" t="s">
        <v>22454</v>
      </c>
      <c r="I8767" t="s">
        <v>7738</v>
      </c>
      <c r="J8767" t="s">
        <v>23093</v>
      </c>
      <c r="K8767" t="s">
        <v>29352</v>
      </c>
      <c r="M8767" t="s">
        <v>30063</v>
      </c>
      <c r="N8767" t="s">
        <v>32524</v>
      </c>
      <c r="O8767" t="s">
        <v>32525</v>
      </c>
      <c r="P8767">
        <v>0</v>
      </c>
      <c r="Q8767">
        <v>0</v>
      </c>
      <c r="R8767" t="s">
        <v>32537</v>
      </c>
      <c r="S8767" t="s">
        <v>32828</v>
      </c>
      <c r="T8767" t="s">
        <v>33259</v>
      </c>
      <c r="U8767" t="s">
        <v>40886</v>
      </c>
      <c r="W8767" t="s">
        <v>30063</v>
      </c>
      <c r="X8767" t="s">
        <v>32538</v>
      </c>
    </row>
    <row r="8768" spans="1:24">
      <c r="A8768">
        <f>HYPERLINK("https://www.philgeps.gov.ph/GEPSNONPILOT/Tender/SplashBidNoticeAbstractUI.aspx?menuIndex=3&amp;refID=7027982&amp;Result=3","7027982")</f>
        <v>0</v>
      </c>
      <c r="B8768" t="s">
        <v>971</v>
      </c>
      <c r="C8768" t="s">
        <v>11062</v>
      </c>
      <c r="D8768" t="s">
        <v>12999</v>
      </c>
      <c r="E8768" t="s">
        <v>20741</v>
      </c>
      <c r="F8768" t="s">
        <v>22436</v>
      </c>
      <c r="G8768" t="s">
        <v>22444</v>
      </c>
      <c r="H8768" t="s">
        <v>22454</v>
      </c>
      <c r="I8768" t="s">
        <v>7738</v>
      </c>
      <c r="J8768" t="s">
        <v>22893</v>
      </c>
      <c r="K8768" t="s">
        <v>29333</v>
      </c>
      <c r="M8768" t="s">
        <v>30591</v>
      </c>
      <c r="N8768" t="s">
        <v>32524</v>
      </c>
      <c r="O8768" t="s">
        <v>32525</v>
      </c>
      <c r="P8768">
        <v>0</v>
      </c>
      <c r="Q8768">
        <v>0</v>
      </c>
      <c r="R8768" t="s">
        <v>32537</v>
      </c>
      <c r="S8768" t="s">
        <v>32828</v>
      </c>
      <c r="T8768" t="s">
        <v>33184</v>
      </c>
      <c r="U8768" t="s">
        <v>40881</v>
      </c>
      <c r="W8768" t="s">
        <v>30591</v>
      </c>
      <c r="X8768" t="s">
        <v>32538</v>
      </c>
    </row>
    <row r="8769" spans="1:24">
      <c r="A8769">
        <f>HYPERLINK("https://www.philgeps.gov.ph/GEPSNONPILOT/Tender/SplashBidNoticeAbstractUI.aspx?menuIndex=3&amp;refID=7028037&amp;Result=3","7028037")</f>
        <v>0</v>
      </c>
      <c r="B8769" t="s">
        <v>1806</v>
      </c>
      <c r="C8769" t="s">
        <v>11063</v>
      </c>
      <c r="D8769" t="s">
        <v>13007</v>
      </c>
      <c r="E8769" t="s">
        <v>20742</v>
      </c>
      <c r="F8769" t="s">
        <v>22436</v>
      </c>
      <c r="G8769" t="s">
        <v>22444</v>
      </c>
      <c r="H8769" t="s">
        <v>22454</v>
      </c>
      <c r="I8769" t="s">
        <v>7738</v>
      </c>
      <c r="J8769" t="s">
        <v>23604</v>
      </c>
      <c r="K8769" t="s">
        <v>29515</v>
      </c>
      <c r="M8769" t="s">
        <v>31519</v>
      </c>
      <c r="N8769" t="s">
        <v>32524</v>
      </c>
      <c r="O8769" t="s">
        <v>32525</v>
      </c>
      <c r="P8769">
        <v>0</v>
      </c>
      <c r="Q8769">
        <v>4</v>
      </c>
      <c r="R8769" t="s">
        <v>32537</v>
      </c>
      <c r="S8769" t="s">
        <v>32828</v>
      </c>
      <c r="T8769" t="s">
        <v>33249</v>
      </c>
      <c r="U8769" t="s">
        <v>40887</v>
      </c>
      <c r="W8769" t="s">
        <v>31519</v>
      </c>
      <c r="X8769" t="s">
        <v>32538</v>
      </c>
    </row>
    <row r="8770" spans="1:24">
      <c r="A8770">
        <f>HYPERLINK("https://www.philgeps.gov.ph/GEPSNONPILOT/Tender/SplashBidNoticeAbstractUI.aspx?menuIndex=3&amp;refID=7028058&amp;Result=3","7028058")</f>
        <v>0</v>
      </c>
      <c r="B8770" t="s">
        <v>479</v>
      </c>
      <c r="C8770" t="s">
        <v>11064</v>
      </c>
      <c r="D8770" t="s">
        <v>13008</v>
      </c>
      <c r="E8770" t="s">
        <v>20743</v>
      </c>
      <c r="F8770" t="s">
        <v>22436</v>
      </c>
      <c r="G8770" t="s">
        <v>22444</v>
      </c>
      <c r="H8770" t="s">
        <v>22454</v>
      </c>
      <c r="I8770" t="s">
        <v>7738</v>
      </c>
      <c r="J8770" t="s">
        <v>28157</v>
      </c>
      <c r="K8770" t="s">
        <v>29390</v>
      </c>
      <c r="M8770" t="s">
        <v>30063</v>
      </c>
      <c r="N8770" t="s">
        <v>32524</v>
      </c>
      <c r="O8770" t="s">
        <v>32525</v>
      </c>
      <c r="P8770">
        <v>0</v>
      </c>
      <c r="Q8770">
        <v>0</v>
      </c>
      <c r="R8770" t="s">
        <v>32537</v>
      </c>
      <c r="S8770" t="s">
        <v>32828</v>
      </c>
      <c r="T8770" t="s">
        <v>33259</v>
      </c>
      <c r="U8770" t="s">
        <v>40888</v>
      </c>
      <c r="W8770" t="s">
        <v>30063</v>
      </c>
      <c r="X8770" t="s">
        <v>32538</v>
      </c>
    </row>
    <row r="8771" spans="1:24">
      <c r="A8771">
        <f>HYPERLINK("https://www.philgeps.gov.ph/GEPSNONPILOT/Tender/SplashBidNoticeAbstractUI.aspx?menuIndex=3&amp;refID=7028013&amp;Result=3","7028013")</f>
        <v>0</v>
      </c>
      <c r="B8771" t="s">
        <v>1806</v>
      </c>
      <c r="C8771" t="s">
        <v>11065</v>
      </c>
      <c r="D8771" t="s">
        <v>13007</v>
      </c>
      <c r="E8771" t="s">
        <v>20744</v>
      </c>
      <c r="F8771" t="s">
        <v>22436</v>
      </c>
      <c r="G8771" t="s">
        <v>22444</v>
      </c>
      <c r="H8771" t="s">
        <v>22454</v>
      </c>
      <c r="I8771" t="s">
        <v>7738</v>
      </c>
      <c r="J8771" t="s">
        <v>23604</v>
      </c>
      <c r="K8771" t="s">
        <v>29515</v>
      </c>
      <c r="M8771" t="s">
        <v>31519</v>
      </c>
      <c r="N8771" t="s">
        <v>32524</v>
      </c>
      <c r="O8771" t="s">
        <v>32525</v>
      </c>
      <c r="P8771">
        <v>0</v>
      </c>
      <c r="Q8771">
        <v>7</v>
      </c>
      <c r="R8771" t="s">
        <v>32537</v>
      </c>
      <c r="S8771" t="s">
        <v>32828</v>
      </c>
      <c r="T8771" t="s">
        <v>33249</v>
      </c>
      <c r="U8771" t="s">
        <v>40889</v>
      </c>
      <c r="W8771" t="s">
        <v>31519</v>
      </c>
      <c r="X8771" t="s">
        <v>32538</v>
      </c>
    </row>
    <row r="8772" spans="1:24">
      <c r="A8772">
        <f>HYPERLINK("https://www.philgeps.gov.ph/GEPSNONPILOT/Tender/SplashBidNoticeAbstractUI.aspx?menuIndex=3&amp;refID=7028048&amp;Result=3","7028048")</f>
        <v>0</v>
      </c>
      <c r="B8772" t="s">
        <v>971</v>
      </c>
      <c r="C8772" t="s">
        <v>11066</v>
      </c>
      <c r="D8772" t="s">
        <v>12999</v>
      </c>
      <c r="E8772" t="s">
        <v>20745</v>
      </c>
      <c r="F8772" t="s">
        <v>22436</v>
      </c>
      <c r="G8772" t="s">
        <v>22444</v>
      </c>
      <c r="H8772" t="s">
        <v>22454</v>
      </c>
      <c r="I8772" t="s">
        <v>7738</v>
      </c>
      <c r="J8772" t="s">
        <v>22788</v>
      </c>
      <c r="K8772" t="s">
        <v>29333</v>
      </c>
      <c r="M8772" t="s">
        <v>30591</v>
      </c>
      <c r="N8772" t="s">
        <v>32524</v>
      </c>
      <c r="O8772" t="s">
        <v>32525</v>
      </c>
      <c r="P8772">
        <v>0</v>
      </c>
      <c r="Q8772">
        <v>0</v>
      </c>
      <c r="R8772" t="s">
        <v>32537</v>
      </c>
      <c r="S8772" t="s">
        <v>32828</v>
      </c>
      <c r="T8772" t="s">
        <v>33184</v>
      </c>
      <c r="U8772" t="s">
        <v>40890</v>
      </c>
      <c r="W8772" t="s">
        <v>30591</v>
      </c>
      <c r="X8772" t="s">
        <v>32538</v>
      </c>
    </row>
    <row r="8773" spans="1:24">
      <c r="A8773">
        <f>HYPERLINK("https://www.philgeps.gov.ph/GEPSNONPILOT/Tender/SplashBidNoticeAbstractUI.aspx?menuIndex=3&amp;refID=7028053&amp;Result=3","7028053")</f>
        <v>0</v>
      </c>
      <c r="B8773" t="s">
        <v>971</v>
      </c>
      <c r="C8773" t="s">
        <v>11067</v>
      </c>
      <c r="D8773" t="s">
        <v>12999</v>
      </c>
      <c r="E8773" t="s">
        <v>20746</v>
      </c>
      <c r="F8773" t="s">
        <v>22436</v>
      </c>
      <c r="G8773" t="s">
        <v>22444</v>
      </c>
      <c r="H8773" t="s">
        <v>22454</v>
      </c>
      <c r="I8773" t="s">
        <v>7738</v>
      </c>
      <c r="J8773" t="s">
        <v>22806</v>
      </c>
      <c r="K8773" t="s">
        <v>29333</v>
      </c>
      <c r="M8773" t="s">
        <v>30591</v>
      </c>
      <c r="N8773" t="s">
        <v>32524</v>
      </c>
      <c r="O8773" t="s">
        <v>32525</v>
      </c>
      <c r="P8773">
        <v>0</v>
      </c>
      <c r="Q8773">
        <v>0</v>
      </c>
      <c r="R8773" t="s">
        <v>32537</v>
      </c>
      <c r="S8773" t="s">
        <v>32828</v>
      </c>
      <c r="T8773" t="s">
        <v>33184</v>
      </c>
      <c r="U8773" t="s">
        <v>40891</v>
      </c>
      <c r="W8773" t="s">
        <v>30591</v>
      </c>
      <c r="X8773" t="s">
        <v>32538</v>
      </c>
    </row>
    <row r="8774" spans="1:24">
      <c r="A8774">
        <f>HYPERLINK("https://www.philgeps.gov.ph/GEPSNONPILOT/Tender/SplashBidNoticeAbstractUI.aspx?menuIndex=3&amp;refID=7028010&amp;Result=3","7028010")</f>
        <v>0</v>
      </c>
      <c r="B8774" t="s">
        <v>566</v>
      </c>
      <c r="C8774" t="s">
        <v>11068</v>
      </c>
      <c r="D8774" t="s">
        <v>13000</v>
      </c>
      <c r="E8774" t="s">
        <v>20747</v>
      </c>
      <c r="F8774" t="s">
        <v>22436</v>
      </c>
      <c r="G8774" t="s">
        <v>22444</v>
      </c>
      <c r="H8774" t="s">
        <v>22452</v>
      </c>
      <c r="I8774" t="s">
        <v>22479</v>
      </c>
      <c r="J8774" t="s">
        <v>28158</v>
      </c>
      <c r="K8774" t="s">
        <v>29336</v>
      </c>
      <c r="M8774" t="s">
        <v>30154</v>
      </c>
      <c r="N8774" t="s">
        <v>32524</v>
      </c>
      <c r="O8774" t="s">
        <v>32525</v>
      </c>
      <c r="P8774">
        <v>0</v>
      </c>
      <c r="Q8774">
        <v>3</v>
      </c>
      <c r="R8774" t="s">
        <v>32537</v>
      </c>
      <c r="S8774" t="s">
        <v>32828</v>
      </c>
      <c r="T8774" t="s">
        <v>33191</v>
      </c>
      <c r="U8774" t="s">
        <v>40892</v>
      </c>
      <c r="W8774" t="s">
        <v>30154</v>
      </c>
      <c r="X8774" t="s">
        <v>32538</v>
      </c>
    </row>
    <row r="8775" spans="1:24">
      <c r="A8775">
        <f>HYPERLINK("https://www.philgeps.gov.ph/GEPSNONPILOT/Tender/SplashBidNoticeAbstractUI.aspx?menuIndex=3&amp;refID=7028059&amp;Result=3","7028059")</f>
        <v>0</v>
      </c>
      <c r="B8775" t="s">
        <v>368</v>
      </c>
      <c r="C8775" t="s">
        <v>11069</v>
      </c>
      <c r="D8775" t="s">
        <v>13056</v>
      </c>
      <c r="E8775" t="s">
        <v>20748</v>
      </c>
      <c r="F8775" t="s">
        <v>22436</v>
      </c>
      <c r="G8775" t="s">
        <v>22444</v>
      </c>
      <c r="H8775" t="s">
        <v>22452</v>
      </c>
      <c r="I8775" t="s">
        <v>7738</v>
      </c>
      <c r="J8775" t="s">
        <v>28159</v>
      </c>
      <c r="K8775" t="s">
        <v>29333</v>
      </c>
      <c r="M8775" t="s">
        <v>29946</v>
      </c>
      <c r="N8775" t="s">
        <v>32524</v>
      </c>
      <c r="O8775" t="s">
        <v>32525</v>
      </c>
      <c r="P8775">
        <v>0</v>
      </c>
      <c r="Q8775">
        <v>1</v>
      </c>
      <c r="R8775" t="s">
        <v>32537</v>
      </c>
      <c r="S8775" t="s">
        <v>32828</v>
      </c>
      <c r="T8775" t="s">
        <v>33227</v>
      </c>
      <c r="U8775" t="s">
        <v>40893</v>
      </c>
      <c r="W8775" t="s">
        <v>29946</v>
      </c>
      <c r="X8775" t="s">
        <v>32538</v>
      </c>
    </row>
    <row r="8776" spans="1:24">
      <c r="A8776">
        <f>HYPERLINK("https://www.philgeps.gov.ph/GEPSNONPILOT/Tender/SplashBidNoticeAbstractUI.aspx?menuIndex=3&amp;refID=7028074&amp;Result=3","7028074")</f>
        <v>0</v>
      </c>
      <c r="B8776" t="s">
        <v>2463</v>
      </c>
      <c r="C8776" t="s">
        <v>11070</v>
      </c>
      <c r="D8776" t="s">
        <v>13026</v>
      </c>
      <c r="E8776" t="s">
        <v>18141</v>
      </c>
      <c r="F8776" t="s">
        <v>22436</v>
      </c>
      <c r="G8776" t="s">
        <v>22444</v>
      </c>
      <c r="H8776" t="s">
        <v>22454</v>
      </c>
      <c r="I8776" t="s">
        <v>7738</v>
      </c>
      <c r="J8776" t="s">
        <v>28160</v>
      </c>
      <c r="K8776" t="s">
        <v>29344</v>
      </c>
      <c r="M8776" t="s">
        <v>32267</v>
      </c>
      <c r="N8776" t="s">
        <v>32524</v>
      </c>
      <c r="O8776" t="s">
        <v>32525</v>
      </c>
      <c r="P8776">
        <v>0</v>
      </c>
      <c r="Q8776">
        <v>4</v>
      </c>
      <c r="R8776" t="s">
        <v>32537</v>
      </c>
      <c r="S8776" t="s">
        <v>32828</v>
      </c>
      <c r="T8776" t="s">
        <v>33244</v>
      </c>
      <c r="U8776" t="s">
        <v>40894</v>
      </c>
      <c r="W8776" t="s">
        <v>32267</v>
      </c>
      <c r="X8776" t="s">
        <v>32538</v>
      </c>
    </row>
    <row r="8777" spans="1:24">
      <c r="A8777">
        <f>HYPERLINK("https://www.philgeps.gov.ph/GEPSNONPILOT/Tender/SplashBidNoticeAbstractUI.aspx?menuIndex=3&amp;refID=7028024&amp;Result=3","7028024")</f>
        <v>0</v>
      </c>
      <c r="B8777" t="s">
        <v>2463</v>
      </c>
      <c r="C8777" t="s">
        <v>11071</v>
      </c>
      <c r="D8777" t="s">
        <v>13026</v>
      </c>
      <c r="E8777" t="s">
        <v>18125</v>
      </c>
      <c r="F8777" t="s">
        <v>22436</v>
      </c>
      <c r="G8777" t="s">
        <v>22444</v>
      </c>
      <c r="H8777" t="s">
        <v>22454</v>
      </c>
      <c r="I8777" t="s">
        <v>7738</v>
      </c>
      <c r="J8777" t="s">
        <v>28161</v>
      </c>
      <c r="K8777" t="s">
        <v>29401</v>
      </c>
      <c r="M8777" t="s">
        <v>32267</v>
      </c>
      <c r="N8777" t="s">
        <v>32524</v>
      </c>
      <c r="O8777" t="s">
        <v>32525</v>
      </c>
      <c r="P8777">
        <v>0</v>
      </c>
      <c r="Q8777">
        <v>2</v>
      </c>
      <c r="R8777" t="s">
        <v>32537</v>
      </c>
      <c r="S8777" t="s">
        <v>32828</v>
      </c>
      <c r="T8777" t="s">
        <v>33211</v>
      </c>
      <c r="U8777" t="s">
        <v>40895</v>
      </c>
      <c r="W8777" t="s">
        <v>32267</v>
      </c>
      <c r="X8777" t="s">
        <v>32538</v>
      </c>
    </row>
    <row r="8778" spans="1:24">
      <c r="A8778">
        <f>HYPERLINK("https://www.philgeps.gov.ph/GEPSNONPILOT/Tender/SplashBidNoticeAbstractUI.aspx?menuIndex=3&amp;refID=7028021&amp;Result=3","7028021")</f>
        <v>0</v>
      </c>
      <c r="B8778" t="s">
        <v>2462</v>
      </c>
      <c r="C8778" t="s">
        <v>11072</v>
      </c>
      <c r="E8778" t="s">
        <v>20749</v>
      </c>
      <c r="F8778" t="s">
        <v>22436</v>
      </c>
      <c r="G8778" t="s">
        <v>22444</v>
      </c>
      <c r="H8778" t="s">
        <v>22454</v>
      </c>
      <c r="I8778" t="s">
        <v>7738</v>
      </c>
      <c r="J8778" t="s">
        <v>28162</v>
      </c>
      <c r="K8778" t="s">
        <v>29338</v>
      </c>
      <c r="M8778" t="s">
        <v>32266</v>
      </c>
      <c r="N8778" t="s">
        <v>32524</v>
      </c>
      <c r="O8778" t="s">
        <v>32525</v>
      </c>
      <c r="P8778">
        <v>0</v>
      </c>
      <c r="Q8778">
        <v>0</v>
      </c>
      <c r="R8778" t="s">
        <v>32537</v>
      </c>
      <c r="S8778" t="s">
        <v>32828</v>
      </c>
      <c r="T8778" t="s">
        <v>33213</v>
      </c>
      <c r="U8778" t="s">
        <v>40896</v>
      </c>
      <c r="V8778" t="s">
        <v>43403</v>
      </c>
      <c r="W8778" t="s">
        <v>32266</v>
      </c>
      <c r="X8778" t="s">
        <v>32538</v>
      </c>
    </row>
    <row r="8779" spans="1:24">
      <c r="A8779">
        <f>HYPERLINK("https://www.philgeps.gov.ph/GEPSNONPILOT/Tender/SplashBidNoticeAbstractUI.aspx?menuIndex=3&amp;refID=7028075&amp;Result=3","7028075")</f>
        <v>0</v>
      </c>
      <c r="B8779" t="s">
        <v>971</v>
      </c>
      <c r="C8779" t="s">
        <v>11073</v>
      </c>
      <c r="D8779" t="s">
        <v>12999</v>
      </c>
      <c r="E8779" t="s">
        <v>20750</v>
      </c>
      <c r="F8779" t="s">
        <v>22436</v>
      </c>
      <c r="G8779" t="s">
        <v>22444</v>
      </c>
      <c r="H8779" t="s">
        <v>22454</v>
      </c>
      <c r="I8779" t="s">
        <v>7738</v>
      </c>
      <c r="J8779" t="s">
        <v>22806</v>
      </c>
      <c r="K8779" t="s">
        <v>29333</v>
      </c>
      <c r="M8779" t="s">
        <v>30591</v>
      </c>
      <c r="N8779" t="s">
        <v>32524</v>
      </c>
      <c r="O8779" t="s">
        <v>32525</v>
      </c>
      <c r="P8779">
        <v>0</v>
      </c>
      <c r="Q8779">
        <v>0</v>
      </c>
      <c r="R8779" t="s">
        <v>32537</v>
      </c>
      <c r="S8779" t="s">
        <v>32828</v>
      </c>
      <c r="T8779" t="s">
        <v>33184</v>
      </c>
      <c r="U8779" t="s">
        <v>40891</v>
      </c>
      <c r="W8779" t="s">
        <v>30591</v>
      </c>
      <c r="X8779" t="s">
        <v>32538</v>
      </c>
    </row>
    <row r="8780" spans="1:24">
      <c r="A8780">
        <f>HYPERLINK("https://www.philgeps.gov.ph/GEPSNONPILOT/Tender/SplashBidNoticeAbstractUI.aspx?menuIndex=3&amp;refID=7028161&amp;Result=3","7028161")</f>
        <v>0</v>
      </c>
      <c r="B8780" t="s">
        <v>2464</v>
      </c>
      <c r="C8780" t="s">
        <v>11074</v>
      </c>
      <c r="D8780" t="s">
        <v>13014</v>
      </c>
      <c r="E8780" t="s">
        <v>17716</v>
      </c>
      <c r="F8780" t="s">
        <v>22436</v>
      </c>
      <c r="G8780" t="s">
        <v>22444</v>
      </c>
      <c r="H8780" t="s">
        <v>22454</v>
      </c>
      <c r="I8780" t="s">
        <v>7738</v>
      </c>
      <c r="J8780" t="s">
        <v>28163</v>
      </c>
      <c r="K8780" t="s">
        <v>29386</v>
      </c>
      <c r="M8780" t="s">
        <v>32268</v>
      </c>
      <c r="N8780" t="s">
        <v>32524</v>
      </c>
      <c r="O8780" t="s">
        <v>32525</v>
      </c>
      <c r="P8780">
        <v>0</v>
      </c>
      <c r="Q8780">
        <v>0</v>
      </c>
      <c r="R8780" t="s">
        <v>32537</v>
      </c>
      <c r="S8780" t="s">
        <v>32828</v>
      </c>
      <c r="T8780" t="s">
        <v>33172</v>
      </c>
      <c r="U8780" t="s">
        <v>40897</v>
      </c>
      <c r="V8780" t="s">
        <v>43404</v>
      </c>
      <c r="W8780" t="s">
        <v>32268</v>
      </c>
      <c r="X8780" t="s">
        <v>32538</v>
      </c>
    </row>
    <row r="8781" spans="1:24">
      <c r="A8781">
        <f>HYPERLINK("https://www.philgeps.gov.ph/GEPSNONPILOT/Tender/SplashBidNoticeAbstractUI.aspx?menuIndex=3&amp;refID=7028176&amp;Result=3","7028176")</f>
        <v>0</v>
      </c>
      <c r="B8781" t="s">
        <v>2465</v>
      </c>
      <c r="C8781" t="s">
        <v>11075</v>
      </c>
      <c r="E8781" t="s">
        <v>20751</v>
      </c>
      <c r="F8781" t="s">
        <v>22436</v>
      </c>
      <c r="G8781" t="s">
        <v>22444</v>
      </c>
      <c r="H8781" t="s">
        <v>22452</v>
      </c>
      <c r="I8781" t="s">
        <v>22463</v>
      </c>
      <c r="J8781" t="s">
        <v>28164</v>
      </c>
      <c r="K8781" t="s">
        <v>29338</v>
      </c>
      <c r="M8781" t="s">
        <v>32269</v>
      </c>
      <c r="N8781" t="s">
        <v>32524</v>
      </c>
      <c r="O8781" t="s">
        <v>32525</v>
      </c>
      <c r="P8781">
        <v>0</v>
      </c>
      <c r="Q8781">
        <v>20</v>
      </c>
      <c r="R8781" t="s">
        <v>32537</v>
      </c>
      <c r="S8781" t="s">
        <v>32828</v>
      </c>
      <c r="T8781" t="s">
        <v>33259</v>
      </c>
      <c r="U8781" t="s">
        <v>40898</v>
      </c>
      <c r="W8781" t="s">
        <v>43760</v>
      </c>
      <c r="X8781" t="s">
        <v>32538</v>
      </c>
    </row>
    <row r="8782" spans="1:24">
      <c r="A8782">
        <f>HYPERLINK("https://www.philgeps.gov.ph/GEPSNONPILOT/Tender/SplashBidNoticeAbstractUI.aspx?menuIndex=3&amp;refID=7028145&amp;Result=3","7028145")</f>
        <v>0</v>
      </c>
      <c r="B8782" t="s">
        <v>2466</v>
      </c>
      <c r="C8782" t="s">
        <v>11076</v>
      </c>
      <c r="D8782" t="s">
        <v>12990</v>
      </c>
      <c r="E8782" t="s">
        <v>20752</v>
      </c>
      <c r="F8782" t="s">
        <v>22436</v>
      </c>
      <c r="G8782" t="s">
        <v>22444</v>
      </c>
      <c r="H8782" t="s">
        <v>22454</v>
      </c>
      <c r="I8782" t="s">
        <v>7738</v>
      </c>
      <c r="J8782" t="s">
        <v>23805</v>
      </c>
      <c r="K8782" t="s">
        <v>29512</v>
      </c>
      <c r="M8782" t="s">
        <v>32270</v>
      </c>
      <c r="N8782" t="s">
        <v>32524</v>
      </c>
      <c r="O8782" t="s">
        <v>32525</v>
      </c>
      <c r="P8782">
        <v>0</v>
      </c>
      <c r="Q8782">
        <v>1</v>
      </c>
      <c r="R8782" t="s">
        <v>32537</v>
      </c>
      <c r="S8782" t="s">
        <v>32828</v>
      </c>
      <c r="T8782" t="s">
        <v>33191</v>
      </c>
      <c r="U8782" t="s">
        <v>40899</v>
      </c>
      <c r="W8782" t="s">
        <v>32270</v>
      </c>
      <c r="X8782" t="s">
        <v>32538</v>
      </c>
    </row>
    <row r="8783" spans="1:24">
      <c r="A8783">
        <f>HYPERLINK("https://www.philgeps.gov.ph/GEPSNONPILOT/Tender/SplashBidNoticeAbstractUI.aspx?menuIndex=3&amp;refID=7028172&amp;Result=3","7028172")</f>
        <v>0</v>
      </c>
      <c r="B8783" t="s">
        <v>242</v>
      </c>
      <c r="C8783" t="s">
        <v>11077</v>
      </c>
      <c r="D8783" t="s">
        <v>13039</v>
      </c>
      <c r="E8783" t="s">
        <v>20753</v>
      </c>
      <c r="F8783" t="s">
        <v>22437</v>
      </c>
      <c r="G8783" t="s">
        <v>22444</v>
      </c>
      <c r="H8783" t="s">
        <v>22452</v>
      </c>
      <c r="I8783" t="s">
        <v>22471</v>
      </c>
      <c r="J8783" t="s">
        <v>22788</v>
      </c>
      <c r="K8783" t="s">
        <v>29335</v>
      </c>
      <c r="M8783" t="s">
        <v>29816</v>
      </c>
      <c r="N8783" t="s">
        <v>32524</v>
      </c>
      <c r="O8783" t="s">
        <v>32525</v>
      </c>
      <c r="P8783">
        <v>0</v>
      </c>
      <c r="Q8783">
        <v>0</v>
      </c>
      <c r="R8783" t="s">
        <v>32537</v>
      </c>
      <c r="S8783" t="s">
        <v>32828</v>
      </c>
      <c r="T8783" t="s">
        <v>33167</v>
      </c>
      <c r="U8783" t="s">
        <v>40900</v>
      </c>
      <c r="W8783" t="s">
        <v>29816</v>
      </c>
      <c r="X8783" t="s">
        <v>32538</v>
      </c>
    </row>
    <row r="8784" spans="1:24">
      <c r="A8784">
        <f>HYPERLINK("https://www.philgeps.gov.ph/GEPSNONPILOT/Tender/SplashBidNoticeAbstractUI.aspx?menuIndex=3&amp;refID=7028133&amp;Result=3","7028133")</f>
        <v>0</v>
      </c>
      <c r="B8784" t="s">
        <v>242</v>
      </c>
      <c r="C8784" t="s">
        <v>11078</v>
      </c>
      <c r="D8784" t="s">
        <v>13039</v>
      </c>
      <c r="E8784" t="s">
        <v>20754</v>
      </c>
      <c r="F8784" t="s">
        <v>22437</v>
      </c>
      <c r="G8784" t="s">
        <v>22444</v>
      </c>
      <c r="H8784" t="s">
        <v>22452</v>
      </c>
      <c r="I8784" t="s">
        <v>3529</v>
      </c>
      <c r="J8784" t="s">
        <v>28165</v>
      </c>
      <c r="K8784" t="s">
        <v>29333</v>
      </c>
      <c r="M8784" t="s">
        <v>29816</v>
      </c>
      <c r="N8784" t="s">
        <v>32524</v>
      </c>
      <c r="O8784" t="s">
        <v>32525</v>
      </c>
      <c r="P8784">
        <v>0</v>
      </c>
      <c r="Q8784">
        <v>0</v>
      </c>
      <c r="R8784" t="s">
        <v>32537</v>
      </c>
      <c r="S8784" t="s">
        <v>32828</v>
      </c>
      <c r="T8784" t="s">
        <v>33167</v>
      </c>
      <c r="U8784" t="s">
        <v>40901</v>
      </c>
      <c r="W8784" t="s">
        <v>29816</v>
      </c>
      <c r="X8784" t="s">
        <v>32538</v>
      </c>
    </row>
    <row r="8785" spans="1:24">
      <c r="A8785">
        <f>HYPERLINK("https://www.philgeps.gov.ph/GEPSNONPILOT/Tender/SplashBidNoticeAbstractUI.aspx?menuIndex=3&amp;refID=7028204&amp;Result=3","7028204")</f>
        <v>0</v>
      </c>
      <c r="B8785" t="s">
        <v>1372</v>
      </c>
      <c r="C8785" t="s">
        <v>11079</v>
      </c>
      <c r="D8785" t="s">
        <v>12988</v>
      </c>
      <c r="E8785" t="s">
        <v>20755</v>
      </c>
      <c r="F8785" t="s">
        <v>22436</v>
      </c>
      <c r="G8785" t="s">
        <v>22447</v>
      </c>
      <c r="H8785" t="s">
        <v>22452</v>
      </c>
      <c r="I8785" t="s">
        <v>5194</v>
      </c>
      <c r="J8785" t="s">
        <v>28166</v>
      </c>
      <c r="K8785" t="s">
        <v>29329</v>
      </c>
      <c r="M8785" t="s">
        <v>31028</v>
      </c>
      <c r="N8785" t="s">
        <v>32524</v>
      </c>
      <c r="O8785" t="s">
        <v>32525</v>
      </c>
      <c r="P8785">
        <v>0</v>
      </c>
      <c r="Q8785">
        <v>14</v>
      </c>
      <c r="R8785" t="s">
        <v>32537</v>
      </c>
      <c r="S8785" t="s">
        <v>32828</v>
      </c>
      <c r="T8785" t="s">
        <v>33358</v>
      </c>
      <c r="U8785" t="s">
        <v>40902</v>
      </c>
      <c r="W8785" t="s">
        <v>31028</v>
      </c>
      <c r="X8785" t="s">
        <v>32538</v>
      </c>
    </row>
    <row r="8786" spans="1:24">
      <c r="A8786">
        <f>HYPERLINK("https://www.philgeps.gov.ph/GEPSNONPILOT/Tender/SplashBidNoticeAbstractUI.aspx?menuIndex=3&amp;refID=7028182&amp;Result=3","7028182")</f>
        <v>0</v>
      </c>
      <c r="B8786" t="s">
        <v>323</v>
      </c>
      <c r="C8786" t="s">
        <v>11080</v>
      </c>
      <c r="D8786" t="s">
        <v>13013</v>
      </c>
      <c r="E8786" t="s">
        <v>20756</v>
      </c>
      <c r="F8786" t="s">
        <v>22436</v>
      </c>
      <c r="G8786" t="s">
        <v>22444</v>
      </c>
      <c r="H8786" t="s">
        <v>22452</v>
      </c>
      <c r="I8786" t="s">
        <v>3027</v>
      </c>
      <c r="J8786" t="s">
        <v>28167</v>
      </c>
      <c r="K8786" t="s">
        <v>29341</v>
      </c>
      <c r="M8786" t="s">
        <v>29899</v>
      </c>
      <c r="N8786" t="s">
        <v>32524</v>
      </c>
      <c r="O8786" t="s">
        <v>32525</v>
      </c>
      <c r="P8786">
        <v>0</v>
      </c>
      <c r="Q8786">
        <v>0</v>
      </c>
      <c r="R8786" t="s">
        <v>32537</v>
      </c>
      <c r="S8786" t="s">
        <v>32828</v>
      </c>
      <c r="T8786" t="s">
        <v>33323</v>
      </c>
      <c r="U8786" t="s">
        <v>40903</v>
      </c>
      <c r="W8786" t="s">
        <v>29899</v>
      </c>
      <c r="X8786" t="s">
        <v>32538</v>
      </c>
    </row>
    <row r="8787" spans="1:24">
      <c r="A8787">
        <f>HYPERLINK("https://www.philgeps.gov.ph/GEPSNONPILOT/Tender/SplashBidNoticeAbstractUI.aspx?menuIndex=3&amp;refID=7028121&amp;Result=3","7028121")</f>
        <v>0</v>
      </c>
      <c r="B8787" t="s">
        <v>479</v>
      </c>
      <c r="C8787" t="s">
        <v>11081</v>
      </c>
      <c r="D8787" t="s">
        <v>13008</v>
      </c>
      <c r="E8787" t="s">
        <v>20757</v>
      </c>
      <c r="F8787" t="s">
        <v>22436</v>
      </c>
      <c r="G8787" t="s">
        <v>22444</v>
      </c>
      <c r="H8787" t="s">
        <v>22454</v>
      </c>
      <c r="I8787" t="s">
        <v>7738</v>
      </c>
      <c r="J8787" t="s">
        <v>22779</v>
      </c>
      <c r="K8787" t="s">
        <v>29438</v>
      </c>
      <c r="M8787" t="s">
        <v>30063</v>
      </c>
      <c r="N8787" t="s">
        <v>32524</v>
      </c>
      <c r="O8787" t="s">
        <v>32525</v>
      </c>
      <c r="P8787">
        <v>0</v>
      </c>
      <c r="Q8787">
        <v>0</v>
      </c>
      <c r="R8787" t="s">
        <v>32537</v>
      </c>
      <c r="S8787" t="s">
        <v>32828</v>
      </c>
      <c r="T8787" t="s">
        <v>33259</v>
      </c>
      <c r="U8787" t="s">
        <v>40904</v>
      </c>
      <c r="W8787" t="s">
        <v>30063</v>
      </c>
      <c r="X8787" t="s">
        <v>32538</v>
      </c>
    </row>
    <row r="8788" spans="1:24">
      <c r="A8788">
        <f>HYPERLINK("https://www.philgeps.gov.ph/GEPSNONPILOT/Tender/SplashBidNoticeAbstractUI.aspx?menuIndex=3&amp;refID=7028261&amp;Result=3","7028261")</f>
        <v>0</v>
      </c>
      <c r="B8788" t="s">
        <v>1806</v>
      </c>
      <c r="C8788" t="s">
        <v>11082</v>
      </c>
      <c r="D8788" t="s">
        <v>13007</v>
      </c>
      <c r="E8788" t="s">
        <v>20758</v>
      </c>
      <c r="F8788" t="s">
        <v>22436</v>
      </c>
      <c r="G8788" t="s">
        <v>22444</v>
      </c>
      <c r="H8788" t="s">
        <v>22454</v>
      </c>
      <c r="I8788" t="s">
        <v>7738</v>
      </c>
      <c r="J8788" t="s">
        <v>28155</v>
      </c>
      <c r="K8788" t="s">
        <v>29527</v>
      </c>
      <c r="M8788" t="s">
        <v>31519</v>
      </c>
      <c r="N8788" t="s">
        <v>32524</v>
      </c>
      <c r="O8788" t="s">
        <v>32525</v>
      </c>
      <c r="P8788">
        <v>0</v>
      </c>
      <c r="Q8788">
        <v>5</v>
      </c>
      <c r="R8788" t="s">
        <v>32537</v>
      </c>
      <c r="S8788" t="s">
        <v>32828</v>
      </c>
      <c r="T8788" t="s">
        <v>33249</v>
      </c>
      <c r="U8788" t="s">
        <v>40905</v>
      </c>
      <c r="W8788" t="s">
        <v>31519</v>
      </c>
      <c r="X8788" t="s">
        <v>32538</v>
      </c>
    </row>
    <row r="8789" spans="1:24">
      <c r="A8789">
        <f>HYPERLINK("https://www.philgeps.gov.ph/GEPSNONPILOT/Tender/SplashBidNoticeAbstractUI.aspx?menuIndex=3&amp;refID=7028128&amp;Result=3","7028128")</f>
        <v>0</v>
      </c>
      <c r="B8789" t="s">
        <v>1338</v>
      </c>
      <c r="C8789" t="s">
        <v>11083</v>
      </c>
      <c r="D8789" t="s">
        <v>13046</v>
      </c>
      <c r="E8789" t="s">
        <v>20759</v>
      </c>
      <c r="F8789" t="s">
        <v>22436</v>
      </c>
      <c r="G8789" t="s">
        <v>22444</v>
      </c>
      <c r="H8789" t="s">
        <v>22454</v>
      </c>
      <c r="I8789" t="s">
        <v>7738</v>
      </c>
      <c r="J8789" t="s">
        <v>24103</v>
      </c>
      <c r="K8789" t="s">
        <v>29344</v>
      </c>
      <c r="M8789" t="s">
        <v>31153</v>
      </c>
      <c r="N8789" t="s">
        <v>32524</v>
      </c>
      <c r="O8789" t="s">
        <v>32525</v>
      </c>
      <c r="P8789">
        <v>0</v>
      </c>
      <c r="Q8789">
        <v>0</v>
      </c>
      <c r="R8789" t="s">
        <v>32537</v>
      </c>
      <c r="S8789" t="s">
        <v>32828</v>
      </c>
      <c r="T8789" t="s">
        <v>33187</v>
      </c>
      <c r="U8789" t="s">
        <v>40906</v>
      </c>
      <c r="V8789" t="s">
        <v>38851</v>
      </c>
      <c r="W8789" t="s">
        <v>31153</v>
      </c>
      <c r="X8789" t="s">
        <v>32538</v>
      </c>
    </row>
    <row r="8790" spans="1:24">
      <c r="A8790">
        <f>HYPERLINK("https://www.philgeps.gov.ph/GEPSNONPILOT/Tender/SplashBidNoticeAbstractUI.aspx?menuIndex=3&amp;refID=7028089&amp;Result=3","7028089")</f>
        <v>0</v>
      </c>
      <c r="B8790" t="s">
        <v>2463</v>
      </c>
      <c r="C8790" t="s">
        <v>11084</v>
      </c>
      <c r="D8790" t="s">
        <v>13026</v>
      </c>
      <c r="E8790" t="s">
        <v>20760</v>
      </c>
      <c r="F8790" t="s">
        <v>22436</v>
      </c>
      <c r="G8790" t="s">
        <v>22444</v>
      </c>
      <c r="H8790" t="s">
        <v>22454</v>
      </c>
      <c r="I8790" t="s">
        <v>7738</v>
      </c>
      <c r="J8790" t="s">
        <v>28168</v>
      </c>
      <c r="K8790" t="s">
        <v>29450</v>
      </c>
      <c r="M8790" t="s">
        <v>32267</v>
      </c>
      <c r="N8790" t="s">
        <v>32524</v>
      </c>
      <c r="O8790" t="s">
        <v>32525</v>
      </c>
      <c r="P8790">
        <v>0</v>
      </c>
      <c r="Q8790">
        <v>5</v>
      </c>
      <c r="R8790" t="s">
        <v>32537</v>
      </c>
      <c r="S8790" t="s">
        <v>32828</v>
      </c>
      <c r="T8790" t="s">
        <v>33190</v>
      </c>
      <c r="U8790" t="s">
        <v>40907</v>
      </c>
      <c r="W8790" t="s">
        <v>32267</v>
      </c>
      <c r="X8790" t="s">
        <v>32538</v>
      </c>
    </row>
    <row r="8791" spans="1:24">
      <c r="A8791">
        <f>HYPERLINK("https://www.philgeps.gov.ph/GEPSNONPILOT/Tender/SplashBidNoticeAbstractUI.aspx?menuIndex=3&amp;refID=7028212&amp;Result=3","7028212")</f>
        <v>0</v>
      </c>
      <c r="B8791" t="s">
        <v>1806</v>
      </c>
      <c r="C8791" t="s">
        <v>11085</v>
      </c>
      <c r="D8791" t="s">
        <v>13007</v>
      </c>
      <c r="E8791" t="s">
        <v>20761</v>
      </c>
      <c r="F8791" t="s">
        <v>22436</v>
      </c>
      <c r="G8791" t="s">
        <v>22444</v>
      </c>
      <c r="H8791" t="s">
        <v>22454</v>
      </c>
      <c r="I8791" t="s">
        <v>7738</v>
      </c>
      <c r="J8791" t="s">
        <v>28169</v>
      </c>
      <c r="K8791" t="s">
        <v>29449</v>
      </c>
      <c r="M8791" t="s">
        <v>31519</v>
      </c>
      <c r="N8791" t="s">
        <v>32524</v>
      </c>
      <c r="O8791" t="s">
        <v>32525</v>
      </c>
      <c r="P8791">
        <v>0</v>
      </c>
      <c r="Q8791">
        <v>7</v>
      </c>
      <c r="R8791" t="s">
        <v>32537</v>
      </c>
      <c r="S8791" t="s">
        <v>32828</v>
      </c>
      <c r="T8791" t="s">
        <v>33249</v>
      </c>
      <c r="U8791" t="s">
        <v>40908</v>
      </c>
      <c r="W8791" t="s">
        <v>31519</v>
      </c>
      <c r="X8791" t="s">
        <v>32538</v>
      </c>
    </row>
    <row r="8792" spans="1:24">
      <c r="A8792">
        <f>HYPERLINK("https://www.philgeps.gov.ph/GEPSNONPILOT/Tender/SplashBidNoticeAbstractUI.aspx?menuIndex=3&amp;refID=7028210&amp;Result=3","7028210")</f>
        <v>0</v>
      </c>
      <c r="B8792" t="s">
        <v>323</v>
      </c>
      <c r="C8792" t="s">
        <v>11086</v>
      </c>
      <c r="D8792" t="s">
        <v>13013</v>
      </c>
      <c r="E8792" t="s">
        <v>20762</v>
      </c>
      <c r="F8792" t="s">
        <v>22436</v>
      </c>
      <c r="G8792" t="s">
        <v>22444</v>
      </c>
      <c r="H8792" t="s">
        <v>22452</v>
      </c>
      <c r="I8792" t="s">
        <v>22461</v>
      </c>
      <c r="J8792" t="s">
        <v>22788</v>
      </c>
      <c r="K8792" t="s">
        <v>29341</v>
      </c>
      <c r="M8792" t="s">
        <v>29899</v>
      </c>
      <c r="N8792" t="s">
        <v>32524</v>
      </c>
      <c r="O8792" t="s">
        <v>32525</v>
      </c>
      <c r="P8792">
        <v>0</v>
      </c>
      <c r="Q8792">
        <v>2</v>
      </c>
      <c r="R8792" t="s">
        <v>32537</v>
      </c>
      <c r="S8792" t="s">
        <v>32828</v>
      </c>
      <c r="T8792" t="s">
        <v>33323</v>
      </c>
      <c r="U8792" t="s">
        <v>40909</v>
      </c>
      <c r="W8792" t="s">
        <v>29899</v>
      </c>
      <c r="X8792" t="s">
        <v>32538</v>
      </c>
    </row>
    <row r="8793" spans="1:24">
      <c r="A8793">
        <f>HYPERLINK("https://www.philgeps.gov.ph/GEPSNONPILOT/Tender/SplashBidNoticeAbstractUI.aspx?menuIndex=3&amp;refID=7028237&amp;Result=3","7028237")</f>
        <v>0</v>
      </c>
      <c r="B8793" t="s">
        <v>268</v>
      </c>
      <c r="C8793" t="s">
        <v>11087</v>
      </c>
      <c r="D8793" t="s">
        <v>13015</v>
      </c>
      <c r="E8793" t="s">
        <v>13416</v>
      </c>
      <c r="F8793" t="s">
        <v>22441</v>
      </c>
      <c r="G8793" t="s">
        <v>22444</v>
      </c>
      <c r="H8793" t="s">
        <v>22452</v>
      </c>
      <c r="I8793" t="s">
        <v>22460</v>
      </c>
      <c r="J8793" t="s">
        <v>23036</v>
      </c>
      <c r="K8793" t="s">
        <v>29336</v>
      </c>
      <c r="M8793" t="s">
        <v>29842</v>
      </c>
      <c r="N8793" t="s">
        <v>32524</v>
      </c>
      <c r="O8793" t="s">
        <v>32525</v>
      </c>
      <c r="P8793">
        <v>0</v>
      </c>
      <c r="Q8793">
        <v>0</v>
      </c>
      <c r="R8793" t="s">
        <v>32537</v>
      </c>
      <c r="S8793" t="s">
        <v>32828</v>
      </c>
      <c r="T8793" t="s">
        <v>33187</v>
      </c>
      <c r="U8793" t="s">
        <v>40910</v>
      </c>
      <c r="W8793" t="s">
        <v>29842</v>
      </c>
      <c r="X8793" t="s">
        <v>32538</v>
      </c>
    </row>
    <row r="8794" spans="1:24">
      <c r="A8794">
        <f>HYPERLINK("https://www.philgeps.gov.ph/GEPSNONPILOT/Tender/SplashBidNoticeAbstractUI.aspx?menuIndex=3&amp;refID=7028233&amp;Result=3","7028233")</f>
        <v>0</v>
      </c>
      <c r="B8794" t="s">
        <v>323</v>
      </c>
      <c r="C8794" t="s">
        <v>11088</v>
      </c>
      <c r="D8794" t="s">
        <v>13013</v>
      </c>
      <c r="E8794" t="s">
        <v>20763</v>
      </c>
      <c r="F8794" t="s">
        <v>22436</v>
      </c>
      <c r="G8794" t="s">
        <v>22444</v>
      </c>
      <c r="H8794" t="s">
        <v>22452</v>
      </c>
      <c r="I8794" t="s">
        <v>22483</v>
      </c>
      <c r="J8794" t="s">
        <v>28170</v>
      </c>
      <c r="K8794" t="s">
        <v>29341</v>
      </c>
      <c r="M8794" t="s">
        <v>29899</v>
      </c>
      <c r="N8794" t="s">
        <v>32524</v>
      </c>
      <c r="O8794" t="s">
        <v>32525</v>
      </c>
      <c r="P8794">
        <v>0</v>
      </c>
      <c r="Q8794">
        <v>2</v>
      </c>
      <c r="R8794" t="s">
        <v>32537</v>
      </c>
      <c r="S8794" t="s">
        <v>32828</v>
      </c>
      <c r="T8794" t="s">
        <v>33323</v>
      </c>
      <c r="U8794" t="s">
        <v>40911</v>
      </c>
      <c r="W8794" t="s">
        <v>29899</v>
      </c>
      <c r="X8794" t="s">
        <v>32538</v>
      </c>
    </row>
    <row r="8795" spans="1:24">
      <c r="A8795">
        <f>HYPERLINK("https://www.philgeps.gov.ph/GEPSNONPILOT/Tender/SplashBidNoticeAbstractUI.aspx?menuIndex=3&amp;refID=7028146&amp;Result=3","7028146")</f>
        <v>0</v>
      </c>
      <c r="B8795" t="s">
        <v>1377</v>
      </c>
      <c r="C8795" t="s">
        <v>11089</v>
      </c>
      <c r="E8795" t="s">
        <v>20764</v>
      </c>
      <c r="F8795" t="s">
        <v>22436</v>
      </c>
      <c r="G8795" t="s">
        <v>22444</v>
      </c>
      <c r="H8795" t="s">
        <v>22452</v>
      </c>
      <c r="I8795" t="s">
        <v>22469</v>
      </c>
      <c r="J8795" t="s">
        <v>24681</v>
      </c>
      <c r="K8795" t="s">
        <v>29338</v>
      </c>
      <c r="M8795" t="s">
        <v>31033</v>
      </c>
      <c r="N8795" t="s">
        <v>32524</v>
      </c>
      <c r="O8795" t="s">
        <v>32525</v>
      </c>
      <c r="Q8795">
        <v>8</v>
      </c>
      <c r="R8795" t="s">
        <v>32537</v>
      </c>
      <c r="S8795" t="s">
        <v>32837</v>
      </c>
      <c r="T8795" t="s">
        <v>33487</v>
      </c>
      <c r="U8795" t="s">
        <v>40912</v>
      </c>
      <c r="W8795" t="s">
        <v>43716</v>
      </c>
      <c r="X8795" t="s">
        <v>32538</v>
      </c>
    </row>
    <row r="8796" spans="1:24">
      <c r="A8796">
        <f>HYPERLINK("https://www.philgeps.gov.ph/GEPSNONPILOT/Tender/SplashBidNoticeAbstractUI.aspx?menuIndex=3&amp;refID=7028190&amp;Result=3","7028190")</f>
        <v>0</v>
      </c>
      <c r="B8796" t="s">
        <v>2059</v>
      </c>
      <c r="C8796" t="s">
        <v>11090</v>
      </c>
      <c r="D8796" t="s">
        <v>13039</v>
      </c>
      <c r="E8796" t="s">
        <v>20765</v>
      </c>
      <c r="F8796" t="s">
        <v>22436</v>
      </c>
      <c r="G8796" t="s">
        <v>22443</v>
      </c>
      <c r="H8796" t="s">
        <v>22452</v>
      </c>
      <c r="I8796" t="s">
        <v>22461</v>
      </c>
      <c r="J8796" t="s">
        <v>23215</v>
      </c>
      <c r="K8796" t="s">
        <v>29340</v>
      </c>
      <c r="M8796" t="s">
        <v>31801</v>
      </c>
      <c r="N8796" t="s">
        <v>32524</v>
      </c>
      <c r="O8796" t="s">
        <v>32525</v>
      </c>
      <c r="Q8796">
        <v>0</v>
      </c>
      <c r="R8796" t="s">
        <v>32537</v>
      </c>
      <c r="S8796" t="s">
        <v>32838</v>
      </c>
      <c r="T8796" t="s">
        <v>33169</v>
      </c>
      <c r="U8796" t="s">
        <v>40913</v>
      </c>
      <c r="W8796" t="s">
        <v>31801</v>
      </c>
      <c r="X8796" t="s">
        <v>32538</v>
      </c>
    </row>
    <row r="8797" spans="1:24">
      <c r="A8797">
        <f>HYPERLINK("https://www.philgeps.gov.ph/GEPSNONPILOT/Tender/SplashBidNoticeAbstractUI.aspx?menuIndex=3&amp;refID=7028223&amp;Result=3","7028223")</f>
        <v>0</v>
      </c>
      <c r="B8797" t="s">
        <v>242</v>
      </c>
      <c r="C8797" t="s">
        <v>11091</v>
      </c>
      <c r="D8797" t="s">
        <v>13039</v>
      </c>
      <c r="E8797" t="s">
        <v>20766</v>
      </c>
      <c r="F8797" t="s">
        <v>22437</v>
      </c>
      <c r="G8797" t="s">
        <v>22444</v>
      </c>
      <c r="H8797" t="s">
        <v>22452</v>
      </c>
      <c r="I8797" t="s">
        <v>3529</v>
      </c>
      <c r="J8797" t="s">
        <v>22788</v>
      </c>
      <c r="K8797" t="s">
        <v>29334</v>
      </c>
      <c r="M8797" t="s">
        <v>29816</v>
      </c>
      <c r="N8797" t="s">
        <v>32524</v>
      </c>
      <c r="O8797" t="s">
        <v>32525</v>
      </c>
      <c r="P8797">
        <v>0</v>
      </c>
      <c r="Q8797">
        <v>0</v>
      </c>
      <c r="R8797" t="s">
        <v>32537</v>
      </c>
      <c r="S8797" t="s">
        <v>32828</v>
      </c>
      <c r="T8797" t="s">
        <v>33167</v>
      </c>
      <c r="U8797" t="s">
        <v>40914</v>
      </c>
      <c r="W8797" t="s">
        <v>29816</v>
      </c>
      <c r="X8797" t="s">
        <v>32538</v>
      </c>
    </row>
    <row r="8798" spans="1:24">
      <c r="A8798">
        <f>HYPERLINK("https://www.philgeps.gov.ph/GEPSNONPILOT/Tender/SplashBidNoticeAbstractUI.aspx?menuIndex=3&amp;refID=7028284&amp;Result=3","7028284")</f>
        <v>0</v>
      </c>
      <c r="B8798" t="s">
        <v>1806</v>
      </c>
      <c r="C8798" t="s">
        <v>11092</v>
      </c>
      <c r="D8798" t="s">
        <v>13007</v>
      </c>
      <c r="E8798" t="s">
        <v>20767</v>
      </c>
      <c r="F8798" t="s">
        <v>22436</v>
      </c>
      <c r="G8798" t="s">
        <v>22444</v>
      </c>
      <c r="H8798" t="s">
        <v>22454</v>
      </c>
      <c r="I8798" t="s">
        <v>7738</v>
      </c>
      <c r="J8798" t="s">
        <v>23604</v>
      </c>
      <c r="K8798" t="s">
        <v>29515</v>
      </c>
      <c r="M8798" t="s">
        <v>31519</v>
      </c>
      <c r="N8798" t="s">
        <v>32524</v>
      </c>
      <c r="O8798" t="s">
        <v>32525</v>
      </c>
      <c r="P8798">
        <v>0</v>
      </c>
      <c r="Q8798">
        <v>6</v>
      </c>
      <c r="R8798" t="s">
        <v>32537</v>
      </c>
      <c r="S8798" t="s">
        <v>32828</v>
      </c>
      <c r="T8798" t="s">
        <v>33249</v>
      </c>
      <c r="U8798" t="s">
        <v>40915</v>
      </c>
      <c r="W8798" t="s">
        <v>31519</v>
      </c>
      <c r="X8798" t="s">
        <v>32538</v>
      </c>
    </row>
    <row r="8799" spans="1:24">
      <c r="A8799">
        <f>HYPERLINK("https://www.philgeps.gov.ph/GEPSNONPILOT/Tender/SplashBidNoticeAbstractUI.aspx?menuIndex=3&amp;refID=7028394&amp;Result=3","7028394")</f>
        <v>0</v>
      </c>
      <c r="B8799" t="s">
        <v>1323</v>
      </c>
      <c r="C8799" t="s">
        <v>6188</v>
      </c>
      <c r="E8799" t="s">
        <v>20768</v>
      </c>
      <c r="F8799" t="s">
        <v>22436</v>
      </c>
      <c r="G8799" t="s">
        <v>22444</v>
      </c>
      <c r="H8799" t="s">
        <v>22453</v>
      </c>
      <c r="I8799" t="s">
        <v>22457</v>
      </c>
      <c r="J8799" t="s">
        <v>28171</v>
      </c>
      <c r="K8799" t="s">
        <v>29353</v>
      </c>
      <c r="M8799" t="s">
        <v>30978</v>
      </c>
      <c r="N8799" t="s">
        <v>32524</v>
      </c>
      <c r="O8799" t="s">
        <v>32525</v>
      </c>
      <c r="P8799">
        <v>0</v>
      </c>
      <c r="Q8799">
        <v>1</v>
      </c>
      <c r="R8799" t="s">
        <v>32537</v>
      </c>
      <c r="S8799" t="s">
        <v>32828</v>
      </c>
      <c r="T8799" t="s">
        <v>33422</v>
      </c>
      <c r="U8799" t="s">
        <v>36756</v>
      </c>
      <c r="W8799" t="s">
        <v>30978</v>
      </c>
      <c r="X8799" t="s">
        <v>32538</v>
      </c>
    </row>
    <row r="8800" spans="1:24">
      <c r="A8800">
        <f>HYPERLINK("https://www.philgeps.gov.ph/GEPSNONPILOT/Tender/SplashBidNoticeAbstractUI.aspx?menuIndex=3&amp;refID=7028376&amp;Result=3","7028376")</f>
        <v>0</v>
      </c>
      <c r="B8800" t="s">
        <v>98</v>
      </c>
      <c r="C8800" t="s">
        <v>11093</v>
      </c>
      <c r="D8800" t="s">
        <v>13011</v>
      </c>
      <c r="E8800" t="s">
        <v>20769</v>
      </c>
      <c r="F8800" t="s">
        <v>22436</v>
      </c>
      <c r="G8800" t="s">
        <v>22444</v>
      </c>
      <c r="H8800" t="s">
        <v>22454</v>
      </c>
      <c r="I8800" t="s">
        <v>6387</v>
      </c>
      <c r="J8800" t="s">
        <v>28172</v>
      </c>
      <c r="K8800" t="s">
        <v>29334</v>
      </c>
      <c r="M8800" t="s">
        <v>29670</v>
      </c>
      <c r="N8800" t="s">
        <v>32524</v>
      </c>
      <c r="O8800" t="s">
        <v>32525</v>
      </c>
      <c r="P8800">
        <v>0</v>
      </c>
      <c r="Q8800">
        <v>4</v>
      </c>
      <c r="R8800" t="s">
        <v>32537</v>
      </c>
      <c r="S8800" t="s">
        <v>32828</v>
      </c>
      <c r="T8800" t="s">
        <v>33211</v>
      </c>
      <c r="U8800" t="s">
        <v>34095</v>
      </c>
      <c r="W8800" t="s">
        <v>29670</v>
      </c>
      <c r="X8800" t="s">
        <v>32538</v>
      </c>
    </row>
    <row r="8801" spans="1:24">
      <c r="A8801">
        <f>HYPERLINK("https://www.philgeps.gov.ph/GEPSNONPILOT/Tender/SplashBidNoticeAbstractUI.aspx?menuIndex=3&amp;refID=7028362&amp;Result=3","7028362")</f>
        <v>0</v>
      </c>
      <c r="B8801" t="s">
        <v>323</v>
      </c>
      <c r="C8801" t="s">
        <v>11094</v>
      </c>
      <c r="D8801" t="s">
        <v>13013</v>
      </c>
      <c r="E8801" t="s">
        <v>20770</v>
      </c>
      <c r="F8801" t="s">
        <v>22436</v>
      </c>
      <c r="G8801" t="s">
        <v>22444</v>
      </c>
      <c r="H8801" t="s">
        <v>22452</v>
      </c>
      <c r="I8801" t="s">
        <v>22483</v>
      </c>
      <c r="J8801" t="s">
        <v>28173</v>
      </c>
      <c r="K8801" t="s">
        <v>29341</v>
      </c>
      <c r="M8801" t="s">
        <v>29899</v>
      </c>
      <c r="N8801" t="s">
        <v>32524</v>
      </c>
      <c r="O8801" t="s">
        <v>32525</v>
      </c>
      <c r="P8801">
        <v>0</v>
      </c>
      <c r="Q8801">
        <v>4</v>
      </c>
      <c r="R8801" t="s">
        <v>32537</v>
      </c>
      <c r="S8801" t="s">
        <v>32828</v>
      </c>
      <c r="T8801" t="s">
        <v>33197</v>
      </c>
      <c r="U8801" t="s">
        <v>40916</v>
      </c>
      <c r="W8801" t="s">
        <v>29899</v>
      </c>
      <c r="X8801" t="s">
        <v>32538</v>
      </c>
    </row>
    <row r="8802" spans="1:24">
      <c r="A8802">
        <f>HYPERLINK("https://www.philgeps.gov.ph/GEPSNONPILOT/Tender/SplashBidNoticeAbstractUI.aspx?menuIndex=3&amp;refID=7028271&amp;Result=3","7028271")</f>
        <v>0</v>
      </c>
      <c r="B8802" t="s">
        <v>242</v>
      </c>
      <c r="C8802" t="s">
        <v>11095</v>
      </c>
      <c r="D8802" t="s">
        <v>13039</v>
      </c>
      <c r="E8802" t="s">
        <v>20771</v>
      </c>
      <c r="F8802" t="s">
        <v>22437</v>
      </c>
      <c r="G8802" t="s">
        <v>22444</v>
      </c>
      <c r="H8802" t="s">
        <v>22452</v>
      </c>
      <c r="I8802" t="s">
        <v>3529</v>
      </c>
      <c r="J8802" t="s">
        <v>22788</v>
      </c>
      <c r="K8802" t="s">
        <v>29335</v>
      </c>
      <c r="M8802" t="s">
        <v>29816</v>
      </c>
      <c r="N8802" t="s">
        <v>32524</v>
      </c>
      <c r="O8802" t="s">
        <v>32525</v>
      </c>
      <c r="P8802">
        <v>0</v>
      </c>
      <c r="Q8802">
        <v>0</v>
      </c>
      <c r="R8802" t="s">
        <v>32537</v>
      </c>
      <c r="S8802" t="s">
        <v>32828</v>
      </c>
      <c r="T8802" t="s">
        <v>33167</v>
      </c>
      <c r="U8802" t="s">
        <v>40917</v>
      </c>
      <c r="W8802" t="s">
        <v>29816</v>
      </c>
      <c r="X8802" t="s">
        <v>32538</v>
      </c>
    </row>
    <row r="8803" spans="1:24">
      <c r="A8803">
        <f>HYPERLINK("https://www.philgeps.gov.ph/GEPSNONPILOT/Tender/SplashBidNoticeAbstractUI.aspx?menuIndex=3&amp;refID=7028361&amp;Result=3","7028361")</f>
        <v>0</v>
      </c>
      <c r="B8803" t="s">
        <v>1323</v>
      </c>
      <c r="C8803" t="s">
        <v>11096</v>
      </c>
      <c r="E8803" t="s">
        <v>20772</v>
      </c>
      <c r="F8803" t="s">
        <v>22436</v>
      </c>
      <c r="G8803" t="s">
        <v>22444</v>
      </c>
      <c r="H8803" t="s">
        <v>22455</v>
      </c>
      <c r="I8803" t="s">
        <v>22455</v>
      </c>
      <c r="J8803" t="s">
        <v>22587</v>
      </c>
      <c r="K8803" t="s">
        <v>29338</v>
      </c>
      <c r="M8803" t="s">
        <v>30978</v>
      </c>
      <c r="N8803" t="s">
        <v>32524</v>
      </c>
      <c r="O8803" t="s">
        <v>32525</v>
      </c>
      <c r="P8803">
        <v>0</v>
      </c>
      <c r="Q8803">
        <v>13</v>
      </c>
      <c r="R8803" t="s">
        <v>32537</v>
      </c>
      <c r="S8803" t="s">
        <v>32828</v>
      </c>
      <c r="T8803" t="s">
        <v>33422</v>
      </c>
      <c r="U8803" t="s">
        <v>40918</v>
      </c>
      <c r="W8803" t="s">
        <v>30978</v>
      </c>
      <c r="X8803" t="s">
        <v>32538</v>
      </c>
    </row>
    <row r="8804" spans="1:24">
      <c r="A8804">
        <f>HYPERLINK("https://www.philgeps.gov.ph/GEPSNONPILOT/Tender/SplashBidNoticeAbstractUI.aspx?menuIndex=3&amp;refID=7028393&amp;Result=3","7028393")</f>
        <v>0</v>
      </c>
      <c r="B8804" t="s">
        <v>2467</v>
      </c>
      <c r="C8804" t="s">
        <v>6451</v>
      </c>
      <c r="D8804" t="s">
        <v>13038</v>
      </c>
      <c r="E8804" t="s">
        <v>20773</v>
      </c>
      <c r="F8804" t="s">
        <v>22436</v>
      </c>
      <c r="G8804" t="s">
        <v>22444</v>
      </c>
      <c r="H8804" t="s">
        <v>22453</v>
      </c>
      <c r="I8804" t="s">
        <v>22457</v>
      </c>
      <c r="J8804" t="s">
        <v>23215</v>
      </c>
      <c r="K8804" t="s">
        <v>29340</v>
      </c>
      <c r="M8804" t="s">
        <v>32271</v>
      </c>
      <c r="N8804" t="s">
        <v>32524</v>
      </c>
      <c r="O8804" t="s">
        <v>32525</v>
      </c>
      <c r="Q8804">
        <v>1</v>
      </c>
      <c r="R8804" t="s">
        <v>32537</v>
      </c>
      <c r="S8804" t="s">
        <v>32839</v>
      </c>
      <c r="T8804" t="s">
        <v>33249</v>
      </c>
      <c r="U8804" t="s">
        <v>40919</v>
      </c>
      <c r="W8804" t="s">
        <v>32271</v>
      </c>
      <c r="X8804" t="s">
        <v>32538</v>
      </c>
    </row>
    <row r="8805" spans="1:24">
      <c r="A8805">
        <f>HYPERLINK("https://www.philgeps.gov.ph/GEPSNONPILOT/Tender/SplashBidNoticeAbstractUI.aspx?menuIndex=3&amp;refID=7028282&amp;Result=3","7028282")</f>
        <v>0</v>
      </c>
      <c r="B8805" t="s">
        <v>2468</v>
      </c>
      <c r="C8805" t="s">
        <v>11097</v>
      </c>
      <c r="D8805" t="s">
        <v>13022</v>
      </c>
      <c r="E8805" t="s">
        <v>20774</v>
      </c>
      <c r="F8805" t="s">
        <v>22436</v>
      </c>
      <c r="G8805" t="s">
        <v>22444</v>
      </c>
      <c r="H8805" t="s">
        <v>22452</v>
      </c>
      <c r="I8805" t="s">
        <v>22463</v>
      </c>
      <c r="J8805" t="s">
        <v>28174</v>
      </c>
      <c r="K8805" t="s">
        <v>29335</v>
      </c>
      <c r="M8805" t="s">
        <v>32272</v>
      </c>
      <c r="N8805" t="s">
        <v>32524</v>
      </c>
      <c r="O8805" t="s">
        <v>32525</v>
      </c>
      <c r="P8805">
        <v>0</v>
      </c>
      <c r="Q8805">
        <v>6</v>
      </c>
      <c r="R8805" t="s">
        <v>32537</v>
      </c>
      <c r="S8805" t="s">
        <v>32828</v>
      </c>
      <c r="T8805" t="s">
        <v>33216</v>
      </c>
      <c r="U8805" t="s">
        <v>40920</v>
      </c>
      <c r="W8805" t="s">
        <v>32272</v>
      </c>
      <c r="X8805" t="s">
        <v>32538</v>
      </c>
    </row>
    <row r="8806" spans="1:24">
      <c r="A8806">
        <f>HYPERLINK("https://www.philgeps.gov.ph/GEPSNONPILOT/Tender/SplashBidNoticeAbstractUI.aspx?menuIndex=3&amp;refID=7028385&amp;Result=3","7028385")</f>
        <v>0</v>
      </c>
      <c r="B8806" t="s">
        <v>154</v>
      </c>
      <c r="C8806" t="s">
        <v>11098</v>
      </c>
      <c r="D8806" t="s">
        <v>13029</v>
      </c>
      <c r="E8806" t="s">
        <v>20775</v>
      </c>
      <c r="F8806" t="s">
        <v>22436</v>
      </c>
      <c r="G8806" t="s">
        <v>22444</v>
      </c>
      <c r="H8806" t="s">
        <v>22454</v>
      </c>
      <c r="I8806" t="s">
        <v>7738</v>
      </c>
      <c r="J8806" t="s">
        <v>23762</v>
      </c>
      <c r="K8806" t="s">
        <v>29371</v>
      </c>
      <c r="M8806" t="s">
        <v>29726</v>
      </c>
      <c r="N8806" t="s">
        <v>32524</v>
      </c>
      <c r="O8806" t="s">
        <v>32525</v>
      </c>
      <c r="P8806">
        <v>0</v>
      </c>
      <c r="Q8806">
        <v>2</v>
      </c>
      <c r="R8806" t="s">
        <v>32537</v>
      </c>
      <c r="S8806" t="s">
        <v>32828</v>
      </c>
      <c r="T8806" t="s">
        <v>33181</v>
      </c>
      <c r="U8806" t="s">
        <v>40921</v>
      </c>
      <c r="W8806" t="s">
        <v>29726</v>
      </c>
      <c r="X8806" t="s">
        <v>32538</v>
      </c>
    </row>
    <row r="8807" spans="1:24">
      <c r="A8807">
        <f>HYPERLINK("https://www.philgeps.gov.ph/GEPSNONPILOT/Tender/SplashBidNoticeAbstractUI.aspx?menuIndex=3&amp;refID=7028312&amp;Result=3","7028312")</f>
        <v>0</v>
      </c>
      <c r="B8807" t="s">
        <v>2469</v>
      </c>
      <c r="C8807" t="s">
        <v>11099</v>
      </c>
      <c r="D8807" t="s">
        <v>13051</v>
      </c>
      <c r="E8807" t="s">
        <v>20776</v>
      </c>
      <c r="F8807" t="s">
        <v>22436</v>
      </c>
      <c r="G8807" t="s">
        <v>22444</v>
      </c>
      <c r="H8807" t="s">
        <v>22454</v>
      </c>
      <c r="I8807" t="s">
        <v>7738</v>
      </c>
      <c r="J8807" t="s">
        <v>23356</v>
      </c>
      <c r="K8807" t="s">
        <v>29335</v>
      </c>
      <c r="M8807" t="s">
        <v>32273</v>
      </c>
      <c r="N8807" t="s">
        <v>32524</v>
      </c>
      <c r="O8807" t="s">
        <v>32525</v>
      </c>
      <c r="P8807">
        <v>0</v>
      </c>
      <c r="Q8807">
        <v>0</v>
      </c>
      <c r="R8807" t="s">
        <v>32537</v>
      </c>
      <c r="S8807" t="s">
        <v>32828</v>
      </c>
      <c r="T8807" t="s">
        <v>33187</v>
      </c>
      <c r="U8807" t="s">
        <v>40922</v>
      </c>
      <c r="W8807" t="s">
        <v>32273</v>
      </c>
      <c r="X8807" t="s">
        <v>32538</v>
      </c>
    </row>
    <row r="8808" spans="1:24">
      <c r="A8808">
        <f>HYPERLINK("https://www.philgeps.gov.ph/GEPSNONPILOT/Tender/SplashBidNoticeAbstractUI.aspx?menuIndex=3&amp;refID=7028356&amp;Result=3","7028356")</f>
        <v>0</v>
      </c>
      <c r="B8808" t="s">
        <v>1954</v>
      </c>
      <c r="C8808" t="s">
        <v>11100</v>
      </c>
      <c r="D8808" t="s">
        <v>13037</v>
      </c>
      <c r="E8808" t="s">
        <v>13174</v>
      </c>
      <c r="F8808" t="s">
        <v>22436</v>
      </c>
      <c r="G8808" t="s">
        <v>22444</v>
      </c>
      <c r="H8808" t="s">
        <v>22452</v>
      </c>
      <c r="I8808" t="s">
        <v>22463</v>
      </c>
      <c r="J8808" t="s">
        <v>24753</v>
      </c>
      <c r="K8808" t="s">
        <v>29336</v>
      </c>
      <c r="M8808" t="s">
        <v>31684</v>
      </c>
      <c r="N8808" t="s">
        <v>32524</v>
      </c>
      <c r="O8808" t="s">
        <v>32525</v>
      </c>
      <c r="P8808">
        <v>0</v>
      </c>
      <c r="Q8808">
        <v>1</v>
      </c>
      <c r="R8808" t="s">
        <v>32537</v>
      </c>
      <c r="S8808" t="s">
        <v>32828</v>
      </c>
      <c r="T8808" t="s">
        <v>33178</v>
      </c>
      <c r="U8808" t="s">
        <v>40923</v>
      </c>
      <c r="W8808" t="s">
        <v>31684</v>
      </c>
      <c r="X8808" t="s">
        <v>32538</v>
      </c>
    </row>
    <row r="8809" spans="1:24">
      <c r="A8809">
        <f>HYPERLINK("https://www.philgeps.gov.ph/GEPSNONPILOT/Tender/SplashBidNoticeAbstractUI.aspx?menuIndex=3&amp;refID=7028323&amp;Result=3","7028323")</f>
        <v>0</v>
      </c>
      <c r="B8809" t="s">
        <v>2399</v>
      </c>
      <c r="C8809" t="s">
        <v>11101</v>
      </c>
      <c r="D8809" t="s">
        <v>13004</v>
      </c>
      <c r="E8809" t="s">
        <v>20777</v>
      </c>
      <c r="F8809" t="s">
        <v>22436</v>
      </c>
      <c r="G8809" t="s">
        <v>22444</v>
      </c>
      <c r="H8809" t="s">
        <v>22454</v>
      </c>
      <c r="I8809" t="s">
        <v>7738</v>
      </c>
      <c r="J8809" t="s">
        <v>28175</v>
      </c>
      <c r="K8809" t="s">
        <v>29350</v>
      </c>
      <c r="M8809" t="s">
        <v>32193</v>
      </c>
      <c r="N8809" t="s">
        <v>32524</v>
      </c>
      <c r="O8809" t="s">
        <v>32525</v>
      </c>
      <c r="P8809">
        <v>0</v>
      </c>
      <c r="Q8809">
        <v>0</v>
      </c>
      <c r="R8809" t="s">
        <v>32537</v>
      </c>
      <c r="S8809" t="s">
        <v>32828</v>
      </c>
      <c r="T8809" t="s">
        <v>33574</v>
      </c>
      <c r="U8809" t="s">
        <v>40580</v>
      </c>
      <c r="W8809" t="s">
        <v>32193</v>
      </c>
      <c r="X8809" t="s">
        <v>32538</v>
      </c>
    </row>
    <row r="8810" spans="1:24">
      <c r="A8810">
        <f>HYPERLINK("https://www.philgeps.gov.ph/GEPSNONPILOT/Tender/SplashBidNoticeAbstractUI.aspx?menuIndex=3&amp;refID=7028336&amp;Result=3","7028336")</f>
        <v>0</v>
      </c>
      <c r="B8810" t="s">
        <v>2140</v>
      </c>
      <c r="C8810" t="s">
        <v>11102</v>
      </c>
      <c r="E8810" t="s">
        <v>13874</v>
      </c>
      <c r="F8810" t="s">
        <v>22437</v>
      </c>
      <c r="G8810" t="s">
        <v>22444</v>
      </c>
      <c r="H8810" t="s">
        <v>22452</v>
      </c>
      <c r="I8810" t="s">
        <v>3358</v>
      </c>
      <c r="J8810" t="s">
        <v>28176</v>
      </c>
      <c r="K8810" t="s">
        <v>29334</v>
      </c>
      <c r="M8810" t="s">
        <v>31892</v>
      </c>
      <c r="N8810" t="s">
        <v>32524</v>
      </c>
      <c r="O8810" t="s">
        <v>32525</v>
      </c>
      <c r="P8810">
        <v>0</v>
      </c>
      <c r="Q8810">
        <v>0</v>
      </c>
      <c r="R8810" t="s">
        <v>32537</v>
      </c>
      <c r="S8810" t="s">
        <v>32828</v>
      </c>
      <c r="T8810" t="s">
        <v>33161</v>
      </c>
      <c r="U8810" t="s">
        <v>40924</v>
      </c>
      <c r="W8810" t="s">
        <v>31892</v>
      </c>
      <c r="X8810" t="s">
        <v>32538</v>
      </c>
    </row>
    <row r="8811" spans="1:24">
      <c r="A8811">
        <f>HYPERLINK("https://www.philgeps.gov.ph/GEPSNONPILOT/Tender/SplashBidNoticeAbstractUI.aspx?menuIndex=3&amp;refID=7028442&amp;Result=3","7028442")</f>
        <v>0</v>
      </c>
      <c r="B8811" t="s">
        <v>2470</v>
      </c>
      <c r="C8811" t="s">
        <v>11103</v>
      </c>
      <c r="D8811" t="s">
        <v>13016</v>
      </c>
      <c r="E8811" t="s">
        <v>13106</v>
      </c>
      <c r="F8811" t="s">
        <v>22436</v>
      </c>
      <c r="G8811" t="s">
        <v>22444</v>
      </c>
      <c r="H8811" t="s">
        <v>22452</v>
      </c>
      <c r="I8811" t="s">
        <v>22556</v>
      </c>
      <c r="J8811" t="s">
        <v>28177</v>
      </c>
      <c r="K8811" t="s">
        <v>29338</v>
      </c>
      <c r="M8811" t="s">
        <v>32274</v>
      </c>
      <c r="N8811" t="s">
        <v>32524</v>
      </c>
      <c r="O8811" t="s">
        <v>32525</v>
      </c>
      <c r="P8811">
        <v>0</v>
      </c>
      <c r="Q8811">
        <v>3</v>
      </c>
      <c r="R8811" t="s">
        <v>32537</v>
      </c>
      <c r="S8811" t="s">
        <v>32828</v>
      </c>
      <c r="T8811" t="s">
        <v>33155</v>
      </c>
      <c r="U8811" t="s">
        <v>40925</v>
      </c>
      <c r="V8811" t="s">
        <v>43405</v>
      </c>
      <c r="W8811" t="s">
        <v>32274</v>
      </c>
      <c r="X8811" t="s">
        <v>32538</v>
      </c>
    </row>
    <row r="8812" spans="1:24">
      <c r="A8812">
        <f>HYPERLINK("https://www.philgeps.gov.ph/GEPSNONPILOT/Tender/SplashBidNoticeAbstractUI.aspx?menuIndex=3&amp;refID=7028412&amp;Result=3","7028412")</f>
        <v>0</v>
      </c>
      <c r="B8812" t="s">
        <v>2327</v>
      </c>
      <c r="C8812" t="s">
        <v>11104</v>
      </c>
      <c r="D8812" t="s">
        <v>13054</v>
      </c>
      <c r="E8812" t="s">
        <v>20778</v>
      </c>
      <c r="F8812" t="s">
        <v>22436</v>
      </c>
      <c r="G8812" t="s">
        <v>22444</v>
      </c>
      <c r="H8812" t="s">
        <v>22454</v>
      </c>
      <c r="I8812" t="s">
        <v>7738</v>
      </c>
      <c r="J8812" t="s">
        <v>22911</v>
      </c>
      <c r="K8812" t="s">
        <v>29338</v>
      </c>
      <c r="M8812" t="s">
        <v>32104</v>
      </c>
      <c r="N8812" t="s">
        <v>32524</v>
      </c>
      <c r="O8812" t="s">
        <v>32525</v>
      </c>
      <c r="P8812">
        <v>0</v>
      </c>
      <c r="Q8812">
        <v>0</v>
      </c>
      <c r="R8812" t="s">
        <v>32537</v>
      </c>
      <c r="S8812" t="s">
        <v>32828</v>
      </c>
      <c r="T8812" t="s">
        <v>33211</v>
      </c>
      <c r="U8812" t="s">
        <v>40926</v>
      </c>
      <c r="V8812" t="s">
        <v>43406</v>
      </c>
      <c r="W8812" t="s">
        <v>32104</v>
      </c>
      <c r="X8812" t="s">
        <v>32538</v>
      </c>
    </row>
    <row r="8813" spans="1:24">
      <c r="A8813">
        <f>HYPERLINK("https://www.philgeps.gov.ph/GEPSNONPILOT/Tender/SplashBidNoticeAbstractUI.aspx?menuIndex=3&amp;refID=7028405&amp;Result=3","7028405")</f>
        <v>0</v>
      </c>
      <c r="B8813" t="s">
        <v>2399</v>
      </c>
      <c r="C8813" t="s">
        <v>11105</v>
      </c>
      <c r="D8813" t="s">
        <v>13004</v>
      </c>
      <c r="E8813" t="s">
        <v>20779</v>
      </c>
      <c r="F8813" t="s">
        <v>22436</v>
      </c>
      <c r="G8813" t="s">
        <v>22444</v>
      </c>
      <c r="H8813" t="s">
        <v>22454</v>
      </c>
      <c r="I8813" t="s">
        <v>7738</v>
      </c>
      <c r="J8813" t="s">
        <v>28178</v>
      </c>
      <c r="K8813" t="s">
        <v>29435</v>
      </c>
      <c r="M8813" t="s">
        <v>32193</v>
      </c>
      <c r="N8813" t="s">
        <v>32524</v>
      </c>
      <c r="O8813" t="s">
        <v>32525</v>
      </c>
      <c r="P8813">
        <v>0</v>
      </c>
      <c r="Q8813">
        <v>0</v>
      </c>
      <c r="R8813" t="s">
        <v>32537</v>
      </c>
      <c r="S8813" t="s">
        <v>32828</v>
      </c>
      <c r="T8813" t="s">
        <v>33574</v>
      </c>
      <c r="U8813" t="s">
        <v>40580</v>
      </c>
      <c r="W8813" t="s">
        <v>32193</v>
      </c>
      <c r="X8813" t="s">
        <v>32538</v>
      </c>
    </row>
    <row r="8814" spans="1:24">
      <c r="A8814">
        <f>HYPERLINK("https://www.philgeps.gov.ph/GEPSNONPILOT/Tender/SplashBidNoticeAbstractUI.aspx?menuIndex=3&amp;refID=7028419&amp;Result=3","7028419")</f>
        <v>0</v>
      </c>
      <c r="B8814" t="s">
        <v>2471</v>
      </c>
      <c r="C8814" t="s">
        <v>11106</v>
      </c>
      <c r="D8814" t="s">
        <v>12994</v>
      </c>
      <c r="E8814" t="s">
        <v>20780</v>
      </c>
      <c r="F8814" t="s">
        <v>22436</v>
      </c>
      <c r="G8814" t="s">
        <v>22444</v>
      </c>
      <c r="H8814" t="s">
        <v>22454</v>
      </c>
      <c r="I8814" t="s">
        <v>7738</v>
      </c>
      <c r="J8814" t="s">
        <v>28179</v>
      </c>
      <c r="K8814" t="s">
        <v>29338</v>
      </c>
      <c r="M8814" t="s">
        <v>32275</v>
      </c>
      <c r="N8814" t="s">
        <v>32524</v>
      </c>
      <c r="O8814" t="s">
        <v>32525</v>
      </c>
      <c r="Q8814">
        <v>4</v>
      </c>
      <c r="R8814" t="s">
        <v>32537</v>
      </c>
      <c r="S8814" t="s">
        <v>32840</v>
      </c>
      <c r="T8814" t="s">
        <v>33227</v>
      </c>
      <c r="U8814" t="s">
        <v>40927</v>
      </c>
      <c r="W8814" t="s">
        <v>32275</v>
      </c>
      <c r="X8814" t="s">
        <v>32538</v>
      </c>
    </row>
    <row r="8815" spans="1:24">
      <c r="A8815">
        <f>HYPERLINK("https://www.philgeps.gov.ph/GEPSNONPILOT/Tender/SplashBidNoticeAbstractUI.aspx?menuIndex=3&amp;refID=7028420&amp;Result=3","7028420")</f>
        <v>0</v>
      </c>
      <c r="B8815" t="s">
        <v>268</v>
      </c>
      <c r="C8815" t="s">
        <v>11107</v>
      </c>
      <c r="D8815" t="s">
        <v>13015</v>
      </c>
      <c r="E8815" t="s">
        <v>16006</v>
      </c>
      <c r="F8815" t="s">
        <v>22441</v>
      </c>
      <c r="G8815" t="s">
        <v>22444</v>
      </c>
      <c r="H8815" t="s">
        <v>22452</v>
      </c>
      <c r="I8815" t="s">
        <v>22460</v>
      </c>
      <c r="J8815" t="s">
        <v>28180</v>
      </c>
      <c r="K8815" t="s">
        <v>29336</v>
      </c>
      <c r="M8815" t="s">
        <v>29842</v>
      </c>
      <c r="N8815" t="s">
        <v>32524</v>
      </c>
      <c r="O8815" t="s">
        <v>32525</v>
      </c>
      <c r="P8815">
        <v>0</v>
      </c>
      <c r="Q8815">
        <v>0</v>
      </c>
      <c r="R8815" t="s">
        <v>32537</v>
      </c>
      <c r="S8815" t="s">
        <v>32828</v>
      </c>
      <c r="T8815" t="s">
        <v>33187</v>
      </c>
      <c r="U8815" t="s">
        <v>40928</v>
      </c>
      <c r="W8815" t="s">
        <v>29842</v>
      </c>
      <c r="X8815" t="s">
        <v>32538</v>
      </c>
    </row>
    <row r="8816" spans="1:24">
      <c r="A8816">
        <f>HYPERLINK("https://www.philgeps.gov.ph/GEPSNONPILOT/Tender/SplashBidNoticeAbstractUI.aspx?menuIndex=3&amp;refID=7028395&amp;Result=3","7028395")</f>
        <v>0</v>
      </c>
      <c r="B8816" t="s">
        <v>2471</v>
      </c>
      <c r="C8816" t="s">
        <v>11108</v>
      </c>
      <c r="D8816" t="s">
        <v>12994</v>
      </c>
      <c r="E8816" t="s">
        <v>20781</v>
      </c>
      <c r="F8816" t="s">
        <v>22436</v>
      </c>
      <c r="G8816" t="s">
        <v>22444</v>
      </c>
      <c r="H8816" t="s">
        <v>22454</v>
      </c>
      <c r="I8816" t="s">
        <v>7738</v>
      </c>
      <c r="J8816" t="s">
        <v>28181</v>
      </c>
      <c r="K8816" t="s">
        <v>29338</v>
      </c>
      <c r="M8816" t="s">
        <v>32275</v>
      </c>
      <c r="N8816" t="s">
        <v>32524</v>
      </c>
      <c r="O8816" t="s">
        <v>32525</v>
      </c>
      <c r="P8816">
        <v>0</v>
      </c>
      <c r="Q8816">
        <v>3</v>
      </c>
      <c r="R8816" t="s">
        <v>32537</v>
      </c>
      <c r="S8816" t="s">
        <v>32828</v>
      </c>
      <c r="T8816" t="s">
        <v>33227</v>
      </c>
      <c r="U8816" t="s">
        <v>40927</v>
      </c>
      <c r="W8816" t="s">
        <v>32275</v>
      </c>
      <c r="X8816" t="s">
        <v>32538</v>
      </c>
    </row>
    <row r="8817" spans="1:24">
      <c r="A8817">
        <f>HYPERLINK("https://www.philgeps.gov.ph/GEPSNONPILOT/Tender/SplashBidNoticeAbstractUI.aspx?menuIndex=3&amp;refID=7028327&amp;Result=3","7028327")</f>
        <v>0</v>
      </c>
      <c r="B8817" t="s">
        <v>323</v>
      </c>
      <c r="C8817" t="s">
        <v>11109</v>
      </c>
      <c r="D8817" t="s">
        <v>13013</v>
      </c>
      <c r="E8817" t="s">
        <v>20782</v>
      </c>
      <c r="F8817" t="s">
        <v>22436</v>
      </c>
      <c r="G8817" t="s">
        <v>22444</v>
      </c>
      <c r="H8817" t="s">
        <v>22452</v>
      </c>
      <c r="I8817" t="s">
        <v>3027</v>
      </c>
      <c r="J8817" t="s">
        <v>28182</v>
      </c>
      <c r="K8817" t="s">
        <v>29341</v>
      </c>
      <c r="M8817" t="s">
        <v>29899</v>
      </c>
      <c r="N8817" t="s">
        <v>32524</v>
      </c>
      <c r="O8817" t="s">
        <v>32525</v>
      </c>
      <c r="P8817">
        <v>0</v>
      </c>
      <c r="Q8817">
        <v>0</v>
      </c>
      <c r="R8817" t="s">
        <v>32537</v>
      </c>
      <c r="S8817" t="s">
        <v>32828</v>
      </c>
      <c r="T8817" t="s">
        <v>33197</v>
      </c>
      <c r="U8817" t="s">
        <v>40929</v>
      </c>
      <c r="W8817" t="s">
        <v>29899</v>
      </c>
      <c r="X8817" t="s">
        <v>32538</v>
      </c>
    </row>
    <row r="8818" spans="1:24">
      <c r="A8818">
        <f>HYPERLINK("https://www.philgeps.gov.ph/GEPSNONPILOT/Tender/SplashBidNoticeAbstractUI.aspx?menuIndex=3&amp;refID=7028449&amp;Result=3","7028449")</f>
        <v>0</v>
      </c>
      <c r="B8818" t="s">
        <v>323</v>
      </c>
      <c r="C8818" t="s">
        <v>11110</v>
      </c>
      <c r="D8818" t="s">
        <v>13013</v>
      </c>
      <c r="E8818" t="s">
        <v>20783</v>
      </c>
      <c r="F8818" t="s">
        <v>22436</v>
      </c>
      <c r="G8818" t="s">
        <v>22444</v>
      </c>
      <c r="H8818" t="s">
        <v>22452</v>
      </c>
      <c r="I8818" t="s">
        <v>3027</v>
      </c>
      <c r="J8818" t="s">
        <v>28183</v>
      </c>
      <c r="K8818" t="s">
        <v>29341</v>
      </c>
      <c r="M8818" t="s">
        <v>29899</v>
      </c>
      <c r="N8818" t="s">
        <v>32524</v>
      </c>
      <c r="O8818" t="s">
        <v>32525</v>
      </c>
      <c r="P8818">
        <v>0</v>
      </c>
      <c r="Q8818">
        <v>1</v>
      </c>
      <c r="R8818" t="s">
        <v>32537</v>
      </c>
      <c r="S8818" t="s">
        <v>32828</v>
      </c>
      <c r="T8818" t="s">
        <v>33180</v>
      </c>
      <c r="U8818" t="s">
        <v>40930</v>
      </c>
      <c r="W8818" t="s">
        <v>29899</v>
      </c>
      <c r="X8818" t="s">
        <v>32538</v>
      </c>
    </row>
    <row r="8819" spans="1:24">
      <c r="A8819">
        <f>HYPERLINK("https://www.philgeps.gov.ph/GEPSNONPILOT/Tender/SplashBidNoticeAbstractUI.aspx?menuIndex=3&amp;refID=7028526&amp;Result=3","7028526")</f>
        <v>0</v>
      </c>
      <c r="B8819" t="s">
        <v>2257</v>
      </c>
      <c r="C8819" t="s">
        <v>11111</v>
      </c>
      <c r="D8819" t="s">
        <v>13006</v>
      </c>
      <c r="E8819" t="s">
        <v>19628</v>
      </c>
      <c r="F8819" t="s">
        <v>22436</v>
      </c>
      <c r="G8819" t="s">
        <v>22444</v>
      </c>
      <c r="H8819" t="s">
        <v>22452</v>
      </c>
      <c r="I8819" t="s">
        <v>22488</v>
      </c>
      <c r="J8819" t="s">
        <v>28184</v>
      </c>
      <c r="K8819" t="s">
        <v>29335</v>
      </c>
      <c r="M8819" t="s">
        <v>32025</v>
      </c>
      <c r="N8819" t="s">
        <v>32524</v>
      </c>
      <c r="O8819" t="s">
        <v>32525</v>
      </c>
      <c r="P8819">
        <v>0</v>
      </c>
      <c r="Q8819">
        <v>1</v>
      </c>
      <c r="R8819" t="s">
        <v>32537</v>
      </c>
      <c r="S8819" t="s">
        <v>32828</v>
      </c>
      <c r="T8819" t="s">
        <v>33581</v>
      </c>
      <c r="U8819" t="s">
        <v>40931</v>
      </c>
      <c r="V8819" t="s">
        <v>43238</v>
      </c>
      <c r="W8819" t="s">
        <v>32025</v>
      </c>
      <c r="X8819" t="s">
        <v>32538</v>
      </c>
    </row>
    <row r="8820" spans="1:24">
      <c r="A8820">
        <f>HYPERLINK("https://www.philgeps.gov.ph/GEPSNONPILOT/Tender/SplashBidNoticeAbstractUI.aspx?menuIndex=3&amp;refID=7028445&amp;Result=3","7028445")</f>
        <v>0</v>
      </c>
      <c r="B8820" t="s">
        <v>1954</v>
      </c>
      <c r="C8820" t="s">
        <v>11112</v>
      </c>
      <c r="D8820" t="s">
        <v>13037</v>
      </c>
      <c r="E8820" t="s">
        <v>13178</v>
      </c>
      <c r="F8820" t="s">
        <v>22436</v>
      </c>
      <c r="G8820" t="s">
        <v>22444</v>
      </c>
      <c r="H8820" t="s">
        <v>22452</v>
      </c>
      <c r="I8820" t="s">
        <v>22463</v>
      </c>
      <c r="J8820" t="s">
        <v>28185</v>
      </c>
      <c r="K8820" t="s">
        <v>29336</v>
      </c>
      <c r="M8820" t="s">
        <v>31684</v>
      </c>
      <c r="N8820" t="s">
        <v>32524</v>
      </c>
      <c r="O8820" t="s">
        <v>32525</v>
      </c>
      <c r="P8820">
        <v>0</v>
      </c>
      <c r="Q8820">
        <v>0</v>
      </c>
      <c r="R8820" t="s">
        <v>32537</v>
      </c>
      <c r="S8820" t="s">
        <v>32828</v>
      </c>
      <c r="T8820" t="s">
        <v>33197</v>
      </c>
      <c r="U8820" t="s">
        <v>40932</v>
      </c>
      <c r="W8820" t="s">
        <v>31684</v>
      </c>
      <c r="X8820" t="s">
        <v>32538</v>
      </c>
    </row>
    <row r="8821" spans="1:24">
      <c r="A8821">
        <f>HYPERLINK("https://www.philgeps.gov.ph/GEPSNONPILOT/Tender/SplashBidNoticeAbstractUI.aspx?menuIndex=3&amp;refID=7028482&amp;Result=3","7028482")</f>
        <v>0</v>
      </c>
      <c r="B8821" t="s">
        <v>799</v>
      </c>
      <c r="C8821" t="s">
        <v>11113</v>
      </c>
      <c r="D8821" t="s">
        <v>13072</v>
      </c>
      <c r="E8821" t="s">
        <v>20784</v>
      </c>
      <c r="F8821" t="s">
        <v>22436</v>
      </c>
      <c r="G8821" t="s">
        <v>22446</v>
      </c>
      <c r="H8821" t="s">
        <v>22452</v>
      </c>
      <c r="I8821" t="s">
        <v>22465</v>
      </c>
      <c r="J8821" t="s">
        <v>28186</v>
      </c>
      <c r="K8821" t="s">
        <v>29338</v>
      </c>
      <c r="M8821" t="s">
        <v>31124</v>
      </c>
      <c r="N8821" t="s">
        <v>32524</v>
      </c>
      <c r="O8821" t="s">
        <v>32525</v>
      </c>
      <c r="P8821">
        <v>0</v>
      </c>
      <c r="Q8821">
        <v>4</v>
      </c>
      <c r="R8821" t="s">
        <v>32537</v>
      </c>
      <c r="S8821" t="s">
        <v>32828</v>
      </c>
      <c r="T8821" t="s">
        <v>33323</v>
      </c>
      <c r="U8821" t="s">
        <v>40933</v>
      </c>
      <c r="W8821" t="s">
        <v>31124</v>
      </c>
      <c r="X8821" t="s">
        <v>32538</v>
      </c>
    </row>
    <row r="8822" spans="1:24">
      <c r="A8822">
        <f>HYPERLINK("https://www.philgeps.gov.ph/GEPSNONPILOT/Tender/SplashBidNoticeAbstractUI.aspx?menuIndex=3&amp;refID=7028443&amp;Result=3","7028443")</f>
        <v>0</v>
      </c>
      <c r="B8822" t="s">
        <v>2446</v>
      </c>
      <c r="C8822" t="s">
        <v>11114</v>
      </c>
      <c r="D8822" t="s">
        <v>13060</v>
      </c>
      <c r="E8822" t="s">
        <v>20785</v>
      </c>
      <c r="F8822" t="s">
        <v>22436</v>
      </c>
      <c r="G8822" t="s">
        <v>22444</v>
      </c>
      <c r="H8822" t="s">
        <v>22454</v>
      </c>
      <c r="I8822" t="s">
        <v>7738</v>
      </c>
      <c r="J8822" t="s">
        <v>28187</v>
      </c>
      <c r="K8822" t="s">
        <v>29388</v>
      </c>
      <c r="M8822" t="s">
        <v>32250</v>
      </c>
      <c r="N8822" t="s">
        <v>32524</v>
      </c>
      <c r="O8822" t="s">
        <v>32525</v>
      </c>
      <c r="P8822">
        <v>0</v>
      </c>
      <c r="Q8822">
        <v>2</v>
      </c>
      <c r="R8822" t="s">
        <v>32537</v>
      </c>
      <c r="S8822" t="s">
        <v>32828</v>
      </c>
      <c r="T8822" t="s">
        <v>33554</v>
      </c>
      <c r="U8822" t="s">
        <v>40934</v>
      </c>
      <c r="W8822" t="s">
        <v>32250</v>
      </c>
      <c r="X8822" t="s">
        <v>32538</v>
      </c>
    </row>
    <row r="8823" spans="1:24">
      <c r="A8823">
        <f>HYPERLINK("https://www.philgeps.gov.ph/GEPSNONPILOT/Tender/SplashBidNoticeAbstractUI.aspx?menuIndex=3&amp;refID=7028501&amp;Result=3","7028501")</f>
        <v>0</v>
      </c>
      <c r="B8823" t="s">
        <v>323</v>
      </c>
      <c r="C8823" t="s">
        <v>11115</v>
      </c>
      <c r="D8823" t="s">
        <v>13013</v>
      </c>
      <c r="E8823" t="s">
        <v>20786</v>
      </c>
      <c r="F8823" t="s">
        <v>22436</v>
      </c>
      <c r="G8823" t="s">
        <v>22444</v>
      </c>
      <c r="H8823" t="s">
        <v>22452</v>
      </c>
      <c r="I8823" t="s">
        <v>3027</v>
      </c>
      <c r="J8823" t="s">
        <v>28182</v>
      </c>
      <c r="K8823" t="s">
        <v>29341</v>
      </c>
      <c r="M8823" t="s">
        <v>29899</v>
      </c>
      <c r="N8823" t="s">
        <v>32524</v>
      </c>
      <c r="O8823" t="s">
        <v>32525</v>
      </c>
      <c r="P8823">
        <v>0</v>
      </c>
      <c r="Q8823">
        <v>1</v>
      </c>
      <c r="R8823" t="s">
        <v>32537</v>
      </c>
      <c r="S8823" t="s">
        <v>32828</v>
      </c>
      <c r="T8823" t="s">
        <v>33278</v>
      </c>
      <c r="U8823" t="s">
        <v>40935</v>
      </c>
      <c r="W8823" t="s">
        <v>29899</v>
      </c>
      <c r="X8823" t="s">
        <v>32538</v>
      </c>
    </row>
    <row r="8824" spans="1:24">
      <c r="A8824">
        <f>HYPERLINK("https://www.philgeps.gov.ph/GEPSNONPILOT/Tender/SplashBidNoticeAbstractUI.aspx?menuIndex=3&amp;refID=7028531&amp;Result=3","7028531")</f>
        <v>0</v>
      </c>
      <c r="B8824" t="s">
        <v>268</v>
      </c>
      <c r="C8824" t="s">
        <v>11116</v>
      </c>
      <c r="D8824" t="s">
        <v>13015</v>
      </c>
      <c r="E8824" t="s">
        <v>14974</v>
      </c>
      <c r="F8824" t="s">
        <v>22441</v>
      </c>
      <c r="G8824" t="s">
        <v>22444</v>
      </c>
      <c r="H8824" t="s">
        <v>22452</v>
      </c>
      <c r="I8824" t="s">
        <v>22460</v>
      </c>
      <c r="J8824" t="s">
        <v>28188</v>
      </c>
      <c r="K8824" t="s">
        <v>29336</v>
      </c>
      <c r="M8824" t="s">
        <v>29842</v>
      </c>
      <c r="N8824" t="s">
        <v>32524</v>
      </c>
      <c r="O8824" t="s">
        <v>32525</v>
      </c>
      <c r="P8824">
        <v>0</v>
      </c>
      <c r="Q8824">
        <v>1</v>
      </c>
      <c r="R8824" t="s">
        <v>32537</v>
      </c>
      <c r="S8824" t="s">
        <v>32828</v>
      </c>
      <c r="T8824" t="s">
        <v>33187</v>
      </c>
      <c r="U8824" t="s">
        <v>40936</v>
      </c>
      <c r="W8824" t="s">
        <v>29842</v>
      </c>
      <c r="X8824" t="s">
        <v>32538</v>
      </c>
    </row>
    <row r="8825" spans="1:24">
      <c r="A8825">
        <f>HYPERLINK("https://www.philgeps.gov.ph/GEPSNONPILOT/Tender/SplashBidNoticeAbstractUI.aspx?menuIndex=3&amp;refID=7028468&amp;Result=3","7028468")</f>
        <v>0</v>
      </c>
      <c r="B8825" t="s">
        <v>323</v>
      </c>
      <c r="C8825" t="s">
        <v>11080</v>
      </c>
      <c r="D8825" t="s">
        <v>13013</v>
      </c>
      <c r="E8825" t="s">
        <v>20787</v>
      </c>
      <c r="F8825" t="s">
        <v>22436</v>
      </c>
      <c r="G8825" t="s">
        <v>22444</v>
      </c>
      <c r="H8825" t="s">
        <v>22452</v>
      </c>
      <c r="I8825" t="s">
        <v>3027</v>
      </c>
      <c r="J8825" t="s">
        <v>28189</v>
      </c>
      <c r="K8825" t="s">
        <v>29341</v>
      </c>
      <c r="M8825" t="s">
        <v>29899</v>
      </c>
      <c r="N8825" t="s">
        <v>32524</v>
      </c>
      <c r="O8825" t="s">
        <v>32525</v>
      </c>
      <c r="P8825">
        <v>0</v>
      </c>
      <c r="Q8825">
        <v>2</v>
      </c>
      <c r="R8825" t="s">
        <v>32537</v>
      </c>
      <c r="S8825" t="s">
        <v>32828</v>
      </c>
      <c r="T8825" t="s">
        <v>33187</v>
      </c>
      <c r="U8825" t="s">
        <v>40937</v>
      </c>
      <c r="W8825" t="s">
        <v>29899</v>
      </c>
      <c r="X8825" t="s">
        <v>32538</v>
      </c>
    </row>
    <row r="8826" spans="1:24">
      <c r="A8826">
        <f>HYPERLINK("https://www.philgeps.gov.ph/GEPSNONPILOT/Tender/SplashBidNoticeAbstractUI.aspx?menuIndex=3&amp;refID=7028496&amp;Result=3","7028496")</f>
        <v>0</v>
      </c>
      <c r="B8826" t="s">
        <v>268</v>
      </c>
      <c r="C8826" t="s">
        <v>3227</v>
      </c>
      <c r="D8826" t="s">
        <v>13015</v>
      </c>
      <c r="E8826" t="s">
        <v>18691</v>
      </c>
      <c r="F8826" t="s">
        <v>22441</v>
      </c>
      <c r="G8826" t="s">
        <v>22444</v>
      </c>
      <c r="H8826" t="s">
        <v>22454</v>
      </c>
      <c r="I8826" t="s">
        <v>7738</v>
      </c>
      <c r="J8826" t="s">
        <v>23191</v>
      </c>
      <c r="K8826" t="s">
        <v>29335</v>
      </c>
      <c r="M8826" t="s">
        <v>29842</v>
      </c>
      <c r="N8826" t="s">
        <v>32524</v>
      </c>
      <c r="O8826" t="s">
        <v>32525</v>
      </c>
      <c r="P8826">
        <v>0</v>
      </c>
      <c r="Q8826">
        <v>0</v>
      </c>
      <c r="R8826" t="s">
        <v>32537</v>
      </c>
      <c r="S8826" t="s">
        <v>32828</v>
      </c>
      <c r="T8826" t="s">
        <v>33187</v>
      </c>
      <c r="U8826" t="s">
        <v>40938</v>
      </c>
      <c r="W8826" t="s">
        <v>29842</v>
      </c>
      <c r="X8826" t="s">
        <v>32538</v>
      </c>
    </row>
    <row r="8827" spans="1:24">
      <c r="A8827">
        <f>HYPERLINK("https://www.philgeps.gov.ph/GEPSNONPILOT/Tender/SplashBidNoticeAbstractUI.aspx?menuIndex=3&amp;refID=7028508&amp;Result=3","7028508")</f>
        <v>0</v>
      </c>
      <c r="B8827" t="s">
        <v>2327</v>
      </c>
      <c r="C8827" t="s">
        <v>11117</v>
      </c>
      <c r="D8827" t="s">
        <v>13054</v>
      </c>
      <c r="E8827" t="s">
        <v>20778</v>
      </c>
      <c r="F8827" t="s">
        <v>22436</v>
      </c>
      <c r="G8827" t="s">
        <v>22444</v>
      </c>
      <c r="H8827" t="s">
        <v>22454</v>
      </c>
      <c r="I8827" t="s">
        <v>7738</v>
      </c>
      <c r="J8827" t="s">
        <v>22911</v>
      </c>
      <c r="K8827" t="s">
        <v>29338</v>
      </c>
      <c r="M8827" t="s">
        <v>32104</v>
      </c>
      <c r="N8827" t="s">
        <v>32524</v>
      </c>
      <c r="O8827" t="s">
        <v>32525</v>
      </c>
      <c r="P8827">
        <v>0</v>
      </c>
      <c r="Q8827">
        <v>0</v>
      </c>
      <c r="R8827" t="s">
        <v>32537</v>
      </c>
      <c r="S8827" t="s">
        <v>32828</v>
      </c>
      <c r="T8827" t="s">
        <v>33211</v>
      </c>
      <c r="U8827" t="s">
        <v>40939</v>
      </c>
      <c r="V8827" t="s">
        <v>43406</v>
      </c>
      <c r="W8827" t="s">
        <v>32104</v>
      </c>
      <c r="X8827" t="s">
        <v>32538</v>
      </c>
    </row>
    <row r="8828" spans="1:24">
      <c r="A8828">
        <f>HYPERLINK("https://www.philgeps.gov.ph/GEPSNONPILOT/Tender/SplashBidNoticeAbstractUI.aspx?menuIndex=3&amp;refID=7028595&amp;Result=3","7028595")</f>
        <v>0</v>
      </c>
      <c r="B8828" t="s">
        <v>268</v>
      </c>
      <c r="C8828" t="s">
        <v>11118</v>
      </c>
      <c r="D8828" t="s">
        <v>13015</v>
      </c>
      <c r="E8828" t="s">
        <v>14101</v>
      </c>
      <c r="F8828" t="s">
        <v>22441</v>
      </c>
      <c r="G8828" t="s">
        <v>22444</v>
      </c>
      <c r="H8828" t="s">
        <v>22452</v>
      </c>
      <c r="I8828" t="s">
        <v>22461</v>
      </c>
      <c r="J8828" t="s">
        <v>28190</v>
      </c>
      <c r="K8828" t="s">
        <v>29336</v>
      </c>
      <c r="M8828" t="s">
        <v>29842</v>
      </c>
      <c r="N8828" t="s">
        <v>32524</v>
      </c>
      <c r="O8828" t="s">
        <v>32525</v>
      </c>
      <c r="P8828">
        <v>0</v>
      </c>
      <c r="Q8828">
        <v>0</v>
      </c>
      <c r="R8828" t="s">
        <v>32537</v>
      </c>
      <c r="S8828" t="s">
        <v>32828</v>
      </c>
      <c r="T8828" t="s">
        <v>33187</v>
      </c>
      <c r="U8828" t="s">
        <v>40940</v>
      </c>
      <c r="W8828" t="s">
        <v>29842</v>
      </c>
      <c r="X8828" t="s">
        <v>32538</v>
      </c>
    </row>
    <row r="8829" spans="1:24">
      <c r="A8829">
        <f>HYPERLINK("https://www.philgeps.gov.ph/GEPSNONPILOT/Tender/SplashBidNoticeAbstractUI.aspx?menuIndex=3&amp;refID=7028559&amp;Result=3","7028559")</f>
        <v>0</v>
      </c>
      <c r="B8829" t="s">
        <v>844</v>
      </c>
      <c r="C8829" t="s">
        <v>11119</v>
      </c>
      <c r="D8829" t="s">
        <v>13009</v>
      </c>
      <c r="E8829" t="s">
        <v>20788</v>
      </c>
      <c r="F8829" t="s">
        <v>22436</v>
      </c>
      <c r="G8829" t="s">
        <v>22444</v>
      </c>
      <c r="H8829" t="s">
        <v>22454</v>
      </c>
      <c r="I8829" t="s">
        <v>7738</v>
      </c>
      <c r="J8829" t="s">
        <v>24895</v>
      </c>
      <c r="K8829" t="s">
        <v>29524</v>
      </c>
      <c r="M8829" t="s">
        <v>30450</v>
      </c>
      <c r="N8829" t="s">
        <v>32524</v>
      </c>
      <c r="O8829" t="s">
        <v>32525</v>
      </c>
      <c r="P8829">
        <v>0</v>
      </c>
      <c r="Q8829">
        <v>0</v>
      </c>
      <c r="R8829" t="s">
        <v>32537</v>
      </c>
      <c r="S8829" t="s">
        <v>32828</v>
      </c>
      <c r="T8829" t="s">
        <v>33268</v>
      </c>
      <c r="U8829" t="s">
        <v>40941</v>
      </c>
      <c r="W8829" t="s">
        <v>30450</v>
      </c>
      <c r="X8829" t="s">
        <v>32538</v>
      </c>
    </row>
    <row r="8830" spans="1:24">
      <c r="A8830">
        <f>HYPERLINK("https://www.philgeps.gov.ph/GEPSNONPILOT/Tender/SplashBidNoticeAbstractUI.aspx?menuIndex=3&amp;refID=7028580&amp;Result=3","7028580")</f>
        <v>0</v>
      </c>
      <c r="B8830" t="s">
        <v>2257</v>
      </c>
      <c r="C8830" t="s">
        <v>11120</v>
      </c>
      <c r="D8830" t="s">
        <v>13006</v>
      </c>
      <c r="E8830" t="s">
        <v>20789</v>
      </c>
      <c r="F8830" t="s">
        <v>22436</v>
      </c>
      <c r="G8830" t="s">
        <v>22444</v>
      </c>
      <c r="H8830" t="s">
        <v>22454</v>
      </c>
      <c r="I8830" t="s">
        <v>6387</v>
      </c>
      <c r="J8830" t="s">
        <v>23689</v>
      </c>
      <c r="K8830" t="s">
        <v>29335</v>
      </c>
      <c r="M8830" t="s">
        <v>32025</v>
      </c>
      <c r="N8830" t="s">
        <v>32524</v>
      </c>
      <c r="O8830" t="s">
        <v>32525</v>
      </c>
      <c r="P8830">
        <v>0</v>
      </c>
      <c r="Q8830">
        <v>3</v>
      </c>
      <c r="R8830" t="s">
        <v>32537</v>
      </c>
      <c r="S8830" t="s">
        <v>32828</v>
      </c>
      <c r="T8830" t="s">
        <v>33581</v>
      </c>
      <c r="U8830" t="s">
        <v>40942</v>
      </c>
      <c r="V8830" t="s">
        <v>43238</v>
      </c>
      <c r="W8830" t="s">
        <v>32025</v>
      </c>
      <c r="X8830" t="s">
        <v>32538</v>
      </c>
    </row>
    <row r="8831" spans="1:24">
      <c r="A8831">
        <f>HYPERLINK("https://www.philgeps.gov.ph/GEPSNONPILOT/Tender/SplashBidNoticeAbstractUI.aspx?menuIndex=3&amp;refID=7028577&amp;Result=3","7028577")</f>
        <v>0</v>
      </c>
      <c r="B8831" t="s">
        <v>2071</v>
      </c>
      <c r="C8831" t="s">
        <v>11121</v>
      </c>
      <c r="D8831" t="s">
        <v>13007</v>
      </c>
      <c r="E8831" t="s">
        <v>20790</v>
      </c>
      <c r="F8831" t="s">
        <v>22436</v>
      </c>
      <c r="G8831" t="s">
        <v>22444</v>
      </c>
      <c r="H8831" t="s">
        <v>22452</v>
      </c>
      <c r="I8831" t="s">
        <v>22465</v>
      </c>
      <c r="J8831" t="s">
        <v>28191</v>
      </c>
      <c r="K8831" t="s">
        <v>29341</v>
      </c>
      <c r="M8831" t="s">
        <v>31814</v>
      </c>
      <c r="N8831" t="s">
        <v>32524</v>
      </c>
      <c r="O8831" t="s">
        <v>32525</v>
      </c>
      <c r="P8831">
        <v>0</v>
      </c>
      <c r="Q8831">
        <v>0</v>
      </c>
      <c r="R8831" t="s">
        <v>32537</v>
      </c>
      <c r="S8831" t="s">
        <v>32828</v>
      </c>
      <c r="T8831" t="s">
        <v>33371</v>
      </c>
      <c r="U8831" t="s">
        <v>40637</v>
      </c>
      <c r="W8831" t="s">
        <v>31814</v>
      </c>
      <c r="X8831" t="s">
        <v>32538</v>
      </c>
    </row>
    <row r="8832" spans="1:24">
      <c r="A8832">
        <f>HYPERLINK("https://www.philgeps.gov.ph/GEPSNONPILOT/Tender/SplashBidNoticeAbstractUI.aspx?menuIndex=3&amp;refID=7028574&amp;Result=3","7028574")</f>
        <v>0</v>
      </c>
      <c r="B8832" t="s">
        <v>2327</v>
      </c>
      <c r="C8832" t="s">
        <v>11122</v>
      </c>
      <c r="D8832" t="s">
        <v>13054</v>
      </c>
      <c r="E8832" t="s">
        <v>20778</v>
      </c>
      <c r="F8832" t="s">
        <v>22436</v>
      </c>
      <c r="G8832" t="s">
        <v>22444</v>
      </c>
      <c r="H8832" t="s">
        <v>22454</v>
      </c>
      <c r="I8832" t="s">
        <v>7738</v>
      </c>
      <c r="J8832" t="s">
        <v>22877</v>
      </c>
      <c r="K8832" t="s">
        <v>29338</v>
      </c>
      <c r="M8832" t="s">
        <v>32104</v>
      </c>
      <c r="N8832" t="s">
        <v>32524</v>
      </c>
      <c r="O8832" t="s">
        <v>32525</v>
      </c>
      <c r="P8832">
        <v>0</v>
      </c>
      <c r="Q8832">
        <v>0</v>
      </c>
      <c r="R8832" t="s">
        <v>32537</v>
      </c>
      <c r="S8832" t="s">
        <v>32828</v>
      </c>
      <c r="T8832" t="s">
        <v>33249</v>
      </c>
      <c r="U8832" t="s">
        <v>40943</v>
      </c>
      <c r="V8832" t="s">
        <v>43407</v>
      </c>
      <c r="W8832" t="s">
        <v>32104</v>
      </c>
      <c r="X8832" t="s">
        <v>32538</v>
      </c>
    </row>
    <row r="8833" spans="1:24">
      <c r="A8833">
        <f>HYPERLINK("https://www.philgeps.gov.ph/GEPSNONPILOT/Tender/SplashBidNoticeAbstractUI.aspx?menuIndex=3&amp;refID=7028609&amp;Result=3","7028609")</f>
        <v>0</v>
      </c>
      <c r="B8833" t="s">
        <v>2472</v>
      </c>
      <c r="C8833" t="s">
        <v>11123</v>
      </c>
      <c r="D8833" t="s">
        <v>13039</v>
      </c>
      <c r="E8833" t="s">
        <v>20791</v>
      </c>
      <c r="F8833" t="s">
        <v>22436</v>
      </c>
      <c r="G8833" t="s">
        <v>22444</v>
      </c>
      <c r="H8833" t="s">
        <v>22452</v>
      </c>
      <c r="I8833" t="s">
        <v>22482</v>
      </c>
      <c r="J8833" t="s">
        <v>22817</v>
      </c>
      <c r="K8833" t="s">
        <v>29341</v>
      </c>
      <c r="M8833" t="s">
        <v>32276</v>
      </c>
      <c r="N8833" t="s">
        <v>32524</v>
      </c>
      <c r="O8833" t="s">
        <v>32525</v>
      </c>
      <c r="P8833">
        <v>0</v>
      </c>
      <c r="Q8833">
        <v>1</v>
      </c>
      <c r="R8833" t="s">
        <v>32537</v>
      </c>
      <c r="S8833" t="s">
        <v>32828</v>
      </c>
      <c r="T8833" t="s">
        <v>33197</v>
      </c>
      <c r="U8833" t="s">
        <v>40944</v>
      </c>
      <c r="W8833" t="s">
        <v>32276</v>
      </c>
      <c r="X8833" t="s">
        <v>32538</v>
      </c>
    </row>
    <row r="8834" spans="1:24">
      <c r="A8834">
        <f>HYPERLINK("https://www.philgeps.gov.ph/GEPSNONPILOT/Tender/SplashBidNoticeAbstractUI.aspx?menuIndex=3&amp;refID=7028569&amp;Result=3","7028569")</f>
        <v>0</v>
      </c>
      <c r="B8834" t="s">
        <v>2473</v>
      </c>
      <c r="C8834" t="s">
        <v>11124</v>
      </c>
      <c r="D8834" t="s">
        <v>13037</v>
      </c>
      <c r="E8834" t="s">
        <v>20792</v>
      </c>
      <c r="F8834" t="s">
        <v>22436</v>
      </c>
      <c r="G8834" t="s">
        <v>22444</v>
      </c>
      <c r="H8834" t="s">
        <v>22454</v>
      </c>
      <c r="I8834" t="s">
        <v>7738</v>
      </c>
      <c r="J8834" t="s">
        <v>28192</v>
      </c>
      <c r="K8834" t="s">
        <v>29388</v>
      </c>
      <c r="M8834" t="s">
        <v>32277</v>
      </c>
      <c r="N8834" t="s">
        <v>32524</v>
      </c>
      <c r="O8834" t="s">
        <v>32525</v>
      </c>
      <c r="P8834">
        <v>0</v>
      </c>
      <c r="Q8834">
        <v>0</v>
      </c>
      <c r="R8834" t="s">
        <v>32537</v>
      </c>
      <c r="S8834" t="s">
        <v>32828</v>
      </c>
      <c r="T8834" t="s">
        <v>33259</v>
      </c>
      <c r="U8834" t="s">
        <v>40945</v>
      </c>
      <c r="W8834" t="s">
        <v>32277</v>
      </c>
      <c r="X8834" t="s">
        <v>32538</v>
      </c>
    </row>
    <row r="8835" spans="1:24">
      <c r="A8835">
        <f>HYPERLINK("https://www.philgeps.gov.ph/GEPSNONPILOT/Tender/SplashBidNoticeAbstractUI.aspx?menuIndex=3&amp;refID=7028684&amp;Result=3","7028684")</f>
        <v>0</v>
      </c>
      <c r="B8835" t="s">
        <v>2011</v>
      </c>
      <c r="C8835" t="s">
        <v>11125</v>
      </c>
      <c r="D8835" t="s">
        <v>13015</v>
      </c>
      <c r="E8835" t="s">
        <v>20793</v>
      </c>
      <c r="F8835" t="s">
        <v>22437</v>
      </c>
      <c r="G8835" t="s">
        <v>22443</v>
      </c>
      <c r="H8835" t="s">
        <v>22452</v>
      </c>
      <c r="I8835" t="s">
        <v>22471</v>
      </c>
      <c r="J8835" t="s">
        <v>22605</v>
      </c>
      <c r="K8835" t="s">
        <v>29335</v>
      </c>
      <c r="M8835" t="s">
        <v>31745</v>
      </c>
      <c r="N8835" t="s">
        <v>32524</v>
      </c>
      <c r="O8835" t="s">
        <v>32525</v>
      </c>
      <c r="P8835">
        <v>0</v>
      </c>
      <c r="Q8835">
        <v>7</v>
      </c>
      <c r="R8835" t="s">
        <v>32537</v>
      </c>
      <c r="S8835" t="s">
        <v>32828</v>
      </c>
      <c r="T8835" t="s">
        <v>33310</v>
      </c>
      <c r="U8835" t="s">
        <v>39021</v>
      </c>
      <c r="V8835" t="s">
        <v>43137</v>
      </c>
      <c r="W8835" t="s">
        <v>43738</v>
      </c>
      <c r="X8835" t="s">
        <v>32538</v>
      </c>
    </row>
    <row r="8836" spans="1:24">
      <c r="A8836">
        <f>HYPERLINK("https://www.philgeps.gov.ph/GEPSNONPILOT/Tender/SplashBidNoticeAbstractUI.aspx?menuIndex=3&amp;refID=7028507&amp;Result=3","7028507")</f>
        <v>0</v>
      </c>
      <c r="B8836" t="s">
        <v>2474</v>
      </c>
      <c r="C8836" t="s">
        <v>11126</v>
      </c>
      <c r="D8836" t="s">
        <v>13017</v>
      </c>
      <c r="E8836" t="s">
        <v>20794</v>
      </c>
      <c r="F8836" t="s">
        <v>22436</v>
      </c>
      <c r="G8836" t="s">
        <v>22444</v>
      </c>
      <c r="H8836" t="s">
        <v>22454</v>
      </c>
      <c r="I8836" t="s">
        <v>7738</v>
      </c>
      <c r="J8836" t="s">
        <v>26900</v>
      </c>
      <c r="K8836" t="s">
        <v>29344</v>
      </c>
      <c r="M8836" t="s">
        <v>32278</v>
      </c>
      <c r="N8836" t="s">
        <v>32524</v>
      </c>
      <c r="O8836" t="s">
        <v>32525</v>
      </c>
      <c r="P8836">
        <v>0</v>
      </c>
      <c r="Q8836">
        <v>1</v>
      </c>
      <c r="R8836" t="s">
        <v>32537</v>
      </c>
      <c r="S8836" t="s">
        <v>32828</v>
      </c>
      <c r="T8836" t="s">
        <v>33486</v>
      </c>
      <c r="U8836" t="s">
        <v>40946</v>
      </c>
      <c r="W8836" t="s">
        <v>32278</v>
      </c>
      <c r="X8836" t="s">
        <v>32538</v>
      </c>
    </row>
    <row r="8837" spans="1:24">
      <c r="A8837">
        <f>HYPERLINK("https://www.philgeps.gov.ph/GEPSNONPILOT/Tender/SplashBidNoticeAbstractUI.aspx?menuIndex=3&amp;refID=7028607&amp;Result=3","7028607")</f>
        <v>0</v>
      </c>
      <c r="B8837" t="s">
        <v>2011</v>
      </c>
      <c r="C8837" t="s">
        <v>11127</v>
      </c>
      <c r="D8837" t="s">
        <v>13015</v>
      </c>
      <c r="E8837" t="s">
        <v>20795</v>
      </c>
      <c r="F8837" t="s">
        <v>22437</v>
      </c>
      <c r="G8837" t="s">
        <v>22443</v>
      </c>
      <c r="H8837" t="s">
        <v>22452</v>
      </c>
      <c r="I8837" t="s">
        <v>22471</v>
      </c>
      <c r="J8837" t="s">
        <v>28193</v>
      </c>
      <c r="K8837" t="s">
        <v>29335</v>
      </c>
      <c r="M8837" t="s">
        <v>31745</v>
      </c>
      <c r="N8837" t="s">
        <v>32524</v>
      </c>
      <c r="O8837" t="s">
        <v>32525</v>
      </c>
      <c r="P8837">
        <v>0</v>
      </c>
      <c r="Q8837">
        <v>7</v>
      </c>
      <c r="R8837" t="s">
        <v>32537</v>
      </c>
      <c r="S8837" t="s">
        <v>32828</v>
      </c>
      <c r="T8837" t="s">
        <v>33310</v>
      </c>
      <c r="U8837" t="s">
        <v>39021</v>
      </c>
      <c r="V8837" t="s">
        <v>43137</v>
      </c>
      <c r="W8837" t="s">
        <v>43738</v>
      </c>
      <c r="X8837" t="s">
        <v>32538</v>
      </c>
    </row>
    <row r="8838" spans="1:24">
      <c r="A8838">
        <f>HYPERLINK("https://www.philgeps.gov.ph/GEPSNONPILOT/Tender/SplashBidNoticeAbstractUI.aspx?menuIndex=3&amp;refID=7028467&amp;Result=3","7028467")</f>
        <v>0</v>
      </c>
      <c r="B8838" t="s">
        <v>268</v>
      </c>
      <c r="C8838" t="s">
        <v>11128</v>
      </c>
      <c r="D8838" t="s">
        <v>13015</v>
      </c>
      <c r="E8838" t="s">
        <v>15278</v>
      </c>
      <c r="F8838" t="s">
        <v>22441</v>
      </c>
      <c r="G8838" t="s">
        <v>22444</v>
      </c>
      <c r="H8838" t="s">
        <v>22452</v>
      </c>
      <c r="I8838" t="s">
        <v>22460</v>
      </c>
      <c r="J8838" t="s">
        <v>28194</v>
      </c>
      <c r="K8838" t="s">
        <v>29336</v>
      </c>
      <c r="M8838" t="s">
        <v>29842</v>
      </c>
      <c r="N8838" t="s">
        <v>32524</v>
      </c>
      <c r="O8838" t="s">
        <v>32525</v>
      </c>
      <c r="P8838">
        <v>0</v>
      </c>
      <c r="Q8838">
        <v>0</v>
      </c>
      <c r="R8838" t="s">
        <v>32537</v>
      </c>
      <c r="S8838" t="s">
        <v>32828</v>
      </c>
      <c r="T8838" t="s">
        <v>33187</v>
      </c>
      <c r="U8838" t="s">
        <v>40947</v>
      </c>
      <c r="W8838" t="s">
        <v>29842</v>
      </c>
      <c r="X8838" t="s">
        <v>32538</v>
      </c>
    </row>
    <row r="8839" spans="1:24">
      <c r="A8839">
        <f>HYPERLINK("https://www.philgeps.gov.ph/GEPSNONPILOT/Tender/SplashBidNoticeAbstractUI.aspx?menuIndex=3&amp;refID=7028688&amp;Result=3","7028688")</f>
        <v>0</v>
      </c>
      <c r="B8839" t="s">
        <v>2473</v>
      </c>
      <c r="C8839" t="s">
        <v>11129</v>
      </c>
      <c r="D8839" t="s">
        <v>13037</v>
      </c>
      <c r="E8839" t="s">
        <v>20796</v>
      </c>
      <c r="F8839" t="s">
        <v>22436</v>
      </c>
      <c r="G8839" t="s">
        <v>22444</v>
      </c>
      <c r="H8839" t="s">
        <v>22454</v>
      </c>
      <c r="I8839" t="s">
        <v>7738</v>
      </c>
      <c r="J8839" t="s">
        <v>28195</v>
      </c>
      <c r="K8839" t="s">
        <v>29388</v>
      </c>
      <c r="M8839" t="s">
        <v>32277</v>
      </c>
      <c r="N8839" t="s">
        <v>32524</v>
      </c>
      <c r="O8839" t="s">
        <v>32525</v>
      </c>
      <c r="P8839">
        <v>0</v>
      </c>
      <c r="Q8839">
        <v>0</v>
      </c>
      <c r="R8839" t="s">
        <v>32537</v>
      </c>
      <c r="S8839" t="s">
        <v>32828</v>
      </c>
      <c r="T8839" t="s">
        <v>33249</v>
      </c>
      <c r="U8839" t="s">
        <v>40948</v>
      </c>
      <c r="W8839" t="s">
        <v>32277</v>
      </c>
      <c r="X8839" t="s">
        <v>32538</v>
      </c>
    </row>
    <row r="8840" spans="1:24">
      <c r="A8840">
        <f>HYPERLINK("https://www.philgeps.gov.ph/GEPSNONPILOT/Tender/SplashBidNoticeAbstractUI.aspx?menuIndex=3&amp;refID=7028665&amp;Result=3","7028665")</f>
        <v>0</v>
      </c>
      <c r="B8840" t="s">
        <v>139</v>
      </c>
      <c r="C8840" t="s">
        <v>11130</v>
      </c>
      <c r="D8840" t="s">
        <v>13018</v>
      </c>
      <c r="E8840" t="s">
        <v>20797</v>
      </c>
      <c r="F8840" t="s">
        <v>22436</v>
      </c>
      <c r="G8840" t="s">
        <v>22444</v>
      </c>
      <c r="H8840" t="s">
        <v>22452</v>
      </c>
      <c r="I8840" t="s">
        <v>22461</v>
      </c>
      <c r="J8840" t="s">
        <v>28196</v>
      </c>
      <c r="K8840" t="s">
        <v>29335</v>
      </c>
      <c r="M8840" t="s">
        <v>29711</v>
      </c>
      <c r="N8840" t="s">
        <v>32524</v>
      </c>
      <c r="O8840" t="s">
        <v>32525</v>
      </c>
      <c r="P8840">
        <v>0</v>
      </c>
      <c r="Q8840">
        <v>1</v>
      </c>
      <c r="R8840" t="s">
        <v>32537</v>
      </c>
      <c r="S8840" t="s">
        <v>32828</v>
      </c>
      <c r="T8840" t="s">
        <v>33487</v>
      </c>
      <c r="U8840" t="s">
        <v>40949</v>
      </c>
      <c r="W8840" t="s">
        <v>29711</v>
      </c>
      <c r="X8840" t="s">
        <v>32538</v>
      </c>
    </row>
    <row r="8841" spans="1:24">
      <c r="A8841">
        <f>HYPERLINK("https://www.philgeps.gov.ph/GEPSNONPILOT/Tender/SplashBidNoticeAbstractUI.aspx?menuIndex=3&amp;refID=7028475&amp;Result=3","7028475")</f>
        <v>0</v>
      </c>
      <c r="B8841" t="s">
        <v>2011</v>
      </c>
      <c r="C8841" t="s">
        <v>11131</v>
      </c>
      <c r="D8841" t="s">
        <v>13015</v>
      </c>
      <c r="E8841" t="s">
        <v>20798</v>
      </c>
      <c r="F8841" t="s">
        <v>22437</v>
      </c>
      <c r="G8841" t="s">
        <v>22443</v>
      </c>
      <c r="H8841" t="s">
        <v>22452</v>
      </c>
      <c r="I8841" t="s">
        <v>22467</v>
      </c>
      <c r="J8841" t="s">
        <v>28197</v>
      </c>
      <c r="K8841" t="s">
        <v>29340</v>
      </c>
      <c r="M8841" t="s">
        <v>31745</v>
      </c>
      <c r="N8841" t="s">
        <v>32524</v>
      </c>
      <c r="O8841" t="s">
        <v>32525</v>
      </c>
      <c r="P8841">
        <v>0</v>
      </c>
      <c r="Q8841">
        <v>0</v>
      </c>
      <c r="R8841" t="s">
        <v>32537</v>
      </c>
      <c r="S8841" t="s">
        <v>32828</v>
      </c>
      <c r="T8841" t="s">
        <v>33310</v>
      </c>
      <c r="U8841" t="s">
        <v>39021</v>
      </c>
      <c r="V8841" t="s">
        <v>43137</v>
      </c>
      <c r="W8841" t="s">
        <v>43738</v>
      </c>
      <c r="X8841" t="s">
        <v>32538</v>
      </c>
    </row>
    <row r="8842" spans="1:24">
      <c r="A8842">
        <f>HYPERLINK("https://www.philgeps.gov.ph/GEPSNONPILOT/Tender/SplashBidNoticeAbstractUI.aspx?menuIndex=3&amp;refID=7028669&amp;Result=3","7028669")</f>
        <v>0</v>
      </c>
      <c r="B8842" t="s">
        <v>760</v>
      </c>
      <c r="C8842" t="s">
        <v>11132</v>
      </c>
      <c r="D8842" t="s">
        <v>13051</v>
      </c>
      <c r="E8842" t="s">
        <v>20799</v>
      </c>
      <c r="F8842" t="s">
        <v>22436</v>
      </c>
      <c r="G8842" t="s">
        <v>22444</v>
      </c>
      <c r="H8842" t="s">
        <v>22454</v>
      </c>
      <c r="I8842" t="s">
        <v>7738</v>
      </c>
      <c r="J8842" t="s">
        <v>28198</v>
      </c>
      <c r="K8842" t="s">
        <v>29334</v>
      </c>
      <c r="M8842" t="s">
        <v>30361</v>
      </c>
      <c r="N8842" t="s">
        <v>32524</v>
      </c>
      <c r="O8842" t="s">
        <v>32525</v>
      </c>
      <c r="P8842">
        <v>0</v>
      </c>
      <c r="Q8842">
        <v>0</v>
      </c>
      <c r="R8842" t="s">
        <v>32537</v>
      </c>
      <c r="S8842" t="s">
        <v>32828</v>
      </c>
      <c r="T8842" t="s">
        <v>33227</v>
      </c>
      <c r="U8842" t="s">
        <v>40950</v>
      </c>
      <c r="W8842" t="s">
        <v>30361</v>
      </c>
      <c r="X8842" t="s">
        <v>32538</v>
      </c>
    </row>
    <row r="8843" spans="1:24">
      <c r="A8843">
        <f>HYPERLINK("https://www.philgeps.gov.ph/GEPSNONPILOT/Tender/SplashBidNoticeAbstractUI.aspx?menuIndex=3&amp;refID=7028653&amp;Result=3","7028653")</f>
        <v>0</v>
      </c>
      <c r="B8843" t="s">
        <v>2011</v>
      </c>
      <c r="C8843" t="s">
        <v>11133</v>
      </c>
      <c r="D8843" t="s">
        <v>13015</v>
      </c>
      <c r="E8843" t="s">
        <v>20800</v>
      </c>
      <c r="F8843" t="s">
        <v>22437</v>
      </c>
      <c r="G8843" t="s">
        <v>22443</v>
      </c>
      <c r="H8843" t="s">
        <v>22452</v>
      </c>
      <c r="I8843" t="s">
        <v>22471</v>
      </c>
      <c r="J8843" t="s">
        <v>22874</v>
      </c>
      <c r="K8843" t="s">
        <v>29335</v>
      </c>
      <c r="M8843" t="s">
        <v>31745</v>
      </c>
      <c r="N8843" t="s">
        <v>32524</v>
      </c>
      <c r="O8843" t="s">
        <v>32525</v>
      </c>
      <c r="P8843">
        <v>0</v>
      </c>
      <c r="Q8843">
        <v>7</v>
      </c>
      <c r="R8843" t="s">
        <v>32537</v>
      </c>
      <c r="S8843" t="s">
        <v>32828</v>
      </c>
      <c r="T8843" t="s">
        <v>33310</v>
      </c>
      <c r="U8843" t="s">
        <v>39021</v>
      </c>
      <c r="V8843" t="s">
        <v>43137</v>
      </c>
      <c r="W8843" t="s">
        <v>43738</v>
      </c>
      <c r="X8843" t="s">
        <v>32538</v>
      </c>
    </row>
    <row r="8844" spans="1:24">
      <c r="A8844">
        <f>HYPERLINK("https://www.philgeps.gov.ph/GEPSNONPILOT/Tender/SplashBidNoticeAbstractUI.aspx?menuIndex=3&amp;refID=7028648&amp;Result=3","7028648")</f>
        <v>0</v>
      </c>
      <c r="B8844" t="s">
        <v>2399</v>
      </c>
      <c r="C8844" t="s">
        <v>11134</v>
      </c>
      <c r="D8844" t="s">
        <v>13004</v>
      </c>
      <c r="E8844" t="s">
        <v>20801</v>
      </c>
      <c r="F8844" t="s">
        <v>22436</v>
      </c>
      <c r="G8844" t="s">
        <v>22444</v>
      </c>
      <c r="H8844" t="s">
        <v>22454</v>
      </c>
      <c r="I8844" t="s">
        <v>7738</v>
      </c>
      <c r="J8844" t="s">
        <v>28199</v>
      </c>
      <c r="K8844" t="s">
        <v>29329</v>
      </c>
      <c r="M8844" t="s">
        <v>32193</v>
      </c>
      <c r="N8844" t="s">
        <v>32524</v>
      </c>
      <c r="O8844" t="s">
        <v>32525</v>
      </c>
      <c r="P8844">
        <v>0</v>
      </c>
      <c r="Q8844">
        <v>0</v>
      </c>
      <c r="R8844" t="s">
        <v>32537</v>
      </c>
      <c r="S8844" t="s">
        <v>32828</v>
      </c>
      <c r="T8844" t="s">
        <v>33574</v>
      </c>
      <c r="U8844" t="s">
        <v>40580</v>
      </c>
      <c r="W8844" t="s">
        <v>32193</v>
      </c>
      <c r="X8844" t="s">
        <v>32538</v>
      </c>
    </row>
    <row r="8845" spans="1:24">
      <c r="A8845">
        <f>HYPERLINK("https://www.philgeps.gov.ph/GEPSNONPILOT/Tender/SplashBidNoticeAbstractUI.aspx?menuIndex=3&amp;refID=7028668&amp;Result=3","7028668")</f>
        <v>0</v>
      </c>
      <c r="B8845" t="s">
        <v>2095</v>
      </c>
      <c r="C8845" t="s">
        <v>11135</v>
      </c>
      <c r="D8845" t="s">
        <v>13011</v>
      </c>
      <c r="E8845" t="s">
        <v>20802</v>
      </c>
      <c r="F8845" t="s">
        <v>22436</v>
      </c>
      <c r="G8845" t="s">
        <v>22444</v>
      </c>
      <c r="H8845" t="s">
        <v>22452</v>
      </c>
      <c r="I8845" t="s">
        <v>22474</v>
      </c>
      <c r="J8845" t="s">
        <v>22634</v>
      </c>
      <c r="K8845" t="s">
        <v>29341</v>
      </c>
      <c r="M8845" t="s">
        <v>31845</v>
      </c>
      <c r="N8845" t="s">
        <v>32524</v>
      </c>
      <c r="O8845" t="s">
        <v>32525</v>
      </c>
      <c r="P8845">
        <v>0</v>
      </c>
      <c r="Q8845">
        <v>8</v>
      </c>
      <c r="R8845" t="s">
        <v>32537</v>
      </c>
      <c r="S8845" t="s">
        <v>32828</v>
      </c>
      <c r="T8845" t="s">
        <v>33206</v>
      </c>
      <c r="U8845" t="s">
        <v>40951</v>
      </c>
      <c r="V8845" t="s">
        <v>43408</v>
      </c>
      <c r="W8845" t="s">
        <v>43740</v>
      </c>
      <c r="X8845" t="s">
        <v>32538</v>
      </c>
    </row>
    <row r="8846" spans="1:24">
      <c r="A8846">
        <f>HYPERLINK("https://www.philgeps.gov.ph/GEPSNONPILOT/Tender/SplashBidNoticeAbstractUI.aspx?menuIndex=3&amp;refID=7028705&amp;Result=3","7028705")</f>
        <v>0</v>
      </c>
      <c r="B8846" t="s">
        <v>2327</v>
      </c>
      <c r="C8846" t="s">
        <v>11136</v>
      </c>
      <c r="D8846" t="s">
        <v>13054</v>
      </c>
      <c r="E8846" t="s">
        <v>20778</v>
      </c>
      <c r="F8846" t="s">
        <v>22436</v>
      </c>
      <c r="G8846" t="s">
        <v>22444</v>
      </c>
      <c r="H8846" t="s">
        <v>22454</v>
      </c>
      <c r="I8846" t="s">
        <v>7738</v>
      </c>
      <c r="J8846" t="s">
        <v>22936</v>
      </c>
      <c r="K8846" t="s">
        <v>29338</v>
      </c>
      <c r="M8846" t="s">
        <v>32104</v>
      </c>
      <c r="N8846" t="s">
        <v>32524</v>
      </c>
      <c r="O8846" t="s">
        <v>32525</v>
      </c>
      <c r="P8846">
        <v>0</v>
      </c>
      <c r="Q8846">
        <v>0</v>
      </c>
      <c r="R8846" t="s">
        <v>32537</v>
      </c>
      <c r="S8846" t="s">
        <v>32828</v>
      </c>
      <c r="T8846" t="s">
        <v>33249</v>
      </c>
      <c r="U8846" t="s">
        <v>40952</v>
      </c>
      <c r="V8846" t="s">
        <v>43407</v>
      </c>
      <c r="W8846" t="s">
        <v>32104</v>
      </c>
      <c r="X8846" t="s">
        <v>32538</v>
      </c>
    </row>
    <row r="8847" spans="1:24">
      <c r="A8847">
        <f>HYPERLINK("https://www.philgeps.gov.ph/GEPSNONPILOT/Tender/SplashBidNoticeAbstractUI.aspx?menuIndex=3&amp;refID=7028664&amp;Result=3","7028664")</f>
        <v>0</v>
      </c>
      <c r="B8847" t="s">
        <v>2475</v>
      </c>
      <c r="C8847" t="s">
        <v>7682</v>
      </c>
      <c r="D8847" t="s">
        <v>13000</v>
      </c>
      <c r="E8847" t="s">
        <v>20803</v>
      </c>
      <c r="F8847" t="s">
        <v>22436</v>
      </c>
      <c r="G8847" t="s">
        <v>22444</v>
      </c>
      <c r="H8847" t="s">
        <v>22452</v>
      </c>
      <c r="I8847" t="s">
        <v>22482</v>
      </c>
      <c r="J8847" t="s">
        <v>23145</v>
      </c>
      <c r="K8847" t="s">
        <v>29335</v>
      </c>
      <c r="M8847" t="s">
        <v>32279</v>
      </c>
      <c r="N8847" t="s">
        <v>32524</v>
      </c>
      <c r="O8847" t="s">
        <v>32525</v>
      </c>
      <c r="P8847">
        <v>0</v>
      </c>
      <c r="Q8847">
        <v>2</v>
      </c>
      <c r="R8847" t="s">
        <v>32537</v>
      </c>
      <c r="S8847" t="s">
        <v>32828</v>
      </c>
      <c r="T8847" t="s">
        <v>33344</v>
      </c>
      <c r="U8847" t="s">
        <v>40953</v>
      </c>
      <c r="V8847" t="s">
        <v>43409</v>
      </c>
      <c r="W8847" t="s">
        <v>32279</v>
      </c>
      <c r="X8847" t="s">
        <v>32538</v>
      </c>
    </row>
    <row r="8848" spans="1:24">
      <c r="A8848">
        <f>HYPERLINK("https://www.philgeps.gov.ph/GEPSNONPILOT/Tender/SplashBidNoticeAbstractUI.aspx?menuIndex=3&amp;refID=7028651&amp;Result=3","7028651")</f>
        <v>0</v>
      </c>
      <c r="B8848" t="s">
        <v>2476</v>
      </c>
      <c r="C8848" t="s">
        <v>11137</v>
      </c>
      <c r="D8848" t="s">
        <v>13045</v>
      </c>
      <c r="E8848" t="s">
        <v>16212</v>
      </c>
      <c r="F8848" t="s">
        <v>22437</v>
      </c>
      <c r="G8848" t="s">
        <v>22444</v>
      </c>
      <c r="H8848" t="s">
        <v>22452</v>
      </c>
      <c r="I8848" t="s">
        <v>2981</v>
      </c>
      <c r="J8848" t="s">
        <v>28200</v>
      </c>
      <c r="K8848" t="s">
        <v>29338</v>
      </c>
      <c r="M8848" t="s">
        <v>32280</v>
      </c>
      <c r="N8848" t="s">
        <v>32524</v>
      </c>
      <c r="O8848" t="s">
        <v>32525</v>
      </c>
      <c r="P8848">
        <v>0</v>
      </c>
      <c r="Q8848">
        <v>0</v>
      </c>
      <c r="R8848" t="s">
        <v>32537</v>
      </c>
      <c r="S8848" t="s">
        <v>32828</v>
      </c>
      <c r="T8848" t="s">
        <v>33191</v>
      </c>
      <c r="U8848" t="s">
        <v>40954</v>
      </c>
      <c r="W8848" t="s">
        <v>32280</v>
      </c>
      <c r="X8848" t="s">
        <v>32538</v>
      </c>
    </row>
    <row r="8849" spans="1:24">
      <c r="A8849">
        <f>HYPERLINK("https://www.philgeps.gov.ph/GEPSNONPILOT/Tender/SplashBidNoticeAbstractUI.aspx?menuIndex=3&amp;refID=7028736&amp;Result=3","7028736")</f>
        <v>0</v>
      </c>
      <c r="B8849" t="s">
        <v>1954</v>
      </c>
      <c r="C8849" t="s">
        <v>11138</v>
      </c>
      <c r="D8849" t="s">
        <v>13037</v>
      </c>
      <c r="E8849" t="s">
        <v>13219</v>
      </c>
      <c r="F8849" t="s">
        <v>22436</v>
      </c>
      <c r="G8849" t="s">
        <v>22446</v>
      </c>
      <c r="H8849" t="s">
        <v>22452</v>
      </c>
      <c r="I8849" t="s">
        <v>22463</v>
      </c>
      <c r="J8849" t="s">
        <v>22654</v>
      </c>
      <c r="K8849" t="s">
        <v>29336</v>
      </c>
      <c r="M8849" t="s">
        <v>31684</v>
      </c>
      <c r="N8849" t="s">
        <v>32524</v>
      </c>
      <c r="O8849" t="s">
        <v>32525</v>
      </c>
      <c r="P8849">
        <v>0</v>
      </c>
      <c r="Q8849">
        <v>0</v>
      </c>
      <c r="R8849" t="s">
        <v>32537</v>
      </c>
      <c r="S8849" t="s">
        <v>32828</v>
      </c>
      <c r="T8849" t="s">
        <v>33497</v>
      </c>
      <c r="U8849" t="s">
        <v>40955</v>
      </c>
      <c r="W8849" t="s">
        <v>31684</v>
      </c>
      <c r="X8849" t="s">
        <v>32538</v>
      </c>
    </row>
    <row r="8850" spans="1:24">
      <c r="A8850">
        <f>HYPERLINK("https://www.philgeps.gov.ph/GEPSNONPILOT/Tender/SplashBidNoticeAbstractUI.aspx?menuIndex=3&amp;refID=7028729&amp;Result=3","7028729")</f>
        <v>0</v>
      </c>
      <c r="B8850" t="s">
        <v>2393</v>
      </c>
      <c r="C8850" t="s">
        <v>11139</v>
      </c>
      <c r="D8850" t="s">
        <v>13039</v>
      </c>
      <c r="E8850" t="s">
        <v>14741</v>
      </c>
      <c r="F8850" t="s">
        <v>22436</v>
      </c>
      <c r="G8850" t="s">
        <v>22443</v>
      </c>
      <c r="H8850" t="s">
        <v>22452</v>
      </c>
      <c r="I8850" t="s">
        <v>2981</v>
      </c>
      <c r="J8850" t="s">
        <v>28201</v>
      </c>
      <c r="K8850" t="s">
        <v>29335</v>
      </c>
      <c r="M8850" t="s">
        <v>32186</v>
      </c>
      <c r="N8850" t="s">
        <v>32524</v>
      </c>
      <c r="O8850" t="s">
        <v>32525</v>
      </c>
      <c r="P8850">
        <v>0</v>
      </c>
      <c r="Q8850">
        <v>1</v>
      </c>
      <c r="R8850" t="s">
        <v>32537</v>
      </c>
      <c r="S8850" t="s">
        <v>32828</v>
      </c>
      <c r="T8850" t="s">
        <v>33278</v>
      </c>
      <c r="U8850" t="s">
        <v>40956</v>
      </c>
      <c r="W8850" t="s">
        <v>32186</v>
      </c>
      <c r="X8850" t="s">
        <v>32538</v>
      </c>
    </row>
    <row r="8851" spans="1:24">
      <c r="A8851">
        <f>HYPERLINK("https://www.philgeps.gov.ph/GEPSNONPILOT/Tender/SplashBidNoticeAbstractUI.aspx?menuIndex=3&amp;refID=7028724&amp;Result=3","7028724")</f>
        <v>0</v>
      </c>
      <c r="B8851" t="s">
        <v>1161</v>
      </c>
      <c r="C8851" t="s">
        <v>11140</v>
      </c>
      <c r="D8851" t="s">
        <v>12998</v>
      </c>
      <c r="E8851" t="s">
        <v>20804</v>
      </c>
      <c r="F8851" t="s">
        <v>22436</v>
      </c>
      <c r="G8851" t="s">
        <v>22444</v>
      </c>
      <c r="H8851" t="s">
        <v>22452</v>
      </c>
      <c r="I8851" t="s">
        <v>3529</v>
      </c>
      <c r="J8851" t="s">
        <v>28202</v>
      </c>
      <c r="K8851" t="s">
        <v>29338</v>
      </c>
      <c r="M8851" t="s">
        <v>30807</v>
      </c>
      <c r="N8851" t="s">
        <v>32524</v>
      </c>
      <c r="O8851" t="s">
        <v>32525</v>
      </c>
      <c r="P8851">
        <v>0</v>
      </c>
      <c r="Q8851">
        <v>7</v>
      </c>
      <c r="R8851" t="s">
        <v>32537</v>
      </c>
      <c r="S8851" t="s">
        <v>32828</v>
      </c>
      <c r="T8851" t="s">
        <v>33517</v>
      </c>
      <c r="U8851" t="s">
        <v>40957</v>
      </c>
      <c r="W8851" t="s">
        <v>30807</v>
      </c>
      <c r="X8851" t="s">
        <v>32538</v>
      </c>
    </row>
    <row r="8852" spans="1:24">
      <c r="A8852">
        <f>HYPERLINK("https://www.philgeps.gov.ph/GEPSNONPILOT/Tender/SplashBidNoticeAbstractUI.aspx?menuIndex=3&amp;refID=7028616&amp;Result=3","7028616")</f>
        <v>0</v>
      </c>
      <c r="B8852" t="s">
        <v>970</v>
      </c>
      <c r="C8852" t="s">
        <v>11141</v>
      </c>
      <c r="D8852" t="s">
        <v>13042</v>
      </c>
      <c r="E8852" t="s">
        <v>19243</v>
      </c>
      <c r="F8852" t="s">
        <v>22436</v>
      </c>
      <c r="G8852" t="s">
        <v>22444</v>
      </c>
      <c r="H8852" t="s">
        <v>22452</v>
      </c>
      <c r="I8852" t="s">
        <v>22474</v>
      </c>
      <c r="J8852" t="s">
        <v>22970</v>
      </c>
      <c r="K8852" t="s">
        <v>29333</v>
      </c>
      <c r="L8852" t="s">
        <v>970</v>
      </c>
      <c r="M8852" t="s">
        <v>30589</v>
      </c>
      <c r="N8852" t="s">
        <v>32524</v>
      </c>
      <c r="O8852" t="s">
        <v>32525</v>
      </c>
      <c r="P8852">
        <v>0</v>
      </c>
      <c r="Q8852">
        <v>3</v>
      </c>
      <c r="R8852" t="s">
        <v>32537</v>
      </c>
      <c r="S8852" t="s">
        <v>32828</v>
      </c>
      <c r="T8852" t="s">
        <v>33466</v>
      </c>
      <c r="U8852" t="s">
        <v>40958</v>
      </c>
      <c r="V8852" t="s">
        <v>43410</v>
      </c>
      <c r="W8852" t="s">
        <v>30589</v>
      </c>
      <c r="X8852" t="s">
        <v>32538</v>
      </c>
    </row>
    <row r="8853" spans="1:24">
      <c r="A8853">
        <f>HYPERLINK("https://www.philgeps.gov.ph/GEPSNONPILOT/Tender/SplashBidNoticeAbstractUI.aspx?menuIndex=3&amp;refID=7028626&amp;Result=3","7028626")</f>
        <v>0</v>
      </c>
      <c r="B8853" t="s">
        <v>2477</v>
      </c>
      <c r="C8853" t="s">
        <v>11142</v>
      </c>
      <c r="D8853" t="s">
        <v>13034</v>
      </c>
      <c r="E8853" t="s">
        <v>20805</v>
      </c>
      <c r="F8853" t="s">
        <v>22436</v>
      </c>
      <c r="G8853" t="s">
        <v>22444</v>
      </c>
      <c r="H8853" t="s">
        <v>22452</v>
      </c>
      <c r="I8853" t="s">
        <v>22502</v>
      </c>
      <c r="J8853" t="s">
        <v>28203</v>
      </c>
      <c r="K8853" t="s">
        <v>29342</v>
      </c>
      <c r="M8853" t="s">
        <v>32281</v>
      </c>
      <c r="N8853" t="s">
        <v>32524</v>
      </c>
      <c r="O8853" t="s">
        <v>32525</v>
      </c>
      <c r="P8853">
        <v>0</v>
      </c>
      <c r="Q8853">
        <v>7</v>
      </c>
      <c r="R8853" t="s">
        <v>32537</v>
      </c>
      <c r="S8853" t="s">
        <v>32828</v>
      </c>
      <c r="T8853" t="s">
        <v>33324</v>
      </c>
      <c r="U8853" t="s">
        <v>40959</v>
      </c>
      <c r="W8853" t="s">
        <v>32281</v>
      </c>
      <c r="X8853" t="s">
        <v>32538</v>
      </c>
    </row>
    <row r="8854" spans="1:24">
      <c r="A8854">
        <f>HYPERLINK("https://www.philgeps.gov.ph/GEPSNONPILOT/Tender/SplashBidNoticeAbstractUI.aspx?menuIndex=3&amp;refID=7028636&amp;Result=3","7028636")</f>
        <v>0</v>
      </c>
      <c r="B8854" t="s">
        <v>2478</v>
      </c>
      <c r="C8854" t="s">
        <v>11143</v>
      </c>
      <c r="D8854" t="s">
        <v>13014</v>
      </c>
      <c r="E8854" t="s">
        <v>20806</v>
      </c>
      <c r="F8854" t="s">
        <v>22436</v>
      </c>
      <c r="G8854" t="s">
        <v>22444</v>
      </c>
      <c r="H8854" t="s">
        <v>22454</v>
      </c>
      <c r="I8854" t="s">
        <v>7738</v>
      </c>
      <c r="J8854" t="s">
        <v>28204</v>
      </c>
      <c r="K8854" t="s">
        <v>29333</v>
      </c>
      <c r="M8854" t="s">
        <v>32282</v>
      </c>
      <c r="N8854" t="s">
        <v>32524</v>
      </c>
      <c r="O8854" t="s">
        <v>32525</v>
      </c>
      <c r="P8854">
        <v>0</v>
      </c>
      <c r="Q8854">
        <v>1</v>
      </c>
      <c r="R8854" t="s">
        <v>32537</v>
      </c>
      <c r="S8854" t="s">
        <v>32828</v>
      </c>
      <c r="T8854" t="s">
        <v>33385</v>
      </c>
      <c r="U8854" t="s">
        <v>40960</v>
      </c>
      <c r="W8854" t="s">
        <v>32282</v>
      </c>
      <c r="X8854" t="s">
        <v>32538</v>
      </c>
    </row>
    <row r="8855" spans="1:24">
      <c r="A8855">
        <f>HYPERLINK("https://www.philgeps.gov.ph/GEPSNONPILOT/Tender/SplashBidNoticeAbstractUI.aspx?menuIndex=3&amp;refID=7028711&amp;Result=3","7028711")</f>
        <v>0</v>
      </c>
      <c r="B8855" t="s">
        <v>970</v>
      </c>
      <c r="C8855" t="s">
        <v>11144</v>
      </c>
      <c r="D8855" t="s">
        <v>13042</v>
      </c>
      <c r="E8855" t="s">
        <v>20807</v>
      </c>
      <c r="F8855" t="s">
        <v>22436</v>
      </c>
      <c r="G8855" t="s">
        <v>22444</v>
      </c>
      <c r="H8855" t="s">
        <v>22452</v>
      </c>
      <c r="I8855" t="s">
        <v>22474</v>
      </c>
      <c r="J8855" t="s">
        <v>22587</v>
      </c>
      <c r="K8855" t="s">
        <v>29333</v>
      </c>
      <c r="L8855" t="s">
        <v>970</v>
      </c>
      <c r="M8855" t="s">
        <v>30589</v>
      </c>
      <c r="N8855" t="s">
        <v>32524</v>
      </c>
      <c r="O8855" t="s">
        <v>32525</v>
      </c>
      <c r="P8855">
        <v>0</v>
      </c>
      <c r="Q8855">
        <v>12</v>
      </c>
      <c r="R8855" t="s">
        <v>32537</v>
      </c>
      <c r="S8855" t="s">
        <v>32828</v>
      </c>
      <c r="T8855" t="s">
        <v>33466</v>
      </c>
      <c r="U8855" t="s">
        <v>40961</v>
      </c>
      <c r="V8855" t="s">
        <v>43410</v>
      </c>
      <c r="W8855" t="s">
        <v>30589</v>
      </c>
      <c r="X8855" t="s">
        <v>32538</v>
      </c>
    </row>
    <row r="8856" spans="1:24">
      <c r="A8856">
        <f>HYPERLINK("https://www.philgeps.gov.ph/GEPSNONPILOT/Tender/SplashBidNoticeAbstractUI.aspx?menuIndex=3&amp;refID=7028737&amp;Result=3","7028737")</f>
        <v>0</v>
      </c>
      <c r="B8856" t="s">
        <v>677</v>
      </c>
      <c r="C8856" t="s">
        <v>11145</v>
      </c>
      <c r="D8856" t="s">
        <v>12999</v>
      </c>
      <c r="E8856" t="s">
        <v>20808</v>
      </c>
      <c r="F8856" t="s">
        <v>22436</v>
      </c>
      <c r="G8856" t="s">
        <v>22444</v>
      </c>
      <c r="H8856" t="s">
        <v>22452</v>
      </c>
      <c r="I8856" t="s">
        <v>22484</v>
      </c>
      <c r="J8856" t="s">
        <v>22960</v>
      </c>
      <c r="K8856" t="s">
        <v>29338</v>
      </c>
      <c r="M8856" t="s">
        <v>30271</v>
      </c>
      <c r="N8856" t="s">
        <v>32524</v>
      </c>
      <c r="O8856" t="s">
        <v>32525</v>
      </c>
      <c r="Q8856">
        <v>13</v>
      </c>
      <c r="R8856" t="s">
        <v>32537</v>
      </c>
      <c r="S8856" t="s">
        <v>32841</v>
      </c>
      <c r="T8856" t="s">
        <v>33547</v>
      </c>
      <c r="U8856" t="s">
        <v>40962</v>
      </c>
      <c r="W8856" t="s">
        <v>30271</v>
      </c>
      <c r="X8856" t="s">
        <v>32538</v>
      </c>
    </row>
    <row r="8857" spans="1:24">
      <c r="A8857">
        <f>HYPERLINK("https://www.philgeps.gov.ph/GEPSNONPILOT/Tender/SplashBidNoticeAbstractUI.aspx?menuIndex=3&amp;refID=7028635&amp;Result=3","7028635")</f>
        <v>0</v>
      </c>
      <c r="B8857" t="s">
        <v>2459</v>
      </c>
      <c r="C8857" t="s">
        <v>11146</v>
      </c>
      <c r="D8857" t="s">
        <v>13000</v>
      </c>
      <c r="E8857" t="s">
        <v>20809</v>
      </c>
      <c r="F8857" t="s">
        <v>22436</v>
      </c>
      <c r="G8857" t="s">
        <v>22444</v>
      </c>
      <c r="H8857" t="s">
        <v>22454</v>
      </c>
      <c r="I8857" t="s">
        <v>7738</v>
      </c>
      <c r="J8857" t="s">
        <v>23215</v>
      </c>
      <c r="K8857" t="s">
        <v>29335</v>
      </c>
      <c r="M8857" t="s">
        <v>32263</v>
      </c>
      <c r="N8857" t="s">
        <v>32524</v>
      </c>
      <c r="O8857" t="s">
        <v>32525</v>
      </c>
      <c r="P8857">
        <v>0</v>
      </c>
      <c r="Q8857">
        <v>1</v>
      </c>
      <c r="R8857" t="s">
        <v>32537</v>
      </c>
      <c r="S8857" t="s">
        <v>32828</v>
      </c>
      <c r="T8857" t="s">
        <v>33153</v>
      </c>
      <c r="U8857" t="s">
        <v>40963</v>
      </c>
      <c r="W8857" t="s">
        <v>32263</v>
      </c>
      <c r="X8857" t="s">
        <v>32538</v>
      </c>
    </row>
    <row r="8858" spans="1:24">
      <c r="A8858">
        <f>HYPERLINK("https://www.philgeps.gov.ph/GEPSNONPILOT/Tender/SplashBidNoticeAbstractUI.aspx?menuIndex=3&amp;refID=7028645&amp;Result=3","7028645")</f>
        <v>0</v>
      </c>
      <c r="B8858" t="s">
        <v>1161</v>
      </c>
      <c r="C8858" t="s">
        <v>11147</v>
      </c>
      <c r="D8858" t="s">
        <v>12998</v>
      </c>
      <c r="E8858" t="s">
        <v>20810</v>
      </c>
      <c r="F8858" t="s">
        <v>22436</v>
      </c>
      <c r="G8858" t="s">
        <v>22444</v>
      </c>
      <c r="H8858" t="s">
        <v>22452</v>
      </c>
      <c r="I8858" t="s">
        <v>3529</v>
      </c>
      <c r="J8858" t="s">
        <v>28205</v>
      </c>
      <c r="K8858" t="s">
        <v>29338</v>
      </c>
      <c r="M8858" t="s">
        <v>30807</v>
      </c>
      <c r="N8858" t="s">
        <v>32524</v>
      </c>
      <c r="O8858" t="s">
        <v>32525</v>
      </c>
      <c r="P8858">
        <v>0</v>
      </c>
      <c r="Q8858">
        <v>4</v>
      </c>
      <c r="R8858" t="s">
        <v>32537</v>
      </c>
      <c r="S8858" t="s">
        <v>32828</v>
      </c>
      <c r="T8858" t="s">
        <v>33517</v>
      </c>
      <c r="U8858" t="s">
        <v>40964</v>
      </c>
      <c r="W8858" t="s">
        <v>30807</v>
      </c>
      <c r="X8858" t="s">
        <v>32538</v>
      </c>
    </row>
    <row r="8859" spans="1:24">
      <c r="A8859">
        <f>HYPERLINK("https://www.philgeps.gov.ph/GEPSNONPILOT/Tender/SplashBidNoticeAbstractUI.aspx?menuIndex=3&amp;refID=7028743&amp;Result=3","7028743")</f>
        <v>0</v>
      </c>
      <c r="B8859" t="s">
        <v>1634</v>
      </c>
      <c r="C8859" t="s">
        <v>7289</v>
      </c>
      <c r="E8859" t="s">
        <v>20811</v>
      </c>
      <c r="F8859" t="s">
        <v>22436</v>
      </c>
      <c r="G8859" t="s">
        <v>22444</v>
      </c>
      <c r="H8859" t="s">
        <v>22452</v>
      </c>
      <c r="I8859" t="s">
        <v>22471</v>
      </c>
      <c r="J8859" t="s">
        <v>22601</v>
      </c>
      <c r="K8859" t="s">
        <v>29338</v>
      </c>
      <c r="M8859" t="s">
        <v>31324</v>
      </c>
      <c r="N8859" t="s">
        <v>32524</v>
      </c>
      <c r="O8859" t="s">
        <v>32525</v>
      </c>
      <c r="P8859">
        <v>0</v>
      </c>
      <c r="Q8859">
        <v>0</v>
      </c>
      <c r="R8859" t="s">
        <v>32537</v>
      </c>
      <c r="S8859" t="s">
        <v>32828</v>
      </c>
      <c r="T8859" t="s">
        <v>33435</v>
      </c>
      <c r="U8859" t="s">
        <v>40965</v>
      </c>
      <c r="W8859" t="s">
        <v>31324</v>
      </c>
      <c r="X8859" t="s">
        <v>32538</v>
      </c>
    </row>
    <row r="8860" spans="1:24">
      <c r="A8860">
        <f>HYPERLINK("https://www.philgeps.gov.ph/GEPSNONPILOT/Tender/SplashBidNoticeAbstractUI.aspx?menuIndex=3&amp;refID=7028805&amp;Result=3","7028805")</f>
        <v>0</v>
      </c>
      <c r="B8860" t="s">
        <v>1793</v>
      </c>
      <c r="C8860" t="s">
        <v>11148</v>
      </c>
      <c r="D8860" t="s">
        <v>13012</v>
      </c>
      <c r="E8860" t="s">
        <v>20812</v>
      </c>
      <c r="F8860" t="s">
        <v>22437</v>
      </c>
      <c r="G8860" t="s">
        <v>22444</v>
      </c>
      <c r="H8860" t="s">
        <v>22452</v>
      </c>
      <c r="I8860" t="s">
        <v>22469</v>
      </c>
      <c r="J8860" t="s">
        <v>24183</v>
      </c>
      <c r="K8860" t="s">
        <v>29336</v>
      </c>
      <c r="M8860" t="s">
        <v>31504</v>
      </c>
      <c r="N8860" t="s">
        <v>32524</v>
      </c>
      <c r="O8860" t="s">
        <v>32525</v>
      </c>
      <c r="P8860">
        <v>0</v>
      </c>
      <c r="Q8860">
        <v>7</v>
      </c>
      <c r="R8860" t="s">
        <v>32537</v>
      </c>
      <c r="S8860" t="s">
        <v>32828</v>
      </c>
      <c r="T8860" t="s">
        <v>33403</v>
      </c>
      <c r="U8860" t="s">
        <v>40966</v>
      </c>
      <c r="V8860" t="s">
        <v>43351</v>
      </c>
      <c r="W8860" t="s">
        <v>31504</v>
      </c>
      <c r="X8860" t="s">
        <v>32538</v>
      </c>
    </row>
    <row r="8861" spans="1:24">
      <c r="A8861">
        <f>HYPERLINK("https://www.philgeps.gov.ph/GEPSNONPILOT/Tender/SplashBidNoticeAbstractUI.aspx?menuIndex=3&amp;refID=7028802&amp;Result=3","7028802")</f>
        <v>0</v>
      </c>
      <c r="B8861" t="s">
        <v>2258</v>
      </c>
      <c r="C8861" t="s">
        <v>11149</v>
      </c>
      <c r="D8861" t="s">
        <v>13067</v>
      </c>
      <c r="E8861" t="s">
        <v>20813</v>
      </c>
      <c r="F8861" t="s">
        <v>22436</v>
      </c>
      <c r="G8861" t="s">
        <v>22444</v>
      </c>
      <c r="H8861" t="s">
        <v>22454</v>
      </c>
      <c r="I8861" t="s">
        <v>7738</v>
      </c>
      <c r="J8861" t="s">
        <v>28206</v>
      </c>
      <c r="K8861" t="s">
        <v>29333</v>
      </c>
      <c r="L8861" t="s">
        <v>2258</v>
      </c>
      <c r="M8861" t="s">
        <v>32027</v>
      </c>
      <c r="N8861" t="s">
        <v>32524</v>
      </c>
      <c r="O8861" t="s">
        <v>32525</v>
      </c>
      <c r="P8861">
        <v>0</v>
      </c>
      <c r="Q8861">
        <v>0</v>
      </c>
      <c r="R8861" t="s">
        <v>32537</v>
      </c>
      <c r="S8861" t="s">
        <v>32828</v>
      </c>
      <c r="T8861" t="s">
        <v>33168</v>
      </c>
      <c r="U8861" t="s">
        <v>40967</v>
      </c>
      <c r="V8861" t="s">
        <v>43256</v>
      </c>
      <c r="W8861" t="s">
        <v>32027</v>
      </c>
      <c r="X8861" t="s">
        <v>32538</v>
      </c>
    </row>
    <row r="8862" spans="1:24">
      <c r="A8862">
        <f>HYPERLINK("https://www.philgeps.gov.ph/GEPSNONPILOT/Tender/SplashBidNoticeAbstractUI.aspx?menuIndex=3&amp;refID=7028789&amp;Result=3","7028789")</f>
        <v>0</v>
      </c>
      <c r="B8862" t="s">
        <v>1161</v>
      </c>
      <c r="C8862" t="s">
        <v>11150</v>
      </c>
      <c r="D8862" t="s">
        <v>12998</v>
      </c>
      <c r="E8862" t="s">
        <v>20814</v>
      </c>
      <c r="F8862" t="s">
        <v>22436</v>
      </c>
      <c r="G8862" t="s">
        <v>22444</v>
      </c>
      <c r="H8862" t="s">
        <v>22452</v>
      </c>
      <c r="I8862" t="s">
        <v>3529</v>
      </c>
      <c r="J8862" t="s">
        <v>28207</v>
      </c>
      <c r="K8862" t="s">
        <v>29338</v>
      </c>
      <c r="M8862" t="s">
        <v>30807</v>
      </c>
      <c r="N8862" t="s">
        <v>32524</v>
      </c>
      <c r="O8862" t="s">
        <v>32525</v>
      </c>
      <c r="P8862">
        <v>0</v>
      </c>
      <c r="Q8862">
        <v>3</v>
      </c>
      <c r="R8862" t="s">
        <v>32537</v>
      </c>
      <c r="S8862" t="s">
        <v>32828</v>
      </c>
      <c r="T8862" t="s">
        <v>33517</v>
      </c>
      <c r="U8862" t="s">
        <v>40968</v>
      </c>
      <c r="W8862" t="s">
        <v>30807</v>
      </c>
      <c r="X8862" t="s">
        <v>32538</v>
      </c>
    </row>
    <row r="8863" spans="1:24">
      <c r="A8863">
        <f>HYPERLINK("https://www.philgeps.gov.ph/GEPSNONPILOT/Tender/SplashBidNoticeAbstractUI.aspx?menuIndex=3&amp;refID=7028822&amp;Result=3","7028822")</f>
        <v>0</v>
      </c>
      <c r="B8863" t="s">
        <v>2258</v>
      </c>
      <c r="C8863" t="s">
        <v>11151</v>
      </c>
      <c r="D8863" t="s">
        <v>13067</v>
      </c>
      <c r="E8863" t="s">
        <v>20815</v>
      </c>
      <c r="F8863" t="s">
        <v>22436</v>
      </c>
      <c r="G8863" t="s">
        <v>22444</v>
      </c>
      <c r="H8863" t="s">
        <v>22452</v>
      </c>
      <c r="I8863" t="s">
        <v>22474</v>
      </c>
      <c r="J8863" t="s">
        <v>23278</v>
      </c>
      <c r="K8863" t="s">
        <v>29335</v>
      </c>
      <c r="L8863" t="s">
        <v>2258</v>
      </c>
      <c r="M8863" t="s">
        <v>32027</v>
      </c>
      <c r="N8863" t="s">
        <v>32524</v>
      </c>
      <c r="O8863" t="s">
        <v>32525</v>
      </c>
      <c r="P8863">
        <v>0</v>
      </c>
      <c r="Q8863">
        <v>6</v>
      </c>
      <c r="R8863" t="s">
        <v>32537</v>
      </c>
      <c r="S8863" t="s">
        <v>32828</v>
      </c>
      <c r="T8863" t="s">
        <v>33168</v>
      </c>
      <c r="U8863" t="s">
        <v>40969</v>
      </c>
      <c r="V8863" t="s">
        <v>43256</v>
      </c>
      <c r="W8863" t="s">
        <v>32027</v>
      </c>
      <c r="X8863" t="s">
        <v>32538</v>
      </c>
    </row>
    <row r="8864" spans="1:24">
      <c r="A8864">
        <f>HYPERLINK("https://www.philgeps.gov.ph/GEPSNONPILOT/Tender/SplashBidNoticeAbstractUI.aspx?menuIndex=3&amp;refID=7028784&amp;Result=3","7028784")</f>
        <v>0</v>
      </c>
      <c r="B8864" t="s">
        <v>139</v>
      </c>
      <c r="C8864" t="s">
        <v>11152</v>
      </c>
      <c r="D8864" t="s">
        <v>13018</v>
      </c>
      <c r="E8864" t="s">
        <v>16323</v>
      </c>
      <c r="F8864" t="s">
        <v>22436</v>
      </c>
      <c r="G8864" t="s">
        <v>22444</v>
      </c>
      <c r="H8864" t="s">
        <v>22452</v>
      </c>
      <c r="I8864" t="s">
        <v>22488</v>
      </c>
      <c r="J8864" t="s">
        <v>28208</v>
      </c>
      <c r="K8864" t="s">
        <v>29335</v>
      </c>
      <c r="M8864" t="s">
        <v>29711</v>
      </c>
      <c r="N8864" t="s">
        <v>32524</v>
      </c>
      <c r="O8864" t="s">
        <v>32525</v>
      </c>
      <c r="P8864">
        <v>0</v>
      </c>
      <c r="Q8864">
        <v>0</v>
      </c>
      <c r="R8864" t="s">
        <v>32537</v>
      </c>
      <c r="S8864" t="s">
        <v>32828</v>
      </c>
      <c r="T8864" t="s">
        <v>33487</v>
      </c>
      <c r="U8864" t="s">
        <v>40970</v>
      </c>
      <c r="W8864" t="s">
        <v>29711</v>
      </c>
      <c r="X8864" t="s">
        <v>32538</v>
      </c>
    </row>
    <row r="8865" spans="1:24">
      <c r="A8865">
        <f>HYPERLINK("https://www.philgeps.gov.ph/GEPSNONPILOT/Tender/SplashBidNoticeAbstractUI.aspx?menuIndex=3&amp;refID=7028827&amp;Result=3","7028827")</f>
        <v>0</v>
      </c>
      <c r="B8865" t="s">
        <v>2479</v>
      </c>
      <c r="C8865" t="s">
        <v>3472</v>
      </c>
      <c r="D8865" t="s">
        <v>13065</v>
      </c>
      <c r="E8865" t="s">
        <v>20816</v>
      </c>
      <c r="F8865" t="s">
        <v>22436</v>
      </c>
      <c r="G8865" t="s">
        <v>22444</v>
      </c>
      <c r="H8865" t="s">
        <v>22452</v>
      </c>
      <c r="I8865" t="s">
        <v>22460</v>
      </c>
      <c r="J8865" t="s">
        <v>28209</v>
      </c>
      <c r="K8865" t="s">
        <v>29335</v>
      </c>
      <c r="M8865" t="s">
        <v>32283</v>
      </c>
      <c r="N8865" t="s">
        <v>32524</v>
      </c>
      <c r="O8865" t="s">
        <v>32525</v>
      </c>
      <c r="P8865">
        <v>0</v>
      </c>
      <c r="Q8865">
        <v>1</v>
      </c>
      <c r="R8865" t="s">
        <v>32537</v>
      </c>
      <c r="S8865" t="s">
        <v>32828</v>
      </c>
      <c r="T8865" t="s">
        <v>33582</v>
      </c>
      <c r="U8865" t="s">
        <v>40971</v>
      </c>
      <c r="W8865" t="s">
        <v>32283</v>
      </c>
      <c r="X8865" t="s">
        <v>32538</v>
      </c>
    </row>
    <row r="8866" spans="1:24">
      <c r="A8866">
        <f>HYPERLINK("https://www.philgeps.gov.ph/GEPSNONPILOT/Tender/SplashBidNoticeAbstractUI.aspx?menuIndex=3&amp;refID=7028785&amp;Result=3","7028785")</f>
        <v>0</v>
      </c>
      <c r="B8866" t="s">
        <v>960</v>
      </c>
      <c r="C8866" t="s">
        <v>11153</v>
      </c>
      <c r="D8866" t="s">
        <v>12990</v>
      </c>
      <c r="E8866" t="s">
        <v>20817</v>
      </c>
      <c r="F8866" t="s">
        <v>22436</v>
      </c>
      <c r="G8866" t="s">
        <v>22444</v>
      </c>
      <c r="H8866" t="s">
        <v>22452</v>
      </c>
      <c r="I8866" t="s">
        <v>22460</v>
      </c>
      <c r="J8866" t="s">
        <v>28210</v>
      </c>
      <c r="K8866" t="s">
        <v>29333</v>
      </c>
      <c r="M8866" t="s">
        <v>30576</v>
      </c>
      <c r="N8866" t="s">
        <v>32524</v>
      </c>
      <c r="O8866" t="s">
        <v>32525</v>
      </c>
      <c r="P8866">
        <v>0</v>
      </c>
      <c r="Q8866">
        <v>0</v>
      </c>
      <c r="R8866" t="s">
        <v>32537</v>
      </c>
      <c r="S8866" t="s">
        <v>32828</v>
      </c>
      <c r="T8866" t="s">
        <v>33371</v>
      </c>
      <c r="U8866" t="s">
        <v>40972</v>
      </c>
      <c r="W8866" t="s">
        <v>30576</v>
      </c>
      <c r="X8866" t="s">
        <v>32538</v>
      </c>
    </row>
    <row r="8867" spans="1:24">
      <c r="A8867">
        <f>HYPERLINK("https://www.philgeps.gov.ph/GEPSNONPILOT/Tender/SplashBidNoticeAbstractUI.aspx?menuIndex=3&amp;refID=7028759&amp;Result=3","7028759")</f>
        <v>0</v>
      </c>
      <c r="B8867" t="s">
        <v>1161</v>
      </c>
      <c r="C8867" t="s">
        <v>11154</v>
      </c>
      <c r="D8867" t="s">
        <v>12998</v>
      </c>
      <c r="E8867" t="s">
        <v>20818</v>
      </c>
      <c r="F8867" t="s">
        <v>22436</v>
      </c>
      <c r="G8867" t="s">
        <v>22444</v>
      </c>
      <c r="H8867" t="s">
        <v>22452</v>
      </c>
      <c r="I8867" t="s">
        <v>3529</v>
      </c>
      <c r="J8867" t="s">
        <v>24344</v>
      </c>
      <c r="K8867" t="s">
        <v>29338</v>
      </c>
      <c r="M8867" t="s">
        <v>30807</v>
      </c>
      <c r="N8867" t="s">
        <v>32524</v>
      </c>
      <c r="O8867" t="s">
        <v>32525</v>
      </c>
      <c r="P8867">
        <v>0</v>
      </c>
      <c r="Q8867">
        <v>6</v>
      </c>
      <c r="R8867" t="s">
        <v>32537</v>
      </c>
      <c r="S8867" t="s">
        <v>32828</v>
      </c>
      <c r="T8867" t="s">
        <v>33517</v>
      </c>
      <c r="U8867" t="s">
        <v>40957</v>
      </c>
      <c r="W8867" t="s">
        <v>30807</v>
      </c>
      <c r="X8867" t="s">
        <v>32538</v>
      </c>
    </row>
    <row r="8868" spans="1:24">
      <c r="A8868">
        <f>HYPERLINK("https://www.philgeps.gov.ph/GEPSNONPILOT/Tender/SplashBidNoticeAbstractUI.aspx?menuIndex=3&amp;refID=7028771&amp;Result=3","7028771")</f>
        <v>0</v>
      </c>
      <c r="B8868" t="s">
        <v>2348</v>
      </c>
      <c r="C8868" t="s">
        <v>11155</v>
      </c>
      <c r="D8868" t="s">
        <v>13084</v>
      </c>
      <c r="E8868" t="s">
        <v>20819</v>
      </c>
      <c r="F8868" t="s">
        <v>22436</v>
      </c>
      <c r="G8868" t="s">
        <v>22444</v>
      </c>
      <c r="H8868" t="s">
        <v>22452</v>
      </c>
      <c r="I8868" t="s">
        <v>22486</v>
      </c>
      <c r="J8868" t="s">
        <v>28211</v>
      </c>
      <c r="K8868" t="s">
        <v>29371</v>
      </c>
      <c r="M8868" t="s">
        <v>32128</v>
      </c>
      <c r="N8868" t="s">
        <v>32524</v>
      </c>
      <c r="O8868" t="s">
        <v>32525</v>
      </c>
      <c r="Q8868">
        <v>1</v>
      </c>
      <c r="R8868" t="s">
        <v>32537</v>
      </c>
      <c r="S8868" t="s">
        <v>32842</v>
      </c>
      <c r="T8868" t="s">
        <v>33188</v>
      </c>
      <c r="U8868" t="s">
        <v>40973</v>
      </c>
      <c r="W8868" t="s">
        <v>32128</v>
      </c>
      <c r="X8868" t="s">
        <v>32538</v>
      </c>
    </row>
    <row r="8869" spans="1:24">
      <c r="A8869">
        <f>HYPERLINK("https://www.philgeps.gov.ph/GEPSNONPILOT/Tender/SplashBidNoticeAbstractUI.aspx?menuIndex=3&amp;refID=7028829&amp;Result=3","7028829")</f>
        <v>0</v>
      </c>
      <c r="B8869" t="s">
        <v>1957</v>
      </c>
      <c r="C8869" t="s">
        <v>11156</v>
      </c>
      <c r="D8869" t="s">
        <v>12997</v>
      </c>
      <c r="E8869" t="s">
        <v>20820</v>
      </c>
      <c r="F8869" t="s">
        <v>22436</v>
      </c>
      <c r="G8869" t="s">
        <v>22443</v>
      </c>
      <c r="H8869" t="s">
        <v>22452</v>
      </c>
      <c r="I8869" t="s">
        <v>22467</v>
      </c>
      <c r="J8869" t="s">
        <v>28212</v>
      </c>
      <c r="K8869" t="s">
        <v>29341</v>
      </c>
      <c r="M8869" t="s">
        <v>31687</v>
      </c>
      <c r="N8869" t="s">
        <v>32524</v>
      </c>
      <c r="O8869" t="s">
        <v>32525</v>
      </c>
      <c r="P8869">
        <v>0</v>
      </c>
      <c r="Q8869">
        <v>0</v>
      </c>
      <c r="R8869" t="s">
        <v>32537</v>
      </c>
      <c r="S8869" t="s">
        <v>32828</v>
      </c>
      <c r="T8869" t="s">
        <v>33181</v>
      </c>
      <c r="U8869" t="s">
        <v>40974</v>
      </c>
      <c r="W8869" t="s">
        <v>31687</v>
      </c>
      <c r="X8869" t="s">
        <v>32538</v>
      </c>
    </row>
    <row r="8870" spans="1:24">
      <c r="A8870">
        <f>HYPERLINK("https://www.philgeps.gov.ph/GEPSNONPILOT/Tender/SplashBidNoticeAbstractUI.aspx?menuIndex=3&amp;refID=7028841&amp;Result=3","7028841")</f>
        <v>0</v>
      </c>
      <c r="B8870" t="s">
        <v>2480</v>
      </c>
      <c r="C8870" t="s">
        <v>11157</v>
      </c>
      <c r="D8870" t="s">
        <v>13024</v>
      </c>
      <c r="E8870" t="s">
        <v>13231</v>
      </c>
      <c r="F8870" t="s">
        <v>22436</v>
      </c>
      <c r="G8870" t="s">
        <v>22444</v>
      </c>
      <c r="H8870" t="s">
        <v>22452</v>
      </c>
      <c r="I8870" t="s">
        <v>3529</v>
      </c>
      <c r="J8870" t="s">
        <v>28213</v>
      </c>
      <c r="K8870" t="s">
        <v>29337</v>
      </c>
      <c r="M8870" t="s">
        <v>32284</v>
      </c>
      <c r="N8870" t="s">
        <v>32524</v>
      </c>
      <c r="O8870" t="s">
        <v>32525</v>
      </c>
      <c r="P8870">
        <v>0</v>
      </c>
      <c r="Q8870">
        <v>0</v>
      </c>
      <c r="R8870" t="s">
        <v>32537</v>
      </c>
      <c r="S8870" t="s">
        <v>32828</v>
      </c>
      <c r="T8870" t="s">
        <v>33583</v>
      </c>
      <c r="U8870" t="s">
        <v>40975</v>
      </c>
      <c r="V8870" t="s">
        <v>43411</v>
      </c>
      <c r="W8870" t="s">
        <v>32284</v>
      </c>
      <c r="X8870" t="s">
        <v>32538</v>
      </c>
    </row>
    <row r="8871" spans="1:24">
      <c r="A8871">
        <f>HYPERLINK("https://www.philgeps.gov.ph/GEPSNONPILOT/Tender/SplashBidNoticeAbstractUI.aspx?menuIndex=3&amp;refID=7028750&amp;Result=3","7028750")</f>
        <v>0</v>
      </c>
      <c r="B8871" t="s">
        <v>139</v>
      </c>
      <c r="C8871" t="s">
        <v>11158</v>
      </c>
      <c r="D8871" t="s">
        <v>13018</v>
      </c>
      <c r="E8871" t="s">
        <v>16321</v>
      </c>
      <c r="F8871" t="s">
        <v>22436</v>
      </c>
      <c r="G8871" t="s">
        <v>22444</v>
      </c>
      <c r="H8871" t="s">
        <v>22452</v>
      </c>
      <c r="I8871" t="s">
        <v>22488</v>
      </c>
      <c r="J8871" t="s">
        <v>24874</v>
      </c>
      <c r="K8871" t="s">
        <v>29335</v>
      </c>
      <c r="M8871" t="s">
        <v>29711</v>
      </c>
      <c r="N8871" t="s">
        <v>32524</v>
      </c>
      <c r="O8871" t="s">
        <v>32525</v>
      </c>
      <c r="P8871">
        <v>0</v>
      </c>
      <c r="Q8871">
        <v>1</v>
      </c>
      <c r="R8871" t="s">
        <v>32537</v>
      </c>
      <c r="S8871" t="s">
        <v>32828</v>
      </c>
      <c r="T8871" t="s">
        <v>33487</v>
      </c>
      <c r="U8871" t="s">
        <v>40976</v>
      </c>
      <c r="W8871" t="s">
        <v>29711</v>
      </c>
      <c r="X8871" t="s">
        <v>32538</v>
      </c>
    </row>
    <row r="8872" spans="1:24">
      <c r="A8872">
        <f>HYPERLINK("https://www.philgeps.gov.ph/GEPSNONPILOT/Tender/SplashBidNoticeAbstractUI.aspx?menuIndex=3&amp;refID=7028840&amp;Result=3","7028840")</f>
        <v>0</v>
      </c>
      <c r="B8872" t="s">
        <v>760</v>
      </c>
      <c r="C8872" t="s">
        <v>11159</v>
      </c>
      <c r="D8872" t="s">
        <v>13051</v>
      </c>
      <c r="E8872" t="s">
        <v>20821</v>
      </c>
      <c r="F8872" t="s">
        <v>22436</v>
      </c>
      <c r="G8872" t="s">
        <v>22444</v>
      </c>
      <c r="H8872" t="s">
        <v>22454</v>
      </c>
      <c r="I8872" t="s">
        <v>7738</v>
      </c>
      <c r="J8872" t="s">
        <v>28214</v>
      </c>
      <c r="K8872" t="s">
        <v>29333</v>
      </c>
      <c r="M8872" t="s">
        <v>30361</v>
      </c>
      <c r="N8872" t="s">
        <v>32524</v>
      </c>
      <c r="O8872" t="s">
        <v>32525</v>
      </c>
      <c r="P8872">
        <v>0</v>
      </c>
      <c r="Q8872">
        <v>0</v>
      </c>
      <c r="R8872" t="s">
        <v>32537</v>
      </c>
      <c r="S8872" t="s">
        <v>32828</v>
      </c>
      <c r="T8872" t="s">
        <v>33340</v>
      </c>
      <c r="U8872" t="s">
        <v>40977</v>
      </c>
      <c r="W8872" t="s">
        <v>30361</v>
      </c>
      <c r="X8872" t="s">
        <v>32538</v>
      </c>
    </row>
    <row r="8873" spans="1:24">
      <c r="A8873">
        <f>HYPERLINK("https://www.philgeps.gov.ph/GEPSNONPILOT/Tender/SplashBidNoticeAbstractUI.aspx?menuIndex=3&amp;refID=7028842&amp;Result=3","7028842")</f>
        <v>0</v>
      </c>
      <c r="B8873" t="s">
        <v>2258</v>
      </c>
      <c r="C8873" t="s">
        <v>11160</v>
      </c>
      <c r="D8873" t="s">
        <v>13067</v>
      </c>
      <c r="E8873" t="s">
        <v>20822</v>
      </c>
      <c r="F8873" t="s">
        <v>22436</v>
      </c>
      <c r="G8873" t="s">
        <v>22444</v>
      </c>
      <c r="H8873" t="s">
        <v>22452</v>
      </c>
      <c r="I8873" t="s">
        <v>2962</v>
      </c>
      <c r="J8873" t="s">
        <v>28215</v>
      </c>
      <c r="K8873" t="s">
        <v>29335</v>
      </c>
      <c r="L8873" t="s">
        <v>2258</v>
      </c>
      <c r="M8873" t="s">
        <v>32027</v>
      </c>
      <c r="N8873" t="s">
        <v>32524</v>
      </c>
      <c r="O8873" t="s">
        <v>32525</v>
      </c>
      <c r="P8873">
        <v>0</v>
      </c>
      <c r="Q8873">
        <v>1</v>
      </c>
      <c r="R8873" t="s">
        <v>32537</v>
      </c>
      <c r="S8873" t="s">
        <v>32828</v>
      </c>
      <c r="T8873" t="s">
        <v>33168</v>
      </c>
      <c r="U8873" t="s">
        <v>40978</v>
      </c>
      <c r="V8873" t="s">
        <v>43256</v>
      </c>
      <c r="W8873" t="s">
        <v>32027</v>
      </c>
      <c r="X8873" t="s">
        <v>32538</v>
      </c>
    </row>
    <row r="8874" spans="1:24">
      <c r="A8874">
        <f>HYPERLINK("https://www.philgeps.gov.ph/GEPSNONPILOT/Tender/SplashBidNoticeAbstractUI.aspx?menuIndex=3&amp;refID=7028792&amp;Result=3","7028792")</f>
        <v>0</v>
      </c>
      <c r="B8874" t="s">
        <v>1791</v>
      </c>
      <c r="C8874" t="s">
        <v>11161</v>
      </c>
      <c r="D8874" t="s">
        <v>13065</v>
      </c>
      <c r="E8874" t="s">
        <v>20823</v>
      </c>
      <c r="F8874" t="s">
        <v>22436</v>
      </c>
      <c r="G8874" t="s">
        <v>22444</v>
      </c>
      <c r="H8874" t="s">
        <v>22454</v>
      </c>
      <c r="I8874" t="s">
        <v>7738</v>
      </c>
      <c r="J8874" t="s">
        <v>28216</v>
      </c>
      <c r="K8874" t="s">
        <v>29334</v>
      </c>
      <c r="M8874" t="s">
        <v>31502</v>
      </c>
      <c r="N8874" t="s">
        <v>32524</v>
      </c>
      <c r="O8874" t="s">
        <v>32525</v>
      </c>
      <c r="P8874">
        <v>0</v>
      </c>
      <c r="Q8874">
        <v>0</v>
      </c>
      <c r="R8874" t="s">
        <v>32537</v>
      </c>
      <c r="S8874" t="s">
        <v>32828</v>
      </c>
      <c r="T8874" t="s">
        <v>33171</v>
      </c>
      <c r="U8874" t="s">
        <v>40979</v>
      </c>
      <c r="V8874" t="s">
        <v>43018</v>
      </c>
      <c r="W8874" t="s">
        <v>31502</v>
      </c>
      <c r="X8874" t="s">
        <v>32538</v>
      </c>
    </row>
    <row r="8875" spans="1:24">
      <c r="A8875">
        <f>HYPERLINK("https://www.philgeps.gov.ph/GEPSNONPILOT/Tender/SplashBidNoticeAbstractUI.aspx?menuIndex=3&amp;refID=7028821&amp;Result=3","7028821")</f>
        <v>0</v>
      </c>
      <c r="B8875" t="s">
        <v>2480</v>
      </c>
      <c r="C8875" t="s">
        <v>11162</v>
      </c>
      <c r="D8875" t="s">
        <v>13024</v>
      </c>
      <c r="E8875" t="s">
        <v>13226</v>
      </c>
      <c r="F8875" t="s">
        <v>22436</v>
      </c>
      <c r="G8875" t="s">
        <v>22444</v>
      </c>
      <c r="H8875" t="s">
        <v>22452</v>
      </c>
      <c r="I8875" t="s">
        <v>3529</v>
      </c>
      <c r="J8875" t="s">
        <v>28217</v>
      </c>
      <c r="K8875" t="s">
        <v>29337</v>
      </c>
      <c r="M8875" t="s">
        <v>32284</v>
      </c>
      <c r="N8875" t="s">
        <v>32524</v>
      </c>
      <c r="O8875" t="s">
        <v>32525</v>
      </c>
      <c r="P8875">
        <v>0</v>
      </c>
      <c r="Q8875">
        <v>1</v>
      </c>
      <c r="R8875" t="s">
        <v>32537</v>
      </c>
      <c r="S8875" t="s">
        <v>32828</v>
      </c>
      <c r="T8875" t="s">
        <v>33583</v>
      </c>
      <c r="U8875" t="s">
        <v>40980</v>
      </c>
      <c r="V8875" t="s">
        <v>43411</v>
      </c>
      <c r="W8875" t="s">
        <v>32284</v>
      </c>
      <c r="X8875" t="s">
        <v>32538</v>
      </c>
    </row>
    <row r="8876" spans="1:24">
      <c r="A8876">
        <f>HYPERLINK("https://www.philgeps.gov.ph/GEPSNONPILOT/Tender/SplashBidNoticeAbstractUI.aspx?menuIndex=3&amp;refID=7028843&amp;Result=3","7028843")</f>
        <v>0</v>
      </c>
      <c r="B8876" t="s">
        <v>1070</v>
      </c>
      <c r="C8876" t="s">
        <v>11163</v>
      </c>
      <c r="E8876" t="s">
        <v>20824</v>
      </c>
      <c r="F8876" t="s">
        <v>22436</v>
      </c>
      <c r="G8876" t="s">
        <v>22443</v>
      </c>
      <c r="H8876" t="s">
        <v>22452</v>
      </c>
      <c r="I8876" t="s">
        <v>3027</v>
      </c>
      <c r="J8876" t="s">
        <v>25353</v>
      </c>
      <c r="K8876" t="s">
        <v>29338</v>
      </c>
      <c r="M8876" t="s">
        <v>31329</v>
      </c>
      <c r="N8876" t="s">
        <v>32524</v>
      </c>
      <c r="O8876" t="s">
        <v>32525</v>
      </c>
      <c r="P8876">
        <v>0</v>
      </c>
      <c r="Q8876">
        <v>1</v>
      </c>
      <c r="R8876" t="s">
        <v>32537</v>
      </c>
      <c r="S8876" t="s">
        <v>32828</v>
      </c>
      <c r="T8876" t="s">
        <v>33372</v>
      </c>
      <c r="U8876" t="s">
        <v>40981</v>
      </c>
      <c r="V8876" t="s">
        <v>42948</v>
      </c>
      <c r="W8876" t="s">
        <v>31329</v>
      </c>
      <c r="X8876" t="s">
        <v>32538</v>
      </c>
    </row>
    <row r="8877" spans="1:24">
      <c r="A8877">
        <f>HYPERLINK("https://www.philgeps.gov.ph/GEPSNONPILOT/Tender/SplashBidNoticeAbstractUI.aspx?menuIndex=3&amp;refID=7028756&amp;Result=3","7028756")</f>
        <v>0</v>
      </c>
      <c r="B8877" t="s">
        <v>970</v>
      </c>
      <c r="C8877" t="s">
        <v>11164</v>
      </c>
      <c r="D8877" t="s">
        <v>13042</v>
      </c>
      <c r="E8877" t="s">
        <v>14624</v>
      </c>
      <c r="F8877" t="s">
        <v>22436</v>
      </c>
      <c r="G8877" t="s">
        <v>22444</v>
      </c>
      <c r="H8877" t="s">
        <v>22452</v>
      </c>
      <c r="I8877" t="s">
        <v>22461</v>
      </c>
      <c r="J8877" t="s">
        <v>28218</v>
      </c>
      <c r="K8877" t="s">
        <v>29329</v>
      </c>
      <c r="L8877" t="s">
        <v>970</v>
      </c>
      <c r="M8877" t="s">
        <v>30589</v>
      </c>
      <c r="N8877" t="s">
        <v>32524</v>
      </c>
      <c r="O8877" t="s">
        <v>32525</v>
      </c>
      <c r="P8877">
        <v>0</v>
      </c>
      <c r="Q8877">
        <v>2</v>
      </c>
      <c r="R8877" t="s">
        <v>32537</v>
      </c>
      <c r="S8877" t="s">
        <v>32828</v>
      </c>
      <c r="T8877" t="s">
        <v>33466</v>
      </c>
      <c r="U8877" t="s">
        <v>40982</v>
      </c>
      <c r="V8877" t="s">
        <v>43410</v>
      </c>
      <c r="W8877" t="s">
        <v>30589</v>
      </c>
      <c r="X8877" t="s">
        <v>32538</v>
      </c>
    </row>
    <row r="8878" spans="1:24">
      <c r="A8878">
        <f>HYPERLINK("https://www.philgeps.gov.ph/GEPSNONPILOT/Tender/SplashBidNoticeAbstractUI.aspx?menuIndex=3&amp;refID=7028833&amp;Result=3","7028833")</f>
        <v>0</v>
      </c>
      <c r="B8878" t="s">
        <v>2438</v>
      </c>
      <c r="C8878" t="s">
        <v>3642</v>
      </c>
      <c r="D8878" t="s">
        <v>12988</v>
      </c>
      <c r="E8878" t="s">
        <v>20825</v>
      </c>
      <c r="F8878" t="s">
        <v>22436</v>
      </c>
      <c r="G8878" t="s">
        <v>22444</v>
      </c>
      <c r="H8878" t="s">
        <v>22452</v>
      </c>
      <c r="I8878" t="s">
        <v>2981</v>
      </c>
      <c r="J8878" t="s">
        <v>28219</v>
      </c>
      <c r="K8878" t="s">
        <v>29341</v>
      </c>
      <c r="M8878" t="s">
        <v>32242</v>
      </c>
      <c r="N8878" t="s">
        <v>32524</v>
      </c>
      <c r="O8878" t="s">
        <v>32525</v>
      </c>
      <c r="P8878">
        <v>0</v>
      </c>
      <c r="Q8878">
        <v>2</v>
      </c>
      <c r="R8878" t="s">
        <v>32537</v>
      </c>
      <c r="S8878" t="s">
        <v>32828</v>
      </c>
      <c r="T8878" t="s">
        <v>33278</v>
      </c>
      <c r="U8878" t="s">
        <v>40983</v>
      </c>
      <c r="W8878" t="s">
        <v>32242</v>
      </c>
      <c r="X8878" t="s">
        <v>32538</v>
      </c>
    </row>
    <row r="8879" spans="1:24">
      <c r="A8879">
        <f>HYPERLINK("https://www.philgeps.gov.ph/GEPSNONPILOT/Tender/SplashBidNoticeAbstractUI.aspx?menuIndex=3&amp;refID=7028913&amp;Result=3","7028913")</f>
        <v>0</v>
      </c>
      <c r="B8879" t="s">
        <v>1161</v>
      </c>
      <c r="C8879" t="s">
        <v>11165</v>
      </c>
      <c r="D8879" t="s">
        <v>12998</v>
      </c>
      <c r="E8879" t="s">
        <v>20826</v>
      </c>
      <c r="F8879" t="s">
        <v>22436</v>
      </c>
      <c r="G8879" t="s">
        <v>22444</v>
      </c>
      <c r="H8879" t="s">
        <v>22452</v>
      </c>
      <c r="I8879" t="s">
        <v>22474</v>
      </c>
      <c r="J8879" t="s">
        <v>28220</v>
      </c>
      <c r="K8879" t="s">
        <v>29338</v>
      </c>
      <c r="M8879" t="s">
        <v>30807</v>
      </c>
      <c r="N8879" t="s">
        <v>32524</v>
      </c>
      <c r="O8879" t="s">
        <v>32525</v>
      </c>
      <c r="P8879">
        <v>0</v>
      </c>
      <c r="Q8879">
        <v>16</v>
      </c>
      <c r="R8879" t="s">
        <v>32537</v>
      </c>
      <c r="S8879" t="s">
        <v>32828</v>
      </c>
      <c r="T8879" t="s">
        <v>33517</v>
      </c>
      <c r="U8879" t="s">
        <v>40984</v>
      </c>
      <c r="W8879" t="s">
        <v>30807</v>
      </c>
      <c r="X8879" t="s">
        <v>32538</v>
      </c>
    </row>
    <row r="8880" spans="1:24">
      <c r="A8880">
        <f>HYPERLINK("https://www.philgeps.gov.ph/GEPSNONPILOT/Tender/SplashBidNoticeAbstractUI.aspx?menuIndex=3&amp;refID=7028870&amp;Result=3","7028870")</f>
        <v>0</v>
      </c>
      <c r="B8880" t="s">
        <v>2327</v>
      </c>
      <c r="C8880" t="s">
        <v>11166</v>
      </c>
      <c r="D8880" t="s">
        <v>13054</v>
      </c>
      <c r="E8880" t="s">
        <v>20778</v>
      </c>
      <c r="F8880" t="s">
        <v>22436</v>
      </c>
      <c r="G8880" t="s">
        <v>22444</v>
      </c>
      <c r="H8880" t="s">
        <v>22454</v>
      </c>
      <c r="I8880" t="s">
        <v>7738</v>
      </c>
      <c r="J8880" t="s">
        <v>28221</v>
      </c>
      <c r="K8880" t="s">
        <v>29338</v>
      </c>
      <c r="M8880" t="s">
        <v>32104</v>
      </c>
      <c r="N8880" t="s">
        <v>32524</v>
      </c>
      <c r="O8880" t="s">
        <v>32525</v>
      </c>
      <c r="P8880">
        <v>0</v>
      </c>
      <c r="Q8880">
        <v>0</v>
      </c>
      <c r="R8880" t="s">
        <v>32537</v>
      </c>
      <c r="S8880" t="s">
        <v>32828</v>
      </c>
      <c r="T8880" t="s">
        <v>33249</v>
      </c>
      <c r="U8880" t="s">
        <v>40985</v>
      </c>
      <c r="V8880" t="s">
        <v>43407</v>
      </c>
      <c r="W8880" t="s">
        <v>32104</v>
      </c>
      <c r="X8880" t="s">
        <v>32538</v>
      </c>
    </row>
    <row r="8881" spans="1:24">
      <c r="A8881">
        <f>HYPERLINK("https://www.philgeps.gov.ph/GEPSNONPILOT/Tender/SplashBidNoticeAbstractUI.aspx?menuIndex=3&amp;refID=7028884&amp;Result=3","7028884")</f>
        <v>0</v>
      </c>
      <c r="B8881" t="s">
        <v>960</v>
      </c>
      <c r="C8881" t="s">
        <v>11167</v>
      </c>
      <c r="D8881" t="s">
        <v>12990</v>
      </c>
      <c r="E8881" t="s">
        <v>20827</v>
      </c>
      <c r="F8881" t="s">
        <v>22436</v>
      </c>
      <c r="G8881" t="s">
        <v>22444</v>
      </c>
      <c r="H8881" t="s">
        <v>22452</v>
      </c>
      <c r="I8881" t="s">
        <v>3840</v>
      </c>
      <c r="J8881" t="s">
        <v>28222</v>
      </c>
      <c r="K8881" t="s">
        <v>29333</v>
      </c>
      <c r="M8881" t="s">
        <v>30576</v>
      </c>
      <c r="N8881" t="s">
        <v>32524</v>
      </c>
      <c r="O8881" t="s">
        <v>32525</v>
      </c>
      <c r="P8881">
        <v>0</v>
      </c>
      <c r="Q8881">
        <v>1</v>
      </c>
      <c r="R8881" t="s">
        <v>32537</v>
      </c>
      <c r="S8881" t="s">
        <v>32828</v>
      </c>
      <c r="T8881" t="s">
        <v>33371</v>
      </c>
      <c r="U8881" t="s">
        <v>40986</v>
      </c>
      <c r="W8881" t="s">
        <v>30576</v>
      </c>
      <c r="X8881" t="s">
        <v>32538</v>
      </c>
    </row>
    <row r="8882" spans="1:24">
      <c r="A8882">
        <f>HYPERLINK("https://www.philgeps.gov.ph/GEPSNONPILOT/Tender/SplashBidNoticeAbstractUI.aspx?menuIndex=3&amp;refID=7028849&amp;Result=3","7028849")</f>
        <v>0</v>
      </c>
      <c r="B8882" t="s">
        <v>1957</v>
      </c>
      <c r="C8882" t="s">
        <v>8568</v>
      </c>
      <c r="D8882" t="s">
        <v>12997</v>
      </c>
      <c r="E8882" t="s">
        <v>18542</v>
      </c>
      <c r="F8882" t="s">
        <v>22436</v>
      </c>
      <c r="G8882" t="s">
        <v>22443</v>
      </c>
      <c r="H8882" t="s">
        <v>22452</v>
      </c>
      <c r="I8882" t="s">
        <v>3840</v>
      </c>
      <c r="J8882" t="s">
        <v>28223</v>
      </c>
      <c r="K8882" t="s">
        <v>29341</v>
      </c>
      <c r="M8882" t="s">
        <v>31687</v>
      </c>
      <c r="N8882" t="s">
        <v>32524</v>
      </c>
      <c r="O8882" t="s">
        <v>32525</v>
      </c>
      <c r="P8882">
        <v>0</v>
      </c>
      <c r="Q8882">
        <v>1</v>
      </c>
      <c r="R8882" t="s">
        <v>32537</v>
      </c>
      <c r="S8882" t="s">
        <v>32828</v>
      </c>
      <c r="T8882" t="s">
        <v>33181</v>
      </c>
      <c r="U8882" t="s">
        <v>40987</v>
      </c>
      <c r="W8882" t="s">
        <v>31687</v>
      </c>
      <c r="X8882" t="s">
        <v>32538</v>
      </c>
    </row>
    <row r="8883" spans="1:24">
      <c r="A8883">
        <f>HYPERLINK("https://www.philgeps.gov.ph/GEPSNONPILOT/Tender/SplashBidNoticeAbstractUI.aspx?menuIndex=3&amp;refID=7028834&amp;Result=3","7028834")</f>
        <v>0</v>
      </c>
      <c r="B8883" t="s">
        <v>960</v>
      </c>
      <c r="C8883" t="s">
        <v>11168</v>
      </c>
      <c r="D8883" t="s">
        <v>12990</v>
      </c>
      <c r="E8883" t="s">
        <v>20828</v>
      </c>
      <c r="F8883" t="s">
        <v>22436</v>
      </c>
      <c r="G8883" t="s">
        <v>22444</v>
      </c>
      <c r="H8883" t="s">
        <v>22452</v>
      </c>
      <c r="I8883" t="s">
        <v>22460</v>
      </c>
      <c r="J8883" t="s">
        <v>28224</v>
      </c>
      <c r="K8883" t="s">
        <v>29333</v>
      </c>
      <c r="M8883" t="s">
        <v>30576</v>
      </c>
      <c r="N8883" t="s">
        <v>32524</v>
      </c>
      <c r="O8883" t="s">
        <v>32525</v>
      </c>
      <c r="P8883">
        <v>0</v>
      </c>
      <c r="Q8883">
        <v>2</v>
      </c>
      <c r="R8883" t="s">
        <v>32537</v>
      </c>
      <c r="S8883" t="s">
        <v>32828</v>
      </c>
      <c r="T8883" t="s">
        <v>33371</v>
      </c>
      <c r="U8883" t="s">
        <v>40988</v>
      </c>
      <c r="W8883" t="s">
        <v>30576</v>
      </c>
      <c r="X8883" t="s">
        <v>32538</v>
      </c>
    </row>
    <row r="8884" spans="1:24">
      <c r="A8884">
        <f>HYPERLINK("https://www.philgeps.gov.ph/GEPSNONPILOT/Tender/SplashBidNoticeAbstractUI.aspx?menuIndex=3&amp;refID=7028989&amp;Result=3","7028989")</f>
        <v>0</v>
      </c>
      <c r="B8884" t="s">
        <v>2481</v>
      </c>
      <c r="C8884" t="s">
        <v>4770</v>
      </c>
      <c r="E8884" t="s">
        <v>20829</v>
      </c>
      <c r="F8884" t="s">
        <v>22436</v>
      </c>
      <c r="G8884" t="s">
        <v>22444</v>
      </c>
      <c r="H8884" t="s">
        <v>22452</v>
      </c>
      <c r="I8884" t="s">
        <v>22460</v>
      </c>
      <c r="J8884" t="s">
        <v>28225</v>
      </c>
      <c r="K8884" t="s">
        <v>29333</v>
      </c>
      <c r="M8884" t="s">
        <v>32285</v>
      </c>
      <c r="N8884" t="s">
        <v>32524</v>
      </c>
      <c r="O8884" t="s">
        <v>32525</v>
      </c>
      <c r="P8884">
        <v>0</v>
      </c>
      <c r="Q8884">
        <v>3</v>
      </c>
      <c r="R8884" t="s">
        <v>32537</v>
      </c>
      <c r="S8884" t="s">
        <v>32828</v>
      </c>
      <c r="T8884" t="s">
        <v>33185</v>
      </c>
      <c r="U8884" t="s">
        <v>40989</v>
      </c>
      <c r="W8884" t="s">
        <v>32285</v>
      </c>
      <c r="X8884" t="s">
        <v>32538</v>
      </c>
    </row>
    <row r="8885" spans="1:24">
      <c r="A8885">
        <f>HYPERLINK("https://www.philgeps.gov.ph/GEPSNONPILOT/Tender/SplashBidNoticeAbstractUI.aspx?menuIndex=3&amp;refID=7028906&amp;Result=3","7028906")</f>
        <v>0</v>
      </c>
      <c r="B8885" t="s">
        <v>1689</v>
      </c>
      <c r="C8885" t="s">
        <v>11169</v>
      </c>
      <c r="D8885" t="s">
        <v>13037</v>
      </c>
      <c r="E8885" t="s">
        <v>20830</v>
      </c>
      <c r="F8885" t="s">
        <v>22436</v>
      </c>
      <c r="G8885" t="s">
        <v>22444</v>
      </c>
      <c r="H8885" t="s">
        <v>22454</v>
      </c>
      <c r="I8885" t="s">
        <v>7738</v>
      </c>
      <c r="J8885" t="s">
        <v>22587</v>
      </c>
      <c r="K8885" t="s">
        <v>29388</v>
      </c>
      <c r="M8885" t="s">
        <v>31389</v>
      </c>
      <c r="N8885" t="s">
        <v>32524</v>
      </c>
      <c r="O8885" t="s">
        <v>32525</v>
      </c>
      <c r="P8885">
        <v>0</v>
      </c>
      <c r="Q8885">
        <v>0</v>
      </c>
      <c r="R8885" t="s">
        <v>32537</v>
      </c>
      <c r="S8885" t="s">
        <v>32828</v>
      </c>
      <c r="T8885" t="s">
        <v>33380</v>
      </c>
      <c r="U8885" t="s">
        <v>40990</v>
      </c>
      <c r="W8885" t="s">
        <v>31389</v>
      </c>
      <c r="X8885" t="s">
        <v>32538</v>
      </c>
    </row>
    <row r="8886" spans="1:24">
      <c r="A8886">
        <f>HYPERLINK("https://www.philgeps.gov.ph/GEPSNONPILOT/Tender/SplashBidNoticeAbstractUI.aspx?menuIndex=3&amp;refID=7028848&amp;Result=3","7028848")</f>
        <v>0</v>
      </c>
      <c r="B8886" t="s">
        <v>844</v>
      </c>
      <c r="C8886" t="s">
        <v>11170</v>
      </c>
      <c r="D8886" t="s">
        <v>13009</v>
      </c>
      <c r="E8886" t="s">
        <v>20831</v>
      </c>
      <c r="F8886" t="s">
        <v>22436</v>
      </c>
      <c r="G8886" t="s">
        <v>22444</v>
      </c>
      <c r="H8886" t="s">
        <v>22454</v>
      </c>
      <c r="I8886" t="s">
        <v>7738</v>
      </c>
      <c r="J8886" t="s">
        <v>28226</v>
      </c>
      <c r="K8886" t="s">
        <v>29359</v>
      </c>
      <c r="M8886" t="s">
        <v>30450</v>
      </c>
      <c r="N8886" t="s">
        <v>32524</v>
      </c>
      <c r="O8886" t="s">
        <v>32525</v>
      </c>
      <c r="P8886">
        <v>0</v>
      </c>
      <c r="Q8886">
        <v>0</v>
      </c>
      <c r="R8886" t="s">
        <v>32537</v>
      </c>
      <c r="S8886" t="s">
        <v>32828</v>
      </c>
      <c r="T8886" t="s">
        <v>33268</v>
      </c>
      <c r="U8886" t="s">
        <v>40991</v>
      </c>
      <c r="W8886" t="s">
        <v>30450</v>
      </c>
      <c r="X8886" t="s">
        <v>32538</v>
      </c>
    </row>
    <row r="8887" spans="1:24">
      <c r="A8887">
        <f>HYPERLINK("https://www.philgeps.gov.ph/GEPSNONPILOT/Tender/SplashBidNoticeAbstractUI.aspx?menuIndex=3&amp;refID=7028939&amp;Result=3","7028939")</f>
        <v>0</v>
      </c>
      <c r="B8887" t="s">
        <v>2478</v>
      </c>
      <c r="C8887" t="s">
        <v>11171</v>
      </c>
      <c r="D8887" t="s">
        <v>13014</v>
      </c>
      <c r="E8887" t="s">
        <v>20832</v>
      </c>
      <c r="F8887" t="s">
        <v>22436</v>
      </c>
      <c r="G8887" t="s">
        <v>22444</v>
      </c>
      <c r="H8887" t="s">
        <v>22454</v>
      </c>
      <c r="I8887" t="s">
        <v>6387</v>
      </c>
      <c r="J8887" t="s">
        <v>28227</v>
      </c>
      <c r="K8887" t="s">
        <v>29383</v>
      </c>
      <c r="M8887" t="s">
        <v>32282</v>
      </c>
      <c r="N8887" t="s">
        <v>32524</v>
      </c>
      <c r="O8887" t="s">
        <v>32525</v>
      </c>
      <c r="P8887">
        <v>0</v>
      </c>
      <c r="Q8887">
        <v>2</v>
      </c>
      <c r="R8887" t="s">
        <v>32537</v>
      </c>
      <c r="S8887" t="s">
        <v>32828</v>
      </c>
      <c r="T8887" t="s">
        <v>33385</v>
      </c>
      <c r="U8887" t="s">
        <v>40992</v>
      </c>
      <c r="W8887" t="s">
        <v>32282</v>
      </c>
      <c r="X8887" t="s">
        <v>32538</v>
      </c>
    </row>
    <row r="8888" spans="1:24">
      <c r="A8888">
        <f>HYPERLINK("https://www.philgeps.gov.ph/GEPSNONPILOT/Tender/SplashBidNoticeAbstractUI.aspx?menuIndex=3&amp;refID=7028887&amp;Result=3","7028887")</f>
        <v>0</v>
      </c>
      <c r="B8888" t="s">
        <v>2480</v>
      </c>
      <c r="C8888" t="s">
        <v>11172</v>
      </c>
      <c r="D8888" t="s">
        <v>13024</v>
      </c>
      <c r="E8888" t="s">
        <v>13228</v>
      </c>
      <c r="F8888" t="s">
        <v>22436</v>
      </c>
      <c r="G8888" t="s">
        <v>22444</v>
      </c>
      <c r="H8888" t="s">
        <v>22452</v>
      </c>
      <c r="I8888" t="s">
        <v>3529</v>
      </c>
      <c r="J8888" t="s">
        <v>28228</v>
      </c>
      <c r="K8888" t="s">
        <v>29337</v>
      </c>
      <c r="M8888" t="s">
        <v>32284</v>
      </c>
      <c r="N8888" t="s">
        <v>32524</v>
      </c>
      <c r="O8888" t="s">
        <v>32525</v>
      </c>
      <c r="P8888">
        <v>0</v>
      </c>
      <c r="Q8888">
        <v>0</v>
      </c>
      <c r="R8888" t="s">
        <v>32537</v>
      </c>
      <c r="S8888" t="s">
        <v>32828</v>
      </c>
      <c r="T8888" t="s">
        <v>33583</v>
      </c>
      <c r="U8888" t="s">
        <v>40993</v>
      </c>
      <c r="V8888" t="s">
        <v>43411</v>
      </c>
      <c r="W8888" t="s">
        <v>32284</v>
      </c>
      <c r="X8888" t="s">
        <v>32538</v>
      </c>
    </row>
    <row r="8889" spans="1:24">
      <c r="A8889">
        <f>HYPERLINK("https://www.philgeps.gov.ph/GEPSNONPILOT/Tender/SplashBidNoticeAbstractUI.aspx?menuIndex=3&amp;refID=7028927&amp;Result=3","7028927")</f>
        <v>0</v>
      </c>
      <c r="B8889" t="s">
        <v>2482</v>
      </c>
      <c r="C8889" t="s">
        <v>11173</v>
      </c>
      <c r="D8889" t="s">
        <v>13022</v>
      </c>
      <c r="E8889" t="s">
        <v>20833</v>
      </c>
      <c r="F8889" t="s">
        <v>22436</v>
      </c>
      <c r="G8889" t="s">
        <v>22444</v>
      </c>
      <c r="H8889" t="s">
        <v>22454</v>
      </c>
      <c r="I8889" t="s">
        <v>7738</v>
      </c>
      <c r="J8889" t="s">
        <v>28229</v>
      </c>
      <c r="K8889" t="s">
        <v>29333</v>
      </c>
      <c r="M8889" t="s">
        <v>32286</v>
      </c>
      <c r="N8889" t="s">
        <v>32524</v>
      </c>
      <c r="O8889" t="s">
        <v>32525</v>
      </c>
      <c r="P8889">
        <v>0</v>
      </c>
      <c r="Q8889">
        <v>3</v>
      </c>
      <c r="R8889" t="s">
        <v>32537</v>
      </c>
      <c r="S8889" t="s">
        <v>32828</v>
      </c>
      <c r="T8889" t="s">
        <v>33168</v>
      </c>
      <c r="U8889" t="s">
        <v>40994</v>
      </c>
      <c r="V8889" t="s">
        <v>43412</v>
      </c>
      <c r="W8889" t="s">
        <v>32286</v>
      </c>
      <c r="X8889" t="s">
        <v>32538</v>
      </c>
    </row>
    <row r="8890" spans="1:24">
      <c r="A8890">
        <f>HYPERLINK("https://www.philgeps.gov.ph/GEPSNONPILOT/Tender/SplashBidNoticeAbstractUI.aspx?menuIndex=3&amp;refID=7028963&amp;Result=3","7028963")</f>
        <v>0</v>
      </c>
      <c r="B8890" t="s">
        <v>970</v>
      </c>
      <c r="C8890" t="s">
        <v>11174</v>
      </c>
      <c r="D8890" t="s">
        <v>13042</v>
      </c>
      <c r="E8890" t="s">
        <v>14667</v>
      </c>
      <c r="F8890" t="s">
        <v>22436</v>
      </c>
      <c r="G8890" t="s">
        <v>22444</v>
      </c>
      <c r="H8890" t="s">
        <v>22452</v>
      </c>
      <c r="I8890" t="s">
        <v>22469</v>
      </c>
      <c r="J8890" t="s">
        <v>28230</v>
      </c>
      <c r="K8890" t="s">
        <v>29329</v>
      </c>
      <c r="L8890" t="s">
        <v>970</v>
      </c>
      <c r="M8890" t="s">
        <v>30589</v>
      </c>
      <c r="N8890" t="s">
        <v>32524</v>
      </c>
      <c r="O8890" t="s">
        <v>32525</v>
      </c>
      <c r="P8890">
        <v>0</v>
      </c>
      <c r="Q8890">
        <v>4</v>
      </c>
      <c r="R8890" t="s">
        <v>32537</v>
      </c>
      <c r="S8890" t="s">
        <v>32828</v>
      </c>
      <c r="T8890" t="s">
        <v>33466</v>
      </c>
      <c r="U8890" t="s">
        <v>40995</v>
      </c>
      <c r="V8890" t="s">
        <v>43410</v>
      </c>
      <c r="W8890" t="s">
        <v>30589</v>
      </c>
      <c r="X8890" t="s">
        <v>32538</v>
      </c>
    </row>
    <row r="8891" spans="1:24">
      <c r="A8891">
        <f>HYPERLINK("https://www.philgeps.gov.ph/GEPSNONPILOT/Tender/SplashBidNoticeAbstractUI.aspx?menuIndex=3&amp;refID=7028860&amp;Result=3","7028860")</f>
        <v>0</v>
      </c>
      <c r="B8891" t="s">
        <v>2480</v>
      </c>
      <c r="C8891" t="s">
        <v>11175</v>
      </c>
      <c r="D8891" t="s">
        <v>13024</v>
      </c>
      <c r="E8891" t="s">
        <v>13229</v>
      </c>
      <c r="F8891" t="s">
        <v>22436</v>
      </c>
      <c r="G8891" t="s">
        <v>22444</v>
      </c>
      <c r="H8891" t="s">
        <v>22452</v>
      </c>
      <c r="I8891" t="s">
        <v>3529</v>
      </c>
      <c r="J8891" t="s">
        <v>28231</v>
      </c>
      <c r="K8891" t="s">
        <v>29337</v>
      </c>
      <c r="M8891" t="s">
        <v>32284</v>
      </c>
      <c r="N8891" t="s">
        <v>32524</v>
      </c>
      <c r="O8891" t="s">
        <v>32525</v>
      </c>
      <c r="P8891">
        <v>0</v>
      </c>
      <c r="Q8891">
        <v>0</v>
      </c>
      <c r="R8891" t="s">
        <v>32537</v>
      </c>
      <c r="S8891" t="s">
        <v>32828</v>
      </c>
      <c r="T8891" t="s">
        <v>33583</v>
      </c>
      <c r="U8891" t="s">
        <v>40996</v>
      </c>
      <c r="V8891" t="s">
        <v>43411</v>
      </c>
      <c r="W8891" t="s">
        <v>32284</v>
      </c>
      <c r="X8891" t="s">
        <v>32538</v>
      </c>
    </row>
    <row r="8892" spans="1:24">
      <c r="A8892">
        <f>HYPERLINK("https://www.philgeps.gov.ph/GEPSNONPILOT/Tender/SplashBidNoticeAbstractUI.aspx?menuIndex=3&amp;refID=7028945&amp;Result=3","7028945")</f>
        <v>0</v>
      </c>
      <c r="B8892" t="s">
        <v>970</v>
      </c>
      <c r="C8892" t="s">
        <v>11176</v>
      </c>
      <c r="D8892" t="s">
        <v>13042</v>
      </c>
      <c r="E8892" t="s">
        <v>14653</v>
      </c>
      <c r="F8892" t="s">
        <v>22436</v>
      </c>
      <c r="G8892" t="s">
        <v>22444</v>
      </c>
      <c r="H8892" t="s">
        <v>22452</v>
      </c>
      <c r="I8892" t="s">
        <v>6421</v>
      </c>
      <c r="J8892" t="s">
        <v>28232</v>
      </c>
      <c r="K8892" t="s">
        <v>29329</v>
      </c>
      <c r="L8892" t="s">
        <v>970</v>
      </c>
      <c r="M8892" t="s">
        <v>30589</v>
      </c>
      <c r="N8892" t="s">
        <v>32524</v>
      </c>
      <c r="O8892" t="s">
        <v>32525</v>
      </c>
      <c r="P8892">
        <v>0</v>
      </c>
      <c r="Q8892">
        <v>5</v>
      </c>
      <c r="R8892" t="s">
        <v>32537</v>
      </c>
      <c r="S8892" t="s">
        <v>32828</v>
      </c>
      <c r="T8892" t="s">
        <v>33466</v>
      </c>
      <c r="U8892" t="s">
        <v>40997</v>
      </c>
      <c r="V8892" t="s">
        <v>43410</v>
      </c>
      <c r="W8892" t="s">
        <v>30589</v>
      </c>
      <c r="X8892" t="s">
        <v>32538</v>
      </c>
    </row>
    <row r="8893" spans="1:24">
      <c r="A8893">
        <f>HYPERLINK("https://www.philgeps.gov.ph/GEPSNONPILOT/Tender/SplashBidNoticeAbstractUI.aspx?menuIndex=3&amp;refID=7028922&amp;Result=3","7028922")</f>
        <v>0</v>
      </c>
      <c r="B8893" t="s">
        <v>2438</v>
      </c>
      <c r="C8893" t="s">
        <v>11177</v>
      </c>
      <c r="D8893" t="s">
        <v>12988</v>
      </c>
      <c r="E8893" t="s">
        <v>20834</v>
      </c>
      <c r="F8893" t="s">
        <v>22436</v>
      </c>
      <c r="G8893" t="s">
        <v>22444</v>
      </c>
      <c r="H8893" t="s">
        <v>22452</v>
      </c>
      <c r="I8893" t="s">
        <v>2981</v>
      </c>
      <c r="J8893" t="s">
        <v>28233</v>
      </c>
      <c r="K8893" t="s">
        <v>29341</v>
      </c>
      <c r="M8893" t="s">
        <v>32242</v>
      </c>
      <c r="N8893" t="s">
        <v>32524</v>
      </c>
      <c r="O8893" t="s">
        <v>32525</v>
      </c>
      <c r="P8893">
        <v>0</v>
      </c>
      <c r="Q8893">
        <v>0</v>
      </c>
      <c r="R8893" t="s">
        <v>32537</v>
      </c>
      <c r="S8893" t="s">
        <v>32828</v>
      </c>
      <c r="T8893" t="s">
        <v>33278</v>
      </c>
      <c r="U8893" t="s">
        <v>40998</v>
      </c>
      <c r="W8893" t="s">
        <v>32242</v>
      </c>
      <c r="X8893" t="s">
        <v>32538</v>
      </c>
    </row>
    <row r="8894" spans="1:24">
      <c r="A8894">
        <f>HYPERLINK("https://www.philgeps.gov.ph/GEPSNONPILOT/Tender/SplashBidNoticeAbstractUI.aspx?menuIndex=3&amp;refID=7028845&amp;Result=3","7028845")</f>
        <v>0</v>
      </c>
      <c r="B8894" t="s">
        <v>1630</v>
      </c>
      <c r="C8894" t="s">
        <v>11178</v>
      </c>
      <c r="D8894" t="s">
        <v>13062</v>
      </c>
      <c r="E8894" t="s">
        <v>20835</v>
      </c>
      <c r="F8894" t="s">
        <v>22436</v>
      </c>
      <c r="G8894" t="s">
        <v>22444</v>
      </c>
      <c r="H8894" t="s">
        <v>22452</v>
      </c>
      <c r="I8894" t="s">
        <v>22474</v>
      </c>
      <c r="J8894" t="s">
        <v>26172</v>
      </c>
      <c r="K8894" t="s">
        <v>29337</v>
      </c>
      <c r="M8894" t="s">
        <v>31318</v>
      </c>
      <c r="N8894" t="s">
        <v>32524</v>
      </c>
      <c r="O8894" t="s">
        <v>32525</v>
      </c>
      <c r="P8894">
        <v>0</v>
      </c>
      <c r="Q8894">
        <v>2</v>
      </c>
      <c r="R8894" t="s">
        <v>32537</v>
      </c>
      <c r="S8894" t="s">
        <v>32828</v>
      </c>
      <c r="T8894" t="s">
        <v>33227</v>
      </c>
      <c r="U8894" t="s">
        <v>40999</v>
      </c>
      <c r="W8894" t="s">
        <v>31318</v>
      </c>
      <c r="X8894" t="s">
        <v>32538</v>
      </c>
    </row>
    <row r="8895" spans="1:24">
      <c r="A8895">
        <f>HYPERLINK("https://www.philgeps.gov.ph/GEPSNONPILOT/Tender/SplashBidNoticeAbstractUI.aspx?menuIndex=3&amp;refID=7028950&amp;Result=3","7028950")</f>
        <v>0</v>
      </c>
      <c r="B8895" t="s">
        <v>844</v>
      </c>
      <c r="C8895" t="s">
        <v>11179</v>
      </c>
      <c r="D8895" t="s">
        <v>13009</v>
      </c>
      <c r="E8895" t="s">
        <v>20836</v>
      </c>
      <c r="F8895" t="s">
        <v>22436</v>
      </c>
      <c r="G8895" t="s">
        <v>22444</v>
      </c>
      <c r="H8895" t="s">
        <v>22454</v>
      </c>
      <c r="I8895" t="s">
        <v>7738</v>
      </c>
      <c r="J8895" t="s">
        <v>25909</v>
      </c>
      <c r="K8895" t="s">
        <v>29524</v>
      </c>
      <c r="M8895" t="s">
        <v>30450</v>
      </c>
      <c r="N8895" t="s">
        <v>32524</v>
      </c>
      <c r="O8895" t="s">
        <v>32525</v>
      </c>
      <c r="P8895">
        <v>0</v>
      </c>
      <c r="Q8895">
        <v>0</v>
      </c>
      <c r="R8895" t="s">
        <v>32537</v>
      </c>
      <c r="S8895" t="s">
        <v>32828</v>
      </c>
      <c r="T8895" t="s">
        <v>33268</v>
      </c>
      <c r="U8895" t="s">
        <v>40941</v>
      </c>
      <c r="W8895" t="s">
        <v>30450</v>
      </c>
      <c r="X8895" t="s">
        <v>32538</v>
      </c>
    </row>
    <row r="8896" spans="1:24">
      <c r="A8896">
        <f>HYPERLINK("https://www.philgeps.gov.ph/GEPSNONPILOT/Tender/SplashBidNoticeAbstractUI.aspx?menuIndex=3&amp;refID=7028918&amp;Result=3","7028918")</f>
        <v>0</v>
      </c>
      <c r="B8896" t="s">
        <v>1793</v>
      </c>
      <c r="C8896" t="s">
        <v>11180</v>
      </c>
      <c r="D8896" t="s">
        <v>13012</v>
      </c>
      <c r="E8896" t="s">
        <v>20837</v>
      </c>
      <c r="F8896" t="s">
        <v>22437</v>
      </c>
      <c r="G8896" t="s">
        <v>22444</v>
      </c>
      <c r="H8896" t="s">
        <v>22454</v>
      </c>
      <c r="I8896" t="s">
        <v>7738</v>
      </c>
      <c r="J8896" t="s">
        <v>24103</v>
      </c>
      <c r="K8896" t="s">
        <v>29475</v>
      </c>
      <c r="M8896" t="s">
        <v>31504</v>
      </c>
      <c r="N8896" t="s">
        <v>32524</v>
      </c>
      <c r="O8896" t="s">
        <v>32525</v>
      </c>
      <c r="P8896">
        <v>0</v>
      </c>
      <c r="Q8896">
        <v>1</v>
      </c>
      <c r="R8896" t="s">
        <v>32537</v>
      </c>
      <c r="S8896" t="s">
        <v>32828</v>
      </c>
      <c r="T8896" t="s">
        <v>33403</v>
      </c>
      <c r="U8896" t="s">
        <v>40567</v>
      </c>
      <c r="V8896" t="s">
        <v>43351</v>
      </c>
      <c r="W8896" t="s">
        <v>31504</v>
      </c>
      <c r="X8896" t="s">
        <v>32538</v>
      </c>
    </row>
    <row r="8897" spans="1:24">
      <c r="A8897">
        <f>HYPERLINK("https://www.philgeps.gov.ph/GEPSNONPILOT/Tender/SplashBidNoticeAbstractUI.aspx?menuIndex=3&amp;refID=7028994&amp;Result=3","7028994")</f>
        <v>0</v>
      </c>
      <c r="B8897" t="s">
        <v>154</v>
      </c>
      <c r="C8897" t="s">
        <v>11181</v>
      </c>
      <c r="D8897" t="s">
        <v>13029</v>
      </c>
      <c r="E8897" t="s">
        <v>20838</v>
      </c>
      <c r="F8897" t="s">
        <v>22436</v>
      </c>
      <c r="G8897" t="s">
        <v>22444</v>
      </c>
      <c r="H8897" t="s">
        <v>22454</v>
      </c>
      <c r="I8897" t="s">
        <v>6387</v>
      </c>
      <c r="J8897" t="s">
        <v>23387</v>
      </c>
      <c r="K8897" t="s">
        <v>29331</v>
      </c>
      <c r="M8897" t="s">
        <v>29726</v>
      </c>
      <c r="N8897" t="s">
        <v>32524</v>
      </c>
      <c r="O8897" t="s">
        <v>32525</v>
      </c>
      <c r="P8897">
        <v>0</v>
      </c>
      <c r="Q8897">
        <v>4</v>
      </c>
      <c r="R8897" t="s">
        <v>32537</v>
      </c>
      <c r="S8897" t="s">
        <v>32828</v>
      </c>
      <c r="T8897" t="s">
        <v>33177</v>
      </c>
      <c r="U8897" t="s">
        <v>41000</v>
      </c>
      <c r="W8897" t="s">
        <v>29726</v>
      </c>
      <c r="X8897" t="s">
        <v>32538</v>
      </c>
    </row>
    <row r="8898" spans="1:24">
      <c r="A8898">
        <f>HYPERLINK("https://www.philgeps.gov.ph/GEPSNONPILOT/Tender/SplashBidNoticeAbstractUI.aspx?menuIndex=3&amp;refID=7028885&amp;Result=3","7028885")</f>
        <v>0</v>
      </c>
      <c r="B8898" t="s">
        <v>1630</v>
      </c>
      <c r="C8898" t="s">
        <v>11182</v>
      </c>
      <c r="D8898" t="s">
        <v>13062</v>
      </c>
      <c r="E8898" t="s">
        <v>20839</v>
      </c>
      <c r="F8898" t="s">
        <v>22436</v>
      </c>
      <c r="G8898" t="s">
        <v>22444</v>
      </c>
      <c r="H8898" t="s">
        <v>22454</v>
      </c>
      <c r="I8898" t="s">
        <v>7738</v>
      </c>
      <c r="J8898" t="s">
        <v>28234</v>
      </c>
      <c r="K8898" t="s">
        <v>29344</v>
      </c>
      <c r="M8898" t="s">
        <v>31318</v>
      </c>
      <c r="N8898" t="s">
        <v>32524</v>
      </c>
      <c r="O8898" t="s">
        <v>32525</v>
      </c>
      <c r="P8898">
        <v>0</v>
      </c>
      <c r="Q8898">
        <v>0</v>
      </c>
      <c r="R8898" t="s">
        <v>32537</v>
      </c>
      <c r="S8898" t="s">
        <v>32828</v>
      </c>
      <c r="T8898" t="s">
        <v>33227</v>
      </c>
      <c r="U8898" t="s">
        <v>41001</v>
      </c>
      <c r="W8898" t="s">
        <v>31318</v>
      </c>
      <c r="X8898" t="s">
        <v>32538</v>
      </c>
    </row>
    <row r="8899" spans="1:24">
      <c r="A8899">
        <f>HYPERLINK("https://www.philgeps.gov.ph/GEPSNONPILOT/Tender/SplashBidNoticeAbstractUI.aspx?menuIndex=3&amp;refID=7029071&amp;Result=3","7029071")</f>
        <v>0</v>
      </c>
      <c r="B8899" t="s">
        <v>2483</v>
      </c>
      <c r="C8899" t="s">
        <v>11183</v>
      </c>
      <c r="D8899" t="s">
        <v>13022</v>
      </c>
      <c r="E8899" t="s">
        <v>20840</v>
      </c>
      <c r="F8899" t="s">
        <v>22436</v>
      </c>
      <c r="G8899" t="s">
        <v>22444</v>
      </c>
      <c r="H8899" t="s">
        <v>22454</v>
      </c>
      <c r="I8899" t="s">
        <v>7738</v>
      </c>
      <c r="J8899" t="s">
        <v>22640</v>
      </c>
      <c r="K8899" t="s">
        <v>29338</v>
      </c>
      <c r="M8899" t="s">
        <v>32287</v>
      </c>
      <c r="N8899" t="s">
        <v>32524</v>
      </c>
      <c r="O8899" t="s">
        <v>32525</v>
      </c>
      <c r="P8899">
        <v>0</v>
      </c>
      <c r="Q8899">
        <v>0</v>
      </c>
      <c r="R8899" t="s">
        <v>32537</v>
      </c>
      <c r="S8899" t="s">
        <v>32828</v>
      </c>
      <c r="T8899" t="s">
        <v>33175</v>
      </c>
      <c r="U8899" t="s">
        <v>41002</v>
      </c>
      <c r="W8899" t="s">
        <v>32287</v>
      </c>
      <c r="X8899" t="s">
        <v>32538</v>
      </c>
    </row>
    <row r="8900" spans="1:24">
      <c r="A8900">
        <f>HYPERLINK("https://www.philgeps.gov.ph/GEPSNONPILOT/Tender/SplashBidNoticeAbstractUI.aspx?menuIndex=3&amp;refID=7029066&amp;Result=3","7029066")</f>
        <v>0</v>
      </c>
      <c r="B8900" t="s">
        <v>2438</v>
      </c>
      <c r="C8900" t="s">
        <v>11184</v>
      </c>
      <c r="D8900" t="s">
        <v>12988</v>
      </c>
      <c r="E8900" t="s">
        <v>20841</v>
      </c>
      <c r="F8900" t="s">
        <v>22436</v>
      </c>
      <c r="G8900" t="s">
        <v>22444</v>
      </c>
      <c r="H8900" t="s">
        <v>22452</v>
      </c>
      <c r="I8900" t="s">
        <v>2981</v>
      </c>
      <c r="J8900" t="s">
        <v>28235</v>
      </c>
      <c r="K8900" t="s">
        <v>29341</v>
      </c>
      <c r="M8900" t="s">
        <v>32242</v>
      </c>
      <c r="N8900" t="s">
        <v>32524</v>
      </c>
      <c r="O8900" t="s">
        <v>32525</v>
      </c>
      <c r="P8900">
        <v>0</v>
      </c>
      <c r="Q8900">
        <v>0</v>
      </c>
      <c r="R8900" t="s">
        <v>32537</v>
      </c>
      <c r="S8900" t="s">
        <v>32828</v>
      </c>
      <c r="T8900" t="s">
        <v>33418</v>
      </c>
      <c r="U8900" t="s">
        <v>41003</v>
      </c>
      <c r="W8900" t="s">
        <v>32242</v>
      </c>
      <c r="X8900" t="s">
        <v>32538</v>
      </c>
    </row>
    <row r="8901" spans="1:24">
      <c r="A8901">
        <f>HYPERLINK("https://www.philgeps.gov.ph/GEPSNONPILOT/Tender/SplashBidNoticeAbstractUI.aspx?menuIndex=3&amp;refID=7029046&amp;Result=3","7029046")</f>
        <v>0</v>
      </c>
      <c r="B8901" t="s">
        <v>256</v>
      </c>
      <c r="C8901" t="s">
        <v>11185</v>
      </c>
      <c r="E8901" t="s">
        <v>18304</v>
      </c>
      <c r="F8901" t="s">
        <v>22436</v>
      </c>
      <c r="G8901" t="s">
        <v>22444</v>
      </c>
      <c r="H8901" t="s">
        <v>22452</v>
      </c>
      <c r="I8901" t="s">
        <v>3529</v>
      </c>
      <c r="J8901" t="s">
        <v>28236</v>
      </c>
      <c r="K8901" t="s">
        <v>29337</v>
      </c>
      <c r="M8901" t="s">
        <v>29830</v>
      </c>
      <c r="N8901" t="s">
        <v>32524</v>
      </c>
      <c r="O8901" t="s">
        <v>32525</v>
      </c>
      <c r="P8901">
        <v>0</v>
      </c>
      <c r="Q8901">
        <v>0</v>
      </c>
      <c r="R8901" t="s">
        <v>32537</v>
      </c>
      <c r="S8901" t="s">
        <v>32828</v>
      </c>
      <c r="T8901" t="s">
        <v>33249</v>
      </c>
      <c r="U8901" t="s">
        <v>37869</v>
      </c>
      <c r="V8901" t="s">
        <v>43413</v>
      </c>
      <c r="W8901" t="s">
        <v>29830</v>
      </c>
      <c r="X8901" t="s">
        <v>32538</v>
      </c>
    </row>
    <row r="8902" spans="1:24">
      <c r="A8902">
        <f>HYPERLINK("https://www.philgeps.gov.ph/GEPSNONPILOT/Tender/SplashBidNoticeAbstractUI.aspx?menuIndex=3&amp;refID=7029025&amp;Result=3","7029025")</f>
        <v>0</v>
      </c>
      <c r="B8902" t="s">
        <v>844</v>
      </c>
      <c r="C8902" t="s">
        <v>11186</v>
      </c>
      <c r="D8902" t="s">
        <v>13009</v>
      </c>
      <c r="E8902" t="s">
        <v>20842</v>
      </c>
      <c r="F8902" t="s">
        <v>22436</v>
      </c>
      <c r="G8902" t="s">
        <v>22444</v>
      </c>
      <c r="H8902" t="s">
        <v>22454</v>
      </c>
      <c r="I8902" t="s">
        <v>7738</v>
      </c>
      <c r="J8902" t="s">
        <v>25355</v>
      </c>
      <c r="K8902" t="s">
        <v>29367</v>
      </c>
      <c r="M8902" t="s">
        <v>30450</v>
      </c>
      <c r="N8902" t="s">
        <v>32524</v>
      </c>
      <c r="O8902" t="s">
        <v>32525</v>
      </c>
      <c r="P8902">
        <v>0</v>
      </c>
      <c r="Q8902">
        <v>0</v>
      </c>
      <c r="R8902" t="s">
        <v>32537</v>
      </c>
      <c r="S8902" t="s">
        <v>32828</v>
      </c>
      <c r="T8902" t="s">
        <v>33268</v>
      </c>
      <c r="U8902" t="s">
        <v>40941</v>
      </c>
      <c r="W8902" t="s">
        <v>30450</v>
      </c>
      <c r="X8902" t="s">
        <v>32538</v>
      </c>
    </row>
    <row r="8903" spans="1:24">
      <c r="A8903">
        <f>HYPERLINK("https://www.philgeps.gov.ph/GEPSNONPILOT/Tender/SplashBidNoticeAbstractUI.aspx?menuIndex=3&amp;refID=7029031&amp;Result=3","7029031")</f>
        <v>0</v>
      </c>
      <c r="B8903" t="s">
        <v>2484</v>
      </c>
      <c r="C8903" t="s">
        <v>11187</v>
      </c>
      <c r="D8903" t="s">
        <v>13046</v>
      </c>
      <c r="E8903" t="s">
        <v>20843</v>
      </c>
      <c r="F8903" t="s">
        <v>22436</v>
      </c>
      <c r="G8903" t="s">
        <v>22444</v>
      </c>
      <c r="H8903" t="s">
        <v>22454</v>
      </c>
      <c r="I8903" t="s">
        <v>7738</v>
      </c>
      <c r="J8903" t="s">
        <v>28237</v>
      </c>
      <c r="K8903" t="s">
        <v>29344</v>
      </c>
      <c r="M8903" t="s">
        <v>32288</v>
      </c>
      <c r="N8903" t="s">
        <v>32524</v>
      </c>
      <c r="O8903" t="s">
        <v>32525</v>
      </c>
      <c r="P8903">
        <v>0</v>
      </c>
      <c r="Q8903">
        <v>1</v>
      </c>
      <c r="R8903" t="s">
        <v>32537</v>
      </c>
      <c r="S8903" t="s">
        <v>32828</v>
      </c>
      <c r="T8903" t="s">
        <v>33216</v>
      </c>
      <c r="U8903" t="s">
        <v>41004</v>
      </c>
      <c r="W8903" t="s">
        <v>32288</v>
      </c>
      <c r="X8903" t="s">
        <v>32538</v>
      </c>
    </row>
    <row r="8904" spans="1:24">
      <c r="A8904">
        <f>HYPERLINK("https://www.philgeps.gov.ph/GEPSNONPILOT/Tender/SplashBidNoticeAbstractUI.aspx?menuIndex=3&amp;refID=7029013&amp;Result=3","7029013")</f>
        <v>0</v>
      </c>
      <c r="B8904" t="s">
        <v>2479</v>
      </c>
      <c r="C8904" t="s">
        <v>11188</v>
      </c>
      <c r="D8904" t="s">
        <v>13065</v>
      </c>
      <c r="E8904" t="s">
        <v>20844</v>
      </c>
      <c r="F8904" t="s">
        <v>22436</v>
      </c>
      <c r="G8904" t="s">
        <v>22444</v>
      </c>
      <c r="H8904" t="s">
        <v>22452</v>
      </c>
      <c r="I8904" t="s">
        <v>6421</v>
      </c>
      <c r="J8904" t="s">
        <v>28238</v>
      </c>
      <c r="K8904" t="s">
        <v>29335</v>
      </c>
      <c r="M8904" t="s">
        <v>32283</v>
      </c>
      <c r="N8904" t="s">
        <v>32524</v>
      </c>
      <c r="O8904" t="s">
        <v>32525</v>
      </c>
      <c r="P8904">
        <v>0</v>
      </c>
      <c r="Q8904">
        <v>4</v>
      </c>
      <c r="R8904" t="s">
        <v>32537</v>
      </c>
      <c r="S8904" t="s">
        <v>32828</v>
      </c>
      <c r="T8904" t="s">
        <v>33582</v>
      </c>
      <c r="U8904" t="s">
        <v>40971</v>
      </c>
      <c r="W8904" t="s">
        <v>32283</v>
      </c>
      <c r="X8904" t="s">
        <v>32538</v>
      </c>
    </row>
    <row r="8905" spans="1:24">
      <c r="A8905">
        <f>HYPERLINK("https://www.philgeps.gov.ph/GEPSNONPILOT/Tender/SplashBidNoticeAbstractUI.aspx?menuIndex=3&amp;refID=7029068&amp;Result=3","7029068")</f>
        <v>0</v>
      </c>
      <c r="B8905" t="s">
        <v>1793</v>
      </c>
      <c r="C8905" t="s">
        <v>11189</v>
      </c>
      <c r="D8905" t="s">
        <v>13012</v>
      </c>
      <c r="E8905" t="s">
        <v>20845</v>
      </c>
      <c r="F8905" t="s">
        <v>22437</v>
      </c>
      <c r="G8905" t="s">
        <v>22444</v>
      </c>
      <c r="H8905" t="s">
        <v>22454</v>
      </c>
      <c r="I8905" t="s">
        <v>7738</v>
      </c>
      <c r="J8905" t="s">
        <v>24103</v>
      </c>
      <c r="K8905" t="s">
        <v>29499</v>
      </c>
      <c r="M8905" t="s">
        <v>31504</v>
      </c>
      <c r="N8905" t="s">
        <v>32524</v>
      </c>
      <c r="O8905" t="s">
        <v>32525</v>
      </c>
      <c r="P8905">
        <v>0</v>
      </c>
      <c r="Q8905">
        <v>2</v>
      </c>
      <c r="R8905" t="s">
        <v>32537</v>
      </c>
      <c r="S8905" t="s">
        <v>32828</v>
      </c>
      <c r="T8905" t="s">
        <v>33249</v>
      </c>
      <c r="U8905" t="s">
        <v>40567</v>
      </c>
      <c r="V8905" t="s">
        <v>43351</v>
      </c>
      <c r="W8905" t="s">
        <v>31504</v>
      </c>
      <c r="X8905" t="s">
        <v>32538</v>
      </c>
    </row>
    <row r="8906" spans="1:24">
      <c r="A8906">
        <f>HYPERLINK("https://www.philgeps.gov.ph/GEPSNONPILOT/Tender/SplashBidNoticeAbstractUI.aspx?menuIndex=3&amp;refID=7029027&amp;Result=3","7029027")</f>
        <v>0</v>
      </c>
      <c r="B8906" t="s">
        <v>2478</v>
      </c>
      <c r="C8906" t="s">
        <v>11190</v>
      </c>
      <c r="D8906" t="s">
        <v>13014</v>
      </c>
      <c r="E8906" t="s">
        <v>20846</v>
      </c>
      <c r="F8906" t="s">
        <v>22436</v>
      </c>
      <c r="G8906" t="s">
        <v>22444</v>
      </c>
      <c r="H8906" t="s">
        <v>22452</v>
      </c>
      <c r="I8906" t="s">
        <v>7738</v>
      </c>
      <c r="J8906" t="s">
        <v>28239</v>
      </c>
      <c r="K8906" t="s">
        <v>29392</v>
      </c>
      <c r="M8906" t="s">
        <v>32282</v>
      </c>
      <c r="N8906" t="s">
        <v>32524</v>
      </c>
      <c r="O8906" t="s">
        <v>32525</v>
      </c>
      <c r="P8906">
        <v>0</v>
      </c>
      <c r="Q8906">
        <v>1</v>
      </c>
      <c r="R8906" t="s">
        <v>32537</v>
      </c>
      <c r="S8906" t="s">
        <v>32828</v>
      </c>
      <c r="T8906" t="s">
        <v>33385</v>
      </c>
      <c r="U8906" t="s">
        <v>41005</v>
      </c>
      <c r="W8906" t="s">
        <v>32282</v>
      </c>
      <c r="X8906" t="s">
        <v>32538</v>
      </c>
    </row>
    <row r="8907" spans="1:24">
      <c r="A8907">
        <f>HYPERLINK("https://www.philgeps.gov.ph/GEPSNONPILOT/Tender/SplashBidNoticeAbstractUI.aspx?menuIndex=3&amp;refID=7028996&amp;Result=3","7028996")</f>
        <v>0</v>
      </c>
      <c r="B8907" t="s">
        <v>1791</v>
      </c>
      <c r="C8907" t="s">
        <v>11191</v>
      </c>
      <c r="D8907" t="s">
        <v>13065</v>
      </c>
      <c r="E8907" t="s">
        <v>20847</v>
      </c>
      <c r="F8907" t="s">
        <v>22436</v>
      </c>
      <c r="G8907" t="s">
        <v>22444</v>
      </c>
      <c r="H8907" t="s">
        <v>22454</v>
      </c>
      <c r="I8907" t="s">
        <v>7738</v>
      </c>
      <c r="J8907" t="s">
        <v>28240</v>
      </c>
      <c r="K8907" t="s">
        <v>29334</v>
      </c>
      <c r="M8907" t="s">
        <v>31502</v>
      </c>
      <c r="N8907" t="s">
        <v>32524</v>
      </c>
      <c r="O8907" t="s">
        <v>32525</v>
      </c>
      <c r="Q8907">
        <v>0</v>
      </c>
      <c r="R8907" t="s">
        <v>32537</v>
      </c>
      <c r="S8907" t="s">
        <v>32843</v>
      </c>
      <c r="T8907" t="s">
        <v>33171</v>
      </c>
      <c r="U8907" t="s">
        <v>41006</v>
      </c>
      <c r="V8907" t="s">
        <v>43018</v>
      </c>
      <c r="W8907" t="s">
        <v>31502</v>
      </c>
      <c r="X8907" t="s">
        <v>32538</v>
      </c>
    </row>
    <row r="8908" spans="1:24">
      <c r="A8908">
        <f>HYPERLINK("https://www.philgeps.gov.ph/GEPSNONPILOT/Tender/SplashBidNoticeAbstractUI.aspx?menuIndex=3&amp;refID=7029069&amp;Result=3","7029069")</f>
        <v>0</v>
      </c>
      <c r="B8908" t="s">
        <v>677</v>
      </c>
      <c r="C8908" t="s">
        <v>11192</v>
      </c>
      <c r="D8908" t="s">
        <v>12999</v>
      </c>
      <c r="E8908" t="s">
        <v>20848</v>
      </c>
      <c r="F8908" t="s">
        <v>22436</v>
      </c>
      <c r="G8908" t="s">
        <v>22444</v>
      </c>
      <c r="H8908" t="s">
        <v>22452</v>
      </c>
      <c r="I8908" t="s">
        <v>22484</v>
      </c>
      <c r="J8908" t="s">
        <v>23350</v>
      </c>
      <c r="K8908" t="s">
        <v>29338</v>
      </c>
      <c r="M8908" t="s">
        <v>30271</v>
      </c>
      <c r="N8908" t="s">
        <v>32524</v>
      </c>
      <c r="O8908" t="s">
        <v>32525</v>
      </c>
      <c r="Q8908">
        <v>17</v>
      </c>
      <c r="R8908" t="s">
        <v>32537</v>
      </c>
      <c r="S8908" t="s">
        <v>32844</v>
      </c>
      <c r="T8908" t="s">
        <v>33444</v>
      </c>
      <c r="U8908" t="s">
        <v>41007</v>
      </c>
      <c r="W8908" t="s">
        <v>30271</v>
      </c>
      <c r="X8908" t="s">
        <v>32538</v>
      </c>
    </row>
    <row r="8909" spans="1:24">
      <c r="A8909">
        <f>HYPERLINK("https://www.philgeps.gov.ph/GEPSNONPILOT/Tender/SplashBidNoticeAbstractUI.aspx?menuIndex=3&amp;refID=7029009&amp;Result=3","7029009")</f>
        <v>0</v>
      </c>
      <c r="B8909" t="s">
        <v>2438</v>
      </c>
      <c r="C8909" t="s">
        <v>11193</v>
      </c>
      <c r="D8909" t="s">
        <v>12988</v>
      </c>
      <c r="E8909" t="s">
        <v>20849</v>
      </c>
      <c r="F8909" t="s">
        <v>22436</v>
      </c>
      <c r="G8909" t="s">
        <v>22444</v>
      </c>
      <c r="H8909" t="s">
        <v>22452</v>
      </c>
      <c r="I8909" t="s">
        <v>2981</v>
      </c>
      <c r="J8909" t="s">
        <v>23920</v>
      </c>
      <c r="K8909" t="s">
        <v>29341</v>
      </c>
      <c r="M8909" t="s">
        <v>32242</v>
      </c>
      <c r="N8909" t="s">
        <v>32524</v>
      </c>
      <c r="O8909" t="s">
        <v>32525</v>
      </c>
      <c r="P8909">
        <v>0</v>
      </c>
      <c r="Q8909">
        <v>1</v>
      </c>
      <c r="R8909" t="s">
        <v>32537</v>
      </c>
      <c r="S8909" t="s">
        <v>32828</v>
      </c>
      <c r="T8909" t="s">
        <v>33584</v>
      </c>
      <c r="U8909" t="s">
        <v>41008</v>
      </c>
      <c r="W8909" t="s">
        <v>32242</v>
      </c>
      <c r="X8909" t="s">
        <v>32538</v>
      </c>
    </row>
    <row r="8910" spans="1:24">
      <c r="A8910">
        <f>HYPERLINK("https://www.philgeps.gov.ph/GEPSNONPILOT/Tender/SplashBidNoticeAbstractUI.aspx?menuIndex=3&amp;refID=7029114&amp;Result=3","7029114")</f>
        <v>0</v>
      </c>
      <c r="B8910" t="s">
        <v>2399</v>
      </c>
      <c r="C8910" t="s">
        <v>11194</v>
      </c>
      <c r="D8910" t="s">
        <v>13004</v>
      </c>
      <c r="E8910" t="s">
        <v>20850</v>
      </c>
      <c r="F8910" t="s">
        <v>22436</v>
      </c>
      <c r="G8910" t="s">
        <v>22444</v>
      </c>
      <c r="H8910" t="s">
        <v>22454</v>
      </c>
      <c r="I8910" t="s">
        <v>7738</v>
      </c>
      <c r="J8910" t="s">
        <v>28199</v>
      </c>
      <c r="K8910" t="s">
        <v>29378</v>
      </c>
      <c r="M8910" t="s">
        <v>32193</v>
      </c>
      <c r="N8910" t="s">
        <v>32524</v>
      </c>
      <c r="O8910" t="s">
        <v>32525</v>
      </c>
      <c r="P8910">
        <v>0</v>
      </c>
      <c r="Q8910">
        <v>0</v>
      </c>
      <c r="R8910" t="s">
        <v>32537</v>
      </c>
      <c r="S8910" t="s">
        <v>32828</v>
      </c>
      <c r="T8910" t="s">
        <v>33574</v>
      </c>
      <c r="U8910" t="s">
        <v>40580</v>
      </c>
      <c r="W8910" t="s">
        <v>32193</v>
      </c>
      <c r="X8910" t="s">
        <v>32538</v>
      </c>
    </row>
    <row r="8911" spans="1:24">
      <c r="A8911">
        <f>HYPERLINK("https://www.philgeps.gov.ph/GEPSNONPILOT/Tender/SplashBidNoticeAbstractUI.aspx?menuIndex=3&amp;refID=7029006&amp;Result=3","7029006")</f>
        <v>0</v>
      </c>
      <c r="B8911" t="s">
        <v>2482</v>
      </c>
      <c r="C8911" t="s">
        <v>11195</v>
      </c>
      <c r="D8911" t="s">
        <v>13022</v>
      </c>
      <c r="E8911" t="s">
        <v>20851</v>
      </c>
      <c r="F8911" t="s">
        <v>22436</v>
      </c>
      <c r="G8911" t="s">
        <v>22444</v>
      </c>
      <c r="H8911" t="s">
        <v>22454</v>
      </c>
      <c r="I8911" t="s">
        <v>7738</v>
      </c>
      <c r="J8911" t="s">
        <v>28241</v>
      </c>
      <c r="K8911" t="s">
        <v>29329</v>
      </c>
      <c r="M8911" t="s">
        <v>32286</v>
      </c>
      <c r="N8911" t="s">
        <v>32524</v>
      </c>
      <c r="O8911" t="s">
        <v>32525</v>
      </c>
      <c r="P8911">
        <v>0</v>
      </c>
      <c r="Q8911">
        <v>2</v>
      </c>
      <c r="R8911" t="s">
        <v>32537</v>
      </c>
      <c r="S8911" t="s">
        <v>32828</v>
      </c>
      <c r="T8911" t="s">
        <v>33168</v>
      </c>
      <c r="U8911" t="s">
        <v>41009</v>
      </c>
      <c r="V8911" t="s">
        <v>43412</v>
      </c>
      <c r="W8911" t="s">
        <v>32286</v>
      </c>
      <c r="X8911" t="s">
        <v>32538</v>
      </c>
    </row>
    <row r="8912" spans="1:24">
      <c r="A8912">
        <f>HYPERLINK("https://www.philgeps.gov.ph/GEPSNONPILOT/Tender/SplashBidNoticeAbstractUI.aspx?menuIndex=3&amp;refID=7029079&amp;Result=3","7029079")</f>
        <v>0</v>
      </c>
      <c r="B8912" t="s">
        <v>800</v>
      </c>
      <c r="C8912" t="s">
        <v>11196</v>
      </c>
      <c r="D8912" t="s">
        <v>12996</v>
      </c>
      <c r="E8912" t="s">
        <v>19198</v>
      </c>
      <c r="F8912" t="s">
        <v>22436</v>
      </c>
      <c r="G8912" t="s">
        <v>22444</v>
      </c>
      <c r="H8912" t="s">
        <v>22454</v>
      </c>
      <c r="I8912" t="s">
        <v>7738</v>
      </c>
      <c r="J8912" t="s">
        <v>28242</v>
      </c>
      <c r="K8912" t="s">
        <v>29403</v>
      </c>
      <c r="M8912" t="s">
        <v>30402</v>
      </c>
      <c r="N8912" t="s">
        <v>32524</v>
      </c>
      <c r="O8912" t="s">
        <v>32525</v>
      </c>
      <c r="P8912">
        <v>0</v>
      </c>
      <c r="Q8912">
        <v>0</v>
      </c>
      <c r="R8912" t="s">
        <v>32537</v>
      </c>
      <c r="S8912" t="s">
        <v>32828</v>
      </c>
      <c r="T8912" t="s">
        <v>33172</v>
      </c>
      <c r="U8912" t="s">
        <v>41010</v>
      </c>
      <c r="V8912" t="s">
        <v>43414</v>
      </c>
      <c r="W8912" t="s">
        <v>30402</v>
      </c>
      <c r="X8912" t="s">
        <v>32538</v>
      </c>
    </row>
    <row r="8913" spans="1:24">
      <c r="A8913">
        <f>HYPERLINK("https://www.philgeps.gov.ph/GEPSNONPILOT/Tender/SplashBidNoticeAbstractUI.aspx?menuIndex=3&amp;refID=7029113&amp;Result=3","7029113")</f>
        <v>0</v>
      </c>
      <c r="B8913" t="s">
        <v>46</v>
      </c>
      <c r="C8913" t="s">
        <v>11197</v>
      </c>
      <c r="D8913" t="s">
        <v>13006</v>
      </c>
      <c r="E8913" t="s">
        <v>20852</v>
      </c>
      <c r="F8913" t="s">
        <v>22436</v>
      </c>
      <c r="G8913" t="s">
        <v>22444</v>
      </c>
      <c r="H8913" t="s">
        <v>22452</v>
      </c>
      <c r="I8913" t="s">
        <v>12358</v>
      </c>
      <c r="J8913" t="s">
        <v>22654</v>
      </c>
      <c r="K8913" t="s">
        <v>29330</v>
      </c>
      <c r="M8913" t="s">
        <v>29760</v>
      </c>
      <c r="N8913" t="s">
        <v>32524</v>
      </c>
      <c r="O8913" t="s">
        <v>32525</v>
      </c>
      <c r="P8913">
        <v>0</v>
      </c>
      <c r="Q8913">
        <v>0</v>
      </c>
      <c r="R8913" t="s">
        <v>32537</v>
      </c>
      <c r="S8913" t="s">
        <v>32828</v>
      </c>
      <c r="T8913" t="s">
        <v>33238</v>
      </c>
      <c r="U8913" t="s">
        <v>41011</v>
      </c>
      <c r="V8913" t="s">
        <v>42461</v>
      </c>
      <c r="W8913" t="s">
        <v>29760</v>
      </c>
      <c r="X8913" t="s">
        <v>32538</v>
      </c>
    </row>
    <row r="8914" spans="1:24">
      <c r="A8914">
        <f>HYPERLINK("https://www.philgeps.gov.ph/GEPSNONPILOT/Tender/SplashBidNoticeAbstractUI.aspx?menuIndex=3&amp;refID=7029072&amp;Result=3","7029072")</f>
        <v>0</v>
      </c>
      <c r="B8914" t="s">
        <v>191</v>
      </c>
      <c r="C8914" t="s">
        <v>11198</v>
      </c>
      <c r="D8914" t="s">
        <v>13019</v>
      </c>
      <c r="E8914" t="s">
        <v>20853</v>
      </c>
      <c r="F8914" t="s">
        <v>22436</v>
      </c>
      <c r="G8914" t="s">
        <v>22444</v>
      </c>
      <c r="H8914" t="s">
        <v>22452</v>
      </c>
      <c r="I8914" t="s">
        <v>22479</v>
      </c>
      <c r="J8914" t="s">
        <v>28243</v>
      </c>
      <c r="K8914" t="s">
        <v>29341</v>
      </c>
      <c r="M8914" t="s">
        <v>29764</v>
      </c>
      <c r="N8914" t="s">
        <v>32524</v>
      </c>
      <c r="O8914" t="s">
        <v>32525</v>
      </c>
      <c r="P8914">
        <v>0</v>
      </c>
      <c r="Q8914">
        <v>6</v>
      </c>
      <c r="R8914" t="s">
        <v>32537</v>
      </c>
      <c r="S8914" t="s">
        <v>32828</v>
      </c>
      <c r="T8914" t="s">
        <v>33172</v>
      </c>
      <c r="U8914" t="s">
        <v>41012</v>
      </c>
      <c r="W8914" t="s">
        <v>29764</v>
      </c>
      <c r="X8914" t="s">
        <v>32538</v>
      </c>
    </row>
    <row r="8915" spans="1:24">
      <c r="A8915">
        <f>HYPERLINK("https://www.philgeps.gov.ph/GEPSNONPILOT/Tender/SplashBidNoticeAbstractUI.aspx?menuIndex=3&amp;refID=7029109&amp;Result=3","7029109")</f>
        <v>0</v>
      </c>
      <c r="B8915" t="s">
        <v>2327</v>
      </c>
      <c r="C8915" t="s">
        <v>11199</v>
      </c>
      <c r="D8915" t="s">
        <v>13054</v>
      </c>
      <c r="E8915" t="s">
        <v>20778</v>
      </c>
      <c r="F8915" t="s">
        <v>22436</v>
      </c>
      <c r="G8915" t="s">
        <v>22444</v>
      </c>
      <c r="H8915" t="s">
        <v>22454</v>
      </c>
      <c r="I8915" t="s">
        <v>7738</v>
      </c>
      <c r="J8915" t="s">
        <v>22634</v>
      </c>
      <c r="K8915" t="s">
        <v>29338</v>
      </c>
      <c r="M8915" t="s">
        <v>32104</v>
      </c>
      <c r="N8915" t="s">
        <v>32524</v>
      </c>
      <c r="O8915" t="s">
        <v>32525</v>
      </c>
      <c r="P8915">
        <v>0</v>
      </c>
      <c r="Q8915">
        <v>0</v>
      </c>
      <c r="R8915" t="s">
        <v>32537</v>
      </c>
      <c r="S8915" t="s">
        <v>32828</v>
      </c>
      <c r="T8915" t="s">
        <v>33249</v>
      </c>
      <c r="U8915" t="s">
        <v>41013</v>
      </c>
      <c r="V8915" t="s">
        <v>43407</v>
      </c>
      <c r="W8915" t="s">
        <v>32104</v>
      </c>
      <c r="X8915" t="s">
        <v>32538</v>
      </c>
    </row>
    <row r="8916" spans="1:24">
      <c r="A8916">
        <f>HYPERLINK("https://www.philgeps.gov.ph/GEPSNONPILOT/Tender/SplashBidNoticeAbstractUI.aspx?menuIndex=3&amp;refID=7029124&amp;Result=3","7029124")</f>
        <v>0</v>
      </c>
      <c r="B8916" t="s">
        <v>1249</v>
      </c>
      <c r="C8916" t="s">
        <v>11200</v>
      </c>
      <c r="D8916" t="s">
        <v>13032</v>
      </c>
      <c r="E8916" t="s">
        <v>20854</v>
      </c>
      <c r="F8916" t="s">
        <v>22436</v>
      </c>
      <c r="G8916" t="s">
        <v>22444</v>
      </c>
      <c r="H8916" t="s">
        <v>22453</v>
      </c>
      <c r="I8916" t="s">
        <v>22457</v>
      </c>
      <c r="J8916" t="s">
        <v>28244</v>
      </c>
      <c r="K8916" t="s">
        <v>29332</v>
      </c>
      <c r="M8916" t="s">
        <v>30901</v>
      </c>
      <c r="N8916" t="s">
        <v>32524</v>
      </c>
      <c r="O8916" t="s">
        <v>32525</v>
      </c>
      <c r="P8916">
        <v>0</v>
      </c>
      <c r="Q8916">
        <v>1</v>
      </c>
      <c r="R8916" t="s">
        <v>32537</v>
      </c>
      <c r="S8916" t="s">
        <v>32828</v>
      </c>
      <c r="T8916" t="s">
        <v>33249</v>
      </c>
      <c r="U8916" t="s">
        <v>41014</v>
      </c>
      <c r="W8916" t="s">
        <v>30901</v>
      </c>
      <c r="X8916" t="s">
        <v>32538</v>
      </c>
    </row>
    <row r="8917" spans="1:24">
      <c r="A8917">
        <f>HYPERLINK("https://www.philgeps.gov.ph/GEPSNONPILOT/Tender/SplashBidNoticeAbstractUI.aspx?menuIndex=3&amp;refID=7029099&amp;Result=3","7029099")</f>
        <v>0</v>
      </c>
      <c r="B8917" t="s">
        <v>700</v>
      </c>
      <c r="C8917" t="s">
        <v>11201</v>
      </c>
      <c r="D8917" t="s">
        <v>13074</v>
      </c>
      <c r="E8917" t="s">
        <v>20855</v>
      </c>
      <c r="F8917" t="s">
        <v>22436</v>
      </c>
      <c r="G8917" t="s">
        <v>22444</v>
      </c>
      <c r="H8917" t="s">
        <v>22454</v>
      </c>
      <c r="I8917" t="s">
        <v>7738</v>
      </c>
      <c r="J8917" t="s">
        <v>28245</v>
      </c>
      <c r="K8917" t="s">
        <v>29339</v>
      </c>
      <c r="M8917" t="s">
        <v>31815</v>
      </c>
      <c r="N8917" t="s">
        <v>32524</v>
      </c>
      <c r="O8917" t="s">
        <v>32525</v>
      </c>
      <c r="Q8917">
        <v>9</v>
      </c>
      <c r="R8917" t="s">
        <v>32537</v>
      </c>
      <c r="S8917" t="s">
        <v>32845</v>
      </c>
      <c r="T8917" t="s">
        <v>33405</v>
      </c>
      <c r="U8917" t="s">
        <v>41015</v>
      </c>
      <c r="W8917" t="s">
        <v>31815</v>
      </c>
      <c r="X8917" t="s">
        <v>32538</v>
      </c>
    </row>
    <row r="8918" spans="1:24">
      <c r="A8918">
        <f>HYPERLINK("https://www.philgeps.gov.ph/GEPSNONPILOT/Tender/SplashBidNoticeAbstractUI.aspx?menuIndex=3&amp;refID=7029135&amp;Result=3","7029135")</f>
        <v>0</v>
      </c>
      <c r="B8918" t="s">
        <v>2059</v>
      </c>
      <c r="C8918" t="s">
        <v>11202</v>
      </c>
      <c r="D8918" t="s">
        <v>13025</v>
      </c>
      <c r="E8918" t="s">
        <v>20856</v>
      </c>
      <c r="F8918" t="s">
        <v>22436</v>
      </c>
      <c r="G8918" t="s">
        <v>22443</v>
      </c>
      <c r="H8918" t="s">
        <v>22452</v>
      </c>
      <c r="I8918" t="s">
        <v>22492</v>
      </c>
      <c r="J8918" t="s">
        <v>23434</v>
      </c>
      <c r="K8918" t="s">
        <v>29340</v>
      </c>
      <c r="M8918" t="s">
        <v>31801</v>
      </c>
      <c r="N8918" t="s">
        <v>32524</v>
      </c>
      <c r="O8918" t="s">
        <v>32525</v>
      </c>
      <c r="Q8918">
        <v>0</v>
      </c>
      <c r="R8918" t="s">
        <v>32537</v>
      </c>
      <c r="S8918" t="s">
        <v>32846</v>
      </c>
      <c r="T8918" t="s">
        <v>33169</v>
      </c>
      <c r="U8918" t="s">
        <v>41016</v>
      </c>
      <c r="W8918" t="s">
        <v>31801</v>
      </c>
      <c r="X8918" t="s">
        <v>32538</v>
      </c>
    </row>
    <row r="8919" spans="1:24">
      <c r="A8919">
        <f>HYPERLINK("https://www.philgeps.gov.ph/GEPSNONPILOT/Tender/SplashBidNoticeAbstractUI.aspx?menuIndex=3&amp;refID=7029151&amp;Result=3","7029151")</f>
        <v>0</v>
      </c>
      <c r="B8919" t="s">
        <v>1793</v>
      </c>
      <c r="C8919" t="s">
        <v>11203</v>
      </c>
      <c r="D8919" t="s">
        <v>13012</v>
      </c>
      <c r="E8919" t="s">
        <v>20857</v>
      </c>
      <c r="F8919" t="s">
        <v>22437</v>
      </c>
      <c r="G8919" t="s">
        <v>22444</v>
      </c>
      <c r="H8919" t="s">
        <v>22454</v>
      </c>
      <c r="I8919" t="s">
        <v>7738</v>
      </c>
      <c r="J8919" t="s">
        <v>24103</v>
      </c>
      <c r="K8919" t="s">
        <v>29437</v>
      </c>
      <c r="M8919" t="s">
        <v>31504</v>
      </c>
      <c r="N8919" t="s">
        <v>32524</v>
      </c>
      <c r="O8919" t="s">
        <v>32525</v>
      </c>
      <c r="P8919">
        <v>0</v>
      </c>
      <c r="Q8919">
        <v>2</v>
      </c>
      <c r="R8919" t="s">
        <v>32537</v>
      </c>
      <c r="S8919" t="s">
        <v>32828</v>
      </c>
      <c r="T8919" t="s">
        <v>33227</v>
      </c>
      <c r="U8919" t="s">
        <v>40567</v>
      </c>
      <c r="V8919" t="s">
        <v>43351</v>
      </c>
      <c r="W8919" t="s">
        <v>31504</v>
      </c>
      <c r="X8919" t="s">
        <v>32538</v>
      </c>
    </row>
    <row r="8920" spans="1:24">
      <c r="A8920">
        <f>HYPERLINK("https://www.philgeps.gov.ph/GEPSNONPILOT/Tender/SplashBidNoticeAbstractUI.aspx?menuIndex=3&amp;refID=7029280&amp;Result=3","7029280")</f>
        <v>0</v>
      </c>
      <c r="B8920" t="s">
        <v>1992</v>
      </c>
      <c r="C8920" t="s">
        <v>11204</v>
      </c>
      <c r="D8920" t="s">
        <v>13037</v>
      </c>
      <c r="E8920" t="s">
        <v>13131</v>
      </c>
      <c r="F8920" t="s">
        <v>22436</v>
      </c>
      <c r="G8920" t="s">
        <v>22444</v>
      </c>
      <c r="H8920" t="s">
        <v>22452</v>
      </c>
      <c r="I8920" t="s">
        <v>6421</v>
      </c>
      <c r="J8920" t="s">
        <v>28246</v>
      </c>
      <c r="K8920" t="s">
        <v>29341</v>
      </c>
      <c r="M8920" t="s">
        <v>32289</v>
      </c>
      <c r="N8920" t="s">
        <v>32524</v>
      </c>
      <c r="O8920" t="s">
        <v>32525</v>
      </c>
      <c r="P8920">
        <v>0</v>
      </c>
      <c r="Q8920">
        <v>28</v>
      </c>
      <c r="R8920" t="s">
        <v>32537</v>
      </c>
      <c r="S8920" t="s">
        <v>32828</v>
      </c>
      <c r="T8920" t="s">
        <v>33182</v>
      </c>
      <c r="U8920" t="s">
        <v>41017</v>
      </c>
      <c r="W8920" t="s">
        <v>32289</v>
      </c>
      <c r="X8920" t="s">
        <v>32538</v>
      </c>
    </row>
    <row r="8921" spans="1:24">
      <c r="A8921">
        <f>HYPERLINK("https://www.philgeps.gov.ph/GEPSNONPILOT/Tender/SplashBidNoticeAbstractUI.aspx?menuIndex=3&amp;refID=7029271&amp;Result=3","7029271")</f>
        <v>0</v>
      </c>
      <c r="B8921" t="s">
        <v>2485</v>
      </c>
      <c r="C8921" t="s">
        <v>11205</v>
      </c>
      <c r="D8921" t="s">
        <v>13009</v>
      </c>
      <c r="E8921" t="s">
        <v>15154</v>
      </c>
      <c r="F8921" t="s">
        <v>22436</v>
      </c>
      <c r="G8921" t="s">
        <v>22444</v>
      </c>
      <c r="H8921" t="s">
        <v>22454</v>
      </c>
      <c r="I8921" t="s">
        <v>7738</v>
      </c>
      <c r="J8921" t="s">
        <v>28247</v>
      </c>
      <c r="K8921" t="s">
        <v>29335</v>
      </c>
      <c r="M8921" t="s">
        <v>32290</v>
      </c>
      <c r="N8921" t="s">
        <v>32524</v>
      </c>
      <c r="O8921" t="s">
        <v>32525</v>
      </c>
      <c r="Q8921">
        <v>0</v>
      </c>
      <c r="R8921" t="s">
        <v>32537</v>
      </c>
      <c r="S8921" t="s">
        <v>32847</v>
      </c>
      <c r="T8921" t="s">
        <v>33191</v>
      </c>
      <c r="U8921" t="s">
        <v>41018</v>
      </c>
      <c r="W8921" t="s">
        <v>32290</v>
      </c>
      <c r="X8921" t="s">
        <v>32538</v>
      </c>
    </row>
    <row r="8922" spans="1:24">
      <c r="A8922">
        <f>HYPERLINK("https://www.philgeps.gov.ph/GEPSNONPILOT/Tender/SplashBidNoticeAbstractUI.aspx?menuIndex=3&amp;refID=7029273&amp;Result=3","7029273")</f>
        <v>0</v>
      </c>
      <c r="B8922" t="s">
        <v>2486</v>
      </c>
      <c r="C8922" t="s">
        <v>11206</v>
      </c>
      <c r="D8922" t="s">
        <v>13016</v>
      </c>
      <c r="E8922" t="s">
        <v>20858</v>
      </c>
      <c r="F8922" t="s">
        <v>22436</v>
      </c>
      <c r="G8922" t="s">
        <v>22444</v>
      </c>
      <c r="H8922" t="s">
        <v>22452</v>
      </c>
      <c r="I8922" t="s">
        <v>22540</v>
      </c>
      <c r="J8922" t="s">
        <v>27120</v>
      </c>
      <c r="K8922" t="s">
        <v>29329</v>
      </c>
      <c r="M8922" t="s">
        <v>32291</v>
      </c>
      <c r="N8922" t="s">
        <v>32524</v>
      </c>
      <c r="O8922" t="s">
        <v>32525</v>
      </c>
      <c r="P8922">
        <v>0</v>
      </c>
      <c r="Q8922">
        <v>3</v>
      </c>
      <c r="R8922" t="s">
        <v>32537</v>
      </c>
      <c r="S8922" t="s">
        <v>32828</v>
      </c>
      <c r="T8922" t="s">
        <v>33345</v>
      </c>
      <c r="U8922" t="s">
        <v>41019</v>
      </c>
      <c r="W8922" t="s">
        <v>32291</v>
      </c>
      <c r="X8922" t="s">
        <v>32538</v>
      </c>
    </row>
    <row r="8923" spans="1:24">
      <c r="A8923">
        <f>HYPERLINK("https://www.philgeps.gov.ph/GEPSNONPILOT/Tender/SplashBidNoticeAbstractUI.aspx?menuIndex=3&amp;refID=7029186&amp;Result=3","7029186")</f>
        <v>0</v>
      </c>
      <c r="B8923" t="s">
        <v>2485</v>
      </c>
      <c r="C8923" t="s">
        <v>11207</v>
      </c>
      <c r="D8923" t="s">
        <v>13009</v>
      </c>
      <c r="E8923" t="s">
        <v>14346</v>
      </c>
      <c r="F8923" t="s">
        <v>22436</v>
      </c>
      <c r="G8923" t="s">
        <v>22444</v>
      </c>
      <c r="H8923" t="s">
        <v>22454</v>
      </c>
      <c r="I8923" t="s">
        <v>7738</v>
      </c>
      <c r="J8923" t="s">
        <v>28248</v>
      </c>
      <c r="K8923" t="s">
        <v>29354</v>
      </c>
      <c r="M8923" t="s">
        <v>32290</v>
      </c>
      <c r="N8923" t="s">
        <v>32524</v>
      </c>
      <c r="O8923" t="s">
        <v>32525</v>
      </c>
      <c r="Q8923">
        <v>0</v>
      </c>
      <c r="R8923" t="s">
        <v>32537</v>
      </c>
      <c r="S8923" t="s">
        <v>32848</v>
      </c>
      <c r="T8923" t="s">
        <v>33191</v>
      </c>
      <c r="U8923" t="s">
        <v>41020</v>
      </c>
      <c r="W8923" t="s">
        <v>32290</v>
      </c>
      <c r="X8923" t="s">
        <v>32538</v>
      </c>
    </row>
    <row r="8924" spans="1:24">
      <c r="A8924">
        <f>HYPERLINK("https://www.philgeps.gov.ph/GEPSNONPILOT/Tender/SplashBidNoticeAbstractUI.aspx?menuIndex=3&amp;refID=7029264&amp;Result=3","7029264")</f>
        <v>0</v>
      </c>
      <c r="B8924" t="s">
        <v>799</v>
      </c>
      <c r="C8924" t="s">
        <v>11208</v>
      </c>
      <c r="D8924" t="s">
        <v>13072</v>
      </c>
      <c r="E8924" t="s">
        <v>20859</v>
      </c>
      <c r="F8924" t="s">
        <v>22436</v>
      </c>
      <c r="G8924" t="s">
        <v>22444</v>
      </c>
      <c r="H8924" t="s">
        <v>22452</v>
      </c>
      <c r="I8924" t="s">
        <v>7738</v>
      </c>
      <c r="J8924" t="s">
        <v>28249</v>
      </c>
      <c r="K8924" t="s">
        <v>29338</v>
      </c>
      <c r="M8924" t="s">
        <v>30401</v>
      </c>
      <c r="N8924" t="s">
        <v>32524</v>
      </c>
      <c r="O8924" t="s">
        <v>32525</v>
      </c>
      <c r="Q8924">
        <v>3</v>
      </c>
      <c r="R8924" t="s">
        <v>32537</v>
      </c>
      <c r="S8924" t="s">
        <v>32849</v>
      </c>
      <c r="T8924" t="s">
        <v>33550</v>
      </c>
      <c r="U8924" t="s">
        <v>41021</v>
      </c>
      <c r="W8924" t="s">
        <v>30401</v>
      </c>
      <c r="X8924" t="s">
        <v>32538</v>
      </c>
    </row>
    <row r="8925" spans="1:24">
      <c r="A8925">
        <f>HYPERLINK("https://www.philgeps.gov.ph/GEPSNONPILOT/Tender/SplashBidNoticeAbstractUI.aspx?menuIndex=3&amp;refID=7029242&amp;Result=3","7029242")</f>
        <v>0</v>
      </c>
      <c r="B8925" t="s">
        <v>1992</v>
      </c>
      <c r="C8925" t="s">
        <v>11209</v>
      </c>
      <c r="D8925" t="s">
        <v>13037</v>
      </c>
      <c r="E8925" t="s">
        <v>15628</v>
      </c>
      <c r="F8925" t="s">
        <v>22436</v>
      </c>
      <c r="G8925" t="s">
        <v>22444</v>
      </c>
      <c r="H8925" t="s">
        <v>22453</v>
      </c>
      <c r="I8925" t="s">
        <v>22463</v>
      </c>
      <c r="J8925" t="s">
        <v>28250</v>
      </c>
      <c r="K8925" t="s">
        <v>29341</v>
      </c>
      <c r="M8925" t="s">
        <v>32289</v>
      </c>
      <c r="N8925" t="s">
        <v>32524</v>
      </c>
      <c r="O8925" t="s">
        <v>32525</v>
      </c>
      <c r="P8925">
        <v>0</v>
      </c>
      <c r="Q8925">
        <v>31</v>
      </c>
      <c r="R8925" t="s">
        <v>32537</v>
      </c>
      <c r="S8925" t="s">
        <v>32828</v>
      </c>
      <c r="T8925" t="s">
        <v>33172</v>
      </c>
      <c r="U8925" t="s">
        <v>41022</v>
      </c>
      <c r="W8925" t="s">
        <v>32289</v>
      </c>
      <c r="X8925" t="s">
        <v>32538</v>
      </c>
    </row>
    <row r="8926" spans="1:24">
      <c r="A8926">
        <f>HYPERLINK("https://www.philgeps.gov.ph/GEPSNONPILOT/Tender/SplashBidNoticeAbstractUI.aspx?menuIndex=3&amp;refID=7029179&amp;Result=3","7029179")</f>
        <v>0</v>
      </c>
      <c r="B8926" t="s">
        <v>970</v>
      </c>
      <c r="C8926" t="s">
        <v>11210</v>
      </c>
      <c r="D8926" t="s">
        <v>13042</v>
      </c>
      <c r="E8926" t="s">
        <v>14688</v>
      </c>
      <c r="F8926" t="s">
        <v>22436</v>
      </c>
      <c r="G8926" t="s">
        <v>22444</v>
      </c>
      <c r="H8926" t="s">
        <v>22452</v>
      </c>
      <c r="I8926" t="s">
        <v>22463</v>
      </c>
      <c r="J8926" t="s">
        <v>28251</v>
      </c>
      <c r="K8926" t="s">
        <v>29329</v>
      </c>
      <c r="L8926" t="s">
        <v>970</v>
      </c>
      <c r="M8926" t="s">
        <v>30589</v>
      </c>
      <c r="N8926" t="s">
        <v>32524</v>
      </c>
      <c r="O8926" t="s">
        <v>32525</v>
      </c>
      <c r="P8926">
        <v>0</v>
      </c>
      <c r="Q8926">
        <v>3</v>
      </c>
      <c r="R8926" t="s">
        <v>32537</v>
      </c>
      <c r="S8926" t="s">
        <v>32828</v>
      </c>
      <c r="T8926" t="s">
        <v>33466</v>
      </c>
      <c r="U8926" t="s">
        <v>41023</v>
      </c>
      <c r="V8926" t="s">
        <v>43410</v>
      </c>
      <c r="W8926" t="s">
        <v>30589</v>
      </c>
      <c r="X8926" t="s">
        <v>32538</v>
      </c>
    </row>
    <row r="8927" spans="1:24">
      <c r="A8927">
        <f>HYPERLINK("https://www.philgeps.gov.ph/GEPSNONPILOT/Tender/SplashBidNoticeAbstractUI.aspx?menuIndex=3&amp;refID=7029261&amp;Result=3","7029261")</f>
        <v>0</v>
      </c>
      <c r="B8927" t="s">
        <v>970</v>
      </c>
      <c r="C8927" t="s">
        <v>11211</v>
      </c>
      <c r="D8927" t="s">
        <v>13042</v>
      </c>
      <c r="E8927" t="s">
        <v>14819</v>
      </c>
      <c r="F8927" t="s">
        <v>22436</v>
      </c>
      <c r="G8927" t="s">
        <v>22444</v>
      </c>
      <c r="H8927" t="s">
        <v>22452</v>
      </c>
      <c r="I8927" t="s">
        <v>3529</v>
      </c>
      <c r="J8927" t="s">
        <v>28252</v>
      </c>
      <c r="K8927" t="s">
        <v>29333</v>
      </c>
      <c r="L8927" t="s">
        <v>970</v>
      </c>
      <c r="M8927" t="s">
        <v>30589</v>
      </c>
      <c r="N8927" t="s">
        <v>32524</v>
      </c>
      <c r="O8927" t="s">
        <v>32525</v>
      </c>
      <c r="P8927">
        <v>0</v>
      </c>
      <c r="Q8927">
        <v>2</v>
      </c>
      <c r="R8927" t="s">
        <v>32537</v>
      </c>
      <c r="S8927" t="s">
        <v>32828</v>
      </c>
      <c r="T8927" t="s">
        <v>33466</v>
      </c>
      <c r="U8927" t="s">
        <v>41024</v>
      </c>
      <c r="V8927" t="s">
        <v>43410</v>
      </c>
      <c r="W8927" t="s">
        <v>30589</v>
      </c>
      <c r="X8927" t="s">
        <v>32538</v>
      </c>
    </row>
    <row r="8928" spans="1:24">
      <c r="A8928">
        <f>HYPERLINK("https://www.philgeps.gov.ph/GEPSNONPILOT/Tender/SplashBidNoticeAbstractUI.aspx?menuIndex=3&amp;refID=7029234&amp;Result=3","7029234")</f>
        <v>0</v>
      </c>
      <c r="B8928" t="s">
        <v>1793</v>
      </c>
      <c r="C8928" t="s">
        <v>11212</v>
      </c>
      <c r="D8928" t="s">
        <v>13012</v>
      </c>
      <c r="E8928" t="s">
        <v>20860</v>
      </c>
      <c r="F8928" t="s">
        <v>22437</v>
      </c>
      <c r="G8928" t="s">
        <v>22444</v>
      </c>
      <c r="H8928" t="s">
        <v>22454</v>
      </c>
      <c r="I8928" t="s">
        <v>7738</v>
      </c>
      <c r="J8928" t="s">
        <v>24103</v>
      </c>
      <c r="K8928" t="s">
        <v>29437</v>
      </c>
      <c r="M8928" t="s">
        <v>31504</v>
      </c>
      <c r="N8928" t="s">
        <v>32524</v>
      </c>
      <c r="O8928" t="s">
        <v>32525</v>
      </c>
      <c r="P8928">
        <v>0</v>
      </c>
      <c r="Q8928">
        <v>2</v>
      </c>
      <c r="R8928" t="s">
        <v>32537</v>
      </c>
      <c r="S8928" t="s">
        <v>32828</v>
      </c>
      <c r="T8928" t="s">
        <v>33554</v>
      </c>
      <c r="U8928" t="s">
        <v>40567</v>
      </c>
      <c r="V8928" t="s">
        <v>43351</v>
      </c>
      <c r="W8928" t="s">
        <v>31504</v>
      </c>
      <c r="X8928" t="s">
        <v>32538</v>
      </c>
    </row>
    <row r="8929" spans="1:24">
      <c r="A8929">
        <f>HYPERLINK("https://www.philgeps.gov.ph/GEPSNONPILOT/Tender/SplashBidNoticeAbstractUI.aspx?menuIndex=3&amp;refID=7029154&amp;Result=3","7029154")</f>
        <v>0</v>
      </c>
      <c r="B8929" t="s">
        <v>46</v>
      </c>
      <c r="C8929" t="s">
        <v>11213</v>
      </c>
      <c r="D8929" t="s">
        <v>13006</v>
      </c>
      <c r="E8929" t="s">
        <v>20861</v>
      </c>
      <c r="F8929" t="s">
        <v>22436</v>
      </c>
      <c r="G8929" t="s">
        <v>22444</v>
      </c>
      <c r="H8929" t="s">
        <v>22452</v>
      </c>
      <c r="I8929" t="s">
        <v>3529</v>
      </c>
      <c r="J8929" t="s">
        <v>23689</v>
      </c>
      <c r="K8929" t="s">
        <v>29357</v>
      </c>
      <c r="M8929" t="s">
        <v>29760</v>
      </c>
      <c r="N8929" t="s">
        <v>32524</v>
      </c>
      <c r="O8929" t="s">
        <v>32525</v>
      </c>
      <c r="P8929">
        <v>0</v>
      </c>
      <c r="Q8929">
        <v>1</v>
      </c>
      <c r="R8929" t="s">
        <v>32537</v>
      </c>
      <c r="S8929" t="s">
        <v>32828</v>
      </c>
      <c r="T8929" t="s">
        <v>33238</v>
      </c>
      <c r="U8929" t="s">
        <v>41025</v>
      </c>
      <c r="V8929" t="s">
        <v>42461</v>
      </c>
      <c r="W8929" t="s">
        <v>29760</v>
      </c>
      <c r="X8929" t="s">
        <v>32538</v>
      </c>
    </row>
    <row r="8930" spans="1:24">
      <c r="A8930">
        <f>HYPERLINK("https://www.philgeps.gov.ph/GEPSNONPILOT/Tender/SplashBidNoticeAbstractUI.aspx?menuIndex=3&amp;refID=7029215&amp;Result=3","7029215")</f>
        <v>0</v>
      </c>
      <c r="B8930" t="s">
        <v>970</v>
      </c>
      <c r="C8930" t="s">
        <v>11214</v>
      </c>
      <c r="D8930" t="s">
        <v>13042</v>
      </c>
      <c r="E8930" t="s">
        <v>14719</v>
      </c>
      <c r="F8930" t="s">
        <v>22436</v>
      </c>
      <c r="G8930" t="s">
        <v>22444</v>
      </c>
      <c r="H8930" t="s">
        <v>22454</v>
      </c>
      <c r="I8930" t="s">
        <v>7738</v>
      </c>
      <c r="J8930" t="s">
        <v>28253</v>
      </c>
      <c r="K8930" t="s">
        <v>29337</v>
      </c>
      <c r="L8930" t="s">
        <v>970</v>
      </c>
      <c r="M8930" t="s">
        <v>30589</v>
      </c>
      <c r="N8930" t="s">
        <v>32524</v>
      </c>
      <c r="O8930" t="s">
        <v>32525</v>
      </c>
      <c r="P8930">
        <v>0</v>
      </c>
      <c r="Q8930">
        <v>1</v>
      </c>
      <c r="R8930" t="s">
        <v>32537</v>
      </c>
      <c r="S8930" t="s">
        <v>32828</v>
      </c>
      <c r="T8930" t="s">
        <v>33466</v>
      </c>
      <c r="U8930" t="s">
        <v>41026</v>
      </c>
      <c r="V8930" t="s">
        <v>43410</v>
      </c>
      <c r="W8930" t="s">
        <v>30589</v>
      </c>
      <c r="X8930" t="s">
        <v>32538</v>
      </c>
    </row>
    <row r="8931" spans="1:24">
      <c r="A8931">
        <f>HYPERLINK("https://www.philgeps.gov.ph/GEPSNONPILOT/Tender/SplashBidNoticeAbstractUI.aspx?menuIndex=3&amp;refID=7029182&amp;Result=3","7029182")</f>
        <v>0</v>
      </c>
      <c r="B8931" t="s">
        <v>2059</v>
      </c>
      <c r="C8931" t="s">
        <v>11215</v>
      </c>
      <c r="D8931" t="s">
        <v>13045</v>
      </c>
      <c r="E8931" t="s">
        <v>20862</v>
      </c>
      <c r="F8931" t="s">
        <v>22436</v>
      </c>
      <c r="G8931" t="s">
        <v>22443</v>
      </c>
      <c r="H8931" t="s">
        <v>22452</v>
      </c>
      <c r="I8931" t="s">
        <v>22492</v>
      </c>
      <c r="J8931" t="s">
        <v>23434</v>
      </c>
      <c r="K8931" t="s">
        <v>29340</v>
      </c>
      <c r="M8931" t="s">
        <v>31801</v>
      </c>
      <c r="N8931" t="s">
        <v>32524</v>
      </c>
      <c r="O8931" t="s">
        <v>32525</v>
      </c>
      <c r="Q8931">
        <v>0</v>
      </c>
      <c r="R8931" t="s">
        <v>32537</v>
      </c>
      <c r="S8931" t="s">
        <v>32850</v>
      </c>
      <c r="T8931" t="s">
        <v>33169</v>
      </c>
      <c r="U8931" t="s">
        <v>41016</v>
      </c>
      <c r="W8931" t="s">
        <v>31801</v>
      </c>
      <c r="X8931" t="s">
        <v>32538</v>
      </c>
    </row>
    <row r="8932" spans="1:24">
      <c r="A8932">
        <f>HYPERLINK("https://www.philgeps.gov.ph/GEPSNONPILOT/Tender/SplashBidNoticeAbstractUI.aspx?menuIndex=3&amp;refID=7029260&amp;Result=3","7029260")</f>
        <v>0</v>
      </c>
      <c r="B8932" t="s">
        <v>1323</v>
      </c>
      <c r="C8932" t="s">
        <v>11216</v>
      </c>
      <c r="E8932" t="s">
        <v>20863</v>
      </c>
      <c r="F8932" t="s">
        <v>22436</v>
      </c>
      <c r="G8932" t="s">
        <v>22444</v>
      </c>
      <c r="H8932" t="s">
        <v>22454</v>
      </c>
      <c r="I8932" t="s">
        <v>7738</v>
      </c>
      <c r="J8932" t="s">
        <v>28254</v>
      </c>
      <c r="K8932" t="s">
        <v>29338</v>
      </c>
      <c r="M8932" t="s">
        <v>30978</v>
      </c>
      <c r="N8932" t="s">
        <v>32524</v>
      </c>
      <c r="O8932" t="s">
        <v>32525</v>
      </c>
      <c r="P8932">
        <v>0</v>
      </c>
      <c r="Q8932">
        <v>0</v>
      </c>
      <c r="R8932" t="s">
        <v>32537</v>
      </c>
      <c r="S8932" t="s">
        <v>32828</v>
      </c>
      <c r="T8932" t="s">
        <v>33422</v>
      </c>
      <c r="U8932" t="s">
        <v>36956</v>
      </c>
      <c r="W8932" t="s">
        <v>30978</v>
      </c>
      <c r="X8932" t="s">
        <v>32538</v>
      </c>
    </row>
    <row r="8933" spans="1:24">
      <c r="A8933">
        <f>HYPERLINK("https://www.philgeps.gov.ph/GEPSNONPILOT/Tender/SplashBidNoticeAbstractUI.aspx?menuIndex=3&amp;refID=7029195&amp;Result=3","7029195")</f>
        <v>0</v>
      </c>
      <c r="B8933" t="s">
        <v>2487</v>
      </c>
      <c r="C8933" t="s">
        <v>11217</v>
      </c>
      <c r="D8933" t="s">
        <v>13046</v>
      </c>
      <c r="E8933" t="s">
        <v>20864</v>
      </c>
      <c r="F8933" t="s">
        <v>22436</v>
      </c>
      <c r="G8933" t="s">
        <v>22444</v>
      </c>
      <c r="H8933" t="s">
        <v>22452</v>
      </c>
      <c r="I8933" t="s">
        <v>3529</v>
      </c>
      <c r="J8933" t="s">
        <v>28255</v>
      </c>
      <c r="K8933" t="s">
        <v>29341</v>
      </c>
      <c r="M8933" t="s">
        <v>32292</v>
      </c>
      <c r="N8933" t="s">
        <v>32524</v>
      </c>
      <c r="O8933" t="s">
        <v>32525</v>
      </c>
      <c r="P8933">
        <v>0</v>
      </c>
      <c r="Q8933">
        <v>0</v>
      </c>
      <c r="R8933" t="s">
        <v>32537</v>
      </c>
      <c r="S8933" t="s">
        <v>32828</v>
      </c>
      <c r="T8933" t="s">
        <v>33216</v>
      </c>
      <c r="U8933" t="s">
        <v>41027</v>
      </c>
      <c r="W8933" t="s">
        <v>32292</v>
      </c>
      <c r="X8933" t="s">
        <v>32538</v>
      </c>
    </row>
    <row r="8934" spans="1:24">
      <c r="A8934">
        <f>HYPERLINK("https://www.philgeps.gov.ph/GEPSNONPILOT/Tender/SplashBidNoticeAbstractUI.aspx?menuIndex=3&amp;refID=7029136&amp;Result=3","7029136")</f>
        <v>0</v>
      </c>
      <c r="B8934" t="s">
        <v>1974</v>
      </c>
      <c r="C8934" t="s">
        <v>11218</v>
      </c>
      <c r="D8934" t="s">
        <v>13039</v>
      </c>
      <c r="E8934" t="s">
        <v>20865</v>
      </c>
      <c r="F8934" t="s">
        <v>22436</v>
      </c>
      <c r="G8934" t="s">
        <v>22444</v>
      </c>
      <c r="H8934" t="s">
        <v>22452</v>
      </c>
      <c r="I8934" t="s">
        <v>7738</v>
      </c>
      <c r="J8934" t="s">
        <v>22674</v>
      </c>
      <c r="K8934" t="s">
        <v>29338</v>
      </c>
      <c r="M8934" t="s">
        <v>31706</v>
      </c>
      <c r="N8934" t="s">
        <v>32524</v>
      </c>
      <c r="O8934" t="s">
        <v>32525</v>
      </c>
      <c r="P8934">
        <v>0</v>
      </c>
      <c r="Q8934">
        <v>0</v>
      </c>
      <c r="R8934" t="s">
        <v>32537</v>
      </c>
      <c r="S8934" t="s">
        <v>32828</v>
      </c>
      <c r="T8934" t="s">
        <v>33230</v>
      </c>
      <c r="U8934" t="s">
        <v>41028</v>
      </c>
      <c r="W8934" t="s">
        <v>31706</v>
      </c>
      <c r="X8934" t="s">
        <v>32538</v>
      </c>
    </row>
    <row r="8935" spans="1:24">
      <c r="A8935">
        <f>HYPERLINK("https://www.philgeps.gov.ph/GEPSNONPILOT/Tender/SplashBidNoticeAbstractUI.aspx?menuIndex=3&amp;refID=7029291&amp;Result=3","7029291")</f>
        <v>0</v>
      </c>
      <c r="B8935" t="s">
        <v>1323</v>
      </c>
      <c r="C8935" t="s">
        <v>11219</v>
      </c>
      <c r="E8935" t="s">
        <v>20866</v>
      </c>
      <c r="F8935" t="s">
        <v>22436</v>
      </c>
      <c r="G8935" t="s">
        <v>22444</v>
      </c>
      <c r="H8935" t="s">
        <v>22454</v>
      </c>
      <c r="I8935" t="s">
        <v>7738</v>
      </c>
      <c r="J8935" t="s">
        <v>23399</v>
      </c>
      <c r="K8935" t="s">
        <v>29338</v>
      </c>
      <c r="M8935" t="s">
        <v>30978</v>
      </c>
      <c r="N8935" t="s">
        <v>32524</v>
      </c>
      <c r="O8935" t="s">
        <v>32525</v>
      </c>
      <c r="P8935">
        <v>0</v>
      </c>
      <c r="Q8935">
        <v>1</v>
      </c>
      <c r="R8935" t="s">
        <v>32537</v>
      </c>
      <c r="S8935" t="s">
        <v>32828</v>
      </c>
      <c r="T8935" t="s">
        <v>33422</v>
      </c>
      <c r="U8935" t="s">
        <v>36956</v>
      </c>
      <c r="W8935" t="s">
        <v>30978</v>
      </c>
      <c r="X8935" t="s">
        <v>32538</v>
      </c>
    </row>
    <row r="8936" spans="1:24">
      <c r="A8936">
        <f>HYPERLINK("https://www.philgeps.gov.ph/GEPSNONPILOT/Tender/SplashBidNoticeAbstractUI.aspx?menuIndex=3&amp;refID=7029226&amp;Result=3","7029226")</f>
        <v>0</v>
      </c>
      <c r="B8936" t="s">
        <v>2327</v>
      </c>
      <c r="C8936" t="s">
        <v>11220</v>
      </c>
      <c r="D8936" t="s">
        <v>13054</v>
      </c>
      <c r="E8936" t="s">
        <v>20778</v>
      </c>
      <c r="F8936" t="s">
        <v>22436</v>
      </c>
      <c r="G8936" t="s">
        <v>22444</v>
      </c>
      <c r="H8936" t="s">
        <v>22454</v>
      </c>
      <c r="I8936" t="s">
        <v>7738</v>
      </c>
      <c r="J8936" t="s">
        <v>26321</v>
      </c>
      <c r="K8936" t="s">
        <v>29338</v>
      </c>
      <c r="M8936" t="s">
        <v>32104</v>
      </c>
      <c r="N8936" t="s">
        <v>32524</v>
      </c>
      <c r="O8936" t="s">
        <v>32525</v>
      </c>
      <c r="P8936">
        <v>0</v>
      </c>
      <c r="Q8936">
        <v>0</v>
      </c>
      <c r="R8936" t="s">
        <v>32537</v>
      </c>
      <c r="S8936" t="s">
        <v>32828</v>
      </c>
      <c r="T8936" t="s">
        <v>33249</v>
      </c>
      <c r="U8936" t="s">
        <v>41029</v>
      </c>
      <c r="V8936" t="s">
        <v>43407</v>
      </c>
      <c r="W8936" t="s">
        <v>32104</v>
      </c>
      <c r="X8936" t="s">
        <v>32538</v>
      </c>
    </row>
    <row r="8937" spans="1:24">
      <c r="A8937">
        <f>HYPERLINK("https://www.philgeps.gov.ph/GEPSNONPILOT/Tender/SplashBidNoticeAbstractUI.aspx?menuIndex=3&amp;refID=7029163&amp;Result=3","7029163")</f>
        <v>0</v>
      </c>
      <c r="B8937" t="s">
        <v>700</v>
      </c>
      <c r="C8937" t="s">
        <v>11221</v>
      </c>
      <c r="D8937" t="s">
        <v>13074</v>
      </c>
      <c r="E8937" t="s">
        <v>20867</v>
      </c>
      <c r="F8937" t="s">
        <v>22436</v>
      </c>
      <c r="G8937" t="s">
        <v>22444</v>
      </c>
      <c r="H8937" t="s">
        <v>22454</v>
      </c>
      <c r="I8937" t="s">
        <v>7738</v>
      </c>
      <c r="J8937" t="s">
        <v>28256</v>
      </c>
      <c r="K8937" t="s">
        <v>29339</v>
      </c>
      <c r="M8937" t="s">
        <v>31815</v>
      </c>
      <c r="N8937" t="s">
        <v>32524</v>
      </c>
      <c r="O8937" t="s">
        <v>32525</v>
      </c>
      <c r="Q8937">
        <v>12</v>
      </c>
      <c r="R8937" t="s">
        <v>32537</v>
      </c>
      <c r="S8937" t="s">
        <v>32851</v>
      </c>
      <c r="T8937" t="s">
        <v>33405</v>
      </c>
      <c r="U8937" t="s">
        <v>41030</v>
      </c>
      <c r="W8937" t="s">
        <v>31815</v>
      </c>
      <c r="X8937" t="s">
        <v>32538</v>
      </c>
    </row>
    <row r="8938" spans="1:24">
      <c r="A8938">
        <f>HYPERLINK("https://www.philgeps.gov.ph/GEPSNONPILOT/Tender/SplashBidNoticeAbstractUI.aspx?menuIndex=3&amp;refID=7029236&amp;Result=3","7029236")</f>
        <v>0</v>
      </c>
      <c r="B8938" t="s">
        <v>970</v>
      </c>
      <c r="C8938" t="s">
        <v>11222</v>
      </c>
      <c r="D8938" t="s">
        <v>13042</v>
      </c>
      <c r="E8938" t="s">
        <v>14746</v>
      </c>
      <c r="F8938" t="s">
        <v>22436</v>
      </c>
      <c r="G8938" t="s">
        <v>22444</v>
      </c>
      <c r="H8938" t="s">
        <v>22452</v>
      </c>
      <c r="I8938" t="s">
        <v>3529</v>
      </c>
      <c r="J8938" t="s">
        <v>28257</v>
      </c>
      <c r="K8938" t="s">
        <v>29333</v>
      </c>
      <c r="L8938" t="s">
        <v>970</v>
      </c>
      <c r="M8938" t="s">
        <v>30589</v>
      </c>
      <c r="N8938" t="s">
        <v>32524</v>
      </c>
      <c r="O8938" t="s">
        <v>32525</v>
      </c>
      <c r="P8938">
        <v>0</v>
      </c>
      <c r="Q8938">
        <v>2</v>
      </c>
      <c r="R8938" t="s">
        <v>32537</v>
      </c>
      <c r="S8938" t="s">
        <v>32828</v>
      </c>
      <c r="T8938" t="s">
        <v>33466</v>
      </c>
      <c r="U8938" t="s">
        <v>41031</v>
      </c>
      <c r="V8938" t="s">
        <v>43410</v>
      </c>
      <c r="W8938" t="s">
        <v>30589</v>
      </c>
      <c r="X8938" t="s">
        <v>32538</v>
      </c>
    </row>
    <row r="8939" spans="1:24">
      <c r="A8939">
        <f>HYPERLINK("https://www.philgeps.gov.ph/GEPSNONPILOT/Tender/SplashBidNoticeAbstractUI.aspx?menuIndex=3&amp;refID=7029336&amp;Result=3","7029336")</f>
        <v>0</v>
      </c>
      <c r="B8939" t="s">
        <v>720</v>
      </c>
      <c r="C8939" t="s">
        <v>11223</v>
      </c>
      <c r="D8939" t="s">
        <v>13058</v>
      </c>
      <c r="E8939" t="s">
        <v>20868</v>
      </c>
      <c r="F8939" t="s">
        <v>22436</v>
      </c>
      <c r="G8939" t="s">
        <v>22450</v>
      </c>
      <c r="H8939" t="s">
        <v>22454</v>
      </c>
      <c r="I8939" t="s">
        <v>7738</v>
      </c>
      <c r="J8939" t="s">
        <v>28258</v>
      </c>
      <c r="K8939" t="s">
        <v>29408</v>
      </c>
      <c r="M8939" t="s">
        <v>30317</v>
      </c>
      <c r="N8939" t="s">
        <v>32524</v>
      </c>
      <c r="O8939" t="s">
        <v>32525</v>
      </c>
      <c r="P8939">
        <v>0</v>
      </c>
      <c r="Q8939">
        <v>0</v>
      </c>
      <c r="R8939" t="s">
        <v>32537</v>
      </c>
      <c r="S8939" t="s">
        <v>32828</v>
      </c>
      <c r="T8939" t="s">
        <v>33227</v>
      </c>
      <c r="U8939" t="s">
        <v>41032</v>
      </c>
      <c r="W8939" t="s">
        <v>30317</v>
      </c>
      <c r="X8939" t="s">
        <v>32538</v>
      </c>
    </row>
    <row r="8940" spans="1:24">
      <c r="A8940">
        <f>HYPERLINK("https://www.philgeps.gov.ph/GEPSNONPILOT/Tender/SplashBidNoticeAbstractUI.aspx?menuIndex=3&amp;refID=7029316&amp;Result=3","7029316")</f>
        <v>0</v>
      </c>
      <c r="B8940" t="s">
        <v>2488</v>
      </c>
      <c r="C8940" t="s">
        <v>11224</v>
      </c>
      <c r="D8940" t="s">
        <v>13019</v>
      </c>
      <c r="E8940" t="s">
        <v>14018</v>
      </c>
      <c r="F8940" t="s">
        <v>22436</v>
      </c>
      <c r="G8940" t="s">
        <v>22444</v>
      </c>
      <c r="H8940" t="s">
        <v>22452</v>
      </c>
      <c r="I8940" t="s">
        <v>22492</v>
      </c>
      <c r="J8940" t="s">
        <v>28259</v>
      </c>
      <c r="K8940" t="s">
        <v>29335</v>
      </c>
      <c r="M8940" t="s">
        <v>32293</v>
      </c>
      <c r="N8940" t="s">
        <v>32524</v>
      </c>
      <c r="O8940" t="s">
        <v>32525</v>
      </c>
      <c r="P8940">
        <v>0</v>
      </c>
      <c r="Q8940">
        <v>4</v>
      </c>
      <c r="R8940" t="s">
        <v>32537</v>
      </c>
      <c r="S8940" t="s">
        <v>32828</v>
      </c>
      <c r="T8940" t="s">
        <v>33550</v>
      </c>
      <c r="U8940" t="s">
        <v>41033</v>
      </c>
      <c r="W8940" t="s">
        <v>32293</v>
      </c>
      <c r="X8940" t="s">
        <v>32538</v>
      </c>
    </row>
    <row r="8941" spans="1:24">
      <c r="A8941">
        <f>HYPERLINK("https://www.philgeps.gov.ph/GEPSNONPILOT/Tender/SplashBidNoticeAbstractUI.aspx?menuIndex=3&amp;refID=7029290&amp;Result=3","7029290")</f>
        <v>0</v>
      </c>
      <c r="B8941" t="s">
        <v>1793</v>
      </c>
      <c r="C8941" t="s">
        <v>11225</v>
      </c>
      <c r="D8941" t="s">
        <v>13012</v>
      </c>
      <c r="E8941" t="s">
        <v>20869</v>
      </c>
      <c r="F8941" t="s">
        <v>22437</v>
      </c>
      <c r="G8941" t="s">
        <v>22444</v>
      </c>
      <c r="H8941" t="s">
        <v>22454</v>
      </c>
      <c r="I8941" t="s">
        <v>7738</v>
      </c>
      <c r="J8941" t="s">
        <v>22669</v>
      </c>
      <c r="K8941" t="s">
        <v>29555</v>
      </c>
      <c r="M8941" t="s">
        <v>31504</v>
      </c>
      <c r="N8941" t="s">
        <v>32524</v>
      </c>
      <c r="O8941" t="s">
        <v>32525</v>
      </c>
      <c r="P8941">
        <v>0</v>
      </c>
      <c r="Q8941">
        <v>2</v>
      </c>
      <c r="R8941" t="s">
        <v>32537</v>
      </c>
      <c r="S8941" t="s">
        <v>32828</v>
      </c>
      <c r="T8941" t="s">
        <v>33510</v>
      </c>
      <c r="U8941" t="s">
        <v>40567</v>
      </c>
      <c r="V8941" t="s">
        <v>43351</v>
      </c>
      <c r="W8941" t="s">
        <v>31504</v>
      </c>
      <c r="X8941" t="s">
        <v>32538</v>
      </c>
    </row>
    <row r="8942" spans="1:24">
      <c r="A8942">
        <f>HYPERLINK("https://www.philgeps.gov.ph/GEPSNONPILOT/Tender/SplashBidNoticeAbstractUI.aspx?menuIndex=3&amp;refID=7029334&amp;Result=3","7029334")</f>
        <v>0</v>
      </c>
      <c r="B8942" t="s">
        <v>1323</v>
      </c>
      <c r="C8942" t="s">
        <v>11226</v>
      </c>
      <c r="E8942" t="s">
        <v>20870</v>
      </c>
      <c r="F8942" t="s">
        <v>22436</v>
      </c>
      <c r="G8942" t="s">
        <v>22444</v>
      </c>
      <c r="H8942" t="s">
        <v>22454</v>
      </c>
      <c r="I8942" t="s">
        <v>7738</v>
      </c>
      <c r="J8942" t="s">
        <v>27917</v>
      </c>
      <c r="K8942" t="s">
        <v>29338</v>
      </c>
      <c r="M8942" t="s">
        <v>30978</v>
      </c>
      <c r="N8942" t="s">
        <v>32524</v>
      </c>
      <c r="O8942" t="s">
        <v>32525</v>
      </c>
      <c r="P8942">
        <v>0</v>
      </c>
      <c r="Q8942">
        <v>0</v>
      </c>
      <c r="R8942" t="s">
        <v>32537</v>
      </c>
      <c r="S8942" t="s">
        <v>32828</v>
      </c>
      <c r="T8942" t="s">
        <v>33422</v>
      </c>
      <c r="U8942" t="s">
        <v>36956</v>
      </c>
      <c r="W8942" t="s">
        <v>30978</v>
      </c>
      <c r="X8942" t="s">
        <v>32538</v>
      </c>
    </row>
    <row r="8943" spans="1:24">
      <c r="A8943">
        <f>HYPERLINK("https://www.philgeps.gov.ph/GEPSNONPILOT/Tender/SplashBidNoticeAbstractUI.aspx?menuIndex=3&amp;refID=7029332&amp;Result=3","7029332")</f>
        <v>0</v>
      </c>
      <c r="B8943" t="s">
        <v>2489</v>
      </c>
      <c r="C8943" t="s">
        <v>11227</v>
      </c>
      <c r="D8943" t="s">
        <v>12999</v>
      </c>
      <c r="E8943" t="s">
        <v>20871</v>
      </c>
      <c r="F8943" t="s">
        <v>22436</v>
      </c>
      <c r="G8943" t="s">
        <v>22444</v>
      </c>
      <c r="H8943" t="s">
        <v>22454</v>
      </c>
      <c r="I8943" t="s">
        <v>7738</v>
      </c>
      <c r="J8943" t="s">
        <v>28260</v>
      </c>
      <c r="K8943" t="s">
        <v>29334</v>
      </c>
      <c r="M8943" t="s">
        <v>32294</v>
      </c>
      <c r="N8943" t="s">
        <v>32524</v>
      </c>
      <c r="O8943" t="s">
        <v>32525</v>
      </c>
      <c r="P8943">
        <v>0</v>
      </c>
      <c r="Q8943">
        <v>0</v>
      </c>
      <c r="R8943" t="s">
        <v>32537</v>
      </c>
      <c r="S8943" t="s">
        <v>32828</v>
      </c>
      <c r="T8943" t="s">
        <v>33268</v>
      </c>
      <c r="U8943" t="s">
        <v>41034</v>
      </c>
      <c r="W8943" t="s">
        <v>32294</v>
      </c>
      <c r="X8943" t="s">
        <v>32538</v>
      </c>
    </row>
    <row r="8944" spans="1:24">
      <c r="A8944">
        <f>HYPERLINK("https://www.philgeps.gov.ph/GEPSNONPILOT/Tender/SplashBidNoticeAbstractUI.aspx?menuIndex=3&amp;refID=7029294&amp;Result=3","7029294")</f>
        <v>0</v>
      </c>
      <c r="B8944" t="s">
        <v>1947</v>
      </c>
      <c r="C8944" t="s">
        <v>11228</v>
      </c>
      <c r="D8944" t="s">
        <v>12998</v>
      </c>
      <c r="E8944" t="s">
        <v>20872</v>
      </c>
      <c r="F8944" t="s">
        <v>22436</v>
      </c>
      <c r="G8944" t="s">
        <v>22444</v>
      </c>
      <c r="H8944" t="s">
        <v>22453</v>
      </c>
      <c r="I8944" t="s">
        <v>22512</v>
      </c>
      <c r="J8944" t="s">
        <v>28261</v>
      </c>
      <c r="K8944" t="s">
        <v>29344</v>
      </c>
      <c r="M8944" t="s">
        <v>31783</v>
      </c>
      <c r="N8944" t="s">
        <v>32524</v>
      </c>
      <c r="O8944" t="s">
        <v>32525</v>
      </c>
      <c r="P8944">
        <v>0</v>
      </c>
      <c r="Q8944">
        <v>8</v>
      </c>
      <c r="R8944" t="s">
        <v>32537</v>
      </c>
      <c r="S8944" t="s">
        <v>32828</v>
      </c>
      <c r="T8944" t="s">
        <v>33242</v>
      </c>
      <c r="U8944" t="s">
        <v>38802</v>
      </c>
      <c r="V8944" t="s">
        <v>43415</v>
      </c>
      <c r="W8944" t="s">
        <v>31783</v>
      </c>
      <c r="X8944" t="s">
        <v>32538</v>
      </c>
    </row>
    <row r="8945" spans="1:24">
      <c r="A8945">
        <f>HYPERLINK("https://www.philgeps.gov.ph/GEPSNONPILOT/Tender/SplashBidNoticeAbstractUI.aspx?menuIndex=3&amp;refID=7029315&amp;Result=3","7029315")</f>
        <v>0</v>
      </c>
      <c r="B8945" t="s">
        <v>1323</v>
      </c>
      <c r="C8945" t="s">
        <v>11229</v>
      </c>
      <c r="E8945" t="s">
        <v>20873</v>
      </c>
      <c r="F8945" t="s">
        <v>22436</v>
      </c>
      <c r="G8945" t="s">
        <v>22444</v>
      </c>
      <c r="H8945" t="s">
        <v>22454</v>
      </c>
      <c r="I8945" t="s">
        <v>7738</v>
      </c>
      <c r="J8945" t="s">
        <v>23505</v>
      </c>
      <c r="K8945" t="s">
        <v>29338</v>
      </c>
      <c r="M8945" t="s">
        <v>30978</v>
      </c>
      <c r="N8945" t="s">
        <v>32524</v>
      </c>
      <c r="O8945" t="s">
        <v>32525</v>
      </c>
      <c r="P8945">
        <v>0</v>
      </c>
      <c r="Q8945">
        <v>0</v>
      </c>
      <c r="R8945" t="s">
        <v>32537</v>
      </c>
      <c r="S8945" t="s">
        <v>32828</v>
      </c>
      <c r="T8945" t="s">
        <v>33422</v>
      </c>
      <c r="U8945" t="s">
        <v>36956</v>
      </c>
      <c r="W8945" t="s">
        <v>30978</v>
      </c>
      <c r="X8945" t="s">
        <v>32538</v>
      </c>
    </row>
    <row r="8946" spans="1:24">
      <c r="A8946">
        <f>HYPERLINK("https://www.philgeps.gov.ph/GEPSNONPILOT/Tender/SplashBidNoticeAbstractUI.aspx?menuIndex=3&amp;refID=7029296&amp;Result=3","7029296")</f>
        <v>0</v>
      </c>
      <c r="B8946" t="s">
        <v>2485</v>
      </c>
      <c r="C8946" t="s">
        <v>11230</v>
      </c>
      <c r="D8946" t="s">
        <v>13009</v>
      </c>
      <c r="E8946" t="s">
        <v>20874</v>
      </c>
      <c r="F8946" t="s">
        <v>22436</v>
      </c>
      <c r="G8946" t="s">
        <v>22444</v>
      </c>
      <c r="H8946" t="s">
        <v>22452</v>
      </c>
      <c r="I8946" t="s">
        <v>22474</v>
      </c>
      <c r="J8946" t="s">
        <v>23350</v>
      </c>
      <c r="K8946" t="s">
        <v>29335</v>
      </c>
      <c r="M8946" t="s">
        <v>32290</v>
      </c>
      <c r="N8946" t="s">
        <v>32524</v>
      </c>
      <c r="O8946" t="s">
        <v>32525</v>
      </c>
      <c r="P8946">
        <v>0</v>
      </c>
      <c r="Q8946">
        <v>5</v>
      </c>
      <c r="R8946" t="s">
        <v>32537</v>
      </c>
      <c r="S8946" t="s">
        <v>32828</v>
      </c>
      <c r="T8946" t="s">
        <v>33191</v>
      </c>
      <c r="U8946" t="s">
        <v>41035</v>
      </c>
      <c r="W8946" t="s">
        <v>32290</v>
      </c>
      <c r="X8946" t="s">
        <v>32538</v>
      </c>
    </row>
    <row r="8947" spans="1:24">
      <c r="A8947">
        <f>HYPERLINK("https://www.philgeps.gov.ph/GEPSNONPILOT/Tender/SplashBidNoticeAbstractUI.aspx?menuIndex=3&amp;refID=7029335&amp;Result=3","7029335")</f>
        <v>0</v>
      </c>
      <c r="B8947" t="s">
        <v>34</v>
      </c>
      <c r="C8947" t="s">
        <v>11231</v>
      </c>
      <c r="D8947" t="s">
        <v>13019</v>
      </c>
      <c r="E8947" t="s">
        <v>20875</v>
      </c>
      <c r="F8947" t="s">
        <v>22436</v>
      </c>
      <c r="G8947" t="s">
        <v>22444</v>
      </c>
      <c r="H8947" t="s">
        <v>22454</v>
      </c>
      <c r="I8947" t="s">
        <v>7738</v>
      </c>
      <c r="J8947" t="s">
        <v>28262</v>
      </c>
      <c r="K8947" t="s">
        <v>29339</v>
      </c>
      <c r="M8947" t="s">
        <v>32295</v>
      </c>
      <c r="N8947" t="s">
        <v>32524</v>
      </c>
      <c r="O8947" t="s">
        <v>32525</v>
      </c>
      <c r="Q8947">
        <v>0</v>
      </c>
      <c r="R8947" t="s">
        <v>32537</v>
      </c>
      <c r="S8947" t="s">
        <v>32852</v>
      </c>
      <c r="T8947" t="s">
        <v>33249</v>
      </c>
      <c r="U8947" t="s">
        <v>41036</v>
      </c>
      <c r="W8947" t="s">
        <v>32295</v>
      </c>
      <c r="X8947" t="s">
        <v>32538</v>
      </c>
    </row>
    <row r="8948" spans="1:24">
      <c r="A8948">
        <f>HYPERLINK("https://www.philgeps.gov.ph/GEPSNONPILOT/Tender/SplashBidNoticeAbstractUI.aspx?menuIndex=3&amp;refID=7029366&amp;Result=3","7029366")</f>
        <v>0</v>
      </c>
      <c r="B8948" t="s">
        <v>1323</v>
      </c>
      <c r="C8948" t="s">
        <v>11232</v>
      </c>
      <c r="E8948" t="s">
        <v>20876</v>
      </c>
      <c r="F8948" t="s">
        <v>22436</v>
      </c>
      <c r="G8948" t="s">
        <v>22444</v>
      </c>
      <c r="H8948" t="s">
        <v>22454</v>
      </c>
      <c r="I8948" t="s">
        <v>7738</v>
      </c>
      <c r="J8948" t="s">
        <v>27917</v>
      </c>
      <c r="K8948" t="s">
        <v>29338</v>
      </c>
      <c r="M8948" t="s">
        <v>30978</v>
      </c>
      <c r="N8948" t="s">
        <v>32524</v>
      </c>
      <c r="O8948" t="s">
        <v>32525</v>
      </c>
      <c r="P8948">
        <v>0</v>
      </c>
      <c r="Q8948">
        <v>0</v>
      </c>
      <c r="R8948" t="s">
        <v>32537</v>
      </c>
      <c r="S8948" t="s">
        <v>32828</v>
      </c>
      <c r="T8948" t="s">
        <v>33422</v>
      </c>
      <c r="U8948" t="s">
        <v>36956</v>
      </c>
      <c r="W8948" t="s">
        <v>30978</v>
      </c>
      <c r="X8948" t="s">
        <v>32538</v>
      </c>
    </row>
    <row r="8949" spans="1:24">
      <c r="A8949">
        <f>HYPERLINK("https://www.philgeps.gov.ph/GEPSNONPILOT/Tender/SplashBidNoticeAbstractUI.aspx?menuIndex=3&amp;refID=7029353&amp;Result=3","7029353")</f>
        <v>0</v>
      </c>
      <c r="B8949" t="s">
        <v>2489</v>
      </c>
      <c r="C8949" t="s">
        <v>11233</v>
      </c>
      <c r="D8949" t="s">
        <v>12999</v>
      </c>
      <c r="E8949" t="s">
        <v>20877</v>
      </c>
      <c r="F8949" t="s">
        <v>22436</v>
      </c>
      <c r="G8949" t="s">
        <v>22444</v>
      </c>
      <c r="H8949" t="s">
        <v>22454</v>
      </c>
      <c r="I8949" t="s">
        <v>7738</v>
      </c>
      <c r="J8949" t="s">
        <v>28263</v>
      </c>
      <c r="K8949" t="s">
        <v>29333</v>
      </c>
      <c r="M8949" t="s">
        <v>32294</v>
      </c>
      <c r="N8949" t="s">
        <v>32524</v>
      </c>
      <c r="O8949" t="s">
        <v>32525</v>
      </c>
      <c r="P8949">
        <v>0</v>
      </c>
      <c r="Q8949">
        <v>0</v>
      </c>
      <c r="R8949" t="s">
        <v>32537</v>
      </c>
      <c r="S8949" t="s">
        <v>32828</v>
      </c>
      <c r="T8949" t="s">
        <v>33268</v>
      </c>
      <c r="U8949" t="s">
        <v>41037</v>
      </c>
      <c r="W8949" t="s">
        <v>32294</v>
      </c>
      <c r="X8949" t="s">
        <v>32538</v>
      </c>
    </row>
    <row r="8950" spans="1:24">
      <c r="A8950">
        <f>HYPERLINK("https://www.philgeps.gov.ph/GEPSNONPILOT/Tender/SplashBidNoticeAbstractUI.aspx?menuIndex=3&amp;refID=7029351&amp;Result=3","7029351")</f>
        <v>0</v>
      </c>
      <c r="B8950" t="s">
        <v>1323</v>
      </c>
      <c r="C8950" t="s">
        <v>11234</v>
      </c>
      <c r="E8950" t="s">
        <v>20878</v>
      </c>
      <c r="F8950" t="s">
        <v>22436</v>
      </c>
      <c r="G8950" t="s">
        <v>22444</v>
      </c>
      <c r="H8950" t="s">
        <v>22454</v>
      </c>
      <c r="I8950" t="s">
        <v>7738</v>
      </c>
      <c r="J8950" t="s">
        <v>27917</v>
      </c>
      <c r="K8950" t="s">
        <v>29338</v>
      </c>
      <c r="M8950" t="s">
        <v>30978</v>
      </c>
      <c r="N8950" t="s">
        <v>32524</v>
      </c>
      <c r="O8950" t="s">
        <v>32525</v>
      </c>
      <c r="P8950">
        <v>0</v>
      </c>
      <c r="Q8950">
        <v>0</v>
      </c>
      <c r="R8950" t="s">
        <v>32537</v>
      </c>
      <c r="S8950" t="s">
        <v>32828</v>
      </c>
      <c r="T8950" t="s">
        <v>33422</v>
      </c>
      <c r="U8950" t="s">
        <v>36956</v>
      </c>
      <c r="W8950" t="s">
        <v>30978</v>
      </c>
      <c r="X8950" t="s">
        <v>32538</v>
      </c>
    </row>
    <row r="8951" spans="1:24">
      <c r="A8951">
        <f>HYPERLINK("https://www.philgeps.gov.ph/GEPSNONPILOT/Tender/SplashBidNoticeAbstractUI.aspx?menuIndex=3&amp;refID=7029368&amp;Result=3","7029368")</f>
        <v>0</v>
      </c>
      <c r="B8951" t="s">
        <v>817</v>
      </c>
      <c r="C8951" t="s">
        <v>11235</v>
      </c>
      <c r="D8951" t="s">
        <v>12988</v>
      </c>
      <c r="E8951" t="s">
        <v>16863</v>
      </c>
      <c r="F8951" t="s">
        <v>22436</v>
      </c>
      <c r="G8951" t="s">
        <v>22446</v>
      </c>
      <c r="H8951" t="s">
        <v>22452</v>
      </c>
      <c r="I8951" t="s">
        <v>22502</v>
      </c>
      <c r="J8951" t="s">
        <v>22616</v>
      </c>
      <c r="K8951" t="s">
        <v>29336</v>
      </c>
      <c r="M8951" t="s">
        <v>30423</v>
      </c>
      <c r="N8951" t="s">
        <v>32524</v>
      </c>
      <c r="O8951" t="s">
        <v>32525</v>
      </c>
      <c r="Q8951">
        <v>8</v>
      </c>
      <c r="R8951" t="s">
        <v>32537</v>
      </c>
      <c r="S8951" t="s">
        <v>32853</v>
      </c>
      <c r="T8951" t="s">
        <v>33372</v>
      </c>
      <c r="U8951" t="s">
        <v>41038</v>
      </c>
      <c r="W8951" t="s">
        <v>30423</v>
      </c>
      <c r="X8951" t="s">
        <v>32538</v>
      </c>
    </row>
    <row r="8952" spans="1:24">
      <c r="A8952">
        <f>HYPERLINK("https://www.philgeps.gov.ph/GEPSNONPILOT/Tender/SplashBidNoticeAbstractUI.aspx?menuIndex=3&amp;refID=7029343&amp;Result=3","7029343")</f>
        <v>0</v>
      </c>
      <c r="B8952" t="s">
        <v>1295</v>
      </c>
      <c r="C8952" t="s">
        <v>11236</v>
      </c>
      <c r="D8952" t="s">
        <v>13041</v>
      </c>
      <c r="E8952" t="s">
        <v>20879</v>
      </c>
      <c r="F8952" t="s">
        <v>22436</v>
      </c>
      <c r="G8952" t="s">
        <v>22444</v>
      </c>
      <c r="H8952" t="s">
        <v>22454</v>
      </c>
      <c r="I8952" t="s">
        <v>7738</v>
      </c>
      <c r="J8952" t="s">
        <v>22624</v>
      </c>
      <c r="K8952" t="s">
        <v>29345</v>
      </c>
      <c r="M8952" t="s">
        <v>30949</v>
      </c>
      <c r="N8952" t="s">
        <v>32524</v>
      </c>
      <c r="O8952" t="s">
        <v>32525</v>
      </c>
      <c r="Q8952">
        <v>2</v>
      </c>
      <c r="R8952" t="s">
        <v>32537</v>
      </c>
      <c r="S8952" t="s">
        <v>32854</v>
      </c>
      <c r="T8952" t="s">
        <v>33249</v>
      </c>
      <c r="U8952" t="s">
        <v>41039</v>
      </c>
      <c r="V8952" t="s">
        <v>43416</v>
      </c>
      <c r="W8952" t="s">
        <v>30949</v>
      </c>
      <c r="X8952" t="s">
        <v>32538</v>
      </c>
    </row>
    <row r="8953" spans="1:24">
      <c r="A8953">
        <f>HYPERLINK("https://www.philgeps.gov.ph/GEPSNONPILOT/Tender/SplashBidNoticeAbstractUI.aspx?menuIndex=3&amp;refID=7029377&amp;Result=3","7029377")</f>
        <v>0</v>
      </c>
      <c r="B8953" t="s">
        <v>817</v>
      </c>
      <c r="C8953" t="s">
        <v>11237</v>
      </c>
      <c r="D8953" t="s">
        <v>12988</v>
      </c>
      <c r="E8953" t="s">
        <v>20880</v>
      </c>
      <c r="F8953" t="s">
        <v>22436</v>
      </c>
      <c r="G8953" t="s">
        <v>22446</v>
      </c>
      <c r="H8953" t="s">
        <v>22452</v>
      </c>
      <c r="I8953" t="s">
        <v>22502</v>
      </c>
      <c r="J8953" t="s">
        <v>22640</v>
      </c>
      <c r="K8953" t="s">
        <v>29336</v>
      </c>
      <c r="M8953" t="s">
        <v>30423</v>
      </c>
      <c r="N8953" t="s">
        <v>32524</v>
      </c>
      <c r="O8953" t="s">
        <v>32525</v>
      </c>
      <c r="Q8953">
        <v>8</v>
      </c>
      <c r="R8953" t="s">
        <v>32537</v>
      </c>
      <c r="S8953" t="s">
        <v>32855</v>
      </c>
      <c r="T8953" t="s">
        <v>33372</v>
      </c>
      <c r="U8953" t="s">
        <v>41040</v>
      </c>
      <c r="W8953" t="s">
        <v>30423</v>
      </c>
      <c r="X8953" t="s">
        <v>32538</v>
      </c>
    </row>
    <row r="8954" spans="1:24">
      <c r="A8954">
        <f>HYPERLINK("https://www.philgeps.gov.ph/GEPSNONPILOT/Tender/SplashBidNoticeAbstractUI.aspx?menuIndex=3&amp;refID=7029362&amp;Result=3","7029362")</f>
        <v>0</v>
      </c>
      <c r="B8954" t="s">
        <v>1840</v>
      </c>
      <c r="C8954" t="s">
        <v>11238</v>
      </c>
      <c r="D8954" t="s">
        <v>13045</v>
      </c>
      <c r="E8954" t="s">
        <v>20881</v>
      </c>
      <c r="F8954" t="s">
        <v>22436</v>
      </c>
      <c r="G8954" t="s">
        <v>22450</v>
      </c>
      <c r="H8954" t="s">
        <v>22454</v>
      </c>
      <c r="I8954" t="s">
        <v>7738</v>
      </c>
      <c r="J8954" t="s">
        <v>28264</v>
      </c>
      <c r="K8954" t="s">
        <v>29556</v>
      </c>
      <c r="M8954" t="s">
        <v>31555</v>
      </c>
      <c r="N8954" t="s">
        <v>32524</v>
      </c>
      <c r="O8954" t="s">
        <v>32525</v>
      </c>
      <c r="Q8954">
        <v>2</v>
      </c>
      <c r="R8954" t="s">
        <v>32537</v>
      </c>
      <c r="S8954" t="s">
        <v>32712</v>
      </c>
      <c r="T8954" t="s">
        <v>33181</v>
      </c>
      <c r="U8954" t="s">
        <v>35712</v>
      </c>
      <c r="W8954" t="s">
        <v>31555</v>
      </c>
      <c r="X8954" t="s">
        <v>32538</v>
      </c>
    </row>
    <row r="8955" spans="1:24">
      <c r="A8955">
        <f>HYPERLINK("https://www.philgeps.gov.ph/GEPSNONPILOT/Tender/SplashBidNoticeAbstractUI.aspx?menuIndex=3&amp;refID=7029318&amp;Result=3","7029318")</f>
        <v>0</v>
      </c>
      <c r="B8955" t="s">
        <v>2399</v>
      </c>
      <c r="C8955" t="s">
        <v>11239</v>
      </c>
      <c r="D8955" t="s">
        <v>13004</v>
      </c>
      <c r="E8955" t="s">
        <v>20882</v>
      </c>
      <c r="F8955" t="s">
        <v>22436</v>
      </c>
      <c r="G8955" t="s">
        <v>22444</v>
      </c>
      <c r="H8955" t="s">
        <v>22454</v>
      </c>
      <c r="I8955" t="s">
        <v>7738</v>
      </c>
      <c r="J8955" t="s">
        <v>28265</v>
      </c>
      <c r="K8955" t="s">
        <v>29389</v>
      </c>
      <c r="M8955" t="s">
        <v>32193</v>
      </c>
      <c r="N8955" t="s">
        <v>32524</v>
      </c>
      <c r="O8955" t="s">
        <v>32525</v>
      </c>
      <c r="P8955">
        <v>0</v>
      </c>
      <c r="Q8955">
        <v>0</v>
      </c>
      <c r="R8955" t="s">
        <v>32537</v>
      </c>
      <c r="S8955" t="s">
        <v>32828</v>
      </c>
      <c r="T8955" t="s">
        <v>33574</v>
      </c>
      <c r="U8955" t="s">
        <v>40580</v>
      </c>
      <c r="W8955" t="s">
        <v>32193</v>
      </c>
      <c r="X8955" t="s">
        <v>32538</v>
      </c>
    </row>
    <row r="8956" spans="1:24">
      <c r="A8956">
        <f>HYPERLINK("https://www.philgeps.gov.ph/GEPSNONPILOT/Tender/SplashBidNoticeAbstractUI.aspx?menuIndex=3&amp;refID=7029356&amp;Result=3","7029356")</f>
        <v>0</v>
      </c>
      <c r="B8956" t="s">
        <v>817</v>
      </c>
      <c r="C8956" t="s">
        <v>11240</v>
      </c>
      <c r="D8956" t="s">
        <v>12988</v>
      </c>
      <c r="E8956" t="s">
        <v>14040</v>
      </c>
      <c r="F8956" t="s">
        <v>22436</v>
      </c>
      <c r="G8956" t="s">
        <v>22446</v>
      </c>
      <c r="H8956" t="s">
        <v>22452</v>
      </c>
      <c r="I8956" t="s">
        <v>22502</v>
      </c>
      <c r="J8956" t="s">
        <v>22640</v>
      </c>
      <c r="K8956" t="s">
        <v>29336</v>
      </c>
      <c r="M8956" t="s">
        <v>30423</v>
      </c>
      <c r="N8956" t="s">
        <v>32524</v>
      </c>
      <c r="O8956" t="s">
        <v>32525</v>
      </c>
      <c r="Q8956">
        <v>10</v>
      </c>
      <c r="R8956" t="s">
        <v>32537</v>
      </c>
      <c r="S8956" t="s">
        <v>32856</v>
      </c>
      <c r="T8956" t="s">
        <v>33372</v>
      </c>
      <c r="U8956" t="s">
        <v>41041</v>
      </c>
      <c r="W8956" t="s">
        <v>30423</v>
      </c>
      <c r="X8956" t="s">
        <v>32538</v>
      </c>
    </row>
    <row r="8957" spans="1:24">
      <c r="A8957">
        <f>HYPERLINK("https://www.philgeps.gov.ph/GEPSNONPILOT/Tender/SplashBidNoticeAbstractUI.aspx?menuIndex=3&amp;refID=7029373&amp;Result=3","7029373")</f>
        <v>0</v>
      </c>
      <c r="B8957" t="s">
        <v>34</v>
      </c>
      <c r="C8957" t="s">
        <v>11241</v>
      </c>
      <c r="D8957" t="s">
        <v>13019</v>
      </c>
      <c r="E8957" t="s">
        <v>20883</v>
      </c>
      <c r="F8957" t="s">
        <v>22436</v>
      </c>
      <c r="G8957" t="s">
        <v>22444</v>
      </c>
      <c r="H8957" t="s">
        <v>22454</v>
      </c>
      <c r="I8957" t="s">
        <v>7738</v>
      </c>
      <c r="J8957" t="s">
        <v>28266</v>
      </c>
      <c r="K8957" t="s">
        <v>29339</v>
      </c>
      <c r="M8957" t="s">
        <v>32295</v>
      </c>
      <c r="N8957" t="s">
        <v>32524</v>
      </c>
      <c r="O8957" t="s">
        <v>32525</v>
      </c>
      <c r="Q8957">
        <v>0</v>
      </c>
      <c r="R8957" t="s">
        <v>32537</v>
      </c>
      <c r="S8957" t="s">
        <v>32857</v>
      </c>
      <c r="T8957" t="s">
        <v>33249</v>
      </c>
      <c r="U8957" t="s">
        <v>41036</v>
      </c>
      <c r="W8957" t="s">
        <v>32295</v>
      </c>
      <c r="X8957" t="s">
        <v>32538</v>
      </c>
    </row>
    <row r="8958" spans="1:24">
      <c r="A8958">
        <f>HYPERLINK("https://www.philgeps.gov.ph/GEPSNONPILOT/Tender/SplashBidNoticeAbstractUI.aspx?menuIndex=3&amp;refID=7029371&amp;Result=3","7029371")</f>
        <v>0</v>
      </c>
      <c r="B8958" t="s">
        <v>817</v>
      </c>
      <c r="C8958" t="s">
        <v>11242</v>
      </c>
      <c r="D8958" t="s">
        <v>12988</v>
      </c>
      <c r="E8958" t="s">
        <v>20884</v>
      </c>
      <c r="F8958" t="s">
        <v>22436</v>
      </c>
      <c r="G8958" t="s">
        <v>22446</v>
      </c>
      <c r="H8958" t="s">
        <v>22452</v>
      </c>
      <c r="I8958" t="s">
        <v>22502</v>
      </c>
      <c r="J8958" t="s">
        <v>22640</v>
      </c>
      <c r="K8958" t="s">
        <v>29336</v>
      </c>
      <c r="M8958" t="s">
        <v>30423</v>
      </c>
      <c r="N8958" t="s">
        <v>32524</v>
      </c>
      <c r="O8958" t="s">
        <v>32525</v>
      </c>
      <c r="Q8958">
        <v>8</v>
      </c>
      <c r="R8958" t="s">
        <v>32537</v>
      </c>
      <c r="S8958" t="s">
        <v>32858</v>
      </c>
      <c r="T8958" t="s">
        <v>33372</v>
      </c>
      <c r="U8958" t="s">
        <v>41042</v>
      </c>
      <c r="W8958" t="s">
        <v>30423</v>
      </c>
      <c r="X8958" t="s">
        <v>32538</v>
      </c>
    </row>
    <row r="8959" spans="1:24">
      <c r="A8959">
        <f>HYPERLINK("https://www.philgeps.gov.ph/GEPSNONPILOT/Tender/SplashBidNoticeAbstractUI.aspx?menuIndex=3&amp;refID=7029359&amp;Result=3","7029359")</f>
        <v>0</v>
      </c>
      <c r="B8959" t="s">
        <v>34</v>
      </c>
      <c r="C8959" t="s">
        <v>11243</v>
      </c>
      <c r="D8959" t="s">
        <v>13019</v>
      </c>
      <c r="E8959" t="s">
        <v>20885</v>
      </c>
      <c r="F8959" t="s">
        <v>22436</v>
      </c>
      <c r="G8959" t="s">
        <v>22444</v>
      </c>
      <c r="H8959" t="s">
        <v>22454</v>
      </c>
      <c r="I8959" t="s">
        <v>7738</v>
      </c>
      <c r="J8959" t="s">
        <v>28267</v>
      </c>
      <c r="K8959" t="s">
        <v>29339</v>
      </c>
      <c r="M8959" t="s">
        <v>32295</v>
      </c>
      <c r="N8959" t="s">
        <v>32524</v>
      </c>
      <c r="O8959" t="s">
        <v>32525</v>
      </c>
      <c r="Q8959">
        <v>1</v>
      </c>
      <c r="R8959" t="s">
        <v>32537</v>
      </c>
      <c r="S8959" t="s">
        <v>32859</v>
      </c>
      <c r="T8959" t="s">
        <v>33249</v>
      </c>
      <c r="U8959" t="s">
        <v>41043</v>
      </c>
      <c r="W8959" t="s">
        <v>32295</v>
      </c>
      <c r="X8959" t="s">
        <v>32538</v>
      </c>
    </row>
    <row r="8960" spans="1:24">
      <c r="A8960">
        <f>HYPERLINK("https://www.philgeps.gov.ph/GEPSNONPILOT/Tender/SplashBidNoticeAbstractUI.aspx?menuIndex=3&amp;refID=7029364&amp;Result=3","7029364")</f>
        <v>0</v>
      </c>
      <c r="B8960" t="s">
        <v>817</v>
      </c>
      <c r="C8960" t="s">
        <v>11244</v>
      </c>
      <c r="D8960" t="s">
        <v>12988</v>
      </c>
      <c r="E8960" t="s">
        <v>18554</v>
      </c>
      <c r="F8960" t="s">
        <v>22436</v>
      </c>
      <c r="G8960" t="s">
        <v>22446</v>
      </c>
      <c r="H8960" t="s">
        <v>22452</v>
      </c>
      <c r="I8960" t="s">
        <v>22502</v>
      </c>
      <c r="J8960" t="s">
        <v>22605</v>
      </c>
      <c r="K8960" t="s">
        <v>29336</v>
      </c>
      <c r="M8960" t="s">
        <v>30423</v>
      </c>
      <c r="N8960" t="s">
        <v>32524</v>
      </c>
      <c r="O8960" t="s">
        <v>32525</v>
      </c>
      <c r="Q8960">
        <v>14</v>
      </c>
      <c r="R8960" t="s">
        <v>32537</v>
      </c>
      <c r="S8960" t="s">
        <v>32860</v>
      </c>
      <c r="T8960" t="s">
        <v>33372</v>
      </c>
      <c r="U8960" t="s">
        <v>41044</v>
      </c>
      <c r="W8960" t="s">
        <v>30423</v>
      </c>
      <c r="X8960" t="s">
        <v>32538</v>
      </c>
    </row>
    <row r="8961" spans="1:24">
      <c r="A8961">
        <f>HYPERLINK("https://www.philgeps.gov.ph/GEPSNONPILOT/Tender/SplashBidNoticeAbstractUI.aspx?menuIndex=3&amp;refID=7029406&amp;Result=3","7029406")</f>
        <v>0</v>
      </c>
      <c r="B8961" t="s">
        <v>1323</v>
      </c>
      <c r="C8961" t="s">
        <v>11245</v>
      </c>
      <c r="E8961" t="s">
        <v>20886</v>
      </c>
      <c r="F8961" t="s">
        <v>22436</v>
      </c>
      <c r="G8961" t="s">
        <v>22444</v>
      </c>
      <c r="H8961" t="s">
        <v>22454</v>
      </c>
      <c r="I8961" t="s">
        <v>7738</v>
      </c>
      <c r="J8961" t="s">
        <v>22634</v>
      </c>
      <c r="K8961" t="s">
        <v>29338</v>
      </c>
      <c r="M8961" t="s">
        <v>30978</v>
      </c>
      <c r="N8961" t="s">
        <v>32524</v>
      </c>
      <c r="O8961" t="s">
        <v>32525</v>
      </c>
      <c r="P8961">
        <v>0</v>
      </c>
      <c r="Q8961">
        <v>0</v>
      </c>
      <c r="R8961" t="s">
        <v>32537</v>
      </c>
      <c r="S8961" t="s">
        <v>32828</v>
      </c>
      <c r="T8961" t="s">
        <v>33422</v>
      </c>
      <c r="U8961" t="s">
        <v>36956</v>
      </c>
      <c r="W8961" t="s">
        <v>30978</v>
      </c>
      <c r="X8961" t="s">
        <v>32538</v>
      </c>
    </row>
    <row r="8962" spans="1:24">
      <c r="A8962">
        <f>HYPERLINK("https://www.philgeps.gov.ph/GEPSNONPILOT/Tender/SplashBidNoticeAbstractUI.aspx?menuIndex=3&amp;refID=7029399&amp;Result=3","7029399")</f>
        <v>0</v>
      </c>
      <c r="B8962" t="s">
        <v>1323</v>
      </c>
      <c r="C8962" t="s">
        <v>11246</v>
      </c>
      <c r="E8962" t="s">
        <v>20887</v>
      </c>
      <c r="F8962" t="s">
        <v>22436</v>
      </c>
      <c r="G8962" t="s">
        <v>22444</v>
      </c>
      <c r="H8962" t="s">
        <v>22454</v>
      </c>
      <c r="I8962" t="s">
        <v>7738</v>
      </c>
      <c r="J8962" t="s">
        <v>22960</v>
      </c>
      <c r="K8962" t="s">
        <v>29338</v>
      </c>
      <c r="M8962" t="s">
        <v>30978</v>
      </c>
      <c r="N8962" t="s">
        <v>32524</v>
      </c>
      <c r="O8962" t="s">
        <v>32525</v>
      </c>
      <c r="P8962">
        <v>0</v>
      </c>
      <c r="Q8962">
        <v>0</v>
      </c>
      <c r="R8962" t="s">
        <v>32537</v>
      </c>
      <c r="S8962" t="s">
        <v>32828</v>
      </c>
      <c r="T8962" t="s">
        <v>33422</v>
      </c>
      <c r="U8962" t="s">
        <v>36956</v>
      </c>
      <c r="W8962" t="s">
        <v>30978</v>
      </c>
      <c r="X8962" t="s">
        <v>32538</v>
      </c>
    </row>
    <row r="8963" spans="1:24">
      <c r="A8963">
        <f>HYPERLINK("https://www.philgeps.gov.ph/GEPSNONPILOT/Tender/SplashBidNoticeAbstractUI.aspx?menuIndex=3&amp;refID=7029410&amp;Result=3","7029410")</f>
        <v>0</v>
      </c>
      <c r="B8963" t="s">
        <v>34</v>
      </c>
      <c r="C8963" t="s">
        <v>11247</v>
      </c>
      <c r="D8963" t="s">
        <v>13019</v>
      </c>
      <c r="E8963" t="s">
        <v>20888</v>
      </c>
      <c r="F8963" t="s">
        <v>22436</v>
      </c>
      <c r="G8963" t="s">
        <v>22444</v>
      </c>
      <c r="H8963" t="s">
        <v>22454</v>
      </c>
      <c r="I8963" t="s">
        <v>7738</v>
      </c>
      <c r="J8963" t="s">
        <v>28268</v>
      </c>
      <c r="K8963" t="s">
        <v>29339</v>
      </c>
      <c r="M8963" t="s">
        <v>32295</v>
      </c>
      <c r="N8963" t="s">
        <v>32524</v>
      </c>
      <c r="O8963" t="s">
        <v>32525</v>
      </c>
      <c r="Q8963">
        <v>0</v>
      </c>
      <c r="R8963" t="s">
        <v>32537</v>
      </c>
      <c r="S8963" t="s">
        <v>32861</v>
      </c>
      <c r="T8963" t="s">
        <v>33249</v>
      </c>
      <c r="U8963" t="s">
        <v>41045</v>
      </c>
      <c r="W8963" t="s">
        <v>32295</v>
      </c>
      <c r="X8963" t="s">
        <v>32538</v>
      </c>
    </row>
    <row r="8964" spans="1:24">
      <c r="A8964">
        <f>HYPERLINK("https://www.philgeps.gov.ph/GEPSNONPILOT/Tender/SplashBidNoticeAbstractUI.aspx?menuIndex=3&amp;refID=7029386&amp;Result=3","7029386")</f>
        <v>0</v>
      </c>
      <c r="B8964" t="s">
        <v>1947</v>
      </c>
      <c r="C8964" t="s">
        <v>11248</v>
      </c>
      <c r="D8964" t="s">
        <v>12998</v>
      </c>
      <c r="E8964" t="s">
        <v>20872</v>
      </c>
      <c r="F8964" t="s">
        <v>22436</v>
      </c>
      <c r="G8964" t="s">
        <v>22444</v>
      </c>
      <c r="H8964" t="s">
        <v>22453</v>
      </c>
      <c r="I8964" t="s">
        <v>22512</v>
      </c>
      <c r="J8964" t="s">
        <v>28269</v>
      </c>
      <c r="K8964" t="s">
        <v>29344</v>
      </c>
      <c r="M8964" t="s">
        <v>31783</v>
      </c>
      <c r="N8964" t="s">
        <v>32524</v>
      </c>
      <c r="O8964" t="s">
        <v>32525</v>
      </c>
      <c r="P8964">
        <v>0</v>
      </c>
      <c r="Q8964">
        <v>6</v>
      </c>
      <c r="R8964" t="s">
        <v>32537</v>
      </c>
      <c r="S8964" t="s">
        <v>32828</v>
      </c>
      <c r="T8964" t="s">
        <v>33242</v>
      </c>
      <c r="U8964" t="s">
        <v>38802</v>
      </c>
      <c r="V8964" t="s">
        <v>43107</v>
      </c>
      <c r="W8964" t="s">
        <v>31783</v>
      </c>
      <c r="X8964" t="s">
        <v>32538</v>
      </c>
    </row>
    <row r="8965" spans="1:24">
      <c r="A8965">
        <f>HYPERLINK("https://www.philgeps.gov.ph/GEPSNONPILOT/Tender/SplashBidNoticeAbstractUI.aspx?menuIndex=3&amp;refID=7029408&amp;Result=3","7029408")</f>
        <v>0</v>
      </c>
      <c r="B8965" t="s">
        <v>2490</v>
      </c>
      <c r="C8965" t="s">
        <v>11249</v>
      </c>
      <c r="D8965" t="s">
        <v>13019</v>
      </c>
      <c r="E8965" t="s">
        <v>20889</v>
      </c>
      <c r="F8965" t="s">
        <v>22436</v>
      </c>
      <c r="G8965" t="s">
        <v>22444</v>
      </c>
      <c r="H8965" t="s">
        <v>22454</v>
      </c>
      <c r="I8965" t="s">
        <v>7738</v>
      </c>
      <c r="J8965" t="s">
        <v>28270</v>
      </c>
      <c r="K8965" t="s">
        <v>29329</v>
      </c>
      <c r="M8965" t="s">
        <v>32296</v>
      </c>
      <c r="N8965" t="s">
        <v>32524</v>
      </c>
      <c r="O8965" t="s">
        <v>32525</v>
      </c>
      <c r="P8965">
        <v>0</v>
      </c>
      <c r="Q8965">
        <v>1</v>
      </c>
      <c r="R8965" t="s">
        <v>32537</v>
      </c>
      <c r="S8965" t="s">
        <v>32828</v>
      </c>
      <c r="T8965" t="s">
        <v>33175</v>
      </c>
      <c r="U8965" t="s">
        <v>41046</v>
      </c>
      <c r="W8965" t="s">
        <v>32296</v>
      </c>
      <c r="X8965" t="s">
        <v>32538</v>
      </c>
    </row>
    <row r="8966" spans="1:24">
      <c r="A8966">
        <f>HYPERLINK("https://www.philgeps.gov.ph/GEPSNONPILOT/Tender/SplashBidNoticeAbstractUI.aspx?menuIndex=3&amp;refID=7029434&amp;Result=3","7029434")</f>
        <v>0</v>
      </c>
      <c r="B8966" t="s">
        <v>1024</v>
      </c>
      <c r="C8966" t="s">
        <v>11250</v>
      </c>
      <c r="E8966" t="s">
        <v>20890</v>
      </c>
      <c r="F8966" t="s">
        <v>22436</v>
      </c>
      <c r="G8966" t="s">
        <v>22444</v>
      </c>
      <c r="H8966" t="s">
        <v>22452</v>
      </c>
      <c r="I8966" t="s">
        <v>22502</v>
      </c>
      <c r="J8966" t="s">
        <v>23387</v>
      </c>
      <c r="K8966" t="s">
        <v>29333</v>
      </c>
      <c r="M8966" t="s">
        <v>30653</v>
      </c>
      <c r="N8966" t="s">
        <v>32524</v>
      </c>
      <c r="O8966" t="s">
        <v>32525</v>
      </c>
      <c r="Q8966">
        <v>34</v>
      </c>
      <c r="R8966" t="s">
        <v>32537</v>
      </c>
      <c r="S8966" t="s">
        <v>32862</v>
      </c>
      <c r="T8966" t="s">
        <v>33309</v>
      </c>
      <c r="U8966" t="s">
        <v>35953</v>
      </c>
      <c r="W8966" t="s">
        <v>30653</v>
      </c>
      <c r="X8966" t="s">
        <v>32538</v>
      </c>
    </row>
    <row r="8967" spans="1:24">
      <c r="A8967">
        <f>HYPERLINK("https://www.philgeps.gov.ph/GEPSNONPILOT/Tender/SplashBidNoticeAbstractUI.aspx?menuIndex=3&amp;refID=7029433&amp;Result=3","7029433")</f>
        <v>0</v>
      </c>
      <c r="B8967" t="s">
        <v>1840</v>
      </c>
      <c r="C8967" t="s">
        <v>11251</v>
      </c>
      <c r="D8967" t="s">
        <v>13045</v>
      </c>
      <c r="E8967" t="s">
        <v>20891</v>
      </c>
      <c r="F8967" t="s">
        <v>22436</v>
      </c>
      <c r="G8967" t="s">
        <v>22450</v>
      </c>
      <c r="H8967" t="s">
        <v>22454</v>
      </c>
      <c r="I8967" t="s">
        <v>7738</v>
      </c>
      <c r="J8967" t="s">
        <v>22960</v>
      </c>
      <c r="K8967" t="s">
        <v>29334</v>
      </c>
      <c r="M8967" t="s">
        <v>31555</v>
      </c>
      <c r="N8967" t="s">
        <v>32524</v>
      </c>
      <c r="O8967" t="s">
        <v>32525</v>
      </c>
      <c r="Q8967">
        <v>1</v>
      </c>
      <c r="R8967" t="s">
        <v>32537</v>
      </c>
      <c r="S8967" t="s">
        <v>32863</v>
      </c>
      <c r="T8967" t="s">
        <v>33181</v>
      </c>
      <c r="U8967" t="s">
        <v>35712</v>
      </c>
      <c r="W8967" t="s">
        <v>31555</v>
      </c>
      <c r="X8967" t="s">
        <v>32538</v>
      </c>
    </row>
    <row r="8968" spans="1:24">
      <c r="A8968">
        <f>HYPERLINK("https://www.philgeps.gov.ph/GEPSNONPILOT/Tender/SplashBidNoticeAbstractUI.aspx?menuIndex=3&amp;refID=7029429&amp;Result=3","7029429")</f>
        <v>0</v>
      </c>
      <c r="B8968" t="s">
        <v>1323</v>
      </c>
      <c r="C8968" t="s">
        <v>11252</v>
      </c>
      <c r="E8968" t="s">
        <v>20892</v>
      </c>
      <c r="F8968" t="s">
        <v>22436</v>
      </c>
      <c r="G8968" t="s">
        <v>22444</v>
      </c>
      <c r="H8968" t="s">
        <v>22454</v>
      </c>
      <c r="I8968" t="s">
        <v>7738</v>
      </c>
      <c r="J8968" t="s">
        <v>22877</v>
      </c>
      <c r="K8968" t="s">
        <v>29338</v>
      </c>
      <c r="M8968" t="s">
        <v>30978</v>
      </c>
      <c r="N8968" t="s">
        <v>32524</v>
      </c>
      <c r="O8968" t="s">
        <v>32525</v>
      </c>
      <c r="P8968">
        <v>0</v>
      </c>
      <c r="Q8968">
        <v>0</v>
      </c>
      <c r="R8968" t="s">
        <v>32537</v>
      </c>
      <c r="S8968" t="s">
        <v>32828</v>
      </c>
      <c r="T8968" t="s">
        <v>33422</v>
      </c>
      <c r="U8968" t="s">
        <v>36956</v>
      </c>
      <c r="W8968" t="s">
        <v>30978</v>
      </c>
      <c r="X8968" t="s">
        <v>32538</v>
      </c>
    </row>
    <row r="8969" spans="1:24">
      <c r="A8969">
        <f>HYPERLINK("https://www.philgeps.gov.ph/GEPSNONPILOT/Tender/SplashBidNoticeAbstractUI.aspx?menuIndex=3&amp;refID=7029395&amp;Result=3","7029395")</f>
        <v>0</v>
      </c>
      <c r="B8969" t="s">
        <v>817</v>
      </c>
      <c r="C8969" t="s">
        <v>11253</v>
      </c>
      <c r="D8969" t="s">
        <v>12988</v>
      </c>
      <c r="E8969" t="s">
        <v>14448</v>
      </c>
      <c r="F8969" t="s">
        <v>22436</v>
      </c>
      <c r="G8969" t="s">
        <v>22446</v>
      </c>
      <c r="H8969" t="s">
        <v>22452</v>
      </c>
      <c r="I8969" t="s">
        <v>22502</v>
      </c>
      <c r="J8969" t="s">
        <v>22806</v>
      </c>
      <c r="K8969" t="s">
        <v>29336</v>
      </c>
      <c r="M8969" t="s">
        <v>30423</v>
      </c>
      <c r="N8969" t="s">
        <v>32524</v>
      </c>
      <c r="O8969" t="s">
        <v>32525</v>
      </c>
      <c r="Q8969">
        <v>5</v>
      </c>
      <c r="R8969" t="s">
        <v>32537</v>
      </c>
      <c r="S8969" t="s">
        <v>32864</v>
      </c>
      <c r="T8969" t="s">
        <v>33372</v>
      </c>
      <c r="U8969" t="s">
        <v>41047</v>
      </c>
      <c r="W8969" t="s">
        <v>30423</v>
      </c>
      <c r="X8969" t="s">
        <v>32538</v>
      </c>
    </row>
    <row r="8970" spans="1:24">
      <c r="A8970">
        <f>HYPERLINK("https://www.philgeps.gov.ph/GEPSNONPILOT/Tender/SplashBidNoticeAbstractUI.aspx?menuIndex=3&amp;refID=7029416&amp;Result=3","7029416")</f>
        <v>0</v>
      </c>
      <c r="B8970" t="s">
        <v>1323</v>
      </c>
      <c r="C8970" t="s">
        <v>11254</v>
      </c>
      <c r="E8970" t="s">
        <v>20893</v>
      </c>
      <c r="F8970" t="s">
        <v>22436</v>
      </c>
      <c r="G8970" t="s">
        <v>22444</v>
      </c>
      <c r="H8970" t="s">
        <v>22454</v>
      </c>
      <c r="I8970" t="s">
        <v>7738</v>
      </c>
      <c r="J8970" t="s">
        <v>23350</v>
      </c>
      <c r="K8970" t="s">
        <v>29338</v>
      </c>
      <c r="M8970" t="s">
        <v>30978</v>
      </c>
      <c r="N8970" t="s">
        <v>32524</v>
      </c>
      <c r="O8970" t="s">
        <v>32525</v>
      </c>
      <c r="P8970">
        <v>0</v>
      </c>
      <c r="Q8970">
        <v>0</v>
      </c>
      <c r="R8970" t="s">
        <v>32537</v>
      </c>
      <c r="S8970" t="s">
        <v>32828</v>
      </c>
      <c r="T8970" t="s">
        <v>33585</v>
      </c>
      <c r="U8970" t="s">
        <v>36956</v>
      </c>
      <c r="W8970" t="s">
        <v>30978</v>
      </c>
      <c r="X8970" t="s">
        <v>32538</v>
      </c>
    </row>
    <row r="8971" spans="1:24">
      <c r="A8971">
        <f>HYPERLINK("https://www.philgeps.gov.ph/GEPSNONPILOT/Tender/SplashBidNoticeAbstractUI.aspx?menuIndex=3&amp;refID=7029432&amp;Result=3","7029432")</f>
        <v>0</v>
      </c>
      <c r="B8971" t="s">
        <v>2491</v>
      </c>
      <c r="C8971" t="s">
        <v>11255</v>
      </c>
      <c r="D8971" t="s">
        <v>13015</v>
      </c>
      <c r="E8971" t="s">
        <v>20894</v>
      </c>
      <c r="F8971" t="s">
        <v>22436</v>
      </c>
      <c r="G8971" t="s">
        <v>22444</v>
      </c>
      <c r="H8971" t="s">
        <v>22452</v>
      </c>
      <c r="I8971" t="s">
        <v>22509</v>
      </c>
      <c r="J8971" t="s">
        <v>28271</v>
      </c>
      <c r="K8971" t="s">
        <v>29337</v>
      </c>
      <c r="M8971" t="s">
        <v>32297</v>
      </c>
      <c r="N8971" t="s">
        <v>32524</v>
      </c>
      <c r="O8971" t="s">
        <v>32525</v>
      </c>
      <c r="P8971">
        <v>0</v>
      </c>
      <c r="Q8971">
        <v>1</v>
      </c>
      <c r="R8971" t="s">
        <v>32537</v>
      </c>
      <c r="S8971" t="s">
        <v>32828</v>
      </c>
      <c r="T8971" t="s">
        <v>33213</v>
      </c>
      <c r="U8971" t="s">
        <v>41048</v>
      </c>
      <c r="W8971" t="s">
        <v>32297</v>
      </c>
      <c r="X8971" t="s">
        <v>32538</v>
      </c>
    </row>
    <row r="8972" spans="1:24">
      <c r="A8972">
        <f>HYPERLINK("https://www.philgeps.gov.ph/GEPSNONPILOT/Tender/SplashBidNoticeAbstractUI.aspx?menuIndex=3&amp;refID=7029396&amp;Result=3","7029396")</f>
        <v>0</v>
      </c>
      <c r="B8972" t="s">
        <v>2399</v>
      </c>
      <c r="C8972" t="s">
        <v>11256</v>
      </c>
      <c r="D8972" t="s">
        <v>13004</v>
      </c>
      <c r="E8972" t="s">
        <v>20895</v>
      </c>
      <c r="F8972" t="s">
        <v>22436</v>
      </c>
      <c r="G8972" t="s">
        <v>22444</v>
      </c>
      <c r="H8972" t="s">
        <v>22454</v>
      </c>
      <c r="I8972" t="s">
        <v>7738</v>
      </c>
      <c r="J8972" t="s">
        <v>22893</v>
      </c>
      <c r="K8972" t="s">
        <v>29329</v>
      </c>
      <c r="M8972" t="s">
        <v>32193</v>
      </c>
      <c r="N8972" t="s">
        <v>32524</v>
      </c>
      <c r="O8972" t="s">
        <v>32525</v>
      </c>
      <c r="P8972">
        <v>0</v>
      </c>
      <c r="Q8972">
        <v>0</v>
      </c>
      <c r="R8972" t="s">
        <v>32537</v>
      </c>
      <c r="S8972" t="s">
        <v>32828</v>
      </c>
      <c r="T8972" t="s">
        <v>33574</v>
      </c>
      <c r="U8972" t="s">
        <v>40580</v>
      </c>
      <c r="W8972" t="s">
        <v>32193</v>
      </c>
      <c r="X8972" t="s">
        <v>32538</v>
      </c>
    </row>
    <row r="8973" spans="1:24">
      <c r="A8973">
        <f>HYPERLINK("https://www.philgeps.gov.ph/GEPSNONPILOT/Tender/SplashBidNoticeAbstractUI.aspx?menuIndex=3&amp;refID=7029378&amp;Result=3","7029378")</f>
        <v>0</v>
      </c>
      <c r="B8973" t="s">
        <v>844</v>
      </c>
      <c r="C8973" t="s">
        <v>11257</v>
      </c>
      <c r="D8973" t="s">
        <v>13009</v>
      </c>
      <c r="E8973" t="s">
        <v>20896</v>
      </c>
      <c r="F8973" t="s">
        <v>22436</v>
      </c>
      <c r="G8973" t="s">
        <v>22446</v>
      </c>
      <c r="H8973" t="s">
        <v>22452</v>
      </c>
      <c r="I8973" t="s">
        <v>3529</v>
      </c>
      <c r="J8973" t="s">
        <v>23356</v>
      </c>
      <c r="K8973" t="s">
        <v>29337</v>
      </c>
      <c r="M8973" t="s">
        <v>30450</v>
      </c>
      <c r="N8973" t="s">
        <v>32524</v>
      </c>
      <c r="O8973" t="s">
        <v>32525</v>
      </c>
      <c r="P8973">
        <v>0</v>
      </c>
      <c r="Q8973">
        <v>1</v>
      </c>
      <c r="R8973" t="s">
        <v>32537</v>
      </c>
      <c r="S8973" t="s">
        <v>32828</v>
      </c>
      <c r="T8973" t="s">
        <v>33586</v>
      </c>
      <c r="U8973" t="s">
        <v>33876</v>
      </c>
      <c r="W8973" t="s">
        <v>30450</v>
      </c>
      <c r="X8973" t="s">
        <v>32538</v>
      </c>
    </row>
    <row r="8974" spans="1:24">
      <c r="A8974">
        <f>HYPERLINK("https://www.philgeps.gov.ph/GEPSNONPILOT/Tender/SplashBidNoticeAbstractUI.aspx?menuIndex=3&amp;refID=7029411&amp;Result=3","7029411")</f>
        <v>0</v>
      </c>
      <c r="B8974" t="s">
        <v>1024</v>
      </c>
      <c r="C8974" t="s">
        <v>11258</v>
      </c>
      <c r="E8974" t="s">
        <v>20897</v>
      </c>
      <c r="F8974" t="s">
        <v>22436</v>
      </c>
      <c r="G8974" t="s">
        <v>22444</v>
      </c>
      <c r="H8974" t="s">
        <v>22452</v>
      </c>
      <c r="I8974" t="s">
        <v>22502</v>
      </c>
      <c r="J8974" t="s">
        <v>28272</v>
      </c>
      <c r="K8974" t="s">
        <v>29333</v>
      </c>
      <c r="M8974" t="s">
        <v>30653</v>
      </c>
      <c r="N8974" t="s">
        <v>32524</v>
      </c>
      <c r="O8974" t="s">
        <v>32525</v>
      </c>
      <c r="P8974">
        <v>0</v>
      </c>
      <c r="Q8974">
        <v>20</v>
      </c>
      <c r="R8974" t="s">
        <v>32537</v>
      </c>
      <c r="S8974" t="s">
        <v>32828</v>
      </c>
      <c r="T8974" t="s">
        <v>33218</v>
      </c>
      <c r="U8974" t="s">
        <v>35953</v>
      </c>
      <c r="W8974" t="s">
        <v>30653</v>
      </c>
      <c r="X8974" t="s">
        <v>32538</v>
      </c>
    </row>
    <row r="8975" spans="1:24">
      <c r="A8975">
        <f>HYPERLINK("https://www.philgeps.gov.ph/GEPSNONPILOT/Tender/SplashBidNoticeAbstractUI.aspx?menuIndex=3&amp;refID=7029384&amp;Result=3","7029384")</f>
        <v>0</v>
      </c>
      <c r="B8975" t="s">
        <v>720</v>
      </c>
      <c r="C8975" t="s">
        <v>11259</v>
      </c>
      <c r="D8975" t="s">
        <v>13058</v>
      </c>
      <c r="E8975" t="s">
        <v>20898</v>
      </c>
      <c r="F8975" t="s">
        <v>22436</v>
      </c>
      <c r="G8975" t="s">
        <v>22450</v>
      </c>
      <c r="H8975" t="s">
        <v>22452</v>
      </c>
      <c r="I8975" t="s">
        <v>12358</v>
      </c>
      <c r="J8975" t="s">
        <v>28273</v>
      </c>
      <c r="K8975" t="s">
        <v>29336</v>
      </c>
      <c r="M8975" t="s">
        <v>30317</v>
      </c>
      <c r="N8975" t="s">
        <v>32524</v>
      </c>
      <c r="O8975" t="s">
        <v>32525</v>
      </c>
      <c r="P8975">
        <v>0</v>
      </c>
      <c r="Q8975">
        <v>0</v>
      </c>
      <c r="R8975" t="s">
        <v>32537</v>
      </c>
      <c r="S8975" t="s">
        <v>32828</v>
      </c>
      <c r="T8975" t="s">
        <v>33227</v>
      </c>
      <c r="U8975" t="s">
        <v>41049</v>
      </c>
      <c r="V8975" t="s">
        <v>43417</v>
      </c>
      <c r="W8975" t="s">
        <v>30317</v>
      </c>
      <c r="X8975" t="s">
        <v>32538</v>
      </c>
    </row>
    <row r="8976" spans="1:24">
      <c r="A8976">
        <f>HYPERLINK("https://www.philgeps.gov.ph/GEPSNONPILOT/Tender/SplashBidNoticeAbstractUI.aspx?menuIndex=3&amp;refID=7029436&amp;Result=3","7029436")</f>
        <v>0</v>
      </c>
      <c r="B8976" t="s">
        <v>2490</v>
      </c>
      <c r="C8976" t="s">
        <v>11260</v>
      </c>
      <c r="D8976" t="s">
        <v>13019</v>
      </c>
      <c r="E8976" t="s">
        <v>20899</v>
      </c>
      <c r="F8976" t="s">
        <v>22436</v>
      </c>
      <c r="G8976" t="s">
        <v>22444</v>
      </c>
      <c r="H8976" t="s">
        <v>22454</v>
      </c>
      <c r="I8976" t="s">
        <v>7738</v>
      </c>
      <c r="J8976" t="s">
        <v>28274</v>
      </c>
      <c r="K8976" t="s">
        <v>29557</v>
      </c>
      <c r="M8976" t="s">
        <v>32296</v>
      </c>
      <c r="N8976" t="s">
        <v>32524</v>
      </c>
      <c r="O8976" t="s">
        <v>32525</v>
      </c>
      <c r="P8976">
        <v>0</v>
      </c>
      <c r="Q8976">
        <v>0</v>
      </c>
      <c r="R8976" t="s">
        <v>32537</v>
      </c>
      <c r="S8976" t="s">
        <v>32828</v>
      </c>
      <c r="T8976" t="s">
        <v>33175</v>
      </c>
      <c r="U8976" t="s">
        <v>41050</v>
      </c>
      <c r="W8976" t="s">
        <v>32296</v>
      </c>
      <c r="X8976" t="s">
        <v>32538</v>
      </c>
    </row>
    <row r="8977" spans="1:24">
      <c r="A8977">
        <f>HYPERLINK("https://www.philgeps.gov.ph/GEPSNONPILOT/Tender/SplashBidNoticeAbstractUI.aspx?menuIndex=3&amp;refID=7029440&amp;Result=3","7029440")</f>
        <v>0</v>
      </c>
      <c r="B8977" t="s">
        <v>1323</v>
      </c>
      <c r="C8977" t="s">
        <v>11261</v>
      </c>
      <c r="E8977" t="s">
        <v>20900</v>
      </c>
      <c r="F8977" t="s">
        <v>22436</v>
      </c>
      <c r="G8977" t="s">
        <v>22444</v>
      </c>
      <c r="H8977" t="s">
        <v>22454</v>
      </c>
      <c r="I8977" t="s">
        <v>7738</v>
      </c>
      <c r="J8977" t="s">
        <v>28275</v>
      </c>
      <c r="K8977" t="s">
        <v>29338</v>
      </c>
      <c r="M8977" t="s">
        <v>30978</v>
      </c>
      <c r="N8977" t="s">
        <v>32524</v>
      </c>
      <c r="O8977" t="s">
        <v>32525</v>
      </c>
      <c r="P8977">
        <v>0</v>
      </c>
      <c r="Q8977">
        <v>0</v>
      </c>
      <c r="R8977" t="s">
        <v>32537</v>
      </c>
      <c r="S8977" t="s">
        <v>32828</v>
      </c>
      <c r="T8977" t="s">
        <v>33422</v>
      </c>
      <c r="U8977" t="s">
        <v>36956</v>
      </c>
      <c r="W8977" t="s">
        <v>30978</v>
      </c>
      <c r="X8977" t="s">
        <v>32538</v>
      </c>
    </row>
    <row r="8978" spans="1:24">
      <c r="A8978">
        <f>HYPERLINK("https://www.philgeps.gov.ph/GEPSNONPILOT/Tender/SplashBidNoticeAbstractUI.aspx?menuIndex=3&amp;refID=7029380&amp;Result=3","7029380")</f>
        <v>0</v>
      </c>
      <c r="B8978" t="s">
        <v>1323</v>
      </c>
      <c r="C8978" t="s">
        <v>11262</v>
      </c>
      <c r="E8978" t="s">
        <v>20901</v>
      </c>
      <c r="F8978" t="s">
        <v>22436</v>
      </c>
      <c r="G8978" t="s">
        <v>22444</v>
      </c>
      <c r="H8978" t="s">
        <v>22454</v>
      </c>
      <c r="I8978" t="s">
        <v>7738</v>
      </c>
      <c r="J8978" t="s">
        <v>27917</v>
      </c>
      <c r="K8978" t="s">
        <v>29338</v>
      </c>
      <c r="M8978" t="s">
        <v>30978</v>
      </c>
      <c r="N8978" t="s">
        <v>32524</v>
      </c>
      <c r="O8978" t="s">
        <v>32525</v>
      </c>
      <c r="P8978">
        <v>0</v>
      </c>
      <c r="Q8978">
        <v>0</v>
      </c>
      <c r="R8978" t="s">
        <v>32537</v>
      </c>
      <c r="S8978" t="s">
        <v>32828</v>
      </c>
      <c r="T8978" t="s">
        <v>33422</v>
      </c>
      <c r="U8978" t="s">
        <v>36956</v>
      </c>
      <c r="W8978" t="s">
        <v>30978</v>
      </c>
      <c r="X8978" t="s">
        <v>32538</v>
      </c>
    </row>
    <row r="8979" spans="1:24">
      <c r="A8979">
        <f>HYPERLINK("https://www.philgeps.gov.ph/GEPSNONPILOT/Tender/SplashBidNoticeAbstractUI.aspx?menuIndex=3&amp;refID=7029388&amp;Result=3","7029388")</f>
        <v>0</v>
      </c>
      <c r="B8979" t="s">
        <v>817</v>
      </c>
      <c r="C8979" t="s">
        <v>11263</v>
      </c>
      <c r="D8979" t="s">
        <v>12988</v>
      </c>
      <c r="E8979" t="s">
        <v>20902</v>
      </c>
      <c r="F8979" t="s">
        <v>22436</v>
      </c>
      <c r="G8979" t="s">
        <v>22446</v>
      </c>
      <c r="H8979" t="s">
        <v>22452</v>
      </c>
      <c r="I8979" t="s">
        <v>22502</v>
      </c>
      <c r="J8979" t="s">
        <v>23093</v>
      </c>
      <c r="K8979" t="s">
        <v>29336</v>
      </c>
      <c r="M8979" t="s">
        <v>30423</v>
      </c>
      <c r="N8979" t="s">
        <v>32524</v>
      </c>
      <c r="O8979" t="s">
        <v>32525</v>
      </c>
      <c r="Q8979">
        <v>6</v>
      </c>
      <c r="R8979" t="s">
        <v>32537</v>
      </c>
      <c r="S8979" t="s">
        <v>32864</v>
      </c>
      <c r="T8979" t="s">
        <v>33372</v>
      </c>
      <c r="U8979" t="s">
        <v>41051</v>
      </c>
      <c r="W8979" t="s">
        <v>30423</v>
      </c>
      <c r="X8979" t="s">
        <v>32538</v>
      </c>
    </row>
    <row r="8980" spans="1:24">
      <c r="A8980">
        <f>HYPERLINK("https://www.philgeps.gov.ph/GEPSNONPILOT/Tender/SplashBidNoticeAbstractUI.aspx?menuIndex=3&amp;refID=7029480&amp;Result=3","7029480")</f>
        <v>0</v>
      </c>
      <c r="B8980" t="s">
        <v>2492</v>
      </c>
      <c r="C8980" t="s">
        <v>11264</v>
      </c>
      <c r="D8980" t="s">
        <v>13016</v>
      </c>
      <c r="E8980" t="s">
        <v>20903</v>
      </c>
      <c r="F8980" t="s">
        <v>22436</v>
      </c>
      <c r="G8980" t="s">
        <v>22444</v>
      </c>
      <c r="H8980" t="s">
        <v>22454</v>
      </c>
      <c r="I8980" t="s">
        <v>7738</v>
      </c>
      <c r="J8980" t="s">
        <v>28276</v>
      </c>
      <c r="K8980" t="s">
        <v>29333</v>
      </c>
      <c r="M8980" t="s">
        <v>32298</v>
      </c>
      <c r="N8980" t="s">
        <v>32524</v>
      </c>
      <c r="O8980" t="s">
        <v>32525</v>
      </c>
      <c r="P8980">
        <v>0</v>
      </c>
      <c r="Q8980">
        <v>1</v>
      </c>
      <c r="R8980" t="s">
        <v>32537</v>
      </c>
      <c r="S8980" t="s">
        <v>32828</v>
      </c>
      <c r="T8980" t="s">
        <v>33470</v>
      </c>
      <c r="U8980" t="s">
        <v>41052</v>
      </c>
      <c r="V8980" t="s">
        <v>43418</v>
      </c>
      <c r="W8980" t="s">
        <v>43761</v>
      </c>
      <c r="X8980" t="s">
        <v>32538</v>
      </c>
    </row>
    <row r="8981" spans="1:24">
      <c r="A8981">
        <f>HYPERLINK("https://www.philgeps.gov.ph/GEPSNONPILOT/Tender/SplashBidNoticeAbstractUI.aspx?menuIndex=3&amp;refID=7029529&amp;Result=3","7029529")</f>
        <v>0</v>
      </c>
      <c r="B8981" t="s">
        <v>2493</v>
      </c>
      <c r="C8981" t="s">
        <v>11265</v>
      </c>
      <c r="D8981" t="s">
        <v>12990</v>
      </c>
      <c r="E8981" t="s">
        <v>20904</v>
      </c>
      <c r="F8981" t="s">
        <v>22436</v>
      </c>
      <c r="G8981" t="s">
        <v>22444</v>
      </c>
      <c r="H8981" t="s">
        <v>22452</v>
      </c>
      <c r="I8981" t="s">
        <v>22539</v>
      </c>
      <c r="J8981" t="s">
        <v>28277</v>
      </c>
      <c r="K8981" t="s">
        <v>29371</v>
      </c>
      <c r="M8981" t="s">
        <v>32299</v>
      </c>
      <c r="N8981" t="s">
        <v>32524</v>
      </c>
      <c r="O8981" t="s">
        <v>32525</v>
      </c>
      <c r="Q8981">
        <v>1</v>
      </c>
      <c r="R8981" t="s">
        <v>32537</v>
      </c>
      <c r="S8981" t="s">
        <v>32865</v>
      </c>
      <c r="T8981" t="s">
        <v>33524</v>
      </c>
      <c r="U8981" t="s">
        <v>41053</v>
      </c>
      <c r="W8981" t="s">
        <v>32299</v>
      </c>
      <c r="X8981" t="s">
        <v>32538</v>
      </c>
    </row>
    <row r="8982" spans="1:24">
      <c r="A8982">
        <f>HYPERLINK("https://www.philgeps.gov.ph/GEPSNONPILOT/Tender/SplashBidNoticeAbstractUI.aspx?menuIndex=3&amp;refID=7029495&amp;Result=3","7029495")</f>
        <v>0</v>
      </c>
      <c r="B8982" t="s">
        <v>2071</v>
      </c>
      <c r="C8982" t="s">
        <v>11266</v>
      </c>
      <c r="D8982" t="s">
        <v>13007</v>
      </c>
      <c r="E8982" t="s">
        <v>20905</v>
      </c>
      <c r="F8982" t="s">
        <v>22436</v>
      </c>
      <c r="G8982" t="s">
        <v>22444</v>
      </c>
      <c r="H8982" t="s">
        <v>22452</v>
      </c>
      <c r="I8982" t="s">
        <v>22465</v>
      </c>
      <c r="J8982" t="s">
        <v>28278</v>
      </c>
      <c r="K8982" t="s">
        <v>29337</v>
      </c>
      <c r="M8982" t="s">
        <v>31814</v>
      </c>
      <c r="N8982" t="s">
        <v>32524</v>
      </c>
      <c r="O8982" t="s">
        <v>32525</v>
      </c>
      <c r="P8982">
        <v>0</v>
      </c>
      <c r="Q8982">
        <v>0</v>
      </c>
      <c r="R8982" t="s">
        <v>32537</v>
      </c>
      <c r="S8982" t="s">
        <v>32828</v>
      </c>
      <c r="T8982" t="s">
        <v>33371</v>
      </c>
      <c r="U8982" t="s">
        <v>40637</v>
      </c>
      <c r="W8982" t="s">
        <v>31814</v>
      </c>
      <c r="X8982" t="s">
        <v>32538</v>
      </c>
    </row>
    <row r="8983" spans="1:24">
      <c r="A8983">
        <f>HYPERLINK("https://www.philgeps.gov.ph/GEPSNONPILOT/Tender/SplashBidNoticeAbstractUI.aspx?menuIndex=3&amp;refID=7029458&amp;Result=3","7029458")</f>
        <v>0</v>
      </c>
      <c r="B8983" t="s">
        <v>1947</v>
      </c>
      <c r="C8983" t="s">
        <v>11267</v>
      </c>
      <c r="D8983" t="s">
        <v>12998</v>
      </c>
      <c r="E8983" t="s">
        <v>20906</v>
      </c>
      <c r="F8983" t="s">
        <v>22436</v>
      </c>
      <c r="G8983" t="s">
        <v>22444</v>
      </c>
      <c r="H8983" t="s">
        <v>22453</v>
      </c>
      <c r="I8983" t="s">
        <v>22512</v>
      </c>
      <c r="J8983" t="s">
        <v>24216</v>
      </c>
      <c r="K8983" t="s">
        <v>29344</v>
      </c>
      <c r="M8983" t="s">
        <v>31783</v>
      </c>
      <c r="N8983" t="s">
        <v>32524</v>
      </c>
      <c r="O8983" t="s">
        <v>32525</v>
      </c>
      <c r="P8983">
        <v>0</v>
      </c>
      <c r="Q8983">
        <v>6</v>
      </c>
      <c r="R8983" t="s">
        <v>32537</v>
      </c>
      <c r="S8983" t="s">
        <v>32828</v>
      </c>
      <c r="T8983" t="s">
        <v>33242</v>
      </c>
      <c r="U8983" t="s">
        <v>38802</v>
      </c>
      <c r="V8983" t="s">
        <v>43114</v>
      </c>
      <c r="W8983" t="s">
        <v>31783</v>
      </c>
      <c r="X8983" t="s">
        <v>32538</v>
      </c>
    </row>
    <row r="8984" spans="1:24">
      <c r="A8984">
        <f>HYPERLINK("https://www.philgeps.gov.ph/GEPSNONPILOT/Tender/SplashBidNoticeAbstractUI.aspx?menuIndex=3&amp;refID=7029468&amp;Result=3","7029468")</f>
        <v>0</v>
      </c>
      <c r="B8984" t="s">
        <v>2492</v>
      </c>
      <c r="C8984" t="s">
        <v>11268</v>
      </c>
      <c r="D8984" t="s">
        <v>13016</v>
      </c>
      <c r="E8984" t="s">
        <v>20907</v>
      </c>
      <c r="F8984" t="s">
        <v>22436</v>
      </c>
      <c r="G8984" t="s">
        <v>22444</v>
      </c>
      <c r="H8984" t="s">
        <v>22454</v>
      </c>
      <c r="I8984" t="s">
        <v>7738</v>
      </c>
      <c r="J8984" t="s">
        <v>28279</v>
      </c>
      <c r="K8984" t="s">
        <v>29334</v>
      </c>
      <c r="M8984" t="s">
        <v>32298</v>
      </c>
      <c r="N8984" t="s">
        <v>32524</v>
      </c>
      <c r="O8984" t="s">
        <v>32525</v>
      </c>
      <c r="P8984">
        <v>0</v>
      </c>
      <c r="Q8984">
        <v>1</v>
      </c>
      <c r="R8984" t="s">
        <v>32537</v>
      </c>
      <c r="S8984" t="s">
        <v>32828</v>
      </c>
      <c r="T8984" t="s">
        <v>33470</v>
      </c>
      <c r="U8984" t="s">
        <v>41054</v>
      </c>
      <c r="V8984" t="s">
        <v>43419</v>
      </c>
      <c r="W8984" t="s">
        <v>43761</v>
      </c>
      <c r="X8984" t="s">
        <v>32538</v>
      </c>
    </row>
    <row r="8985" spans="1:24">
      <c r="A8985">
        <f>HYPERLINK("https://www.philgeps.gov.ph/GEPSNONPILOT/Tender/SplashBidNoticeAbstractUI.aspx?menuIndex=3&amp;refID=7029472&amp;Result=3","7029472")</f>
        <v>0</v>
      </c>
      <c r="B8985" t="s">
        <v>1868</v>
      </c>
      <c r="C8985" t="s">
        <v>11269</v>
      </c>
      <c r="E8985" t="s">
        <v>20908</v>
      </c>
      <c r="F8985" t="s">
        <v>22436</v>
      </c>
      <c r="G8985" t="s">
        <v>22444</v>
      </c>
      <c r="H8985" t="s">
        <v>22452</v>
      </c>
      <c r="I8985" t="s">
        <v>22461</v>
      </c>
      <c r="J8985" t="s">
        <v>22614</v>
      </c>
      <c r="K8985" t="s">
        <v>29338</v>
      </c>
      <c r="M8985" t="s">
        <v>31586</v>
      </c>
      <c r="N8985" t="s">
        <v>32524</v>
      </c>
      <c r="O8985" t="s">
        <v>32525</v>
      </c>
      <c r="P8985">
        <v>0</v>
      </c>
      <c r="Q8985">
        <v>2</v>
      </c>
      <c r="R8985" t="s">
        <v>32537</v>
      </c>
      <c r="S8985" t="s">
        <v>32828</v>
      </c>
      <c r="T8985" t="s">
        <v>33242</v>
      </c>
      <c r="U8985" t="s">
        <v>41055</v>
      </c>
      <c r="W8985" t="s">
        <v>31586</v>
      </c>
      <c r="X8985" t="s">
        <v>32538</v>
      </c>
    </row>
    <row r="8986" spans="1:24">
      <c r="A8986">
        <f>HYPERLINK("https://www.philgeps.gov.ph/GEPSNONPILOT/Tender/SplashBidNoticeAbstractUI.aspx?menuIndex=3&amp;refID=7029487&amp;Result=3","7029487")</f>
        <v>0</v>
      </c>
      <c r="B8986" t="s">
        <v>1868</v>
      </c>
      <c r="C8986" t="s">
        <v>11270</v>
      </c>
      <c r="E8986" t="s">
        <v>20909</v>
      </c>
      <c r="F8986" t="s">
        <v>22436</v>
      </c>
      <c r="G8986" t="s">
        <v>22444</v>
      </c>
      <c r="H8986" t="s">
        <v>22452</v>
      </c>
      <c r="I8986" t="s">
        <v>22461</v>
      </c>
      <c r="J8986" t="s">
        <v>28280</v>
      </c>
      <c r="K8986" t="s">
        <v>29338</v>
      </c>
      <c r="M8986" t="s">
        <v>31586</v>
      </c>
      <c r="N8986" t="s">
        <v>32524</v>
      </c>
      <c r="O8986" t="s">
        <v>32525</v>
      </c>
      <c r="P8986">
        <v>0</v>
      </c>
      <c r="Q8986">
        <v>2</v>
      </c>
      <c r="R8986" t="s">
        <v>32537</v>
      </c>
      <c r="S8986" t="s">
        <v>32828</v>
      </c>
      <c r="T8986" t="s">
        <v>33242</v>
      </c>
      <c r="U8986" t="s">
        <v>41056</v>
      </c>
      <c r="W8986" t="s">
        <v>31586</v>
      </c>
      <c r="X8986" t="s">
        <v>32538</v>
      </c>
    </row>
    <row r="8987" spans="1:24">
      <c r="A8987">
        <f>HYPERLINK("https://www.philgeps.gov.ph/GEPSNONPILOT/Tender/SplashBidNoticeAbstractUI.aspx?menuIndex=3&amp;refID=7029492&amp;Result=3","7029492")</f>
        <v>0</v>
      </c>
      <c r="B8987" t="s">
        <v>1868</v>
      </c>
      <c r="C8987" t="s">
        <v>11271</v>
      </c>
      <c r="E8987" t="s">
        <v>20910</v>
      </c>
      <c r="F8987" t="s">
        <v>22436</v>
      </c>
      <c r="G8987" t="s">
        <v>22444</v>
      </c>
      <c r="H8987" t="s">
        <v>22452</v>
      </c>
      <c r="I8987" t="s">
        <v>22502</v>
      </c>
      <c r="J8987" t="s">
        <v>28281</v>
      </c>
      <c r="K8987" t="s">
        <v>29338</v>
      </c>
      <c r="M8987" t="s">
        <v>31586</v>
      </c>
      <c r="N8987" t="s">
        <v>32524</v>
      </c>
      <c r="O8987" t="s">
        <v>32525</v>
      </c>
      <c r="P8987">
        <v>0</v>
      </c>
      <c r="Q8987">
        <v>8</v>
      </c>
      <c r="R8987" t="s">
        <v>32537</v>
      </c>
      <c r="S8987" t="s">
        <v>32828</v>
      </c>
      <c r="T8987" t="s">
        <v>33242</v>
      </c>
      <c r="U8987" t="s">
        <v>41057</v>
      </c>
      <c r="W8987" t="s">
        <v>31586</v>
      </c>
      <c r="X8987" t="s">
        <v>32538</v>
      </c>
    </row>
    <row r="8988" spans="1:24">
      <c r="A8988">
        <f>HYPERLINK("https://www.philgeps.gov.ph/GEPSNONPILOT/Tender/SplashBidNoticeAbstractUI.aspx?menuIndex=3&amp;refID=7029513&amp;Result=3","7029513")</f>
        <v>0</v>
      </c>
      <c r="B8988" t="s">
        <v>2494</v>
      </c>
      <c r="C8988" t="s">
        <v>11272</v>
      </c>
      <c r="D8988" t="s">
        <v>13038</v>
      </c>
      <c r="E8988" t="s">
        <v>20911</v>
      </c>
      <c r="F8988" t="s">
        <v>22436</v>
      </c>
      <c r="G8988" t="s">
        <v>22444</v>
      </c>
      <c r="H8988" t="s">
        <v>22454</v>
      </c>
      <c r="I8988" t="s">
        <v>7738</v>
      </c>
      <c r="J8988" t="s">
        <v>28282</v>
      </c>
      <c r="K8988" t="s">
        <v>29334</v>
      </c>
      <c r="M8988" t="s">
        <v>32300</v>
      </c>
      <c r="N8988" t="s">
        <v>32524</v>
      </c>
      <c r="O8988" t="s">
        <v>32525</v>
      </c>
      <c r="P8988">
        <v>0</v>
      </c>
      <c r="Q8988">
        <v>0</v>
      </c>
      <c r="R8988" t="s">
        <v>32537</v>
      </c>
      <c r="S8988" t="s">
        <v>32828</v>
      </c>
      <c r="T8988" t="s">
        <v>33249</v>
      </c>
      <c r="U8988" t="s">
        <v>41058</v>
      </c>
      <c r="V8988" t="s">
        <v>43420</v>
      </c>
      <c r="W8988" t="s">
        <v>43762</v>
      </c>
      <c r="X8988" t="s">
        <v>32538</v>
      </c>
    </row>
    <row r="8989" spans="1:24">
      <c r="A8989">
        <f>HYPERLINK("https://www.philgeps.gov.ph/GEPSNONPILOT/Tender/SplashBidNoticeAbstractUI.aspx?menuIndex=3&amp;refID=7029454&amp;Result=3","7029454")</f>
        <v>0</v>
      </c>
      <c r="B8989" t="s">
        <v>2491</v>
      </c>
      <c r="C8989" t="s">
        <v>11273</v>
      </c>
      <c r="D8989" t="s">
        <v>13015</v>
      </c>
      <c r="E8989" t="s">
        <v>20912</v>
      </c>
      <c r="F8989" t="s">
        <v>22436</v>
      </c>
      <c r="G8989" t="s">
        <v>22444</v>
      </c>
      <c r="H8989" t="s">
        <v>22454</v>
      </c>
      <c r="I8989" t="s">
        <v>7738</v>
      </c>
      <c r="J8989" t="s">
        <v>28283</v>
      </c>
      <c r="K8989" t="s">
        <v>29333</v>
      </c>
      <c r="M8989" t="s">
        <v>32297</v>
      </c>
      <c r="N8989" t="s">
        <v>32524</v>
      </c>
      <c r="O8989" t="s">
        <v>32525</v>
      </c>
      <c r="P8989">
        <v>0</v>
      </c>
      <c r="Q8989">
        <v>0</v>
      </c>
      <c r="R8989" t="s">
        <v>32537</v>
      </c>
      <c r="S8989" t="s">
        <v>32828</v>
      </c>
      <c r="T8989" t="s">
        <v>33213</v>
      </c>
      <c r="U8989" t="s">
        <v>41059</v>
      </c>
      <c r="W8989" t="s">
        <v>32297</v>
      </c>
      <c r="X8989" t="s">
        <v>32538</v>
      </c>
    </row>
    <row r="8990" spans="1:24">
      <c r="A8990">
        <f>HYPERLINK("https://www.philgeps.gov.ph/GEPSNONPILOT/Tender/SplashBidNoticeAbstractUI.aspx?menuIndex=3&amp;refID=7029525&amp;Result=3","7029525")</f>
        <v>0</v>
      </c>
      <c r="B8990" t="s">
        <v>124</v>
      </c>
      <c r="C8990" t="s">
        <v>11274</v>
      </c>
      <c r="D8990" t="s">
        <v>13031</v>
      </c>
      <c r="E8990" t="s">
        <v>20913</v>
      </c>
      <c r="F8990" t="s">
        <v>22438</v>
      </c>
      <c r="G8990" t="s">
        <v>22446</v>
      </c>
      <c r="H8990" t="s">
        <v>22454</v>
      </c>
      <c r="I8990" t="s">
        <v>7738</v>
      </c>
      <c r="J8990" t="s">
        <v>28284</v>
      </c>
      <c r="K8990" t="s">
        <v>29448</v>
      </c>
      <c r="M8990" t="s">
        <v>30264</v>
      </c>
      <c r="N8990" t="s">
        <v>32524</v>
      </c>
      <c r="O8990" t="s">
        <v>32525</v>
      </c>
      <c r="Q8990">
        <v>1</v>
      </c>
      <c r="R8990" t="s">
        <v>32537</v>
      </c>
      <c r="S8990" t="s">
        <v>32866</v>
      </c>
      <c r="T8990" t="s">
        <v>33218</v>
      </c>
      <c r="U8990" t="s">
        <v>41060</v>
      </c>
      <c r="W8990" t="s">
        <v>30264</v>
      </c>
      <c r="X8990" t="s">
        <v>32538</v>
      </c>
    </row>
    <row r="8991" spans="1:24">
      <c r="A8991">
        <f>HYPERLINK("https://www.philgeps.gov.ph/GEPSNONPILOT/Tender/SplashBidNoticeAbstractUI.aspx?menuIndex=3&amp;refID=7029543&amp;Result=3","7029543")</f>
        <v>0</v>
      </c>
      <c r="B8991" t="s">
        <v>527</v>
      </c>
      <c r="C8991" t="s">
        <v>11275</v>
      </c>
      <c r="D8991" t="s">
        <v>12988</v>
      </c>
      <c r="E8991" t="s">
        <v>20914</v>
      </c>
      <c r="F8991" t="s">
        <v>22436</v>
      </c>
      <c r="G8991" t="s">
        <v>22444</v>
      </c>
      <c r="H8991" t="s">
        <v>22452</v>
      </c>
      <c r="I8991" t="s">
        <v>22544</v>
      </c>
      <c r="J8991" t="s">
        <v>28285</v>
      </c>
      <c r="K8991" t="s">
        <v>29426</v>
      </c>
      <c r="M8991" t="s">
        <v>31612</v>
      </c>
      <c r="N8991" t="s">
        <v>32524</v>
      </c>
      <c r="O8991" t="s">
        <v>32525</v>
      </c>
      <c r="P8991">
        <v>0</v>
      </c>
      <c r="Q8991">
        <v>5</v>
      </c>
      <c r="R8991" t="s">
        <v>32537</v>
      </c>
      <c r="S8991" t="s">
        <v>32828</v>
      </c>
      <c r="T8991" t="s">
        <v>33227</v>
      </c>
      <c r="U8991" t="s">
        <v>41061</v>
      </c>
      <c r="W8991" t="s">
        <v>31612</v>
      </c>
      <c r="X8991" t="s">
        <v>32538</v>
      </c>
    </row>
    <row r="8992" spans="1:24">
      <c r="A8992">
        <f>HYPERLINK("https://www.philgeps.gov.ph/GEPSNONPILOT/Tender/SplashBidNoticeAbstractUI.aspx?menuIndex=3&amp;refID=7029556&amp;Result=3","7029556")</f>
        <v>0</v>
      </c>
      <c r="B8992" t="s">
        <v>1024</v>
      </c>
      <c r="C8992" t="s">
        <v>11276</v>
      </c>
      <c r="E8992" t="s">
        <v>20915</v>
      </c>
      <c r="F8992" t="s">
        <v>22436</v>
      </c>
      <c r="G8992" t="s">
        <v>22444</v>
      </c>
      <c r="H8992" t="s">
        <v>22452</v>
      </c>
      <c r="I8992" t="s">
        <v>22502</v>
      </c>
      <c r="J8992" t="s">
        <v>28286</v>
      </c>
      <c r="K8992" t="s">
        <v>29333</v>
      </c>
      <c r="M8992" t="s">
        <v>30653</v>
      </c>
      <c r="N8992" t="s">
        <v>32524</v>
      </c>
      <c r="O8992" t="s">
        <v>32525</v>
      </c>
      <c r="Q8992">
        <v>22</v>
      </c>
      <c r="R8992" t="s">
        <v>32537</v>
      </c>
      <c r="S8992" t="s">
        <v>32867</v>
      </c>
      <c r="T8992" t="s">
        <v>33259</v>
      </c>
      <c r="U8992" t="s">
        <v>35953</v>
      </c>
      <c r="W8992" t="s">
        <v>30653</v>
      </c>
      <c r="X8992" t="s">
        <v>32538</v>
      </c>
    </row>
    <row r="8993" spans="1:24">
      <c r="A8993">
        <f>HYPERLINK("https://www.philgeps.gov.ph/GEPSNONPILOT/Tender/SplashBidNoticeAbstractUI.aspx?menuIndex=3&amp;refID=7029552&amp;Result=3","7029552")</f>
        <v>0</v>
      </c>
      <c r="B8993" t="s">
        <v>1520</v>
      </c>
      <c r="C8993" t="s">
        <v>11277</v>
      </c>
      <c r="D8993" t="s">
        <v>12998</v>
      </c>
      <c r="E8993" t="s">
        <v>20916</v>
      </c>
      <c r="F8993" t="s">
        <v>22436</v>
      </c>
      <c r="G8993" t="s">
        <v>22444</v>
      </c>
      <c r="H8993" t="s">
        <v>22454</v>
      </c>
      <c r="I8993" t="s">
        <v>7738</v>
      </c>
      <c r="J8993" t="s">
        <v>28287</v>
      </c>
      <c r="K8993" t="s">
        <v>29344</v>
      </c>
      <c r="M8993" t="s">
        <v>31195</v>
      </c>
      <c r="N8993" t="s">
        <v>32524</v>
      </c>
      <c r="O8993" t="s">
        <v>32525</v>
      </c>
      <c r="P8993">
        <v>0</v>
      </c>
      <c r="Q8993">
        <v>43</v>
      </c>
      <c r="R8993" t="s">
        <v>32537</v>
      </c>
      <c r="S8993" t="s">
        <v>32828</v>
      </c>
      <c r="T8993" t="s">
        <v>33211</v>
      </c>
      <c r="U8993" t="s">
        <v>37334</v>
      </c>
      <c r="V8993" t="s">
        <v>42904</v>
      </c>
      <c r="W8993" t="s">
        <v>31195</v>
      </c>
      <c r="X8993" t="s">
        <v>32538</v>
      </c>
    </row>
    <row r="8994" spans="1:24">
      <c r="A8994">
        <f>HYPERLINK("https://www.philgeps.gov.ph/GEPSNONPILOT/Tender/SplashBidNoticeAbstractUI.aspx?menuIndex=3&amp;refID=7029568&amp;Result=3","7029568")</f>
        <v>0</v>
      </c>
      <c r="B8994" t="s">
        <v>1024</v>
      </c>
      <c r="C8994" t="s">
        <v>11278</v>
      </c>
      <c r="E8994" t="s">
        <v>20917</v>
      </c>
      <c r="F8994" t="s">
        <v>22436</v>
      </c>
      <c r="G8994" t="s">
        <v>22444</v>
      </c>
      <c r="H8994" t="s">
        <v>22452</v>
      </c>
      <c r="I8994" t="s">
        <v>22522</v>
      </c>
      <c r="J8994" t="s">
        <v>28288</v>
      </c>
      <c r="K8994" t="s">
        <v>29329</v>
      </c>
      <c r="M8994" t="s">
        <v>30653</v>
      </c>
      <c r="N8994" t="s">
        <v>32524</v>
      </c>
      <c r="O8994" t="s">
        <v>32525</v>
      </c>
      <c r="Q8994">
        <v>0</v>
      </c>
      <c r="R8994" t="s">
        <v>32537</v>
      </c>
      <c r="S8994" t="s">
        <v>32868</v>
      </c>
      <c r="T8994" t="s">
        <v>33382</v>
      </c>
      <c r="U8994" t="s">
        <v>35953</v>
      </c>
      <c r="W8994" t="s">
        <v>30653</v>
      </c>
      <c r="X8994" t="s">
        <v>32538</v>
      </c>
    </row>
    <row r="8995" spans="1:24">
      <c r="A8995">
        <f>HYPERLINK("https://www.philgeps.gov.ph/GEPSNONPILOT/Tender/SplashBidNoticeAbstractUI.aspx?menuIndex=3&amp;refID=7029566&amp;Result=3","7029566")</f>
        <v>0</v>
      </c>
      <c r="B8995" t="s">
        <v>1024</v>
      </c>
      <c r="C8995" t="s">
        <v>11279</v>
      </c>
      <c r="E8995" t="s">
        <v>20918</v>
      </c>
      <c r="F8995" t="s">
        <v>22436</v>
      </c>
      <c r="G8995" t="s">
        <v>22444</v>
      </c>
      <c r="H8995" t="s">
        <v>22452</v>
      </c>
      <c r="I8995" t="s">
        <v>22522</v>
      </c>
      <c r="J8995" t="s">
        <v>28289</v>
      </c>
      <c r="K8995" t="s">
        <v>29329</v>
      </c>
      <c r="M8995" t="s">
        <v>30653</v>
      </c>
      <c r="N8995" t="s">
        <v>32524</v>
      </c>
      <c r="O8995" t="s">
        <v>32525</v>
      </c>
      <c r="Q8995">
        <v>2</v>
      </c>
      <c r="R8995" t="s">
        <v>32537</v>
      </c>
      <c r="S8995" t="s">
        <v>32869</v>
      </c>
      <c r="T8995" t="s">
        <v>33227</v>
      </c>
      <c r="U8995" t="s">
        <v>35953</v>
      </c>
      <c r="W8995" t="s">
        <v>30653</v>
      </c>
      <c r="X8995" t="s">
        <v>32538</v>
      </c>
    </row>
    <row r="8996" spans="1:24">
      <c r="A8996">
        <f>HYPERLINK("https://www.philgeps.gov.ph/GEPSNONPILOT/Tender/SplashBidNoticeAbstractUI.aspx?menuIndex=3&amp;refID=7029560&amp;Result=3","7029560")</f>
        <v>0</v>
      </c>
      <c r="B8996" t="s">
        <v>1024</v>
      </c>
      <c r="C8996" t="s">
        <v>11280</v>
      </c>
      <c r="E8996" t="s">
        <v>20919</v>
      </c>
      <c r="F8996" t="s">
        <v>22436</v>
      </c>
      <c r="G8996" t="s">
        <v>22444</v>
      </c>
      <c r="H8996" t="s">
        <v>22452</v>
      </c>
      <c r="I8996" t="s">
        <v>22502</v>
      </c>
      <c r="J8996" t="s">
        <v>28290</v>
      </c>
      <c r="K8996" t="s">
        <v>29333</v>
      </c>
      <c r="M8996" t="s">
        <v>30653</v>
      </c>
      <c r="N8996" t="s">
        <v>32524</v>
      </c>
      <c r="O8996" t="s">
        <v>32525</v>
      </c>
      <c r="Q8996">
        <v>11</v>
      </c>
      <c r="R8996" t="s">
        <v>32537</v>
      </c>
      <c r="S8996" t="s">
        <v>32789</v>
      </c>
      <c r="T8996" t="s">
        <v>33249</v>
      </c>
      <c r="U8996" t="s">
        <v>35953</v>
      </c>
      <c r="W8996" t="s">
        <v>30653</v>
      </c>
      <c r="X8996" t="s">
        <v>32538</v>
      </c>
    </row>
    <row r="8997" spans="1:24">
      <c r="A8997">
        <f>HYPERLINK("https://www.philgeps.gov.ph/GEPSNONPILOT/Tender/SplashBidNoticeAbstractUI.aspx?menuIndex=3&amp;refID=7029547&amp;Result=3","7029547")</f>
        <v>0</v>
      </c>
      <c r="B8997" t="s">
        <v>1520</v>
      </c>
      <c r="C8997" t="s">
        <v>11281</v>
      </c>
      <c r="D8997" t="s">
        <v>12998</v>
      </c>
      <c r="E8997" t="s">
        <v>20920</v>
      </c>
      <c r="F8997" t="s">
        <v>22436</v>
      </c>
      <c r="G8997" t="s">
        <v>22444</v>
      </c>
      <c r="H8997" t="s">
        <v>22454</v>
      </c>
      <c r="I8997" t="s">
        <v>7738</v>
      </c>
      <c r="J8997" t="s">
        <v>28291</v>
      </c>
      <c r="K8997" t="s">
        <v>29334</v>
      </c>
      <c r="M8997" t="s">
        <v>31195</v>
      </c>
      <c r="N8997" t="s">
        <v>32524</v>
      </c>
      <c r="O8997" t="s">
        <v>32525</v>
      </c>
      <c r="P8997">
        <v>0</v>
      </c>
      <c r="Q8997">
        <v>28</v>
      </c>
      <c r="R8997" t="s">
        <v>32537</v>
      </c>
      <c r="S8997" t="s">
        <v>32828</v>
      </c>
      <c r="T8997" t="s">
        <v>33211</v>
      </c>
      <c r="U8997" t="s">
        <v>37326</v>
      </c>
      <c r="V8997" t="s">
        <v>42904</v>
      </c>
      <c r="W8997" t="s">
        <v>31195</v>
      </c>
      <c r="X8997" t="s">
        <v>32538</v>
      </c>
    </row>
    <row r="8998" spans="1:24">
      <c r="A8998">
        <f>HYPERLINK("https://www.philgeps.gov.ph/GEPSNONPILOT/Tender/SplashBidNoticeAbstractUI.aspx?menuIndex=3&amp;refID=7029570&amp;Result=3","7029570")</f>
        <v>0</v>
      </c>
      <c r="B8998" t="s">
        <v>1520</v>
      </c>
      <c r="C8998" t="s">
        <v>11282</v>
      </c>
      <c r="D8998" t="s">
        <v>12998</v>
      </c>
      <c r="E8998" t="s">
        <v>20921</v>
      </c>
      <c r="F8998" t="s">
        <v>22436</v>
      </c>
      <c r="G8998" t="s">
        <v>22444</v>
      </c>
      <c r="H8998" t="s">
        <v>22454</v>
      </c>
      <c r="I8998" t="s">
        <v>7738</v>
      </c>
      <c r="J8998" t="s">
        <v>28292</v>
      </c>
      <c r="K8998" t="s">
        <v>29558</v>
      </c>
      <c r="M8998" t="s">
        <v>31195</v>
      </c>
      <c r="N8998" t="s">
        <v>32524</v>
      </c>
      <c r="O8998" t="s">
        <v>32525</v>
      </c>
      <c r="P8998">
        <v>0</v>
      </c>
      <c r="Q8998">
        <v>16</v>
      </c>
      <c r="R8998" t="s">
        <v>32537</v>
      </c>
      <c r="S8998" t="s">
        <v>32828</v>
      </c>
      <c r="T8998" t="s">
        <v>33211</v>
      </c>
      <c r="U8998" t="s">
        <v>41062</v>
      </c>
      <c r="V8998" t="s">
        <v>42904</v>
      </c>
      <c r="W8998" t="s">
        <v>31195</v>
      </c>
      <c r="X8998" t="s">
        <v>32538</v>
      </c>
    </row>
    <row r="8999" spans="1:24">
      <c r="A8999">
        <f>HYPERLINK("https://www.philgeps.gov.ph/GEPSNONPILOT/Tender/SplashBidNoticeAbstractUI.aspx?menuIndex=3&amp;refID=7029443&amp;Result=3","7029443")</f>
        <v>0</v>
      </c>
      <c r="B8999" t="s">
        <v>1947</v>
      </c>
      <c r="C8999" t="s">
        <v>11283</v>
      </c>
      <c r="D8999" t="s">
        <v>12998</v>
      </c>
      <c r="E8999" t="s">
        <v>20906</v>
      </c>
      <c r="F8999" t="s">
        <v>22436</v>
      </c>
      <c r="G8999" t="s">
        <v>22444</v>
      </c>
      <c r="H8999" t="s">
        <v>22453</v>
      </c>
      <c r="I8999" t="s">
        <v>22512</v>
      </c>
      <c r="J8999" t="s">
        <v>28293</v>
      </c>
      <c r="K8999" t="s">
        <v>29344</v>
      </c>
      <c r="M8999" t="s">
        <v>31783</v>
      </c>
      <c r="N8999" t="s">
        <v>32524</v>
      </c>
      <c r="O8999" t="s">
        <v>32525</v>
      </c>
      <c r="P8999">
        <v>0</v>
      </c>
      <c r="Q8999">
        <v>6</v>
      </c>
      <c r="R8999" t="s">
        <v>32537</v>
      </c>
      <c r="S8999" t="s">
        <v>32828</v>
      </c>
      <c r="T8999" t="s">
        <v>33242</v>
      </c>
      <c r="U8999" t="s">
        <v>38802</v>
      </c>
      <c r="V8999" t="s">
        <v>43415</v>
      </c>
      <c r="W8999" t="s">
        <v>31783</v>
      </c>
      <c r="X8999" t="s">
        <v>32538</v>
      </c>
    </row>
    <row r="9000" spans="1:24">
      <c r="A9000">
        <f>HYPERLINK("https://www.philgeps.gov.ph/GEPSNONPILOT/Tender/SplashBidNoticeAbstractUI.aspx?menuIndex=3&amp;refID=7029583&amp;Result=3","7029583")</f>
        <v>0</v>
      </c>
      <c r="B9000" t="s">
        <v>2495</v>
      </c>
      <c r="C9000" t="s">
        <v>10657</v>
      </c>
      <c r="D9000" t="s">
        <v>12998</v>
      </c>
      <c r="E9000" t="s">
        <v>13571</v>
      </c>
      <c r="F9000" t="s">
        <v>22437</v>
      </c>
      <c r="G9000" t="s">
        <v>22444</v>
      </c>
      <c r="H9000" t="s">
        <v>22453</v>
      </c>
      <c r="I9000" t="s">
        <v>22486</v>
      </c>
      <c r="J9000" t="s">
        <v>28294</v>
      </c>
      <c r="K9000" t="s">
        <v>29358</v>
      </c>
      <c r="M9000" t="s">
        <v>32301</v>
      </c>
      <c r="N9000" t="s">
        <v>32524</v>
      </c>
      <c r="O9000" t="s">
        <v>32525</v>
      </c>
      <c r="P9000">
        <v>0</v>
      </c>
      <c r="Q9000">
        <v>0</v>
      </c>
      <c r="R9000" t="s">
        <v>32537</v>
      </c>
      <c r="S9000" t="s">
        <v>32828</v>
      </c>
      <c r="T9000" t="s">
        <v>33196</v>
      </c>
      <c r="U9000" t="s">
        <v>41063</v>
      </c>
      <c r="W9000" t="s">
        <v>32301</v>
      </c>
      <c r="X9000" t="s">
        <v>32538</v>
      </c>
    </row>
    <row r="9001" spans="1:24">
      <c r="A9001">
        <f>HYPERLINK("https://www.philgeps.gov.ph/GEPSNONPILOT/Tender/SplashBidNoticeAbstractUI.aspx?menuIndex=3&amp;refID=7029567&amp;Result=3","7029567")</f>
        <v>0</v>
      </c>
      <c r="B9001" t="s">
        <v>881</v>
      </c>
      <c r="C9001" t="s">
        <v>11284</v>
      </c>
      <c r="D9001" t="s">
        <v>12994</v>
      </c>
      <c r="E9001" t="s">
        <v>20922</v>
      </c>
      <c r="F9001" t="s">
        <v>22436</v>
      </c>
      <c r="G9001" t="s">
        <v>22444</v>
      </c>
      <c r="H9001" t="s">
        <v>22452</v>
      </c>
      <c r="I9001" t="s">
        <v>22474</v>
      </c>
      <c r="J9001" t="s">
        <v>28295</v>
      </c>
      <c r="K9001" t="s">
        <v>29334</v>
      </c>
      <c r="M9001" t="s">
        <v>30490</v>
      </c>
      <c r="N9001" t="s">
        <v>32524</v>
      </c>
      <c r="O9001" t="s">
        <v>32525</v>
      </c>
      <c r="P9001">
        <v>0</v>
      </c>
      <c r="Q9001">
        <v>11</v>
      </c>
      <c r="R9001" t="s">
        <v>32537</v>
      </c>
      <c r="S9001" t="s">
        <v>32828</v>
      </c>
      <c r="T9001" t="s">
        <v>33261</v>
      </c>
      <c r="U9001" t="s">
        <v>41064</v>
      </c>
      <c r="W9001" t="s">
        <v>30490</v>
      </c>
      <c r="X9001" t="s">
        <v>32538</v>
      </c>
    </row>
    <row r="9002" spans="1:24">
      <c r="A9002">
        <f>HYPERLINK("https://www.philgeps.gov.ph/GEPSNONPILOT/Tender/SplashBidNoticeAbstractUI.aspx?menuIndex=3&amp;refID=7029562&amp;Result=3","7029562")</f>
        <v>0</v>
      </c>
      <c r="B9002" t="s">
        <v>1520</v>
      </c>
      <c r="C9002" t="s">
        <v>11285</v>
      </c>
      <c r="D9002" t="s">
        <v>12998</v>
      </c>
      <c r="E9002" t="s">
        <v>20923</v>
      </c>
      <c r="F9002" t="s">
        <v>22436</v>
      </c>
      <c r="G9002" t="s">
        <v>22444</v>
      </c>
      <c r="H9002" t="s">
        <v>22454</v>
      </c>
      <c r="I9002" t="s">
        <v>7738</v>
      </c>
      <c r="J9002" t="s">
        <v>28296</v>
      </c>
      <c r="K9002" t="s">
        <v>29345</v>
      </c>
      <c r="M9002" t="s">
        <v>31195</v>
      </c>
      <c r="N9002" t="s">
        <v>32524</v>
      </c>
      <c r="O9002" t="s">
        <v>32525</v>
      </c>
      <c r="P9002">
        <v>0</v>
      </c>
      <c r="Q9002">
        <v>17</v>
      </c>
      <c r="R9002" t="s">
        <v>32537</v>
      </c>
      <c r="S9002" t="s">
        <v>32828</v>
      </c>
      <c r="T9002" t="s">
        <v>33211</v>
      </c>
      <c r="U9002" t="s">
        <v>37339</v>
      </c>
      <c r="V9002" t="s">
        <v>42904</v>
      </c>
      <c r="W9002" t="s">
        <v>31195</v>
      </c>
      <c r="X9002" t="s">
        <v>32538</v>
      </c>
    </row>
    <row r="9003" spans="1:24">
      <c r="A9003">
        <f>HYPERLINK("https://www.philgeps.gov.ph/GEPSNONPILOT/Tender/SplashBidNoticeAbstractUI.aspx?menuIndex=3&amp;refID=7029579&amp;Result=3","7029579")</f>
        <v>0</v>
      </c>
      <c r="B9003" t="s">
        <v>2045</v>
      </c>
      <c r="C9003" t="s">
        <v>11286</v>
      </c>
      <c r="E9003" t="s">
        <v>20924</v>
      </c>
      <c r="F9003" t="s">
        <v>22436</v>
      </c>
      <c r="G9003" t="s">
        <v>22444</v>
      </c>
      <c r="H9003" t="s">
        <v>22452</v>
      </c>
      <c r="I9003" t="s">
        <v>3827</v>
      </c>
      <c r="J9003" t="s">
        <v>22669</v>
      </c>
      <c r="K9003" t="s">
        <v>29338</v>
      </c>
      <c r="M9003" t="s">
        <v>31784</v>
      </c>
      <c r="N9003" t="s">
        <v>32524</v>
      </c>
      <c r="O9003" t="s">
        <v>32525</v>
      </c>
      <c r="P9003">
        <v>0</v>
      </c>
      <c r="Q9003">
        <v>1</v>
      </c>
      <c r="R9003" t="s">
        <v>32537</v>
      </c>
      <c r="S9003" t="s">
        <v>32828</v>
      </c>
      <c r="T9003" t="s">
        <v>33329</v>
      </c>
      <c r="U9003" t="s">
        <v>41065</v>
      </c>
      <c r="W9003" t="s">
        <v>31784</v>
      </c>
      <c r="X9003" t="s">
        <v>32538</v>
      </c>
    </row>
    <row r="9004" spans="1:24">
      <c r="A9004">
        <f>HYPERLINK("https://www.philgeps.gov.ph/GEPSNONPILOT/Tender/SplashBidNoticeAbstractUI.aspx?menuIndex=3&amp;refID=7029571&amp;Result=3","7029571")</f>
        <v>0</v>
      </c>
      <c r="B9004" t="s">
        <v>1520</v>
      </c>
      <c r="C9004" t="s">
        <v>11287</v>
      </c>
      <c r="D9004" t="s">
        <v>12998</v>
      </c>
      <c r="E9004" t="s">
        <v>20925</v>
      </c>
      <c r="F9004" t="s">
        <v>22436</v>
      </c>
      <c r="G9004" t="s">
        <v>22444</v>
      </c>
      <c r="H9004" t="s">
        <v>22454</v>
      </c>
      <c r="I9004" t="s">
        <v>7738</v>
      </c>
      <c r="J9004" t="s">
        <v>28297</v>
      </c>
      <c r="K9004" t="s">
        <v>29472</v>
      </c>
      <c r="M9004" t="s">
        <v>31195</v>
      </c>
      <c r="N9004" t="s">
        <v>32524</v>
      </c>
      <c r="O9004" t="s">
        <v>32525</v>
      </c>
      <c r="P9004">
        <v>0</v>
      </c>
      <c r="Q9004">
        <v>18</v>
      </c>
      <c r="R9004" t="s">
        <v>32537</v>
      </c>
      <c r="S9004" t="s">
        <v>32828</v>
      </c>
      <c r="T9004" t="s">
        <v>33211</v>
      </c>
      <c r="U9004" t="s">
        <v>37346</v>
      </c>
      <c r="V9004" t="s">
        <v>42904</v>
      </c>
      <c r="W9004" t="s">
        <v>31195</v>
      </c>
      <c r="X9004" t="s">
        <v>32538</v>
      </c>
    </row>
    <row r="9005" spans="1:24">
      <c r="A9005">
        <f>HYPERLINK("https://www.philgeps.gov.ph/GEPSNONPILOT/Tender/SplashBidNoticeAbstractUI.aspx?menuIndex=3&amp;refID=7029574&amp;Result=3","7029574")</f>
        <v>0</v>
      </c>
      <c r="B9005" t="s">
        <v>1520</v>
      </c>
      <c r="C9005" t="s">
        <v>11288</v>
      </c>
      <c r="D9005" t="s">
        <v>12998</v>
      </c>
      <c r="E9005" t="s">
        <v>20926</v>
      </c>
      <c r="F9005" t="s">
        <v>22436</v>
      </c>
      <c r="G9005" t="s">
        <v>22444</v>
      </c>
      <c r="H9005" t="s">
        <v>22454</v>
      </c>
      <c r="I9005" t="s">
        <v>7738</v>
      </c>
      <c r="J9005" t="s">
        <v>28298</v>
      </c>
      <c r="K9005" t="s">
        <v>29476</v>
      </c>
      <c r="M9005" t="s">
        <v>31195</v>
      </c>
      <c r="N9005" t="s">
        <v>32524</v>
      </c>
      <c r="O9005" t="s">
        <v>32525</v>
      </c>
      <c r="P9005">
        <v>0</v>
      </c>
      <c r="Q9005">
        <v>17</v>
      </c>
      <c r="R9005" t="s">
        <v>32537</v>
      </c>
      <c r="S9005" t="s">
        <v>32828</v>
      </c>
      <c r="T9005" t="s">
        <v>33211</v>
      </c>
      <c r="U9005" t="s">
        <v>37352</v>
      </c>
      <c r="V9005" t="s">
        <v>42904</v>
      </c>
      <c r="W9005" t="s">
        <v>31195</v>
      </c>
      <c r="X9005" t="s">
        <v>32538</v>
      </c>
    </row>
    <row r="9006" spans="1:24">
      <c r="A9006">
        <f>HYPERLINK("https://www.philgeps.gov.ph/GEPSNONPILOT/Tender/SplashBidNoticeAbstractUI.aspx?menuIndex=3&amp;refID=7029580&amp;Result=3","7029580")</f>
        <v>0</v>
      </c>
      <c r="B9006" t="s">
        <v>2228</v>
      </c>
      <c r="C9006" t="s">
        <v>11289</v>
      </c>
      <c r="D9006" t="s">
        <v>13045</v>
      </c>
      <c r="E9006" t="s">
        <v>20927</v>
      </c>
      <c r="F9006" t="s">
        <v>22436</v>
      </c>
      <c r="G9006" t="s">
        <v>22450</v>
      </c>
      <c r="H9006" t="s">
        <v>22452</v>
      </c>
      <c r="I9006" t="s">
        <v>22463</v>
      </c>
      <c r="J9006" t="s">
        <v>28299</v>
      </c>
      <c r="K9006" t="s">
        <v>29341</v>
      </c>
      <c r="M9006" t="s">
        <v>31994</v>
      </c>
      <c r="N9006" t="s">
        <v>32524</v>
      </c>
      <c r="O9006" t="s">
        <v>32525</v>
      </c>
      <c r="P9006">
        <v>0</v>
      </c>
      <c r="Q9006">
        <v>5</v>
      </c>
      <c r="R9006" t="s">
        <v>32537</v>
      </c>
      <c r="S9006" t="s">
        <v>32828</v>
      </c>
      <c r="T9006" t="s">
        <v>33249</v>
      </c>
      <c r="U9006" t="s">
        <v>41066</v>
      </c>
      <c r="W9006" t="s">
        <v>31994</v>
      </c>
      <c r="X9006" t="s">
        <v>32538</v>
      </c>
    </row>
    <row r="9007" spans="1:24">
      <c r="A9007">
        <f>HYPERLINK("https://www.philgeps.gov.ph/GEPSNONPILOT/Tender/SplashBidNoticeAbstractUI.aspx?menuIndex=3&amp;refID=7029584&amp;Result=3","7029584")</f>
        <v>0</v>
      </c>
      <c r="B9007" t="s">
        <v>753</v>
      </c>
      <c r="C9007" t="s">
        <v>11290</v>
      </c>
      <c r="D9007" t="s">
        <v>13040</v>
      </c>
      <c r="E9007" t="s">
        <v>20928</v>
      </c>
      <c r="F9007" t="s">
        <v>22436</v>
      </c>
      <c r="G9007" t="s">
        <v>22444</v>
      </c>
      <c r="H9007" t="s">
        <v>22454</v>
      </c>
      <c r="I9007" t="s">
        <v>7738</v>
      </c>
      <c r="J9007" t="s">
        <v>28300</v>
      </c>
      <c r="K9007" t="s">
        <v>29362</v>
      </c>
      <c r="M9007" t="s">
        <v>31938</v>
      </c>
      <c r="N9007" t="s">
        <v>32524</v>
      </c>
      <c r="O9007" t="s">
        <v>32525</v>
      </c>
      <c r="P9007">
        <v>0</v>
      </c>
      <c r="Q9007">
        <v>6</v>
      </c>
      <c r="R9007" t="s">
        <v>32537</v>
      </c>
      <c r="S9007" t="s">
        <v>32828</v>
      </c>
      <c r="T9007" t="s">
        <v>33351</v>
      </c>
      <c r="U9007" t="s">
        <v>41067</v>
      </c>
      <c r="W9007" t="s">
        <v>43746</v>
      </c>
      <c r="X9007" t="s">
        <v>32538</v>
      </c>
    </row>
    <row r="9008" spans="1:24">
      <c r="A9008">
        <f>HYPERLINK("https://www.philgeps.gov.ph/GEPSNONPILOT/Tender/SplashBidNoticeAbstractUI.aspx?menuIndex=3&amp;refID=7029573&amp;Result=3","7029573")</f>
        <v>0</v>
      </c>
      <c r="B9008" t="s">
        <v>2496</v>
      </c>
      <c r="C9008" t="s">
        <v>11291</v>
      </c>
      <c r="D9008" t="s">
        <v>13039</v>
      </c>
      <c r="E9008" t="s">
        <v>20929</v>
      </c>
      <c r="F9008" t="s">
        <v>22436</v>
      </c>
      <c r="G9008" t="s">
        <v>22444</v>
      </c>
      <c r="H9008" t="s">
        <v>22454</v>
      </c>
      <c r="I9008" t="s">
        <v>7738</v>
      </c>
      <c r="J9008" t="s">
        <v>28301</v>
      </c>
      <c r="K9008" t="s">
        <v>29334</v>
      </c>
      <c r="M9008" t="s">
        <v>32302</v>
      </c>
      <c r="N9008" t="s">
        <v>32524</v>
      </c>
      <c r="O9008" t="s">
        <v>32525</v>
      </c>
      <c r="P9008">
        <v>0</v>
      </c>
      <c r="Q9008">
        <v>0</v>
      </c>
      <c r="R9008" t="s">
        <v>32537</v>
      </c>
      <c r="S9008" t="s">
        <v>32828</v>
      </c>
      <c r="T9008" t="s">
        <v>33323</v>
      </c>
      <c r="U9008" t="s">
        <v>41068</v>
      </c>
      <c r="W9008" t="s">
        <v>32302</v>
      </c>
      <c r="X9008" t="s">
        <v>32538</v>
      </c>
    </row>
    <row r="9009" spans="1:24">
      <c r="A9009">
        <f>HYPERLINK("https://www.philgeps.gov.ph/GEPSNONPILOT/Tender/SplashBidNoticeAbstractUI.aspx?menuIndex=3&amp;refID=7029629&amp;Result=3","7029629")</f>
        <v>0</v>
      </c>
      <c r="B9009" t="s">
        <v>2497</v>
      </c>
      <c r="C9009" t="s">
        <v>11292</v>
      </c>
      <c r="D9009" t="s">
        <v>13066</v>
      </c>
      <c r="E9009" t="s">
        <v>20930</v>
      </c>
      <c r="F9009" t="s">
        <v>22436</v>
      </c>
      <c r="G9009" t="s">
        <v>22444</v>
      </c>
      <c r="H9009" t="s">
        <v>22454</v>
      </c>
      <c r="I9009" t="s">
        <v>7738</v>
      </c>
      <c r="J9009" t="s">
        <v>28302</v>
      </c>
      <c r="K9009" t="s">
        <v>29473</v>
      </c>
      <c r="M9009" t="s">
        <v>32303</v>
      </c>
      <c r="N9009" t="s">
        <v>32524</v>
      </c>
      <c r="O9009" t="s">
        <v>32525</v>
      </c>
      <c r="P9009">
        <v>0</v>
      </c>
      <c r="Q9009">
        <v>7</v>
      </c>
      <c r="R9009" t="s">
        <v>32537</v>
      </c>
      <c r="S9009" t="s">
        <v>32828</v>
      </c>
      <c r="T9009" t="s">
        <v>33249</v>
      </c>
      <c r="U9009" t="s">
        <v>41069</v>
      </c>
      <c r="V9009" t="s">
        <v>43421</v>
      </c>
      <c r="W9009" t="s">
        <v>32303</v>
      </c>
      <c r="X9009" t="s">
        <v>32538</v>
      </c>
    </row>
    <row r="9010" spans="1:24">
      <c r="A9010">
        <f>HYPERLINK("https://www.philgeps.gov.ph/GEPSNONPILOT/Tender/SplashBidNoticeAbstractUI.aspx?menuIndex=3&amp;refID=7029608&amp;Result=3","7029608")</f>
        <v>0</v>
      </c>
      <c r="B9010" t="s">
        <v>873</v>
      </c>
      <c r="C9010" t="s">
        <v>11293</v>
      </c>
      <c r="D9010" t="s">
        <v>13062</v>
      </c>
      <c r="E9010" t="s">
        <v>20931</v>
      </c>
      <c r="F9010" t="s">
        <v>22436</v>
      </c>
      <c r="G9010" t="s">
        <v>22444</v>
      </c>
      <c r="H9010" t="s">
        <v>22452</v>
      </c>
      <c r="I9010" t="s">
        <v>22467</v>
      </c>
      <c r="J9010" t="s">
        <v>28303</v>
      </c>
      <c r="K9010" t="s">
        <v>29341</v>
      </c>
      <c r="M9010" t="s">
        <v>30481</v>
      </c>
      <c r="N9010" t="s">
        <v>32524</v>
      </c>
      <c r="O9010" t="s">
        <v>32525</v>
      </c>
      <c r="P9010">
        <v>0</v>
      </c>
      <c r="Q9010">
        <v>0</v>
      </c>
      <c r="R9010" t="s">
        <v>32537</v>
      </c>
      <c r="S9010" t="s">
        <v>32828</v>
      </c>
      <c r="T9010" t="s">
        <v>33234</v>
      </c>
      <c r="U9010" t="s">
        <v>41070</v>
      </c>
      <c r="W9010" t="s">
        <v>30481</v>
      </c>
      <c r="X9010" t="s">
        <v>32538</v>
      </c>
    </row>
    <row r="9011" spans="1:24">
      <c r="A9011">
        <f>HYPERLINK("https://www.philgeps.gov.ph/GEPSNONPILOT/Tender/SplashBidNoticeAbstractUI.aspx?menuIndex=3&amp;refID=7029634&amp;Result=3","7029634")</f>
        <v>0</v>
      </c>
      <c r="B9011" t="s">
        <v>2497</v>
      </c>
      <c r="C9011" t="s">
        <v>11294</v>
      </c>
      <c r="D9011" t="s">
        <v>13066</v>
      </c>
      <c r="E9011" t="s">
        <v>20932</v>
      </c>
      <c r="F9011" t="s">
        <v>22436</v>
      </c>
      <c r="G9011" t="s">
        <v>22444</v>
      </c>
      <c r="H9011" t="s">
        <v>22454</v>
      </c>
      <c r="I9011" t="s">
        <v>7738</v>
      </c>
      <c r="J9011" t="s">
        <v>28304</v>
      </c>
      <c r="K9011" t="s">
        <v>29430</v>
      </c>
      <c r="M9011" t="s">
        <v>32303</v>
      </c>
      <c r="N9011" t="s">
        <v>32524</v>
      </c>
      <c r="O9011" t="s">
        <v>32525</v>
      </c>
      <c r="P9011">
        <v>0</v>
      </c>
      <c r="Q9011">
        <v>4</v>
      </c>
      <c r="R9011" t="s">
        <v>32537</v>
      </c>
      <c r="S9011" t="s">
        <v>32828</v>
      </c>
      <c r="T9011" t="s">
        <v>33249</v>
      </c>
      <c r="U9011" t="s">
        <v>41069</v>
      </c>
      <c r="V9011" t="s">
        <v>43422</v>
      </c>
      <c r="W9011" t="s">
        <v>32303</v>
      </c>
      <c r="X9011" t="s">
        <v>32538</v>
      </c>
    </row>
    <row r="9012" spans="1:24">
      <c r="A9012">
        <f>HYPERLINK("https://www.philgeps.gov.ph/GEPSNONPILOT/Tender/SplashBidNoticeAbstractUI.aspx?menuIndex=3&amp;refID=7029637&amp;Result=3","7029637")</f>
        <v>0</v>
      </c>
      <c r="B9012" t="s">
        <v>2497</v>
      </c>
      <c r="C9012" t="s">
        <v>11295</v>
      </c>
      <c r="D9012" t="s">
        <v>13066</v>
      </c>
      <c r="E9012" t="s">
        <v>20933</v>
      </c>
      <c r="F9012" t="s">
        <v>22436</v>
      </c>
      <c r="G9012" t="s">
        <v>22444</v>
      </c>
      <c r="H9012" t="s">
        <v>22454</v>
      </c>
      <c r="I9012" t="s">
        <v>7738</v>
      </c>
      <c r="J9012" t="s">
        <v>28305</v>
      </c>
      <c r="K9012" t="s">
        <v>29543</v>
      </c>
      <c r="M9012" t="s">
        <v>32303</v>
      </c>
      <c r="N9012" t="s">
        <v>32524</v>
      </c>
      <c r="O9012" t="s">
        <v>32525</v>
      </c>
      <c r="P9012">
        <v>0</v>
      </c>
      <c r="Q9012">
        <v>5</v>
      </c>
      <c r="R9012" t="s">
        <v>32537</v>
      </c>
      <c r="S9012" t="s">
        <v>32828</v>
      </c>
      <c r="T9012" t="s">
        <v>33249</v>
      </c>
      <c r="U9012" t="s">
        <v>41069</v>
      </c>
      <c r="V9012" t="s">
        <v>43423</v>
      </c>
      <c r="W9012" t="s">
        <v>32303</v>
      </c>
      <c r="X9012" t="s">
        <v>32538</v>
      </c>
    </row>
    <row r="9013" spans="1:24">
      <c r="A9013">
        <f>HYPERLINK("https://www.philgeps.gov.ph/GEPSNONPILOT/Tender/SplashBidNoticeAbstractUI.aspx?menuIndex=3&amp;refID=7029620&amp;Result=3","7029620")</f>
        <v>0</v>
      </c>
      <c r="B9013" t="s">
        <v>873</v>
      </c>
      <c r="C9013" t="s">
        <v>11296</v>
      </c>
      <c r="D9013" t="s">
        <v>13062</v>
      </c>
      <c r="E9013" t="s">
        <v>20934</v>
      </c>
      <c r="F9013" t="s">
        <v>22436</v>
      </c>
      <c r="G9013" t="s">
        <v>22444</v>
      </c>
      <c r="H9013" t="s">
        <v>22452</v>
      </c>
      <c r="I9013" t="s">
        <v>22460</v>
      </c>
      <c r="J9013" t="s">
        <v>28306</v>
      </c>
      <c r="K9013" t="s">
        <v>29341</v>
      </c>
      <c r="M9013" t="s">
        <v>30481</v>
      </c>
      <c r="N9013" t="s">
        <v>32524</v>
      </c>
      <c r="O9013" t="s">
        <v>32525</v>
      </c>
      <c r="P9013">
        <v>0</v>
      </c>
      <c r="Q9013">
        <v>2</v>
      </c>
      <c r="R9013" t="s">
        <v>32537</v>
      </c>
      <c r="S9013" t="s">
        <v>32828</v>
      </c>
      <c r="T9013" t="s">
        <v>33234</v>
      </c>
      <c r="U9013" t="s">
        <v>41071</v>
      </c>
      <c r="W9013" t="s">
        <v>30481</v>
      </c>
      <c r="X9013" t="s">
        <v>32538</v>
      </c>
    </row>
    <row r="9014" spans="1:24">
      <c r="A9014">
        <f>HYPERLINK("https://www.philgeps.gov.ph/GEPSNONPILOT/Tender/SplashBidNoticeAbstractUI.aspx?menuIndex=3&amp;refID=7029614&amp;Result=3","7029614")</f>
        <v>0</v>
      </c>
      <c r="B9014" t="s">
        <v>873</v>
      </c>
      <c r="C9014" t="s">
        <v>11297</v>
      </c>
      <c r="D9014" t="s">
        <v>13062</v>
      </c>
      <c r="E9014" t="s">
        <v>20935</v>
      </c>
      <c r="F9014" t="s">
        <v>22436</v>
      </c>
      <c r="G9014" t="s">
        <v>22444</v>
      </c>
      <c r="H9014" t="s">
        <v>22452</v>
      </c>
      <c r="I9014" t="s">
        <v>3529</v>
      </c>
      <c r="J9014" t="s">
        <v>28307</v>
      </c>
      <c r="K9014" t="s">
        <v>29341</v>
      </c>
      <c r="M9014" t="s">
        <v>30481</v>
      </c>
      <c r="N9014" t="s">
        <v>32524</v>
      </c>
      <c r="O9014" t="s">
        <v>32525</v>
      </c>
      <c r="P9014">
        <v>0</v>
      </c>
      <c r="Q9014">
        <v>0</v>
      </c>
      <c r="R9014" t="s">
        <v>32537</v>
      </c>
      <c r="S9014" t="s">
        <v>32828</v>
      </c>
      <c r="T9014" t="s">
        <v>33234</v>
      </c>
      <c r="U9014" t="s">
        <v>41072</v>
      </c>
      <c r="W9014" t="s">
        <v>30481</v>
      </c>
      <c r="X9014" t="s">
        <v>32538</v>
      </c>
    </row>
    <row r="9015" spans="1:24">
      <c r="A9015">
        <f>HYPERLINK("https://www.philgeps.gov.ph/GEPSNONPILOT/Tender/SplashBidNoticeAbstractUI.aspx?menuIndex=3&amp;refID=7029594&amp;Result=3","7029594")</f>
        <v>0</v>
      </c>
      <c r="B9015" t="s">
        <v>753</v>
      </c>
      <c r="C9015" t="s">
        <v>11298</v>
      </c>
      <c r="D9015" t="s">
        <v>13040</v>
      </c>
      <c r="E9015" t="s">
        <v>20936</v>
      </c>
      <c r="F9015" t="s">
        <v>22436</v>
      </c>
      <c r="G9015" t="s">
        <v>22444</v>
      </c>
      <c r="H9015" t="s">
        <v>22454</v>
      </c>
      <c r="I9015" t="s">
        <v>7738</v>
      </c>
      <c r="J9015" t="s">
        <v>28308</v>
      </c>
      <c r="K9015" t="s">
        <v>29428</v>
      </c>
      <c r="M9015" t="s">
        <v>31938</v>
      </c>
      <c r="N9015" t="s">
        <v>32524</v>
      </c>
      <c r="O9015" t="s">
        <v>32525</v>
      </c>
      <c r="P9015">
        <v>0</v>
      </c>
      <c r="Q9015">
        <v>6</v>
      </c>
      <c r="R9015" t="s">
        <v>32537</v>
      </c>
      <c r="S9015" t="s">
        <v>32828</v>
      </c>
      <c r="T9015" t="s">
        <v>33385</v>
      </c>
      <c r="U9015" t="s">
        <v>39743</v>
      </c>
      <c r="W9015" t="s">
        <v>43746</v>
      </c>
      <c r="X9015" t="s">
        <v>32538</v>
      </c>
    </row>
    <row r="9016" spans="1:24">
      <c r="A9016">
        <f>HYPERLINK("https://www.philgeps.gov.ph/GEPSNONPILOT/Tender/SplashBidNoticeAbstractUI.aspx?menuIndex=3&amp;refID=7029644&amp;Result=3","7029644")</f>
        <v>0</v>
      </c>
      <c r="B9016" t="s">
        <v>2497</v>
      </c>
      <c r="C9016" t="s">
        <v>11299</v>
      </c>
      <c r="D9016" t="s">
        <v>13066</v>
      </c>
      <c r="E9016" t="s">
        <v>20937</v>
      </c>
      <c r="F9016" t="s">
        <v>22436</v>
      </c>
      <c r="G9016" t="s">
        <v>22444</v>
      </c>
      <c r="H9016" t="s">
        <v>22454</v>
      </c>
      <c r="I9016" t="s">
        <v>7738</v>
      </c>
      <c r="J9016" t="s">
        <v>28309</v>
      </c>
      <c r="K9016" t="s">
        <v>29401</v>
      </c>
      <c r="M9016" t="s">
        <v>32303</v>
      </c>
      <c r="N9016" t="s">
        <v>32524</v>
      </c>
      <c r="O9016" t="s">
        <v>32525</v>
      </c>
      <c r="P9016">
        <v>0</v>
      </c>
      <c r="Q9016">
        <v>7</v>
      </c>
      <c r="R9016" t="s">
        <v>32537</v>
      </c>
      <c r="S9016" t="s">
        <v>32828</v>
      </c>
      <c r="T9016" t="s">
        <v>33249</v>
      </c>
      <c r="U9016" t="s">
        <v>41069</v>
      </c>
      <c r="V9016" t="s">
        <v>43424</v>
      </c>
      <c r="W9016" t="s">
        <v>32303</v>
      </c>
      <c r="X9016" t="s">
        <v>32538</v>
      </c>
    </row>
    <row r="9017" spans="1:24">
      <c r="A9017">
        <f>HYPERLINK("https://www.philgeps.gov.ph/GEPSNONPILOT/Tender/SplashBidNoticeAbstractUI.aspx?menuIndex=3&amp;refID=7029610&amp;Result=3","7029610")</f>
        <v>0</v>
      </c>
      <c r="B9017" t="s">
        <v>873</v>
      </c>
      <c r="C9017" t="s">
        <v>11300</v>
      </c>
      <c r="D9017" t="s">
        <v>13062</v>
      </c>
      <c r="E9017" t="s">
        <v>20938</v>
      </c>
      <c r="F9017" t="s">
        <v>22436</v>
      </c>
      <c r="G9017" t="s">
        <v>22444</v>
      </c>
      <c r="H9017" t="s">
        <v>22452</v>
      </c>
      <c r="I9017" t="s">
        <v>5194</v>
      </c>
      <c r="J9017" t="s">
        <v>28310</v>
      </c>
      <c r="K9017" t="s">
        <v>29341</v>
      </c>
      <c r="M9017" t="s">
        <v>30481</v>
      </c>
      <c r="N9017" t="s">
        <v>32524</v>
      </c>
      <c r="O9017" t="s">
        <v>32525</v>
      </c>
      <c r="P9017">
        <v>0</v>
      </c>
      <c r="Q9017">
        <v>0</v>
      </c>
      <c r="R9017" t="s">
        <v>32537</v>
      </c>
      <c r="S9017" t="s">
        <v>32828</v>
      </c>
      <c r="T9017" t="s">
        <v>33234</v>
      </c>
      <c r="U9017" t="s">
        <v>41073</v>
      </c>
      <c r="W9017" t="s">
        <v>30481</v>
      </c>
      <c r="X9017" t="s">
        <v>32538</v>
      </c>
    </row>
    <row r="9018" spans="1:24">
      <c r="A9018">
        <f>HYPERLINK("https://www.philgeps.gov.ph/GEPSNONPILOT/Tender/SplashBidNoticeAbstractUI.aspx?menuIndex=3&amp;refID=7029604&amp;Result=3","7029604")</f>
        <v>0</v>
      </c>
      <c r="B9018" t="s">
        <v>873</v>
      </c>
      <c r="C9018" t="s">
        <v>11301</v>
      </c>
      <c r="D9018" t="s">
        <v>13062</v>
      </c>
      <c r="E9018" t="s">
        <v>20939</v>
      </c>
      <c r="F9018" t="s">
        <v>22436</v>
      </c>
      <c r="G9018" t="s">
        <v>22444</v>
      </c>
      <c r="H9018" t="s">
        <v>22452</v>
      </c>
      <c r="I9018" t="s">
        <v>3529</v>
      </c>
      <c r="J9018" t="s">
        <v>28311</v>
      </c>
      <c r="K9018" t="s">
        <v>29341</v>
      </c>
      <c r="M9018" t="s">
        <v>30481</v>
      </c>
      <c r="N9018" t="s">
        <v>32524</v>
      </c>
      <c r="O9018" t="s">
        <v>32525</v>
      </c>
      <c r="P9018">
        <v>0</v>
      </c>
      <c r="Q9018">
        <v>1</v>
      </c>
      <c r="R9018" t="s">
        <v>32537</v>
      </c>
      <c r="S9018" t="s">
        <v>32828</v>
      </c>
      <c r="T9018" t="s">
        <v>33234</v>
      </c>
      <c r="U9018" t="s">
        <v>41070</v>
      </c>
      <c r="W9018" t="s">
        <v>30481</v>
      </c>
      <c r="X9018" t="s">
        <v>32538</v>
      </c>
    </row>
    <row r="9019" spans="1:24">
      <c r="A9019">
        <f>HYPERLINK("https://www.philgeps.gov.ph/GEPSNONPILOT/Tender/SplashBidNoticeAbstractUI.aspx?menuIndex=3&amp;refID=7029572&amp;Result=3","7029572")</f>
        <v>0</v>
      </c>
      <c r="B9019" t="s">
        <v>2228</v>
      </c>
      <c r="C9019" t="s">
        <v>11302</v>
      </c>
      <c r="D9019" t="s">
        <v>13045</v>
      </c>
      <c r="E9019" t="s">
        <v>20940</v>
      </c>
      <c r="F9019" t="s">
        <v>22436</v>
      </c>
      <c r="G9019" t="s">
        <v>22450</v>
      </c>
      <c r="H9019" t="s">
        <v>22454</v>
      </c>
      <c r="I9019" t="s">
        <v>7738</v>
      </c>
      <c r="J9019" t="s">
        <v>23365</v>
      </c>
      <c r="K9019" t="s">
        <v>29333</v>
      </c>
      <c r="M9019" t="s">
        <v>31994</v>
      </c>
      <c r="N9019" t="s">
        <v>32524</v>
      </c>
      <c r="O9019" t="s">
        <v>32525</v>
      </c>
      <c r="P9019">
        <v>0</v>
      </c>
      <c r="Q9019">
        <v>1</v>
      </c>
      <c r="R9019" t="s">
        <v>32537</v>
      </c>
      <c r="S9019" t="s">
        <v>32828</v>
      </c>
      <c r="T9019" t="s">
        <v>33249</v>
      </c>
      <c r="U9019" t="s">
        <v>41074</v>
      </c>
      <c r="W9019" t="s">
        <v>31994</v>
      </c>
      <c r="X9019" t="s">
        <v>32538</v>
      </c>
    </row>
    <row r="9020" spans="1:24">
      <c r="A9020">
        <f>HYPERLINK("https://www.philgeps.gov.ph/GEPSNONPILOT/Tender/SplashBidNoticeAbstractUI.aspx?menuIndex=3&amp;refID=7029712&amp;Result=3","7029712")</f>
        <v>0</v>
      </c>
      <c r="B9020" t="s">
        <v>2498</v>
      </c>
      <c r="C9020" t="s">
        <v>11303</v>
      </c>
      <c r="D9020" t="s">
        <v>12991</v>
      </c>
      <c r="E9020" t="s">
        <v>20941</v>
      </c>
      <c r="F9020" t="s">
        <v>22436</v>
      </c>
      <c r="G9020" t="s">
        <v>22444</v>
      </c>
      <c r="H9020" t="s">
        <v>22454</v>
      </c>
      <c r="I9020" t="s">
        <v>7738</v>
      </c>
      <c r="J9020" t="s">
        <v>28312</v>
      </c>
      <c r="K9020" t="s">
        <v>29512</v>
      </c>
      <c r="M9020" t="s">
        <v>32304</v>
      </c>
      <c r="N9020" t="s">
        <v>32524</v>
      </c>
      <c r="O9020" t="s">
        <v>32525</v>
      </c>
      <c r="P9020">
        <v>0</v>
      </c>
      <c r="Q9020">
        <v>6</v>
      </c>
      <c r="R9020" t="s">
        <v>32537</v>
      </c>
      <c r="S9020" t="s">
        <v>32828</v>
      </c>
      <c r="T9020" t="s">
        <v>33259</v>
      </c>
      <c r="U9020" t="s">
        <v>41075</v>
      </c>
      <c r="W9020" t="s">
        <v>32304</v>
      </c>
      <c r="X9020" t="s">
        <v>32538</v>
      </c>
    </row>
    <row r="9021" spans="1:24">
      <c r="A9021">
        <f>HYPERLINK("https://www.philgeps.gov.ph/GEPSNONPILOT/Tender/SplashBidNoticeAbstractUI.aspx?menuIndex=3&amp;refID=7029711&amp;Result=3","7029711")</f>
        <v>0</v>
      </c>
      <c r="B9021" t="s">
        <v>2385</v>
      </c>
      <c r="C9021" t="s">
        <v>11304</v>
      </c>
      <c r="D9021" t="s">
        <v>13007</v>
      </c>
      <c r="E9021" t="s">
        <v>20942</v>
      </c>
      <c r="F9021" t="s">
        <v>22436</v>
      </c>
      <c r="G9021" t="s">
        <v>22444</v>
      </c>
      <c r="H9021" t="s">
        <v>22452</v>
      </c>
      <c r="I9021" t="s">
        <v>2993</v>
      </c>
      <c r="J9021" t="s">
        <v>28313</v>
      </c>
      <c r="K9021" t="s">
        <v>29357</v>
      </c>
      <c r="M9021" t="s">
        <v>32176</v>
      </c>
      <c r="N9021" t="s">
        <v>32524</v>
      </c>
      <c r="O9021" t="s">
        <v>32525</v>
      </c>
      <c r="P9021">
        <v>0</v>
      </c>
      <c r="Q9021">
        <v>0</v>
      </c>
      <c r="R9021" t="s">
        <v>32537</v>
      </c>
      <c r="S9021" t="s">
        <v>32828</v>
      </c>
      <c r="T9021" t="s">
        <v>33168</v>
      </c>
      <c r="U9021" t="s">
        <v>41076</v>
      </c>
      <c r="W9021" t="s">
        <v>32176</v>
      </c>
      <c r="X9021" t="s">
        <v>32538</v>
      </c>
    </row>
    <row r="9022" spans="1:24">
      <c r="A9022">
        <f>HYPERLINK("https://www.philgeps.gov.ph/GEPSNONPILOT/Tender/SplashBidNoticeAbstractUI.aspx?menuIndex=3&amp;refID=7029686&amp;Result=3","7029686")</f>
        <v>0</v>
      </c>
      <c r="B9022" t="s">
        <v>1149</v>
      </c>
      <c r="C9022" t="s">
        <v>11305</v>
      </c>
      <c r="D9022" t="s">
        <v>13002</v>
      </c>
      <c r="E9022" t="s">
        <v>20943</v>
      </c>
      <c r="F9022" t="s">
        <v>22436</v>
      </c>
      <c r="G9022" t="s">
        <v>22444</v>
      </c>
      <c r="H9022" t="s">
        <v>22454</v>
      </c>
      <c r="I9022" t="s">
        <v>7738</v>
      </c>
      <c r="J9022" t="s">
        <v>22877</v>
      </c>
      <c r="K9022" t="s">
        <v>29344</v>
      </c>
      <c r="M9022" t="s">
        <v>30793</v>
      </c>
      <c r="N9022" t="s">
        <v>32524</v>
      </c>
      <c r="O9022" t="s">
        <v>32525</v>
      </c>
      <c r="P9022">
        <v>0</v>
      </c>
      <c r="Q9022">
        <v>1</v>
      </c>
      <c r="R9022" t="s">
        <v>32537</v>
      </c>
      <c r="S9022" t="s">
        <v>32828</v>
      </c>
      <c r="T9022" t="s">
        <v>33249</v>
      </c>
      <c r="U9022" t="s">
        <v>41077</v>
      </c>
      <c r="V9022" t="s">
        <v>43425</v>
      </c>
      <c r="W9022" t="s">
        <v>30793</v>
      </c>
      <c r="X9022" t="s">
        <v>32538</v>
      </c>
    </row>
    <row r="9023" spans="1:24">
      <c r="A9023">
        <f>HYPERLINK("https://www.philgeps.gov.ph/GEPSNONPILOT/Tender/SplashBidNoticeAbstractUI.aspx?menuIndex=3&amp;refID=7029682&amp;Result=3","7029682")</f>
        <v>0</v>
      </c>
      <c r="B9023" t="s">
        <v>2498</v>
      </c>
      <c r="C9023" t="s">
        <v>11306</v>
      </c>
      <c r="D9023" t="s">
        <v>12991</v>
      </c>
      <c r="E9023" t="s">
        <v>20944</v>
      </c>
      <c r="F9023" t="s">
        <v>22436</v>
      </c>
      <c r="G9023" t="s">
        <v>22444</v>
      </c>
      <c r="H9023" t="s">
        <v>22454</v>
      </c>
      <c r="I9023" t="s">
        <v>7738</v>
      </c>
      <c r="J9023" t="s">
        <v>28314</v>
      </c>
      <c r="K9023" t="s">
        <v>29345</v>
      </c>
      <c r="M9023" t="s">
        <v>32304</v>
      </c>
      <c r="N9023" t="s">
        <v>32524</v>
      </c>
      <c r="O9023" t="s">
        <v>32525</v>
      </c>
      <c r="P9023">
        <v>0</v>
      </c>
      <c r="Q9023">
        <v>7</v>
      </c>
      <c r="R9023" t="s">
        <v>32537</v>
      </c>
      <c r="S9023" t="s">
        <v>32828</v>
      </c>
      <c r="T9023" t="s">
        <v>33259</v>
      </c>
      <c r="U9023" t="s">
        <v>41078</v>
      </c>
      <c r="W9023" t="s">
        <v>32304</v>
      </c>
      <c r="X9023" t="s">
        <v>32538</v>
      </c>
    </row>
    <row r="9024" spans="1:24">
      <c r="A9024">
        <f>HYPERLINK("https://www.philgeps.gov.ph/GEPSNONPILOT/Tender/SplashBidNoticeAbstractUI.aspx?menuIndex=3&amp;refID=7029668&amp;Result=3","7029668")</f>
        <v>0</v>
      </c>
      <c r="B9024" t="s">
        <v>911</v>
      </c>
      <c r="C9024" t="s">
        <v>11307</v>
      </c>
      <c r="D9024" t="s">
        <v>12995</v>
      </c>
      <c r="E9024" t="s">
        <v>20945</v>
      </c>
      <c r="F9024" t="s">
        <v>22436</v>
      </c>
      <c r="G9024" t="s">
        <v>22444</v>
      </c>
      <c r="H9024" t="s">
        <v>22452</v>
      </c>
      <c r="I9024" t="s">
        <v>22504</v>
      </c>
      <c r="J9024" t="s">
        <v>28315</v>
      </c>
      <c r="K9024" t="s">
        <v>29335</v>
      </c>
      <c r="M9024" t="s">
        <v>30525</v>
      </c>
      <c r="N9024" t="s">
        <v>32524</v>
      </c>
      <c r="O9024" t="s">
        <v>32525</v>
      </c>
      <c r="Q9024">
        <v>13</v>
      </c>
      <c r="R9024" t="s">
        <v>32537</v>
      </c>
      <c r="S9024" t="s">
        <v>32870</v>
      </c>
      <c r="T9024" t="s">
        <v>33346</v>
      </c>
      <c r="U9024" t="s">
        <v>41079</v>
      </c>
      <c r="W9024" t="s">
        <v>30525</v>
      </c>
      <c r="X9024" t="s">
        <v>32538</v>
      </c>
    </row>
    <row r="9025" spans="1:24">
      <c r="A9025">
        <f>HYPERLINK("https://www.philgeps.gov.ph/GEPSNONPILOT/Tender/SplashBidNoticeAbstractUI.aspx?menuIndex=3&amp;refID=7029709&amp;Result=3","7029709")</f>
        <v>0</v>
      </c>
      <c r="B9025" t="s">
        <v>1149</v>
      </c>
      <c r="C9025" t="s">
        <v>11308</v>
      </c>
      <c r="D9025" t="s">
        <v>13002</v>
      </c>
      <c r="E9025" t="s">
        <v>20946</v>
      </c>
      <c r="F9025" t="s">
        <v>22436</v>
      </c>
      <c r="G9025" t="s">
        <v>22444</v>
      </c>
      <c r="H9025" t="s">
        <v>22452</v>
      </c>
      <c r="I9025" t="s">
        <v>22461</v>
      </c>
      <c r="J9025" t="s">
        <v>28316</v>
      </c>
      <c r="K9025" t="s">
        <v>29341</v>
      </c>
      <c r="M9025" t="s">
        <v>30793</v>
      </c>
      <c r="N9025" t="s">
        <v>32524</v>
      </c>
      <c r="O9025" t="s">
        <v>32525</v>
      </c>
      <c r="P9025">
        <v>0</v>
      </c>
      <c r="Q9025">
        <v>2</v>
      </c>
      <c r="R9025" t="s">
        <v>32537</v>
      </c>
      <c r="S9025" t="s">
        <v>32828</v>
      </c>
      <c r="T9025" t="s">
        <v>33249</v>
      </c>
      <c r="U9025" t="s">
        <v>41080</v>
      </c>
      <c r="V9025" t="s">
        <v>43426</v>
      </c>
      <c r="W9025" t="s">
        <v>30793</v>
      </c>
      <c r="X9025" t="s">
        <v>32538</v>
      </c>
    </row>
    <row r="9026" spans="1:24">
      <c r="A9026">
        <f>HYPERLINK("https://www.philgeps.gov.ph/GEPSNONPILOT/Tender/SplashBidNoticeAbstractUI.aspx?menuIndex=3&amp;refID=7029747&amp;Result=3","7029747")</f>
        <v>0</v>
      </c>
      <c r="B9026" t="s">
        <v>1024</v>
      </c>
      <c r="C9026" t="s">
        <v>11309</v>
      </c>
      <c r="E9026" t="s">
        <v>20947</v>
      </c>
      <c r="F9026" t="s">
        <v>22436</v>
      </c>
      <c r="G9026" t="s">
        <v>22444</v>
      </c>
      <c r="H9026" t="s">
        <v>22452</v>
      </c>
      <c r="I9026" t="s">
        <v>22502</v>
      </c>
      <c r="J9026" t="s">
        <v>28317</v>
      </c>
      <c r="K9026" t="s">
        <v>29329</v>
      </c>
      <c r="M9026" t="s">
        <v>30653</v>
      </c>
      <c r="N9026" t="s">
        <v>32524</v>
      </c>
      <c r="O9026" t="s">
        <v>32525</v>
      </c>
      <c r="P9026">
        <v>0</v>
      </c>
      <c r="Q9026">
        <v>6</v>
      </c>
      <c r="R9026" t="s">
        <v>32537</v>
      </c>
      <c r="S9026" t="s">
        <v>32828</v>
      </c>
      <c r="T9026" t="s">
        <v>33587</v>
      </c>
      <c r="U9026" t="s">
        <v>41081</v>
      </c>
      <c r="W9026" t="s">
        <v>30653</v>
      </c>
      <c r="X9026" t="s">
        <v>32538</v>
      </c>
    </row>
    <row r="9027" spans="1:24">
      <c r="A9027">
        <f>HYPERLINK("https://www.philgeps.gov.ph/GEPSNONPILOT/Tender/SplashBidNoticeAbstractUI.aspx?menuIndex=3&amp;refID=7029698&amp;Result=3","7029698")</f>
        <v>0</v>
      </c>
      <c r="B9027" t="s">
        <v>2385</v>
      </c>
      <c r="C9027" t="s">
        <v>11310</v>
      </c>
      <c r="D9027" t="s">
        <v>13007</v>
      </c>
      <c r="E9027" t="s">
        <v>20948</v>
      </c>
      <c r="F9027" t="s">
        <v>22436</v>
      </c>
      <c r="G9027" t="s">
        <v>22444</v>
      </c>
      <c r="H9027" t="s">
        <v>22452</v>
      </c>
      <c r="I9027" t="s">
        <v>2993</v>
      </c>
      <c r="J9027" t="s">
        <v>22856</v>
      </c>
      <c r="K9027" t="s">
        <v>29357</v>
      </c>
      <c r="M9027" t="s">
        <v>32176</v>
      </c>
      <c r="N9027" t="s">
        <v>32524</v>
      </c>
      <c r="O9027" t="s">
        <v>32525</v>
      </c>
      <c r="P9027">
        <v>0</v>
      </c>
      <c r="Q9027">
        <v>0</v>
      </c>
      <c r="R9027" t="s">
        <v>32537</v>
      </c>
      <c r="S9027" t="s">
        <v>32828</v>
      </c>
      <c r="T9027" t="s">
        <v>33168</v>
      </c>
      <c r="U9027" t="s">
        <v>41082</v>
      </c>
      <c r="W9027" t="s">
        <v>32176</v>
      </c>
      <c r="X9027" t="s">
        <v>32538</v>
      </c>
    </row>
    <row r="9028" spans="1:24">
      <c r="A9028">
        <f>HYPERLINK("https://www.philgeps.gov.ph/GEPSNONPILOT/Tender/SplashBidNoticeAbstractUI.aspx?menuIndex=3&amp;refID=7029685&amp;Result=3","7029685")</f>
        <v>0</v>
      </c>
      <c r="B9028" t="s">
        <v>2385</v>
      </c>
      <c r="C9028" t="s">
        <v>11311</v>
      </c>
      <c r="D9028" t="s">
        <v>13007</v>
      </c>
      <c r="E9028" t="s">
        <v>20948</v>
      </c>
      <c r="F9028" t="s">
        <v>22436</v>
      </c>
      <c r="G9028" t="s">
        <v>22444</v>
      </c>
      <c r="H9028" t="s">
        <v>22452</v>
      </c>
      <c r="I9028" t="s">
        <v>2993</v>
      </c>
      <c r="J9028" t="s">
        <v>22856</v>
      </c>
      <c r="K9028" t="s">
        <v>29357</v>
      </c>
      <c r="M9028" t="s">
        <v>32176</v>
      </c>
      <c r="N9028" t="s">
        <v>32524</v>
      </c>
      <c r="O9028" t="s">
        <v>32525</v>
      </c>
      <c r="P9028">
        <v>0</v>
      </c>
      <c r="Q9028">
        <v>0</v>
      </c>
      <c r="R9028" t="s">
        <v>32537</v>
      </c>
      <c r="S9028" t="s">
        <v>32828</v>
      </c>
      <c r="T9028" t="s">
        <v>33168</v>
      </c>
      <c r="U9028" t="s">
        <v>41083</v>
      </c>
      <c r="W9028" t="s">
        <v>32176</v>
      </c>
      <c r="X9028" t="s">
        <v>32538</v>
      </c>
    </row>
    <row r="9029" spans="1:24">
      <c r="A9029">
        <f>HYPERLINK("https://www.philgeps.gov.ph/GEPSNONPILOT/Tender/SplashBidNoticeAbstractUI.aspx?menuIndex=3&amp;refID=7029730&amp;Result=3","7029730")</f>
        <v>0</v>
      </c>
      <c r="B9029" t="s">
        <v>1024</v>
      </c>
      <c r="C9029" t="s">
        <v>11312</v>
      </c>
      <c r="E9029" t="s">
        <v>20949</v>
      </c>
      <c r="F9029" t="s">
        <v>22436</v>
      </c>
      <c r="G9029" t="s">
        <v>22444</v>
      </c>
      <c r="H9029" t="s">
        <v>22452</v>
      </c>
      <c r="I9029" t="s">
        <v>22502</v>
      </c>
      <c r="J9029" t="s">
        <v>22877</v>
      </c>
      <c r="K9029" t="s">
        <v>29333</v>
      </c>
      <c r="M9029" t="s">
        <v>30653</v>
      </c>
      <c r="N9029" t="s">
        <v>32524</v>
      </c>
      <c r="O9029" t="s">
        <v>32525</v>
      </c>
      <c r="P9029">
        <v>0</v>
      </c>
      <c r="Q9029">
        <v>26</v>
      </c>
      <c r="R9029" t="s">
        <v>32537</v>
      </c>
      <c r="S9029" t="s">
        <v>32828</v>
      </c>
      <c r="T9029" t="s">
        <v>33423</v>
      </c>
      <c r="U9029" t="s">
        <v>41084</v>
      </c>
      <c r="W9029" t="s">
        <v>30653</v>
      </c>
      <c r="X9029" t="s">
        <v>32538</v>
      </c>
    </row>
    <row r="9030" spans="1:24">
      <c r="A9030">
        <f>HYPERLINK("https://www.philgeps.gov.ph/GEPSNONPILOT/Tender/SplashBidNoticeAbstractUI.aspx?menuIndex=3&amp;refID=7029720&amp;Result=3","7029720")</f>
        <v>0</v>
      </c>
      <c r="B9030" t="s">
        <v>2385</v>
      </c>
      <c r="C9030" t="s">
        <v>11313</v>
      </c>
      <c r="D9030" t="s">
        <v>13007</v>
      </c>
      <c r="E9030" t="s">
        <v>20950</v>
      </c>
      <c r="F9030" t="s">
        <v>22436</v>
      </c>
      <c r="G9030" t="s">
        <v>22444</v>
      </c>
      <c r="H9030" t="s">
        <v>22452</v>
      </c>
      <c r="I9030" t="s">
        <v>2993</v>
      </c>
      <c r="J9030" t="s">
        <v>23234</v>
      </c>
      <c r="K9030" t="s">
        <v>29357</v>
      </c>
      <c r="M9030" t="s">
        <v>32176</v>
      </c>
      <c r="N9030" t="s">
        <v>32524</v>
      </c>
      <c r="O9030" t="s">
        <v>32525</v>
      </c>
      <c r="P9030">
        <v>0</v>
      </c>
      <c r="Q9030">
        <v>0</v>
      </c>
      <c r="R9030" t="s">
        <v>32537</v>
      </c>
      <c r="S9030" t="s">
        <v>32828</v>
      </c>
      <c r="T9030" t="s">
        <v>33168</v>
      </c>
      <c r="U9030" t="s">
        <v>41085</v>
      </c>
      <c r="W9030" t="s">
        <v>32176</v>
      </c>
      <c r="X9030" t="s">
        <v>32538</v>
      </c>
    </row>
    <row r="9031" spans="1:24">
      <c r="A9031">
        <f>HYPERLINK("https://www.philgeps.gov.ph/GEPSNONPILOT/Tender/SplashBidNoticeAbstractUI.aspx?menuIndex=3&amp;refID=7029651&amp;Result=3","7029651")</f>
        <v>0</v>
      </c>
      <c r="B9031" t="s">
        <v>2499</v>
      </c>
      <c r="C9031" t="s">
        <v>11314</v>
      </c>
      <c r="D9031" t="s">
        <v>13058</v>
      </c>
      <c r="E9031" t="s">
        <v>20951</v>
      </c>
      <c r="F9031" t="s">
        <v>22436</v>
      </c>
      <c r="G9031" t="s">
        <v>22444</v>
      </c>
      <c r="H9031" t="s">
        <v>22454</v>
      </c>
      <c r="I9031" t="s">
        <v>7738</v>
      </c>
      <c r="J9031" t="s">
        <v>28318</v>
      </c>
      <c r="K9031" t="s">
        <v>29333</v>
      </c>
      <c r="M9031" t="s">
        <v>32305</v>
      </c>
      <c r="N9031" t="s">
        <v>32524</v>
      </c>
      <c r="O9031" t="s">
        <v>32525</v>
      </c>
      <c r="P9031">
        <v>0</v>
      </c>
      <c r="Q9031">
        <v>1</v>
      </c>
      <c r="R9031" t="s">
        <v>32537</v>
      </c>
      <c r="S9031" t="s">
        <v>32828</v>
      </c>
      <c r="T9031" t="s">
        <v>33211</v>
      </c>
      <c r="U9031" t="s">
        <v>41086</v>
      </c>
      <c r="W9031" t="s">
        <v>32305</v>
      </c>
      <c r="X9031" t="s">
        <v>32538</v>
      </c>
    </row>
    <row r="9032" spans="1:24">
      <c r="A9032">
        <f>HYPERLINK("https://www.philgeps.gov.ph/GEPSNONPILOT/Tender/SplashBidNoticeAbstractUI.aspx?menuIndex=3&amp;refID=7029705&amp;Result=3","7029705")</f>
        <v>0</v>
      </c>
      <c r="B9032" t="s">
        <v>2385</v>
      </c>
      <c r="C9032" t="s">
        <v>11315</v>
      </c>
      <c r="D9032" t="s">
        <v>13007</v>
      </c>
      <c r="E9032" t="s">
        <v>20952</v>
      </c>
      <c r="F9032" t="s">
        <v>22436</v>
      </c>
      <c r="G9032" t="s">
        <v>22444</v>
      </c>
      <c r="H9032" t="s">
        <v>22452</v>
      </c>
      <c r="I9032" t="s">
        <v>3529</v>
      </c>
      <c r="J9032" t="s">
        <v>28319</v>
      </c>
      <c r="K9032" t="s">
        <v>29357</v>
      </c>
      <c r="M9032" t="s">
        <v>32176</v>
      </c>
      <c r="N9032" t="s">
        <v>32524</v>
      </c>
      <c r="O9032" t="s">
        <v>32525</v>
      </c>
      <c r="P9032">
        <v>0</v>
      </c>
      <c r="Q9032">
        <v>0</v>
      </c>
      <c r="R9032" t="s">
        <v>32537</v>
      </c>
      <c r="S9032" t="s">
        <v>32828</v>
      </c>
      <c r="T9032" t="s">
        <v>33168</v>
      </c>
      <c r="U9032" t="s">
        <v>41087</v>
      </c>
      <c r="W9032" t="s">
        <v>32176</v>
      </c>
      <c r="X9032" t="s">
        <v>32538</v>
      </c>
    </row>
    <row r="9033" spans="1:24">
      <c r="A9033">
        <f>HYPERLINK("https://www.philgeps.gov.ph/GEPSNONPILOT/Tender/SplashBidNoticeAbstractUI.aspx?menuIndex=3&amp;refID=7029714&amp;Result=3","7029714")</f>
        <v>0</v>
      </c>
      <c r="B9033" t="s">
        <v>2385</v>
      </c>
      <c r="C9033" t="s">
        <v>11316</v>
      </c>
      <c r="D9033" t="s">
        <v>13007</v>
      </c>
      <c r="E9033" t="s">
        <v>20953</v>
      </c>
      <c r="F9033" t="s">
        <v>22436</v>
      </c>
      <c r="G9033" t="s">
        <v>22444</v>
      </c>
      <c r="H9033" t="s">
        <v>22452</v>
      </c>
      <c r="I9033" t="s">
        <v>3529</v>
      </c>
      <c r="J9033" t="s">
        <v>28320</v>
      </c>
      <c r="K9033" t="s">
        <v>29357</v>
      </c>
      <c r="M9033" t="s">
        <v>32176</v>
      </c>
      <c r="N9033" t="s">
        <v>32524</v>
      </c>
      <c r="O9033" t="s">
        <v>32525</v>
      </c>
      <c r="P9033">
        <v>0</v>
      </c>
      <c r="Q9033">
        <v>0</v>
      </c>
      <c r="R9033" t="s">
        <v>32537</v>
      </c>
      <c r="S9033" t="s">
        <v>32828</v>
      </c>
      <c r="T9033" t="s">
        <v>33175</v>
      </c>
      <c r="U9033" t="s">
        <v>41088</v>
      </c>
      <c r="W9033" t="s">
        <v>32176</v>
      </c>
      <c r="X9033" t="s">
        <v>32538</v>
      </c>
    </row>
    <row r="9034" spans="1:24">
      <c r="A9034">
        <f>HYPERLINK("https://www.philgeps.gov.ph/GEPSNONPILOT/Tender/SplashBidNoticeAbstractUI.aspx?menuIndex=3&amp;refID=7029687&amp;Result=3","7029687")</f>
        <v>0</v>
      </c>
      <c r="B9034" t="s">
        <v>1024</v>
      </c>
      <c r="C9034" t="s">
        <v>11317</v>
      </c>
      <c r="E9034" t="s">
        <v>20954</v>
      </c>
      <c r="F9034" t="s">
        <v>22436</v>
      </c>
      <c r="G9034" t="s">
        <v>22444</v>
      </c>
      <c r="H9034" t="s">
        <v>22452</v>
      </c>
      <c r="I9034" t="s">
        <v>22489</v>
      </c>
      <c r="J9034" t="s">
        <v>28321</v>
      </c>
      <c r="K9034" t="s">
        <v>29333</v>
      </c>
      <c r="M9034" t="s">
        <v>30653</v>
      </c>
      <c r="N9034" t="s">
        <v>32524</v>
      </c>
      <c r="O9034" t="s">
        <v>32525</v>
      </c>
      <c r="Q9034">
        <v>8</v>
      </c>
      <c r="R9034" t="s">
        <v>32537</v>
      </c>
      <c r="S9034" t="s">
        <v>32871</v>
      </c>
      <c r="T9034" t="s">
        <v>33253</v>
      </c>
      <c r="U9034" t="s">
        <v>41089</v>
      </c>
      <c r="W9034" t="s">
        <v>30653</v>
      </c>
      <c r="X9034" t="s">
        <v>32538</v>
      </c>
    </row>
    <row r="9035" spans="1:24">
      <c r="A9035">
        <f>HYPERLINK("https://www.philgeps.gov.ph/GEPSNONPILOT/Tender/SplashBidNoticeAbstractUI.aspx?menuIndex=3&amp;refID=7029727&amp;Result=3","7029727")</f>
        <v>0</v>
      </c>
      <c r="B9035" t="s">
        <v>1024</v>
      </c>
      <c r="C9035" t="s">
        <v>11318</v>
      </c>
      <c r="E9035" t="s">
        <v>20955</v>
      </c>
      <c r="F9035" t="s">
        <v>22436</v>
      </c>
      <c r="G9035" t="s">
        <v>22444</v>
      </c>
      <c r="H9035" t="s">
        <v>22452</v>
      </c>
      <c r="I9035" t="s">
        <v>22502</v>
      </c>
      <c r="J9035" t="s">
        <v>28322</v>
      </c>
      <c r="K9035" t="s">
        <v>29329</v>
      </c>
      <c r="M9035" t="s">
        <v>30653</v>
      </c>
      <c r="N9035" t="s">
        <v>32524</v>
      </c>
      <c r="O9035" t="s">
        <v>32525</v>
      </c>
      <c r="P9035">
        <v>0</v>
      </c>
      <c r="Q9035">
        <v>8</v>
      </c>
      <c r="R9035" t="s">
        <v>32537</v>
      </c>
      <c r="S9035" t="s">
        <v>32828</v>
      </c>
      <c r="T9035" t="s">
        <v>33397</v>
      </c>
      <c r="U9035" t="s">
        <v>41090</v>
      </c>
      <c r="W9035" t="s">
        <v>30653</v>
      </c>
      <c r="X9035" t="s">
        <v>32538</v>
      </c>
    </row>
    <row r="9036" spans="1:24">
      <c r="A9036">
        <f>HYPERLINK("https://www.philgeps.gov.ph/GEPSNONPILOT/Tender/SplashBidNoticeAbstractUI.aspx?menuIndex=3&amp;refID=7029752&amp;Result=3","7029752")</f>
        <v>0</v>
      </c>
      <c r="B9036" t="s">
        <v>1024</v>
      </c>
      <c r="C9036" t="s">
        <v>11319</v>
      </c>
      <c r="E9036" t="s">
        <v>20956</v>
      </c>
      <c r="F9036" t="s">
        <v>22436</v>
      </c>
      <c r="G9036" t="s">
        <v>22444</v>
      </c>
      <c r="H9036" t="s">
        <v>22452</v>
      </c>
      <c r="I9036" t="s">
        <v>3827</v>
      </c>
      <c r="J9036" t="s">
        <v>24712</v>
      </c>
      <c r="K9036" t="s">
        <v>29329</v>
      </c>
      <c r="M9036" t="s">
        <v>30653</v>
      </c>
      <c r="N9036" t="s">
        <v>32524</v>
      </c>
      <c r="O9036" t="s">
        <v>32525</v>
      </c>
      <c r="P9036">
        <v>0</v>
      </c>
      <c r="Q9036">
        <v>3</v>
      </c>
      <c r="R9036" t="s">
        <v>32537</v>
      </c>
      <c r="S9036" t="s">
        <v>32828</v>
      </c>
      <c r="T9036" t="s">
        <v>33578</v>
      </c>
      <c r="U9036" t="s">
        <v>41091</v>
      </c>
      <c r="W9036" t="s">
        <v>30653</v>
      </c>
      <c r="X9036" t="s">
        <v>32538</v>
      </c>
    </row>
    <row r="9037" spans="1:24">
      <c r="A9037">
        <f>HYPERLINK("https://www.philgeps.gov.ph/GEPSNONPILOT/Tender/SplashBidNoticeAbstractUI.aspx?menuIndex=3&amp;refID=7029719&amp;Result=3","7029719")</f>
        <v>0</v>
      </c>
      <c r="B9037" t="s">
        <v>1024</v>
      </c>
      <c r="C9037" t="s">
        <v>11320</v>
      </c>
      <c r="E9037" t="s">
        <v>20957</v>
      </c>
      <c r="F9037" t="s">
        <v>22436</v>
      </c>
      <c r="G9037" t="s">
        <v>22444</v>
      </c>
      <c r="H9037" t="s">
        <v>22452</v>
      </c>
      <c r="I9037" t="s">
        <v>22502</v>
      </c>
      <c r="J9037" t="s">
        <v>28323</v>
      </c>
      <c r="K9037" t="s">
        <v>29333</v>
      </c>
      <c r="M9037" t="s">
        <v>30653</v>
      </c>
      <c r="N9037" t="s">
        <v>32524</v>
      </c>
      <c r="O9037" t="s">
        <v>32525</v>
      </c>
      <c r="P9037">
        <v>0</v>
      </c>
      <c r="Q9037">
        <v>14</v>
      </c>
      <c r="R9037" t="s">
        <v>32537</v>
      </c>
      <c r="S9037" t="s">
        <v>32828</v>
      </c>
      <c r="T9037" t="s">
        <v>33212</v>
      </c>
      <c r="U9037" t="s">
        <v>41092</v>
      </c>
      <c r="W9037" t="s">
        <v>30653</v>
      </c>
      <c r="X9037" t="s">
        <v>32538</v>
      </c>
    </row>
    <row r="9038" spans="1:24">
      <c r="A9038">
        <f>HYPERLINK("https://www.philgeps.gov.ph/GEPSNONPILOT/Tender/SplashBidNoticeAbstractUI.aspx?menuIndex=3&amp;refID=7029738&amp;Result=3","7029738")</f>
        <v>0</v>
      </c>
      <c r="B9038" t="s">
        <v>1024</v>
      </c>
      <c r="C9038" t="s">
        <v>11321</v>
      </c>
      <c r="E9038" t="s">
        <v>20958</v>
      </c>
      <c r="F9038" t="s">
        <v>22436</v>
      </c>
      <c r="G9038" t="s">
        <v>22444</v>
      </c>
      <c r="H9038" t="s">
        <v>22452</v>
      </c>
      <c r="I9038" t="s">
        <v>22489</v>
      </c>
      <c r="J9038" t="s">
        <v>28324</v>
      </c>
      <c r="K9038" t="s">
        <v>29333</v>
      </c>
      <c r="M9038" t="s">
        <v>30653</v>
      </c>
      <c r="N9038" t="s">
        <v>32524</v>
      </c>
      <c r="O9038" t="s">
        <v>32525</v>
      </c>
      <c r="P9038">
        <v>0</v>
      </c>
      <c r="Q9038">
        <v>9</v>
      </c>
      <c r="R9038" t="s">
        <v>32537</v>
      </c>
      <c r="S9038" t="s">
        <v>32828</v>
      </c>
      <c r="T9038" t="s">
        <v>33426</v>
      </c>
      <c r="U9038" t="s">
        <v>41093</v>
      </c>
      <c r="W9038" t="s">
        <v>30653</v>
      </c>
      <c r="X9038" t="s">
        <v>32538</v>
      </c>
    </row>
    <row r="9039" spans="1:24">
      <c r="A9039">
        <f>HYPERLINK("https://www.philgeps.gov.ph/GEPSNONPILOT/Tender/SplashBidNoticeAbstractUI.aspx?menuIndex=3&amp;refID=7029763&amp;Result=3","7029763")</f>
        <v>0</v>
      </c>
      <c r="B9039" t="s">
        <v>2500</v>
      </c>
      <c r="C9039" t="s">
        <v>11322</v>
      </c>
      <c r="D9039" t="s">
        <v>13019</v>
      </c>
      <c r="E9039" t="s">
        <v>20959</v>
      </c>
      <c r="F9039" t="s">
        <v>22436</v>
      </c>
      <c r="G9039" t="s">
        <v>22444</v>
      </c>
      <c r="H9039" t="s">
        <v>22454</v>
      </c>
      <c r="I9039" t="s">
        <v>7738</v>
      </c>
      <c r="J9039" t="s">
        <v>28325</v>
      </c>
      <c r="K9039" t="s">
        <v>29333</v>
      </c>
      <c r="M9039" t="s">
        <v>32306</v>
      </c>
      <c r="N9039" t="s">
        <v>32524</v>
      </c>
      <c r="O9039" t="s">
        <v>32525</v>
      </c>
      <c r="P9039">
        <v>0</v>
      </c>
      <c r="Q9039">
        <v>1</v>
      </c>
      <c r="R9039" t="s">
        <v>32537</v>
      </c>
      <c r="S9039" t="s">
        <v>32828</v>
      </c>
      <c r="T9039" t="s">
        <v>33168</v>
      </c>
      <c r="U9039" t="s">
        <v>41094</v>
      </c>
      <c r="W9039" t="s">
        <v>32306</v>
      </c>
      <c r="X9039" t="s">
        <v>32538</v>
      </c>
    </row>
    <row r="9040" spans="1:24">
      <c r="A9040">
        <f>HYPERLINK("https://www.philgeps.gov.ph/GEPSNONPILOT/Tender/SplashBidNoticeAbstractUI.aspx?menuIndex=3&amp;refID=7009563&amp;Result=3","7009563")</f>
        <v>0</v>
      </c>
      <c r="B9040" t="s">
        <v>573</v>
      </c>
      <c r="C9040" t="s">
        <v>11323</v>
      </c>
      <c r="D9040" t="s">
        <v>12990</v>
      </c>
      <c r="E9040" t="s">
        <v>20960</v>
      </c>
      <c r="F9040" t="s">
        <v>22436</v>
      </c>
      <c r="G9040" t="s">
        <v>22444</v>
      </c>
      <c r="H9040" t="s">
        <v>22452</v>
      </c>
      <c r="I9040" t="s">
        <v>2993</v>
      </c>
      <c r="J9040" t="s">
        <v>28326</v>
      </c>
      <c r="K9040" t="s">
        <v>29338</v>
      </c>
      <c r="M9040" t="s">
        <v>30161</v>
      </c>
      <c r="N9040" t="s">
        <v>32524</v>
      </c>
      <c r="O9040" t="s">
        <v>32525</v>
      </c>
      <c r="P9040">
        <v>0</v>
      </c>
      <c r="Q9040">
        <v>5</v>
      </c>
      <c r="R9040" t="s">
        <v>32538</v>
      </c>
      <c r="S9040" t="s">
        <v>32872</v>
      </c>
      <c r="T9040" t="s">
        <v>33411</v>
      </c>
      <c r="U9040" t="s">
        <v>41095</v>
      </c>
      <c r="W9040" t="s">
        <v>30161</v>
      </c>
      <c r="X9040" t="s">
        <v>43798</v>
      </c>
    </row>
    <row r="9041" spans="1:24">
      <c r="A9041">
        <f>HYPERLINK("https://www.philgeps.gov.ph/GEPSNONPILOT/Tender/SplashBidNoticeAbstractUI.aspx?menuIndex=3&amp;refID=6964801&amp;Result=3","6964801")</f>
        <v>0</v>
      </c>
      <c r="B9041" t="s">
        <v>2501</v>
      </c>
      <c r="C9041" t="s">
        <v>11324</v>
      </c>
      <c r="D9041" t="s">
        <v>13031</v>
      </c>
      <c r="E9041" t="s">
        <v>20961</v>
      </c>
      <c r="F9041" t="s">
        <v>22436</v>
      </c>
      <c r="G9041" t="s">
        <v>22444</v>
      </c>
      <c r="H9041" t="s">
        <v>22454</v>
      </c>
      <c r="I9041" t="s">
        <v>7738</v>
      </c>
      <c r="J9041" t="s">
        <v>22893</v>
      </c>
      <c r="K9041" t="s">
        <v>29333</v>
      </c>
      <c r="M9041" t="s">
        <v>32307</v>
      </c>
      <c r="N9041" t="s">
        <v>32524</v>
      </c>
      <c r="O9041" t="s">
        <v>32525</v>
      </c>
      <c r="P9041">
        <v>0</v>
      </c>
      <c r="Q9041">
        <v>1</v>
      </c>
      <c r="R9041" t="s">
        <v>32538</v>
      </c>
      <c r="S9041" t="s">
        <v>32872</v>
      </c>
      <c r="T9041" t="s">
        <v>33238</v>
      </c>
      <c r="U9041" t="s">
        <v>41096</v>
      </c>
      <c r="W9041" t="s">
        <v>32307</v>
      </c>
      <c r="X9041" t="s">
        <v>43799</v>
      </c>
    </row>
    <row r="9042" spans="1:24">
      <c r="A9042">
        <f>HYPERLINK("https://www.philgeps.gov.ph/GEPSNONPILOT/Tender/SplashBidNoticeAbstractUI.aspx?menuIndex=3&amp;refID=7029771&amp;Result=3","7029771")</f>
        <v>0</v>
      </c>
      <c r="B9042" t="s">
        <v>1024</v>
      </c>
      <c r="C9042" t="s">
        <v>11325</v>
      </c>
      <c r="D9042" t="s">
        <v>13031</v>
      </c>
      <c r="E9042" t="s">
        <v>20962</v>
      </c>
      <c r="F9042" t="s">
        <v>22436</v>
      </c>
      <c r="G9042" t="s">
        <v>22444</v>
      </c>
      <c r="H9042" t="s">
        <v>22454</v>
      </c>
      <c r="I9042" t="s">
        <v>7738</v>
      </c>
      <c r="J9042" t="s">
        <v>22936</v>
      </c>
      <c r="K9042" t="s">
        <v>29334</v>
      </c>
      <c r="M9042" t="s">
        <v>30653</v>
      </c>
      <c r="N9042" t="s">
        <v>32524</v>
      </c>
      <c r="O9042" t="s">
        <v>32525</v>
      </c>
      <c r="P9042">
        <v>0</v>
      </c>
      <c r="Q9042">
        <v>7</v>
      </c>
      <c r="R9042" t="s">
        <v>32537</v>
      </c>
      <c r="S9042" t="s">
        <v>32828</v>
      </c>
      <c r="T9042" t="s">
        <v>33219</v>
      </c>
      <c r="U9042" t="s">
        <v>41097</v>
      </c>
      <c r="W9042" t="s">
        <v>30653</v>
      </c>
      <c r="X9042" t="s">
        <v>32538</v>
      </c>
    </row>
    <row r="9043" spans="1:24">
      <c r="A9043">
        <f>HYPERLINK("https://www.philgeps.gov.ph/GEPSNONPILOT/Tender/SplashBidNoticeAbstractUI.aspx?menuIndex=3&amp;refID=6851319-2&amp;Result=3","6851319-2")</f>
        <v>0</v>
      </c>
      <c r="B9043" t="s">
        <v>1289</v>
      </c>
      <c r="C9043" t="s">
        <v>11326</v>
      </c>
      <c r="D9043" t="s">
        <v>12988</v>
      </c>
      <c r="E9043" t="s">
        <v>20963</v>
      </c>
      <c r="F9043" t="s">
        <v>22436</v>
      </c>
      <c r="G9043" t="s">
        <v>22444</v>
      </c>
      <c r="H9043" t="s">
        <v>22455</v>
      </c>
      <c r="I9043" t="s">
        <v>22455</v>
      </c>
      <c r="J9043" t="s">
        <v>28327</v>
      </c>
      <c r="K9043" t="s">
        <v>29371</v>
      </c>
      <c r="M9043" t="s">
        <v>31916</v>
      </c>
      <c r="N9043" t="s">
        <v>32524</v>
      </c>
      <c r="O9043" t="s">
        <v>32525</v>
      </c>
      <c r="P9043">
        <v>0</v>
      </c>
      <c r="Q9043">
        <v>1</v>
      </c>
      <c r="R9043" t="s">
        <v>32538</v>
      </c>
      <c r="S9043" t="s">
        <v>32872</v>
      </c>
      <c r="T9043" t="s">
        <v>33233</v>
      </c>
      <c r="U9043" t="s">
        <v>41098</v>
      </c>
      <c r="V9043" t="s">
        <v>43427</v>
      </c>
      <c r="W9043" t="s">
        <v>31916</v>
      </c>
      <c r="X9043" t="s">
        <v>32539</v>
      </c>
    </row>
    <row r="9044" spans="1:24">
      <c r="A9044">
        <f>HYPERLINK("https://www.philgeps.gov.ph/GEPSNONPILOT/Tender/SplashBidNoticeAbstractUI.aspx?menuIndex=3&amp;refID=7029754&amp;Result=3","7029754")</f>
        <v>0</v>
      </c>
      <c r="B9044" t="s">
        <v>1024</v>
      </c>
      <c r="C9044" t="s">
        <v>11327</v>
      </c>
      <c r="E9044" t="s">
        <v>20964</v>
      </c>
      <c r="F9044" t="s">
        <v>22436</v>
      </c>
      <c r="G9044" t="s">
        <v>22444</v>
      </c>
      <c r="H9044" t="s">
        <v>22452</v>
      </c>
      <c r="I9044" t="s">
        <v>3827</v>
      </c>
      <c r="J9044" t="s">
        <v>23350</v>
      </c>
      <c r="K9044" t="s">
        <v>29329</v>
      </c>
      <c r="M9044" t="s">
        <v>30653</v>
      </c>
      <c r="N9044" t="s">
        <v>32524</v>
      </c>
      <c r="O9044" t="s">
        <v>32525</v>
      </c>
      <c r="P9044">
        <v>0</v>
      </c>
      <c r="Q9044">
        <v>9</v>
      </c>
      <c r="R9044" t="s">
        <v>32537</v>
      </c>
      <c r="S9044" t="s">
        <v>32828</v>
      </c>
      <c r="T9044" t="s">
        <v>33588</v>
      </c>
      <c r="U9044" t="s">
        <v>41099</v>
      </c>
      <c r="W9044" t="s">
        <v>30653</v>
      </c>
      <c r="X9044" t="s">
        <v>32538</v>
      </c>
    </row>
    <row r="9045" spans="1:24">
      <c r="A9045">
        <f>HYPERLINK("https://www.philgeps.gov.ph/GEPSNONPILOT/Tender/SplashBidNoticeAbstractUI.aspx?menuIndex=3&amp;refID=7029785&amp;Result=3","7029785")</f>
        <v>0</v>
      </c>
      <c r="B9045" t="s">
        <v>1024</v>
      </c>
      <c r="C9045" t="s">
        <v>11328</v>
      </c>
      <c r="D9045" t="s">
        <v>13007</v>
      </c>
      <c r="E9045" t="s">
        <v>20965</v>
      </c>
      <c r="F9045" t="s">
        <v>22436</v>
      </c>
      <c r="G9045" t="s">
        <v>22444</v>
      </c>
      <c r="H9045" t="s">
        <v>22454</v>
      </c>
      <c r="I9045" t="s">
        <v>7738</v>
      </c>
      <c r="J9045" t="s">
        <v>22587</v>
      </c>
      <c r="K9045" t="s">
        <v>29388</v>
      </c>
      <c r="M9045" t="s">
        <v>30653</v>
      </c>
      <c r="N9045" t="s">
        <v>32524</v>
      </c>
      <c r="O9045" t="s">
        <v>32525</v>
      </c>
      <c r="Q9045">
        <v>2</v>
      </c>
      <c r="R9045" t="s">
        <v>32537</v>
      </c>
      <c r="S9045" t="s">
        <v>32873</v>
      </c>
      <c r="T9045" t="s">
        <v>33481</v>
      </c>
      <c r="U9045" t="s">
        <v>41100</v>
      </c>
      <c r="W9045" t="s">
        <v>30653</v>
      </c>
      <c r="X9045" t="s">
        <v>32538</v>
      </c>
    </row>
    <row r="9046" spans="1:24">
      <c r="A9046">
        <f>HYPERLINK("https://www.philgeps.gov.ph/GEPSNONPILOT/Tender/SplashBidNoticeAbstractUI.aspx?menuIndex=3&amp;refID=7029764&amp;Result=3","7029764")</f>
        <v>0</v>
      </c>
      <c r="B9046" t="s">
        <v>1024</v>
      </c>
      <c r="C9046" t="s">
        <v>11329</v>
      </c>
      <c r="E9046" t="s">
        <v>20966</v>
      </c>
      <c r="F9046" t="s">
        <v>22436</v>
      </c>
      <c r="G9046" t="s">
        <v>22444</v>
      </c>
      <c r="H9046" t="s">
        <v>22452</v>
      </c>
      <c r="I9046" t="s">
        <v>22502</v>
      </c>
      <c r="J9046" t="s">
        <v>24712</v>
      </c>
      <c r="K9046" t="s">
        <v>29329</v>
      </c>
      <c r="M9046" t="s">
        <v>30653</v>
      </c>
      <c r="N9046" t="s">
        <v>32524</v>
      </c>
      <c r="O9046" t="s">
        <v>32525</v>
      </c>
      <c r="P9046">
        <v>0</v>
      </c>
      <c r="Q9046">
        <v>14</v>
      </c>
      <c r="R9046" t="s">
        <v>32537</v>
      </c>
      <c r="S9046" t="s">
        <v>32828</v>
      </c>
      <c r="T9046" t="s">
        <v>33589</v>
      </c>
      <c r="U9046" t="s">
        <v>41101</v>
      </c>
      <c r="W9046" t="s">
        <v>30653</v>
      </c>
      <c r="X9046" t="s">
        <v>32538</v>
      </c>
    </row>
    <row r="9047" spans="1:24">
      <c r="A9047">
        <f>HYPERLINK("https://www.philgeps.gov.ph/GEPSNONPILOT/Tender/SplashBidNoticeAbstractUI.aspx?menuIndex=3&amp;refID=7029761&amp;Result=3","7029761")</f>
        <v>0</v>
      </c>
      <c r="B9047" t="s">
        <v>1024</v>
      </c>
      <c r="C9047" t="s">
        <v>11330</v>
      </c>
      <c r="E9047" t="s">
        <v>20967</v>
      </c>
      <c r="F9047" t="s">
        <v>22436</v>
      </c>
      <c r="G9047" t="s">
        <v>22444</v>
      </c>
      <c r="H9047" t="s">
        <v>22452</v>
      </c>
      <c r="I9047" t="s">
        <v>22502</v>
      </c>
      <c r="J9047" t="s">
        <v>27600</v>
      </c>
      <c r="K9047" t="s">
        <v>29329</v>
      </c>
      <c r="M9047" t="s">
        <v>30653</v>
      </c>
      <c r="N9047" t="s">
        <v>32524</v>
      </c>
      <c r="O9047" t="s">
        <v>32525</v>
      </c>
      <c r="P9047">
        <v>0</v>
      </c>
      <c r="Q9047">
        <v>30</v>
      </c>
      <c r="R9047" t="s">
        <v>32537</v>
      </c>
      <c r="S9047" t="s">
        <v>32828</v>
      </c>
      <c r="T9047" t="s">
        <v>33590</v>
      </c>
      <c r="U9047" t="s">
        <v>41102</v>
      </c>
      <c r="W9047" t="s">
        <v>30653</v>
      </c>
      <c r="X9047" t="s">
        <v>32538</v>
      </c>
    </row>
    <row r="9048" spans="1:24">
      <c r="A9048">
        <f>HYPERLINK("https://www.philgeps.gov.ph/GEPSNONPILOT/Tender/SplashBidNoticeAbstractUI.aspx?menuIndex=3&amp;refID=7010650&amp;Result=3","7010650")</f>
        <v>0</v>
      </c>
      <c r="B9048" t="s">
        <v>573</v>
      </c>
      <c r="C9048" t="s">
        <v>11331</v>
      </c>
      <c r="D9048" t="s">
        <v>12990</v>
      </c>
      <c r="E9048" t="s">
        <v>20968</v>
      </c>
      <c r="F9048" t="s">
        <v>22436</v>
      </c>
      <c r="G9048" t="s">
        <v>22444</v>
      </c>
      <c r="H9048" t="s">
        <v>22452</v>
      </c>
      <c r="I9048" t="s">
        <v>22479</v>
      </c>
      <c r="J9048" t="s">
        <v>28328</v>
      </c>
      <c r="K9048" t="s">
        <v>29338</v>
      </c>
      <c r="M9048" t="s">
        <v>30161</v>
      </c>
      <c r="N9048" t="s">
        <v>32524</v>
      </c>
      <c r="O9048" t="s">
        <v>32525</v>
      </c>
      <c r="P9048">
        <v>0</v>
      </c>
      <c r="Q9048">
        <v>3</v>
      </c>
      <c r="R9048" t="s">
        <v>32538</v>
      </c>
      <c r="S9048" t="s">
        <v>32872</v>
      </c>
      <c r="T9048" t="s">
        <v>33411</v>
      </c>
      <c r="U9048" t="s">
        <v>41103</v>
      </c>
      <c r="W9048" t="s">
        <v>30161</v>
      </c>
      <c r="X9048" t="s">
        <v>43778</v>
      </c>
    </row>
    <row r="9049" spans="1:24">
      <c r="A9049">
        <f>HYPERLINK("https://www.philgeps.gov.ph/GEPSNONPILOT/Tender/SplashBidNoticeAbstractUI.aspx?menuIndex=3&amp;refID=6964814&amp;Result=3","6964814")</f>
        <v>0</v>
      </c>
      <c r="B9049" t="s">
        <v>2501</v>
      </c>
      <c r="C9049" t="s">
        <v>11332</v>
      </c>
      <c r="D9049" t="s">
        <v>13031</v>
      </c>
      <c r="E9049" t="s">
        <v>20969</v>
      </c>
      <c r="F9049" t="s">
        <v>22436</v>
      </c>
      <c r="G9049" t="s">
        <v>22444</v>
      </c>
      <c r="H9049" t="s">
        <v>22454</v>
      </c>
      <c r="I9049" t="s">
        <v>7738</v>
      </c>
      <c r="J9049" t="s">
        <v>28329</v>
      </c>
      <c r="K9049" t="s">
        <v>29329</v>
      </c>
      <c r="M9049" t="s">
        <v>32307</v>
      </c>
      <c r="N9049" t="s">
        <v>32524</v>
      </c>
      <c r="O9049" t="s">
        <v>32525</v>
      </c>
      <c r="P9049">
        <v>0</v>
      </c>
      <c r="Q9049">
        <v>1</v>
      </c>
      <c r="R9049" t="s">
        <v>32538</v>
      </c>
      <c r="S9049" t="s">
        <v>32872</v>
      </c>
      <c r="T9049" t="s">
        <v>33238</v>
      </c>
      <c r="U9049" t="s">
        <v>41104</v>
      </c>
      <c r="W9049" t="s">
        <v>32307</v>
      </c>
      <c r="X9049" t="s">
        <v>43799</v>
      </c>
    </row>
    <row r="9050" spans="1:24">
      <c r="A9050">
        <f>HYPERLINK("https://www.philgeps.gov.ph/GEPSNONPILOT/Tender/SplashBidNoticeAbstractUI.aspx?menuIndex=3&amp;refID=7010636&amp;Result=3","7010636")</f>
        <v>0</v>
      </c>
      <c r="B9050" t="s">
        <v>573</v>
      </c>
      <c r="C9050" t="s">
        <v>11333</v>
      </c>
      <c r="D9050" t="s">
        <v>12990</v>
      </c>
      <c r="E9050" t="s">
        <v>20970</v>
      </c>
      <c r="F9050" t="s">
        <v>22436</v>
      </c>
      <c r="G9050" t="s">
        <v>22444</v>
      </c>
      <c r="H9050" t="s">
        <v>22452</v>
      </c>
      <c r="I9050" t="s">
        <v>22476</v>
      </c>
      <c r="J9050" t="s">
        <v>28330</v>
      </c>
      <c r="K9050" t="s">
        <v>29338</v>
      </c>
      <c r="M9050" t="s">
        <v>30161</v>
      </c>
      <c r="N9050" t="s">
        <v>32524</v>
      </c>
      <c r="O9050" t="s">
        <v>32525</v>
      </c>
      <c r="P9050">
        <v>0</v>
      </c>
      <c r="Q9050">
        <v>7</v>
      </c>
      <c r="R9050" t="s">
        <v>32538</v>
      </c>
      <c r="S9050" t="s">
        <v>32872</v>
      </c>
      <c r="T9050" t="s">
        <v>33411</v>
      </c>
      <c r="U9050" t="s">
        <v>41105</v>
      </c>
      <c r="W9050" t="s">
        <v>30161</v>
      </c>
      <c r="X9050" t="s">
        <v>43778</v>
      </c>
    </row>
    <row r="9051" spans="1:24">
      <c r="A9051">
        <f>HYPERLINK("https://www.philgeps.gov.ph/GEPSNONPILOT/Tender/SplashBidNoticeAbstractUI.aspx?menuIndex=3&amp;refID=7029790&amp;Result=3","7029790")</f>
        <v>0</v>
      </c>
      <c r="B9051" t="s">
        <v>1024</v>
      </c>
      <c r="C9051" t="s">
        <v>11334</v>
      </c>
      <c r="D9051" t="s">
        <v>13007</v>
      </c>
      <c r="E9051" t="s">
        <v>20971</v>
      </c>
      <c r="F9051" t="s">
        <v>22436</v>
      </c>
      <c r="G9051" t="s">
        <v>22444</v>
      </c>
      <c r="H9051" t="s">
        <v>22454</v>
      </c>
      <c r="I9051" t="s">
        <v>7738</v>
      </c>
      <c r="J9051" t="s">
        <v>22634</v>
      </c>
      <c r="K9051" t="s">
        <v>29344</v>
      </c>
      <c r="M9051" t="s">
        <v>30653</v>
      </c>
      <c r="N9051" t="s">
        <v>32524</v>
      </c>
      <c r="O9051" t="s">
        <v>32525</v>
      </c>
      <c r="Q9051">
        <v>1</v>
      </c>
      <c r="R9051" t="s">
        <v>32537</v>
      </c>
      <c r="S9051" t="s">
        <v>32874</v>
      </c>
      <c r="T9051" t="s">
        <v>33272</v>
      </c>
      <c r="U9051" t="s">
        <v>41106</v>
      </c>
      <c r="W9051" t="s">
        <v>30653</v>
      </c>
      <c r="X9051" t="s">
        <v>32538</v>
      </c>
    </row>
    <row r="9052" spans="1:24">
      <c r="A9052">
        <f>HYPERLINK("https://www.philgeps.gov.ph/GEPSNONPILOT/Tender/SplashBidNoticeAbstractUI.aspx?menuIndex=3&amp;refID=7012922&amp;Result=3","7012922")</f>
        <v>0</v>
      </c>
      <c r="B9052" t="s">
        <v>2462</v>
      </c>
      <c r="C9052" t="s">
        <v>11053</v>
      </c>
      <c r="E9052" t="s">
        <v>20972</v>
      </c>
      <c r="F9052" t="s">
        <v>22436</v>
      </c>
      <c r="G9052" t="s">
        <v>22444</v>
      </c>
      <c r="H9052" t="s">
        <v>22452</v>
      </c>
      <c r="I9052" t="s">
        <v>7738</v>
      </c>
      <c r="J9052" t="s">
        <v>28154</v>
      </c>
      <c r="K9052" t="s">
        <v>29338</v>
      </c>
      <c r="M9052" t="s">
        <v>32266</v>
      </c>
      <c r="N9052" t="s">
        <v>32524</v>
      </c>
      <c r="O9052" t="s">
        <v>32525</v>
      </c>
      <c r="Q9052">
        <v>0</v>
      </c>
      <c r="R9052" t="s">
        <v>32538</v>
      </c>
      <c r="S9052" t="s">
        <v>32875</v>
      </c>
      <c r="T9052" t="s">
        <v>33203</v>
      </c>
      <c r="U9052" t="s">
        <v>41107</v>
      </c>
      <c r="V9052" t="s">
        <v>43403</v>
      </c>
      <c r="W9052" t="s">
        <v>32266</v>
      </c>
      <c r="X9052" t="s">
        <v>43793</v>
      </c>
    </row>
    <row r="9053" spans="1:24">
      <c r="A9053">
        <f>HYPERLINK("https://www.philgeps.gov.ph/GEPSNONPILOT/Tender/SplashBidNoticeAbstractUI.aspx?menuIndex=3&amp;refID=7012855&amp;Result=3","7012855")</f>
        <v>0</v>
      </c>
      <c r="B9053" t="s">
        <v>2462</v>
      </c>
      <c r="C9053" t="s">
        <v>11335</v>
      </c>
      <c r="E9053" t="s">
        <v>20973</v>
      </c>
      <c r="F9053" t="s">
        <v>22436</v>
      </c>
      <c r="G9053" t="s">
        <v>22444</v>
      </c>
      <c r="H9053" t="s">
        <v>22452</v>
      </c>
      <c r="I9053" t="s">
        <v>22468</v>
      </c>
      <c r="J9053" t="s">
        <v>28331</v>
      </c>
      <c r="K9053" t="s">
        <v>29338</v>
      </c>
      <c r="M9053" t="s">
        <v>32266</v>
      </c>
      <c r="N9053" t="s">
        <v>32524</v>
      </c>
      <c r="O9053" t="s">
        <v>32525</v>
      </c>
      <c r="P9053">
        <v>0</v>
      </c>
      <c r="Q9053">
        <v>0</v>
      </c>
      <c r="R9053" t="s">
        <v>32538</v>
      </c>
      <c r="S9053" t="s">
        <v>32872</v>
      </c>
      <c r="T9053" t="s">
        <v>33213</v>
      </c>
      <c r="U9053" t="s">
        <v>41108</v>
      </c>
      <c r="V9053" t="s">
        <v>43403</v>
      </c>
      <c r="W9053" t="s">
        <v>32266</v>
      </c>
      <c r="X9053" t="s">
        <v>43793</v>
      </c>
    </row>
    <row r="9054" spans="1:24">
      <c r="A9054">
        <f>HYPERLINK("https://www.philgeps.gov.ph/GEPSNONPILOT/Tender/SplashBidNoticeAbstractUI.aspx?menuIndex=3&amp;refID=7012148&amp;Result=3","7012148")</f>
        <v>0</v>
      </c>
      <c r="B9054" t="s">
        <v>2462</v>
      </c>
      <c r="C9054" t="s">
        <v>11336</v>
      </c>
      <c r="E9054" t="s">
        <v>20974</v>
      </c>
      <c r="F9054" t="s">
        <v>22436</v>
      </c>
      <c r="G9054" t="s">
        <v>22444</v>
      </c>
      <c r="H9054" t="s">
        <v>22452</v>
      </c>
      <c r="I9054" t="s">
        <v>2981</v>
      </c>
      <c r="J9054" t="s">
        <v>28332</v>
      </c>
      <c r="K9054" t="s">
        <v>29338</v>
      </c>
      <c r="M9054" t="s">
        <v>32266</v>
      </c>
      <c r="N9054" t="s">
        <v>32524</v>
      </c>
      <c r="O9054" t="s">
        <v>32525</v>
      </c>
      <c r="P9054">
        <v>0</v>
      </c>
      <c r="Q9054">
        <v>1</v>
      </c>
      <c r="R9054" t="s">
        <v>32538</v>
      </c>
      <c r="S9054" t="s">
        <v>32872</v>
      </c>
      <c r="T9054" t="s">
        <v>33213</v>
      </c>
      <c r="U9054" t="s">
        <v>41109</v>
      </c>
      <c r="V9054" t="s">
        <v>43403</v>
      </c>
      <c r="W9054" t="s">
        <v>32266</v>
      </c>
      <c r="X9054" t="s">
        <v>43793</v>
      </c>
    </row>
    <row r="9055" spans="1:24">
      <c r="A9055">
        <f>HYPERLINK("https://www.philgeps.gov.ph/GEPSNONPILOT/Tender/SplashBidNoticeAbstractUI.aspx?menuIndex=3&amp;refID=6940397&amp;Result=3","6940397")</f>
        <v>0</v>
      </c>
      <c r="B9055" t="s">
        <v>1175</v>
      </c>
      <c r="C9055" t="s">
        <v>11337</v>
      </c>
      <c r="D9055" t="s">
        <v>13050</v>
      </c>
      <c r="E9055" t="s">
        <v>20975</v>
      </c>
      <c r="F9055" t="s">
        <v>22436</v>
      </c>
      <c r="G9055" t="s">
        <v>22444</v>
      </c>
      <c r="H9055" t="s">
        <v>22454</v>
      </c>
      <c r="I9055" t="s">
        <v>7738</v>
      </c>
      <c r="J9055" t="s">
        <v>28333</v>
      </c>
      <c r="K9055" t="s">
        <v>29388</v>
      </c>
      <c r="M9055" t="s">
        <v>30821</v>
      </c>
      <c r="N9055" t="s">
        <v>32524</v>
      </c>
      <c r="O9055" t="s">
        <v>32525</v>
      </c>
      <c r="P9055">
        <v>0</v>
      </c>
      <c r="Q9055">
        <v>2</v>
      </c>
      <c r="R9055" t="s">
        <v>32538</v>
      </c>
      <c r="S9055" t="s">
        <v>32872</v>
      </c>
      <c r="T9055" t="s">
        <v>33488</v>
      </c>
      <c r="U9055" t="s">
        <v>41110</v>
      </c>
      <c r="W9055" t="s">
        <v>30821</v>
      </c>
      <c r="X9055" t="s">
        <v>43800</v>
      </c>
    </row>
    <row r="9056" spans="1:24">
      <c r="A9056">
        <f>HYPERLINK("https://www.philgeps.gov.ph/GEPSNONPILOT/Tender/SplashBidNoticeAbstractUI.aspx?menuIndex=3&amp;refID=6898330-2&amp;Result=3","6898330-2")</f>
        <v>0</v>
      </c>
      <c r="B9056" t="s">
        <v>866</v>
      </c>
      <c r="C9056" t="s">
        <v>11338</v>
      </c>
      <c r="D9056" t="s">
        <v>13011</v>
      </c>
      <c r="E9056" t="s">
        <v>20976</v>
      </c>
      <c r="F9056" t="s">
        <v>22436</v>
      </c>
      <c r="G9056" t="s">
        <v>22444</v>
      </c>
      <c r="H9056" t="s">
        <v>22455</v>
      </c>
      <c r="I9056" t="s">
        <v>22455</v>
      </c>
      <c r="J9056" t="s">
        <v>28334</v>
      </c>
      <c r="K9056" t="s">
        <v>29344</v>
      </c>
      <c r="M9056" t="s">
        <v>32308</v>
      </c>
      <c r="N9056" t="s">
        <v>32524</v>
      </c>
      <c r="O9056" t="s">
        <v>32525</v>
      </c>
      <c r="P9056">
        <v>0</v>
      </c>
      <c r="Q9056">
        <v>2</v>
      </c>
      <c r="R9056" t="s">
        <v>32538</v>
      </c>
      <c r="S9056" t="s">
        <v>32872</v>
      </c>
      <c r="T9056" t="s">
        <v>33175</v>
      </c>
      <c r="U9056" t="s">
        <v>41111</v>
      </c>
      <c r="V9056" t="s">
        <v>43428</v>
      </c>
      <c r="W9056" t="s">
        <v>32308</v>
      </c>
      <c r="X9056" t="s">
        <v>32539</v>
      </c>
    </row>
    <row r="9057" spans="1:24">
      <c r="A9057">
        <f>HYPERLINK("https://www.philgeps.gov.ph/GEPSNONPILOT/Tender/SplashBidNoticeAbstractUI.aspx?menuIndex=3&amp;refID=7010666&amp;Result=3","7010666")</f>
        <v>0</v>
      </c>
      <c r="B9057" t="s">
        <v>573</v>
      </c>
      <c r="C9057" t="s">
        <v>11339</v>
      </c>
      <c r="D9057" t="s">
        <v>12990</v>
      </c>
      <c r="E9057" t="s">
        <v>20977</v>
      </c>
      <c r="F9057" t="s">
        <v>22436</v>
      </c>
      <c r="G9057" t="s">
        <v>22444</v>
      </c>
      <c r="H9057" t="s">
        <v>22452</v>
      </c>
      <c r="I9057" t="s">
        <v>22501</v>
      </c>
      <c r="J9057" t="s">
        <v>28335</v>
      </c>
      <c r="K9057" t="s">
        <v>29338</v>
      </c>
      <c r="M9057" t="s">
        <v>30161</v>
      </c>
      <c r="N9057" t="s">
        <v>32524</v>
      </c>
      <c r="O9057" t="s">
        <v>32525</v>
      </c>
      <c r="P9057">
        <v>0</v>
      </c>
      <c r="Q9057">
        <v>6</v>
      </c>
      <c r="R9057" t="s">
        <v>32538</v>
      </c>
      <c r="S9057" t="s">
        <v>32872</v>
      </c>
      <c r="T9057" t="s">
        <v>33411</v>
      </c>
      <c r="U9057" t="s">
        <v>41112</v>
      </c>
      <c r="W9057" t="s">
        <v>30161</v>
      </c>
      <c r="X9057" t="s">
        <v>43778</v>
      </c>
    </row>
    <row r="9058" spans="1:24">
      <c r="A9058">
        <f>HYPERLINK("https://www.philgeps.gov.ph/GEPSNONPILOT/Tender/SplashBidNoticeAbstractUI.aspx?menuIndex=3&amp;refID=7013430&amp;Result=3","7013430")</f>
        <v>0</v>
      </c>
      <c r="B9058" t="s">
        <v>2462</v>
      </c>
      <c r="C9058" t="s">
        <v>11340</v>
      </c>
      <c r="E9058" t="s">
        <v>20978</v>
      </c>
      <c r="F9058" t="s">
        <v>22436</v>
      </c>
      <c r="G9058" t="s">
        <v>22446</v>
      </c>
      <c r="H9058" t="s">
        <v>22452</v>
      </c>
      <c r="I9058" t="s">
        <v>12358</v>
      </c>
      <c r="J9058" t="s">
        <v>28336</v>
      </c>
      <c r="K9058" t="s">
        <v>29338</v>
      </c>
      <c r="M9058" t="s">
        <v>32266</v>
      </c>
      <c r="N9058" t="s">
        <v>32524</v>
      </c>
      <c r="O9058" t="s">
        <v>32525</v>
      </c>
      <c r="P9058">
        <v>0</v>
      </c>
      <c r="Q9058">
        <v>0</v>
      </c>
      <c r="R9058" t="s">
        <v>32538</v>
      </c>
      <c r="S9058" t="s">
        <v>32872</v>
      </c>
      <c r="T9058" t="s">
        <v>33213</v>
      </c>
      <c r="U9058" t="s">
        <v>41113</v>
      </c>
      <c r="V9058" t="s">
        <v>43403</v>
      </c>
      <c r="W9058" t="s">
        <v>32266</v>
      </c>
      <c r="X9058" t="s">
        <v>43793</v>
      </c>
    </row>
    <row r="9059" spans="1:24">
      <c r="A9059">
        <f>HYPERLINK("https://www.philgeps.gov.ph/GEPSNONPILOT/Tender/SplashBidNoticeAbstractUI.aspx?menuIndex=3&amp;refID=7012296&amp;Result=3","7012296")</f>
        <v>0</v>
      </c>
      <c r="B9059" t="s">
        <v>2462</v>
      </c>
      <c r="C9059" t="s">
        <v>11341</v>
      </c>
      <c r="E9059" t="s">
        <v>20979</v>
      </c>
      <c r="F9059" t="s">
        <v>22436</v>
      </c>
      <c r="G9059" t="s">
        <v>22444</v>
      </c>
      <c r="H9059" t="s">
        <v>22452</v>
      </c>
      <c r="I9059" t="s">
        <v>3027</v>
      </c>
      <c r="J9059" t="s">
        <v>28337</v>
      </c>
      <c r="K9059" t="s">
        <v>29338</v>
      </c>
      <c r="M9059" t="s">
        <v>32266</v>
      </c>
      <c r="N9059" t="s">
        <v>32524</v>
      </c>
      <c r="O9059" t="s">
        <v>32525</v>
      </c>
      <c r="P9059">
        <v>0</v>
      </c>
      <c r="Q9059">
        <v>0</v>
      </c>
      <c r="R9059" t="s">
        <v>32538</v>
      </c>
      <c r="S9059" t="s">
        <v>32872</v>
      </c>
      <c r="T9059" t="s">
        <v>33213</v>
      </c>
      <c r="U9059" t="s">
        <v>41114</v>
      </c>
      <c r="V9059" t="s">
        <v>43403</v>
      </c>
      <c r="W9059" t="s">
        <v>32266</v>
      </c>
      <c r="X9059" t="s">
        <v>43793</v>
      </c>
    </row>
    <row r="9060" spans="1:24">
      <c r="A9060">
        <f>HYPERLINK("https://www.philgeps.gov.ph/GEPSNONPILOT/Tender/SplashBidNoticeAbstractUI.aspx?menuIndex=3&amp;refID=7013358&amp;Result=3","7013358")</f>
        <v>0</v>
      </c>
      <c r="B9060" t="s">
        <v>2462</v>
      </c>
      <c r="C9060" t="s">
        <v>11342</v>
      </c>
      <c r="E9060" t="s">
        <v>20980</v>
      </c>
      <c r="F9060" t="s">
        <v>22436</v>
      </c>
      <c r="G9060" t="s">
        <v>22446</v>
      </c>
      <c r="H9060" t="s">
        <v>22452</v>
      </c>
      <c r="I9060" t="s">
        <v>12358</v>
      </c>
      <c r="J9060" t="s">
        <v>23359</v>
      </c>
      <c r="K9060" t="s">
        <v>29338</v>
      </c>
      <c r="M9060" t="s">
        <v>32266</v>
      </c>
      <c r="N9060" t="s">
        <v>32524</v>
      </c>
      <c r="O9060" t="s">
        <v>32525</v>
      </c>
      <c r="P9060">
        <v>0</v>
      </c>
      <c r="Q9060">
        <v>0</v>
      </c>
      <c r="R9060" t="s">
        <v>32538</v>
      </c>
      <c r="S9060" t="s">
        <v>32872</v>
      </c>
      <c r="T9060" t="s">
        <v>33213</v>
      </c>
      <c r="U9060" t="s">
        <v>41115</v>
      </c>
      <c r="V9060" t="s">
        <v>43403</v>
      </c>
      <c r="W9060" t="s">
        <v>32266</v>
      </c>
      <c r="X9060" t="s">
        <v>43793</v>
      </c>
    </row>
    <row r="9061" spans="1:24">
      <c r="A9061">
        <f>HYPERLINK("https://www.philgeps.gov.ph/GEPSNONPILOT/Tender/SplashBidNoticeAbstractUI.aspx?menuIndex=3&amp;refID=7013261&amp;Result=3","7013261")</f>
        <v>0</v>
      </c>
      <c r="B9061" t="s">
        <v>2462</v>
      </c>
      <c r="C9061" t="s">
        <v>11343</v>
      </c>
      <c r="E9061" t="s">
        <v>20981</v>
      </c>
      <c r="F9061" t="s">
        <v>22436</v>
      </c>
      <c r="G9061" t="s">
        <v>22446</v>
      </c>
      <c r="H9061" t="s">
        <v>22452</v>
      </c>
      <c r="I9061" t="s">
        <v>12358</v>
      </c>
      <c r="J9061" t="s">
        <v>23359</v>
      </c>
      <c r="K9061" t="s">
        <v>29338</v>
      </c>
      <c r="M9061" t="s">
        <v>32266</v>
      </c>
      <c r="N9061" t="s">
        <v>32524</v>
      </c>
      <c r="O9061" t="s">
        <v>32525</v>
      </c>
      <c r="P9061">
        <v>0</v>
      </c>
      <c r="Q9061">
        <v>0</v>
      </c>
      <c r="R9061" t="s">
        <v>32538</v>
      </c>
      <c r="S9061" t="s">
        <v>32872</v>
      </c>
      <c r="T9061" t="s">
        <v>33213</v>
      </c>
      <c r="U9061" t="s">
        <v>41116</v>
      </c>
      <c r="V9061" t="s">
        <v>43403</v>
      </c>
      <c r="W9061" t="s">
        <v>32266</v>
      </c>
      <c r="X9061" t="s">
        <v>43793</v>
      </c>
    </row>
    <row r="9062" spans="1:24">
      <c r="A9062">
        <f>HYPERLINK("https://www.philgeps.gov.ph/GEPSNONPILOT/Tender/SplashBidNoticeAbstractUI.aspx?menuIndex=3&amp;refID=7013160&amp;Result=3","7013160")</f>
        <v>0</v>
      </c>
      <c r="B9062" t="s">
        <v>2462</v>
      </c>
      <c r="C9062" t="s">
        <v>11344</v>
      </c>
      <c r="E9062" t="s">
        <v>20982</v>
      </c>
      <c r="F9062" t="s">
        <v>22436</v>
      </c>
      <c r="G9062" t="s">
        <v>22446</v>
      </c>
      <c r="H9062" t="s">
        <v>22452</v>
      </c>
      <c r="I9062" t="s">
        <v>22460</v>
      </c>
      <c r="J9062" t="s">
        <v>28338</v>
      </c>
      <c r="K9062" t="s">
        <v>29338</v>
      </c>
      <c r="M9062" t="s">
        <v>32266</v>
      </c>
      <c r="N9062" t="s">
        <v>32524</v>
      </c>
      <c r="O9062" t="s">
        <v>32525</v>
      </c>
      <c r="P9062">
        <v>0</v>
      </c>
      <c r="Q9062">
        <v>1</v>
      </c>
      <c r="R9062" t="s">
        <v>32538</v>
      </c>
      <c r="S9062" t="s">
        <v>32872</v>
      </c>
      <c r="T9062" t="s">
        <v>33213</v>
      </c>
      <c r="U9062" t="s">
        <v>41117</v>
      </c>
      <c r="V9062" t="s">
        <v>43403</v>
      </c>
      <c r="W9062" t="s">
        <v>32266</v>
      </c>
      <c r="X9062" t="s">
        <v>43793</v>
      </c>
    </row>
    <row r="9063" spans="1:24">
      <c r="A9063">
        <f>HYPERLINK("https://www.philgeps.gov.ph/GEPSNONPILOT/Tender/SplashBidNoticeAbstractUI.aspx?menuIndex=3&amp;refID=7013760&amp;Result=3","7013760")</f>
        <v>0</v>
      </c>
      <c r="B9063" t="s">
        <v>2462</v>
      </c>
      <c r="C9063" t="s">
        <v>11345</v>
      </c>
      <c r="E9063" t="s">
        <v>20983</v>
      </c>
      <c r="F9063" t="s">
        <v>22436</v>
      </c>
      <c r="G9063" t="s">
        <v>22444</v>
      </c>
      <c r="H9063" t="s">
        <v>22452</v>
      </c>
      <c r="I9063" t="s">
        <v>3827</v>
      </c>
      <c r="J9063" t="s">
        <v>28339</v>
      </c>
      <c r="K9063" t="s">
        <v>29338</v>
      </c>
      <c r="M9063" t="s">
        <v>32266</v>
      </c>
      <c r="N9063" t="s">
        <v>32524</v>
      </c>
      <c r="O9063" t="s">
        <v>32525</v>
      </c>
      <c r="P9063">
        <v>0</v>
      </c>
      <c r="Q9063">
        <v>3</v>
      </c>
      <c r="R9063" t="s">
        <v>32538</v>
      </c>
      <c r="S9063" t="s">
        <v>32872</v>
      </c>
      <c r="T9063" t="s">
        <v>33213</v>
      </c>
      <c r="U9063" t="s">
        <v>41118</v>
      </c>
      <c r="V9063" t="s">
        <v>43403</v>
      </c>
      <c r="W9063" t="s">
        <v>32266</v>
      </c>
      <c r="X9063" t="s">
        <v>43793</v>
      </c>
    </row>
    <row r="9064" spans="1:24">
      <c r="A9064">
        <f>HYPERLINK("https://www.philgeps.gov.ph/GEPSNONPILOT/Tender/SplashBidNoticeAbstractUI.aspx?menuIndex=3&amp;refID=7013798&amp;Result=3","7013798")</f>
        <v>0</v>
      </c>
      <c r="B9064" t="s">
        <v>2462</v>
      </c>
      <c r="C9064" t="s">
        <v>11346</v>
      </c>
      <c r="E9064" t="s">
        <v>20984</v>
      </c>
      <c r="F9064" t="s">
        <v>22436</v>
      </c>
      <c r="G9064" t="s">
        <v>22446</v>
      </c>
      <c r="H9064" t="s">
        <v>22452</v>
      </c>
      <c r="I9064" t="s">
        <v>22485</v>
      </c>
      <c r="J9064" t="s">
        <v>28340</v>
      </c>
      <c r="K9064" t="s">
        <v>29338</v>
      </c>
      <c r="M9064" t="s">
        <v>32266</v>
      </c>
      <c r="N9064" t="s">
        <v>32524</v>
      </c>
      <c r="O9064" t="s">
        <v>32525</v>
      </c>
      <c r="P9064">
        <v>0</v>
      </c>
      <c r="Q9064">
        <v>0</v>
      </c>
      <c r="R9064" t="s">
        <v>32538</v>
      </c>
      <c r="S9064" t="s">
        <v>32872</v>
      </c>
      <c r="T9064" t="s">
        <v>33213</v>
      </c>
      <c r="U9064" t="s">
        <v>41119</v>
      </c>
      <c r="V9064" t="s">
        <v>43403</v>
      </c>
      <c r="W9064" t="s">
        <v>32266</v>
      </c>
      <c r="X9064" t="s">
        <v>43793</v>
      </c>
    </row>
    <row r="9065" spans="1:24">
      <c r="A9065">
        <f>HYPERLINK("https://www.philgeps.gov.ph/GEPSNONPILOT/Tender/SplashBidNoticeAbstractUI.aspx?menuIndex=3&amp;refID=7013924&amp;Result=3","7013924")</f>
        <v>0</v>
      </c>
      <c r="B9065" t="s">
        <v>2462</v>
      </c>
      <c r="C9065" t="s">
        <v>2818</v>
      </c>
      <c r="E9065" t="s">
        <v>20985</v>
      </c>
      <c r="F9065" t="s">
        <v>22436</v>
      </c>
      <c r="G9065" t="s">
        <v>22446</v>
      </c>
      <c r="H9065" t="s">
        <v>22452</v>
      </c>
      <c r="I9065" t="s">
        <v>22460</v>
      </c>
      <c r="J9065" t="s">
        <v>23630</v>
      </c>
      <c r="K9065" t="s">
        <v>29338</v>
      </c>
      <c r="M9065" t="s">
        <v>32266</v>
      </c>
      <c r="N9065" t="s">
        <v>32524</v>
      </c>
      <c r="O9065" t="s">
        <v>32525</v>
      </c>
      <c r="P9065">
        <v>0</v>
      </c>
      <c r="Q9065">
        <v>2</v>
      </c>
      <c r="R9065" t="s">
        <v>32538</v>
      </c>
      <c r="S9065" t="s">
        <v>32872</v>
      </c>
      <c r="T9065" t="s">
        <v>33213</v>
      </c>
      <c r="U9065" t="s">
        <v>41120</v>
      </c>
      <c r="V9065" t="s">
        <v>43403</v>
      </c>
      <c r="W9065" t="s">
        <v>32266</v>
      </c>
      <c r="X9065" t="s">
        <v>43793</v>
      </c>
    </row>
    <row r="9066" spans="1:24">
      <c r="A9066">
        <f>HYPERLINK("https://www.philgeps.gov.ph/GEPSNONPILOT/Tender/SplashBidNoticeAbstractUI.aspx?menuIndex=3&amp;refID=7013892&amp;Result=3","7013892")</f>
        <v>0</v>
      </c>
      <c r="B9066" t="s">
        <v>2462</v>
      </c>
      <c r="C9066" t="s">
        <v>11347</v>
      </c>
      <c r="E9066" t="s">
        <v>20986</v>
      </c>
      <c r="F9066" t="s">
        <v>22436</v>
      </c>
      <c r="G9066" t="s">
        <v>22446</v>
      </c>
      <c r="H9066" t="s">
        <v>22452</v>
      </c>
      <c r="I9066" t="s">
        <v>22465</v>
      </c>
      <c r="J9066" t="s">
        <v>28341</v>
      </c>
      <c r="K9066" t="s">
        <v>29338</v>
      </c>
      <c r="M9066" t="s">
        <v>32266</v>
      </c>
      <c r="N9066" t="s">
        <v>32524</v>
      </c>
      <c r="O9066" t="s">
        <v>32525</v>
      </c>
      <c r="P9066">
        <v>0</v>
      </c>
      <c r="Q9066">
        <v>0</v>
      </c>
      <c r="R9066" t="s">
        <v>32538</v>
      </c>
      <c r="S9066" t="s">
        <v>32872</v>
      </c>
      <c r="T9066" t="s">
        <v>33213</v>
      </c>
      <c r="U9066" t="s">
        <v>41121</v>
      </c>
      <c r="V9066" t="s">
        <v>43403</v>
      </c>
      <c r="W9066" t="s">
        <v>32266</v>
      </c>
      <c r="X9066" t="s">
        <v>43793</v>
      </c>
    </row>
    <row r="9067" spans="1:24">
      <c r="A9067">
        <f>HYPERLINK("https://www.philgeps.gov.ph/GEPSNONPILOT/Tender/SplashBidNoticeAbstractUI.aspx?menuIndex=3&amp;refID=7013622&amp;Result=3","7013622")</f>
        <v>0</v>
      </c>
      <c r="B9067" t="s">
        <v>2462</v>
      </c>
      <c r="C9067" t="s">
        <v>11348</v>
      </c>
      <c r="E9067" t="s">
        <v>20987</v>
      </c>
      <c r="F9067" t="s">
        <v>22436</v>
      </c>
      <c r="G9067" t="s">
        <v>22446</v>
      </c>
      <c r="H9067" t="s">
        <v>22452</v>
      </c>
      <c r="I9067" t="s">
        <v>12358</v>
      </c>
      <c r="J9067" t="s">
        <v>26778</v>
      </c>
      <c r="K9067" t="s">
        <v>29338</v>
      </c>
      <c r="M9067" t="s">
        <v>32266</v>
      </c>
      <c r="N9067" t="s">
        <v>32524</v>
      </c>
      <c r="O9067" t="s">
        <v>32525</v>
      </c>
      <c r="P9067">
        <v>0</v>
      </c>
      <c r="Q9067">
        <v>0</v>
      </c>
      <c r="R9067" t="s">
        <v>32538</v>
      </c>
      <c r="S9067" t="s">
        <v>32872</v>
      </c>
      <c r="T9067" t="s">
        <v>33213</v>
      </c>
      <c r="U9067" t="s">
        <v>41122</v>
      </c>
      <c r="V9067" t="s">
        <v>43403</v>
      </c>
      <c r="W9067" t="s">
        <v>32266</v>
      </c>
      <c r="X9067" t="s">
        <v>43793</v>
      </c>
    </row>
    <row r="9068" spans="1:24">
      <c r="A9068">
        <f>HYPERLINK("https://www.philgeps.gov.ph/GEPSNONPILOT/Tender/SplashBidNoticeAbstractUI.aspx?menuIndex=3&amp;refID=7013728&amp;Result=3","7013728")</f>
        <v>0</v>
      </c>
      <c r="B9068" t="s">
        <v>2462</v>
      </c>
      <c r="C9068" t="s">
        <v>11349</v>
      </c>
      <c r="E9068" t="s">
        <v>20988</v>
      </c>
      <c r="F9068" t="s">
        <v>22436</v>
      </c>
      <c r="G9068" t="s">
        <v>22446</v>
      </c>
      <c r="H9068" t="s">
        <v>22452</v>
      </c>
      <c r="I9068" t="s">
        <v>5194</v>
      </c>
      <c r="J9068" t="s">
        <v>22667</v>
      </c>
      <c r="K9068" t="s">
        <v>29338</v>
      </c>
      <c r="M9068" t="s">
        <v>32266</v>
      </c>
      <c r="N9068" t="s">
        <v>32524</v>
      </c>
      <c r="O9068" t="s">
        <v>32525</v>
      </c>
      <c r="P9068">
        <v>0</v>
      </c>
      <c r="Q9068">
        <v>2</v>
      </c>
      <c r="R9068" t="s">
        <v>32538</v>
      </c>
      <c r="S9068" t="s">
        <v>32872</v>
      </c>
      <c r="T9068" t="s">
        <v>33213</v>
      </c>
      <c r="U9068" t="s">
        <v>41123</v>
      </c>
      <c r="V9068" t="s">
        <v>43403</v>
      </c>
      <c r="W9068" t="s">
        <v>32266</v>
      </c>
      <c r="X9068" t="s">
        <v>43793</v>
      </c>
    </row>
    <row r="9069" spans="1:24">
      <c r="A9069">
        <f>HYPERLINK("https://www.philgeps.gov.ph/GEPSNONPILOT/Tender/SplashBidNoticeAbstractUI.aspx?menuIndex=3&amp;refID=7013550&amp;Result=3","7013550")</f>
        <v>0</v>
      </c>
      <c r="B9069" t="s">
        <v>2462</v>
      </c>
      <c r="C9069" t="s">
        <v>11350</v>
      </c>
      <c r="E9069" t="s">
        <v>20989</v>
      </c>
      <c r="F9069" t="s">
        <v>22436</v>
      </c>
      <c r="G9069" t="s">
        <v>22444</v>
      </c>
      <c r="H9069" t="s">
        <v>22452</v>
      </c>
      <c r="I9069" t="s">
        <v>12358</v>
      </c>
      <c r="J9069" t="s">
        <v>28342</v>
      </c>
      <c r="K9069" t="s">
        <v>29338</v>
      </c>
      <c r="M9069" t="s">
        <v>32266</v>
      </c>
      <c r="N9069" t="s">
        <v>32524</v>
      </c>
      <c r="O9069" t="s">
        <v>32525</v>
      </c>
      <c r="P9069">
        <v>0</v>
      </c>
      <c r="Q9069">
        <v>0</v>
      </c>
      <c r="R9069" t="s">
        <v>32538</v>
      </c>
      <c r="S9069" t="s">
        <v>32872</v>
      </c>
      <c r="T9069" t="s">
        <v>33213</v>
      </c>
      <c r="U9069" t="s">
        <v>41124</v>
      </c>
      <c r="V9069" t="s">
        <v>43403</v>
      </c>
      <c r="W9069" t="s">
        <v>32266</v>
      </c>
      <c r="X9069" t="s">
        <v>43793</v>
      </c>
    </row>
    <row r="9070" spans="1:24">
      <c r="A9070">
        <f>HYPERLINK("https://www.philgeps.gov.ph/GEPSNONPILOT/Tender/SplashBidNoticeAbstractUI.aspx?menuIndex=3&amp;refID=7013578&amp;Result=3","7013578")</f>
        <v>0</v>
      </c>
      <c r="B9070" t="s">
        <v>2462</v>
      </c>
      <c r="C9070" t="s">
        <v>11351</v>
      </c>
      <c r="E9070" t="s">
        <v>20990</v>
      </c>
      <c r="F9070" t="s">
        <v>22436</v>
      </c>
      <c r="G9070" t="s">
        <v>22446</v>
      </c>
      <c r="H9070" t="s">
        <v>22452</v>
      </c>
      <c r="I9070" t="s">
        <v>12358</v>
      </c>
      <c r="J9070" t="s">
        <v>28343</v>
      </c>
      <c r="K9070" t="s">
        <v>29338</v>
      </c>
      <c r="M9070" t="s">
        <v>32266</v>
      </c>
      <c r="N9070" t="s">
        <v>32524</v>
      </c>
      <c r="O9070" t="s">
        <v>32525</v>
      </c>
      <c r="P9070">
        <v>0</v>
      </c>
      <c r="Q9070">
        <v>0</v>
      </c>
      <c r="R9070" t="s">
        <v>32538</v>
      </c>
      <c r="S9070" t="s">
        <v>32872</v>
      </c>
      <c r="T9070" t="s">
        <v>33213</v>
      </c>
      <c r="U9070" t="s">
        <v>41125</v>
      </c>
      <c r="V9070" t="s">
        <v>43403</v>
      </c>
      <c r="W9070" t="s">
        <v>32266</v>
      </c>
      <c r="X9070" t="s">
        <v>43793</v>
      </c>
    </row>
    <row r="9071" spans="1:24">
      <c r="A9071">
        <f>HYPERLINK("https://www.philgeps.gov.ph/GEPSNONPILOT/Tender/SplashBidNoticeAbstractUI.aspx?menuIndex=3&amp;refID=7013736&amp;Result=3","7013736")</f>
        <v>0</v>
      </c>
      <c r="B9071" t="s">
        <v>432</v>
      </c>
      <c r="C9071" t="s">
        <v>11352</v>
      </c>
      <c r="D9071" t="s">
        <v>13028</v>
      </c>
      <c r="E9071" t="s">
        <v>20991</v>
      </c>
      <c r="F9071" t="s">
        <v>22436</v>
      </c>
      <c r="G9071" t="s">
        <v>22444</v>
      </c>
      <c r="H9071" t="s">
        <v>22454</v>
      </c>
      <c r="I9071" t="s">
        <v>7738</v>
      </c>
      <c r="J9071" t="s">
        <v>24111</v>
      </c>
      <c r="K9071" t="s">
        <v>29559</v>
      </c>
      <c r="M9071" t="s">
        <v>30013</v>
      </c>
      <c r="N9071" t="s">
        <v>32524</v>
      </c>
      <c r="O9071" t="s">
        <v>32525</v>
      </c>
      <c r="P9071">
        <v>0</v>
      </c>
      <c r="Q9071">
        <v>6</v>
      </c>
      <c r="R9071" t="s">
        <v>32538</v>
      </c>
      <c r="S9071" t="s">
        <v>32872</v>
      </c>
      <c r="T9071" t="s">
        <v>33171</v>
      </c>
      <c r="U9071" t="s">
        <v>34672</v>
      </c>
      <c r="V9071" t="s">
        <v>43429</v>
      </c>
      <c r="W9071" t="s">
        <v>30013</v>
      </c>
      <c r="X9071" t="s">
        <v>43793</v>
      </c>
    </row>
    <row r="9072" spans="1:24">
      <c r="A9072">
        <f>HYPERLINK("https://www.philgeps.gov.ph/GEPSNONPILOT/Tender/SplashBidNoticeAbstractUI.aspx?menuIndex=3&amp;refID=7015250&amp;Result=3","7015250")</f>
        <v>0</v>
      </c>
      <c r="B9072" t="s">
        <v>432</v>
      </c>
      <c r="C9072" t="s">
        <v>11353</v>
      </c>
      <c r="D9072" t="s">
        <v>13028</v>
      </c>
      <c r="E9072" t="s">
        <v>20992</v>
      </c>
      <c r="F9072" t="s">
        <v>22436</v>
      </c>
      <c r="G9072" t="s">
        <v>22444</v>
      </c>
      <c r="H9072" t="s">
        <v>22454</v>
      </c>
      <c r="I9072" t="s">
        <v>7738</v>
      </c>
      <c r="J9072" t="s">
        <v>23384</v>
      </c>
      <c r="K9072" t="s">
        <v>29457</v>
      </c>
      <c r="M9072" t="s">
        <v>30013</v>
      </c>
      <c r="N9072" t="s">
        <v>32524</v>
      </c>
      <c r="O9072" t="s">
        <v>32525</v>
      </c>
      <c r="P9072">
        <v>0</v>
      </c>
      <c r="Q9072">
        <v>1</v>
      </c>
      <c r="R9072" t="s">
        <v>32538</v>
      </c>
      <c r="S9072" t="s">
        <v>32872</v>
      </c>
      <c r="T9072" t="s">
        <v>33171</v>
      </c>
      <c r="U9072" t="s">
        <v>34672</v>
      </c>
      <c r="V9072" t="s">
        <v>43430</v>
      </c>
      <c r="W9072" t="s">
        <v>30013</v>
      </c>
      <c r="X9072" t="s">
        <v>43801</v>
      </c>
    </row>
    <row r="9073" spans="1:24">
      <c r="A9073">
        <f>HYPERLINK("https://www.philgeps.gov.ph/GEPSNONPILOT/Tender/SplashBidNoticeAbstractUI.aspx?menuIndex=3&amp;refID=7014016&amp;Result=3","7014016")</f>
        <v>0</v>
      </c>
      <c r="B9073" t="s">
        <v>2462</v>
      </c>
      <c r="C9073" t="s">
        <v>11354</v>
      </c>
      <c r="E9073" t="s">
        <v>20993</v>
      </c>
      <c r="F9073" t="s">
        <v>22436</v>
      </c>
      <c r="G9073" t="s">
        <v>22446</v>
      </c>
      <c r="H9073" t="s">
        <v>22452</v>
      </c>
      <c r="I9073" t="s">
        <v>5194</v>
      </c>
      <c r="J9073" t="s">
        <v>26336</v>
      </c>
      <c r="K9073" t="s">
        <v>29338</v>
      </c>
      <c r="M9073" t="s">
        <v>32266</v>
      </c>
      <c r="N9073" t="s">
        <v>32524</v>
      </c>
      <c r="O9073" t="s">
        <v>32525</v>
      </c>
      <c r="P9073">
        <v>0</v>
      </c>
      <c r="Q9073">
        <v>2</v>
      </c>
      <c r="R9073" t="s">
        <v>32538</v>
      </c>
      <c r="S9073" t="s">
        <v>32872</v>
      </c>
      <c r="T9073" t="s">
        <v>33213</v>
      </c>
      <c r="U9073" t="s">
        <v>41126</v>
      </c>
      <c r="V9073" t="s">
        <v>43403</v>
      </c>
      <c r="W9073" t="s">
        <v>32266</v>
      </c>
      <c r="X9073" t="s">
        <v>43793</v>
      </c>
    </row>
    <row r="9074" spans="1:24">
      <c r="A9074">
        <f>HYPERLINK("https://www.philgeps.gov.ph/GEPSNONPILOT/Tender/SplashBidNoticeAbstractUI.aspx?menuIndex=3&amp;refID=7014026&amp;Result=3","7014026")</f>
        <v>0</v>
      </c>
      <c r="B9074" t="s">
        <v>2462</v>
      </c>
      <c r="C9074" t="s">
        <v>11355</v>
      </c>
      <c r="E9074" t="s">
        <v>20993</v>
      </c>
      <c r="F9074" t="s">
        <v>22436</v>
      </c>
      <c r="G9074" t="s">
        <v>22446</v>
      </c>
      <c r="H9074" t="s">
        <v>22452</v>
      </c>
      <c r="I9074" t="s">
        <v>3027</v>
      </c>
      <c r="J9074" t="s">
        <v>22878</v>
      </c>
      <c r="K9074" t="s">
        <v>29338</v>
      </c>
      <c r="M9074" t="s">
        <v>32266</v>
      </c>
      <c r="N9074" t="s">
        <v>32524</v>
      </c>
      <c r="O9074" t="s">
        <v>32525</v>
      </c>
      <c r="P9074">
        <v>0</v>
      </c>
      <c r="Q9074">
        <v>0</v>
      </c>
      <c r="R9074" t="s">
        <v>32538</v>
      </c>
      <c r="S9074" t="s">
        <v>32872</v>
      </c>
      <c r="T9074" t="s">
        <v>33213</v>
      </c>
      <c r="U9074" t="s">
        <v>41127</v>
      </c>
      <c r="V9074" t="s">
        <v>43431</v>
      </c>
      <c r="W9074" t="s">
        <v>32266</v>
      </c>
      <c r="X9074" t="s">
        <v>43793</v>
      </c>
    </row>
    <row r="9075" spans="1:24">
      <c r="A9075">
        <f>HYPERLINK("https://www.philgeps.gov.ph/GEPSNONPILOT/Tender/SplashBidNoticeAbstractUI.aspx?menuIndex=3&amp;refID=7013501&amp;Result=3","7013501")</f>
        <v>0</v>
      </c>
      <c r="B9075" t="s">
        <v>2462</v>
      </c>
      <c r="C9075" t="s">
        <v>11356</v>
      </c>
      <c r="E9075" t="s">
        <v>20994</v>
      </c>
      <c r="F9075" t="s">
        <v>22436</v>
      </c>
      <c r="G9075" t="s">
        <v>22444</v>
      </c>
      <c r="H9075" t="s">
        <v>22452</v>
      </c>
      <c r="I9075" t="s">
        <v>12358</v>
      </c>
      <c r="J9075" t="s">
        <v>28344</v>
      </c>
      <c r="K9075" t="s">
        <v>29338</v>
      </c>
      <c r="M9075" t="s">
        <v>32266</v>
      </c>
      <c r="N9075" t="s">
        <v>32524</v>
      </c>
      <c r="O9075" t="s">
        <v>32525</v>
      </c>
      <c r="P9075">
        <v>0</v>
      </c>
      <c r="Q9075">
        <v>0</v>
      </c>
      <c r="R9075" t="s">
        <v>32538</v>
      </c>
      <c r="S9075" t="s">
        <v>32872</v>
      </c>
      <c r="T9075" t="s">
        <v>33213</v>
      </c>
      <c r="U9075" t="s">
        <v>41128</v>
      </c>
      <c r="V9075" t="s">
        <v>43403</v>
      </c>
      <c r="W9075" t="s">
        <v>32266</v>
      </c>
      <c r="X9075" t="s">
        <v>43793</v>
      </c>
    </row>
    <row r="9076" spans="1:24">
      <c r="A9076">
        <f>HYPERLINK("https://www.philgeps.gov.ph/GEPSNONPILOT/Tender/SplashBidNoticeAbstractUI.aspx?menuIndex=3&amp;refID=7016696&amp;Result=3","7016696")</f>
        <v>0</v>
      </c>
      <c r="B9076" t="s">
        <v>2462</v>
      </c>
      <c r="C9076" t="s">
        <v>11357</v>
      </c>
      <c r="E9076" t="s">
        <v>20995</v>
      </c>
      <c r="F9076" t="s">
        <v>22436</v>
      </c>
      <c r="G9076" t="s">
        <v>22446</v>
      </c>
      <c r="H9076" t="s">
        <v>22452</v>
      </c>
      <c r="I9076" t="s">
        <v>3027</v>
      </c>
      <c r="J9076" t="s">
        <v>28345</v>
      </c>
      <c r="K9076" t="s">
        <v>29338</v>
      </c>
      <c r="M9076" t="s">
        <v>32266</v>
      </c>
      <c r="N9076" t="s">
        <v>32524</v>
      </c>
      <c r="O9076" t="s">
        <v>32525</v>
      </c>
      <c r="P9076">
        <v>0</v>
      </c>
      <c r="Q9076">
        <v>0</v>
      </c>
      <c r="R9076" t="s">
        <v>32538</v>
      </c>
      <c r="S9076" t="s">
        <v>32872</v>
      </c>
      <c r="T9076" t="s">
        <v>33213</v>
      </c>
      <c r="U9076" t="s">
        <v>41129</v>
      </c>
      <c r="V9076" t="s">
        <v>43431</v>
      </c>
      <c r="W9076" t="s">
        <v>32266</v>
      </c>
      <c r="X9076" t="s">
        <v>43782</v>
      </c>
    </row>
    <row r="9077" spans="1:24">
      <c r="A9077">
        <f>HYPERLINK("https://www.philgeps.gov.ph/GEPSNONPILOT/Tender/SplashBidNoticeAbstractUI.aspx?menuIndex=3&amp;refID=7015184&amp;Result=3","7015184")</f>
        <v>0</v>
      </c>
      <c r="B9077" t="s">
        <v>432</v>
      </c>
      <c r="C9077" t="s">
        <v>11358</v>
      </c>
      <c r="D9077" t="s">
        <v>13028</v>
      </c>
      <c r="E9077" t="s">
        <v>20996</v>
      </c>
      <c r="F9077" t="s">
        <v>22436</v>
      </c>
      <c r="G9077" t="s">
        <v>22444</v>
      </c>
      <c r="H9077" t="s">
        <v>22454</v>
      </c>
      <c r="I9077" t="s">
        <v>7738</v>
      </c>
      <c r="J9077" t="s">
        <v>23384</v>
      </c>
      <c r="K9077" t="s">
        <v>29373</v>
      </c>
      <c r="M9077" t="s">
        <v>30013</v>
      </c>
      <c r="N9077" t="s">
        <v>32524</v>
      </c>
      <c r="O9077" t="s">
        <v>32525</v>
      </c>
      <c r="P9077">
        <v>0</v>
      </c>
      <c r="Q9077">
        <v>1</v>
      </c>
      <c r="R9077" t="s">
        <v>32538</v>
      </c>
      <c r="S9077" t="s">
        <v>32872</v>
      </c>
      <c r="T9077" t="s">
        <v>33171</v>
      </c>
      <c r="U9077" t="s">
        <v>34672</v>
      </c>
      <c r="V9077" t="s">
        <v>43432</v>
      </c>
      <c r="W9077" t="s">
        <v>30013</v>
      </c>
      <c r="X9077" t="s">
        <v>43801</v>
      </c>
    </row>
    <row r="9078" spans="1:24">
      <c r="A9078">
        <f>HYPERLINK("https://www.philgeps.gov.ph/GEPSNONPILOT/Tender/SplashBidNoticeAbstractUI.aspx?menuIndex=3&amp;refID=7016852&amp;Result=3","7016852")</f>
        <v>0</v>
      </c>
      <c r="B9078" t="s">
        <v>432</v>
      </c>
      <c r="C9078" t="s">
        <v>11359</v>
      </c>
      <c r="D9078" t="s">
        <v>13028</v>
      </c>
      <c r="E9078" t="s">
        <v>20997</v>
      </c>
      <c r="F9078" t="s">
        <v>22436</v>
      </c>
      <c r="G9078" t="s">
        <v>22444</v>
      </c>
      <c r="H9078" t="s">
        <v>22454</v>
      </c>
      <c r="I9078" t="s">
        <v>7738</v>
      </c>
      <c r="J9078" t="s">
        <v>23347</v>
      </c>
      <c r="K9078" t="s">
        <v>29347</v>
      </c>
      <c r="M9078" t="s">
        <v>30013</v>
      </c>
      <c r="N9078" t="s">
        <v>32524</v>
      </c>
      <c r="O9078" t="s">
        <v>32525</v>
      </c>
      <c r="P9078">
        <v>0</v>
      </c>
      <c r="Q9078">
        <v>1</v>
      </c>
      <c r="R9078" t="s">
        <v>32538</v>
      </c>
      <c r="S9078" t="s">
        <v>32872</v>
      </c>
      <c r="T9078" t="s">
        <v>33171</v>
      </c>
      <c r="U9078" t="s">
        <v>34672</v>
      </c>
      <c r="V9078" t="s">
        <v>43433</v>
      </c>
      <c r="W9078" t="s">
        <v>30013</v>
      </c>
      <c r="X9078" t="s">
        <v>43782</v>
      </c>
    </row>
    <row r="9079" spans="1:24">
      <c r="A9079">
        <f>HYPERLINK("https://www.philgeps.gov.ph/GEPSNONPILOT/Tender/SplashBidNoticeAbstractUI.aspx?menuIndex=3&amp;refID=7016654&amp;Result=3","7016654")</f>
        <v>0</v>
      </c>
      <c r="B9079" t="s">
        <v>2462</v>
      </c>
      <c r="C9079" t="s">
        <v>11360</v>
      </c>
      <c r="E9079" t="s">
        <v>20998</v>
      </c>
      <c r="F9079" t="s">
        <v>22436</v>
      </c>
      <c r="G9079" t="s">
        <v>22446</v>
      </c>
      <c r="H9079" t="s">
        <v>22452</v>
      </c>
      <c r="I9079" t="s">
        <v>3027</v>
      </c>
      <c r="J9079" t="s">
        <v>28345</v>
      </c>
      <c r="K9079" t="s">
        <v>29338</v>
      </c>
      <c r="M9079" t="s">
        <v>32266</v>
      </c>
      <c r="N9079" t="s">
        <v>32524</v>
      </c>
      <c r="O9079" t="s">
        <v>32525</v>
      </c>
      <c r="P9079">
        <v>0</v>
      </c>
      <c r="Q9079">
        <v>0</v>
      </c>
      <c r="R9079" t="s">
        <v>32538</v>
      </c>
      <c r="S9079" t="s">
        <v>32872</v>
      </c>
      <c r="T9079" t="s">
        <v>33213</v>
      </c>
      <c r="U9079" t="s">
        <v>41130</v>
      </c>
      <c r="V9079" t="s">
        <v>43403</v>
      </c>
      <c r="W9079" t="s">
        <v>32266</v>
      </c>
      <c r="X9079" t="s">
        <v>43782</v>
      </c>
    </row>
    <row r="9080" spans="1:24">
      <c r="A9080">
        <f>HYPERLINK("https://www.philgeps.gov.ph/GEPSNONPILOT/Tender/SplashBidNoticeAbstractUI.aspx?menuIndex=3&amp;refID=7013200&amp;Result=3","7013200")</f>
        <v>0</v>
      </c>
      <c r="B9080" t="s">
        <v>2462</v>
      </c>
      <c r="C9080" t="s">
        <v>11361</v>
      </c>
      <c r="E9080" t="s">
        <v>20999</v>
      </c>
      <c r="F9080" t="s">
        <v>22436</v>
      </c>
      <c r="G9080" t="s">
        <v>22446</v>
      </c>
      <c r="H9080" t="s">
        <v>22452</v>
      </c>
      <c r="I9080" t="s">
        <v>12358</v>
      </c>
      <c r="J9080" t="s">
        <v>28346</v>
      </c>
      <c r="K9080" t="s">
        <v>29338</v>
      </c>
      <c r="M9080" t="s">
        <v>32266</v>
      </c>
      <c r="N9080" t="s">
        <v>32524</v>
      </c>
      <c r="O9080" t="s">
        <v>32525</v>
      </c>
      <c r="P9080">
        <v>0</v>
      </c>
      <c r="Q9080">
        <v>0</v>
      </c>
      <c r="R9080" t="s">
        <v>32538</v>
      </c>
      <c r="S9080" t="s">
        <v>32872</v>
      </c>
      <c r="T9080" t="s">
        <v>33213</v>
      </c>
      <c r="U9080" t="s">
        <v>41131</v>
      </c>
      <c r="V9080" t="s">
        <v>43403</v>
      </c>
      <c r="W9080" t="s">
        <v>32266</v>
      </c>
      <c r="X9080" t="s">
        <v>43793</v>
      </c>
    </row>
    <row r="9081" spans="1:24">
      <c r="A9081">
        <f>HYPERLINK("https://www.philgeps.gov.ph/GEPSNONPILOT/Tender/SplashBidNoticeAbstractUI.aspx?menuIndex=3&amp;refID=7016644&amp;Result=3","7016644")</f>
        <v>0</v>
      </c>
      <c r="B9081" t="s">
        <v>2462</v>
      </c>
      <c r="C9081" t="s">
        <v>11362</v>
      </c>
      <c r="E9081" t="s">
        <v>21000</v>
      </c>
      <c r="F9081" t="s">
        <v>22436</v>
      </c>
      <c r="G9081" t="s">
        <v>22446</v>
      </c>
      <c r="H9081" t="s">
        <v>22452</v>
      </c>
      <c r="I9081" t="s">
        <v>3027</v>
      </c>
      <c r="J9081" t="s">
        <v>28345</v>
      </c>
      <c r="K9081" t="s">
        <v>29338</v>
      </c>
      <c r="M9081" t="s">
        <v>32266</v>
      </c>
      <c r="N9081" t="s">
        <v>32524</v>
      </c>
      <c r="O9081" t="s">
        <v>32525</v>
      </c>
      <c r="P9081">
        <v>0</v>
      </c>
      <c r="Q9081">
        <v>0</v>
      </c>
      <c r="R9081" t="s">
        <v>32538</v>
      </c>
      <c r="S9081" t="s">
        <v>32872</v>
      </c>
      <c r="T9081" t="s">
        <v>33213</v>
      </c>
      <c r="U9081" t="s">
        <v>41132</v>
      </c>
      <c r="V9081" t="s">
        <v>43403</v>
      </c>
      <c r="W9081" t="s">
        <v>32266</v>
      </c>
      <c r="X9081" t="s">
        <v>43782</v>
      </c>
    </row>
    <row r="9082" spans="1:24">
      <c r="A9082">
        <f>HYPERLINK("https://www.philgeps.gov.ph/GEPSNONPILOT/Tender/SplashBidNoticeAbstractUI.aspx?menuIndex=3&amp;refID=7016680&amp;Result=3","7016680")</f>
        <v>0</v>
      </c>
      <c r="B9082" t="s">
        <v>2462</v>
      </c>
      <c r="C9082" t="s">
        <v>11363</v>
      </c>
      <c r="E9082" t="s">
        <v>21001</v>
      </c>
      <c r="F9082" t="s">
        <v>22436</v>
      </c>
      <c r="G9082" t="s">
        <v>22446</v>
      </c>
      <c r="H9082" t="s">
        <v>22452</v>
      </c>
      <c r="I9082" t="s">
        <v>3027</v>
      </c>
      <c r="J9082" t="s">
        <v>28345</v>
      </c>
      <c r="K9082" t="s">
        <v>29338</v>
      </c>
      <c r="M9082" t="s">
        <v>32266</v>
      </c>
      <c r="N9082" t="s">
        <v>32524</v>
      </c>
      <c r="O9082" t="s">
        <v>32525</v>
      </c>
      <c r="P9082">
        <v>0</v>
      </c>
      <c r="Q9082">
        <v>0</v>
      </c>
      <c r="R9082" t="s">
        <v>32538</v>
      </c>
      <c r="S9082" t="s">
        <v>32872</v>
      </c>
      <c r="T9082" t="s">
        <v>33213</v>
      </c>
      <c r="U9082" t="s">
        <v>41133</v>
      </c>
      <c r="V9082" t="s">
        <v>43403</v>
      </c>
      <c r="W9082" t="s">
        <v>32266</v>
      </c>
      <c r="X9082" t="s">
        <v>43782</v>
      </c>
    </row>
    <row r="9083" spans="1:24">
      <c r="A9083">
        <f>HYPERLINK("https://www.philgeps.gov.ph/GEPSNONPILOT/Tender/SplashBidNoticeAbstractUI.aspx?menuIndex=3&amp;refID=7013481&amp;Result=3","7013481")</f>
        <v>0</v>
      </c>
      <c r="B9083" t="s">
        <v>2462</v>
      </c>
      <c r="C9083" t="s">
        <v>11364</v>
      </c>
      <c r="E9083" t="s">
        <v>21002</v>
      </c>
      <c r="F9083" t="s">
        <v>22436</v>
      </c>
      <c r="G9083" t="s">
        <v>22446</v>
      </c>
      <c r="H9083" t="s">
        <v>22452</v>
      </c>
      <c r="I9083" t="s">
        <v>12358</v>
      </c>
      <c r="J9083" t="s">
        <v>28347</v>
      </c>
      <c r="K9083" t="s">
        <v>29338</v>
      </c>
      <c r="M9083" t="s">
        <v>32266</v>
      </c>
      <c r="N9083" t="s">
        <v>32524</v>
      </c>
      <c r="O9083" t="s">
        <v>32525</v>
      </c>
      <c r="P9083">
        <v>0</v>
      </c>
      <c r="Q9083">
        <v>0</v>
      </c>
      <c r="R9083" t="s">
        <v>32538</v>
      </c>
      <c r="S9083" t="s">
        <v>32872</v>
      </c>
      <c r="T9083" t="s">
        <v>33213</v>
      </c>
      <c r="U9083" t="s">
        <v>41134</v>
      </c>
      <c r="V9083" t="s">
        <v>43403</v>
      </c>
      <c r="W9083" t="s">
        <v>32266</v>
      </c>
      <c r="X9083" t="s">
        <v>43793</v>
      </c>
    </row>
    <row r="9084" spans="1:24">
      <c r="A9084">
        <f>HYPERLINK("https://www.philgeps.gov.ph/GEPSNONPILOT/Tender/SplashBidNoticeAbstractUI.aspx?menuIndex=3&amp;refID=7013390&amp;Result=3","7013390")</f>
        <v>0</v>
      </c>
      <c r="B9084" t="s">
        <v>2462</v>
      </c>
      <c r="C9084" t="s">
        <v>11365</v>
      </c>
      <c r="E9084" t="s">
        <v>21003</v>
      </c>
      <c r="F9084" t="s">
        <v>22436</v>
      </c>
      <c r="G9084" t="s">
        <v>22446</v>
      </c>
      <c r="H9084" t="s">
        <v>22452</v>
      </c>
      <c r="I9084" t="s">
        <v>12358</v>
      </c>
      <c r="J9084" t="s">
        <v>24630</v>
      </c>
      <c r="K9084" t="s">
        <v>29338</v>
      </c>
      <c r="M9084" t="s">
        <v>32266</v>
      </c>
      <c r="N9084" t="s">
        <v>32524</v>
      </c>
      <c r="O9084" t="s">
        <v>32525</v>
      </c>
      <c r="P9084">
        <v>0</v>
      </c>
      <c r="Q9084">
        <v>0</v>
      </c>
      <c r="R9084" t="s">
        <v>32538</v>
      </c>
      <c r="S9084" t="s">
        <v>32872</v>
      </c>
      <c r="T9084" t="s">
        <v>33213</v>
      </c>
      <c r="U9084" t="s">
        <v>41135</v>
      </c>
      <c r="V9084" t="s">
        <v>43403</v>
      </c>
      <c r="W9084" t="s">
        <v>32266</v>
      </c>
      <c r="X9084" t="s">
        <v>43793</v>
      </c>
    </row>
    <row r="9085" spans="1:24">
      <c r="A9085">
        <f>HYPERLINK("https://www.philgeps.gov.ph/GEPSNONPILOT/Tender/SplashBidNoticeAbstractUI.aspx?menuIndex=3&amp;refID=7016662&amp;Result=3","7016662")</f>
        <v>0</v>
      </c>
      <c r="B9085" t="s">
        <v>2462</v>
      </c>
      <c r="C9085" t="s">
        <v>11366</v>
      </c>
      <c r="E9085" t="s">
        <v>21004</v>
      </c>
      <c r="F9085" t="s">
        <v>22436</v>
      </c>
      <c r="G9085" t="s">
        <v>22446</v>
      </c>
      <c r="H9085" t="s">
        <v>22452</v>
      </c>
      <c r="I9085" t="s">
        <v>3027</v>
      </c>
      <c r="J9085" t="s">
        <v>23794</v>
      </c>
      <c r="K9085" t="s">
        <v>29338</v>
      </c>
      <c r="M9085" t="s">
        <v>32266</v>
      </c>
      <c r="N9085" t="s">
        <v>32524</v>
      </c>
      <c r="O9085" t="s">
        <v>32525</v>
      </c>
      <c r="P9085">
        <v>0</v>
      </c>
      <c r="Q9085">
        <v>0</v>
      </c>
      <c r="R9085" t="s">
        <v>32538</v>
      </c>
      <c r="S9085" t="s">
        <v>32872</v>
      </c>
      <c r="T9085" t="s">
        <v>33213</v>
      </c>
      <c r="U9085" t="s">
        <v>41136</v>
      </c>
      <c r="V9085" t="s">
        <v>43403</v>
      </c>
      <c r="W9085" t="s">
        <v>32266</v>
      </c>
      <c r="X9085" t="s">
        <v>43782</v>
      </c>
    </row>
    <row r="9086" spans="1:24">
      <c r="A9086">
        <f>HYPERLINK("https://www.philgeps.gov.ph/GEPSNONPILOT/Tender/SplashBidNoticeAbstractUI.aspx?menuIndex=3&amp;refID=7017435&amp;Result=3","7017435")</f>
        <v>0</v>
      </c>
      <c r="B9086" t="s">
        <v>2502</v>
      </c>
      <c r="C9086" t="s">
        <v>11367</v>
      </c>
      <c r="D9086" t="s">
        <v>13006</v>
      </c>
      <c r="E9086" t="s">
        <v>13165</v>
      </c>
      <c r="F9086" t="s">
        <v>22436</v>
      </c>
      <c r="G9086" t="s">
        <v>22444</v>
      </c>
      <c r="H9086" t="s">
        <v>22452</v>
      </c>
      <c r="I9086" t="s">
        <v>3529</v>
      </c>
      <c r="J9086" t="s">
        <v>28348</v>
      </c>
      <c r="K9086" t="s">
        <v>29341</v>
      </c>
      <c r="M9086" t="s">
        <v>32309</v>
      </c>
      <c r="N9086" t="s">
        <v>32524</v>
      </c>
      <c r="O9086" t="s">
        <v>32525</v>
      </c>
      <c r="P9086">
        <v>0</v>
      </c>
      <c r="Q9086">
        <v>0</v>
      </c>
      <c r="R9086" t="s">
        <v>32538</v>
      </c>
      <c r="S9086" t="s">
        <v>32872</v>
      </c>
      <c r="T9086" t="s">
        <v>33171</v>
      </c>
      <c r="U9086" t="s">
        <v>41137</v>
      </c>
      <c r="V9086" t="s">
        <v>43434</v>
      </c>
      <c r="W9086" t="s">
        <v>32309</v>
      </c>
      <c r="X9086" t="s">
        <v>43782</v>
      </c>
    </row>
    <row r="9087" spans="1:24">
      <c r="A9087">
        <f>HYPERLINK("https://www.philgeps.gov.ph/GEPSNONPILOT/Tender/SplashBidNoticeAbstractUI.aspx?menuIndex=3&amp;refID=7017311&amp;Result=3","7017311")</f>
        <v>0</v>
      </c>
      <c r="B9087" t="s">
        <v>182</v>
      </c>
      <c r="C9087" t="s">
        <v>11368</v>
      </c>
      <c r="D9087" t="s">
        <v>13067</v>
      </c>
      <c r="E9087" t="s">
        <v>21005</v>
      </c>
      <c r="F9087" t="s">
        <v>22436</v>
      </c>
      <c r="G9087" t="s">
        <v>22444</v>
      </c>
      <c r="H9087" t="s">
        <v>22452</v>
      </c>
      <c r="I9087" t="s">
        <v>22461</v>
      </c>
      <c r="J9087" t="s">
        <v>22788</v>
      </c>
      <c r="K9087" t="s">
        <v>29335</v>
      </c>
      <c r="M9087" t="s">
        <v>29754</v>
      </c>
      <c r="N9087" t="s">
        <v>32524</v>
      </c>
      <c r="O9087" t="s">
        <v>32525</v>
      </c>
      <c r="P9087">
        <v>0</v>
      </c>
      <c r="Q9087">
        <v>1</v>
      </c>
      <c r="R9087" t="s">
        <v>32538</v>
      </c>
      <c r="S9087" t="s">
        <v>32872</v>
      </c>
      <c r="T9087" t="s">
        <v>33242</v>
      </c>
      <c r="U9087" t="s">
        <v>41138</v>
      </c>
      <c r="W9087" t="s">
        <v>29754</v>
      </c>
      <c r="X9087" t="s">
        <v>43782</v>
      </c>
    </row>
    <row r="9088" spans="1:24">
      <c r="A9088">
        <f>HYPERLINK("https://www.philgeps.gov.ph/GEPSNONPILOT/Tender/SplashBidNoticeAbstractUI.aspx?menuIndex=3&amp;refID=7016233&amp;Result=3","7016233")</f>
        <v>0</v>
      </c>
      <c r="B9088" t="s">
        <v>1256</v>
      </c>
      <c r="C9088" t="s">
        <v>11369</v>
      </c>
      <c r="D9088" t="s">
        <v>13042</v>
      </c>
      <c r="E9088" t="s">
        <v>21006</v>
      </c>
      <c r="F9088" t="s">
        <v>22436</v>
      </c>
      <c r="G9088" t="s">
        <v>22444</v>
      </c>
      <c r="H9088" t="s">
        <v>22454</v>
      </c>
      <c r="I9088" t="s">
        <v>7738</v>
      </c>
      <c r="J9088" t="s">
        <v>28349</v>
      </c>
      <c r="K9088" t="s">
        <v>29333</v>
      </c>
      <c r="M9088" t="s">
        <v>30909</v>
      </c>
      <c r="N9088" t="s">
        <v>32524</v>
      </c>
      <c r="O9088" t="s">
        <v>32525</v>
      </c>
      <c r="P9088">
        <v>0</v>
      </c>
      <c r="Q9088">
        <v>0</v>
      </c>
      <c r="R9088" t="s">
        <v>32538</v>
      </c>
      <c r="S9088" t="s">
        <v>32872</v>
      </c>
      <c r="T9088" t="s">
        <v>33400</v>
      </c>
      <c r="U9088" t="s">
        <v>41139</v>
      </c>
      <c r="W9088" t="s">
        <v>30909</v>
      </c>
      <c r="X9088" t="s">
        <v>43801</v>
      </c>
    </row>
    <row r="9089" spans="1:24">
      <c r="A9089">
        <f>HYPERLINK("https://www.philgeps.gov.ph/GEPSNONPILOT/Tender/SplashBidNoticeAbstractUI.aspx?menuIndex=3&amp;refID=7013094&amp;Result=3","7013094")</f>
        <v>0</v>
      </c>
      <c r="B9089" t="s">
        <v>2462</v>
      </c>
      <c r="C9089" t="s">
        <v>11072</v>
      </c>
      <c r="E9089" t="s">
        <v>20749</v>
      </c>
      <c r="F9089" t="s">
        <v>22436</v>
      </c>
      <c r="G9089" t="s">
        <v>22444</v>
      </c>
      <c r="H9089" t="s">
        <v>22452</v>
      </c>
      <c r="I9089" t="s">
        <v>7738</v>
      </c>
      <c r="J9089" t="s">
        <v>28162</v>
      </c>
      <c r="K9089" t="s">
        <v>29338</v>
      </c>
      <c r="M9089" t="s">
        <v>32266</v>
      </c>
      <c r="N9089" t="s">
        <v>32524</v>
      </c>
      <c r="O9089" t="s">
        <v>32525</v>
      </c>
      <c r="Q9089">
        <v>0</v>
      </c>
      <c r="R9089" t="s">
        <v>32538</v>
      </c>
      <c r="S9089" t="s">
        <v>32876</v>
      </c>
      <c r="T9089" t="s">
        <v>33203</v>
      </c>
      <c r="U9089" t="s">
        <v>41140</v>
      </c>
      <c r="V9089" t="s">
        <v>43403</v>
      </c>
      <c r="W9089" t="s">
        <v>32266</v>
      </c>
      <c r="X9089" t="s">
        <v>43793</v>
      </c>
    </row>
    <row r="9090" spans="1:24">
      <c r="A9090">
        <f>HYPERLINK("https://www.philgeps.gov.ph/GEPSNONPILOT/Tender/SplashBidNoticeAbstractUI.aspx?menuIndex=3&amp;refID=7017398&amp;Result=3","7017398")</f>
        <v>0</v>
      </c>
      <c r="B9090" t="s">
        <v>2502</v>
      </c>
      <c r="C9090" t="s">
        <v>11370</v>
      </c>
      <c r="D9090" t="s">
        <v>13006</v>
      </c>
      <c r="E9090" t="s">
        <v>13127</v>
      </c>
      <c r="F9090" t="s">
        <v>22436</v>
      </c>
      <c r="G9090" t="s">
        <v>22444</v>
      </c>
      <c r="H9090" t="s">
        <v>22452</v>
      </c>
      <c r="I9090" t="s">
        <v>3529</v>
      </c>
      <c r="J9090" t="s">
        <v>28350</v>
      </c>
      <c r="K9090" t="s">
        <v>29341</v>
      </c>
      <c r="M9090" t="s">
        <v>32309</v>
      </c>
      <c r="N9090" t="s">
        <v>32524</v>
      </c>
      <c r="O9090" t="s">
        <v>32525</v>
      </c>
      <c r="P9090">
        <v>0</v>
      </c>
      <c r="Q9090">
        <v>2</v>
      </c>
      <c r="R9090" t="s">
        <v>32538</v>
      </c>
      <c r="S9090" t="s">
        <v>32872</v>
      </c>
      <c r="T9090" t="s">
        <v>33211</v>
      </c>
      <c r="U9090" t="s">
        <v>41141</v>
      </c>
      <c r="V9090" t="s">
        <v>43435</v>
      </c>
      <c r="W9090" t="s">
        <v>32309</v>
      </c>
      <c r="X9090" t="s">
        <v>43782</v>
      </c>
    </row>
    <row r="9091" spans="1:24">
      <c r="A9091">
        <f>HYPERLINK("https://www.philgeps.gov.ph/GEPSNONPILOT/Tender/SplashBidNoticeAbstractUI.aspx?menuIndex=3&amp;refID=7015474&amp;Result=3","7015474")</f>
        <v>0</v>
      </c>
      <c r="B9091" t="s">
        <v>2503</v>
      </c>
      <c r="C9091" t="s">
        <v>11371</v>
      </c>
      <c r="D9091" t="s">
        <v>13013</v>
      </c>
      <c r="E9091" t="s">
        <v>18742</v>
      </c>
      <c r="F9091" t="s">
        <v>22437</v>
      </c>
      <c r="G9091" t="s">
        <v>22444</v>
      </c>
      <c r="H9091" t="s">
        <v>22452</v>
      </c>
      <c r="I9091" t="s">
        <v>3529</v>
      </c>
      <c r="J9091" t="s">
        <v>24874</v>
      </c>
      <c r="K9091" t="s">
        <v>29342</v>
      </c>
      <c r="M9091" t="s">
        <v>32310</v>
      </c>
      <c r="N9091" t="s">
        <v>32524</v>
      </c>
      <c r="O9091" t="s">
        <v>32525</v>
      </c>
      <c r="P9091">
        <v>0</v>
      </c>
      <c r="Q9091">
        <v>1</v>
      </c>
      <c r="R9091" t="s">
        <v>32538</v>
      </c>
      <c r="S9091" t="s">
        <v>32872</v>
      </c>
      <c r="T9091" t="s">
        <v>33213</v>
      </c>
      <c r="U9091" t="s">
        <v>41142</v>
      </c>
      <c r="W9091" t="s">
        <v>32310</v>
      </c>
      <c r="X9091" t="s">
        <v>43801</v>
      </c>
    </row>
    <row r="9092" spans="1:24">
      <c r="A9092">
        <f>HYPERLINK("https://www.philgeps.gov.ph/GEPSNONPILOT/Tender/SplashBidNoticeAbstractUI.aspx?menuIndex=3&amp;refID=7017400&amp;Result=3","7017400")</f>
        <v>0</v>
      </c>
      <c r="B9092" t="s">
        <v>182</v>
      </c>
      <c r="C9092" t="s">
        <v>11372</v>
      </c>
      <c r="D9092" t="s">
        <v>13067</v>
      </c>
      <c r="E9092" t="s">
        <v>21007</v>
      </c>
      <c r="F9092" t="s">
        <v>22436</v>
      </c>
      <c r="G9092" t="s">
        <v>22444</v>
      </c>
      <c r="H9092" t="s">
        <v>22454</v>
      </c>
      <c r="I9092" t="s">
        <v>7738</v>
      </c>
      <c r="J9092" t="s">
        <v>26101</v>
      </c>
      <c r="K9092" t="s">
        <v>29334</v>
      </c>
      <c r="M9092" t="s">
        <v>29754</v>
      </c>
      <c r="N9092" t="s">
        <v>32524</v>
      </c>
      <c r="O9092" t="s">
        <v>32525</v>
      </c>
      <c r="P9092">
        <v>0</v>
      </c>
      <c r="Q9092">
        <v>0</v>
      </c>
      <c r="R9092" t="s">
        <v>32538</v>
      </c>
      <c r="S9092" t="s">
        <v>32872</v>
      </c>
      <c r="T9092" t="s">
        <v>33242</v>
      </c>
      <c r="U9092" t="s">
        <v>41143</v>
      </c>
      <c r="V9092" t="s">
        <v>43436</v>
      </c>
      <c r="W9092" t="s">
        <v>29754</v>
      </c>
      <c r="X9092" t="s">
        <v>43782</v>
      </c>
    </row>
    <row r="9093" spans="1:24">
      <c r="A9093">
        <f>HYPERLINK("https://www.philgeps.gov.ph/GEPSNONPILOT/Tender/SplashBidNoticeAbstractUI.aspx?menuIndex=3&amp;refID=7016625&amp;Result=3","7016625")</f>
        <v>0</v>
      </c>
      <c r="B9093" t="s">
        <v>2462</v>
      </c>
      <c r="C9093" t="s">
        <v>11373</v>
      </c>
      <c r="E9093" t="s">
        <v>21008</v>
      </c>
      <c r="F9093" t="s">
        <v>22436</v>
      </c>
      <c r="G9093" t="s">
        <v>22446</v>
      </c>
      <c r="H9093" t="s">
        <v>22452</v>
      </c>
      <c r="I9093" t="s">
        <v>3027</v>
      </c>
      <c r="J9093" t="s">
        <v>23794</v>
      </c>
      <c r="K9093" t="s">
        <v>29338</v>
      </c>
      <c r="M9093" t="s">
        <v>32266</v>
      </c>
      <c r="N9093" t="s">
        <v>32524</v>
      </c>
      <c r="O9093" t="s">
        <v>32525</v>
      </c>
      <c r="P9093">
        <v>0</v>
      </c>
      <c r="Q9093">
        <v>0</v>
      </c>
      <c r="R9093" t="s">
        <v>32538</v>
      </c>
      <c r="S9093" t="s">
        <v>32872</v>
      </c>
      <c r="T9093" t="s">
        <v>33213</v>
      </c>
      <c r="U9093" t="s">
        <v>41144</v>
      </c>
      <c r="V9093" t="s">
        <v>43403</v>
      </c>
      <c r="W9093" t="s">
        <v>32266</v>
      </c>
      <c r="X9093" t="s">
        <v>43782</v>
      </c>
    </row>
    <row r="9094" spans="1:24">
      <c r="A9094">
        <f>HYPERLINK("https://www.philgeps.gov.ph/GEPSNONPILOT/Tender/SplashBidNoticeAbstractUI.aspx?menuIndex=3&amp;refID=7015607&amp;Result=3","7015607")</f>
        <v>0</v>
      </c>
      <c r="B9094" t="s">
        <v>432</v>
      </c>
      <c r="C9094" t="s">
        <v>11374</v>
      </c>
      <c r="D9094" t="s">
        <v>13028</v>
      </c>
      <c r="E9094" t="s">
        <v>21009</v>
      </c>
      <c r="F9094" t="s">
        <v>22436</v>
      </c>
      <c r="G9094" t="s">
        <v>22444</v>
      </c>
      <c r="H9094" t="s">
        <v>22454</v>
      </c>
      <c r="I9094" t="s">
        <v>7738</v>
      </c>
      <c r="J9094" t="s">
        <v>25909</v>
      </c>
      <c r="K9094" t="s">
        <v>29354</v>
      </c>
      <c r="M9094" t="s">
        <v>30013</v>
      </c>
      <c r="N9094" t="s">
        <v>32524</v>
      </c>
      <c r="O9094" t="s">
        <v>32525</v>
      </c>
      <c r="P9094">
        <v>0</v>
      </c>
      <c r="Q9094">
        <v>4</v>
      </c>
      <c r="R9094" t="s">
        <v>32538</v>
      </c>
      <c r="S9094" t="s">
        <v>32872</v>
      </c>
      <c r="T9094" t="s">
        <v>33171</v>
      </c>
      <c r="U9094" t="s">
        <v>34672</v>
      </c>
      <c r="V9094" t="s">
        <v>43437</v>
      </c>
      <c r="W9094" t="s">
        <v>30013</v>
      </c>
      <c r="X9094" t="s">
        <v>43801</v>
      </c>
    </row>
    <row r="9095" spans="1:24">
      <c r="A9095">
        <f>HYPERLINK("https://www.philgeps.gov.ph/GEPSNONPILOT/Tender/SplashBidNoticeAbstractUI.aspx?menuIndex=3&amp;refID=7017514&amp;Result=3","7017514")</f>
        <v>0</v>
      </c>
      <c r="B9095" t="s">
        <v>2443</v>
      </c>
      <c r="C9095" t="s">
        <v>11375</v>
      </c>
      <c r="D9095" t="s">
        <v>13045</v>
      </c>
      <c r="E9095" t="s">
        <v>14074</v>
      </c>
      <c r="F9095" t="s">
        <v>22436</v>
      </c>
      <c r="G9095" t="s">
        <v>22444</v>
      </c>
      <c r="H9095" t="s">
        <v>22452</v>
      </c>
      <c r="I9095" t="s">
        <v>22502</v>
      </c>
      <c r="J9095" t="s">
        <v>22587</v>
      </c>
      <c r="K9095" t="s">
        <v>29344</v>
      </c>
      <c r="M9095" t="s">
        <v>32247</v>
      </c>
      <c r="N9095" t="s">
        <v>32524</v>
      </c>
      <c r="O9095" t="s">
        <v>32525</v>
      </c>
      <c r="Q9095">
        <v>23</v>
      </c>
      <c r="R9095" t="s">
        <v>32538</v>
      </c>
      <c r="S9095" t="s">
        <v>32758</v>
      </c>
      <c r="T9095" t="s">
        <v>33591</v>
      </c>
      <c r="U9095" t="s">
        <v>41145</v>
      </c>
      <c r="W9095" t="s">
        <v>32247</v>
      </c>
      <c r="X9095" t="s">
        <v>43782</v>
      </c>
    </row>
    <row r="9096" spans="1:24">
      <c r="A9096">
        <f>HYPERLINK("https://www.philgeps.gov.ph/GEPSNONPILOT/Tender/SplashBidNoticeAbstractUI.aspx?menuIndex=3&amp;refID=7015442&amp;Result=3","7015442")</f>
        <v>0</v>
      </c>
      <c r="B9096" t="s">
        <v>432</v>
      </c>
      <c r="C9096" t="s">
        <v>11376</v>
      </c>
      <c r="D9096" t="s">
        <v>13028</v>
      </c>
      <c r="E9096" t="s">
        <v>21010</v>
      </c>
      <c r="F9096" t="s">
        <v>22436</v>
      </c>
      <c r="G9096" t="s">
        <v>22444</v>
      </c>
      <c r="H9096" t="s">
        <v>22454</v>
      </c>
      <c r="I9096" t="s">
        <v>7738</v>
      </c>
      <c r="J9096" t="s">
        <v>23384</v>
      </c>
      <c r="K9096" t="s">
        <v>29457</v>
      </c>
      <c r="M9096" t="s">
        <v>30013</v>
      </c>
      <c r="N9096" t="s">
        <v>32524</v>
      </c>
      <c r="O9096" t="s">
        <v>32525</v>
      </c>
      <c r="P9096">
        <v>0</v>
      </c>
      <c r="Q9096">
        <v>0</v>
      </c>
      <c r="R9096" t="s">
        <v>32538</v>
      </c>
      <c r="S9096" t="s">
        <v>32872</v>
      </c>
      <c r="T9096" t="s">
        <v>33171</v>
      </c>
      <c r="U9096" t="s">
        <v>34672</v>
      </c>
      <c r="V9096" t="s">
        <v>43438</v>
      </c>
      <c r="W9096" t="s">
        <v>30013</v>
      </c>
      <c r="X9096" t="s">
        <v>43801</v>
      </c>
    </row>
    <row r="9097" spans="1:24">
      <c r="A9097">
        <f>HYPERLINK("https://www.philgeps.gov.ph/GEPSNONPILOT/Tender/SplashBidNoticeAbstractUI.aspx?menuIndex=3&amp;refID=7018057&amp;Result=3","7018057")</f>
        <v>0</v>
      </c>
      <c r="B9097" t="s">
        <v>2462</v>
      </c>
      <c r="C9097" t="s">
        <v>11377</v>
      </c>
      <c r="E9097" t="s">
        <v>21011</v>
      </c>
      <c r="F9097" t="s">
        <v>22436</v>
      </c>
      <c r="G9097" t="s">
        <v>22444</v>
      </c>
      <c r="H9097" t="s">
        <v>22452</v>
      </c>
      <c r="I9097" t="s">
        <v>6421</v>
      </c>
      <c r="J9097" t="s">
        <v>28351</v>
      </c>
      <c r="K9097" t="s">
        <v>29338</v>
      </c>
      <c r="M9097" t="s">
        <v>32266</v>
      </c>
      <c r="N9097" t="s">
        <v>32524</v>
      </c>
      <c r="O9097" t="s">
        <v>32525</v>
      </c>
      <c r="P9097">
        <v>0</v>
      </c>
      <c r="Q9097">
        <v>3</v>
      </c>
      <c r="R9097" t="s">
        <v>32538</v>
      </c>
      <c r="S9097" t="s">
        <v>32872</v>
      </c>
      <c r="T9097" t="s">
        <v>33213</v>
      </c>
      <c r="U9097" t="s">
        <v>41146</v>
      </c>
      <c r="V9097" t="s">
        <v>43403</v>
      </c>
      <c r="W9097" t="s">
        <v>32266</v>
      </c>
      <c r="X9097" t="s">
        <v>43782</v>
      </c>
    </row>
    <row r="9098" spans="1:24">
      <c r="A9098">
        <f>HYPERLINK("https://www.philgeps.gov.ph/GEPSNONPILOT/Tender/SplashBidNoticeAbstractUI.aspx?menuIndex=3&amp;refID=7015957&amp;Result=3","7015957")</f>
        <v>0</v>
      </c>
      <c r="B9098" t="s">
        <v>432</v>
      </c>
      <c r="C9098" t="s">
        <v>11378</v>
      </c>
      <c r="D9098" t="s">
        <v>13028</v>
      </c>
      <c r="E9098" t="s">
        <v>21012</v>
      </c>
      <c r="F9098" t="s">
        <v>22436</v>
      </c>
      <c r="G9098" t="s">
        <v>22444</v>
      </c>
      <c r="H9098" t="s">
        <v>22454</v>
      </c>
      <c r="I9098" t="s">
        <v>7738</v>
      </c>
      <c r="J9098" t="s">
        <v>25346</v>
      </c>
      <c r="K9098" t="s">
        <v>29466</v>
      </c>
      <c r="M9098" t="s">
        <v>30013</v>
      </c>
      <c r="N9098" t="s">
        <v>32524</v>
      </c>
      <c r="O9098" t="s">
        <v>32525</v>
      </c>
      <c r="P9098">
        <v>0</v>
      </c>
      <c r="Q9098">
        <v>4</v>
      </c>
      <c r="R9098" t="s">
        <v>32538</v>
      </c>
      <c r="S9098" t="s">
        <v>32872</v>
      </c>
      <c r="T9098" t="s">
        <v>33171</v>
      </c>
      <c r="U9098" t="s">
        <v>34672</v>
      </c>
      <c r="V9098" t="s">
        <v>43439</v>
      </c>
      <c r="W9098" t="s">
        <v>30013</v>
      </c>
      <c r="X9098" t="s">
        <v>43801</v>
      </c>
    </row>
    <row r="9099" spans="1:24">
      <c r="A9099">
        <f>HYPERLINK("https://www.philgeps.gov.ph/GEPSNONPILOT/Tender/SplashBidNoticeAbstractUI.aspx?menuIndex=3&amp;refID=7018188&amp;Result=3","7018188")</f>
        <v>0</v>
      </c>
      <c r="B9099" t="s">
        <v>2462</v>
      </c>
      <c r="C9099" t="s">
        <v>11379</v>
      </c>
      <c r="E9099" t="s">
        <v>21013</v>
      </c>
      <c r="F9099" t="s">
        <v>22436</v>
      </c>
      <c r="G9099" t="s">
        <v>22444</v>
      </c>
      <c r="H9099" t="s">
        <v>22452</v>
      </c>
      <c r="I9099" t="s">
        <v>6421</v>
      </c>
      <c r="J9099" t="s">
        <v>28352</v>
      </c>
      <c r="K9099" t="s">
        <v>29338</v>
      </c>
      <c r="M9099" t="s">
        <v>32266</v>
      </c>
      <c r="N9099" t="s">
        <v>32524</v>
      </c>
      <c r="O9099" t="s">
        <v>32525</v>
      </c>
      <c r="P9099">
        <v>0</v>
      </c>
      <c r="Q9099">
        <v>1</v>
      </c>
      <c r="R9099" t="s">
        <v>32538</v>
      </c>
      <c r="S9099" t="s">
        <v>32872</v>
      </c>
      <c r="T9099" t="s">
        <v>33213</v>
      </c>
      <c r="U9099" t="s">
        <v>41147</v>
      </c>
      <c r="V9099" t="s">
        <v>43403</v>
      </c>
      <c r="W9099" t="s">
        <v>32266</v>
      </c>
      <c r="X9099" t="s">
        <v>43782</v>
      </c>
    </row>
    <row r="9100" spans="1:24">
      <c r="A9100">
        <f>HYPERLINK("https://www.philgeps.gov.ph/GEPSNONPILOT/Tender/SplashBidNoticeAbstractUI.aspx?menuIndex=3&amp;refID=7018238&amp;Result=3","7018238")</f>
        <v>0</v>
      </c>
      <c r="B9100" t="s">
        <v>2462</v>
      </c>
      <c r="C9100" t="s">
        <v>11380</v>
      </c>
      <c r="E9100" t="s">
        <v>21014</v>
      </c>
      <c r="F9100" t="s">
        <v>22436</v>
      </c>
      <c r="G9100" t="s">
        <v>22444</v>
      </c>
      <c r="H9100" t="s">
        <v>22452</v>
      </c>
      <c r="I9100" t="s">
        <v>3122</v>
      </c>
      <c r="J9100" t="s">
        <v>28353</v>
      </c>
      <c r="K9100" t="s">
        <v>29338</v>
      </c>
      <c r="M9100" t="s">
        <v>32266</v>
      </c>
      <c r="N9100" t="s">
        <v>32524</v>
      </c>
      <c r="O9100" t="s">
        <v>32525</v>
      </c>
      <c r="P9100">
        <v>0</v>
      </c>
      <c r="Q9100">
        <v>0</v>
      </c>
      <c r="R9100" t="s">
        <v>32538</v>
      </c>
      <c r="S9100" t="s">
        <v>32872</v>
      </c>
      <c r="T9100" t="s">
        <v>33213</v>
      </c>
      <c r="U9100" t="s">
        <v>41148</v>
      </c>
      <c r="V9100" t="s">
        <v>43403</v>
      </c>
      <c r="W9100" t="s">
        <v>32266</v>
      </c>
      <c r="X9100" t="s">
        <v>43782</v>
      </c>
    </row>
    <row r="9101" spans="1:24">
      <c r="A9101">
        <f>HYPERLINK("https://www.philgeps.gov.ph/GEPSNONPILOT/Tender/SplashBidNoticeAbstractUI.aspx?menuIndex=3&amp;refID=7018086&amp;Result=3","7018086")</f>
        <v>0</v>
      </c>
      <c r="B9101" t="s">
        <v>2462</v>
      </c>
      <c r="C9101" t="s">
        <v>11381</v>
      </c>
      <c r="E9101" t="s">
        <v>21015</v>
      </c>
      <c r="F9101" t="s">
        <v>22436</v>
      </c>
      <c r="G9101" t="s">
        <v>22446</v>
      </c>
      <c r="H9101" t="s">
        <v>22452</v>
      </c>
      <c r="I9101" t="s">
        <v>3027</v>
      </c>
      <c r="J9101" t="s">
        <v>23794</v>
      </c>
      <c r="K9101" t="s">
        <v>29338</v>
      </c>
      <c r="M9101" t="s">
        <v>32266</v>
      </c>
      <c r="N9101" t="s">
        <v>32524</v>
      </c>
      <c r="O9101" t="s">
        <v>32525</v>
      </c>
      <c r="P9101">
        <v>0</v>
      </c>
      <c r="Q9101">
        <v>0</v>
      </c>
      <c r="R9101" t="s">
        <v>32538</v>
      </c>
      <c r="S9101" t="s">
        <v>32872</v>
      </c>
      <c r="T9101" t="s">
        <v>33213</v>
      </c>
      <c r="U9101" t="s">
        <v>41149</v>
      </c>
      <c r="V9101" t="s">
        <v>43403</v>
      </c>
      <c r="W9101" t="s">
        <v>32266</v>
      </c>
      <c r="X9101" t="s">
        <v>43782</v>
      </c>
    </row>
    <row r="9102" spans="1:24">
      <c r="A9102">
        <f>HYPERLINK("https://www.philgeps.gov.ph/GEPSNONPILOT/Tender/SplashBidNoticeAbstractUI.aspx?menuIndex=3&amp;refID=7018260&amp;Result=3","7018260")</f>
        <v>0</v>
      </c>
      <c r="B9102" t="s">
        <v>2462</v>
      </c>
      <c r="C9102" t="s">
        <v>11382</v>
      </c>
      <c r="E9102" t="s">
        <v>21016</v>
      </c>
      <c r="F9102" t="s">
        <v>22436</v>
      </c>
      <c r="G9102" t="s">
        <v>22446</v>
      </c>
      <c r="H9102" t="s">
        <v>22452</v>
      </c>
      <c r="I9102" t="s">
        <v>6421</v>
      </c>
      <c r="J9102" t="s">
        <v>28354</v>
      </c>
      <c r="K9102" t="s">
        <v>29338</v>
      </c>
      <c r="M9102" t="s">
        <v>32266</v>
      </c>
      <c r="N9102" t="s">
        <v>32524</v>
      </c>
      <c r="O9102" t="s">
        <v>32525</v>
      </c>
      <c r="P9102">
        <v>0</v>
      </c>
      <c r="Q9102">
        <v>1</v>
      </c>
      <c r="R9102" t="s">
        <v>32538</v>
      </c>
      <c r="S9102" t="s">
        <v>32872</v>
      </c>
      <c r="T9102" t="s">
        <v>33213</v>
      </c>
      <c r="U9102" t="s">
        <v>41150</v>
      </c>
      <c r="V9102" t="s">
        <v>43403</v>
      </c>
      <c r="W9102" t="s">
        <v>32266</v>
      </c>
      <c r="X9102" t="s">
        <v>43782</v>
      </c>
    </row>
    <row r="9103" spans="1:24">
      <c r="A9103">
        <f>HYPERLINK("https://www.philgeps.gov.ph/GEPSNONPILOT/Tender/SplashBidNoticeAbstractUI.aspx?menuIndex=3&amp;refID=7019255&amp;Result=3","7019255")</f>
        <v>0</v>
      </c>
      <c r="B9103" t="s">
        <v>2462</v>
      </c>
      <c r="C9103" t="s">
        <v>11383</v>
      </c>
      <c r="E9103" t="s">
        <v>21017</v>
      </c>
      <c r="F9103" t="s">
        <v>22436</v>
      </c>
      <c r="G9103" t="s">
        <v>22446</v>
      </c>
      <c r="H9103" t="s">
        <v>22452</v>
      </c>
      <c r="I9103" t="s">
        <v>12358</v>
      </c>
      <c r="J9103" t="s">
        <v>26778</v>
      </c>
      <c r="K9103" t="s">
        <v>29338</v>
      </c>
      <c r="M9103" t="s">
        <v>32266</v>
      </c>
      <c r="N9103" t="s">
        <v>32524</v>
      </c>
      <c r="O9103" t="s">
        <v>32525</v>
      </c>
      <c r="P9103">
        <v>0</v>
      </c>
      <c r="Q9103">
        <v>0</v>
      </c>
      <c r="R9103" t="s">
        <v>32538</v>
      </c>
      <c r="S9103" t="s">
        <v>32872</v>
      </c>
      <c r="T9103" t="s">
        <v>33213</v>
      </c>
      <c r="U9103" t="s">
        <v>41151</v>
      </c>
      <c r="V9103" t="s">
        <v>43403</v>
      </c>
      <c r="W9103" t="s">
        <v>32266</v>
      </c>
      <c r="X9103" t="s">
        <v>43779</v>
      </c>
    </row>
    <row r="9104" spans="1:24">
      <c r="A9104">
        <f>HYPERLINK("https://www.philgeps.gov.ph/GEPSNONPILOT/Tender/SplashBidNoticeAbstractUI.aspx?menuIndex=3&amp;refID=7018106&amp;Result=3","7018106")</f>
        <v>0</v>
      </c>
      <c r="B9104" t="s">
        <v>2462</v>
      </c>
      <c r="C9104" t="s">
        <v>11384</v>
      </c>
      <c r="E9104" t="s">
        <v>21018</v>
      </c>
      <c r="F9104" t="s">
        <v>22436</v>
      </c>
      <c r="G9104" t="s">
        <v>22446</v>
      </c>
      <c r="H9104" t="s">
        <v>22452</v>
      </c>
      <c r="I9104" t="s">
        <v>3027</v>
      </c>
      <c r="J9104" t="s">
        <v>23794</v>
      </c>
      <c r="K9104" t="s">
        <v>29338</v>
      </c>
      <c r="M9104" t="s">
        <v>32266</v>
      </c>
      <c r="N9104" t="s">
        <v>32524</v>
      </c>
      <c r="O9104" t="s">
        <v>32525</v>
      </c>
      <c r="P9104">
        <v>0</v>
      </c>
      <c r="Q9104">
        <v>0</v>
      </c>
      <c r="R9104" t="s">
        <v>32538</v>
      </c>
      <c r="S9104" t="s">
        <v>32872</v>
      </c>
      <c r="T9104" t="s">
        <v>33213</v>
      </c>
      <c r="U9104" t="s">
        <v>41152</v>
      </c>
      <c r="V9104" t="s">
        <v>43403</v>
      </c>
      <c r="W9104" t="s">
        <v>32266</v>
      </c>
      <c r="X9104" t="s">
        <v>43782</v>
      </c>
    </row>
    <row r="9105" spans="1:24">
      <c r="A9105">
        <f>HYPERLINK("https://www.philgeps.gov.ph/GEPSNONPILOT/Tender/SplashBidNoticeAbstractUI.aspx?menuIndex=3&amp;refID=7018151&amp;Result=3","7018151")</f>
        <v>0</v>
      </c>
      <c r="B9105" t="s">
        <v>2462</v>
      </c>
      <c r="C9105" t="s">
        <v>11385</v>
      </c>
      <c r="E9105" t="s">
        <v>21019</v>
      </c>
      <c r="F9105" t="s">
        <v>22436</v>
      </c>
      <c r="G9105" t="s">
        <v>22446</v>
      </c>
      <c r="H9105" t="s">
        <v>22452</v>
      </c>
      <c r="I9105" t="s">
        <v>2981</v>
      </c>
      <c r="J9105" t="s">
        <v>24832</v>
      </c>
      <c r="K9105" t="s">
        <v>29338</v>
      </c>
      <c r="M9105" t="s">
        <v>32266</v>
      </c>
      <c r="N9105" t="s">
        <v>32524</v>
      </c>
      <c r="O9105" t="s">
        <v>32525</v>
      </c>
      <c r="P9105">
        <v>0</v>
      </c>
      <c r="Q9105">
        <v>0</v>
      </c>
      <c r="R9105" t="s">
        <v>32538</v>
      </c>
      <c r="S9105" t="s">
        <v>32872</v>
      </c>
      <c r="T9105" t="s">
        <v>33213</v>
      </c>
      <c r="U9105" t="s">
        <v>41153</v>
      </c>
      <c r="V9105" t="s">
        <v>43403</v>
      </c>
      <c r="W9105" t="s">
        <v>32266</v>
      </c>
      <c r="X9105" t="s">
        <v>43782</v>
      </c>
    </row>
    <row r="9106" spans="1:24">
      <c r="A9106">
        <f>HYPERLINK("https://www.philgeps.gov.ph/GEPSNONPILOT/Tender/SplashBidNoticeAbstractUI.aspx?menuIndex=3&amp;refID=7019231&amp;Result=3","7019231")</f>
        <v>0</v>
      </c>
      <c r="B9106" t="s">
        <v>2462</v>
      </c>
      <c r="C9106" t="s">
        <v>11386</v>
      </c>
      <c r="E9106" t="s">
        <v>21020</v>
      </c>
      <c r="F9106" t="s">
        <v>22436</v>
      </c>
      <c r="G9106" t="s">
        <v>22446</v>
      </c>
      <c r="H9106" t="s">
        <v>22452</v>
      </c>
      <c r="I9106" t="s">
        <v>12358</v>
      </c>
      <c r="J9106" t="s">
        <v>28355</v>
      </c>
      <c r="K9106" t="s">
        <v>29338</v>
      </c>
      <c r="M9106" t="s">
        <v>32266</v>
      </c>
      <c r="N9106" t="s">
        <v>32524</v>
      </c>
      <c r="O9106" t="s">
        <v>32525</v>
      </c>
      <c r="P9106">
        <v>0</v>
      </c>
      <c r="Q9106">
        <v>0</v>
      </c>
      <c r="R9106" t="s">
        <v>32538</v>
      </c>
      <c r="S9106" t="s">
        <v>32872</v>
      </c>
      <c r="T9106" t="s">
        <v>33213</v>
      </c>
      <c r="U9106" t="s">
        <v>41154</v>
      </c>
      <c r="V9106" t="s">
        <v>43403</v>
      </c>
      <c r="W9106" t="s">
        <v>32266</v>
      </c>
      <c r="X9106" t="s">
        <v>43779</v>
      </c>
    </row>
    <row r="9107" spans="1:24">
      <c r="A9107">
        <f>HYPERLINK("https://www.philgeps.gov.ph/GEPSNONPILOT/Tender/SplashBidNoticeAbstractUI.aspx?menuIndex=3&amp;refID=7019227&amp;Result=3","7019227")</f>
        <v>0</v>
      </c>
      <c r="B9107" t="s">
        <v>2462</v>
      </c>
      <c r="C9107" t="s">
        <v>11387</v>
      </c>
      <c r="E9107" t="s">
        <v>21021</v>
      </c>
      <c r="F9107" t="s">
        <v>22436</v>
      </c>
      <c r="G9107" t="s">
        <v>22446</v>
      </c>
      <c r="H9107" t="s">
        <v>22452</v>
      </c>
      <c r="I9107" t="s">
        <v>12358</v>
      </c>
      <c r="J9107" t="s">
        <v>28356</v>
      </c>
      <c r="K9107" t="s">
        <v>29338</v>
      </c>
      <c r="M9107" t="s">
        <v>32266</v>
      </c>
      <c r="N9107" t="s">
        <v>32524</v>
      </c>
      <c r="O9107" t="s">
        <v>32525</v>
      </c>
      <c r="P9107">
        <v>0</v>
      </c>
      <c r="Q9107">
        <v>0</v>
      </c>
      <c r="R9107" t="s">
        <v>32538</v>
      </c>
      <c r="S9107" t="s">
        <v>32872</v>
      </c>
      <c r="T9107" t="s">
        <v>33213</v>
      </c>
      <c r="U9107" t="s">
        <v>41155</v>
      </c>
      <c r="V9107" t="s">
        <v>43403</v>
      </c>
      <c r="W9107" t="s">
        <v>32266</v>
      </c>
      <c r="X9107" t="s">
        <v>43779</v>
      </c>
    </row>
    <row r="9108" spans="1:24">
      <c r="A9108">
        <f>HYPERLINK("https://www.philgeps.gov.ph/GEPSNONPILOT/Tender/SplashBidNoticeAbstractUI.aspx?menuIndex=3&amp;refID=7018128&amp;Result=3","7018128")</f>
        <v>0</v>
      </c>
      <c r="B9108" t="s">
        <v>2462</v>
      </c>
      <c r="C9108" t="s">
        <v>11388</v>
      </c>
      <c r="E9108" t="s">
        <v>21022</v>
      </c>
      <c r="F9108" t="s">
        <v>22436</v>
      </c>
      <c r="G9108" t="s">
        <v>22446</v>
      </c>
      <c r="H9108" t="s">
        <v>22452</v>
      </c>
      <c r="I9108" t="s">
        <v>3827</v>
      </c>
      <c r="J9108" t="s">
        <v>22865</v>
      </c>
      <c r="K9108" t="s">
        <v>29338</v>
      </c>
      <c r="M9108" t="s">
        <v>32266</v>
      </c>
      <c r="N9108" t="s">
        <v>32524</v>
      </c>
      <c r="O9108" t="s">
        <v>32525</v>
      </c>
      <c r="P9108">
        <v>0</v>
      </c>
      <c r="Q9108">
        <v>2</v>
      </c>
      <c r="R9108" t="s">
        <v>32538</v>
      </c>
      <c r="S9108" t="s">
        <v>32872</v>
      </c>
      <c r="T9108" t="s">
        <v>33213</v>
      </c>
      <c r="U9108" t="s">
        <v>41156</v>
      </c>
      <c r="V9108" t="s">
        <v>43403</v>
      </c>
      <c r="W9108" t="s">
        <v>32266</v>
      </c>
      <c r="X9108" t="s">
        <v>43782</v>
      </c>
    </row>
    <row r="9109" spans="1:24">
      <c r="A9109">
        <f>HYPERLINK("https://www.philgeps.gov.ph/GEPSNONPILOT/Tender/SplashBidNoticeAbstractUI.aspx?menuIndex=3&amp;refID=7019214&amp;Result=3","7019214")</f>
        <v>0</v>
      </c>
      <c r="B9109" t="s">
        <v>2462</v>
      </c>
      <c r="C9109" t="s">
        <v>11389</v>
      </c>
      <c r="E9109" t="s">
        <v>21023</v>
      </c>
      <c r="F9109" t="s">
        <v>22436</v>
      </c>
      <c r="G9109" t="s">
        <v>22446</v>
      </c>
      <c r="H9109" t="s">
        <v>22452</v>
      </c>
      <c r="I9109" t="s">
        <v>11896</v>
      </c>
      <c r="J9109" t="s">
        <v>28357</v>
      </c>
      <c r="K9109" t="s">
        <v>29338</v>
      </c>
      <c r="M9109" t="s">
        <v>32266</v>
      </c>
      <c r="N9109" t="s">
        <v>32524</v>
      </c>
      <c r="O9109" t="s">
        <v>32525</v>
      </c>
      <c r="P9109">
        <v>0</v>
      </c>
      <c r="Q9109">
        <v>1</v>
      </c>
      <c r="R9109" t="s">
        <v>32538</v>
      </c>
      <c r="S9109" t="s">
        <v>32872</v>
      </c>
      <c r="T9109" t="s">
        <v>33213</v>
      </c>
      <c r="U9109" t="s">
        <v>41157</v>
      </c>
      <c r="V9109" t="s">
        <v>43403</v>
      </c>
      <c r="W9109" t="s">
        <v>32266</v>
      </c>
      <c r="X9109" t="s">
        <v>43779</v>
      </c>
    </row>
    <row r="9110" spans="1:24">
      <c r="A9110">
        <f>HYPERLINK("https://www.philgeps.gov.ph/GEPSNONPILOT/Tender/SplashBidNoticeAbstractUI.aspx?menuIndex=3&amp;refID=7019500&amp;Result=3","7019500")</f>
        <v>0</v>
      </c>
      <c r="B9110" t="s">
        <v>64</v>
      </c>
      <c r="C9110" t="s">
        <v>11390</v>
      </c>
      <c r="D9110" t="s">
        <v>13016</v>
      </c>
      <c r="E9110" t="s">
        <v>21024</v>
      </c>
      <c r="F9110" t="s">
        <v>22436</v>
      </c>
      <c r="G9110" t="s">
        <v>22443</v>
      </c>
      <c r="H9110" t="s">
        <v>22452</v>
      </c>
      <c r="I9110" t="s">
        <v>22486</v>
      </c>
      <c r="J9110" t="s">
        <v>23145</v>
      </c>
      <c r="K9110" t="s">
        <v>29331</v>
      </c>
      <c r="M9110" t="s">
        <v>31664</v>
      </c>
      <c r="N9110" t="s">
        <v>32524</v>
      </c>
      <c r="O9110" t="s">
        <v>32525</v>
      </c>
      <c r="P9110">
        <v>0</v>
      </c>
      <c r="Q9110">
        <v>1</v>
      </c>
      <c r="R9110" t="s">
        <v>32538</v>
      </c>
      <c r="S9110" t="s">
        <v>32872</v>
      </c>
      <c r="T9110" t="s">
        <v>33197</v>
      </c>
      <c r="U9110" t="s">
        <v>41158</v>
      </c>
      <c r="W9110" t="s">
        <v>31664</v>
      </c>
      <c r="X9110" t="s">
        <v>43779</v>
      </c>
    </row>
    <row r="9111" spans="1:24">
      <c r="A9111">
        <f>HYPERLINK("https://www.philgeps.gov.ph/GEPSNONPILOT/Tender/SplashBidNoticeAbstractUI.aspx?menuIndex=3&amp;refID=7019211&amp;Result=3","7019211")</f>
        <v>0</v>
      </c>
      <c r="B9111" t="s">
        <v>2462</v>
      </c>
      <c r="C9111" t="s">
        <v>11391</v>
      </c>
      <c r="E9111" t="s">
        <v>21025</v>
      </c>
      <c r="F9111" t="s">
        <v>22436</v>
      </c>
      <c r="G9111" t="s">
        <v>22446</v>
      </c>
      <c r="H9111" t="s">
        <v>22452</v>
      </c>
      <c r="I9111" t="s">
        <v>12358</v>
      </c>
      <c r="J9111" t="s">
        <v>28358</v>
      </c>
      <c r="K9111" t="s">
        <v>29338</v>
      </c>
      <c r="M9111" t="s">
        <v>32266</v>
      </c>
      <c r="N9111" t="s">
        <v>32524</v>
      </c>
      <c r="O9111" t="s">
        <v>32525</v>
      </c>
      <c r="P9111">
        <v>0</v>
      </c>
      <c r="Q9111">
        <v>0</v>
      </c>
      <c r="R9111" t="s">
        <v>32538</v>
      </c>
      <c r="S9111" t="s">
        <v>32872</v>
      </c>
      <c r="T9111" t="s">
        <v>33213</v>
      </c>
      <c r="U9111" t="s">
        <v>41159</v>
      </c>
      <c r="V9111" t="s">
        <v>43403</v>
      </c>
      <c r="W9111" t="s">
        <v>32266</v>
      </c>
      <c r="X9111" t="s">
        <v>43779</v>
      </c>
    </row>
    <row r="9112" spans="1:24">
      <c r="A9112">
        <f>HYPERLINK("https://www.philgeps.gov.ph/GEPSNONPILOT/Tender/SplashBidNoticeAbstractUI.aspx?menuIndex=3&amp;refID=7019435&amp;Result=3","7019435")</f>
        <v>0</v>
      </c>
      <c r="B9112" t="s">
        <v>2462</v>
      </c>
      <c r="C9112" t="s">
        <v>11392</v>
      </c>
      <c r="E9112" t="s">
        <v>21026</v>
      </c>
      <c r="F9112" t="s">
        <v>22436</v>
      </c>
      <c r="G9112" t="s">
        <v>22444</v>
      </c>
      <c r="H9112" t="s">
        <v>22452</v>
      </c>
      <c r="I9112" t="s">
        <v>6421</v>
      </c>
      <c r="J9112" t="s">
        <v>28359</v>
      </c>
      <c r="K9112" t="s">
        <v>29338</v>
      </c>
      <c r="M9112" t="s">
        <v>32266</v>
      </c>
      <c r="N9112" t="s">
        <v>32524</v>
      </c>
      <c r="O9112" t="s">
        <v>32525</v>
      </c>
      <c r="P9112">
        <v>0</v>
      </c>
      <c r="Q9112">
        <v>1</v>
      </c>
      <c r="R9112" t="s">
        <v>32538</v>
      </c>
      <c r="S9112" t="s">
        <v>32872</v>
      </c>
      <c r="T9112" t="s">
        <v>33213</v>
      </c>
      <c r="U9112" t="s">
        <v>41160</v>
      </c>
      <c r="V9112" t="s">
        <v>43403</v>
      </c>
      <c r="W9112" t="s">
        <v>32266</v>
      </c>
      <c r="X9112" t="s">
        <v>43779</v>
      </c>
    </row>
    <row r="9113" spans="1:24">
      <c r="A9113">
        <f>HYPERLINK("https://www.philgeps.gov.ph/GEPSNONPILOT/Tender/SplashBidNoticeAbstractUI.aspx?menuIndex=3&amp;refID=7019827&amp;Result=3","7019827")</f>
        <v>0</v>
      </c>
      <c r="B9113" t="s">
        <v>39</v>
      </c>
      <c r="C9113" t="s">
        <v>11393</v>
      </c>
      <c r="E9113" t="s">
        <v>21027</v>
      </c>
      <c r="F9113" t="s">
        <v>22436</v>
      </c>
      <c r="G9113" t="s">
        <v>22444</v>
      </c>
      <c r="H9113" t="s">
        <v>22452</v>
      </c>
      <c r="I9113" t="s">
        <v>22458</v>
      </c>
      <c r="J9113" t="s">
        <v>23093</v>
      </c>
      <c r="K9113" t="s">
        <v>29338</v>
      </c>
      <c r="M9113" t="s">
        <v>29610</v>
      </c>
      <c r="N9113" t="s">
        <v>32524</v>
      </c>
      <c r="O9113" t="s">
        <v>32525</v>
      </c>
      <c r="Q9113">
        <v>8</v>
      </c>
      <c r="R9113" t="s">
        <v>32538</v>
      </c>
      <c r="S9113" t="s">
        <v>32877</v>
      </c>
      <c r="T9113" t="s">
        <v>33168</v>
      </c>
      <c r="U9113" t="s">
        <v>41161</v>
      </c>
      <c r="W9113" t="s">
        <v>29610</v>
      </c>
      <c r="X9113" t="s">
        <v>43779</v>
      </c>
    </row>
    <row r="9114" spans="1:24">
      <c r="A9114">
        <f>HYPERLINK("https://www.philgeps.gov.ph/GEPSNONPILOT/Tender/SplashBidNoticeAbstractUI.aspx?menuIndex=3&amp;refID=7019220&amp;Result=3","7019220")</f>
        <v>0</v>
      </c>
      <c r="B9114" t="s">
        <v>2462</v>
      </c>
      <c r="C9114" t="s">
        <v>11394</v>
      </c>
      <c r="E9114" t="s">
        <v>21028</v>
      </c>
      <c r="F9114" t="s">
        <v>22436</v>
      </c>
      <c r="G9114" t="s">
        <v>22446</v>
      </c>
      <c r="H9114" t="s">
        <v>22452</v>
      </c>
      <c r="I9114" t="s">
        <v>12358</v>
      </c>
      <c r="J9114" t="s">
        <v>23359</v>
      </c>
      <c r="K9114" t="s">
        <v>29338</v>
      </c>
      <c r="M9114" t="s">
        <v>32266</v>
      </c>
      <c r="N9114" t="s">
        <v>32524</v>
      </c>
      <c r="O9114" t="s">
        <v>32525</v>
      </c>
      <c r="P9114">
        <v>0</v>
      </c>
      <c r="Q9114">
        <v>0</v>
      </c>
      <c r="R9114" t="s">
        <v>32538</v>
      </c>
      <c r="S9114" t="s">
        <v>32872</v>
      </c>
      <c r="T9114" t="s">
        <v>33213</v>
      </c>
      <c r="U9114" t="s">
        <v>41162</v>
      </c>
      <c r="V9114" t="s">
        <v>43403</v>
      </c>
      <c r="W9114" t="s">
        <v>32266</v>
      </c>
      <c r="X9114" t="s">
        <v>43779</v>
      </c>
    </row>
    <row r="9115" spans="1:24">
      <c r="A9115">
        <f>HYPERLINK("https://www.philgeps.gov.ph/GEPSNONPILOT/Tender/SplashBidNoticeAbstractUI.aspx?menuIndex=3&amp;refID=7019815&amp;Result=3","7019815")</f>
        <v>0</v>
      </c>
      <c r="B9115" t="s">
        <v>39</v>
      </c>
      <c r="C9115" t="s">
        <v>11395</v>
      </c>
      <c r="E9115" t="s">
        <v>21029</v>
      </c>
      <c r="F9115" t="s">
        <v>22436</v>
      </c>
      <c r="G9115" t="s">
        <v>22444</v>
      </c>
      <c r="H9115" t="s">
        <v>22452</v>
      </c>
      <c r="I9115" t="s">
        <v>22458</v>
      </c>
      <c r="J9115" t="s">
        <v>28360</v>
      </c>
      <c r="K9115" t="s">
        <v>29338</v>
      </c>
      <c r="M9115" t="s">
        <v>29610</v>
      </c>
      <c r="N9115" t="s">
        <v>32524</v>
      </c>
      <c r="O9115" t="s">
        <v>32525</v>
      </c>
      <c r="Q9115">
        <v>9</v>
      </c>
      <c r="R9115" t="s">
        <v>32538</v>
      </c>
      <c r="S9115" t="s">
        <v>32878</v>
      </c>
      <c r="T9115" t="s">
        <v>33168</v>
      </c>
      <c r="U9115" t="s">
        <v>41163</v>
      </c>
      <c r="W9115" t="s">
        <v>29610</v>
      </c>
      <c r="X9115" t="s">
        <v>43779</v>
      </c>
    </row>
    <row r="9116" spans="1:24">
      <c r="A9116">
        <f>HYPERLINK("https://www.philgeps.gov.ph/GEPSNONPILOT/Tender/SplashBidNoticeAbstractUI.aspx?menuIndex=3&amp;refID=7019497&amp;Result=3","7019497")</f>
        <v>0</v>
      </c>
      <c r="B9116" t="s">
        <v>2462</v>
      </c>
      <c r="C9116" t="s">
        <v>11396</v>
      </c>
      <c r="E9116" t="s">
        <v>21030</v>
      </c>
      <c r="F9116" t="s">
        <v>22436</v>
      </c>
      <c r="G9116" t="s">
        <v>22446</v>
      </c>
      <c r="H9116" t="s">
        <v>22452</v>
      </c>
      <c r="I9116" t="s">
        <v>6421</v>
      </c>
      <c r="J9116" t="s">
        <v>28361</v>
      </c>
      <c r="K9116" t="s">
        <v>29338</v>
      </c>
      <c r="M9116" t="s">
        <v>32266</v>
      </c>
      <c r="N9116" t="s">
        <v>32524</v>
      </c>
      <c r="O9116" t="s">
        <v>32525</v>
      </c>
      <c r="P9116">
        <v>0</v>
      </c>
      <c r="Q9116">
        <v>1</v>
      </c>
      <c r="R9116" t="s">
        <v>32538</v>
      </c>
      <c r="S9116" t="s">
        <v>32872</v>
      </c>
      <c r="T9116" t="s">
        <v>33213</v>
      </c>
      <c r="U9116" t="s">
        <v>41164</v>
      </c>
      <c r="V9116" t="s">
        <v>43403</v>
      </c>
      <c r="W9116" t="s">
        <v>32266</v>
      </c>
      <c r="X9116" t="s">
        <v>43779</v>
      </c>
    </row>
    <row r="9117" spans="1:24">
      <c r="A9117">
        <f>HYPERLINK("https://www.philgeps.gov.ph/GEPSNONPILOT/Tender/SplashBidNoticeAbstractUI.aspx?menuIndex=3&amp;refID=7019834&amp;Result=3","7019834")</f>
        <v>0</v>
      </c>
      <c r="B9117" t="s">
        <v>2504</v>
      </c>
      <c r="C9117" t="s">
        <v>11397</v>
      </c>
      <c r="D9117" t="s">
        <v>13062</v>
      </c>
      <c r="E9117" t="s">
        <v>13182</v>
      </c>
      <c r="F9117" t="s">
        <v>22436</v>
      </c>
      <c r="G9117" t="s">
        <v>22444</v>
      </c>
      <c r="H9117" t="s">
        <v>22454</v>
      </c>
      <c r="I9117" t="s">
        <v>7738</v>
      </c>
      <c r="J9117" t="s">
        <v>22893</v>
      </c>
      <c r="K9117" t="s">
        <v>29333</v>
      </c>
      <c r="M9117" t="s">
        <v>32311</v>
      </c>
      <c r="N9117" t="s">
        <v>32524</v>
      </c>
      <c r="O9117" t="s">
        <v>32525</v>
      </c>
      <c r="P9117">
        <v>0</v>
      </c>
      <c r="Q9117">
        <v>0</v>
      </c>
      <c r="R9117" t="s">
        <v>32538</v>
      </c>
      <c r="S9117" t="s">
        <v>32872</v>
      </c>
      <c r="T9117" t="s">
        <v>33155</v>
      </c>
      <c r="U9117" t="s">
        <v>41165</v>
      </c>
      <c r="W9117" t="s">
        <v>32311</v>
      </c>
      <c r="X9117" t="s">
        <v>43779</v>
      </c>
    </row>
    <row r="9118" spans="1:24">
      <c r="A9118">
        <f>HYPERLINK("https://www.philgeps.gov.ph/GEPSNONPILOT/Tender/SplashBidNoticeAbstractUI.aspx?menuIndex=3&amp;refID=7019295&amp;Result=3","7019295")</f>
        <v>0</v>
      </c>
      <c r="B9118" t="s">
        <v>39</v>
      </c>
      <c r="C9118" t="s">
        <v>11398</v>
      </c>
      <c r="E9118" t="s">
        <v>21031</v>
      </c>
      <c r="F9118" t="s">
        <v>22436</v>
      </c>
      <c r="G9118" t="s">
        <v>22444</v>
      </c>
      <c r="H9118" t="s">
        <v>22452</v>
      </c>
      <c r="I9118" t="s">
        <v>22458</v>
      </c>
      <c r="J9118" t="s">
        <v>27476</v>
      </c>
      <c r="K9118" t="s">
        <v>29338</v>
      </c>
      <c r="M9118" t="s">
        <v>29610</v>
      </c>
      <c r="N9118" t="s">
        <v>32524</v>
      </c>
      <c r="O9118" t="s">
        <v>32525</v>
      </c>
      <c r="Q9118">
        <v>13</v>
      </c>
      <c r="R9118" t="s">
        <v>32538</v>
      </c>
      <c r="S9118" t="s">
        <v>32879</v>
      </c>
      <c r="T9118" t="s">
        <v>33168</v>
      </c>
      <c r="U9118" t="s">
        <v>41166</v>
      </c>
      <c r="W9118" t="s">
        <v>29610</v>
      </c>
      <c r="X9118" t="s">
        <v>43779</v>
      </c>
    </row>
    <row r="9119" spans="1:24">
      <c r="A9119">
        <f>HYPERLINK("https://www.philgeps.gov.ph/GEPSNONPILOT/Tender/SplashBidNoticeAbstractUI.aspx?menuIndex=3&amp;refID=7019923&amp;Result=3","7019923")</f>
        <v>0</v>
      </c>
      <c r="B9119" t="s">
        <v>2462</v>
      </c>
      <c r="C9119" t="s">
        <v>11399</v>
      </c>
      <c r="E9119" t="s">
        <v>21032</v>
      </c>
      <c r="F9119" t="s">
        <v>22436</v>
      </c>
      <c r="G9119" t="s">
        <v>22446</v>
      </c>
      <c r="H9119" t="s">
        <v>22452</v>
      </c>
      <c r="I9119" t="s">
        <v>2981</v>
      </c>
      <c r="J9119" t="s">
        <v>24832</v>
      </c>
      <c r="K9119" t="s">
        <v>29338</v>
      </c>
      <c r="M9119" t="s">
        <v>32266</v>
      </c>
      <c r="N9119" t="s">
        <v>32524</v>
      </c>
      <c r="O9119" t="s">
        <v>32525</v>
      </c>
      <c r="P9119">
        <v>0</v>
      </c>
      <c r="Q9119">
        <v>0</v>
      </c>
      <c r="R9119" t="s">
        <v>32538</v>
      </c>
      <c r="S9119" t="s">
        <v>32872</v>
      </c>
      <c r="T9119" t="s">
        <v>33213</v>
      </c>
      <c r="U9119" t="s">
        <v>41167</v>
      </c>
      <c r="V9119" t="s">
        <v>43403</v>
      </c>
      <c r="W9119" t="s">
        <v>32266</v>
      </c>
      <c r="X9119" t="s">
        <v>43779</v>
      </c>
    </row>
    <row r="9120" spans="1:24">
      <c r="A9120">
        <f>HYPERLINK("https://www.philgeps.gov.ph/GEPSNONPILOT/Tender/SplashBidNoticeAbstractUI.aspx?menuIndex=3&amp;refID=7019887&amp;Result=3","7019887")</f>
        <v>0</v>
      </c>
      <c r="B9120" t="s">
        <v>39</v>
      </c>
      <c r="C9120" t="s">
        <v>11400</v>
      </c>
      <c r="E9120" t="s">
        <v>21033</v>
      </c>
      <c r="F9120" t="s">
        <v>22436</v>
      </c>
      <c r="G9120" t="s">
        <v>22444</v>
      </c>
      <c r="H9120" t="s">
        <v>22452</v>
      </c>
      <c r="I9120" t="s">
        <v>22458</v>
      </c>
      <c r="J9120" t="s">
        <v>25839</v>
      </c>
      <c r="K9120" t="s">
        <v>29338</v>
      </c>
      <c r="M9120" t="s">
        <v>29610</v>
      </c>
      <c r="N9120" t="s">
        <v>32524</v>
      </c>
      <c r="O9120" t="s">
        <v>32525</v>
      </c>
      <c r="Q9120">
        <v>17</v>
      </c>
      <c r="R9120" t="s">
        <v>32538</v>
      </c>
      <c r="S9120" t="s">
        <v>32880</v>
      </c>
      <c r="T9120" t="s">
        <v>33168</v>
      </c>
      <c r="U9120" t="s">
        <v>41168</v>
      </c>
      <c r="W9120" t="s">
        <v>29610</v>
      </c>
      <c r="X9120" t="s">
        <v>43779</v>
      </c>
    </row>
    <row r="9121" spans="1:24">
      <c r="A9121">
        <f>HYPERLINK("https://www.philgeps.gov.ph/GEPSNONPILOT/Tender/SplashBidNoticeAbstractUI.aspx?menuIndex=3&amp;refID=7019939&amp;Result=3","7019939")</f>
        <v>0</v>
      </c>
      <c r="B9121" t="s">
        <v>2462</v>
      </c>
      <c r="C9121" t="s">
        <v>11401</v>
      </c>
      <c r="E9121" t="s">
        <v>21034</v>
      </c>
      <c r="F9121" t="s">
        <v>22436</v>
      </c>
      <c r="G9121" t="s">
        <v>22446</v>
      </c>
      <c r="H9121" t="s">
        <v>22452</v>
      </c>
      <c r="I9121" t="s">
        <v>2981</v>
      </c>
      <c r="J9121" t="s">
        <v>24832</v>
      </c>
      <c r="K9121" t="s">
        <v>29338</v>
      </c>
      <c r="M9121" t="s">
        <v>32266</v>
      </c>
      <c r="N9121" t="s">
        <v>32524</v>
      </c>
      <c r="O9121" t="s">
        <v>32525</v>
      </c>
      <c r="P9121">
        <v>0</v>
      </c>
      <c r="Q9121">
        <v>0</v>
      </c>
      <c r="R9121" t="s">
        <v>32538</v>
      </c>
      <c r="S9121" t="s">
        <v>32872</v>
      </c>
      <c r="T9121" t="s">
        <v>33213</v>
      </c>
      <c r="U9121" t="s">
        <v>41169</v>
      </c>
      <c r="V9121" t="s">
        <v>43403</v>
      </c>
      <c r="W9121" t="s">
        <v>32266</v>
      </c>
      <c r="X9121" t="s">
        <v>43779</v>
      </c>
    </row>
    <row r="9122" spans="1:24">
      <c r="A9122">
        <f>HYPERLINK("https://www.philgeps.gov.ph/GEPSNONPILOT/Tender/SplashBidNoticeAbstractUI.aspx?menuIndex=3&amp;refID=7019867&amp;Result=3","7019867")</f>
        <v>0</v>
      </c>
      <c r="B9122" t="s">
        <v>39</v>
      </c>
      <c r="C9122" t="s">
        <v>11402</v>
      </c>
      <c r="E9122" t="s">
        <v>21035</v>
      </c>
      <c r="F9122" t="s">
        <v>22436</v>
      </c>
      <c r="G9122" t="s">
        <v>22444</v>
      </c>
      <c r="H9122" t="s">
        <v>22452</v>
      </c>
      <c r="I9122" t="s">
        <v>22458</v>
      </c>
      <c r="J9122" t="s">
        <v>22893</v>
      </c>
      <c r="K9122" t="s">
        <v>29338</v>
      </c>
      <c r="M9122" t="s">
        <v>29610</v>
      </c>
      <c r="N9122" t="s">
        <v>32524</v>
      </c>
      <c r="O9122" t="s">
        <v>32525</v>
      </c>
      <c r="Q9122">
        <v>11</v>
      </c>
      <c r="R9122" t="s">
        <v>32538</v>
      </c>
      <c r="S9122" t="s">
        <v>32881</v>
      </c>
      <c r="T9122" t="s">
        <v>33168</v>
      </c>
      <c r="U9122" t="s">
        <v>41170</v>
      </c>
      <c r="W9122" t="s">
        <v>29610</v>
      </c>
      <c r="X9122" t="s">
        <v>43779</v>
      </c>
    </row>
    <row r="9123" spans="1:24">
      <c r="A9123">
        <f>HYPERLINK("https://www.philgeps.gov.ph/GEPSNONPILOT/Tender/SplashBidNoticeAbstractUI.aspx?menuIndex=3&amp;refID=7019898&amp;Result=3","7019898")</f>
        <v>0</v>
      </c>
      <c r="B9123" t="s">
        <v>2462</v>
      </c>
      <c r="C9123" t="s">
        <v>11403</v>
      </c>
      <c r="E9123" t="s">
        <v>21032</v>
      </c>
      <c r="F9123" t="s">
        <v>22436</v>
      </c>
      <c r="G9123" t="s">
        <v>22444</v>
      </c>
      <c r="H9123" t="s">
        <v>22452</v>
      </c>
      <c r="I9123" t="s">
        <v>2981</v>
      </c>
      <c r="J9123" t="s">
        <v>28362</v>
      </c>
      <c r="K9123" t="s">
        <v>29338</v>
      </c>
      <c r="M9123" t="s">
        <v>32266</v>
      </c>
      <c r="N9123" t="s">
        <v>32524</v>
      </c>
      <c r="O9123" t="s">
        <v>32525</v>
      </c>
      <c r="P9123">
        <v>0</v>
      </c>
      <c r="Q9123">
        <v>0</v>
      </c>
      <c r="R9123" t="s">
        <v>32538</v>
      </c>
      <c r="S9123" t="s">
        <v>32872</v>
      </c>
      <c r="T9123" t="s">
        <v>33213</v>
      </c>
      <c r="U9123" t="s">
        <v>41171</v>
      </c>
      <c r="V9123" t="s">
        <v>43403</v>
      </c>
      <c r="W9123" t="s">
        <v>32266</v>
      </c>
      <c r="X9123" t="s">
        <v>43779</v>
      </c>
    </row>
    <row r="9124" spans="1:24">
      <c r="A9124">
        <f>HYPERLINK("https://www.philgeps.gov.ph/GEPSNONPILOT/Tender/SplashBidNoticeAbstractUI.aspx?menuIndex=3&amp;refID=7019849&amp;Result=3","7019849")</f>
        <v>0</v>
      </c>
      <c r="B9124" t="s">
        <v>2462</v>
      </c>
      <c r="C9124" t="s">
        <v>11404</v>
      </c>
      <c r="E9124" t="s">
        <v>21036</v>
      </c>
      <c r="F9124" t="s">
        <v>22436</v>
      </c>
      <c r="G9124" t="s">
        <v>22444</v>
      </c>
      <c r="H9124" t="s">
        <v>22452</v>
      </c>
      <c r="I9124" t="s">
        <v>2981</v>
      </c>
      <c r="J9124" t="s">
        <v>28363</v>
      </c>
      <c r="K9124" t="s">
        <v>29338</v>
      </c>
      <c r="M9124" t="s">
        <v>32266</v>
      </c>
      <c r="N9124" t="s">
        <v>32524</v>
      </c>
      <c r="O9124" t="s">
        <v>32525</v>
      </c>
      <c r="P9124">
        <v>0</v>
      </c>
      <c r="Q9124">
        <v>0</v>
      </c>
      <c r="R9124" t="s">
        <v>32538</v>
      </c>
      <c r="S9124" t="s">
        <v>32872</v>
      </c>
      <c r="T9124" t="s">
        <v>33213</v>
      </c>
      <c r="U9124" t="s">
        <v>41172</v>
      </c>
      <c r="V9124" t="s">
        <v>43403</v>
      </c>
      <c r="W9124" t="s">
        <v>32266</v>
      </c>
      <c r="X9124" t="s">
        <v>43779</v>
      </c>
    </row>
    <row r="9125" spans="1:24">
      <c r="A9125">
        <f>HYPERLINK("https://www.philgeps.gov.ph/GEPSNONPILOT/Tender/SplashBidNoticeAbstractUI.aspx?menuIndex=3&amp;refID=7019845&amp;Result=3","7019845")</f>
        <v>0</v>
      </c>
      <c r="B9125" t="s">
        <v>39</v>
      </c>
      <c r="C9125" t="s">
        <v>11405</v>
      </c>
      <c r="E9125" t="s">
        <v>21037</v>
      </c>
      <c r="F9125" t="s">
        <v>22436</v>
      </c>
      <c r="G9125" t="s">
        <v>22444</v>
      </c>
      <c r="H9125" t="s">
        <v>22452</v>
      </c>
      <c r="I9125" t="s">
        <v>22458</v>
      </c>
      <c r="J9125" t="s">
        <v>24255</v>
      </c>
      <c r="K9125" t="s">
        <v>29338</v>
      </c>
      <c r="M9125" t="s">
        <v>29610</v>
      </c>
      <c r="N9125" t="s">
        <v>32524</v>
      </c>
      <c r="O9125" t="s">
        <v>32525</v>
      </c>
      <c r="Q9125">
        <v>7</v>
      </c>
      <c r="R9125" t="s">
        <v>32538</v>
      </c>
      <c r="S9125" t="s">
        <v>32882</v>
      </c>
      <c r="T9125" t="s">
        <v>33168</v>
      </c>
      <c r="U9125" t="s">
        <v>41173</v>
      </c>
      <c r="W9125" t="s">
        <v>29610</v>
      </c>
      <c r="X9125" t="s">
        <v>43779</v>
      </c>
    </row>
    <row r="9126" spans="1:24">
      <c r="A9126">
        <f>HYPERLINK("https://www.philgeps.gov.ph/GEPSNONPILOT/Tender/SplashBidNoticeAbstractUI.aspx?menuIndex=3&amp;refID=7019881&amp;Result=3","7019881")</f>
        <v>0</v>
      </c>
      <c r="B9126" t="s">
        <v>39</v>
      </c>
      <c r="C9126" t="s">
        <v>11406</v>
      </c>
      <c r="E9126" t="s">
        <v>21038</v>
      </c>
      <c r="F9126" t="s">
        <v>22436</v>
      </c>
      <c r="G9126" t="s">
        <v>22444</v>
      </c>
      <c r="H9126" t="s">
        <v>22452</v>
      </c>
      <c r="I9126" t="s">
        <v>22458</v>
      </c>
      <c r="J9126" t="s">
        <v>28364</v>
      </c>
      <c r="K9126" t="s">
        <v>29338</v>
      </c>
      <c r="M9126" t="s">
        <v>29610</v>
      </c>
      <c r="N9126" t="s">
        <v>32524</v>
      </c>
      <c r="O9126" t="s">
        <v>32525</v>
      </c>
      <c r="Q9126">
        <v>27</v>
      </c>
      <c r="R9126" t="s">
        <v>32538</v>
      </c>
      <c r="S9126" t="s">
        <v>32883</v>
      </c>
      <c r="T9126" t="s">
        <v>33168</v>
      </c>
      <c r="U9126" t="s">
        <v>41174</v>
      </c>
      <c r="W9126" t="s">
        <v>29610</v>
      </c>
      <c r="X9126" t="s">
        <v>43779</v>
      </c>
    </row>
    <row r="9127" spans="1:24">
      <c r="A9127">
        <f>HYPERLINK("https://www.philgeps.gov.ph/GEPSNONPILOT/Tender/SplashBidNoticeAbstractUI.aspx?menuIndex=3&amp;refID=7019908&amp;Result=3","7019908")</f>
        <v>0</v>
      </c>
      <c r="B9127" t="s">
        <v>2505</v>
      </c>
      <c r="C9127" t="s">
        <v>11407</v>
      </c>
      <c r="D9127" t="s">
        <v>13011</v>
      </c>
      <c r="E9127" t="s">
        <v>21039</v>
      </c>
      <c r="F9127" t="s">
        <v>22436</v>
      </c>
      <c r="G9127" t="s">
        <v>22444</v>
      </c>
      <c r="H9127" t="s">
        <v>22454</v>
      </c>
      <c r="I9127" t="s">
        <v>7738</v>
      </c>
      <c r="J9127" t="s">
        <v>22943</v>
      </c>
      <c r="K9127" t="s">
        <v>29334</v>
      </c>
      <c r="M9127" t="s">
        <v>32312</v>
      </c>
      <c r="N9127" t="s">
        <v>32524</v>
      </c>
      <c r="O9127" t="s">
        <v>32525</v>
      </c>
      <c r="P9127">
        <v>0</v>
      </c>
      <c r="Q9127">
        <v>0</v>
      </c>
      <c r="R9127" t="s">
        <v>32538</v>
      </c>
      <c r="S9127" t="s">
        <v>32872</v>
      </c>
      <c r="T9127" t="s">
        <v>33375</v>
      </c>
      <c r="U9127" t="s">
        <v>41175</v>
      </c>
      <c r="W9127" t="s">
        <v>32312</v>
      </c>
      <c r="X9127" t="s">
        <v>43779</v>
      </c>
    </row>
    <row r="9128" spans="1:24">
      <c r="A9128">
        <f>HYPERLINK("https://www.philgeps.gov.ph/GEPSNONPILOT/Tender/SplashBidNoticeAbstractUI.aspx?menuIndex=3&amp;refID=7020073&amp;Result=3","7020073")</f>
        <v>0</v>
      </c>
      <c r="B9128" t="s">
        <v>2462</v>
      </c>
      <c r="C9128" t="s">
        <v>11408</v>
      </c>
      <c r="E9128" t="s">
        <v>21040</v>
      </c>
      <c r="F9128" t="s">
        <v>22436</v>
      </c>
      <c r="G9128" t="s">
        <v>22446</v>
      </c>
      <c r="H9128" t="s">
        <v>22452</v>
      </c>
      <c r="I9128" t="s">
        <v>12358</v>
      </c>
      <c r="J9128" t="s">
        <v>28365</v>
      </c>
      <c r="K9128" t="s">
        <v>29338</v>
      </c>
      <c r="M9128" t="s">
        <v>32266</v>
      </c>
      <c r="N9128" t="s">
        <v>32524</v>
      </c>
      <c r="O9128" t="s">
        <v>32525</v>
      </c>
      <c r="P9128">
        <v>0</v>
      </c>
      <c r="Q9128">
        <v>0</v>
      </c>
      <c r="R9128" t="s">
        <v>32538</v>
      </c>
      <c r="S9128" t="s">
        <v>32872</v>
      </c>
      <c r="T9128" t="s">
        <v>33213</v>
      </c>
      <c r="U9128" t="s">
        <v>41176</v>
      </c>
      <c r="V9128" t="s">
        <v>43403</v>
      </c>
      <c r="W9128" t="s">
        <v>32266</v>
      </c>
      <c r="X9128" t="s">
        <v>43779</v>
      </c>
    </row>
    <row r="9129" spans="1:24">
      <c r="A9129">
        <f>HYPERLINK("https://www.philgeps.gov.ph/GEPSNONPILOT/Tender/SplashBidNoticeAbstractUI.aspx?menuIndex=3&amp;refID=7019861&amp;Result=3","7019861")</f>
        <v>0</v>
      </c>
      <c r="B9129" t="s">
        <v>39</v>
      </c>
      <c r="C9129" t="s">
        <v>11409</v>
      </c>
      <c r="E9129" t="s">
        <v>21041</v>
      </c>
      <c r="F9129" t="s">
        <v>22436</v>
      </c>
      <c r="G9129" t="s">
        <v>22444</v>
      </c>
      <c r="H9129" t="s">
        <v>22452</v>
      </c>
      <c r="I9129" t="s">
        <v>22458</v>
      </c>
      <c r="J9129" t="s">
        <v>22875</v>
      </c>
      <c r="K9129" t="s">
        <v>29338</v>
      </c>
      <c r="M9129" t="s">
        <v>29610</v>
      </c>
      <c r="N9129" t="s">
        <v>32524</v>
      </c>
      <c r="O9129" t="s">
        <v>32525</v>
      </c>
      <c r="Q9129">
        <v>5</v>
      </c>
      <c r="R9129" t="s">
        <v>32538</v>
      </c>
      <c r="S9129" t="s">
        <v>32884</v>
      </c>
      <c r="T9129" t="s">
        <v>33168</v>
      </c>
      <c r="U9129" t="s">
        <v>41177</v>
      </c>
      <c r="W9129" t="s">
        <v>29610</v>
      </c>
      <c r="X9129" t="s">
        <v>43779</v>
      </c>
    </row>
    <row r="9130" spans="1:24">
      <c r="A9130">
        <f>HYPERLINK("https://www.philgeps.gov.ph/GEPSNONPILOT/Tender/SplashBidNoticeAbstractUI.aspx?menuIndex=3&amp;refID=7020009&amp;Result=3","7020009")</f>
        <v>0</v>
      </c>
      <c r="B9130" t="s">
        <v>2504</v>
      </c>
      <c r="C9130" t="s">
        <v>11410</v>
      </c>
      <c r="D9130" t="s">
        <v>13062</v>
      </c>
      <c r="E9130" t="s">
        <v>13318</v>
      </c>
      <c r="F9130" t="s">
        <v>22436</v>
      </c>
      <c r="G9130" t="s">
        <v>22444</v>
      </c>
      <c r="H9130" t="s">
        <v>22454</v>
      </c>
      <c r="I9130" t="s">
        <v>7738</v>
      </c>
      <c r="J9130" t="s">
        <v>22788</v>
      </c>
      <c r="K9130" t="s">
        <v>29482</v>
      </c>
      <c r="M9130" t="s">
        <v>32311</v>
      </c>
      <c r="N9130" t="s">
        <v>32524</v>
      </c>
      <c r="O9130" t="s">
        <v>32525</v>
      </c>
      <c r="P9130">
        <v>0</v>
      </c>
      <c r="Q9130">
        <v>0</v>
      </c>
      <c r="R9130" t="s">
        <v>32538</v>
      </c>
      <c r="S9130" t="s">
        <v>32872</v>
      </c>
      <c r="T9130" t="s">
        <v>33155</v>
      </c>
      <c r="U9130" t="s">
        <v>41178</v>
      </c>
      <c r="W9130" t="s">
        <v>32311</v>
      </c>
      <c r="X9130" t="s">
        <v>43779</v>
      </c>
    </row>
    <row r="9131" spans="1:24">
      <c r="A9131">
        <f>HYPERLINK("https://www.philgeps.gov.ph/GEPSNONPILOT/Tender/SplashBidNoticeAbstractUI.aspx?menuIndex=3&amp;refID=7019987&amp;Result=3","7019987")</f>
        <v>0</v>
      </c>
      <c r="B9131" t="s">
        <v>2462</v>
      </c>
      <c r="C9131" t="s">
        <v>11411</v>
      </c>
      <c r="E9131" t="s">
        <v>21042</v>
      </c>
      <c r="F9131" t="s">
        <v>22436</v>
      </c>
      <c r="G9131" t="s">
        <v>22446</v>
      </c>
      <c r="H9131" t="s">
        <v>22452</v>
      </c>
      <c r="I9131" t="s">
        <v>12358</v>
      </c>
      <c r="J9131" t="s">
        <v>28366</v>
      </c>
      <c r="K9131" t="s">
        <v>29338</v>
      </c>
      <c r="M9131" t="s">
        <v>32266</v>
      </c>
      <c r="N9131" t="s">
        <v>32524</v>
      </c>
      <c r="O9131" t="s">
        <v>32525</v>
      </c>
      <c r="P9131">
        <v>0</v>
      </c>
      <c r="Q9131">
        <v>0</v>
      </c>
      <c r="R9131" t="s">
        <v>32538</v>
      </c>
      <c r="S9131" t="s">
        <v>32872</v>
      </c>
      <c r="T9131" t="s">
        <v>33213</v>
      </c>
      <c r="U9131" t="s">
        <v>41179</v>
      </c>
      <c r="V9131" t="s">
        <v>43403</v>
      </c>
      <c r="W9131" t="s">
        <v>32266</v>
      </c>
      <c r="X9131" t="s">
        <v>43779</v>
      </c>
    </row>
    <row r="9132" spans="1:24">
      <c r="A9132">
        <f>HYPERLINK("https://www.philgeps.gov.ph/GEPSNONPILOT/Tender/SplashBidNoticeAbstractUI.aspx?menuIndex=3&amp;refID=7019837&amp;Result=3","7019837")</f>
        <v>0</v>
      </c>
      <c r="B9132" t="s">
        <v>39</v>
      </c>
      <c r="C9132" t="s">
        <v>11412</v>
      </c>
      <c r="E9132" t="s">
        <v>21043</v>
      </c>
      <c r="F9132" t="s">
        <v>22436</v>
      </c>
      <c r="G9132" t="s">
        <v>22444</v>
      </c>
      <c r="H9132" t="s">
        <v>22452</v>
      </c>
      <c r="I9132" t="s">
        <v>22458</v>
      </c>
      <c r="J9132" t="s">
        <v>22963</v>
      </c>
      <c r="K9132" t="s">
        <v>29338</v>
      </c>
      <c r="M9132" t="s">
        <v>29610</v>
      </c>
      <c r="N9132" t="s">
        <v>32524</v>
      </c>
      <c r="O9132" t="s">
        <v>32525</v>
      </c>
      <c r="Q9132">
        <v>22</v>
      </c>
      <c r="R9132" t="s">
        <v>32538</v>
      </c>
      <c r="S9132" t="s">
        <v>32885</v>
      </c>
      <c r="T9132" t="s">
        <v>33168</v>
      </c>
      <c r="U9132" t="s">
        <v>41180</v>
      </c>
      <c r="W9132" t="s">
        <v>29610</v>
      </c>
      <c r="X9132" t="s">
        <v>43779</v>
      </c>
    </row>
    <row r="9133" spans="1:24">
      <c r="A9133">
        <f>HYPERLINK("https://www.philgeps.gov.ph/GEPSNONPILOT/Tender/SplashBidNoticeAbstractUI.aspx?menuIndex=3&amp;refID=7020086&amp;Result=3","7020086")</f>
        <v>0</v>
      </c>
      <c r="B9133" t="s">
        <v>2462</v>
      </c>
      <c r="C9133" t="s">
        <v>11413</v>
      </c>
      <c r="E9133" t="s">
        <v>21044</v>
      </c>
      <c r="F9133" t="s">
        <v>22436</v>
      </c>
      <c r="G9133" t="s">
        <v>22446</v>
      </c>
      <c r="H9133" t="s">
        <v>22452</v>
      </c>
      <c r="I9133" t="s">
        <v>12358</v>
      </c>
      <c r="J9133" t="s">
        <v>28367</v>
      </c>
      <c r="K9133" t="s">
        <v>29338</v>
      </c>
      <c r="M9133" t="s">
        <v>32266</v>
      </c>
      <c r="N9133" t="s">
        <v>32524</v>
      </c>
      <c r="O9133" t="s">
        <v>32525</v>
      </c>
      <c r="P9133">
        <v>0</v>
      </c>
      <c r="Q9133">
        <v>0</v>
      </c>
      <c r="R9133" t="s">
        <v>32538</v>
      </c>
      <c r="S9133" t="s">
        <v>32872</v>
      </c>
      <c r="T9133" t="s">
        <v>33213</v>
      </c>
      <c r="U9133" t="s">
        <v>41181</v>
      </c>
      <c r="V9133" t="s">
        <v>43403</v>
      </c>
      <c r="W9133" t="s">
        <v>32266</v>
      </c>
      <c r="X9133" t="s">
        <v>43779</v>
      </c>
    </row>
    <row r="9134" spans="1:24">
      <c r="A9134">
        <f>HYPERLINK("https://www.philgeps.gov.ph/GEPSNONPILOT/Tender/SplashBidNoticeAbstractUI.aspx?menuIndex=3&amp;refID=7020004&amp;Result=3","7020004")</f>
        <v>0</v>
      </c>
      <c r="B9134" t="s">
        <v>2505</v>
      </c>
      <c r="C9134" t="s">
        <v>11414</v>
      </c>
      <c r="D9134" t="s">
        <v>13011</v>
      </c>
      <c r="E9134" t="s">
        <v>21045</v>
      </c>
      <c r="F9134" t="s">
        <v>22436</v>
      </c>
      <c r="G9134" t="s">
        <v>22444</v>
      </c>
      <c r="H9134" t="s">
        <v>22454</v>
      </c>
      <c r="I9134" t="s">
        <v>7738</v>
      </c>
      <c r="J9134" t="s">
        <v>28368</v>
      </c>
      <c r="K9134" t="s">
        <v>29344</v>
      </c>
      <c r="M9134" t="s">
        <v>32312</v>
      </c>
      <c r="N9134" t="s">
        <v>32524</v>
      </c>
      <c r="O9134" t="s">
        <v>32525</v>
      </c>
      <c r="P9134">
        <v>0</v>
      </c>
      <c r="Q9134">
        <v>0</v>
      </c>
      <c r="R9134" t="s">
        <v>32538</v>
      </c>
      <c r="S9134" t="s">
        <v>32872</v>
      </c>
      <c r="T9134" t="s">
        <v>33375</v>
      </c>
      <c r="U9134" t="s">
        <v>41182</v>
      </c>
      <c r="W9134" t="s">
        <v>32312</v>
      </c>
      <c r="X9134" t="s">
        <v>43779</v>
      </c>
    </row>
    <row r="9135" spans="1:24">
      <c r="A9135">
        <f>HYPERLINK("https://www.philgeps.gov.ph/GEPSNONPILOT/Tender/SplashBidNoticeAbstractUI.aspx?menuIndex=3&amp;refID=7019954&amp;Result=3","7019954")</f>
        <v>0</v>
      </c>
      <c r="B9135" t="s">
        <v>2462</v>
      </c>
      <c r="C9135" t="s">
        <v>11415</v>
      </c>
      <c r="E9135" t="s">
        <v>21046</v>
      </c>
      <c r="F9135" t="s">
        <v>22436</v>
      </c>
      <c r="G9135" t="s">
        <v>22446</v>
      </c>
      <c r="H9135" t="s">
        <v>22452</v>
      </c>
      <c r="I9135" t="s">
        <v>2981</v>
      </c>
      <c r="J9135" t="s">
        <v>24832</v>
      </c>
      <c r="K9135" t="s">
        <v>29338</v>
      </c>
      <c r="M9135" t="s">
        <v>32266</v>
      </c>
      <c r="N9135" t="s">
        <v>32524</v>
      </c>
      <c r="O9135" t="s">
        <v>32525</v>
      </c>
      <c r="P9135">
        <v>0</v>
      </c>
      <c r="Q9135">
        <v>0</v>
      </c>
      <c r="R9135" t="s">
        <v>32538</v>
      </c>
      <c r="S9135" t="s">
        <v>32872</v>
      </c>
      <c r="T9135" t="s">
        <v>33213</v>
      </c>
      <c r="U9135" t="s">
        <v>41183</v>
      </c>
      <c r="V9135" t="s">
        <v>43403</v>
      </c>
      <c r="W9135" t="s">
        <v>32266</v>
      </c>
      <c r="X9135" t="s">
        <v>43779</v>
      </c>
    </row>
    <row r="9136" spans="1:24">
      <c r="A9136">
        <f>HYPERLINK("https://www.philgeps.gov.ph/GEPSNONPILOT/Tender/SplashBidNoticeAbstractUI.aspx?menuIndex=3&amp;refID=7020075&amp;Result=3","7020075")</f>
        <v>0</v>
      </c>
      <c r="B9136" t="s">
        <v>2504</v>
      </c>
      <c r="C9136" t="s">
        <v>11416</v>
      </c>
      <c r="D9136" t="s">
        <v>13062</v>
      </c>
      <c r="E9136" t="s">
        <v>13321</v>
      </c>
      <c r="F9136" t="s">
        <v>22436</v>
      </c>
      <c r="G9136" t="s">
        <v>22444</v>
      </c>
      <c r="H9136" t="s">
        <v>22452</v>
      </c>
      <c r="I9136" t="s">
        <v>22474</v>
      </c>
      <c r="J9136" t="s">
        <v>22788</v>
      </c>
      <c r="K9136" t="s">
        <v>29337</v>
      </c>
      <c r="M9136" t="s">
        <v>32311</v>
      </c>
      <c r="N9136" t="s">
        <v>32524</v>
      </c>
      <c r="O9136" t="s">
        <v>32525</v>
      </c>
      <c r="P9136">
        <v>0</v>
      </c>
      <c r="Q9136">
        <v>2</v>
      </c>
      <c r="R9136" t="s">
        <v>32538</v>
      </c>
      <c r="S9136" t="s">
        <v>32872</v>
      </c>
      <c r="T9136" t="s">
        <v>33155</v>
      </c>
      <c r="U9136" t="s">
        <v>41184</v>
      </c>
      <c r="W9136" t="s">
        <v>32311</v>
      </c>
      <c r="X9136" t="s">
        <v>43779</v>
      </c>
    </row>
    <row r="9137" spans="1:24">
      <c r="A9137">
        <f>HYPERLINK("https://www.philgeps.gov.ph/GEPSNONPILOT/Tender/SplashBidNoticeAbstractUI.aspx?menuIndex=3&amp;refID=7020093&amp;Result=3","7020093")</f>
        <v>0</v>
      </c>
      <c r="B9137" t="s">
        <v>2462</v>
      </c>
      <c r="C9137" t="s">
        <v>11417</v>
      </c>
      <c r="E9137" t="s">
        <v>21047</v>
      </c>
      <c r="F9137" t="s">
        <v>22436</v>
      </c>
      <c r="G9137" t="s">
        <v>22446</v>
      </c>
      <c r="H9137" t="s">
        <v>22452</v>
      </c>
      <c r="I9137" t="s">
        <v>6421</v>
      </c>
      <c r="J9137" t="s">
        <v>28369</v>
      </c>
      <c r="K9137" t="s">
        <v>29338</v>
      </c>
      <c r="M9137" t="s">
        <v>32266</v>
      </c>
      <c r="N9137" t="s">
        <v>32524</v>
      </c>
      <c r="O9137" t="s">
        <v>32525</v>
      </c>
      <c r="P9137">
        <v>0</v>
      </c>
      <c r="Q9137">
        <v>1</v>
      </c>
      <c r="R9137" t="s">
        <v>32538</v>
      </c>
      <c r="S9137" t="s">
        <v>32872</v>
      </c>
      <c r="T9137" t="s">
        <v>33213</v>
      </c>
      <c r="U9137" t="s">
        <v>41185</v>
      </c>
      <c r="V9137" t="s">
        <v>43403</v>
      </c>
      <c r="W9137" t="s">
        <v>32266</v>
      </c>
      <c r="X9137" t="s">
        <v>43779</v>
      </c>
    </row>
    <row r="9138" spans="1:24">
      <c r="A9138">
        <f>HYPERLINK("https://www.philgeps.gov.ph/GEPSNONPILOT/Tender/SplashBidNoticeAbstractUI.aspx?menuIndex=3&amp;refID=7019974&amp;Result=3","7019974")</f>
        <v>0</v>
      </c>
      <c r="B9138" t="s">
        <v>2462</v>
      </c>
      <c r="C9138" t="s">
        <v>11418</v>
      </c>
      <c r="E9138" t="s">
        <v>21048</v>
      </c>
      <c r="F9138" t="s">
        <v>22436</v>
      </c>
      <c r="G9138" t="s">
        <v>22446</v>
      </c>
      <c r="H9138" t="s">
        <v>22452</v>
      </c>
      <c r="I9138" t="s">
        <v>2981</v>
      </c>
      <c r="J9138" t="s">
        <v>22986</v>
      </c>
      <c r="K9138" t="s">
        <v>29338</v>
      </c>
      <c r="M9138" t="s">
        <v>32266</v>
      </c>
      <c r="N9138" t="s">
        <v>32524</v>
      </c>
      <c r="O9138" t="s">
        <v>32525</v>
      </c>
      <c r="P9138">
        <v>0</v>
      </c>
      <c r="Q9138">
        <v>0</v>
      </c>
      <c r="R9138" t="s">
        <v>32538</v>
      </c>
      <c r="S9138" t="s">
        <v>32872</v>
      </c>
      <c r="T9138" t="s">
        <v>33213</v>
      </c>
      <c r="U9138" t="s">
        <v>41186</v>
      </c>
      <c r="V9138" t="s">
        <v>43403</v>
      </c>
      <c r="W9138" t="s">
        <v>32266</v>
      </c>
      <c r="X9138" t="s">
        <v>43779</v>
      </c>
    </row>
    <row r="9139" spans="1:24">
      <c r="A9139">
        <f>HYPERLINK("https://www.philgeps.gov.ph/GEPSNONPILOT/Tender/SplashBidNoticeAbstractUI.aspx?menuIndex=3&amp;refID=7020879&amp;Result=3","7020879")</f>
        <v>0</v>
      </c>
      <c r="B9139" t="s">
        <v>2462</v>
      </c>
      <c r="C9139" t="s">
        <v>11419</v>
      </c>
      <c r="E9139" t="s">
        <v>21049</v>
      </c>
      <c r="F9139" t="s">
        <v>22436</v>
      </c>
      <c r="G9139" t="s">
        <v>22446</v>
      </c>
      <c r="H9139" t="s">
        <v>22452</v>
      </c>
      <c r="I9139" t="s">
        <v>12358</v>
      </c>
      <c r="J9139" t="s">
        <v>28370</v>
      </c>
      <c r="K9139" t="s">
        <v>29338</v>
      </c>
      <c r="M9139" t="s">
        <v>32266</v>
      </c>
      <c r="N9139" t="s">
        <v>32524</v>
      </c>
      <c r="O9139" t="s">
        <v>32525</v>
      </c>
      <c r="P9139">
        <v>0</v>
      </c>
      <c r="Q9139">
        <v>0</v>
      </c>
      <c r="R9139" t="s">
        <v>32538</v>
      </c>
      <c r="S9139" t="s">
        <v>32872</v>
      </c>
      <c r="T9139" t="s">
        <v>33213</v>
      </c>
      <c r="U9139" t="s">
        <v>41187</v>
      </c>
      <c r="V9139" t="s">
        <v>43403</v>
      </c>
      <c r="W9139" t="s">
        <v>32266</v>
      </c>
      <c r="X9139" t="s">
        <v>43779</v>
      </c>
    </row>
    <row r="9140" spans="1:24">
      <c r="A9140">
        <f>HYPERLINK("https://www.philgeps.gov.ph/GEPSNONPILOT/Tender/SplashBidNoticeAbstractUI.aspx?menuIndex=3&amp;refID=7020459&amp;Result=3","7020459")</f>
        <v>0</v>
      </c>
      <c r="B9140" t="s">
        <v>2236</v>
      </c>
      <c r="C9140" t="s">
        <v>11420</v>
      </c>
      <c r="E9140" t="s">
        <v>21050</v>
      </c>
      <c r="F9140" t="s">
        <v>22436</v>
      </c>
      <c r="G9140" t="s">
        <v>22444</v>
      </c>
      <c r="H9140" t="s">
        <v>22454</v>
      </c>
      <c r="I9140" t="s">
        <v>7738</v>
      </c>
      <c r="J9140" t="s">
        <v>22669</v>
      </c>
      <c r="K9140" t="s">
        <v>29388</v>
      </c>
      <c r="L9140" t="s">
        <v>2236</v>
      </c>
      <c r="M9140" t="s">
        <v>32003</v>
      </c>
      <c r="N9140" t="s">
        <v>32524</v>
      </c>
      <c r="O9140" t="s">
        <v>32525</v>
      </c>
      <c r="P9140">
        <v>0</v>
      </c>
      <c r="Q9140">
        <v>0</v>
      </c>
      <c r="R9140" t="s">
        <v>32538</v>
      </c>
      <c r="S9140" t="s">
        <v>32872</v>
      </c>
      <c r="T9140" t="s">
        <v>33171</v>
      </c>
      <c r="U9140" t="s">
        <v>39914</v>
      </c>
      <c r="V9140" t="s">
        <v>43251</v>
      </c>
      <c r="W9140" t="s">
        <v>32003</v>
      </c>
      <c r="X9140" t="s">
        <v>43779</v>
      </c>
    </row>
    <row r="9141" spans="1:24">
      <c r="A9141">
        <f>HYPERLINK("https://www.philgeps.gov.ph/GEPSNONPILOT/Tender/SplashBidNoticeAbstractUI.aspx?menuIndex=3&amp;refID=7020778&amp;Result=3","7020778")</f>
        <v>0</v>
      </c>
      <c r="B9141" t="s">
        <v>182</v>
      </c>
      <c r="C9141" t="s">
        <v>11421</v>
      </c>
      <c r="D9141" t="s">
        <v>13067</v>
      </c>
      <c r="E9141" t="s">
        <v>21051</v>
      </c>
      <c r="F9141" t="s">
        <v>22436</v>
      </c>
      <c r="G9141" t="s">
        <v>22444</v>
      </c>
      <c r="H9141" t="s">
        <v>22452</v>
      </c>
      <c r="I9141" t="s">
        <v>22492</v>
      </c>
      <c r="J9141" t="s">
        <v>23124</v>
      </c>
      <c r="K9141" t="s">
        <v>29335</v>
      </c>
      <c r="M9141" t="s">
        <v>29754</v>
      </c>
      <c r="N9141" t="s">
        <v>32524</v>
      </c>
      <c r="O9141" t="s">
        <v>32525</v>
      </c>
      <c r="P9141">
        <v>0</v>
      </c>
      <c r="Q9141">
        <v>1</v>
      </c>
      <c r="R9141" t="s">
        <v>32538</v>
      </c>
      <c r="S9141" t="s">
        <v>32872</v>
      </c>
      <c r="T9141" t="s">
        <v>33242</v>
      </c>
      <c r="U9141" t="s">
        <v>41188</v>
      </c>
      <c r="W9141" t="s">
        <v>29754</v>
      </c>
      <c r="X9141" t="s">
        <v>43779</v>
      </c>
    </row>
    <row r="9142" spans="1:24">
      <c r="A9142">
        <f>HYPERLINK("https://www.philgeps.gov.ph/GEPSNONPILOT/Tender/SplashBidNoticeAbstractUI.aspx?menuIndex=3&amp;refID=7020287&amp;Result=3","7020287")</f>
        <v>0</v>
      </c>
      <c r="B9142" t="s">
        <v>2462</v>
      </c>
      <c r="C9142" t="s">
        <v>11422</v>
      </c>
      <c r="E9142" t="s">
        <v>21052</v>
      </c>
      <c r="F9142" t="s">
        <v>22436</v>
      </c>
      <c r="G9142" t="s">
        <v>22446</v>
      </c>
      <c r="H9142" t="s">
        <v>22452</v>
      </c>
      <c r="I9142" t="s">
        <v>6421</v>
      </c>
      <c r="J9142" t="s">
        <v>27110</v>
      </c>
      <c r="K9142" t="s">
        <v>29338</v>
      </c>
      <c r="M9142" t="s">
        <v>32266</v>
      </c>
      <c r="N9142" t="s">
        <v>32524</v>
      </c>
      <c r="O9142" t="s">
        <v>32525</v>
      </c>
      <c r="P9142">
        <v>0</v>
      </c>
      <c r="Q9142">
        <v>2</v>
      </c>
      <c r="R9142" t="s">
        <v>32538</v>
      </c>
      <c r="S9142" t="s">
        <v>32872</v>
      </c>
      <c r="T9142" t="s">
        <v>33213</v>
      </c>
      <c r="U9142" t="s">
        <v>41189</v>
      </c>
      <c r="V9142" t="s">
        <v>43403</v>
      </c>
      <c r="W9142" t="s">
        <v>32266</v>
      </c>
      <c r="X9142" t="s">
        <v>43779</v>
      </c>
    </row>
    <row r="9143" spans="1:24">
      <c r="A9143">
        <f>HYPERLINK("https://www.philgeps.gov.ph/GEPSNONPILOT/Tender/SplashBidNoticeAbstractUI.aspx?menuIndex=3&amp;refID=7020397&amp;Result=3","7020397")</f>
        <v>0</v>
      </c>
      <c r="B9143" t="s">
        <v>182</v>
      </c>
      <c r="C9143" t="s">
        <v>11423</v>
      </c>
      <c r="D9143" t="s">
        <v>13067</v>
      </c>
      <c r="E9143" t="s">
        <v>21053</v>
      </c>
      <c r="F9143" t="s">
        <v>22436</v>
      </c>
      <c r="G9143" t="s">
        <v>22444</v>
      </c>
      <c r="H9143" t="s">
        <v>22454</v>
      </c>
      <c r="I9143" t="s">
        <v>7738</v>
      </c>
      <c r="J9143" t="s">
        <v>22779</v>
      </c>
      <c r="K9143" t="s">
        <v>29333</v>
      </c>
      <c r="M9143" t="s">
        <v>29754</v>
      </c>
      <c r="N9143" t="s">
        <v>32524</v>
      </c>
      <c r="O9143" t="s">
        <v>32525</v>
      </c>
      <c r="P9143">
        <v>0</v>
      </c>
      <c r="Q9143">
        <v>1</v>
      </c>
      <c r="R9143" t="s">
        <v>32538</v>
      </c>
      <c r="S9143" t="s">
        <v>32872</v>
      </c>
      <c r="T9143" t="s">
        <v>33242</v>
      </c>
      <c r="U9143" t="s">
        <v>41190</v>
      </c>
      <c r="V9143" t="s">
        <v>43440</v>
      </c>
      <c r="W9143" t="s">
        <v>29754</v>
      </c>
      <c r="X9143" t="s">
        <v>43779</v>
      </c>
    </row>
    <row r="9144" spans="1:24">
      <c r="A9144">
        <f>HYPERLINK("https://www.philgeps.gov.ph/GEPSNONPILOT/Tender/SplashBidNoticeAbstractUI.aspx?menuIndex=3&amp;refID=7020581&amp;Result=3","7020581")</f>
        <v>0</v>
      </c>
      <c r="B9144" t="s">
        <v>2462</v>
      </c>
      <c r="C9144" t="s">
        <v>11424</v>
      </c>
      <c r="E9144" t="s">
        <v>21054</v>
      </c>
      <c r="F9144" t="s">
        <v>22436</v>
      </c>
      <c r="G9144" t="s">
        <v>22446</v>
      </c>
      <c r="H9144" t="s">
        <v>22452</v>
      </c>
      <c r="I9144" t="s">
        <v>5194</v>
      </c>
      <c r="J9144" t="s">
        <v>28371</v>
      </c>
      <c r="K9144" t="s">
        <v>29338</v>
      </c>
      <c r="M9144" t="s">
        <v>32266</v>
      </c>
      <c r="N9144" t="s">
        <v>32524</v>
      </c>
      <c r="O9144" t="s">
        <v>32525</v>
      </c>
      <c r="P9144">
        <v>0</v>
      </c>
      <c r="Q9144">
        <v>1</v>
      </c>
      <c r="R9144" t="s">
        <v>32538</v>
      </c>
      <c r="S9144" t="s">
        <v>32872</v>
      </c>
      <c r="T9144" t="s">
        <v>33213</v>
      </c>
      <c r="U9144" t="s">
        <v>41191</v>
      </c>
      <c r="V9144" t="s">
        <v>43403</v>
      </c>
      <c r="W9144" t="s">
        <v>32266</v>
      </c>
      <c r="X9144" t="s">
        <v>43779</v>
      </c>
    </row>
    <row r="9145" spans="1:24">
      <c r="A9145">
        <f>HYPERLINK("https://www.philgeps.gov.ph/GEPSNONPILOT/Tender/SplashBidNoticeAbstractUI.aspx?menuIndex=3&amp;refID=7020718&amp;Result=3","7020718")</f>
        <v>0</v>
      </c>
      <c r="B9145" t="s">
        <v>2462</v>
      </c>
      <c r="C9145" t="s">
        <v>11425</v>
      </c>
      <c r="E9145" t="s">
        <v>21055</v>
      </c>
      <c r="F9145" t="s">
        <v>22436</v>
      </c>
      <c r="G9145" t="s">
        <v>22446</v>
      </c>
      <c r="H9145" t="s">
        <v>22452</v>
      </c>
      <c r="I9145" t="s">
        <v>12358</v>
      </c>
      <c r="J9145" t="s">
        <v>28372</v>
      </c>
      <c r="K9145" t="s">
        <v>29338</v>
      </c>
      <c r="M9145" t="s">
        <v>32266</v>
      </c>
      <c r="N9145" t="s">
        <v>32524</v>
      </c>
      <c r="O9145" t="s">
        <v>32525</v>
      </c>
      <c r="P9145">
        <v>0</v>
      </c>
      <c r="Q9145">
        <v>0</v>
      </c>
      <c r="R9145" t="s">
        <v>32538</v>
      </c>
      <c r="S9145" t="s">
        <v>32872</v>
      </c>
      <c r="T9145" t="s">
        <v>33213</v>
      </c>
      <c r="U9145" t="s">
        <v>41192</v>
      </c>
      <c r="V9145" t="s">
        <v>43403</v>
      </c>
      <c r="W9145" t="s">
        <v>32266</v>
      </c>
      <c r="X9145" t="s">
        <v>43779</v>
      </c>
    </row>
    <row r="9146" spans="1:24">
      <c r="A9146">
        <f>HYPERLINK("https://www.philgeps.gov.ph/GEPSNONPILOT/Tender/SplashBidNoticeAbstractUI.aspx?menuIndex=3&amp;refID=7021183&amp;Result=3","7021183")</f>
        <v>0</v>
      </c>
      <c r="B9146" t="s">
        <v>573</v>
      </c>
      <c r="C9146" t="s">
        <v>11426</v>
      </c>
      <c r="D9146" t="s">
        <v>12990</v>
      </c>
      <c r="E9146" t="s">
        <v>21056</v>
      </c>
      <c r="F9146" t="s">
        <v>22436</v>
      </c>
      <c r="G9146" t="s">
        <v>22444</v>
      </c>
      <c r="H9146" t="s">
        <v>22452</v>
      </c>
      <c r="I9146" t="s">
        <v>22465</v>
      </c>
      <c r="J9146" t="s">
        <v>28373</v>
      </c>
      <c r="K9146" t="s">
        <v>29338</v>
      </c>
      <c r="M9146" t="s">
        <v>30161</v>
      </c>
      <c r="N9146" t="s">
        <v>32524</v>
      </c>
      <c r="O9146" t="s">
        <v>32525</v>
      </c>
      <c r="P9146">
        <v>0</v>
      </c>
      <c r="Q9146">
        <v>1</v>
      </c>
      <c r="R9146" t="s">
        <v>32538</v>
      </c>
      <c r="S9146" t="s">
        <v>32872</v>
      </c>
      <c r="T9146" t="s">
        <v>33411</v>
      </c>
      <c r="U9146" t="s">
        <v>41193</v>
      </c>
      <c r="W9146" t="s">
        <v>30161</v>
      </c>
      <c r="X9146" t="s">
        <v>43779</v>
      </c>
    </row>
    <row r="9147" spans="1:24">
      <c r="A9147">
        <f>HYPERLINK("https://www.philgeps.gov.ph/GEPSNONPILOT/Tender/SplashBidNoticeAbstractUI.aspx?menuIndex=3&amp;refID=7020987&amp;Result=3","7020987")</f>
        <v>0</v>
      </c>
      <c r="B9147" t="s">
        <v>182</v>
      </c>
      <c r="C9147" t="s">
        <v>11427</v>
      </c>
      <c r="D9147" t="s">
        <v>13067</v>
      </c>
      <c r="E9147" t="s">
        <v>21057</v>
      </c>
      <c r="F9147" t="s">
        <v>22436</v>
      </c>
      <c r="G9147" t="s">
        <v>22444</v>
      </c>
      <c r="H9147" t="s">
        <v>22452</v>
      </c>
      <c r="I9147" t="s">
        <v>22474</v>
      </c>
      <c r="J9147" t="s">
        <v>22893</v>
      </c>
      <c r="K9147" t="s">
        <v>29335</v>
      </c>
      <c r="M9147" t="s">
        <v>29754</v>
      </c>
      <c r="N9147" t="s">
        <v>32524</v>
      </c>
      <c r="O9147" t="s">
        <v>32525</v>
      </c>
      <c r="P9147">
        <v>0</v>
      </c>
      <c r="Q9147">
        <v>4</v>
      </c>
      <c r="R9147" t="s">
        <v>32538</v>
      </c>
      <c r="S9147" t="s">
        <v>32872</v>
      </c>
      <c r="T9147" t="s">
        <v>33242</v>
      </c>
      <c r="U9147" t="s">
        <v>41194</v>
      </c>
      <c r="V9147" t="s">
        <v>43441</v>
      </c>
      <c r="W9147" t="s">
        <v>29754</v>
      </c>
      <c r="X9147" t="s">
        <v>43779</v>
      </c>
    </row>
    <row r="9148" spans="1:24">
      <c r="A9148">
        <f>HYPERLINK("https://www.philgeps.gov.ph/GEPSNONPILOT/Tender/SplashBidNoticeAbstractUI.aspx?menuIndex=3&amp;refID=7020280&amp;Result=3","7020280")</f>
        <v>0</v>
      </c>
      <c r="B9148" t="s">
        <v>2236</v>
      </c>
      <c r="C9148" t="s">
        <v>11428</v>
      </c>
      <c r="D9148" t="s">
        <v>13059</v>
      </c>
      <c r="E9148" t="s">
        <v>21058</v>
      </c>
      <c r="F9148" t="s">
        <v>22436</v>
      </c>
      <c r="G9148" t="s">
        <v>22444</v>
      </c>
      <c r="H9148" t="s">
        <v>22454</v>
      </c>
      <c r="I9148" t="s">
        <v>7738</v>
      </c>
      <c r="J9148" t="s">
        <v>22587</v>
      </c>
      <c r="K9148" t="s">
        <v>29345</v>
      </c>
      <c r="L9148" t="s">
        <v>2236</v>
      </c>
      <c r="M9148" t="s">
        <v>32003</v>
      </c>
      <c r="N9148" t="s">
        <v>32524</v>
      </c>
      <c r="O9148" t="s">
        <v>32525</v>
      </c>
      <c r="P9148">
        <v>0</v>
      </c>
      <c r="Q9148">
        <v>0</v>
      </c>
      <c r="R9148" t="s">
        <v>32538</v>
      </c>
      <c r="S9148" t="s">
        <v>32872</v>
      </c>
      <c r="T9148" t="s">
        <v>33171</v>
      </c>
      <c r="U9148" t="s">
        <v>39914</v>
      </c>
      <c r="V9148" t="s">
        <v>43251</v>
      </c>
      <c r="W9148" t="s">
        <v>32003</v>
      </c>
      <c r="X9148" t="s">
        <v>43779</v>
      </c>
    </row>
    <row r="9149" spans="1:24">
      <c r="A9149">
        <f>HYPERLINK("https://www.philgeps.gov.ph/GEPSNONPILOT/Tender/SplashBidNoticeAbstractUI.aspx?menuIndex=3&amp;refID=7021716&amp;Result=3","7021716")</f>
        <v>0</v>
      </c>
      <c r="B9149" t="s">
        <v>2506</v>
      </c>
      <c r="C9149" t="s">
        <v>11429</v>
      </c>
      <c r="E9149" t="s">
        <v>21059</v>
      </c>
      <c r="F9149" t="s">
        <v>22436</v>
      </c>
      <c r="G9149" t="s">
        <v>22444</v>
      </c>
      <c r="H9149" t="s">
        <v>22452</v>
      </c>
      <c r="I9149" t="s">
        <v>5194</v>
      </c>
      <c r="J9149" t="s">
        <v>28374</v>
      </c>
      <c r="K9149" t="s">
        <v>29335</v>
      </c>
      <c r="M9149" t="s">
        <v>32313</v>
      </c>
      <c r="N9149" t="s">
        <v>32524</v>
      </c>
      <c r="O9149" t="s">
        <v>32525</v>
      </c>
      <c r="Q9149">
        <v>4</v>
      </c>
      <c r="R9149" t="s">
        <v>32538</v>
      </c>
      <c r="S9149" t="s">
        <v>32886</v>
      </c>
      <c r="T9149" t="s">
        <v>33181</v>
      </c>
      <c r="U9149" t="s">
        <v>41195</v>
      </c>
      <c r="W9149" t="s">
        <v>32313</v>
      </c>
      <c r="X9149" t="s">
        <v>32540</v>
      </c>
    </row>
    <row r="9150" spans="1:24">
      <c r="A9150">
        <f>HYPERLINK("https://www.philgeps.gov.ph/GEPSNONPILOT/Tender/SplashBidNoticeAbstractUI.aspx?menuIndex=3&amp;refID=7020993&amp;Result=3","7020993")</f>
        <v>0</v>
      </c>
      <c r="B9150" t="s">
        <v>2462</v>
      </c>
      <c r="C9150" t="s">
        <v>11430</v>
      </c>
      <c r="E9150" t="s">
        <v>21060</v>
      </c>
      <c r="F9150" t="s">
        <v>22436</v>
      </c>
      <c r="G9150" t="s">
        <v>22444</v>
      </c>
      <c r="H9150" t="s">
        <v>22452</v>
      </c>
      <c r="I9150" t="s">
        <v>6421</v>
      </c>
      <c r="J9150" t="s">
        <v>28375</v>
      </c>
      <c r="K9150" t="s">
        <v>29338</v>
      </c>
      <c r="M9150" t="s">
        <v>32266</v>
      </c>
      <c r="N9150" t="s">
        <v>32524</v>
      </c>
      <c r="O9150" t="s">
        <v>32525</v>
      </c>
      <c r="P9150">
        <v>0</v>
      </c>
      <c r="Q9150">
        <v>1</v>
      </c>
      <c r="R9150" t="s">
        <v>32538</v>
      </c>
      <c r="S9150" t="s">
        <v>32872</v>
      </c>
      <c r="T9150" t="s">
        <v>33213</v>
      </c>
      <c r="U9150" t="s">
        <v>41196</v>
      </c>
      <c r="V9150" t="s">
        <v>43403</v>
      </c>
      <c r="W9150" t="s">
        <v>32266</v>
      </c>
      <c r="X9150" t="s">
        <v>43779</v>
      </c>
    </row>
    <row r="9151" spans="1:24">
      <c r="A9151">
        <f>HYPERLINK("https://www.philgeps.gov.ph/GEPSNONPILOT/Tender/SplashBidNoticeAbstractUI.aspx?menuIndex=3&amp;refID=7021709&amp;Result=3","7021709")</f>
        <v>0</v>
      </c>
      <c r="B9151" t="s">
        <v>39</v>
      </c>
      <c r="C9151" t="s">
        <v>11431</v>
      </c>
      <c r="E9151" t="s">
        <v>21061</v>
      </c>
      <c r="F9151" t="s">
        <v>22436</v>
      </c>
      <c r="G9151" t="s">
        <v>22444</v>
      </c>
      <c r="H9151" t="s">
        <v>22452</v>
      </c>
      <c r="I9151" t="s">
        <v>22458</v>
      </c>
      <c r="J9151" t="s">
        <v>28376</v>
      </c>
      <c r="K9151" t="s">
        <v>29338</v>
      </c>
      <c r="M9151" t="s">
        <v>29610</v>
      </c>
      <c r="N9151" t="s">
        <v>32524</v>
      </c>
      <c r="O9151" t="s">
        <v>32525</v>
      </c>
      <c r="Q9151">
        <v>11</v>
      </c>
      <c r="R9151" t="s">
        <v>32538</v>
      </c>
      <c r="S9151" t="s">
        <v>32887</v>
      </c>
      <c r="T9151" t="s">
        <v>33168</v>
      </c>
      <c r="U9151" t="s">
        <v>41197</v>
      </c>
      <c r="W9151" t="s">
        <v>29610</v>
      </c>
      <c r="X9151" t="s">
        <v>32540</v>
      </c>
    </row>
    <row r="9152" spans="1:24">
      <c r="A9152">
        <f>HYPERLINK("https://www.philgeps.gov.ph/GEPSNONPILOT/Tender/SplashBidNoticeAbstractUI.aspx?menuIndex=3&amp;refID=7020246&amp;Result=3","7020246")</f>
        <v>0</v>
      </c>
      <c r="B9152" t="s">
        <v>2462</v>
      </c>
      <c r="C9152" t="s">
        <v>11432</v>
      </c>
      <c r="E9152" t="s">
        <v>21062</v>
      </c>
      <c r="F9152" t="s">
        <v>22436</v>
      </c>
      <c r="G9152" t="s">
        <v>22444</v>
      </c>
      <c r="H9152" t="s">
        <v>22452</v>
      </c>
      <c r="I9152" t="s">
        <v>2981</v>
      </c>
      <c r="J9152" t="s">
        <v>22724</v>
      </c>
      <c r="K9152" t="s">
        <v>29338</v>
      </c>
      <c r="M9152" t="s">
        <v>32266</v>
      </c>
      <c r="N9152" t="s">
        <v>32524</v>
      </c>
      <c r="O9152" t="s">
        <v>32525</v>
      </c>
      <c r="P9152">
        <v>0</v>
      </c>
      <c r="Q9152">
        <v>0</v>
      </c>
      <c r="R9152" t="s">
        <v>32538</v>
      </c>
      <c r="S9152" t="s">
        <v>32872</v>
      </c>
      <c r="T9152" t="s">
        <v>33213</v>
      </c>
      <c r="U9152" t="s">
        <v>41198</v>
      </c>
      <c r="V9152" t="s">
        <v>43403</v>
      </c>
      <c r="W9152" t="s">
        <v>32266</v>
      </c>
      <c r="X9152" t="s">
        <v>43779</v>
      </c>
    </row>
    <row r="9153" spans="1:24">
      <c r="A9153">
        <f>HYPERLINK("https://www.philgeps.gov.ph/GEPSNONPILOT/Tender/SplashBidNoticeAbstractUI.aspx?menuIndex=3&amp;refID=7020215&amp;Result=3","7020215")</f>
        <v>0</v>
      </c>
      <c r="B9153" t="s">
        <v>2462</v>
      </c>
      <c r="C9153" t="s">
        <v>11433</v>
      </c>
      <c r="E9153" t="s">
        <v>21063</v>
      </c>
      <c r="F9153" t="s">
        <v>22436</v>
      </c>
      <c r="G9153" t="s">
        <v>22444</v>
      </c>
      <c r="H9153" t="s">
        <v>22452</v>
      </c>
      <c r="I9153" t="s">
        <v>6421</v>
      </c>
      <c r="J9153" t="s">
        <v>28377</v>
      </c>
      <c r="K9153" t="s">
        <v>29338</v>
      </c>
      <c r="M9153" t="s">
        <v>32266</v>
      </c>
      <c r="N9153" t="s">
        <v>32524</v>
      </c>
      <c r="O9153" t="s">
        <v>32525</v>
      </c>
      <c r="P9153">
        <v>0</v>
      </c>
      <c r="Q9153">
        <v>1</v>
      </c>
      <c r="R9153" t="s">
        <v>32538</v>
      </c>
      <c r="S9153" t="s">
        <v>32872</v>
      </c>
      <c r="T9153" t="s">
        <v>33213</v>
      </c>
      <c r="U9153" t="s">
        <v>41199</v>
      </c>
      <c r="V9153" t="s">
        <v>43403</v>
      </c>
      <c r="W9153" t="s">
        <v>32266</v>
      </c>
      <c r="X9153" t="s">
        <v>43779</v>
      </c>
    </row>
    <row r="9154" spans="1:24">
      <c r="A9154">
        <f>HYPERLINK("https://www.philgeps.gov.ph/GEPSNONPILOT/Tender/SplashBidNoticeAbstractUI.aspx?menuIndex=3&amp;refID=7021714&amp;Result=3","7021714")</f>
        <v>0</v>
      </c>
      <c r="B9154" t="s">
        <v>39</v>
      </c>
      <c r="C9154" t="s">
        <v>11434</v>
      </c>
      <c r="E9154" t="s">
        <v>21064</v>
      </c>
      <c r="F9154" t="s">
        <v>22436</v>
      </c>
      <c r="G9154" t="s">
        <v>22444</v>
      </c>
      <c r="H9154" t="s">
        <v>22452</v>
      </c>
      <c r="I9154" t="s">
        <v>22458</v>
      </c>
      <c r="J9154" t="s">
        <v>28378</v>
      </c>
      <c r="K9154" t="s">
        <v>29338</v>
      </c>
      <c r="M9154" t="s">
        <v>29610</v>
      </c>
      <c r="N9154" t="s">
        <v>32524</v>
      </c>
      <c r="O9154" t="s">
        <v>32525</v>
      </c>
      <c r="Q9154">
        <v>11</v>
      </c>
      <c r="R9154" t="s">
        <v>32538</v>
      </c>
      <c r="S9154" t="s">
        <v>32888</v>
      </c>
      <c r="T9154" t="s">
        <v>33168</v>
      </c>
      <c r="U9154" t="s">
        <v>41200</v>
      </c>
      <c r="W9154" t="s">
        <v>29610</v>
      </c>
      <c r="X9154" t="s">
        <v>32540</v>
      </c>
    </row>
    <row r="9155" spans="1:24">
      <c r="A9155">
        <f>HYPERLINK("https://www.philgeps.gov.ph/GEPSNONPILOT/Tender/SplashBidNoticeAbstractUI.aspx?menuIndex=3&amp;refID=7021718&amp;Result=3","7021718")</f>
        <v>0</v>
      </c>
      <c r="B9155" t="s">
        <v>39</v>
      </c>
      <c r="C9155" t="s">
        <v>11435</v>
      </c>
      <c r="E9155" t="s">
        <v>21065</v>
      </c>
      <c r="F9155" t="s">
        <v>22436</v>
      </c>
      <c r="G9155" t="s">
        <v>22444</v>
      </c>
      <c r="H9155" t="s">
        <v>22452</v>
      </c>
      <c r="I9155" t="s">
        <v>22458</v>
      </c>
      <c r="J9155" t="s">
        <v>22937</v>
      </c>
      <c r="K9155" t="s">
        <v>29338</v>
      </c>
      <c r="M9155" t="s">
        <v>29610</v>
      </c>
      <c r="N9155" t="s">
        <v>32524</v>
      </c>
      <c r="O9155" t="s">
        <v>32525</v>
      </c>
      <c r="Q9155">
        <v>4</v>
      </c>
      <c r="R9155" t="s">
        <v>32538</v>
      </c>
      <c r="S9155" t="s">
        <v>32889</v>
      </c>
      <c r="T9155" t="s">
        <v>33168</v>
      </c>
      <c r="U9155" t="s">
        <v>41201</v>
      </c>
      <c r="W9155" t="s">
        <v>29610</v>
      </c>
      <c r="X9155" t="s">
        <v>32540</v>
      </c>
    </row>
    <row r="9156" spans="1:24">
      <c r="A9156">
        <f>HYPERLINK("https://www.philgeps.gov.ph/GEPSNONPILOT/Tender/SplashBidNoticeAbstractUI.aspx?menuIndex=3&amp;refID=7020596&amp;Result=3","7020596")</f>
        <v>0</v>
      </c>
      <c r="B9156" t="s">
        <v>2236</v>
      </c>
      <c r="C9156" t="s">
        <v>11436</v>
      </c>
      <c r="D9156" t="s">
        <v>13059</v>
      </c>
      <c r="E9156" t="s">
        <v>21066</v>
      </c>
      <c r="F9156" t="s">
        <v>22436</v>
      </c>
      <c r="G9156" t="s">
        <v>22444</v>
      </c>
      <c r="H9156" t="s">
        <v>22454</v>
      </c>
      <c r="I9156" t="s">
        <v>7738</v>
      </c>
      <c r="J9156" t="s">
        <v>22669</v>
      </c>
      <c r="K9156" t="s">
        <v>29388</v>
      </c>
      <c r="L9156" t="s">
        <v>2236</v>
      </c>
      <c r="M9156" t="s">
        <v>32003</v>
      </c>
      <c r="N9156" t="s">
        <v>32524</v>
      </c>
      <c r="O9156" t="s">
        <v>32525</v>
      </c>
      <c r="P9156">
        <v>0</v>
      </c>
      <c r="Q9156">
        <v>0</v>
      </c>
      <c r="R9156" t="s">
        <v>32538</v>
      </c>
      <c r="S9156" t="s">
        <v>32872</v>
      </c>
      <c r="T9156" t="s">
        <v>33171</v>
      </c>
      <c r="U9156" t="s">
        <v>39914</v>
      </c>
      <c r="V9156" t="s">
        <v>43251</v>
      </c>
      <c r="W9156" t="s">
        <v>32003</v>
      </c>
      <c r="X9156" t="s">
        <v>43779</v>
      </c>
    </row>
    <row r="9157" spans="1:24">
      <c r="A9157">
        <f>HYPERLINK("https://www.philgeps.gov.ph/GEPSNONPILOT/Tender/SplashBidNoticeAbstractUI.aspx?menuIndex=3&amp;refID=7020144&amp;Result=3","7020144")</f>
        <v>0</v>
      </c>
      <c r="B9157" t="s">
        <v>2236</v>
      </c>
      <c r="C9157" t="s">
        <v>11437</v>
      </c>
      <c r="D9157" t="s">
        <v>13059</v>
      </c>
      <c r="E9157" t="s">
        <v>21067</v>
      </c>
      <c r="F9157" t="s">
        <v>22436</v>
      </c>
      <c r="G9157" t="s">
        <v>22444</v>
      </c>
      <c r="H9157" t="s">
        <v>22454</v>
      </c>
      <c r="I9157" t="s">
        <v>7738</v>
      </c>
      <c r="J9157" t="s">
        <v>22893</v>
      </c>
      <c r="K9157" t="s">
        <v>29335</v>
      </c>
      <c r="L9157" t="s">
        <v>2236</v>
      </c>
      <c r="M9157" t="s">
        <v>32003</v>
      </c>
      <c r="N9157" t="s">
        <v>32524</v>
      </c>
      <c r="O9157" t="s">
        <v>32525</v>
      </c>
      <c r="P9157">
        <v>0</v>
      </c>
      <c r="Q9157">
        <v>1</v>
      </c>
      <c r="R9157" t="s">
        <v>32538</v>
      </c>
      <c r="S9157" t="s">
        <v>32872</v>
      </c>
      <c r="T9157" t="s">
        <v>33171</v>
      </c>
      <c r="U9157" t="s">
        <v>39914</v>
      </c>
      <c r="V9157" t="s">
        <v>43251</v>
      </c>
      <c r="W9157" t="s">
        <v>32003</v>
      </c>
      <c r="X9157" t="s">
        <v>43779</v>
      </c>
    </row>
    <row r="9158" spans="1:24">
      <c r="A9158">
        <f>HYPERLINK("https://www.philgeps.gov.ph/GEPSNONPILOT/Tender/SplashBidNoticeAbstractUI.aspx?menuIndex=3&amp;refID=7022143&amp;Result=3","7022143")</f>
        <v>0</v>
      </c>
      <c r="B9158" t="s">
        <v>2462</v>
      </c>
      <c r="C9158" t="s">
        <v>11438</v>
      </c>
      <c r="E9158" t="s">
        <v>21068</v>
      </c>
      <c r="F9158" t="s">
        <v>22436</v>
      </c>
      <c r="G9158" t="s">
        <v>22446</v>
      </c>
      <c r="H9158" t="s">
        <v>22452</v>
      </c>
      <c r="I9158" t="s">
        <v>6421</v>
      </c>
      <c r="J9158" t="s">
        <v>28379</v>
      </c>
      <c r="K9158" t="s">
        <v>29338</v>
      </c>
      <c r="M9158" t="s">
        <v>32266</v>
      </c>
      <c r="N9158" t="s">
        <v>32524</v>
      </c>
      <c r="O9158" t="s">
        <v>32525</v>
      </c>
      <c r="P9158">
        <v>0</v>
      </c>
      <c r="Q9158">
        <v>1</v>
      </c>
      <c r="R9158" t="s">
        <v>32538</v>
      </c>
      <c r="S9158" t="s">
        <v>32872</v>
      </c>
      <c r="T9158" t="s">
        <v>33213</v>
      </c>
      <c r="U9158" t="s">
        <v>41202</v>
      </c>
      <c r="V9158" t="s">
        <v>43403</v>
      </c>
      <c r="W9158" t="s">
        <v>32266</v>
      </c>
      <c r="X9158" t="s">
        <v>32540</v>
      </c>
    </row>
    <row r="9159" spans="1:24">
      <c r="A9159">
        <f>HYPERLINK("https://www.philgeps.gov.ph/GEPSNONPILOT/Tender/SplashBidNoticeAbstractUI.aspx?menuIndex=3&amp;refID=7022112&amp;Result=3","7022112")</f>
        <v>0</v>
      </c>
      <c r="B9159" t="s">
        <v>2462</v>
      </c>
      <c r="C9159" t="s">
        <v>11439</v>
      </c>
      <c r="E9159" t="s">
        <v>21060</v>
      </c>
      <c r="F9159" t="s">
        <v>22436</v>
      </c>
      <c r="G9159" t="s">
        <v>22446</v>
      </c>
      <c r="H9159" t="s">
        <v>22452</v>
      </c>
      <c r="I9159" t="s">
        <v>6421</v>
      </c>
      <c r="J9159" t="s">
        <v>28380</v>
      </c>
      <c r="K9159" t="s">
        <v>29338</v>
      </c>
      <c r="M9159" t="s">
        <v>32266</v>
      </c>
      <c r="N9159" t="s">
        <v>32524</v>
      </c>
      <c r="O9159" t="s">
        <v>32525</v>
      </c>
      <c r="P9159">
        <v>0</v>
      </c>
      <c r="Q9159">
        <v>1</v>
      </c>
      <c r="R9159" t="s">
        <v>32538</v>
      </c>
      <c r="S9159" t="s">
        <v>32872</v>
      </c>
      <c r="T9159" t="s">
        <v>33213</v>
      </c>
      <c r="U9159" t="s">
        <v>41203</v>
      </c>
      <c r="V9159" t="s">
        <v>43403</v>
      </c>
      <c r="W9159" t="s">
        <v>32266</v>
      </c>
      <c r="X9159" t="s">
        <v>32540</v>
      </c>
    </row>
    <row r="9160" spans="1:24">
      <c r="A9160">
        <f>HYPERLINK("https://www.philgeps.gov.ph/GEPSNONPILOT/Tender/SplashBidNoticeAbstractUI.aspx?menuIndex=3&amp;refID=7021745&amp;Result=3","7021745")</f>
        <v>0</v>
      </c>
      <c r="B9160" t="s">
        <v>39</v>
      </c>
      <c r="C9160" t="s">
        <v>11440</v>
      </c>
      <c r="E9160" t="s">
        <v>21069</v>
      </c>
      <c r="F9160" t="s">
        <v>22436</v>
      </c>
      <c r="G9160" t="s">
        <v>22444</v>
      </c>
      <c r="H9160" t="s">
        <v>22452</v>
      </c>
      <c r="I9160" t="s">
        <v>22458</v>
      </c>
      <c r="J9160" t="s">
        <v>22971</v>
      </c>
      <c r="K9160" t="s">
        <v>29338</v>
      </c>
      <c r="M9160" t="s">
        <v>29610</v>
      </c>
      <c r="N9160" t="s">
        <v>32524</v>
      </c>
      <c r="O9160" t="s">
        <v>32525</v>
      </c>
      <c r="Q9160">
        <v>8</v>
      </c>
      <c r="R9160" t="s">
        <v>32538</v>
      </c>
      <c r="S9160" t="s">
        <v>32890</v>
      </c>
      <c r="T9160" t="s">
        <v>33168</v>
      </c>
      <c r="U9160" t="s">
        <v>41204</v>
      </c>
      <c r="W9160" t="s">
        <v>29610</v>
      </c>
      <c r="X9160" t="s">
        <v>32540</v>
      </c>
    </row>
    <row r="9161" spans="1:24">
      <c r="A9161">
        <f>HYPERLINK("https://www.philgeps.gov.ph/GEPSNONPILOT/Tender/SplashBidNoticeAbstractUI.aspx?menuIndex=3&amp;refID=7020777&amp;Result=3","7020777")</f>
        <v>0</v>
      </c>
      <c r="B9161" t="s">
        <v>2462</v>
      </c>
      <c r="C9161" t="s">
        <v>11441</v>
      </c>
      <c r="E9161" t="s">
        <v>21049</v>
      </c>
      <c r="F9161" t="s">
        <v>22436</v>
      </c>
      <c r="G9161" t="s">
        <v>22444</v>
      </c>
      <c r="H9161" t="s">
        <v>22452</v>
      </c>
      <c r="I9161" t="s">
        <v>6421</v>
      </c>
      <c r="J9161" t="s">
        <v>28381</v>
      </c>
      <c r="K9161" t="s">
        <v>29338</v>
      </c>
      <c r="M9161" t="s">
        <v>32266</v>
      </c>
      <c r="N9161" t="s">
        <v>32524</v>
      </c>
      <c r="O9161" t="s">
        <v>32525</v>
      </c>
      <c r="P9161">
        <v>0</v>
      </c>
      <c r="Q9161">
        <v>0</v>
      </c>
      <c r="R9161" t="s">
        <v>32538</v>
      </c>
      <c r="S9161" t="s">
        <v>32872</v>
      </c>
      <c r="T9161" t="s">
        <v>33213</v>
      </c>
      <c r="U9161" t="s">
        <v>41205</v>
      </c>
      <c r="V9161" t="s">
        <v>43403</v>
      </c>
      <c r="W9161" t="s">
        <v>32266</v>
      </c>
      <c r="X9161" t="s">
        <v>43779</v>
      </c>
    </row>
    <row r="9162" spans="1:24">
      <c r="A9162">
        <f>HYPERLINK("https://www.philgeps.gov.ph/GEPSNONPILOT/Tender/SplashBidNoticeAbstractUI.aspx?menuIndex=3&amp;refID=7022167&amp;Result=3","7022167")</f>
        <v>0</v>
      </c>
      <c r="B9162" t="s">
        <v>2376</v>
      </c>
      <c r="C9162" t="s">
        <v>11442</v>
      </c>
      <c r="D9162" t="s">
        <v>13046</v>
      </c>
      <c r="E9162" t="s">
        <v>21070</v>
      </c>
      <c r="F9162" t="s">
        <v>22436</v>
      </c>
      <c r="G9162" t="s">
        <v>22444</v>
      </c>
      <c r="H9162" t="s">
        <v>22452</v>
      </c>
      <c r="I9162" t="s">
        <v>3529</v>
      </c>
      <c r="J9162" t="s">
        <v>28382</v>
      </c>
      <c r="K9162" t="s">
        <v>29336</v>
      </c>
      <c r="M9162" t="s">
        <v>32163</v>
      </c>
      <c r="N9162" t="s">
        <v>32524</v>
      </c>
      <c r="O9162" t="s">
        <v>32525</v>
      </c>
      <c r="P9162">
        <v>0</v>
      </c>
      <c r="Q9162">
        <v>0</v>
      </c>
      <c r="R9162" t="s">
        <v>32538</v>
      </c>
      <c r="S9162" t="s">
        <v>32872</v>
      </c>
      <c r="T9162" t="s">
        <v>33278</v>
      </c>
      <c r="U9162" t="s">
        <v>41206</v>
      </c>
      <c r="W9162" t="s">
        <v>32163</v>
      </c>
      <c r="X9162" t="s">
        <v>32540</v>
      </c>
    </row>
    <row r="9163" spans="1:24">
      <c r="A9163">
        <f>HYPERLINK("https://www.philgeps.gov.ph/GEPSNONPILOT/Tender/SplashBidNoticeAbstractUI.aspx?menuIndex=3&amp;refID=7021733&amp;Result=3","7021733")</f>
        <v>0</v>
      </c>
      <c r="B9163" t="s">
        <v>39</v>
      </c>
      <c r="C9163" t="s">
        <v>11443</v>
      </c>
      <c r="E9163" t="s">
        <v>21069</v>
      </c>
      <c r="F9163" t="s">
        <v>22436</v>
      </c>
      <c r="G9163" t="s">
        <v>22444</v>
      </c>
      <c r="H9163" t="s">
        <v>22452</v>
      </c>
      <c r="I9163" t="s">
        <v>22458</v>
      </c>
      <c r="J9163" t="s">
        <v>22779</v>
      </c>
      <c r="K9163" t="s">
        <v>29338</v>
      </c>
      <c r="M9163" t="s">
        <v>29610</v>
      </c>
      <c r="N9163" t="s">
        <v>32524</v>
      </c>
      <c r="O9163" t="s">
        <v>32525</v>
      </c>
      <c r="Q9163">
        <v>9</v>
      </c>
      <c r="R9163" t="s">
        <v>32538</v>
      </c>
      <c r="S9163" t="s">
        <v>32891</v>
      </c>
      <c r="T9163" t="s">
        <v>33168</v>
      </c>
      <c r="U9163" t="s">
        <v>41207</v>
      </c>
      <c r="W9163" t="s">
        <v>29610</v>
      </c>
      <c r="X9163" t="s">
        <v>32540</v>
      </c>
    </row>
    <row r="9164" spans="1:24">
      <c r="A9164">
        <f>HYPERLINK("https://www.philgeps.gov.ph/GEPSNONPILOT/Tender/SplashBidNoticeAbstractUI.aspx?menuIndex=3&amp;refID=7021752&amp;Result=3","7021752")</f>
        <v>0</v>
      </c>
      <c r="B9164" t="s">
        <v>39</v>
      </c>
      <c r="C9164" t="s">
        <v>11444</v>
      </c>
      <c r="E9164" t="s">
        <v>21071</v>
      </c>
      <c r="F9164" t="s">
        <v>22436</v>
      </c>
      <c r="G9164" t="s">
        <v>22444</v>
      </c>
      <c r="H9164" t="s">
        <v>22452</v>
      </c>
      <c r="I9164" t="s">
        <v>22458</v>
      </c>
      <c r="J9164" t="s">
        <v>22616</v>
      </c>
      <c r="K9164" t="s">
        <v>29338</v>
      </c>
      <c r="M9164" t="s">
        <v>29610</v>
      </c>
      <c r="N9164" t="s">
        <v>32524</v>
      </c>
      <c r="O9164" t="s">
        <v>32525</v>
      </c>
      <c r="Q9164">
        <v>5</v>
      </c>
      <c r="R9164" t="s">
        <v>32538</v>
      </c>
      <c r="S9164" t="s">
        <v>32892</v>
      </c>
      <c r="T9164" t="s">
        <v>33168</v>
      </c>
      <c r="U9164" t="s">
        <v>41208</v>
      </c>
      <c r="W9164" t="s">
        <v>29610</v>
      </c>
      <c r="X9164" t="s">
        <v>32540</v>
      </c>
    </row>
    <row r="9165" spans="1:24">
      <c r="A9165">
        <f>HYPERLINK("https://www.philgeps.gov.ph/GEPSNONPILOT/Tender/SplashBidNoticeAbstractUI.aspx?menuIndex=3&amp;refID=7022259&amp;Result=3","7022259")</f>
        <v>0</v>
      </c>
      <c r="B9165" t="s">
        <v>32</v>
      </c>
      <c r="C9165" t="s">
        <v>11445</v>
      </c>
      <c r="E9165" t="s">
        <v>21072</v>
      </c>
      <c r="F9165" t="s">
        <v>22436</v>
      </c>
      <c r="G9165" t="s">
        <v>22444</v>
      </c>
      <c r="H9165" t="s">
        <v>22452</v>
      </c>
      <c r="I9165" t="s">
        <v>22463</v>
      </c>
      <c r="J9165" t="s">
        <v>28383</v>
      </c>
      <c r="K9165" t="s">
        <v>29336</v>
      </c>
      <c r="M9165" t="s">
        <v>29609</v>
      </c>
      <c r="N9165" t="s">
        <v>32524</v>
      </c>
      <c r="O9165" t="s">
        <v>32525</v>
      </c>
      <c r="P9165">
        <v>0</v>
      </c>
      <c r="Q9165">
        <v>5</v>
      </c>
      <c r="R9165" t="s">
        <v>32538</v>
      </c>
      <c r="S9165" t="s">
        <v>32872</v>
      </c>
      <c r="T9165" t="s">
        <v>33241</v>
      </c>
      <c r="U9165" t="s">
        <v>41209</v>
      </c>
      <c r="W9165" t="s">
        <v>29609</v>
      </c>
      <c r="X9165" t="s">
        <v>32540</v>
      </c>
    </row>
    <row r="9166" spans="1:24">
      <c r="A9166">
        <f>HYPERLINK("https://www.philgeps.gov.ph/GEPSNONPILOT/Tender/SplashBidNoticeAbstractUI.aspx?menuIndex=3&amp;refID=7022219&amp;Result=3","7022219")</f>
        <v>0</v>
      </c>
      <c r="B9166" t="s">
        <v>2462</v>
      </c>
      <c r="C9166" t="s">
        <v>11446</v>
      </c>
      <c r="E9166" t="s">
        <v>21073</v>
      </c>
      <c r="F9166" t="s">
        <v>22436</v>
      </c>
      <c r="G9166" t="s">
        <v>22446</v>
      </c>
      <c r="H9166" t="s">
        <v>22452</v>
      </c>
      <c r="I9166" t="s">
        <v>5194</v>
      </c>
      <c r="J9166" t="s">
        <v>28384</v>
      </c>
      <c r="K9166" t="s">
        <v>29338</v>
      </c>
      <c r="M9166" t="s">
        <v>32266</v>
      </c>
      <c r="N9166" t="s">
        <v>32524</v>
      </c>
      <c r="O9166" t="s">
        <v>32525</v>
      </c>
      <c r="P9166">
        <v>0</v>
      </c>
      <c r="Q9166">
        <v>1</v>
      </c>
      <c r="R9166" t="s">
        <v>32538</v>
      </c>
      <c r="S9166" t="s">
        <v>32872</v>
      </c>
      <c r="T9166" t="s">
        <v>33213</v>
      </c>
      <c r="U9166" t="s">
        <v>41210</v>
      </c>
      <c r="V9166" t="s">
        <v>43403</v>
      </c>
      <c r="W9166" t="s">
        <v>32266</v>
      </c>
      <c r="X9166" t="s">
        <v>32540</v>
      </c>
    </row>
    <row r="9167" spans="1:24">
      <c r="A9167">
        <f>HYPERLINK("https://www.philgeps.gov.ph/GEPSNONPILOT/Tender/SplashBidNoticeAbstractUI.aspx?menuIndex=3&amp;refID=7022185&amp;Result=3","7022185")</f>
        <v>0</v>
      </c>
      <c r="B9167" t="s">
        <v>2462</v>
      </c>
      <c r="C9167" t="s">
        <v>11447</v>
      </c>
      <c r="E9167" t="s">
        <v>21074</v>
      </c>
      <c r="F9167" t="s">
        <v>22436</v>
      </c>
      <c r="G9167" t="s">
        <v>22446</v>
      </c>
      <c r="H9167" t="s">
        <v>22452</v>
      </c>
      <c r="I9167" t="s">
        <v>5194</v>
      </c>
      <c r="J9167" t="s">
        <v>28385</v>
      </c>
      <c r="K9167" t="s">
        <v>29338</v>
      </c>
      <c r="M9167" t="s">
        <v>32266</v>
      </c>
      <c r="N9167" t="s">
        <v>32524</v>
      </c>
      <c r="O9167" t="s">
        <v>32525</v>
      </c>
      <c r="P9167">
        <v>0</v>
      </c>
      <c r="Q9167">
        <v>0</v>
      </c>
      <c r="R9167" t="s">
        <v>32538</v>
      </c>
      <c r="S9167" t="s">
        <v>32872</v>
      </c>
      <c r="T9167" t="s">
        <v>33213</v>
      </c>
      <c r="U9167" t="s">
        <v>41211</v>
      </c>
      <c r="V9167" t="s">
        <v>43403</v>
      </c>
      <c r="W9167" t="s">
        <v>32266</v>
      </c>
      <c r="X9167" t="s">
        <v>32540</v>
      </c>
    </row>
    <row r="9168" spans="1:24">
      <c r="A9168">
        <f>HYPERLINK("https://www.philgeps.gov.ph/GEPSNONPILOT/Tender/SplashBidNoticeAbstractUI.aspx?menuIndex=3&amp;refID=7022239&amp;Result=3","7022239")</f>
        <v>0</v>
      </c>
      <c r="B9168" t="s">
        <v>182</v>
      </c>
      <c r="C9168" t="s">
        <v>11448</v>
      </c>
      <c r="D9168" t="s">
        <v>13067</v>
      </c>
      <c r="E9168" t="s">
        <v>21075</v>
      </c>
      <c r="F9168" t="s">
        <v>22436</v>
      </c>
      <c r="G9168" t="s">
        <v>22444</v>
      </c>
      <c r="H9168" t="s">
        <v>22452</v>
      </c>
      <c r="I9168" t="s">
        <v>22474</v>
      </c>
      <c r="J9168" t="s">
        <v>22960</v>
      </c>
      <c r="K9168" t="s">
        <v>29335</v>
      </c>
      <c r="M9168" t="s">
        <v>29754</v>
      </c>
      <c r="N9168" t="s">
        <v>32524</v>
      </c>
      <c r="O9168" t="s">
        <v>32525</v>
      </c>
      <c r="P9168">
        <v>0</v>
      </c>
      <c r="Q9168">
        <v>6</v>
      </c>
      <c r="R9168" t="s">
        <v>32538</v>
      </c>
      <c r="S9168" t="s">
        <v>32872</v>
      </c>
      <c r="T9168" t="s">
        <v>33242</v>
      </c>
      <c r="U9168" t="s">
        <v>41212</v>
      </c>
      <c r="V9168" t="s">
        <v>43442</v>
      </c>
      <c r="W9168" t="s">
        <v>29754</v>
      </c>
      <c r="X9168" t="s">
        <v>32540</v>
      </c>
    </row>
    <row r="9169" spans="1:24">
      <c r="A9169">
        <f>HYPERLINK("https://www.philgeps.gov.ph/GEPSNONPILOT/Tender/SplashBidNoticeAbstractUI.aspx?menuIndex=3&amp;refID=7022248&amp;Result=3","7022248")</f>
        <v>0</v>
      </c>
      <c r="B9169" t="s">
        <v>2236</v>
      </c>
      <c r="C9169" t="s">
        <v>11449</v>
      </c>
      <c r="D9169" t="s">
        <v>13059</v>
      </c>
      <c r="E9169" t="s">
        <v>21076</v>
      </c>
      <c r="F9169" t="s">
        <v>22436</v>
      </c>
      <c r="G9169" t="s">
        <v>22444</v>
      </c>
      <c r="H9169" t="s">
        <v>22454</v>
      </c>
      <c r="I9169" t="s">
        <v>7738</v>
      </c>
      <c r="J9169" t="s">
        <v>22669</v>
      </c>
      <c r="K9169" t="s">
        <v>29388</v>
      </c>
      <c r="L9169" t="s">
        <v>2236</v>
      </c>
      <c r="M9169" t="s">
        <v>32003</v>
      </c>
      <c r="N9169" t="s">
        <v>32524</v>
      </c>
      <c r="O9169" t="s">
        <v>32525</v>
      </c>
      <c r="P9169">
        <v>0</v>
      </c>
      <c r="Q9169">
        <v>0</v>
      </c>
      <c r="R9169" t="s">
        <v>32538</v>
      </c>
      <c r="S9169" t="s">
        <v>32872</v>
      </c>
      <c r="T9169" t="s">
        <v>33171</v>
      </c>
      <c r="U9169" t="s">
        <v>39914</v>
      </c>
      <c r="V9169" t="s">
        <v>43251</v>
      </c>
      <c r="W9169" t="s">
        <v>32003</v>
      </c>
      <c r="X9169" t="s">
        <v>32540</v>
      </c>
    </row>
    <row r="9170" spans="1:24">
      <c r="A9170">
        <f>HYPERLINK("https://www.philgeps.gov.ph/GEPSNONPILOT/Tender/SplashBidNoticeAbstractUI.aspx?menuIndex=3&amp;refID=7021761&amp;Result=3","7021761")</f>
        <v>0</v>
      </c>
      <c r="B9170" t="s">
        <v>39</v>
      </c>
      <c r="C9170" t="s">
        <v>11450</v>
      </c>
      <c r="E9170" t="s">
        <v>21077</v>
      </c>
      <c r="F9170" t="s">
        <v>22436</v>
      </c>
      <c r="G9170" t="s">
        <v>22444</v>
      </c>
      <c r="H9170" t="s">
        <v>22452</v>
      </c>
      <c r="I9170" t="s">
        <v>22458</v>
      </c>
      <c r="J9170" t="s">
        <v>24681</v>
      </c>
      <c r="K9170" t="s">
        <v>29338</v>
      </c>
      <c r="M9170" t="s">
        <v>29610</v>
      </c>
      <c r="N9170" t="s">
        <v>32524</v>
      </c>
      <c r="O9170" t="s">
        <v>32525</v>
      </c>
      <c r="Q9170">
        <v>9</v>
      </c>
      <c r="R9170" t="s">
        <v>32538</v>
      </c>
      <c r="S9170" t="s">
        <v>32893</v>
      </c>
      <c r="T9170" t="s">
        <v>33168</v>
      </c>
      <c r="U9170" t="s">
        <v>41213</v>
      </c>
      <c r="W9170" t="s">
        <v>29610</v>
      </c>
      <c r="X9170" t="s">
        <v>32540</v>
      </c>
    </row>
    <row r="9171" spans="1:24">
      <c r="A9171">
        <f>HYPERLINK("https://www.philgeps.gov.ph/GEPSNONPILOT/Tender/SplashBidNoticeAbstractUI.aspx?menuIndex=3&amp;refID=7022267&amp;Result=3","7022267")</f>
        <v>0</v>
      </c>
      <c r="B9171" t="s">
        <v>2462</v>
      </c>
      <c r="C9171" t="s">
        <v>11451</v>
      </c>
      <c r="E9171" t="s">
        <v>21078</v>
      </c>
      <c r="F9171" t="s">
        <v>22436</v>
      </c>
      <c r="G9171" t="s">
        <v>22446</v>
      </c>
      <c r="H9171" t="s">
        <v>22452</v>
      </c>
      <c r="I9171" t="s">
        <v>5194</v>
      </c>
      <c r="J9171" t="s">
        <v>28386</v>
      </c>
      <c r="K9171" t="s">
        <v>29338</v>
      </c>
      <c r="M9171" t="s">
        <v>32266</v>
      </c>
      <c r="N9171" t="s">
        <v>32524</v>
      </c>
      <c r="O9171" t="s">
        <v>32525</v>
      </c>
      <c r="P9171">
        <v>0</v>
      </c>
      <c r="Q9171">
        <v>0</v>
      </c>
      <c r="R9171" t="s">
        <v>32538</v>
      </c>
      <c r="S9171" t="s">
        <v>32872</v>
      </c>
      <c r="T9171" t="s">
        <v>33213</v>
      </c>
      <c r="U9171" t="s">
        <v>41214</v>
      </c>
      <c r="V9171" t="s">
        <v>43403</v>
      </c>
      <c r="W9171" t="s">
        <v>32266</v>
      </c>
      <c r="X9171" t="s">
        <v>32540</v>
      </c>
    </row>
    <row r="9172" spans="1:24">
      <c r="A9172">
        <f>HYPERLINK("https://www.philgeps.gov.ph/GEPSNONPILOT/Tender/SplashBidNoticeAbstractUI.aspx?menuIndex=3&amp;refID=7022314&amp;Result=3","7022314")</f>
        <v>0</v>
      </c>
      <c r="B9172" t="s">
        <v>1764</v>
      </c>
      <c r="C9172" t="s">
        <v>11452</v>
      </c>
      <c r="D9172" t="s">
        <v>13067</v>
      </c>
      <c r="E9172" t="s">
        <v>21079</v>
      </c>
      <c r="F9172" t="s">
        <v>22436</v>
      </c>
      <c r="G9172" t="s">
        <v>22444</v>
      </c>
      <c r="H9172" t="s">
        <v>22454</v>
      </c>
      <c r="I9172" t="s">
        <v>7738</v>
      </c>
      <c r="J9172" t="s">
        <v>22877</v>
      </c>
      <c r="K9172" t="s">
        <v>29334</v>
      </c>
      <c r="M9172" t="s">
        <v>31470</v>
      </c>
      <c r="N9172" t="s">
        <v>32524</v>
      </c>
      <c r="O9172" t="s">
        <v>32525</v>
      </c>
      <c r="P9172">
        <v>0</v>
      </c>
      <c r="Q9172">
        <v>1</v>
      </c>
      <c r="R9172" t="s">
        <v>32538</v>
      </c>
      <c r="S9172" t="s">
        <v>32872</v>
      </c>
      <c r="T9172" t="s">
        <v>33181</v>
      </c>
      <c r="U9172" t="s">
        <v>41215</v>
      </c>
      <c r="V9172" t="s">
        <v>43443</v>
      </c>
      <c r="W9172" t="s">
        <v>31470</v>
      </c>
      <c r="X9172" t="s">
        <v>32540</v>
      </c>
    </row>
    <row r="9173" spans="1:24">
      <c r="A9173">
        <f>HYPERLINK("https://www.philgeps.gov.ph/GEPSNONPILOT/Tender/SplashBidNoticeAbstractUI.aspx?menuIndex=3&amp;refID=7022256&amp;Result=3","7022256")</f>
        <v>0</v>
      </c>
      <c r="B9173" t="s">
        <v>1764</v>
      </c>
      <c r="C9173" t="s">
        <v>11453</v>
      </c>
      <c r="D9173" t="s">
        <v>13067</v>
      </c>
      <c r="E9173" t="s">
        <v>21080</v>
      </c>
      <c r="F9173" t="s">
        <v>22436</v>
      </c>
      <c r="G9173" t="s">
        <v>22444</v>
      </c>
      <c r="H9173" t="s">
        <v>22454</v>
      </c>
      <c r="I9173" t="s">
        <v>7738</v>
      </c>
      <c r="J9173" t="s">
        <v>25346</v>
      </c>
      <c r="K9173" t="s">
        <v>29345</v>
      </c>
      <c r="M9173" t="s">
        <v>31470</v>
      </c>
      <c r="N9173" t="s">
        <v>32524</v>
      </c>
      <c r="O9173" t="s">
        <v>32525</v>
      </c>
      <c r="P9173">
        <v>0</v>
      </c>
      <c r="Q9173">
        <v>2</v>
      </c>
      <c r="R9173" t="s">
        <v>32538</v>
      </c>
      <c r="S9173" t="s">
        <v>32872</v>
      </c>
      <c r="T9173" t="s">
        <v>33181</v>
      </c>
      <c r="U9173" t="s">
        <v>41215</v>
      </c>
      <c r="V9173" t="s">
        <v>43444</v>
      </c>
      <c r="W9173" t="s">
        <v>31470</v>
      </c>
      <c r="X9173" t="s">
        <v>32540</v>
      </c>
    </row>
    <row r="9174" spans="1:24">
      <c r="A9174">
        <f>HYPERLINK("https://www.philgeps.gov.ph/GEPSNONPILOT/Tender/SplashBidNoticeAbstractUI.aspx?menuIndex=3&amp;refID=7022337&amp;Result=3","7022337")</f>
        <v>0</v>
      </c>
      <c r="B9174" t="s">
        <v>1764</v>
      </c>
      <c r="C9174" t="s">
        <v>11454</v>
      </c>
      <c r="D9174" t="s">
        <v>13067</v>
      </c>
      <c r="E9174" t="s">
        <v>21081</v>
      </c>
      <c r="F9174" t="s">
        <v>22436</v>
      </c>
      <c r="G9174" t="s">
        <v>22444</v>
      </c>
      <c r="H9174" t="s">
        <v>22454</v>
      </c>
      <c r="I9174" t="s">
        <v>7738</v>
      </c>
      <c r="J9174" t="s">
        <v>22877</v>
      </c>
      <c r="K9174" t="s">
        <v>29334</v>
      </c>
      <c r="M9174" t="s">
        <v>31470</v>
      </c>
      <c r="N9174" t="s">
        <v>32524</v>
      </c>
      <c r="O9174" t="s">
        <v>32525</v>
      </c>
      <c r="P9174">
        <v>0</v>
      </c>
      <c r="Q9174">
        <v>0</v>
      </c>
      <c r="R9174" t="s">
        <v>32538</v>
      </c>
      <c r="S9174" t="s">
        <v>32872</v>
      </c>
      <c r="T9174" t="s">
        <v>33181</v>
      </c>
      <c r="U9174" t="s">
        <v>41215</v>
      </c>
      <c r="V9174" t="s">
        <v>43445</v>
      </c>
      <c r="W9174" t="s">
        <v>31470</v>
      </c>
      <c r="X9174" t="s">
        <v>32540</v>
      </c>
    </row>
    <row r="9175" spans="1:24">
      <c r="A9175">
        <f>HYPERLINK("https://www.philgeps.gov.ph/GEPSNONPILOT/Tender/SplashBidNoticeAbstractUI.aspx?menuIndex=3&amp;refID=7022512&amp;Result=3","7022512")</f>
        <v>0</v>
      </c>
      <c r="B9175" t="s">
        <v>2462</v>
      </c>
      <c r="C9175" t="s">
        <v>11455</v>
      </c>
      <c r="E9175" t="s">
        <v>21082</v>
      </c>
      <c r="F9175" t="s">
        <v>22436</v>
      </c>
      <c r="G9175" t="s">
        <v>22446</v>
      </c>
      <c r="H9175" t="s">
        <v>22452</v>
      </c>
      <c r="I9175" t="s">
        <v>12358</v>
      </c>
      <c r="J9175" t="s">
        <v>28387</v>
      </c>
      <c r="K9175" t="s">
        <v>29338</v>
      </c>
      <c r="M9175" t="s">
        <v>32266</v>
      </c>
      <c r="N9175" t="s">
        <v>32524</v>
      </c>
      <c r="O9175" t="s">
        <v>32525</v>
      </c>
      <c r="P9175">
        <v>0</v>
      </c>
      <c r="Q9175">
        <v>0</v>
      </c>
      <c r="R9175" t="s">
        <v>32538</v>
      </c>
      <c r="S9175" t="s">
        <v>32872</v>
      </c>
      <c r="T9175" t="s">
        <v>33213</v>
      </c>
      <c r="U9175" t="s">
        <v>41216</v>
      </c>
      <c r="V9175" t="s">
        <v>43403</v>
      </c>
      <c r="W9175" t="s">
        <v>32266</v>
      </c>
      <c r="X9175" t="s">
        <v>32540</v>
      </c>
    </row>
    <row r="9176" spans="1:24">
      <c r="A9176">
        <f>HYPERLINK("https://www.philgeps.gov.ph/GEPSNONPILOT/Tender/SplashBidNoticeAbstractUI.aspx?menuIndex=3&amp;refID=7022284&amp;Result=3","7022284")</f>
        <v>0</v>
      </c>
      <c r="B9176" t="s">
        <v>1764</v>
      </c>
      <c r="C9176" t="s">
        <v>11456</v>
      </c>
      <c r="D9176" t="s">
        <v>13067</v>
      </c>
      <c r="E9176" t="s">
        <v>21083</v>
      </c>
      <c r="F9176" t="s">
        <v>22436</v>
      </c>
      <c r="G9176" t="s">
        <v>22444</v>
      </c>
      <c r="H9176" t="s">
        <v>22454</v>
      </c>
      <c r="I9176" t="s">
        <v>7738</v>
      </c>
      <c r="J9176" t="s">
        <v>28388</v>
      </c>
      <c r="K9176" t="s">
        <v>29344</v>
      </c>
      <c r="M9176" t="s">
        <v>31470</v>
      </c>
      <c r="N9176" t="s">
        <v>32524</v>
      </c>
      <c r="O9176" t="s">
        <v>32525</v>
      </c>
      <c r="Q9176">
        <v>1</v>
      </c>
      <c r="R9176" t="s">
        <v>32538</v>
      </c>
      <c r="S9176" t="s">
        <v>32894</v>
      </c>
      <c r="T9176" t="s">
        <v>33181</v>
      </c>
      <c r="U9176" t="s">
        <v>41215</v>
      </c>
      <c r="V9176" t="s">
        <v>43446</v>
      </c>
      <c r="W9176" t="s">
        <v>31470</v>
      </c>
      <c r="X9176" t="s">
        <v>32540</v>
      </c>
    </row>
    <row r="9177" spans="1:24">
      <c r="A9177">
        <f>HYPERLINK("https://www.philgeps.gov.ph/GEPSNONPILOT/Tender/SplashBidNoticeAbstractUI.aspx?menuIndex=3&amp;refID=7022294&amp;Result=3","7022294")</f>
        <v>0</v>
      </c>
      <c r="B9177" t="s">
        <v>2462</v>
      </c>
      <c r="C9177" t="s">
        <v>11457</v>
      </c>
      <c r="E9177" t="s">
        <v>21078</v>
      </c>
      <c r="F9177" t="s">
        <v>22436</v>
      </c>
      <c r="G9177" t="s">
        <v>22446</v>
      </c>
      <c r="H9177" t="s">
        <v>22452</v>
      </c>
      <c r="I9177" t="s">
        <v>5194</v>
      </c>
      <c r="J9177" t="s">
        <v>28389</v>
      </c>
      <c r="K9177" t="s">
        <v>29338</v>
      </c>
      <c r="M9177" t="s">
        <v>32266</v>
      </c>
      <c r="N9177" t="s">
        <v>32524</v>
      </c>
      <c r="O9177" t="s">
        <v>32525</v>
      </c>
      <c r="P9177">
        <v>0</v>
      </c>
      <c r="Q9177">
        <v>1</v>
      </c>
      <c r="R9177" t="s">
        <v>32538</v>
      </c>
      <c r="S9177" t="s">
        <v>32872</v>
      </c>
      <c r="T9177" t="s">
        <v>33213</v>
      </c>
      <c r="U9177" t="s">
        <v>41217</v>
      </c>
      <c r="V9177" t="s">
        <v>43403</v>
      </c>
      <c r="W9177" t="s">
        <v>32266</v>
      </c>
      <c r="X9177" t="s">
        <v>32540</v>
      </c>
    </row>
    <row r="9178" spans="1:24">
      <c r="A9178">
        <f>HYPERLINK("https://www.philgeps.gov.ph/GEPSNONPILOT/Tender/SplashBidNoticeAbstractUI.aspx?menuIndex=3&amp;refID=7022507&amp;Result=3","7022507")</f>
        <v>0</v>
      </c>
      <c r="B9178" t="s">
        <v>1563</v>
      </c>
      <c r="C9178" t="s">
        <v>11458</v>
      </c>
      <c r="D9178" t="s">
        <v>13006</v>
      </c>
      <c r="E9178" t="s">
        <v>21084</v>
      </c>
      <c r="F9178" t="s">
        <v>22436</v>
      </c>
      <c r="G9178" t="s">
        <v>22444</v>
      </c>
      <c r="H9178" t="s">
        <v>22454</v>
      </c>
      <c r="I9178" t="s">
        <v>7738</v>
      </c>
      <c r="J9178" t="s">
        <v>22634</v>
      </c>
      <c r="K9178" t="s">
        <v>29333</v>
      </c>
      <c r="M9178" t="s">
        <v>31244</v>
      </c>
      <c r="N9178" t="s">
        <v>32524</v>
      </c>
      <c r="O9178" t="s">
        <v>32525</v>
      </c>
      <c r="P9178">
        <v>0</v>
      </c>
      <c r="Q9178">
        <v>0</v>
      </c>
      <c r="R9178" t="s">
        <v>32538</v>
      </c>
      <c r="S9178" t="s">
        <v>32872</v>
      </c>
      <c r="T9178" t="s">
        <v>33184</v>
      </c>
      <c r="U9178" t="s">
        <v>41218</v>
      </c>
      <c r="W9178" t="s">
        <v>31244</v>
      </c>
      <c r="X9178" t="s">
        <v>32540</v>
      </c>
    </row>
    <row r="9179" spans="1:24">
      <c r="A9179">
        <f>HYPERLINK("https://www.philgeps.gov.ph/GEPSNONPILOT/Tender/SplashBidNoticeAbstractUI.aspx?menuIndex=3&amp;refID=7021868&amp;Result=3","7021868")</f>
        <v>0</v>
      </c>
      <c r="B9179" t="s">
        <v>2236</v>
      </c>
      <c r="C9179" t="s">
        <v>11459</v>
      </c>
      <c r="D9179" t="s">
        <v>13059</v>
      </c>
      <c r="E9179" t="s">
        <v>21085</v>
      </c>
      <c r="F9179" t="s">
        <v>22436</v>
      </c>
      <c r="G9179" t="s">
        <v>22444</v>
      </c>
      <c r="H9179" t="s">
        <v>22454</v>
      </c>
      <c r="I9179" t="s">
        <v>7738</v>
      </c>
      <c r="J9179" t="s">
        <v>22669</v>
      </c>
      <c r="K9179" t="s">
        <v>29388</v>
      </c>
      <c r="L9179" t="s">
        <v>2236</v>
      </c>
      <c r="M9179" t="s">
        <v>32003</v>
      </c>
      <c r="N9179" t="s">
        <v>32524</v>
      </c>
      <c r="O9179" t="s">
        <v>32525</v>
      </c>
      <c r="P9179">
        <v>0</v>
      </c>
      <c r="Q9179">
        <v>0</v>
      </c>
      <c r="R9179" t="s">
        <v>32538</v>
      </c>
      <c r="S9179" t="s">
        <v>32872</v>
      </c>
      <c r="T9179" t="s">
        <v>33171</v>
      </c>
      <c r="U9179" t="s">
        <v>39914</v>
      </c>
      <c r="V9179" t="s">
        <v>43251</v>
      </c>
      <c r="W9179" t="s">
        <v>32003</v>
      </c>
      <c r="X9179" t="s">
        <v>32540</v>
      </c>
    </row>
    <row r="9180" spans="1:24">
      <c r="A9180">
        <f>HYPERLINK("https://www.philgeps.gov.ph/GEPSNONPILOT/Tender/SplashBidNoticeAbstractUI.aspx?menuIndex=3&amp;refID=7022413&amp;Result=3","7022413")</f>
        <v>0</v>
      </c>
      <c r="B9180" t="s">
        <v>1764</v>
      </c>
      <c r="C9180" t="s">
        <v>11460</v>
      </c>
      <c r="D9180" t="s">
        <v>13067</v>
      </c>
      <c r="E9180" t="s">
        <v>21086</v>
      </c>
      <c r="F9180" t="s">
        <v>22436</v>
      </c>
      <c r="G9180" t="s">
        <v>22444</v>
      </c>
      <c r="H9180" t="s">
        <v>22454</v>
      </c>
      <c r="I9180" t="s">
        <v>7738</v>
      </c>
      <c r="J9180" t="s">
        <v>24189</v>
      </c>
      <c r="K9180" t="s">
        <v>29335</v>
      </c>
      <c r="M9180" t="s">
        <v>31470</v>
      </c>
      <c r="N9180" t="s">
        <v>32524</v>
      </c>
      <c r="O9180" t="s">
        <v>32525</v>
      </c>
      <c r="P9180">
        <v>0</v>
      </c>
      <c r="Q9180">
        <v>1</v>
      </c>
      <c r="R9180" t="s">
        <v>32538</v>
      </c>
      <c r="S9180" t="s">
        <v>32872</v>
      </c>
      <c r="T9180" t="s">
        <v>33181</v>
      </c>
      <c r="U9180" t="s">
        <v>41215</v>
      </c>
      <c r="V9180" t="s">
        <v>43447</v>
      </c>
      <c r="W9180" t="s">
        <v>31470</v>
      </c>
      <c r="X9180" t="s">
        <v>32540</v>
      </c>
    </row>
    <row r="9181" spans="1:24">
      <c r="A9181">
        <f>HYPERLINK("https://www.philgeps.gov.ph/GEPSNONPILOT/Tender/SplashBidNoticeAbstractUI.aspx?menuIndex=3&amp;refID=7022403&amp;Result=3","7022403")</f>
        <v>0</v>
      </c>
      <c r="B9181" t="s">
        <v>768</v>
      </c>
      <c r="C9181" t="s">
        <v>11461</v>
      </c>
      <c r="D9181" t="s">
        <v>13046</v>
      </c>
      <c r="E9181" t="s">
        <v>15103</v>
      </c>
      <c r="F9181" t="s">
        <v>22436</v>
      </c>
      <c r="G9181" t="s">
        <v>22444</v>
      </c>
      <c r="H9181" t="s">
        <v>22452</v>
      </c>
      <c r="I9181" t="s">
        <v>6387</v>
      </c>
      <c r="J9181" t="s">
        <v>24156</v>
      </c>
      <c r="K9181" t="s">
        <v>29334</v>
      </c>
      <c r="L9181" t="s">
        <v>768</v>
      </c>
      <c r="M9181" t="s">
        <v>30369</v>
      </c>
      <c r="N9181" t="s">
        <v>32524</v>
      </c>
      <c r="O9181" t="s">
        <v>32525</v>
      </c>
      <c r="P9181">
        <v>0</v>
      </c>
      <c r="Q9181">
        <v>3</v>
      </c>
      <c r="R9181" t="s">
        <v>32538</v>
      </c>
      <c r="S9181" t="s">
        <v>32872</v>
      </c>
      <c r="T9181" t="s">
        <v>33186</v>
      </c>
      <c r="U9181" t="s">
        <v>41219</v>
      </c>
      <c r="V9181" t="s">
        <v>43244</v>
      </c>
      <c r="W9181" t="s">
        <v>30369</v>
      </c>
      <c r="X9181" t="s">
        <v>32540</v>
      </c>
    </row>
    <row r="9182" spans="1:24">
      <c r="A9182">
        <f>HYPERLINK("https://www.philgeps.gov.ph/GEPSNONPILOT/Tender/SplashBidNoticeAbstractUI.aspx?menuIndex=3&amp;refID=7022325&amp;Result=3","7022325")</f>
        <v>0</v>
      </c>
      <c r="B9182" t="s">
        <v>364</v>
      </c>
      <c r="C9182" t="s">
        <v>11462</v>
      </c>
      <c r="D9182" t="s">
        <v>13011</v>
      </c>
      <c r="E9182" t="s">
        <v>21087</v>
      </c>
      <c r="F9182" t="s">
        <v>22436</v>
      </c>
      <c r="G9182" t="s">
        <v>22444</v>
      </c>
      <c r="H9182" t="s">
        <v>22454</v>
      </c>
      <c r="I9182" t="s">
        <v>7738</v>
      </c>
      <c r="J9182" t="s">
        <v>22669</v>
      </c>
      <c r="K9182" t="s">
        <v>29342</v>
      </c>
      <c r="M9182" t="s">
        <v>29942</v>
      </c>
      <c r="N9182" t="s">
        <v>32524</v>
      </c>
      <c r="O9182" t="s">
        <v>32525</v>
      </c>
      <c r="P9182">
        <v>0</v>
      </c>
      <c r="Q9182">
        <v>1</v>
      </c>
      <c r="R9182" t="s">
        <v>32538</v>
      </c>
      <c r="S9182" t="s">
        <v>32872</v>
      </c>
      <c r="T9182" t="s">
        <v>33211</v>
      </c>
      <c r="U9182" t="s">
        <v>41220</v>
      </c>
      <c r="W9182" t="s">
        <v>29942</v>
      </c>
      <c r="X9182" t="s">
        <v>32540</v>
      </c>
    </row>
    <row r="9183" spans="1:24">
      <c r="A9183">
        <f>HYPERLINK("https://www.philgeps.gov.ph/GEPSNONPILOT/Tender/SplashBidNoticeAbstractUI.aspx?menuIndex=3&amp;refID=7022393&amp;Result=3","7022393")</f>
        <v>0</v>
      </c>
      <c r="B9183" t="s">
        <v>364</v>
      </c>
      <c r="C9183" t="s">
        <v>11463</v>
      </c>
      <c r="D9183" t="s">
        <v>13011</v>
      </c>
      <c r="E9183" t="s">
        <v>21088</v>
      </c>
      <c r="F9183" t="s">
        <v>22436</v>
      </c>
      <c r="G9183" t="s">
        <v>22444</v>
      </c>
      <c r="H9183" t="s">
        <v>22454</v>
      </c>
      <c r="I9183" t="s">
        <v>7738</v>
      </c>
      <c r="J9183" t="s">
        <v>22960</v>
      </c>
      <c r="K9183" t="s">
        <v>29338</v>
      </c>
      <c r="M9183" t="s">
        <v>29942</v>
      </c>
      <c r="N9183" t="s">
        <v>32524</v>
      </c>
      <c r="O9183" t="s">
        <v>32525</v>
      </c>
      <c r="P9183">
        <v>0</v>
      </c>
      <c r="Q9183">
        <v>1</v>
      </c>
      <c r="R9183" t="s">
        <v>32538</v>
      </c>
      <c r="S9183" t="s">
        <v>32872</v>
      </c>
      <c r="T9183" t="s">
        <v>33268</v>
      </c>
      <c r="U9183" t="s">
        <v>41221</v>
      </c>
      <c r="W9183" t="s">
        <v>29942</v>
      </c>
      <c r="X9183" t="s">
        <v>32540</v>
      </c>
    </row>
    <row r="9184" spans="1:24">
      <c r="A9184">
        <f>HYPERLINK("https://www.philgeps.gov.ph/GEPSNONPILOT/Tender/SplashBidNoticeAbstractUI.aspx?menuIndex=3&amp;refID=7022395&amp;Result=3","7022395")</f>
        <v>0</v>
      </c>
      <c r="B9184" t="s">
        <v>1563</v>
      </c>
      <c r="C9184" t="s">
        <v>11464</v>
      </c>
      <c r="D9184" t="s">
        <v>13006</v>
      </c>
      <c r="E9184" t="s">
        <v>21089</v>
      </c>
      <c r="F9184" t="s">
        <v>22436</v>
      </c>
      <c r="G9184" t="s">
        <v>22444</v>
      </c>
      <c r="H9184" t="s">
        <v>22454</v>
      </c>
      <c r="I9184" t="s">
        <v>7738</v>
      </c>
      <c r="J9184" t="s">
        <v>22779</v>
      </c>
      <c r="K9184" t="s">
        <v>29329</v>
      </c>
      <c r="M9184" t="s">
        <v>31244</v>
      </c>
      <c r="N9184" t="s">
        <v>32524</v>
      </c>
      <c r="O9184" t="s">
        <v>32525</v>
      </c>
      <c r="P9184">
        <v>0</v>
      </c>
      <c r="Q9184">
        <v>1</v>
      </c>
      <c r="R9184" t="s">
        <v>32538</v>
      </c>
      <c r="S9184" t="s">
        <v>32872</v>
      </c>
      <c r="T9184" t="s">
        <v>33184</v>
      </c>
      <c r="U9184" t="s">
        <v>41222</v>
      </c>
      <c r="W9184" t="s">
        <v>31244</v>
      </c>
      <c r="X9184" t="s">
        <v>32540</v>
      </c>
    </row>
    <row r="9185" spans="1:24">
      <c r="A9185">
        <f>HYPERLINK("https://www.philgeps.gov.ph/GEPSNONPILOT/Tender/SplashBidNoticeAbstractUI.aspx?menuIndex=3&amp;refID=7022553&amp;Result=3","7022553")</f>
        <v>0</v>
      </c>
      <c r="B9185" t="s">
        <v>1563</v>
      </c>
      <c r="C9185" t="s">
        <v>11465</v>
      </c>
      <c r="D9185" t="s">
        <v>13006</v>
      </c>
      <c r="E9185" t="s">
        <v>21090</v>
      </c>
      <c r="F9185" t="s">
        <v>22436</v>
      </c>
      <c r="G9185" t="s">
        <v>22444</v>
      </c>
      <c r="H9185" t="s">
        <v>22454</v>
      </c>
      <c r="I9185" t="s">
        <v>7738</v>
      </c>
      <c r="J9185" t="s">
        <v>22587</v>
      </c>
      <c r="K9185" t="s">
        <v>29396</v>
      </c>
      <c r="M9185" t="s">
        <v>31244</v>
      </c>
      <c r="N9185" t="s">
        <v>32524</v>
      </c>
      <c r="O9185" t="s">
        <v>32525</v>
      </c>
      <c r="P9185">
        <v>0</v>
      </c>
      <c r="Q9185">
        <v>1</v>
      </c>
      <c r="R9185" t="s">
        <v>32538</v>
      </c>
      <c r="S9185" t="s">
        <v>32872</v>
      </c>
      <c r="T9185" t="s">
        <v>33184</v>
      </c>
      <c r="U9185" t="s">
        <v>41223</v>
      </c>
      <c r="W9185" t="s">
        <v>31244</v>
      </c>
      <c r="X9185" t="s">
        <v>32540</v>
      </c>
    </row>
    <row r="9186" spans="1:24">
      <c r="A9186">
        <f>HYPERLINK("https://www.philgeps.gov.ph/GEPSNONPILOT/Tender/SplashBidNoticeAbstractUI.aspx?menuIndex=3&amp;refID=7022640&amp;Result=3","7022640")</f>
        <v>0</v>
      </c>
      <c r="B9186" t="s">
        <v>32</v>
      </c>
      <c r="C9186" t="s">
        <v>11466</v>
      </c>
      <c r="E9186" t="s">
        <v>21091</v>
      </c>
      <c r="F9186" t="s">
        <v>22436</v>
      </c>
      <c r="G9186" t="s">
        <v>22444</v>
      </c>
      <c r="H9186" t="s">
        <v>22454</v>
      </c>
      <c r="I9186" t="s">
        <v>7738</v>
      </c>
      <c r="J9186" t="s">
        <v>28390</v>
      </c>
      <c r="K9186" t="s">
        <v>29560</v>
      </c>
      <c r="M9186" t="s">
        <v>29609</v>
      </c>
      <c r="N9186" t="s">
        <v>32524</v>
      </c>
      <c r="O9186" t="s">
        <v>32525</v>
      </c>
      <c r="P9186">
        <v>0</v>
      </c>
      <c r="Q9186">
        <v>2</v>
      </c>
      <c r="R9186" t="s">
        <v>32538</v>
      </c>
      <c r="S9186" t="s">
        <v>32872</v>
      </c>
      <c r="T9186" t="s">
        <v>33241</v>
      </c>
      <c r="U9186" t="s">
        <v>41224</v>
      </c>
      <c r="W9186" t="s">
        <v>29609</v>
      </c>
      <c r="X9186" t="s">
        <v>32540</v>
      </c>
    </row>
    <row r="9187" spans="1:24">
      <c r="A9187">
        <f>HYPERLINK("https://www.philgeps.gov.ph/GEPSNONPILOT/Tender/SplashBidNoticeAbstractUI.aspx?menuIndex=3&amp;refID=7022593&amp;Result=3","7022593")</f>
        <v>0</v>
      </c>
      <c r="B9187" t="s">
        <v>1563</v>
      </c>
      <c r="C9187" t="s">
        <v>11467</v>
      </c>
      <c r="D9187" t="s">
        <v>13006</v>
      </c>
      <c r="E9187" t="s">
        <v>21092</v>
      </c>
      <c r="F9187" t="s">
        <v>22436</v>
      </c>
      <c r="G9187" t="s">
        <v>22444</v>
      </c>
      <c r="H9187" t="s">
        <v>22454</v>
      </c>
      <c r="I9187" t="s">
        <v>7738</v>
      </c>
      <c r="J9187" t="s">
        <v>22587</v>
      </c>
      <c r="K9187" t="s">
        <v>29396</v>
      </c>
      <c r="M9187" t="s">
        <v>31244</v>
      </c>
      <c r="N9187" t="s">
        <v>32524</v>
      </c>
      <c r="O9187" t="s">
        <v>32525</v>
      </c>
      <c r="P9187">
        <v>0</v>
      </c>
      <c r="Q9187">
        <v>1</v>
      </c>
      <c r="R9187" t="s">
        <v>32538</v>
      </c>
      <c r="S9187" t="s">
        <v>32872</v>
      </c>
      <c r="T9187" t="s">
        <v>33184</v>
      </c>
      <c r="U9187" t="s">
        <v>41225</v>
      </c>
      <c r="W9187" t="s">
        <v>31244</v>
      </c>
      <c r="X9187" t="s">
        <v>32540</v>
      </c>
    </row>
    <row r="9188" spans="1:24">
      <c r="A9188">
        <f>HYPERLINK("https://www.philgeps.gov.ph/GEPSNONPILOT/Tender/SplashBidNoticeAbstractUI.aspx?menuIndex=3&amp;refID=7022474&amp;Result=3","7022474")</f>
        <v>0</v>
      </c>
      <c r="B9188" t="s">
        <v>1563</v>
      </c>
      <c r="C9188" t="s">
        <v>11468</v>
      </c>
      <c r="D9188" t="s">
        <v>13006</v>
      </c>
      <c r="E9188" t="s">
        <v>21093</v>
      </c>
      <c r="F9188" t="s">
        <v>22436</v>
      </c>
      <c r="G9188" t="s">
        <v>22444</v>
      </c>
      <c r="H9188" t="s">
        <v>22454</v>
      </c>
      <c r="I9188" t="s">
        <v>7738</v>
      </c>
      <c r="J9188" t="s">
        <v>22960</v>
      </c>
      <c r="K9188" t="s">
        <v>29419</v>
      </c>
      <c r="M9188" t="s">
        <v>31244</v>
      </c>
      <c r="N9188" t="s">
        <v>32524</v>
      </c>
      <c r="O9188" t="s">
        <v>32525</v>
      </c>
      <c r="P9188">
        <v>0</v>
      </c>
      <c r="Q9188">
        <v>0</v>
      </c>
      <c r="R9188" t="s">
        <v>32538</v>
      </c>
      <c r="S9188" t="s">
        <v>32872</v>
      </c>
      <c r="T9188" t="s">
        <v>33184</v>
      </c>
      <c r="U9188" t="s">
        <v>41226</v>
      </c>
      <c r="W9188" t="s">
        <v>31244</v>
      </c>
      <c r="X9188" t="s">
        <v>32540</v>
      </c>
    </row>
    <row r="9189" spans="1:24">
      <c r="A9189">
        <f>HYPERLINK("https://www.philgeps.gov.ph/GEPSNONPILOT/Tender/SplashBidNoticeAbstractUI.aspx?menuIndex=3&amp;refID=7022606&amp;Result=3","7022606")</f>
        <v>0</v>
      </c>
      <c r="B9189" t="s">
        <v>2462</v>
      </c>
      <c r="C9189" t="s">
        <v>11469</v>
      </c>
      <c r="E9189" t="s">
        <v>21094</v>
      </c>
      <c r="F9189" t="s">
        <v>22436</v>
      </c>
      <c r="G9189" t="s">
        <v>22446</v>
      </c>
      <c r="H9189" t="s">
        <v>22452</v>
      </c>
      <c r="I9189" t="s">
        <v>12358</v>
      </c>
      <c r="J9189" t="s">
        <v>28391</v>
      </c>
      <c r="K9189" t="s">
        <v>29338</v>
      </c>
      <c r="M9189" t="s">
        <v>32266</v>
      </c>
      <c r="N9189" t="s">
        <v>32524</v>
      </c>
      <c r="O9189" t="s">
        <v>32525</v>
      </c>
      <c r="P9189">
        <v>0</v>
      </c>
      <c r="Q9189">
        <v>0</v>
      </c>
      <c r="R9189" t="s">
        <v>32538</v>
      </c>
      <c r="S9189" t="s">
        <v>32872</v>
      </c>
      <c r="T9189" t="s">
        <v>33213</v>
      </c>
      <c r="U9189" t="s">
        <v>41227</v>
      </c>
      <c r="V9189" t="s">
        <v>43403</v>
      </c>
      <c r="W9189" t="s">
        <v>32266</v>
      </c>
      <c r="X9189" t="s">
        <v>32540</v>
      </c>
    </row>
    <row r="9190" spans="1:24">
      <c r="A9190">
        <f>HYPERLINK("https://www.philgeps.gov.ph/GEPSNONPILOT/Tender/SplashBidNoticeAbstractUI.aspx?menuIndex=3&amp;refID=7022575&amp;Result=3","7022575")</f>
        <v>0</v>
      </c>
      <c r="B9190" t="s">
        <v>182</v>
      </c>
      <c r="C9190" t="s">
        <v>11470</v>
      </c>
      <c r="D9190" t="s">
        <v>13067</v>
      </c>
      <c r="E9190" t="s">
        <v>21095</v>
      </c>
      <c r="F9190" t="s">
        <v>22436</v>
      </c>
      <c r="G9190" t="s">
        <v>22447</v>
      </c>
      <c r="H9190" t="s">
        <v>22452</v>
      </c>
      <c r="I9190" t="s">
        <v>3529</v>
      </c>
      <c r="J9190" t="s">
        <v>28392</v>
      </c>
      <c r="K9190" t="s">
        <v>29335</v>
      </c>
      <c r="M9190" t="s">
        <v>29754</v>
      </c>
      <c r="N9190" t="s">
        <v>32524</v>
      </c>
      <c r="O9190" t="s">
        <v>32525</v>
      </c>
      <c r="Q9190">
        <v>0</v>
      </c>
      <c r="R9190" t="s">
        <v>32538</v>
      </c>
      <c r="S9190" t="s">
        <v>32895</v>
      </c>
      <c r="T9190" t="s">
        <v>33242</v>
      </c>
      <c r="U9190" t="s">
        <v>41228</v>
      </c>
      <c r="V9190" t="s">
        <v>43436</v>
      </c>
      <c r="W9190" t="s">
        <v>29754</v>
      </c>
      <c r="X9190" t="s">
        <v>32540</v>
      </c>
    </row>
    <row r="9191" spans="1:24">
      <c r="A9191">
        <f>HYPERLINK("https://www.philgeps.gov.ph/GEPSNONPILOT/Tender/SplashBidNoticeAbstractUI.aspx?menuIndex=3&amp;refID=7022429&amp;Result=3","7022429")</f>
        <v>0</v>
      </c>
      <c r="B9191" t="s">
        <v>1764</v>
      </c>
      <c r="C9191" t="s">
        <v>11471</v>
      </c>
      <c r="D9191" t="s">
        <v>13067</v>
      </c>
      <c r="E9191" t="s">
        <v>21096</v>
      </c>
      <c r="F9191" t="s">
        <v>22436</v>
      </c>
      <c r="G9191" t="s">
        <v>22444</v>
      </c>
      <c r="H9191" t="s">
        <v>22454</v>
      </c>
      <c r="I9191" t="s">
        <v>7738</v>
      </c>
      <c r="J9191" t="s">
        <v>22779</v>
      </c>
      <c r="K9191" t="s">
        <v>29335</v>
      </c>
      <c r="M9191" t="s">
        <v>31470</v>
      </c>
      <c r="N9191" t="s">
        <v>32524</v>
      </c>
      <c r="O9191" t="s">
        <v>32525</v>
      </c>
      <c r="P9191">
        <v>0</v>
      </c>
      <c r="Q9191">
        <v>0</v>
      </c>
      <c r="R9191" t="s">
        <v>32538</v>
      </c>
      <c r="S9191" t="s">
        <v>32872</v>
      </c>
      <c r="T9191" t="s">
        <v>33181</v>
      </c>
      <c r="U9191" t="s">
        <v>41215</v>
      </c>
      <c r="V9191" t="s">
        <v>43448</v>
      </c>
      <c r="W9191" t="s">
        <v>31470</v>
      </c>
      <c r="X9191" t="s">
        <v>32540</v>
      </c>
    </row>
    <row r="9192" spans="1:24">
      <c r="A9192">
        <f>HYPERLINK("https://www.philgeps.gov.ph/GEPSNONPILOT/Tender/SplashBidNoticeAbstractUI.aspx?menuIndex=3&amp;refID=7022613&amp;Result=3","7022613")</f>
        <v>0</v>
      </c>
      <c r="B9192" t="s">
        <v>1563</v>
      </c>
      <c r="C9192" t="s">
        <v>11472</v>
      </c>
      <c r="D9192" t="s">
        <v>13006</v>
      </c>
      <c r="E9192" t="s">
        <v>21097</v>
      </c>
      <c r="F9192" t="s">
        <v>22436</v>
      </c>
      <c r="G9192" t="s">
        <v>22444</v>
      </c>
      <c r="H9192" t="s">
        <v>22454</v>
      </c>
      <c r="I9192" t="s">
        <v>7738</v>
      </c>
      <c r="J9192" t="s">
        <v>22634</v>
      </c>
      <c r="K9192" t="s">
        <v>29333</v>
      </c>
      <c r="M9192" t="s">
        <v>31244</v>
      </c>
      <c r="N9192" t="s">
        <v>32524</v>
      </c>
      <c r="O9192" t="s">
        <v>32525</v>
      </c>
      <c r="P9192">
        <v>0</v>
      </c>
      <c r="Q9192">
        <v>0</v>
      </c>
      <c r="R9192" t="s">
        <v>32538</v>
      </c>
      <c r="S9192" t="s">
        <v>32872</v>
      </c>
      <c r="T9192" t="s">
        <v>33184</v>
      </c>
      <c r="U9192" t="s">
        <v>41229</v>
      </c>
      <c r="W9192" t="s">
        <v>31244</v>
      </c>
      <c r="X9192" t="s">
        <v>32540</v>
      </c>
    </row>
    <row r="9193" spans="1:24">
      <c r="A9193">
        <f>HYPERLINK("https://www.philgeps.gov.ph/GEPSNONPILOT/Tender/SplashBidNoticeAbstractUI.aspx?menuIndex=3&amp;refID=7022837&amp;Result=3","7022837")</f>
        <v>0</v>
      </c>
      <c r="B9193" t="s">
        <v>32</v>
      </c>
      <c r="C9193" t="s">
        <v>11473</v>
      </c>
      <c r="E9193" t="s">
        <v>21098</v>
      </c>
      <c r="F9193" t="s">
        <v>22436</v>
      </c>
      <c r="G9193" t="s">
        <v>22444</v>
      </c>
      <c r="H9193" t="s">
        <v>22452</v>
      </c>
      <c r="I9193" t="s">
        <v>22463</v>
      </c>
      <c r="J9193" t="s">
        <v>28393</v>
      </c>
      <c r="K9193" t="s">
        <v>29336</v>
      </c>
      <c r="M9193" t="s">
        <v>29609</v>
      </c>
      <c r="N9193" t="s">
        <v>32524</v>
      </c>
      <c r="O9193" t="s">
        <v>32525</v>
      </c>
      <c r="P9193">
        <v>0</v>
      </c>
      <c r="Q9193">
        <v>5</v>
      </c>
      <c r="R9193" t="s">
        <v>32538</v>
      </c>
      <c r="S9193" t="s">
        <v>32872</v>
      </c>
      <c r="T9193" t="s">
        <v>33241</v>
      </c>
      <c r="U9193" t="s">
        <v>41230</v>
      </c>
      <c r="W9193" t="s">
        <v>29609</v>
      </c>
      <c r="X9193" t="s">
        <v>32540</v>
      </c>
    </row>
    <row r="9194" spans="1:24">
      <c r="A9194">
        <f>HYPERLINK("https://www.philgeps.gov.ph/GEPSNONPILOT/Tender/SplashBidNoticeAbstractUI.aspx?menuIndex=3&amp;refID=7022361&amp;Result=3","7022361")</f>
        <v>0</v>
      </c>
      <c r="B9194" t="s">
        <v>2462</v>
      </c>
      <c r="C9194" t="s">
        <v>11474</v>
      </c>
      <c r="E9194" t="s">
        <v>21099</v>
      </c>
      <c r="F9194" t="s">
        <v>22436</v>
      </c>
      <c r="G9194" t="s">
        <v>22444</v>
      </c>
      <c r="H9194" t="s">
        <v>22452</v>
      </c>
      <c r="I9194" t="s">
        <v>6421</v>
      </c>
      <c r="J9194" t="s">
        <v>28394</v>
      </c>
      <c r="K9194" t="s">
        <v>29338</v>
      </c>
      <c r="M9194" t="s">
        <v>32266</v>
      </c>
      <c r="N9194" t="s">
        <v>32524</v>
      </c>
      <c r="O9194" t="s">
        <v>32525</v>
      </c>
      <c r="P9194">
        <v>0</v>
      </c>
      <c r="Q9194">
        <v>1</v>
      </c>
      <c r="R9194" t="s">
        <v>32538</v>
      </c>
      <c r="S9194" t="s">
        <v>32872</v>
      </c>
      <c r="T9194" t="s">
        <v>33213</v>
      </c>
      <c r="U9194" t="s">
        <v>41231</v>
      </c>
      <c r="V9194" t="s">
        <v>43403</v>
      </c>
      <c r="W9194" t="s">
        <v>32266</v>
      </c>
      <c r="X9194" t="s">
        <v>32540</v>
      </c>
    </row>
    <row r="9195" spans="1:24">
      <c r="A9195">
        <f>HYPERLINK("https://www.philgeps.gov.ph/GEPSNONPILOT/Tender/SplashBidNoticeAbstractUI.aspx?menuIndex=3&amp;refID=7022360&amp;Result=3","7022360")</f>
        <v>0</v>
      </c>
      <c r="B9195" t="s">
        <v>1764</v>
      </c>
      <c r="C9195" t="s">
        <v>11475</v>
      </c>
      <c r="D9195" t="s">
        <v>13067</v>
      </c>
      <c r="E9195" t="s">
        <v>21100</v>
      </c>
      <c r="F9195" t="s">
        <v>22436</v>
      </c>
      <c r="G9195" t="s">
        <v>22444</v>
      </c>
      <c r="H9195" t="s">
        <v>22454</v>
      </c>
      <c r="I9195" t="s">
        <v>7738</v>
      </c>
      <c r="J9195" t="s">
        <v>22877</v>
      </c>
      <c r="K9195" t="s">
        <v>29354</v>
      </c>
      <c r="M9195" t="s">
        <v>31470</v>
      </c>
      <c r="N9195" t="s">
        <v>32524</v>
      </c>
      <c r="O9195" t="s">
        <v>32525</v>
      </c>
      <c r="P9195">
        <v>0</v>
      </c>
      <c r="Q9195">
        <v>0</v>
      </c>
      <c r="R9195" t="s">
        <v>32538</v>
      </c>
      <c r="S9195" t="s">
        <v>32872</v>
      </c>
      <c r="T9195" t="s">
        <v>33181</v>
      </c>
      <c r="U9195" t="s">
        <v>41215</v>
      </c>
      <c r="V9195" t="s">
        <v>43449</v>
      </c>
      <c r="W9195" t="s">
        <v>31470</v>
      </c>
      <c r="X9195" t="s">
        <v>32540</v>
      </c>
    </row>
    <row r="9196" spans="1:24">
      <c r="A9196">
        <f>HYPERLINK("https://www.philgeps.gov.ph/GEPSNONPILOT/Tender/SplashBidNoticeAbstractUI.aspx?menuIndex=3&amp;refID=7022571&amp;Result=3","7022571")</f>
        <v>0</v>
      </c>
      <c r="B9196" t="s">
        <v>1563</v>
      </c>
      <c r="C9196" t="s">
        <v>11476</v>
      </c>
      <c r="D9196" t="s">
        <v>13006</v>
      </c>
      <c r="E9196" t="s">
        <v>21101</v>
      </c>
      <c r="F9196" t="s">
        <v>22436</v>
      </c>
      <c r="G9196" t="s">
        <v>22444</v>
      </c>
      <c r="H9196" t="s">
        <v>22454</v>
      </c>
      <c r="I9196" t="s">
        <v>7738</v>
      </c>
      <c r="J9196" t="s">
        <v>22634</v>
      </c>
      <c r="K9196" t="s">
        <v>29334</v>
      </c>
      <c r="M9196" t="s">
        <v>31244</v>
      </c>
      <c r="N9196" t="s">
        <v>32524</v>
      </c>
      <c r="O9196" t="s">
        <v>32525</v>
      </c>
      <c r="P9196">
        <v>0</v>
      </c>
      <c r="Q9196">
        <v>0</v>
      </c>
      <c r="R9196" t="s">
        <v>32538</v>
      </c>
      <c r="S9196" t="s">
        <v>32872</v>
      </c>
      <c r="T9196" t="s">
        <v>33184</v>
      </c>
      <c r="U9196" t="s">
        <v>41232</v>
      </c>
      <c r="W9196" t="s">
        <v>31244</v>
      </c>
      <c r="X9196" t="s">
        <v>32540</v>
      </c>
    </row>
    <row r="9197" spans="1:24">
      <c r="A9197">
        <f>HYPERLINK("https://www.philgeps.gov.ph/GEPSNONPILOT/Tender/SplashBidNoticeAbstractUI.aspx?menuIndex=3&amp;refID=7022371&amp;Result=3","7022371")</f>
        <v>0</v>
      </c>
      <c r="B9197" t="s">
        <v>1764</v>
      </c>
      <c r="C9197" t="s">
        <v>11477</v>
      </c>
      <c r="D9197" t="s">
        <v>13067</v>
      </c>
      <c r="E9197" t="s">
        <v>21102</v>
      </c>
      <c r="F9197" t="s">
        <v>22436</v>
      </c>
      <c r="G9197" t="s">
        <v>22444</v>
      </c>
      <c r="H9197" t="s">
        <v>22454</v>
      </c>
      <c r="I9197" t="s">
        <v>7738</v>
      </c>
      <c r="J9197" t="s">
        <v>22779</v>
      </c>
      <c r="K9197" t="s">
        <v>29347</v>
      </c>
      <c r="M9197" t="s">
        <v>31470</v>
      </c>
      <c r="N9197" t="s">
        <v>32524</v>
      </c>
      <c r="O9197" t="s">
        <v>32525</v>
      </c>
      <c r="P9197">
        <v>0</v>
      </c>
      <c r="Q9197">
        <v>0</v>
      </c>
      <c r="R9197" t="s">
        <v>32538</v>
      </c>
      <c r="S9197" t="s">
        <v>32872</v>
      </c>
      <c r="T9197" t="s">
        <v>33181</v>
      </c>
      <c r="U9197" t="s">
        <v>41215</v>
      </c>
      <c r="V9197" t="s">
        <v>43450</v>
      </c>
      <c r="W9197" t="s">
        <v>31470</v>
      </c>
      <c r="X9197" t="s">
        <v>32540</v>
      </c>
    </row>
    <row r="9198" spans="1:24">
      <c r="A9198">
        <f>HYPERLINK("https://www.philgeps.gov.ph/GEPSNONPILOT/Tender/SplashBidNoticeAbstractUI.aspx?menuIndex=3&amp;refID=7023019&amp;Result=3","7023019")</f>
        <v>0</v>
      </c>
      <c r="B9198" t="s">
        <v>1563</v>
      </c>
      <c r="C9198" t="s">
        <v>11478</v>
      </c>
      <c r="D9198" t="s">
        <v>13006</v>
      </c>
      <c r="E9198" t="s">
        <v>21103</v>
      </c>
      <c r="F9198" t="s">
        <v>22436</v>
      </c>
      <c r="G9198" t="s">
        <v>22444</v>
      </c>
      <c r="H9198" t="s">
        <v>22452</v>
      </c>
      <c r="I9198" t="s">
        <v>22484</v>
      </c>
      <c r="J9198" t="s">
        <v>28395</v>
      </c>
      <c r="K9198" t="s">
        <v>29335</v>
      </c>
      <c r="M9198" t="s">
        <v>31244</v>
      </c>
      <c r="N9198" t="s">
        <v>32524</v>
      </c>
      <c r="O9198" t="s">
        <v>32525</v>
      </c>
      <c r="P9198">
        <v>0</v>
      </c>
      <c r="Q9198">
        <v>17</v>
      </c>
      <c r="R9198" t="s">
        <v>32538</v>
      </c>
      <c r="S9198" t="s">
        <v>32872</v>
      </c>
      <c r="T9198" t="s">
        <v>33184</v>
      </c>
      <c r="U9198" t="s">
        <v>41233</v>
      </c>
      <c r="W9198" t="s">
        <v>31244</v>
      </c>
      <c r="X9198" t="s">
        <v>32540</v>
      </c>
    </row>
    <row r="9199" spans="1:24">
      <c r="A9199">
        <f>HYPERLINK("https://www.philgeps.gov.ph/GEPSNONPILOT/Tender/SplashBidNoticeAbstractUI.aspx?menuIndex=3&amp;refID=7022780&amp;Result=3","7022780")</f>
        <v>0</v>
      </c>
      <c r="B9199" t="s">
        <v>32</v>
      </c>
      <c r="C9199" t="s">
        <v>11479</v>
      </c>
      <c r="E9199" t="s">
        <v>21104</v>
      </c>
      <c r="F9199" t="s">
        <v>22436</v>
      </c>
      <c r="G9199" t="s">
        <v>22444</v>
      </c>
      <c r="H9199" t="s">
        <v>22452</v>
      </c>
      <c r="I9199" t="s">
        <v>22474</v>
      </c>
      <c r="J9199" t="s">
        <v>22960</v>
      </c>
      <c r="K9199" t="s">
        <v>29334</v>
      </c>
      <c r="M9199" t="s">
        <v>29609</v>
      </c>
      <c r="N9199" t="s">
        <v>32524</v>
      </c>
      <c r="O9199" t="s">
        <v>32525</v>
      </c>
      <c r="P9199">
        <v>0</v>
      </c>
      <c r="Q9199">
        <v>6</v>
      </c>
      <c r="R9199" t="s">
        <v>32538</v>
      </c>
      <c r="S9199" t="s">
        <v>32872</v>
      </c>
      <c r="T9199" t="s">
        <v>33241</v>
      </c>
      <c r="U9199" t="s">
        <v>41234</v>
      </c>
      <c r="W9199" t="s">
        <v>29609</v>
      </c>
      <c r="X9199" t="s">
        <v>32540</v>
      </c>
    </row>
    <row r="9200" spans="1:24">
      <c r="A9200">
        <f>HYPERLINK("https://www.philgeps.gov.ph/GEPSNONPILOT/Tender/SplashBidNoticeAbstractUI.aspx?menuIndex=3&amp;refID=7022533&amp;Result=3","7022533")</f>
        <v>0</v>
      </c>
      <c r="B9200" t="s">
        <v>1563</v>
      </c>
      <c r="C9200" t="s">
        <v>11480</v>
      </c>
      <c r="D9200" t="s">
        <v>13006</v>
      </c>
      <c r="E9200" t="s">
        <v>21105</v>
      </c>
      <c r="F9200" t="s">
        <v>22436</v>
      </c>
      <c r="G9200" t="s">
        <v>22444</v>
      </c>
      <c r="H9200" t="s">
        <v>22454</v>
      </c>
      <c r="I9200" t="s">
        <v>7738</v>
      </c>
      <c r="J9200" t="s">
        <v>22877</v>
      </c>
      <c r="K9200" t="s">
        <v>29438</v>
      </c>
      <c r="M9200" t="s">
        <v>31244</v>
      </c>
      <c r="N9200" t="s">
        <v>32524</v>
      </c>
      <c r="O9200" t="s">
        <v>32525</v>
      </c>
      <c r="P9200">
        <v>0</v>
      </c>
      <c r="Q9200">
        <v>0</v>
      </c>
      <c r="R9200" t="s">
        <v>32538</v>
      </c>
      <c r="S9200" t="s">
        <v>32872</v>
      </c>
      <c r="T9200" t="s">
        <v>33184</v>
      </c>
      <c r="U9200" t="s">
        <v>41235</v>
      </c>
      <c r="W9200" t="s">
        <v>31244</v>
      </c>
      <c r="X9200" t="s">
        <v>32540</v>
      </c>
    </row>
    <row r="9201" spans="1:24">
      <c r="A9201">
        <f>HYPERLINK("https://www.philgeps.gov.ph/GEPSNONPILOT/Tender/SplashBidNoticeAbstractUI.aspx?menuIndex=3&amp;refID=7022755&amp;Result=3","7022755")</f>
        <v>0</v>
      </c>
      <c r="B9201" t="s">
        <v>32</v>
      </c>
      <c r="C9201" t="s">
        <v>11481</v>
      </c>
      <c r="E9201" t="s">
        <v>21106</v>
      </c>
      <c r="F9201" t="s">
        <v>22436</v>
      </c>
      <c r="G9201" t="s">
        <v>22444</v>
      </c>
      <c r="H9201" t="s">
        <v>22452</v>
      </c>
      <c r="I9201" t="s">
        <v>22468</v>
      </c>
      <c r="J9201" t="s">
        <v>28396</v>
      </c>
      <c r="K9201" t="s">
        <v>29336</v>
      </c>
      <c r="M9201" t="s">
        <v>29609</v>
      </c>
      <c r="N9201" t="s">
        <v>32524</v>
      </c>
      <c r="O9201" t="s">
        <v>32525</v>
      </c>
      <c r="P9201">
        <v>0</v>
      </c>
      <c r="Q9201">
        <v>1</v>
      </c>
      <c r="R9201" t="s">
        <v>32538</v>
      </c>
      <c r="S9201" t="s">
        <v>32872</v>
      </c>
      <c r="T9201" t="s">
        <v>33241</v>
      </c>
      <c r="U9201" t="s">
        <v>41236</v>
      </c>
      <c r="W9201" t="s">
        <v>29609</v>
      </c>
      <c r="X9201" t="s">
        <v>32540</v>
      </c>
    </row>
    <row r="9202" spans="1:24">
      <c r="A9202">
        <f>HYPERLINK("https://www.philgeps.gov.ph/GEPSNONPILOT/Tender/SplashBidNoticeAbstractUI.aspx?menuIndex=3&amp;refID=7023349&amp;Result=3","7023349")</f>
        <v>0</v>
      </c>
      <c r="B9202" t="s">
        <v>182</v>
      </c>
      <c r="C9202" t="s">
        <v>11482</v>
      </c>
      <c r="D9202" t="s">
        <v>13067</v>
      </c>
      <c r="E9202" t="s">
        <v>21107</v>
      </c>
      <c r="F9202" t="s">
        <v>22436</v>
      </c>
      <c r="G9202" t="s">
        <v>22444</v>
      </c>
      <c r="H9202" t="s">
        <v>22452</v>
      </c>
      <c r="I9202" t="s">
        <v>22508</v>
      </c>
      <c r="J9202" t="s">
        <v>28397</v>
      </c>
      <c r="K9202" t="s">
        <v>29335</v>
      </c>
      <c r="M9202" t="s">
        <v>29754</v>
      </c>
      <c r="N9202" t="s">
        <v>32524</v>
      </c>
      <c r="O9202" t="s">
        <v>32525</v>
      </c>
      <c r="P9202">
        <v>0</v>
      </c>
      <c r="Q9202">
        <v>2</v>
      </c>
      <c r="R9202" t="s">
        <v>32538</v>
      </c>
      <c r="S9202" t="s">
        <v>32872</v>
      </c>
      <c r="T9202" t="s">
        <v>33242</v>
      </c>
      <c r="U9202" t="s">
        <v>41237</v>
      </c>
      <c r="V9202" t="s">
        <v>43451</v>
      </c>
      <c r="W9202" t="s">
        <v>29754</v>
      </c>
      <c r="X9202" t="s">
        <v>32540</v>
      </c>
    </row>
    <row r="9203" spans="1:24">
      <c r="A9203">
        <f>HYPERLINK("https://www.philgeps.gov.ph/GEPSNONPILOT/Tender/SplashBidNoticeAbstractUI.aspx?menuIndex=3&amp;refID=7023014&amp;Result=3","7023014")</f>
        <v>0</v>
      </c>
      <c r="B9203" t="s">
        <v>2462</v>
      </c>
      <c r="C9203" t="s">
        <v>11483</v>
      </c>
      <c r="E9203" t="s">
        <v>21108</v>
      </c>
      <c r="F9203" t="s">
        <v>22436</v>
      </c>
      <c r="G9203" t="s">
        <v>22446</v>
      </c>
      <c r="H9203" t="s">
        <v>22452</v>
      </c>
      <c r="I9203" t="s">
        <v>12358</v>
      </c>
      <c r="J9203" t="s">
        <v>28398</v>
      </c>
      <c r="K9203" t="s">
        <v>29338</v>
      </c>
      <c r="M9203" t="s">
        <v>32266</v>
      </c>
      <c r="N9203" t="s">
        <v>32524</v>
      </c>
      <c r="O9203" t="s">
        <v>32525</v>
      </c>
      <c r="P9203">
        <v>0</v>
      </c>
      <c r="Q9203">
        <v>0</v>
      </c>
      <c r="R9203" t="s">
        <v>32538</v>
      </c>
      <c r="S9203" t="s">
        <v>32872</v>
      </c>
      <c r="T9203" t="s">
        <v>33213</v>
      </c>
      <c r="U9203" t="s">
        <v>41238</v>
      </c>
      <c r="V9203" t="s">
        <v>43403</v>
      </c>
      <c r="W9203" t="s">
        <v>32266</v>
      </c>
      <c r="X9203" t="s">
        <v>32540</v>
      </c>
    </row>
    <row r="9204" spans="1:24">
      <c r="A9204">
        <f>HYPERLINK("https://www.philgeps.gov.ph/GEPSNONPILOT/Tender/SplashBidNoticeAbstractUI.aspx?menuIndex=3&amp;refID=7023487&amp;Result=3","7023487")</f>
        <v>0</v>
      </c>
      <c r="B9204" t="s">
        <v>2507</v>
      </c>
      <c r="C9204" t="s">
        <v>11484</v>
      </c>
      <c r="D9204" t="s">
        <v>13024</v>
      </c>
      <c r="E9204" t="s">
        <v>21109</v>
      </c>
      <c r="F9204" t="s">
        <v>22436</v>
      </c>
      <c r="G9204" t="s">
        <v>22444</v>
      </c>
      <c r="H9204" t="s">
        <v>22452</v>
      </c>
      <c r="I9204" t="s">
        <v>3827</v>
      </c>
      <c r="J9204" t="s">
        <v>28399</v>
      </c>
      <c r="K9204" t="s">
        <v>29341</v>
      </c>
      <c r="M9204" t="s">
        <v>32314</v>
      </c>
      <c r="N9204" t="s">
        <v>32524</v>
      </c>
      <c r="O9204" t="s">
        <v>32525</v>
      </c>
      <c r="P9204">
        <v>0</v>
      </c>
      <c r="Q9204">
        <v>6</v>
      </c>
      <c r="R9204" t="s">
        <v>32538</v>
      </c>
      <c r="S9204" t="s">
        <v>32872</v>
      </c>
      <c r="T9204" t="s">
        <v>33155</v>
      </c>
      <c r="U9204" t="s">
        <v>41239</v>
      </c>
      <c r="W9204" t="s">
        <v>32314</v>
      </c>
      <c r="X9204" t="s">
        <v>32540</v>
      </c>
    </row>
    <row r="9205" spans="1:24">
      <c r="A9205">
        <f>HYPERLINK("https://www.philgeps.gov.ph/GEPSNONPILOT/Tender/SplashBidNoticeAbstractUI.aspx?menuIndex=3&amp;refID=7023453&amp;Result=3","7023453")</f>
        <v>0</v>
      </c>
      <c r="B9205" t="s">
        <v>199</v>
      </c>
      <c r="C9205" t="s">
        <v>11485</v>
      </c>
      <c r="D9205" t="s">
        <v>13009</v>
      </c>
      <c r="E9205" t="s">
        <v>21110</v>
      </c>
      <c r="F9205" t="s">
        <v>22436</v>
      </c>
      <c r="G9205" t="s">
        <v>22444</v>
      </c>
      <c r="H9205" t="s">
        <v>22452</v>
      </c>
      <c r="I9205" t="s">
        <v>22458</v>
      </c>
      <c r="J9205" t="s">
        <v>22970</v>
      </c>
      <c r="K9205" t="s">
        <v>29338</v>
      </c>
      <c r="M9205" t="s">
        <v>30051</v>
      </c>
      <c r="N9205" t="s">
        <v>32524</v>
      </c>
      <c r="O9205" t="s">
        <v>32525</v>
      </c>
      <c r="Q9205">
        <v>10</v>
      </c>
      <c r="R9205" t="s">
        <v>32538</v>
      </c>
      <c r="S9205" t="s">
        <v>32850</v>
      </c>
      <c r="T9205" t="s">
        <v>33344</v>
      </c>
      <c r="U9205" t="s">
        <v>41240</v>
      </c>
      <c r="V9205" t="s">
        <v>43452</v>
      </c>
      <c r="W9205" t="s">
        <v>30051</v>
      </c>
      <c r="X9205" t="s">
        <v>32540</v>
      </c>
    </row>
    <row r="9206" spans="1:24">
      <c r="A9206">
        <f>HYPERLINK("https://www.philgeps.gov.ph/GEPSNONPILOT/Tender/SplashBidNoticeAbstractUI.aspx?menuIndex=3&amp;refID=7022857&amp;Result=3","7022857")</f>
        <v>0</v>
      </c>
      <c r="B9206" t="s">
        <v>199</v>
      </c>
      <c r="C9206" t="s">
        <v>5431</v>
      </c>
      <c r="D9206" t="s">
        <v>13009</v>
      </c>
      <c r="E9206" t="s">
        <v>21111</v>
      </c>
      <c r="F9206" t="s">
        <v>22436</v>
      </c>
      <c r="G9206" t="s">
        <v>22444</v>
      </c>
      <c r="H9206" t="s">
        <v>22452</v>
      </c>
      <c r="I9206" t="s">
        <v>22468</v>
      </c>
      <c r="J9206" t="s">
        <v>28400</v>
      </c>
      <c r="K9206" t="s">
        <v>29338</v>
      </c>
      <c r="M9206" t="s">
        <v>29772</v>
      </c>
      <c r="N9206" t="s">
        <v>32524</v>
      </c>
      <c r="O9206" t="s">
        <v>32525</v>
      </c>
      <c r="P9206">
        <v>0</v>
      </c>
      <c r="Q9206">
        <v>0</v>
      </c>
      <c r="R9206" t="s">
        <v>32538</v>
      </c>
      <c r="S9206" t="s">
        <v>32872</v>
      </c>
      <c r="T9206" t="s">
        <v>33344</v>
      </c>
      <c r="U9206" t="s">
        <v>41241</v>
      </c>
      <c r="V9206" t="s">
        <v>43453</v>
      </c>
      <c r="W9206" t="s">
        <v>29772</v>
      </c>
      <c r="X9206" t="s">
        <v>32540</v>
      </c>
    </row>
    <row r="9207" spans="1:24">
      <c r="A9207">
        <f>HYPERLINK("https://www.philgeps.gov.ph/GEPSNONPILOT/Tender/SplashBidNoticeAbstractUI.aspx?menuIndex=3&amp;refID=7023399&amp;Result=3","7023399")</f>
        <v>0</v>
      </c>
      <c r="B9207" t="s">
        <v>199</v>
      </c>
      <c r="C9207" t="s">
        <v>11486</v>
      </c>
      <c r="D9207" t="s">
        <v>13009</v>
      </c>
      <c r="E9207" t="s">
        <v>21112</v>
      </c>
      <c r="F9207" t="s">
        <v>22436</v>
      </c>
      <c r="G9207" t="s">
        <v>22444</v>
      </c>
      <c r="H9207" t="s">
        <v>22452</v>
      </c>
      <c r="I9207" t="s">
        <v>22502</v>
      </c>
      <c r="J9207" t="s">
        <v>28401</v>
      </c>
      <c r="K9207" t="s">
        <v>29338</v>
      </c>
      <c r="M9207" t="s">
        <v>30051</v>
      </c>
      <c r="N9207" t="s">
        <v>32524</v>
      </c>
      <c r="O9207" t="s">
        <v>32525</v>
      </c>
      <c r="P9207">
        <v>0</v>
      </c>
      <c r="Q9207">
        <v>13</v>
      </c>
      <c r="R9207" t="s">
        <v>32538</v>
      </c>
      <c r="S9207" t="s">
        <v>32872</v>
      </c>
      <c r="T9207" t="s">
        <v>33344</v>
      </c>
      <c r="U9207" t="s">
        <v>41240</v>
      </c>
      <c r="V9207" t="s">
        <v>43454</v>
      </c>
      <c r="W9207" t="s">
        <v>30051</v>
      </c>
      <c r="X9207" t="s">
        <v>32540</v>
      </c>
    </row>
    <row r="9208" spans="1:24">
      <c r="A9208">
        <f>HYPERLINK("https://www.philgeps.gov.ph/GEPSNONPILOT/Tender/SplashBidNoticeAbstractUI.aspx?menuIndex=3&amp;refID=7023489&amp;Result=3","7023489")</f>
        <v>0</v>
      </c>
      <c r="B9208" t="s">
        <v>2462</v>
      </c>
      <c r="C9208" t="s">
        <v>11487</v>
      </c>
      <c r="E9208" t="s">
        <v>21108</v>
      </c>
      <c r="F9208" t="s">
        <v>22436</v>
      </c>
      <c r="G9208" t="s">
        <v>22444</v>
      </c>
      <c r="H9208" t="s">
        <v>22452</v>
      </c>
      <c r="I9208" t="s">
        <v>12358</v>
      </c>
      <c r="J9208" t="s">
        <v>28402</v>
      </c>
      <c r="K9208" t="s">
        <v>29338</v>
      </c>
      <c r="M9208" t="s">
        <v>32266</v>
      </c>
      <c r="N9208" t="s">
        <v>32524</v>
      </c>
      <c r="O9208" t="s">
        <v>32525</v>
      </c>
      <c r="P9208">
        <v>0</v>
      </c>
      <c r="Q9208">
        <v>0</v>
      </c>
      <c r="R9208" t="s">
        <v>32538</v>
      </c>
      <c r="S9208" t="s">
        <v>32872</v>
      </c>
      <c r="T9208" t="s">
        <v>33213</v>
      </c>
      <c r="U9208" t="s">
        <v>41242</v>
      </c>
      <c r="V9208" t="s">
        <v>43403</v>
      </c>
      <c r="W9208" t="s">
        <v>32266</v>
      </c>
      <c r="X9208" t="s">
        <v>32540</v>
      </c>
    </row>
    <row r="9209" spans="1:24">
      <c r="A9209">
        <f>HYPERLINK("https://www.philgeps.gov.ph/GEPSNONPILOT/Tender/SplashBidNoticeAbstractUI.aspx?menuIndex=3&amp;refID=7022979&amp;Result=3","7022979")</f>
        <v>0</v>
      </c>
      <c r="B9209" t="s">
        <v>2462</v>
      </c>
      <c r="C9209" t="s">
        <v>11488</v>
      </c>
      <c r="E9209" t="s">
        <v>21060</v>
      </c>
      <c r="F9209" t="s">
        <v>22436</v>
      </c>
      <c r="G9209" t="s">
        <v>22444</v>
      </c>
      <c r="H9209" t="s">
        <v>22452</v>
      </c>
      <c r="I9209" t="s">
        <v>6421</v>
      </c>
      <c r="J9209" t="s">
        <v>28403</v>
      </c>
      <c r="K9209" t="s">
        <v>29338</v>
      </c>
      <c r="M9209" t="s">
        <v>32266</v>
      </c>
      <c r="N9209" t="s">
        <v>32524</v>
      </c>
      <c r="O9209" t="s">
        <v>32525</v>
      </c>
      <c r="P9209">
        <v>0</v>
      </c>
      <c r="Q9209">
        <v>1</v>
      </c>
      <c r="R9209" t="s">
        <v>32538</v>
      </c>
      <c r="S9209" t="s">
        <v>32872</v>
      </c>
      <c r="T9209" t="s">
        <v>33213</v>
      </c>
      <c r="U9209" t="s">
        <v>41243</v>
      </c>
      <c r="V9209" t="s">
        <v>43403</v>
      </c>
      <c r="W9209" t="s">
        <v>32266</v>
      </c>
      <c r="X9209" t="s">
        <v>32540</v>
      </c>
    </row>
    <row r="9210" spans="1:24">
      <c r="A9210">
        <f>HYPERLINK("https://www.philgeps.gov.ph/GEPSNONPILOT/Tender/SplashBidNoticeAbstractUI.aspx?menuIndex=3&amp;refID=7022939&amp;Result=3","7022939")</f>
        <v>0</v>
      </c>
      <c r="B9210" t="s">
        <v>1111</v>
      </c>
      <c r="C9210" t="s">
        <v>11489</v>
      </c>
      <c r="D9210" t="s">
        <v>12996</v>
      </c>
      <c r="E9210" t="s">
        <v>21113</v>
      </c>
      <c r="F9210" t="s">
        <v>22436</v>
      </c>
      <c r="G9210" t="s">
        <v>22444</v>
      </c>
      <c r="H9210" t="s">
        <v>22454</v>
      </c>
      <c r="I9210" t="s">
        <v>7738</v>
      </c>
      <c r="J9210" t="s">
        <v>28404</v>
      </c>
      <c r="K9210" t="s">
        <v>29411</v>
      </c>
      <c r="M9210" t="s">
        <v>30749</v>
      </c>
      <c r="N9210" t="s">
        <v>32524</v>
      </c>
      <c r="O9210" t="s">
        <v>32525</v>
      </c>
      <c r="P9210">
        <v>0</v>
      </c>
      <c r="Q9210">
        <v>2</v>
      </c>
      <c r="R9210" t="s">
        <v>32538</v>
      </c>
      <c r="S9210" t="s">
        <v>32872</v>
      </c>
      <c r="T9210" t="s">
        <v>33181</v>
      </c>
      <c r="U9210" t="s">
        <v>41244</v>
      </c>
      <c r="W9210" t="s">
        <v>30749</v>
      </c>
      <c r="X9210" t="s">
        <v>32540</v>
      </c>
    </row>
    <row r="9211" spans="1:24">
      <c r="A9211">
        <f>HYPERLINK("https://www.philgeps.gov.ph/GEPSNONPILOT/Tender/SplashBidNoticeAbstractUI.aspx?menuIndex=3&amp;refID=7023530&amp;Result=3","7023530")</f>
        <v>0</v>
      </c>
      <c r="B9211" t="s">
        <v>199</v>
      </c>
      <c r="C9211" t="s">
        <v>11485</v>
      </c>
      <c r="D9211" t="s">
        <v>13009</v>
      </c>
      <c r="E9211" t="s">
        <v>21114</v>
      </c>
      <c r="F9211" t="s">
        <v>22436</v>
      </c>
      <c r="G9211" t="s">
        <v>22444</v>
      </c>
      <c r="H9211" t="s">
        <v>22452</v>
      </c>
      <c r="I9211" t="s">
        <v>22458</v>
      </c>
      <c r="J9211" t="s">
        <v>25075</v>
      </c>
      <c r="K9211" t="s">
        <v>29338</v>
      </c>
      <c r="M9211" t="s">
        <v>30051</v>
      </c>
      <c r="N9211" t="s">
        <v>32524</v>
      </c>
      <c r="O9211" t="s">
        <v>32525</v>
      </c>
      <c r="Q9211">
        <v>11</v>
      </c>
      <c r="R9211" t="s">
        <v>32538</v>
      </c>
      <c r="S9211" t="s">
        <v>32896</v>
      </c>
      <c r="T9211" t="s">
        <v>33344</v>
      </c>
      <c r="U9211" t="s">
        <v>41240</v>
      </c>
      <c r="V9211" t="s">
        <v>43452</v>
      </c>
      <c r="W9211" t="s">
        <v>30051</v>
      </c>
      <c r="X9211" t="s">
        <v>32540</v>
      </c>
    </row>
    <row r="9212" spans="1:24">
      <c r="A9212">
        <f>HYPERLINK("https://www.philgeps.gov.ph/GEPSNONPILOT/Tender/SplashBidNoticeAbstractUI.aspx?menuIndex=3&amp;refID=7023495&amp;Result=3","7023495")</f>
        <v>0</v>
      </c>
      <c r="B9212" t="s">
        <v>199</v>
      </c>
      <c r="C9212" t="s">
        <v>11485</v>
      </c>
      <c r="D9212" t="s">
        <v>13009</v>
      </c>
      <c r="E9212" t="s">
        <v>21115</v>
      </c>
      <c r="F9212" t="s">
        <v>22436</v>
      </c>
      <c r="G9212" t="s">
        <v>22444</v>
      </c>
      <c r="H9212" t="s">
        <v>22452</v>
      </c>
      <c r="I9212" t="s">
        <v>22458</v>
      </c>
      <c r="J9212" t="s">
        <v>22877</v>
      </c>
      <c r="K9212" t="s">
        <v>29338</v>
      </c>
      <c r="M9212" t="s">
        <v>30051</v>
      </c>
      <c r="N9212" t="s">
        <v>32524</v>
      </c>
      <c r="O9212" t="s">
        <v>32525</v>
      </c>
      <c r="P9212">
        <v>0</v>
      </c>
      <c r="Q9212">
        <v>8</v>
      </c>
      <c r="R9212" t="s">
        <v>32538</v>
      </c>
      <c r="S9212" t="s">
        <v>32872</v>
      </c>
      <c r="T9212" t="s">
        <v>33344</v>
      </c>
      <c r="U9212" t="s">
        <v>41240</v>
      </c>
      <c r="V9212" t="s">
        <v>43452</v>
      </c>
      <c r="W9212" t="s">
        <v>30051</v>
      </c>
      <c r="X9212" t="s">
        <v>32540</v>
      </c>
    </row>
    <row r="9213" spans="1:24">
      <c r="A9213">
        <f>HYPERLINK("https://www.philgeps.gov.ph/GEPSNONPILOT/Tender/SplashBidNoticeAbstractUI.aspx?menuIndex=3&amp;refID=7023356&amp;Result=3","7023356")</f>
        <v>0</v>
      </c>
      <c r="B9213" t="s">
        <v>199</v>
      </c>
      <c r="C9213" t="s">
        <v>11485</v>
      </c>
      <c r="D9213" t="s">
        <v>13009</v>
      </c>
      <c r="E9213" t="s">
        <v>21116</v>
      </c>
      <c r="F9213" t="s">
        <v>22436</v>
      </c>
      <c r="G9213" t="s">
        <v>22444</v>
      </c>
      <c r="H9213" t="s">
        <v>22452</v>
      </c>
      <c r="I9213" t="s">
        <v>22458</v>
      </c>
      <c r="J9213" t="s">
        <v>22875</v>
      </c>
      <c r="K9213" t="s">
        <v>29338</v>
      </c>
      <c r="M9213" t="s">
        <v>30051</v>
      </c>
      <c r="N9213" t="s">
        <v>32524</v>
      </c>
      <c r="O9213" t="s">
        <v>32525</v>
      </c>
      <c r="P9213">
        <v>0</v>
      </c>
      <c r="Q9213">
        <v>6</v>
      </c>
      <c r="R9213" t="s">
        <v>32538</v>
      </c>
      <c r="S9213" t="s">
        <v>32872</v>
      </c>
      <c r="T9213" t="s">
        <v>33344</v>
      </c>
      <c r="U9213" t="s">
        <v>41240</v>
      </c>
      <c r="V9213" t="s">
        <v>43452</v>
      </c>
      <c r="W9213" t="s">
        <v>30051</v>
      </c>
      <c r="X9213" t="s">
        <v>32540</v>
      </c>
    </row>
    <row r="9214" spans="1:24">
      <c r="A9214">
        <f>HYPERLINK("https://www.philgeps.gov.ph/GEPSNONPILOT/Tender/SplashBidNoticeAbstractUI.aspx?menuIndex=3&amp;refID=7023547&amp;Result=3","7023547")</f>
        <v>0</v>
      </c>
      <c r="B9214" t="s">
        <v>199</v>
      </c>
      <c r="C9214" t="s">
        <v>11485</v>
      </c>
      <c r="D9214" t="s">
        <v>13009</v>
      </c>
      <c r="E9214" t="s">
        <v>21117</v>
      </c>
      <c r="F9214" t="s">
        <v>22436</v>
      </c>
      <c r="G9214" t="s">
        <v>22444</v>
      </c>
      <c r="H9214" t="s">
        <v>22452</v>
      </c>
      <c r="I9214" t="s">
        <v>22458</v>
      </c>
      <c r="J9214" t="s">
        <v>24216</v>
      </c>
      <c r="K9214" t="s">
        <v>29338</v>
      </c>
      <c r="M9214" t="s">
        <v>30051</v>
      </c>
      <c r="N9214" t="s">
        <v>32524</v>
      </c>
      <c r="O9214" t="s">
        <v>32525</v>
      </c>
      <c r="Q9214">
        <v>11</v>
      </c>
      <c r="R9214" t="s">
        <v>32538</v>
      </c>
      <c r="S9214" t="s">
        <v>32897</v>
      </c>
      <c r="T9214" t="s">
        <v>33344</v>
      </c>
      <c r="U9214" t="s">
        <v>41240</v>
      </c>
      <c r="V9214" t="s">
        <v>43452</v>
      </c>
      <c r="W9214" t="s">
        <v>30051</v>
      </c>
      <c r="X9214" t="s">
        <v>32540</v>
      </c>
    </row>
    <row r="9215" spans="1:24">
      <c r="A9215">
        <f>HYPERLINK("https://www.philgeps.gov.ph/GEPSNONPILOT/Tender/SplashBidNoticeAbstractUI.aspx?menuIndex=3&amp;refID=7023375&amp;Result=3","7023375")</f>
        <v>0</v>
      </c>
      <c r="B9215" t="s">
        <v>199</v>
      </c>
      <c r="C9215" t="s">
        <v>11485</v>
      </c>
      <c r="D9215" t="s">
        <v>13009</v>
      </c>
      <c r="E9215" t="s">
        <v>21118</v>
      </c>
      <c r="F9215" t="s">
        <v>22436</v>
      </c>
      <c r="G9215" t="s">
        <v>22444</v>
      </c>
      <c r="H9215" t="s">
        <v>22452</v>
      </c>
      <c r="I9215" t="s">
        <v>22458</v>
      </c>
      <c r="J9215" t="s">
        <v>24255</v>
      </c>
      <c r="K9215" t="s">
        <v>29338</v>
      </c>
      <c r="M9215" t="s">
        <v>30051</v>
      </c>
      <c r="N9215" t="s">
        <v>32524</v>
      </c>
      <c r="O9215" t="s">
        <v>32525</v>
      </c>
      <c r="P9215">
        <v>0</v>
      </c>
      <c r="Q9215">
        <v>7</v>
      </c>
      <c r="R9215" t="s">
        <v>32538</v>
      </c>
      <c r="S9215" t="s">
        <v>32872</v>
      </c>
      <c r="T9215" t="s">
        <v>33344</v>
      </c>
      <c r="U9215" t="s">
        <v>41240</v>
      </c>
      <c r="V9215" t="s">
        <v>43452</v>
      </c>
      <c r="W9215" t="s">
        <v>30051</v>
      </c>
      <c r="X9215" t="s">
        <v>32540</v>
      </c>
    </row>
    <row r="9216" spans="1:24">
      <c r="A9216">
        <f>HYPERLINK("https://www.philgeps.gov.ph/GEPSNONPILOT/Tender/SplashBidNoticeAbstractUI.aspx?menuIndex=3&amp;refID=7023928&amp;Result=3","7023928")</f>
        <v>0</v>
      </c>
      <c r="B9216" t="s">
        <v>145</v>
      </c>
      <c r="C9216" t="s">
        <v>11490</v>
      </c>
      <c r="D9216" t="s">
        <v>13041</v>
      </c>
      <c r="E9216" t="s">
        <v>21119</v>
      </c>
      <c r="F9216" t="s">
        <v>22436</v>
      </c>
      <c r="G9216" t="s">
        <v>22444</v>
      </c>
      <c r="H9216" t="s">
        <v>22454</v>
      </c>
      <c r="I9216" t="s">
        <v>7738</v>
      </c>
      <c r="J9216" t="s">
        <v>28405</v>
      </c>
      <c r="K9216" t="s">
        <v>29337</v>
      </c>
      <c r="M9216" t="s">
        <v>29717</v>
      </c>
      <c r="N9216" t="s">
        <v>32524</v>
      </c>
      <c r="O9216" t="s">
        <v>32525</v>
      </c>
      <c r="P9216">
        <v>0</v>
      </c>
      <c r="Q9216">
        <v>0</v>
      </c>
      <c r="R9216" t="s">
        <v>32538</v>
      </c>
      <c r="S9216" t="s">
        <v>32872</v>
      </c>
      <c r="T9216" t="s">
        <v>33523</v>
      </c>
      <c r="U9216" t="s">
        <v>41245</v>
      </c>
      <c r="W9216" t="s">
        <v>29717</v>
      </c>
      <c r="X9216" t="s">
        <v>32540</v>
      </c>
    </row>
    <row r="9217" spans="1:24">
      <c r="A9217">
        <f>HYPERLINK("https://www.philgeps.gov.ph/GEPSNONPILOT/Tender/SplashBidNoticeAbstractUI.aspx?menuIndex=3&amp;refID=7023335&amp;Result=3","7023335")</f>
        <v>0</v>
      </c>
      <c r="B9217" t="s">
        <v>199</v>
      </c>
      <c r="C9217" t="s">
        <v>11485</v>
      </c>
      <c r="D9217" t="s">
        <v>13009</v>
      </c>
      <c r="E9217" t="s">
        <v>21120</v>
      </c>
      <c r="F9217" t="s">
        <v>22436</v>
      </c>
      <c r="G9217" t="s">
        <v>22444</v>
      </c>
      <c r="H9217" t="s">
        <v>22452</v>
      </c>
      <c r="I9217" t="s">
        <v>22458</v>
      </c>
      <c r="J9217" t="s">
        <v>22788</v>
      </c>
      <c r="K9217" t="s">
        <v>29338</v>
      </c>
      <c r="M9217" t="s">
        <v>30051</v>
      </c>
      <c r="N9217" t="s">
        <v>32524</v>
      </c>
      <c r="O9217" t="s">
        <v>32525</v>
      </c>
      <c r="P9217">
        <v>0</v>
      </c>
      <c r="Q9217">
        <v>6</v>
      </c>
      <c r="R9217" t="s">
        <v>32538</v>
      </c>
      <c r="S9217" t="s">
        <v>32872</v>
      </c>
      <c r="T9217" t="s">
        <v>33344</v>
      </c>
      <c r="U9217" t="s">
        <v>41240</v>
      </c>
      <c r="V9217" t="s">
        <v>43452</v>
      </c>
      <c r="W9217" t="s">
        <v>30051</v>
      </c>
      <c r="X9217" t="s">
        <v>32540</v>
      </c>
    </row>
    <row r="9218" spans="1:24">
      <c r="A9218">
        <f>HYPERLINK("https://www.philgeps.gov.ph/GEPSNONPILOT/Tender/SplashBidNoticeAbstractUI.aspx?menuIndex=3&amp;refID=7024069&amp;Result=3","7024069")</f>
        <v>0</v>
      </c>
      <c r="B9218" t="s">
        <v>1907</v>
      </c>
      <c r="C9218" t="s">
        <v>11491</v>
      </c>
      <c r="D9218" t="s">
        <v>13061</v>
      </c>
      <c r="E9218" t="s">
        <v>21121</v>
      </c>
      <c r="F9218" t="s">
        <v>22436</v>
      </c>
      <c r="G9218" t="s">
        <v>22444</v>
      </c>
      <c r="H9218" t="s">
        <v>22454</v>
      </c>
      <c r="I9218" t="s">
        <v>7738</v>
      </c>
      <c r="J9218" t="s">
        <v>28406</v>
      </c>
      <c r="K9218" t="s">
        <v>29334</v>
      </c>
      <c r="M9218" t="s">
        <v>31629</v>
      </c>
      <c r="N9218" t="s">
        <v>32524</v>
      </c>
      <c r="O9218" t="s">
        <v>32525</v>
      </c>
      <c r="P9218">
        <v>0</v>
      </c>
      <c r="Q9218">
        <v>1</v>
      </c>
      <c r="R9218" t="s">
        <v>32538</v>
      </c>
      <c r="S9218" t="s">
        <v>32872</v>
      </c>
      <c r="T9218" t="s">
        <v>33181</v>
      </c>
      <c r="U9218" t="s">
        <v>41246</v>
      </c>
      <c r="W9218" t="s">
        <v>31629</v>
      </c>
      <c r="X9218" t="s">
        <v>32540</v>
      </c>
    </row>
    <row r="9219" spans="1:24">
      <c r="A9219">
        <f>HYPERLINK("https://www.philgeps.gov.ph/GEPSNONPILOT/Tender/SplashBidNoticeAbstractUI.aspx?menuIndex=3&amp;refID=7023755&amp;Result=3","7023755")</f>
        <v>0</v>
      </c>
      <c r="B9219" t="s">
        <v>1200</v>
      </c>
      <c r="C9219" t="s">
        <v>11492</v>
      </c>
      <c r="D9219" t="s">
        <v>13000</v>
      </c>
      <c r="E9219" t="s">
        <v>21122</v>
      </c>
      <c r="F9219" t="s">
        <v>22436</v>
      </c>
      <c r="G9219" t="s">
        <v>22444</v>
      </c>
      <c r="H9219" t="s">
        <v>22454</v>
      </c>
      <c r="I9219" t="s">
        <v>22564</v>
      </c>
      <c r="J9219" t="s">
        <v>28407</v>
      </c>
      <c r="K9219" t="s">
        <v>29388</v>
      </c>
      <c r="M9219" t="s">
        <v>30848</v>
      </c>
      <c r="N9219" t="s">
        <v>32524</v>
      </c>
      <c r="O9219" t="s">
        <v>32525</v>
      </c>
      <c r="P9219">
        <v>0</v>
      </c>
      <c r="Q9219">
        <v>10</v>
      </c>
      <c r="R9219" t="s">
        <v>32538</v>
      </c>
      <c r="S9219" t="s">
        <v>32872</v>
      </c>
      <c r="T9219" t="s">
        <v>33487</v>
      </c>
      <c r="U9219" t="s">
        <v>41247</v>
      </c>
      <c r="W9219" t="s">
        <v>30848</v>
      </c>
      <c r="X9219" t="s">
        <v>32540</v>
      </c>
    </row>
    <row r="9220" spans="1:24">
      <c r="A9220">
        <f>HYPERLINK("https://www.philgeps.gov.ph/GEPSNONPILOT/Tender/SplashBidNoticeAbstractUI.aspx?menuIndex=3&amp;refID=7023244&amp;Result=3","7023244")</f>
        <v>0</v>
      </c>
      <c r="B9220" t="s">
        <v>199</v>
      </c>
      <c r="C9220" t="s">
        <v>11485</v>
      </c>
      <c r="D9220" t="s">
        <v>13009</v>
      </c>
      <c r="E9220" t="s">
        <v>21123</v>
      </c>
      <c r="F9220" t="s">
        <v>22436</v>
      </c>
      <c r="G9220" t="s">
        <v>22444</v>
      </c>
      <c r="H9220" t="s">
        <v>22452</v>
      </c>
      <c r="I9220" t="s">
        <v>22458</v>
      </c>
      <c r="J9220" t="s">
        <v>28408</v>
      </c>
      <c r="K9220" t="s">
        <v>29338</v>
      </c>
      <c r="M9220" t="s">
        <v>30051</v>
      </c>
      <c r="N9220" t="s">
        <v>32524</v>
      </c>
      <c r="O9220" t="s">
        <v>32525</v>
      </c>
      <c r="P9220">
        <v>0</v>
      </c>
      <c r="Q9220">
        <v>5</v>
      </c>
      <c r="R9220" t="s">
        <v>32538</v>
      </c>
      <c r="S9220" t="s">
        <v>32872</v>
      </c>
      <c r="T9220" t="s">
        <v>33344</v>
      </c>
      <c r="U9220" t="s">
        <v>41240</v>
      </c>
      <c r="V9220" t="s">
        <v>43452</v>
      </c>
      <c r="W9220" t="s">
        <v>30051</v>
      </c>
      <c r="X9220" t="s">
        <v>32540</v>
      </c>
    </row>
    <row r="9221" spans="1:24">
      <c r="A9221">
        <f>HYPERLINK("https://www.philgeps.gov.ph/GEPSNONPILOT/Tender/SplashBidNoticeAbstractUI.aspx?menuIndex=3&amp;refID=7024063&amp;Result=3","7024063")</f>
        <v>0</v>
      </c>
      <c r="B9221" t="s">
        <v>1907</v>
      </c>
      <c r="C9221" t="s">
        <v>11493</v>
      </c>
      <c r="D9221" t="s">
        <v>13061</v>
      </c>
      <c r="E9221" t="s">
        <v>21124</v>
      </c>
      <c r="F9221" t="s">
        <v>22436</v>
      </c>
      <c r="G9221" t="s">
        <v>22444</v>
      </c>
      <c r="H9221" t="s">
        <v>22454</v>
      </c>
      <c r="I9221" t="s">
        <v>7738</v>
      </c>
      <c r="J9221" t="s">
        <v>28409</v>
      </c>
      <c r="K9221" t="s">
        <v>29362</v>
      </c>
      <c r="M9221" t="s">
        <v>31629</v>
      </c>
      <c r="N9221" t="s">
        <v>32524</v>
      </c>
      <c r="O9221" t="s">
        <v>32525</v>
      </c>
      <c r="P9221">
        <v>0</v>
      </c>
      <c r="Q9221">
        <v>3</v>
      </c>
      <c r="R9221" t="s">
        <v>32538</v>
      </c>
      <c r="S9221" t="s">
        <v>32872</v>
      </c>
      <c r="T9221" t="s">
        <v>33181</v>
      </c>
      <c r="U9221" t="s">
        <v>41248</v>
      </c>
      <c r="W9221" t="s">
        <v>31629</v>
      </c>
      <c r="X9221" t="s">
        <v>32540</v>
      </c>
    </row>
    <row r="9222" spans="1:24">
      <c r="A9222">
        <f>HYPERLINK("https://www.philgeps.gov.ph/GEPSNONPILOT/Tender/SplashBidNoticeAbstractUI.aspx?menuIndex=3&amp;refID=7023715&amp;Result=3","7023715")</f>
        <v>0</v>
      </c>
      <c r="B9222" t="s">
        <v>2508</v>
      </c>
      <c r="C9222" t="s">
        <v>11494</v>
      </c>
      <c r="D9222" t="s">
        <v>13025</v>
      </c>
      <c r="E9222" t="s">
        <v>21125</v>
      </c>
      <c r="F9222" t="s">
        <v>22436</v>
      </c>
      <c r="G9222" t="s">
        <v>22444</v>
      </c>
      <c r="H9222" t="s">
        <v>22454</v>
      </c>
      <c r="I9222" t="s">
        <v>7738</v>
      </c>
      <c r="J9222" t="s">
        <v>22750</v>
      </c>
      <c r="K9222" t="s">
        <v>29333</v>
      </c>
      <c r="M9222" t="s">
        <v>32315</v>
      </c>
      <c r="N9222" t="s">
        <v>32524</v>
      </c>
      <c r="O9222" t="s">
        <v>32525</v>
      </c>
      <c r="P9222">
        <v>0</v>
      </c>
      <c r="Q9222">
        <v>0</v>
      </c>
      <c r="R9222" t="s">
        <v>32538</v>
      </c>
      <c r="S9222" t="s">
        <v>32872</v>
      </c>
      <c r="T9222" t="s">
        <v>33186</v>
      </c>
      <c r="U9222" t="s">
        <v>41249</v>
      </c>
      <c r="V9222" t="s">
        <v>43455</v>
      </c>
      <c r="W9222" t="s">
        <v>32315</v>
      </c>
      <c r="X9222" t="s">
        <v>32540</v>
      </c>
    </row>
    <row r="9223" spans="1:24">
      <c r="A9223">
        <f>HYPERLINK("https://www.philgeps.gov.ph/GEPSNONPILOT/Tender/SplashBidNoticeAbstractUI.aspx?menuIndex=3&amp;refID=7024102&amp;Result=3","7024102")</f>
        <v>0</v>
      </c>
      <c r="B9223" t="s">
        <v>1907</v>
      </c>
      <c r="C9223" t="s">
        <v>11495</v>
      </c>
      <c r="D9223" t="s">
        <v>13061</v>
      </c>
      <c r="E9223" t="s">
        <v>21126</v>
      </c>
      <c r="F9223" t="s">
        <v>22436</v>
      </c>
      <c r="G9223" t="s">
        <v>22444</v>
      </c>
      <c r="H9223" t="s">
        <v>22454</v>
      </c>
      <c r="I9223" t="s">
        <v>7738</v>
      </c>
      <c r="J9223" t="s">
        <v>28410</v>
      </c>
      <c r="K9223" t="s">
        <v>29333</v>
      </c>
      <c r="M9223" t="s">
        <v>31629</v>
      </c>
      <c r="N9223" t="s">
        <v>32524</v>
      </c>
      <c r="O9223" t="s">
        <v>32525</v>
      </c>
      <c r="P9223">
        <v>0</v>
      </c>
      <c r="Q9223">
        <v>0</v>
      </c>
      <c r="R9223" t="s">
        <v>32538</v>
      </c>
      <c r="S9223" t="s">
        <v>32872</v>
      </c>
      <c r="T9223" t="s">
        <v>33181</v>
      </c>
      <c r="U9223" t="s">
        <v>41250</v>
      </c>
      <c r="W9223" t="s">
        <v>31629</v>
      </c>
      <c r="X9223" t="s">
        <v>32540</v>
      </c>
    </row>
    <row r="9224" spans="1:24">
      <c r="A9224">
        <f>HYPERLINK("https://www.philgeps.gov.ph/GEPSNONPILOT/Tender/SplashBidNoticeAbstractUI.aspx?menuIndex=3&amp;refID=7023937&amp;Result=3","7023937")</f>
        <v>0</v>
      </c>
      <c r="B9224" t="s">
        <v>145</v>
      </c>
      <c r="C9224" t="s">
        <v>11496</v>
      </c>
      <c r="D9224" t="s">
        <v>13041</v>
      </c>
      <c r="E9224" t="s">
        <v>21127</v>
      </c>
      <c r="F9224" t="s">
        <v>22436</v>
      </c>
      <c r="G9224" t="s">
        <v>22444</v>
      </c>
      <c r="H9224" t="s">
        <v>22454</v>
      </c>
      <c r="I9224" t="s">
        <v>7738</v>
      </c>
      <c r="J9224" t="s">
        <v>28411</v>
      </c>
      <c r="K9224" t="s">
        <v>29404</v>
      </c>
      <c r="M9224" t="s">
        <v>29717</v>
      </c>
      <c r="N9224" t="s">
        <v>32524</v>
      </c>
      <c r="O9224" t="s">
        <v>32525</v>
      </c>
      <c r="P9224">
        <v>0</v>
      </c>
      <c r="Q9224">
        <v>0</v>
      </c>
      <c r="R9224" t="s">
        <v>32538</v>
      </c>
      <c r="S9224" t="s">
        <v>32872</v>
      </c>
      <c r="T9224" t="s">
        <v>33523</v>
      </c>
      <c r="U9224" t="s">
        <v>41251</v>
      </c>
      <c r="W9224" t="s">
        <v>29717</v>
      </c>
      <c r="X9224" t="s">
        <v>32540</v>
      </c>
    </row>
    <row r="9225" spans="1:24">
      <c r="A9225">
        <f>HYPERLINK("https://www.philgeps.gov.ph/GEPSNONPILOT/Tender/SplashBidNoticeAbstractUI.aspx?menuIndex=3&amp;refID=7023942&amp;Result=3","7023942")</f>
        <v>0</v>
      </c>
      <c r="B9225" t="s">
        <v>145</v>
      </c>
      <c r="C9225" t="s">
        <v>11497</v>
      </c>
      <c r="D9225" t="s">
        <v>13041</v>
      </c>
      <c r="E9225" t="s">
        <v>21128</v>
      </c>
      <c r="F9225" t="s">
        <v>22436</v>
      </c>
      <c r="G9225" t="s">
        <v>22444</v>
      </c>
      <c r="H9225" t="s">
        <v>22454</v>
      </c>
      <c r="I9225" t="s">
        <v>7738</v>
      </c>
      <c r="J9225" t="s">
        <v>28412</v>
      </c>
      <c r="K9225" t="s">
        <v>29418</v>
      </c>
      <c r="M9225" t="s">
        <v>29717</v>
      </c>
      <c r="N9225" t="s">
        <v>32524</v>
      </c>
      <c r="O9225" t="s">
        <v>32525</v>
      </c>
      <c r="P9225">
        <v>0</v>
      </c>
      <c r="Q9225">
        <v>0</v>
      </c>
      <c r="R9225" t="s">
        <v>32538</v>
      </c>
      <c r="S9225" t="s">
        <v>32872</v>
      </c>
      <c r="T9225" t="s">
        <v>33523</v>
      </c>
      <c r="U9225" t="s">
        <v>41252</v>
      </c>
      <c r="W9225" t="s">
        <v>29717</v>
      </c>
      <c r="X9225" t="s">
        <v>32540</v>
      </c>
    </row>
    <row r="9226" spans="1:24">
      <c r="A9226">
        <f>HYPERLINK("https://www.philgeps.gov.ph/GEPSNONPILOT/Tender/SplashBidNoticeAbstractUI.aspx?menuIndex=3&amp;refID=7024096&amp;Result=3","7024096")</f>
        <v>0</v>
      </c>
      <c r="B9226" t="s">
        <v>1907</v>
      </c>
      <c r="C9226" t="s">
        <v>11498</v>
      </c>
      <c r="D9226" t="s">
        <v>13061</v>
      </c>
      <c r="E9226" t="s">
        <v>21129</v>
      </c>
      <c r="F9226" t="s">
        <v>22436</v>
      </c>
      <c r="G9226" t="s">
        <v>22444</v>
      </c>
      <c r="H9226" t="s">
        <v>22454</v>
      </c>
      <c r="I9226" t="s">
        <v>7738</v>
      </c>
      <c r="J9226" t="s">
        <v>28413</v>
      </c>
      <c r="K9226" t="s">
        <v>29333</v>
      </c>
      <c r="M9226" t="s">
        <v>31629</v>
      </c>
      <c r="N9226" t="s">
        <v>32524</v>
      </c>
      <c r="O9226" t="s">
        <v>32525</v>
      </c>
      <c r="P9226">
        <v>0</v>
      </c>
      <c r="Q9226">
        <v>0</v>
      </c>
      <c r="R9226" t="s">
        <v>32538</v>
      </c>
      <c r="S9226" t="s">
        <v>32872</v>
      </c>
      <c r="T9226" t="s">
        <v>33181</v>
      </c>
      <c r="U9226" t="s">
        <v>41253</v>
      </c>
      <c r="W9226" t="s">
        <v>31629</v>
      </c>
      <c r="X9226" t="s">
        <v>32540</v>
      </c>
    </row>
    <row r="9227" spans="1:24">
      <c r="A9227">
        <f>HYPERLINK("https://www.philgeps.gov.ph/GEPSNONPILOT/Tender/SplashBidNoticeAbstractUI.aspx?menuIndex=3&amp;refID=7024111&amp;Result=3","7024111")</f>
        <v>0</v>
      </c>
      <c r="B9227" t="s">
        <v>1907</v>
      </c>
      <c r="C9227" t="s">
        <v>11499</v>
      </c>
      <c r="D9227" t="s">
        <v>13061</v>
      </c>
      <c r="E9227" t="s">
        <v>21130</v>
      </c>
      <c r="F9227" t="s">
        <v>22436</v>
      </c>
      <c r="G9227" t="s">
        <v>22444</v>
      </c>
      <c r="H9227" t="s">
        <v>22454</v>
      </c>
      <c r="I9227" t="s">
        <v>7738</v>
      </c>
      <c r="J9227" t="s">
        <v>28414</v>
      </c>
      <c r="K9227" t="s">
        <v>29561</v>
      </c>
      <c r="M9227" t="s">
        <v>31629</v>
      </c>
      <c r="N9227" t="s">
        <v>32524</v>
      </c>
      <c r="O9227" t="s">
        <v>32525</v>
      </c>
      <c r="P9227">
        <v>0</v>
      </c>
      <c r="Q9227">
        <v>0</v>
      </c>
      <c r="R9227" t="s">
        <v>32538</v>
      </c>
      <c r="S9227" t="s">
        <v>32872</v>
      </c>
      <c r="T9227" t="s">
        <v>33181</v>
      </c>
      <c r="U9227" t="s">
        <v>41254</v>
      </c>
      <c r="W9227" t="s">
        <v>31629</v>
      </c>
      <c r="X9227" t="s">
        <v>32540</v>
      </c>
    </row>
    <row r="9228" spans="1:24">
      <c r="A9228">
        <f>HYPERLINK("https://www.philgeps.gov.ph/GEPSNONPILOT/Tender/SplashBidNoticeAbstractUI.aspx?menuIndex=3&amp;refID=7024127&amp;Result=3","7024127")</f>
        <v>0</v>
      </c>
      <c r="B9228" t="s">
        <v>1907</v>
      </c>
      <c r="C9228" t="s">
        <v>11500</v>
      </c>
      <c r="D9228" t="s">
        <v>13061</v>
      </c>
      <c r="E9228" t="s">
        <v>21131</v>
      </c>
      <c r="F9228" t="s">
        <v>22436</v>
      </c>
      <c r="G9228" t="s">
        <v>22444</v>
      </c>
      <c r="H9228" t="s">
        <v>22454</v>
      </c>
      <c r="I9228" t="s">
        <v>7738</v>
      </c>
      <c r="J9228" t="s">
        <v>28415</v>
      </c>
      <c r="K9228" t="s">
        <v>29433</v>
      </c>
      <c r="M9228" t="s">
        <v>31629</v>
      </c>
      <c r="N9228" t="s">
        <v>32524</v>
      </c>
      <c r="O9228" t="s">
        <v>32525</v>
      </c>
      <c r="P9228">
        <v>0</v>
      </c>
      <c r="Q9228">
        <v>0</v>
      </c>
      <c r="R9228" t="s">
        <v>32538</v>
      </c>
      <c r="S9228" t="s">
        <v>32872</v>
      </c>
      <c r="T9228" t="s">
        <v>33181</v>
      </c>
      <c r="U9228" t="s">
        <v>41255</v>
      </c>
      <c r="W9228" t="s">
        <v>31629</v>
      </c>
      <c r="X9228" t="s">
        <v>32540</v>
      </c>
    </row>
    <row r="9229" spans="1:24">
      <c r="A9229">
        <f>HYPERLINK("https://www.philgeps.gov.ph/GEPSNONPILOT/Tender/SplashBidNoticeAbstractUI.aspx?menuIndex=3&amp;refID=7024131&amp;Result=3","7024131")</f>
        <v>0</v>
      </c>
      <c r="B9229" t="s">
        <v>1907</v>
      </c>
      <c r="C9229" t="s">
        <v>11501</v>
      </c>
      <c r="D9229" t="s">
        <v>13061</v>
      </c>
      <c r="E9229" t="s">
        <v>21132</v>
      </c>
      <c r="F9229" t="s">
        <v>22436</v>
      </c>
      <c r="G9229" t="s">
        <v>22444</v>
      </c>
      <c r="H9229" t="s">
        <v>22454</v>
      </c>
      <c r="I9229" t="s">
        <v>7738</v>
      </c>
      <c r="J9229" t="s">
        <v>28416</v>
      </c>
      <c r="K9229" t="s">
        <v>29333</v>
      </c>
      <c r="M9229" t="s">
        <v>31629</v>
      </c>
      <c r="N9229" t="s">
        <v>32524</v>
      </c>
      <c r="O9229" t="s">
        <v>32525</v>
      </c>
      <c r="P9229">
        <v>0</v>
      </c>
      <c r="Q9229">
        <v>0</v>
      </c>
      <c r="R9229" t="s">
        <v>32538</v>
      </c>
      <c r="S9229" t="s">
        <v>32872</v>
      </c>
      <c r="T9229" t="s">
        <v>33181</v>
      </c>
      <c r="U9229" t="s">
        <v>41256</v>
      </c>
      <c r="W9229" t="s">
        <v>31629</v>
      </c>
      <c r="X9229" t="s">
        <v>32540</v>
      </c>
    </row>
    <row r="9230" spans="1:24">
      <c r="A9230">
        <f>HYPERLINK("https://www.philgeps.gov.ph/GEPSNONPILOT/Tender/SplashBidNoticeAbstractUI.aspx?menuIndex=3&amp;refID=7024133&amp;Result=3","7024133")</f>
        <v>0</v>
      </c>
      <c r="B9230" t="s">
        <v>1907</v>
      </c>
      <c r="C9230" t="s">
        <v>11502</v>
      </c>
      <c r="D9230" t="s">
        <v>13061</v>
      </c>
      <c r="E9230" t="s">
        <v>21133</v>
      </c>
      <c r="F9230" t="s">
        <v>22436</v>
      </c>
      <c r="G9230" t="s">
        <v>22444</v>
      </c>
      <c r="H9230" t="s">
        <v>22454</v>
      </c>
      <c r="I9230" t="s">
        <v>7738</v>
      </c>
      <c r="J9230" t="s">
        <v>28417</v>
      </c>
      <c r="K9230" t="s">
        <v>29335</v>
      </c>
      <c r="M9230" t="s">
        <v>31629</v>
      </c>
      <c r="N9230" t="s">
        <v>32524</v>
      </c>
      <c r="O9230" t="s">
        <v>32525</v>
      </c>
      <c r="P9230">
        <v>0</v>
      </c>
      <c r="Q9230">
        <v>0</v>
      </c>
      <c r="R9230" t="s">
        <v>32538</v>
      </c>
      <c r="S9230" t="s">
        <v>32872</v>
      </c>
      <c r="T9230" t="s">
        <v>33181</v>
      </c>
      <c r="U9230" t="s">
        <v>41257</v>
      </c>
      <c r="W9230" t="s">
        <v>31629</v>
      </c>
      <c r="X9230" t="s">
        <v>32540</v>
      </c>
    </row>
    <row r="9231" spans="1:24">
      <c r="A9231">
        <f>HYPERLINK("https://www.philgeps.gov.ph/GEPSNONPILOT/Tender/SplashBidNoticeAbstractUI.aspx?menuIndex=3&amp;refID=7024108&amp;Result=3","7024108")</f>
        <v>0</v>
      </c>
      <c r="B9231" t="s">
        <v>1907</v>
      </c>
      <c r="C9231" t="s">
        <v>11503</v>
      </c>
      <c r="D9231" t="s">
        <v>13061</v>
      </c>
      <c r="E9231" t="s">
        <v>21134</v>
      </c>
      <c r="F9231" t="s">
        <v>22436</v>
      </c>
      <c r="G9231" t="s">
        <v>22444</v>
      </c>
      <c r="H9231" t="s">
        <v>22454</v>
      </c>
      <c r="I9231" t="s">
        <v>7738</v>
      </c>
      <c r="J9231" t="s">
        <v>28418</v>
      </c>
      <c r="K9231" t="s">
        <v>29333</v>
      </c>
      <c r="M9231" t="s">
        <v>31629</v>
      </c>
      <c r="N9231" t="s">
        <v>32524</v>
      </c>
      <c r="O9231" t="s">
        <v>32525</v>
      </c>
      <c r="P9231">
        <v>0</v>
      </c>
      <c r="Q9231">
        <v>0</v>
      </c>
      <c r="R9231" t="s">
        <v>32538</v>
      </c>
      <c r="S9231" t="s">
        <v>32872</v>
      </c>
      <c r="T9231" t="s">
        <v>33181</v>
      </c>
      <c r="U9231" t="s">
        <v>41258</v>
      </c>
      <c r="W9231" t="s">
        <v>31629</v>
      </c>
      <c r="X9231" t="s">
        <v>32540</v>
      </c>
    </row>
    <row r="9232" spans="1:24">
      <c r="A9232">
        <f>HYPERLINK("https://www.philgeps.gov.ph/GEPSNONPILOT/Tender/SplashBidNoticeAbstractUI.aspx?menuIndex=3&amp;refID=7024118&amp;Result=3","7024118")</f>
        <v>0</v>
      </c>
      <c r="B9232" t="s">
        <v>1907</v>
      </c>
      <c r="C9232" t="s">
        <v>11504</v>
      </c>
      <c r="D9232" t="s">
        <v>13061</v>
      </c>
      <c r="E9232" t="s">
        <v>21135</v>
      </c>
      <c r="F9232" t="s">
        <v>22436</v>
      </c>
      <c r="G9232" t="s">
        <v>22444</v>
      </c>
      <c r="H9232" t="s">
        <v>22454</v>
      </c>
      <c r="I9232" t="s">
        <v>7738</v>
      </c>
      <c r="J9232" t="s">
        <v>28419</v>
      </c>
      <c r="K9232" t="s">
        <v>29433</v>
      </c>
      <c r="M9232" t="s">
        <v>31629</v>
      </c>
      <c r="N9232" t="s">
        <v>32524</v>
      </c>
      <c r="O9232" t="s">
        <v>32525</v>
      </c>
      <c r="P9232">
        <v>0</v>
      </c>
      <c r="Q9232">
        <v>0</v>
      </c>
      <c r="R9232" t="s">
        <v>32538</v>
      </c>
      <c r="S9232" t="s">
        <v>32872</v>
      </c>
      <c r="T9232" t="s">
        <v>33181</v>
      </c>
      <c r="U9232" t="s">
        <v>41259</v>
      </c>
      <c r="W9232" t="s">
        <v>31629</v>
      </c>
      <c r="X9232" t="s">
        <v>32540</v>
      </c>
    </row>
    <row r="9233" spans="1:24">
      <c r="A9233">
        <f>HYPERLINK("https://www.philgeps.gov.ph/GEPSNONPILOT/Tender/SplashBidNoticeAbstractUI.aspx?menuIndex=3&amp;refID=7024142&amp;Result=3","7024142")</f>
        <v>0</v>
      </c>
      <c r="B9233" t="s">
        <v>1907</v>
      </c>
      <c r="C9233" t="s">
        <v>11505</v>
      </c>
      <c r="D9233" t="s">
        <v>13061</v>
      </c>
      <c r="E9233" t="s">
        <v>21136</v>
      </c>
      <c r="F9233" t="s">
        <v>22436</v>
      </c>
      <c r="G9233" t="s">
        <v>22444</v>
      </c>
      <c r="H9233" t="s">
        <v>22454</v>
      </c>
      <c r="I9233" t="s">
        <v>7738</v>
      </c>
      <c r="J9233" t="s">
        <v>28420</v>
      </c>
      <c r="K9233" t="s">
        <v>29333</v>
      </c>
      <c r="M9233" t="s">
        <v>31629</v>
      </c>
      <c r="N9233" t="s">
        <v>32524</v>
      </c>
      <c r="O9233" t="s">
        <v>32525</v>
      </c>
      <c r="P9233">
        <v>0</v>
      </c>
      <c r="Q9233">
        <v>1</v>
      </c>
      <c r="R9233" t="s">
        <v>32538</v>
      </c>
      <c r="S9233" t="s">
        <v>32872</v>
      </c>
      <c r="T9233" t="s">
        <v>33181</v>
      </c>
      <c r="U9233" t="s">
        <v>41260</v>
      </c>
      <c r="W9233" t="s">
        <v>31629</v>
      </c>
      <c r="X9233" t="s">
        <v>32540</v>
      </c>
    </row>
    <row r="9234" spans="1:24">
      <c r="A9234">
        <f>HYPERLINK("https://www.philgeps.gov.ph/GEPSNONPILOT/Tender/SplashBidNoticeAbstractUI.aspx?menuIndex=3&amp;refID=7024138&amp;Result=3","7024138")</f>
        <v>0</v>
      </c>
      <c r="B9234" t="s">
        <v>1907</v>
      </c>
      <c r="C9234" t="s">
        <v>11506</v>
      </c>
      <c r="D9234" t="s">
        <v>13061</v>
      </c>
      <c r="E9234" t="s">
        <v>21137</v>
      </c>
      <c r="F9234" t="s">
        <v>22436</v>
      </c>
      <c r="G9234" t="s">
        <v>22444</v>
      </c>
      <c r="H9234" t="s">
        <v>22454</v>
      </c>
      <c r="I9234" t="s">
        <v>7738</v>
      </c>
      <c r="J9234" t="s">
        <v>28421</v>
      </c>
      <c r="K9234" t="s">
        <v>29442</v>
      </c>
      <c r="M9234" t="s">
        <v>31629</v>
      </c>
      <c r="N9234" t="s">
        <v>32524</v>
      </c>
      <c r="O9234" t="s">
        <v>32525</v>
      </c>
      <c r="P9234">
        <v>0</v>
      </c>
      <c r="Q9234">
        <v>2</v>
      </c>
      <c r="R9234" t="s">
        <v>32538</v>
      </c>
      <c r="S9234" t="s">
        <v>32872</v>
      </c>
      <c r="T9234" t="s">
        <v>33181</v>
      </c>
      <c r="U9234" t="s">
        <v>41261</v>
      </c>
      <c r="W9234" t="s">
        <v>31629</v>
      </c>
      <c r="X9234" t="s">
        <v>32540</v>
      </c>
    </row>
    <row r="9235" spans="1:24">
      <c r="A9235">
        <f>HYPERLINK("https://www.philgeps.gov.ph/GEPSNONPILOT/Tender/SplashBidNoticeAbstractUI.aspx?menuIndex=3&amp;refID=7024176&amp;Result=3","7024176")</f>
        <v>0</v>
      </c>
      <c r="B9235" t="s">
        <v>1907</v>
      </c>
      <c r="C9235" t="s">
        <v>11507</v>
      </c>
      <c r="D9235" t="s">
        <v>13061</v>
      </c>
      <c r="E9235" t="s">
        <v>21138</v>
      </c>
      <c r="F9235" t="s">
        <v>22436</v>
      </c>
      <c r="G9235" t="s">
        <v>22444</v>
      </c>
      <c r="H9235" t="s">
        <v>22454</v>
      </c>
      <c r="I9235" t="s">
        <v>7738</v>
      </c>
      <c r="J9235" t="s">
        <v>28422</v>
      </c>
      <c r="K9235" t="s">
        <v>29536</v>
      </c>
      <c r="M9235" t="s">
        <v>31629</v>
      </c>
      <c r="N9235" t="s">
        <v>32524</v>
      </c>
      <c r="O9235" t="s">
        <v>32525</v>
      </c>
      <c r="P9235">
        <v>0</v>
      </c>
      <c r="Q9235">
        <v>0</v>
      </c>
      <c r="R9235" t="s">
        <v>32538</v>
      </c>
      <c r="S9235" t="s">
        <v>32872</v>
      </c>
      <c r="T9235" t="s">
        <v>33181</v>
      </c>
      <c r="U9235" t="s">
        <v>41262</v>
      </c>
      <c r="W9235" t="s">
        <v>31629</v>
      </c>
      <c r="X9235" t="s">
        <v>32540</v>
      </c>
    </row>
    <row r="9236" spans="1:24">
      <c r="A9236">
        <f>HYPERLINK("https://www.philgeps.gov.ph/GEPSNONPILOT/Tender/SplashBidNoticeAbstractUI.aspx?menuIndex=3&amp;refID=7024115&amp;Result=3","7024115")</f>
        <v>0</v>
      </c>
      <c r="B9236" t="s">
        <v>1907</v>
      </c>
      <c r="C9236" t="s">
        <v>11508</v>
      </c>
      <c r="D9236" t="s">
        <v>13061</v>
      </c>
      <c r="E9236" t="s">
        <v>21139</v>
      </c>
      <c r="F9236" t="s">
        <v>22436</v>
      </c>
      <c r="G9236" t="s">
        <v>22444</v>
      </c>
      <c r="H9236" t="s">
        <v>22454</v>
      </c>
      <c r="I9236" t="s">
        <v>7738</v>
      </c>
      <c r="J9236" t="s">
        <v>28423</v>
      </c>
      <c r="K9236" t="s">
        <v>29558</v>
      </c>
      <c r="M9236" t="s">
        <v>31629</v>
      </c>
      <c r="N9236" t="s">
        <v>32524</v>
      </c>
      <c r="O9236" t="s">
        <v>32525</v>
      </c>
      <c r="P9236">
        <v>0</v>
      </c>
      <c r="Q9236">
        <v>1</v>
      </c>
      <c r="R9236" t="s">
        <v>32538</v>
      </c>
      <c r="S9236" t="s">
        <v>32872</v>
      </c>
      <c r="T9236" t="s">
        <v>33181</v>
      </c>
      <c r="U9236" t="s">
        <v>41263</v>
      </c>
      <c r="W9236" t="s">
        <v>31629</v>
      </c>
      <c r="X9236" t="s">
        <v>32540</v>
      </c>
    </row>
    <row r="9237" spans="1:24">
      <c r="A9237">
        <f>HYPERLINK("https://www.philgeps.gov.ph/GEPSNONPILOT/Tender/SplashBidNoticeAbstractUI.aspx?menuIndex=3&amp;refID=7024123&amp;Result=3","7024123")</f>
        <v>0</v>
      </c>
      <c r="B9237" t="s">
        <v>1907</v>
      </c>
      <c r="C9237" t="s">
        <v>11509</v>
      </c>
      <c r="D9237" t="s">
        <v>13061</v>
      </c>
      <c r="E9237" t="s">
        <v>21140</v>
      </c>
      <c r="F9237" t="s">
        <v>22436</v>
      </c>
      <c r="G9237" t="s">
        <v>22444</v>
      </c>
      <c r="H9237" t="s">
        <v>22454</v>
      </c>
      <c r="I9237" t="s">
        <v>7738</v>
      </c>
      <c r="J9237" t="s">
        <v>28424</v>
      </c>
      <c r="K9237" t="s">
        <v>29558</v>
      </c>
      <c r="M9237" t="s">
        <v>31629</v>
      </c>
      <c r="N9237" t="s">
        <v>32524</v>
      </c>
      <c r="O9237" t="s">
        <v>32525</v>
      </c>
      <c r="P9237">
        <v>0</v>
      </c>
      <c r="Q9237">
        <v>1</v>
      </c>
      <c r="R9237" t="s">
        <v>32538</v>
      </c>
      <c r="S9237" t="s">
        <v>32872</v>
      </c>
      <c r="T9237" t="s">
        <v>33181</v>
      </c>
      <c r="U9237" t="s">
        <v>41264</v>
      </c>
      <c r="W9237" t="s">
        <v>31629</v>
      </c>
      <c r="X9237" t="s">
        <v>32540</v>
      </c>
    </row>
    <row r="9238" spans="1:24">
      <c r="A9238">
        <f>HYPERLINK("https://www.philgeps.gov.ph/GEPSNONPILOT/Tender/SplashBidNoticeAbstractUI.aspx?menuIndex=3&amp;refID=7023940&amp;Result=3","7023940")</f>
        <v>0</v>
      </c>
      <c r="B9238" t="s">
        <v>145</v>
      </c>
      <c r="C9238" t="s">
        <v>11510</v>
      </c>
      <c r="D9238" t="s">
        <v>13041</v>
      </c>
      <c r="E9238" t="s">
        <v>21141</v>
      </c>
      <c r="F9238" t="s">
        <v>22436</v>
      </c>
      <c r="G9238" t="s">
        <v>22444</v>
      </c>
      <c r="H9238" t="s">
        <v>22454</v>
      </c>
      <c r="I9238" t="s">
        <v>7738</v>
      </c>
      <c r="J9238" t="s">
        <v>28425</v>
      </c>
      <c r="K9238" t="s">
        <v>29331</v>
      </c>
      <c r="M9238" t="s">
        <v>29717</v>
      </c>
      <c r="N9238" t="s">
        <v>32524</v>
      </c>
      <c r="O9238" t="s">
        <v>32525</v>
      </c>
      <c r="P9238">
        <v>0</v>
      </c>
      <c r="Q9238">
        <v>0</v>
      </c>
      <c r="R9238" t="s">
        <v>32538</v>
      </c>
      <c r="S9238" t="s">
        <v>32872</v>
      </c>
      <c r="T9238" t="s">
        <v>33523</v>
      </c>
      <c r="U9238" t="s">
        <v>41265</v>
      </c>
      <c r="W9238" t="s">
        <v>29717</v>
      </c>
      <c r="X9238" t="s">
        <v>32540</v>
      </c>
    </row>
    <row r="9239" spans="1:24">
      <c r="A9239">
        <f>HYPERLINK("https://www.philgeps.gov.ph/GEPSNONPILOT/Tender/SplashBidNoticeAbstractUI.aspx?menuIndex=3&amp;refID=7024170&amp;Result=3","7024170")</f>
        <v>0</v>
      </c>
      <c r="B9239" t="s">
        <v>1907</v>
      </c>
      <c r="C9239" t="s">
        <v>11511</v>
      </c>
      <c r="D9239" t="s">
        <v>13061</v>
      </c>
      <c r="E9239" t="s">
        <v>21142</v>
      </c>
      <c r="F9239" t="s">
        <v>22436</v>
      </c>
      <c r="G9239" t="s">
        <v>22444</v>
      </c>
      <c r="H9239" t="s">
        <v>22454</v>
      </c>
      <c r="I9239" t="s">
        <v>7738</v>
      </c>
      <c r="J9239" t="s">
        <v>28426</v>
      </c>
      <c r="K9239" t="s">
        <v>29333</v>
      </c>
      <c r="M9239" t="s">
        <v>31629</v>
      </c>
      <c r="N9239" t="s">
        <v>32524</v>
      </c>
      <c r="O9239" t="s">
        <v>32525</v>
      </c>
      <c r="P9239">
        <v>0</v>
      </c>
      <c r="Q9239">
        <v>1</v>
      </c>
      <c r="R9239" t="s">
        <v>32538</v>
      </c>
      <c r="S9239" t="s">
        <v>32872</v>
      </c>
      <c r="T9239" t="s">
        <v>33181</v>
      </c>
      <c r="U9239" t="s">
        <v>41266</v>
      </c>
      <c r="W9239" t="s">
        <v>31629</v>
      </c>
      <c r="X9239" t="s">
        <v>32540</v>
      </c>
    </row>
    <row r="9240" spans="1:24">
      <c r="A9240">
        <f>HYPERLINK("https://www.philgeps.gov.ph/GEPSNONPILOT/Tender/SplashBidNoticeAbstractUI.aspx?menuIndex=3&amp;refID=7024214&amp;Result=3","7024214")</f>
        <v>0</v>
      </c>
      <c r="B9240" t="s">
        <v>1907</v>
      </c>
      <c r="C9240" t="s">
        <v>11512</v>
      </c>
      <c r="D9240" t="s">
        <v>13061</v>
      </c>
      <c r="E9240" t="s">
        <v>21143</v>
      </c>
      <c r="F9240" t="s">
        <v>22436</v>
      </c>
      <c r="G9240" t="s">
        <v>22444</v>
      </c>
      <c r="H9240" t="s">
        <v>22454</v>
      </c>
      <c r="I9240" t="s">
        <v>7738</v>
      </c>
      <c r="J9240" t="s">
        <v>28427</v>
      </c>
      <c r="K9240" t="s">
        <v>29333</v>
      </c>
      <c r="M9240" t="s">
        <v>31629</v>
      </c>
      <c r="N9240" t="s">
        <v>32524</v>
      </c>
      <c r="O9240" t="s">
        <v>32525</v>
      </c>
      <c r="P9240">
        <v>0</v>
      </c>
      <c r="Q9240">
        <v>0</v>
      </c>
      <c r="R9240" t="s">
        <v>32538</v>
      </c>
      <c r="S9240" t="s">
        <v>32872</v>
      </c>
      <c r="T9240" t="s">
        <v>33181</v>
      </c>
      <c r="U9240" t="s">
        <v>41267</v>
      </c>
      <c r="W9240" t="s">
        <v>31629</v>
      </c>
      <c r="X9240" t="s">
        <v>32540</v>
      </c>
    </row>
    <row r="9241" spans="1:24">
      <c r="A9241">
        <f>HYPERLINK("https://www.philgeps.gov.ph/GEPSNONPILOT/Tender/SplashBidNoticeAbstractUI.aspx?menuIndex=3&amp;refID=7024219&amp;Result=3","7024219")</f>
        <v>0</v>
      </c>
      <c r="B9241" t="s">
        <v>1907</v>
      </c>
      <c r="C9241" t="s">
        <v>11513</v>
      </c>
      <c r="D9241" t="s">
        <v>13061</v>
      </c>
      <c r="E9241" t="s">
        <v>21144</v>
      </c>
      <c r="F9241" t="s">
        <v>22436</v>
      </c>
      <c r="G9241" t="s">
        <v>22444</v>
      </c>
      <c r="H9241" t="s">
        <v>22454</v>
      </c>
      <c r="I9241" t="s">
        <v>7738</v>
      </c>
      <c r="J9241" t="s">
        <v>28428</v>
      </c>
      <c r="K9241" t="s">
        <v>29402</v>
      </c>
      <c r="M9241" t="s">
        <v>31629</v>
      </c>
      <c r="N9241" t="s">
        <v>32524</v>
      </c>
      <c r="O9241" t="s">
        <v>32525</v>
      </c>
      <c r="P9241">
        <v>0</v>
      </c>
      <c r="Q9241">
        <v>1</v>
      </c>
      <c r="R9241" t="s">
        <v>32538</v>
      </c>
      <c r="S9241" t="s">
        <v>32872</v>
      </c>
      <c r="T9241" t="s">
        <v>33181</v>
      </c>
      <c r="U9241" t="s">
        <v>41268</v>
      </c>
      <c r="W9241" t="s">
        <v>31629</v>
      </c>
      <c r="X9241" t="s">
        <v>32540</v>
      </c>
    </row>
    <row r="9242" spans="1:24">
      <c r="A9242">
        <f>HYPERLINK("https://www.philgeps.gov.ph/GEPSNONPILOT/Tender/SplashBidNoticeAbstractUI.aspx?menuIndex=3&amp;refID=7024207&amp;Result=3","7024207")</f>
        <v>0</v>
      </c>
      <c r="B9242" t="s">
        <v>1907</v>
      </c>
      <c r="C9242" t="s">
        <v>11514</v>
      </c>
      <c r="D9242" t="s">
        <v>13061</v>
      </c>
      <c r="E9242" t="s">
        <v>21145</v>
      </c>
      <c r="F9242" t="s">
        <v>22436</v>
      </c>
      <c r="G9242" t="s">
        <v>22444</v>
      </c>
      <c r="H9242" t="s">
        <v>22454</v>
      </c>
      <c r="I9242" t="s">
        <v>7738</v>
      </c>
      <c r="J9242" t="s">
        <v>28429</v>
      </c>
      <c r="K9242" t="s">
        <v>29333</v>
      </c>
      <c r="M9242" t="s">
        <v>31629</v>
      </c>
      <c r="N9242" t="s">
        <v>32524</v>
      </c>
      <c r="O9242" t="s">
        <v>32525</v>
      </c>
      <c r="P9242">
        <v>0</v>
      </c>
      <c r="Q9242">
        <v>1</v>
      </c>
      <c r="R9242" t="s">
        <v>32538</v>
      </c>
      <c r="S9242" t="s">
        <v>32872</v>
      </c>
      <c r="T9242" t="s">
        <v>33181</v>
      </c>
      <c r="U9242" t="s">
        <v>41269</v>
      </c>
      <c r="W9242" t="s">
        <v>31629</v>
      </c>
      <c r="X9242" t="s">
        <v>32540</v>
      </c>
    </row>
    <row r="9243" spans="1:24">
      <c r="A9243">
        <f>HYPERLINK("https://www.philgeps.gov.ph/GEPSNONPILOT/Tender/SplashBidNoticeAbstractUI.aspx?menuIndex=3&amp;refID=7024225&amp;Result=3","7024225")</f>
        <v>0</v>
      </c>
      <c r="B9243" t="s">
        <v>1907</v>
      </c>
      <c r="C9243" t="s">
        <v>11515</v>
      </c>
      <c r="D9243" t="s">
        <v>13061</v>
      </c>
      <c r="E9243" t="s">
        <v>21146</v>
      </c>
      <c r="F9243" t="s">
        <v>22436</v>
      </c>
      <c r="G9243" t="s">
        <v>22444</v>
      </c>
      <c r="H9243" t="s">
        <v>22454</v>
      </c>
      <c r="I9243" t="s">
        <v>7738</v>
      </c>
      <c r="J9243" t="s">
        <v>28430</v>
      </c>
      <c r="K9243" t="s">
        <v>29379</v>
      </c>
      <c r="M9243" t="s">
        <v>31629</v>
      </c>
      <c r="N9243" t="s">
        <v>32524</v>
      </c>
      <c r="O9243" t="s">
        <v>32525</v>
      </c>
      <c r="P9243">
        <v>0</v>
      </c>
      <c r="Q9243">
        <v>0</v>
      </c>
      <c r="R9243" t="s">
        <v>32538</v>
      </c>
      <c r="S9243" t="s">
        <v>32872</v>
      </c>
      <c r="T9243" t="s">
        <v>33181</v>
      </c>
      <c r="U9243" t="s">
        <v>41270</v>
      </c>
      <c r="W9243" t="s">
        <v>31629</v>
      </c>
      <c r="X9243" t="s">
        <v>32540</v>
      </c>
    </row>
    <row r="9244" spans="1:24">
      <c r="A9244">
        <f>HYPERLINK("https://www.philgeps.gov.ph/GEPSNONPILOT/Tender/SplashBidNoticeAbstractUI.aspx?menuIndex=3&amp;refID=7024202&amp;Result=3","7024202")</f>
        <v>0</v>
      </c>
      <c r="B9244" t="s">
        <v>1907</v>
      </c>
      <c r="C9244" t="s">
        <v>11516</v>
      </c>
      <c r="D9244" t="s">
        <v>13061</v>
      </c>
      <c r="E9244" t="s">
        <v>21147</v>
      </c>
      <c r="F9244" t="s">
        <v>22436</v>
      </c>
      <c r="G9244" t="s">
        <v>22444</v>
      </c>
      <c r="H9244" t="s">
        <v>22454</v>
      </c>
      <c r="I9244" t="s">
        <v>7738</v>
      </c>
      <c r="J9244" t="s">
        <v>28431</v>
      </c>
      <c r="K9244" t="s">
        <v>29364</v>
      </c>
      <c r="M9244" t="s">
        <v>31629</v>
      </c>
      <c r="N9244" t="s">
        <v>32524</v>
      </c>
      <c r="O9244" t="s">
        <v>32525</v>
      </c>
      <c r="P9244">
        <v>0</v>
      </c>
      <c r="Q9244">
        <v>0</v>
      </c>
      <c r="R9244" t="s">
        <v>32538</v>
      </c>
      <c r="S9244" t="s">
        <v>32872</v>
      </c>
      <c r="T9244" t="s">
        <v>33181</v>
      </c>
      <c r="U9244" t="s">
        <v>41271</v>
      </c>
      <c r="W9244" t="s">
        <v>31629</v>
      </c>
      <c r="X9244" t="s">
        <v>32540</v>
      </c>
    </row>
    <row r="9245" spans="1:24">
      <c r="A9245">
        <f>HYPERLINK("https://www.philgeps.gov.ph/GEPSNONPILOT/Tender/SplashBidNoticeAbstractUI.aspx?menuIndex=3&amp;refID=7024222&amp;Result=3","7024222")</f>
        <v>0</v>
      </c>
      <c r="B9245" t="s">
        <v>1907</v>
      </c>
      <c r="C9245" t="s">
        <v>11517</v>
      </c>
      <c r="D9245" t="s">
        <v>13061</v>
      </c>
      <c r="E9245" t="s">
        <v>21148</v>
      </c>
      <c r="F9245" t="s">
        <v>22436</v>
      </c>
      <c r="G9245" t="s">
        <v>22444</v>
      </c>
      <c r="H9245" t="s">
        <v>22454</v>
      </c>
      <c r="I9245" t="s">
        <v>7738</v>
      </c>
      <c r="J9245" t="s">
        <v>28432</v>
      </c>
      <c r="K9245" t="s">
        <v>29334</v>
      </c>
      <c r="M9245" t="s">
        <v>31629</v>
      </c>
      <c r="N9245" t="s">
        <v>32524</v>
      </c>
      <c r="O9245" t="s">
        <v>32525</v>
      </c>
      <c r="P9245">
        <v>0</v>
      </c>
      <c r="Q9245">
        <v>1</v>
      </c>
      <c r="R9245" t="s">
        <v>32538</v>
      </c>
      <c r="S9245" t="s">
        <v>32872</v>
      </c>
      <c r="T9245" t="s">
        <v>33181</v>
      </c>
      <c r="U9245" t="s">
        <v>41272</v>
      </c>
      <c r="W9245" t="s">
        <v>31629</v>
      </c>
      <c r="X9245" t="s">
        <v>32540</v>
      </c>
    </row>
    <row r="9246" spans="1:24">
      <c r="A9246">
        <f>HYPERLINK("https://www.philgeps.gov.ph/GEPSNONPILOT/Tender/SplashBidNoticeAbstractUI.aspx?menuIndex=3&amp;refID=7024212&amp;Result=3","7024212")</f>
        <v>0</v>
      </c>
      <c r="B9246" t="s">
        <v>1907</v>
      </c>
      <c r="C9246" t="s">
        <v>11518</v>
      </c>
      <c r="D9246" t="s">
        <v>13061</v>
      </c>
      <c r="E9246" t="s">
        <v>21149</v>
      </c>
      <c r="F9246" t="s">
        <v>22436</v>
      </c>
      <c r="G9246" t="s">
        <v>22444</v>
      </c>
      <c r="H9246" t="s">
        <v>22454</v>
      </c>
      <c r="I9246" t="s">
        <v>7738</v>
      </c>
      <c r="J9246" t="s">
        <v>28433</v>
      </c>
      <c r="K9246" t="s">
        <v>29362</v>
      </c>
      <c r="M9246" t="s">
        <v>31629</v>
      </c>
      <c r="N9246" t="s">
        <v>32524</v>
      </c>
      <c r="O9246" t="s">
        <v>32525</v>
      </c>
      <c r="P9246">
        <v>0</v>
      </c>
      <c r="Q9246">
        <v>0</v>
      </c>
      <c r="R9246" t="s">
        <v>32538</v>
      </c>
      <c r="S9246" t="s">
        <v>32872</v>
      </c>
      <c r="T9246" t="s">
        <v>33181</v>
      </c>
      <c r="U9246" t="s">
        <v>41273</v>
      </c>
      <c r="W9246" t="s">
        <v>31629</v>
      </c>
      <c r="X9246" t="s">
        <v>32540</v>
      </c>
    </row>
    <row r="9247" spans="1:24">
      <c r="A9247">
        <f>HYPERLINK("https://www.philgeps.gov.ph/GEPSNONPILOT/Tender/SplashBidNoticeAbstractUI.aspx?menuIndex=3&amp;refID=7024228&amp;Result=3","7024228")</f>
        <v>0</v>
      </c>
      <c r="B9247" t="s">
        <v>1907</v>
      </c>
      <c r="C9247" t="s">
        <v>11519</v>
      </c>
      <c r="D9247" t="s">
        <v>13061</v>
      </c>
      <c r="E9247" t="s">
        <v>21150</v>
      </c>
      <c r="F9247" t="s">
        <v>22436</v>
      </c>
      <c r="G9247" t="s">
        <v>22444</v>
      </c>
      <c r="H9247" t="s">
        <v>22454</v>
      </c>
      <c r="I9247" t="s">
        <v>7738</v>
      </c>
      <c r="J9247" t="s">
        <v>28434</v>
      </c>
      <c r="K9247" t="s">
        <v>29401</v>
      </c>
      <c r="M9247" t="s">
        <v>31629</v>
      </c>
      <c r="N9247" t="s">
        <v>32524</v>
      </c>
      <c r="O9247" t="s">
        <v>32525</v>
      </c>
      <c r="P9247">
        <v>0</v>
      </c>
      <c r="Q9247">
        <v>1</v>
      </c>
      <c r="R9247" t="s">
        <v>32538</v>
      </c>
      <c r="S9247" t="s">
        <v>32872</v>
      </c>
      <c r="T9247" t="s">
        <v>33181</v>
      </c>
      <c r="U9247" t="s">
        <v>41274</v>
      </c>
      <c r="W9247" t="s">
        <v>31629</v>
      </c>
      <c r="X9247" t="s">
        <v>32540</v>
      </c>
    </row>
    <row r="9248" spans="1:24">
      <c r="A9248">
        <f>HYPERLINK("https://www.philgeps.gov.ph/GEPSNONPILOT/Tender/SplashBidNoticeAbstractUI.aspx?menuIndex=3&amp;refID=7024190&amp;Result=3","7024190")</f>
        <v>0</v>
      </c>
      <c r="B9248" t="s">
        <v>1907</v>
      </c>
      <c r="C9248" t="s">
        <v>11520</v>
      </c>
      <c r="D9248" t="s">
        <v>13061</v>
      </c>
      <c r="E9248" t="s">
        <v>21151</v>
      </c>
      <c r="F9248" t="s">
        <v>22436</v>
      </c>
      <c r="G9248" t="s">
        <v>22444</v>
      </c>
      <c r="H9248" t="s">
        <v>22454</v>
      </c>
      <c r="I9248" t="s">
        <v>7738</v>
      </c>
      <c r="J9248" t="s">
        <v>28435</v>
      </c>
      <c r="K9248" t="s">
        <v>29444</v>
      </c>
      <c r="M9248" t="s">
        <v>31629</v>
      </c>
      <c r="N9248" t="s">
        <v>32524</v>
      </c>
      <c r="O9248" t="s">
        <v>32525</v>
      </c>
      <c r="P9248">
        <v>0</v>
      </c>
      <c r="Q9248">
        <v>0</v>
      </c>
      <c r="R9248" t="s">
        <v>32538</v>
      </c>
      <c r="S9248" t="s">
        <v>32872</v>
      </c>
      <c r="T9248" t="s">
        <v>33181</v>
      </c>
      <c r="U9248" t="s">
        <v>41275</v>
      </c>
      <c r="W9248" t="s">
        <v>31629</v>
      </c>
      <c r="X9248" t="s">
        <v>32540</v>
      </c>
    </row>
    <row r="9249" spans="1:24">
      <c r="A9249">
        <f>HYPERLINK("https://www.philgeps.gov.ph/GEPSNONPILOT/Tender/SplashBidNoticeAbstractUI.aspx?menuIndex=3&amp;refID=7024166&amp;Result=3","7024166")</f>
        <v>0</v>
      </c>
      <c r="B9249" t="s">
        <v>1907</v>
      </c>
      <c r="C9249" t="s">
        <v>11521</v>
      </c>
      <c r="D9249" t="s">
        <v>13061</v>
      </c>
      <c r="E9249" t="s">
        <v>21152</v>
      </c>
      <c r="F9249" t="s">
        <v>22436</v>
      </c>
      <c r="G9249" t="s">
        <v>22444</v>
      </c>
      <c r="H9249" t="s">
        <v>22454</v>
      </c>
      <c r="I9249" t="s">
        <v>7738</v>
      </c>
      <c r="J9249" t="s">
        <v>28436</v>
      </c>
      <c r="K9249" t="s">
        <v>29333</v>
      </c>
      <c r="M9249" t="s">
        <v>31629</v>
      </c>
      <c r="N9249" t="s">
        <v>32524</v>
      </c>
      <c r="O9249" t="s">
        <v>32525</v>
      </c>
      <c r="P9249">
        <v>0</v>
      </c>
      <c r="Q9249">
        <v>0</v>
      </c>
      <c r="R9249" t="s">
        <v>32538</v>
      </c>
      <c r="S9249" t="s">
        <v>32872</v>
      </c>
      <c r="T9249" t="s">
        <v>33181</v>
      </c>
      <c r="U9249" t="s">
        <v>41276</v>
      </c>
      <c r="W9249" t="s">
        <v>31629</v>
      </c>
      <c r="X9249" t="s">
        <v>32540</v>
      </c>
    </row>
    <row r="9250" spans="1:24">
      <c r="A9250">
        <f>HYPERLINK("https://www.philgeps.gov.ph/GEPSNONPILOT/Tender/SplashBidNoticeAbstractUI.aspx?menuIndex=3&amp;refID=7024198&amp;Result=3","7024198")</f>
        <v>0</v>
      </c>
      <c r="B9250" t="s">
        <v>1907</v>
      </c>
      <c r="C9250" t="s">
        <v>11522</v>
      </c>
      <c r="D9250" t="s">
        <v>13061</v>
      </c>
      <c r="E9250" t="s">
        <v>21153</v>
      </c>
      <c r="F9250" t="s">
        <v>22436</v>
      </c>
      <c r="G9250" t="s">
        <v>22444</v>
      </c>
      <c r="H9250" t="s">
        <v>22454</v>
      </c>
      <c r="I9250" t="s">
        <v>7738</v>
      </c>
      <c r="J9250" t="s">
        <v>28437</v>
      </c>
      <c r="K9250" t="s">
        <v>29333</v>
      </c>
      <c r="M9250" t="s">
        <v>31629</v>
      </c>
      <c r="N9250" t="s">
        <v>32524</v>
      </c>
      <c r="O9250" t="s">
        <v>32525</v>
      </c>
      <c r="P9250">
        <v>0</v>
      </c>
      <c r="Q9250">
        <v>0</v>
      </c>
      <c r="R9250" t="s">
        <v>32538</v>
      </c>
      <c r="S9250" t="s">
        <v>32872</v>
      </c>
      <c r="T9250" t="s">
        <v>33181</v>
      </c>
      <c r="U9250" t="s">
        <v>41277</v>
      </c>
      <c r="W9250" t="s">
        <v>31629</v>
      </c>
      <c r="X9250" t="s">
        <v>32540</v>
      </c>
    </row>
    <row r="9251" spans="1:24">
      <c r="A9251">
        <f>HYPERLINK("https://www.philgeps.gov.ph/GEPSNONPILOT/Tender/SplashBidNoticeAbstractUI.aspx?menuIndex=3&amp;refID=7024280&amp;Result=3","7024280")</f>
        <v>0</v>
      </c>
      <c r="B9251" t="s">
        <v>946</v>
      </c>
      <c r="C9251" t="s">
        <v>11523</v>
      </c>
      <c r="D9251" t="s">
        <v>13060</v>
      </c>
      <c r="E9251" t="s">
        <v>21154</v>
      </c>
      <c r="F9251" t="s">
        <v>22436</v>
      </c>
      <c r="G9251" t="s">
        <v>22444</v>
      </c>
      <c r="H9251" t="s">
        <v>22455</v>
      </c>
      <c r="I9251" t="s">
        <v>22455</v>
      </c>
      <c r="J9251" t="s">
        <v>28438</v>
      </c>
      <c r="K9251" t="s">
        <v>29449</v>
      </c>
      <c r="M9251" t="s">
        <v>30560</v>
      </c>
      <c r="N9251" t="s">
        <v>32524</v>
      </c>
      <c r="O9251" t="s">
        <v>32525</v>
      </c>
      <c r="P9251">
        <v>0</v>
      </c>
      <c r="Q9251">
        <v>3</v>
      </c>
      <c r="R9251" t="s">
        <v>32538</v>
      </c>
      <c r="S9251" t="s">
        <v>32872</v>
      </c>
      <c r="T9251" t="s">
        <v>33168</v>
      </c>
      <c r="U9251" t="s">
        <v>41278</v>
      </c>
      <c r="W9251" t="s">
        <v>30560</v>
      </c>
      <c r="X9251" t="s">
        <v>32539</v>
      </c>
    </row>
    <row r="9252" spans="1:24">
      <c r="A9252">
        <f>HYPERLINK("https://www.philgeps.gov.ph/GEPSNONPILOT/Tender/SplashBidNoticeAbstractUI.aspx?menuIndex=3&amp;refID=7024235&amp;Result=3","7024235")</f>
        <v>0</v>
      </c>
      <c r="B9252" t="s">
        <v>1907</v>
      </c>
      <c r="C9252" t="s">
        <v>11524</v>
      </c>
      <c r="D9252" t="s">
        <v>13061</v>
      </c>
      <c r="E9252" t="s">
        <v>21155</v>
      </c>
      <c r="F9252" t="s">
        <v>22436</v>
      </c>
      <c r="G9252" t="s">
        <v>22444</v>
      </c>
      <c r="H9252" t="s">
        <v>22454</v>
      </c>
      <c r="I9252" t="s">
        <v>7738</v>
      </c>
      <c r="J9252" t="s">
        <v>28439</v>
      </c>
      <c r="K9252" t="s">
        <v>29413</v>
      </c>
      <c r="M9252" t="s">
        <v>31629</v>
      </c>
      <c r="N9252" t="s">
        <v>32524</v>
      </c>
      <c r="O9252" t="s">
        <v>32525</v>
      </c>
      <c r="P9252">
        <v>0</v>
      </c>
      <c r="Q9252">
        <v>1</v>
      </c>
      <c r="R9252" t="s">
        <v>32538</v>
      </c>
      <c r="S9252" t="s">
        <v>32872</v>
      </c>
      <c r="T9252" t="s">
        <v>33181</v>
      </c>
      <c r="U9252" t="s">
        <v>41279</v>
      </c>
      <c r="W9252" t="s">
        <v>31629</v>
      </c>
      <c r="X9252" t="s">
        <v>32540</v>
      </c>
    </row>
    <row r="9253" spans="1:24">
      <c r="A9253">
        <f>HYPERLINK("https://www.philgeps.gov.ph/GEPSNONPILOT/Tender/SplashBidNoticeAbstractUI.aspx?menuIndex=3&amp;refID=7024279&amp;Result=3","7024279")</f>
        <v>0</v>
      </c>
      <c r="B9253" t="s">
        <v>946</v>
      </c>
      <c r="C9253" t="s">
        <v>11525</v>
      </c>
      <c r="D9253" t="s">
        <v>13060</v>
      </c>
      <c r="E9253" t="s">
        <v>21156</v>
      </c>
      <c r="F9253" t="s">
        <v>22436</v>
      </c>
      <c r="G9253" t="s">
        <v>22444</v>
      </c>
      <c r="H9253" t="s">
        <v>22455</v>
      </c>
      <c r="I9253" t="s">
        <v>22455</v>
      </c>
      <c r="J9253" t="s">
        <v>28440</v>
      </c>
      <c r="K9253" t="s">
        <v>29344</v>
      </c>
      <c r="M9253" t="s">
        <v>30560</v>
      </c>
      <c r="N9253" t="s">
        <v>32524</v>
      </c>
      <c r="O9253" t="s">
        <v>32525</v>
      </c>
      <c r="P9253">
        <v>0</v>
      </c>
      <c r="Q9253">
        <v>3</v>
      </c>
      <c r="R9253" t="s">
        <v>32538</v>
      </c>
      <c r="S9253" t="s">
        <v>32872</v>
      </c>
      <c r="T9253" t="s">
        <v>33168</v>
      </c>
      <c r="U9253" t="s">
        <v>41278</v>
      </c>
      <c r="W9253" t="s">
        <v>30560</v>
      </c>
      <c r="X9253" t="s">
        <v>32539</v>
      </c>
    </row>
    <row r="9254" spans="1:24">
      <c r="A9254">
        <f>HYPERLINK("https://www.philgeps.gov.ph/GEPSNONPILOT/Tender/SplashBidNoticeAbstractUI.aspx?menuIndex=3&amp;refID=7024180&amp;Result=3","7024180")</f>
        <v>0</v>
      </c>
      <c r="B9254" t="s">
        <v>1907</v>
      </c>
      <c r="C9254" t="s">
        <v>11526</v>
      </c>
      <c r="D9254" t="s">
        <v>13061</v>
      </c>
      <c r="E9254" t="s">
        <v>21157</v>
      </c>
      <c r="F9254" t="s">
        <v>22436</v>
      </c>
      <c r="G9254" t="s">
        <v>22444</v>
      </c>
      <c r="H9254" t="s">
        <v>22454</v>
      </c>
      <c r="I9254" t="s">
        <v>7738</v>
      </c>
      <c r="J9254" t="s">
        <v>28441</v>
      </c>
      <c r="K9254" t="s">
        <v>29333</v>
      </c>
      <c r="M9254" t="s">
        <v>31629</v>
      </c>
      <c r="N9254" t="s">
        <v>32524</v>
      </c>
      <c r="O9254" t="s">
        <v>32525</v>
      </c>
      <c r="P9254">
        <v>0</v>
      </c>
      <c r="Q9254">
        <v>0</v>
      </c>
      <c r="R9254" t="s">
        <v>32538</v>
      </c>
      <c r="S9254" t="s">
        <v>32872</v>
      </c>
      <c r="T9254" t="s">
        <v>33181</v>
      </c>
      <c r="U9254" t="s">
        <v>41280</v>
      </c>
      <c r="W9254" t="s">
        <v>31629</v>
      </c>
      <c r="X9254" t="s">
        <v>32540</v>
      </c>
    </row>
    <row r="9255" spans="1:24">
      <c r="A9255">
        <f>HYPERLINK("https://www.philgeps.gov.ph/GEPSNONPILOT/Tender/SplashBidNoticeAbstractUI.aspx?menuIndex=3&amp;refID=7024232&amp;Result=3","7024232")</f>
        <v>0</v>
      </c>
      <c r="B9255" t="s">
        <v>1907</v>
      </c>
      <c r="C9255" t="s">
        <v>11527</v>
      </c>
      <c r="D9255" t="s">
        <v>13061</v>
      </c>
      <c r="E9255" t="s">
        <v>21158</v>
      </c>
      <c r="F9255" t="s">
        <v>22436</v>
      </c>
      <c r="G9255" t="s">
        <v>22444</v>
      </c>
      <c r="H9255" t="s">
        <v>22454</v>
      </c>
      <c r="I9255" t="s">
        <v>7738</v>
      </c>
      <c r="J9255" t="s">
        <v>28442</v>
      </c>
      <c r="K9255" t="s">
        <v>29447</v>
      </c>
      <c r="M9255" t="s">
        <v>31629</v>
      </c>
      <c r="N9255" t="s">
        <v>32524</v>
      </c>
      <c r="O9255" t="s">
        <v>32525</v>
      </c>
      <c r="P9255">
        <v>0</v>
      </c>
      <c r="Q9255">
        <v>1</v>
      </c>
      <c r="R9255" t="s">
        <v>32538</v>
      </c>
      <c r="S9255" t="s">
        <v>32872</v>
      </c>
      <c r="T9255" t="s">
        <v>33181</v>
      </c>
      <c r="U9255" t="s">
        <v>41281</v>
      </c>
      <c r="W9255" t="s">
        <v>31629</v>
      </c>
      <c r="X9255" t="s">
        <v>32540</v>
      </c>
    </row>
    <row r="9256" spans="1:24">
      <c r="A9256">
        <f>HYPERLINK("https://www.philgeps.gov.ph/GEPSNONPILOT/Tender/SplashBidNoticeAbstractUI.aspx?menuIndex=3&amp;refID=7024281&amp;Result=3","7024281")</f>
        <v>0</v>
      </c>
      <c r="B9256" t="s">
        <v>946</v>
      </c>
      <c r="C9256" t="s">
        <v>11528</v>
      </c>
      <c r="D9256" t="s">
        <v>13060</v>
      </c>
      <c r="E9256" t="s">
        <v>21159</v>
      </c>
      <c r="F9256" t="s">
        <v>22436</v>
      </c>
      <c r="G9256" t="s">
        <v>22444</v>
      </c>
      <c r="H9256" t="s">
        <v>22455</v>
      </c>
      <c r="I9256" t="s">
        <v>22455</v>
      </c>
      <c r="J9256" t="s">
        <v>28443</v>
      </c>
      <c r="K9256" t="s">
        <v>29335</v>
      </c>
      <c r="M9256" t="s">
        <v>30560</v>
      </c>
      <c r="N9256" t="s">
        <v>32524</v>
      </c>
      <c r="O9256" t="s">
        <v>32525</v>
      </c>
      <c r="Q9256">
        <v>2</v>
      </c>
      <c r="R9256" t="s">
        <v>32538</v>
      </c>
      <c r="S9256" t="s">
        <v>32670</v>
      </c>
      <c r="T9256" t="s">
        <v>33161</v>
      </c>
      <c r="U9256" t="s">
        <v>41278</v>
      </c>
      <c r="W9256" t="s">
        <v>30560</v>
      </c>
      <c r="X9256" t="s">
        <v>32539</v>
      </c>
    </row>
    <row r="9257" spans="1:24">
      <c r="A9257">
        <f>HYPERLINK("https://www.philgeps.gov.ph/GEPSNONPILOT/Tender/SplashBidNoticeAbstractUI.aspx?menuIndex=3&amp;refID=7024237&amp;Result=3","7024237")</f>
        <v>0</v>
      </c>
      <c r="B9257" t="s">
        <v>1907</v>
      </c>
      <c r="C9257" t="s">
        <v>11529</v>
      </c>
      <c r="D9257" t="s">
        <v>13061</v>
      </c>
      <c r="E9257" t="s">
        <v>21160</v>
      </c>
      <c r="F9257" t="s">
        <v>22436</v>
      </c>
      <c r="G9257" t="s">
        <v>22444</v>
      </c>
      <c r="H9257" t="s">
        <v>22454</v>
      </c>
      <c r="I9257" t="s">
        <v>7738</v>
      </c>
      <c r="J9257" t="s">
        <v>28444</v>
      </c>
      <c r="K9257" t="s">
        <v>29403</v>
      </c>
      <c r="M9257" t="s">
        <v>31629</v>
      </c>
      <c r="N9257" t="s">
        <v>32524</v>
      </c>
      <c r="O9257" t="s">
        <v>32525</v>
      </c>
      <c r="P9257">
        <v>0</v>
      </c>
      <c r="Q9257">
        <v>0</v>
      </c>
      <c r="R9257" t="s">
        <v>32538</v>
      </c>
      <c r="S9257" t="s">
        <v>32872</v>
      </c>
      <c r="T9257" t="s">
        <v>33181</v>
      </c>
      <c r="U9257" t="s">
        <v>41282</v>
      </c>
      <c r="W9257" t="s">
        <v>31629</v>
      </c>
      <c r="X9257" t="s">
        <v>32540</v>
      </c>
    </row>
    <row r="9258" spans="1:24">
      <c r="A9258">
        <f>HYPERLINK("https://www.philgeps.gov.ph/GEPSNONPILOT/Tender/SplashBidNoticeAbstractUI.aspx?menuIndex=3&amp;refID=7024304&amp;Result=3","7024304")</f>
        <v>0</v>
      </c>
      <c r="B9258" t="s">
        <v>2347</v>
      </c>
      <c r="C9258" t="s">
        <v>11530</v>
      </c>
      <c r="D9258" t="s">
        <v>13031</v>
      </c>
      <c r="E9258" t="s">
        <v>21161</v>
      </c>
      <c r="F9258" t="s">
        <v>22436</v>
      </c>
      <c r="G9258" t="s">
        <v>22444</v>
      </c>
      <c r="H9258" t="s">
        <v>22454</v>
      </c>
      <c r="I9258" t="s">
        <v>7738</v>
      </c>
      <c r="J9258" t="s">
        <v>28445</v>
      </c>
      <c r="K9258" t="s">
        <v>29562</v>
      </c>
      <c r="M9258" t="s">
        <v>32125</v>
      </c>
      <c r="N9258" t="s">
        <v>32524</v>
      </c>
      <c r="O9258" t="s">
        <v>32525</v>
      </c>
      <c r="P9258">
        <v>0</v>
      </c>
      <c r="Q9258">
        <v>5</v>
      </c>
      <c r="R9258" t="s">
        <v>32538</v>
      </c>
      <c r="S9258" t="s">
        <v>32872</v>
      </c>
      <c r="T9258" t="s">
        <v>33484</v>
      </c>
      <c r="U9258" t="s">
        <v>41283</v>
      </c>
      <c r="V9258" t="s">
        <v>43456</v>
      </c>
      <c r="W9258" t="s">
        <v>43755</v>
      </c>
      <c r="X9258" t="s">
        <v>32539</v>
      </c>
    </row>
    <row r="9259" spans="1:24">
      <c r="A9259">
        <f>HYPERLINK("https://www.philgeps.gov.ph/GEPSNONPILOT/Tender/SplashBidNoticeAbstractUI.aspx?menuIndex=3&amp;refID=7024340&amp;Result=3","7024340")</f>
        <v>0</v>
      </c>
      <c r="B9259" t="s">
        <v>2347</v>
      </c>
      <c r="C9259" t="s">
        <v>11531</v>
      </c>
      <c r="D9259" t="s">
        <v>13031</v>
      </c>
      <c r="E9259" t="s">
        <v>21162</v>
      </c>
      <c r="F9259" t="s">
        <v>22436</v>
      </c>
      <c r="G9259" t="s">
        <v>22444</v>
      </c>
      <c r="H9259" t="s">
        <v>22454</v>
      </c>
      <c r="I9259" t="s">
        <v>7738</v>
      </c>
      <c r="J9259" t="s">
        <v>28446</v>
      </c>
      <c r="K9259" t="s">
        <v>29380</v>
      </c>
      <c r="M9259" t="s">
        <v>32125</v>
      </c>
      <c r="N9259" t="s">
        <v>32524</v>
      </c>
      <c r="O9259" t="s">
        <v>32525</v>
      </c>
      <c r="P9259">
        <v>0</v>
      </c>
      <c r="Q9259">
        <v>4</v>
      </c>
      <c r="R9259" t="s">
        <v>32538</v>
      </c>
      <c r="S9259" t="s">
        <v>32872</v>
      </c>
      <c r="T9259" t="s">
        <v>33409</v>
      </c>
      <c r="U9259" t="s">
        <v>41284</v>
      </c>
      <c r="V9259" t="s">
        <v>43456</v>
      </c>
      <c r="W9259" t="s">
        <v>43755</v>
      </c>
      <c r="X9259" t="s">
        <v>32539</v>
      </c>
    </row>
    <row r="9260" spans="1:24">
      <c r="A9260">
        <f>HYPERLINK("https://www.philgeps.gov.ph/GEPSNONPILOT/Tender/SplashBidNoticeAbstractUI.aspx?menuIndex=3&amp;refID=7024310&amp;Result=3","7024310")</f>
        <v>0</v>
      </c>
      <c r="B9260" t="s">
        <v>2347</v>
      </c>
      <c r="C9260" t="s">
        <v>11532</v>
      </c>
      <c r="D9260" t="s">
        <v>13031</v>
      </c>
      <c r="E9260" t="s">
        <v>21163</v>
      </c>
      <c r="F9260" t="s">
        <v>22436</v>
      </c>
      <c r="G9260" t="s">
        <v>22444</v>
      </c>
      <c r="H9260" t="s">
        <v>22454</v>
      </c>
      <c r="I9260" t="s">
        <v>7738</v>
      </c>
      <c r="J9260" t="s">
        <v>27952</v>
      </c>
      <c r="K9260" t="s">
        <v>29471</v>
      </c>
      <c r="M9260" t="s">
        <v>32125</v>
      </c>
      <c r="N9260" t="s">
        <v>32524</v>
      </c>
      <c r="O9260" t="s">
        <v>32525</v>
      </c>
      <c r="P9260">
        <v>0</v>
      </c>
      <c r="Q9260">
        <v>4</v>
      </c>
      <c r="R9260" t="s">
        <v>32538</v>
      </c>
      <c r="S9260" t="s">
        <v>32872</v>
      </c>
      <c r="T9260" t="s">
        <v>33484</v>
      </c>
      <c r="U9260" t="s">
        <v>41285</v>
      </c>
      <c r="V9260" t="s">
        <v>43456</v>
      </c>
      <c r="W9260" t="s">
        <v>43755</v>
      </c>
      <c r="X9260" t="s">
        <v>32539</v>
      </c>
    </row>
    <row r="9261" spans="1:24">
      <c r="A9261">
        <f>HYPERLINK("https://www.philgeps.gov.ph/GEPSNONPILOT/Tender/SplashBidNoticeAbstractUI.aspx?menuIndex=3&amp;refID=7024305&amp;Result=3","7024305")</f>
        <v>0</v>
      </c>
      <c r="B9261" t="s">
        <v>254</v>
      </c>
      <c r="C9261" t="s">
        <v>11533</v>
      </c>
      <c r="D9261" t="s">
        <v>13048</v>
      </c>
      <c r="E9261" t="s">
        <v>21164</v>
      </c>
      <c r="F9261" t="s">
        <v>22436</v>
      </c>
      <c r="G9261" t="s">
        <v>22444</v>
      </c>
      <c r="H9261" t="s">
        <v>22454</v>
      </c>
      <c r="I9261" t="s">
        <v>7738</v>
      </c>
      <c r="J9261" t="s">
        <v>24431</v>
      </c>
      <c r="K9261" t="s">
        <v>29333</v>
      </c>
      <c r="M9261" t="s">
        <v>29828</v>
      </c>
      <c r="N9261" t="s">
        <v>32524</v>
      </c>
      <c r="O9261" t="s">
        <v>32525</v>
      </c>
      <c r="P9261">
        <v>0</v>
      </c>
      <c r="Q9261">
        <v>1</v>
      </c>
      <c r="R9261" t="s">
        <v>32538</v>
      </c>
      <c r="S9261" t="s">
        <v>32872</v>
      </c>
      <c r="T9261" t="s">
        <v>33181</v>
      </c>
      <c r="U9261" t="s">
        <v>41286</v>
      </c>
      <c r="W9261" t="s">
        <v>29828</v>
      </c>
      <c r="X9261" t="s">
        <v>32539</v>
      </c>
    </row>
    <row r="9262" spans="1:24">
      <c r="A9262">
        <f>HYPERLINK("https://www.philgeps.gov.ph/GEPSNONPILOT/Tender/SplashBidNoticeAbstractUI.aspx?menuIndex=3&amp;refID=7024317&amp;Result=3","7024317")</f>
        <v>0</v>
      </c>
      <c r="B9262" t="s">
        <v>2347</v>
      </c>
      <c r="C9262" t="s">
        <v>11534</v>
      </c>
      <c r="D9262" t="s">
        <v>13031</v>
      </c>
      <c r="E9262" t="s">
        <v>21165</v>
      </c>
      <c r="F9262" t="s">
        <v>22436</v>
      </c>
      <c r="G9262" t="s">
        <v>22444</v>
      </c>
      <c r="H9262" t="s">
        <v>22454</v>
      </c>
      <c r="I9262" t="s">
        <v>7738</v>
      </c>
      <c r="J9262" t="s">
        <v>27952</v>
      </c>
      <c r="K9262" t="s">
        <v>29346</v>
      </c>
      <c r="M9262" t="s">
        <v>32125</v>
      </c>
      <c r="N9262" t="s">
        <v>32524</v>
      </c>
      <c r="O9262" t="s">
        <v>32525</v>
      </c>
      <c r="P9262">
        <v>0</v>
      </c>
      <c r="Q9262">
        <v>4</v>
      </c>
      <c r="R9262" t="s">
        <v>32538</v>
      </c>
      <c r="S9262" t="s">
        <v>32872</v>
      </c>
      <c r="T9262" t="s">
        <v>33484</v>
      </c>
      <c r="U9262" t="s">
        <v>41287</v>
      </c>
      <c r="V9262" t="s">
        <v>43456</v>
      </c>
      <c r="W9262" t="s">
        <v>43755</v>
      </c>
      <c r="X9262" t="s">
        <v>32539</v>
      </c>
    </row>
    <row r="9263" spans="1:24">
      <c r="A9263">
        <f>HYPERLINK("https://www.philgeps.gov.ph/GEPSNONPILOT/Tender/SplashBidNoticeAbstractUI.aspx?menuIndex=3&amp;refID=7024328&amp;Result=3","7024328")</f>
        <v>0</v>
      </c>
      <c r="B9263" t="s">
        <v>1580</v>
      </c>
      <c r="C9263" t="s">
        <v>11535</v>
      </c>
      <c r="D9263" t="s">
        <v>13006</v>
      </c>
      <c r="E9263" t="s">
        <v>13320</v>
      </c>
      <c r="F9263" t="s">
        <v>22436</v>
      </c>
      <c r="G9263" t="s">
        <v>22444</v>
      </c>
      <c r="H9263" t="s">
        <v>22452</v>
      </c>
      <c r="I9263" t="s">
        <v>3529</v>
      </c>
      <c r="J9263" t="s">
        <v>26596</v>
      </c>
      <c r="K9263" t="s">
        <v>29341</v>
      </c>
      <c r="M9263" t="s">
        <v>31262</v>
      </c>
      <c r="N9263" t="s">
        <v>32524</v>
      </c>
      <c r="O9263" t="s">
        <v>32525</v>
      </c>
      <c r="P9263">
        <v>0</v>
      </c>
      <c r="Q9263">
        <v>0</v>
      </c>
      <c r="R9263" t="s">
        <v>32538</v>
      </c>
      <c r="S9263" t="s">
        <v>32872</v>
      </c>
      <c r="T9263" t="s">
        <v>33177</v>
      </c>
      <c r="U9263" t="s">
        <v>37869</v>
      </c>
      <c r="W9263" t="s">
        <v>31262</v>
      </c>
      <c r="X9263" t="s">
        <v>32539</v>
      </c>
    </row>
    <row r="9264" spans="1:24">
      <c r="A9264">
        <f>HYPERLINK("https://www.philgeps.gov.ph/GEPSNONPILOT/Tender/SplashBidNoticeAbstractUI.aspx?menuIndex=3&amp;refID=7024412&amp;Result=3","7024412")</f>
        <v>0</v>
      </c>
      <c r="B9264" t="s">
        <v>2509</v>
      </c>
      <c r="C9264" t="s">
        <v>11536</v>
      </c>
      <c r="D9264" t="s">
        <v>13000</v>
      </c>
      <c r="E9264" t="s">
        <v>21166</v>
      </c>
      <c r="F9264" t="s">
        <v>22436</v>
      </c>
      <c r="G9264" t="s">
        <v>22444</v>
      </c>
      <c r="H9264" t="s">
        <v>22452</v>
      </c>
      <c r="I9264" t="s">
        <v>22474</v>
      </c>
      <c r="J9264" t="s">
        <v>23051</v>
      </c>
      <c r="K9264" t="s">
        <v>29330</v>
      </c>
      <c r="M9264" t="s">
        <v>32316</v>
      </c>
      <c r="N9264" t="s">
        <v>32524</v>
      </c>
      <c r="O9264" t="s">
        <v>32525</v>
      </c>
      <c r="P9264">
        <v>0</v>
      </c>
      <c r="Q9264">
        <v>6</v>
      </c>
      <c r="R9264" t="s">
        <v>32538</v>
      </c>
      <c r="S9264" t="s">
        <v>32872</v>
      </c>
      <c r="T9264" t="s">
        <v>33230</v>
      </c>
      <c r="U9264" t="s">
        <v>41288</v>
      </c>
      <c r="V9264" t="s">
        <v>43457</v>
      </c>
      <c r="W9264" t="s">
        <v>32316</v>
      </c>
      <c r="X9264" t="s">
        <v>32539</v>
      </c>
    </row>
    <row r="9265" spans="1:24">
      <c r="A9265">
        <f>HYPERLINK("https://www.philgeps.gov.ph/GEPSNONPILOT/Tender/SplashBidNoticeAbstractUI.aspx?menuIndex=3&amp;refID=7024401&amp;Result=3","7024401")</f>
        <v>0</v>
      </c>
      <c r="B9265" t="s">
        <v>348</v>
      </c>
      <c r="C9265" t="s">
        <v>11537</v>
      </c>
      <c r="D9265" t="s">
        <v>13038</v>
      </c>
      <c r="E9265" t="s">
        <v>21167</v>
      </c>
      <c r="F9265" t="s">
        <v>22436</v>
      </c>
      <c r="G9265" t="s">
        <v>22444</v>
      </c>
      <c r="H9265" t="s">
        <v>22454</v>
      </c>
      <c r="I9265" t="s">
        <v>7738</v>
      </c>
      <c r="J9265" t="s">
        <v>28447</v>
      </c>
      <c r="K9265" t="s">
        <v>29493</v>
      </c>
      <c r="M9265" t="s">
        <v>31320</v>
      </c>
      <c r="N9265" t="s">
        <v>32524</v>
      </c>
      <c r="O9265" t="s">
        <v>32525</v>
      </c>
      <c r="P9265">
        <v>0</v>
      </c>
      <c r="Q9265">
        <v>1</v>
      </c>
      <c r="R9265" t="s">
        <v>32538</v>
      </c>
      <c r="S9265" t="s">
        <v>32872</v>
      </c>
      <c r="T9265" t="s">
        <v>33312</v>
      </c>
      <c r="U9265" t="s">
        <v>41289</v>
      </c>
      <c r="W9265" t="s">
        <v>31320</v>
      </c>
      <c r="X9265" t="s">
        <v>32539</v>
      </c>
    </row>
    <row r="9266" spans="1:24">
      <c r="A9266">
        <f>HYPERLINK("https://www.philgeps.gov.ph/GEPSNONPILOT/Tender/SplashBidNoticeAbstractUI.aspx?menuIndex=3&amp;refID=7024397&amp;Result=3","7024397")</f>
        <v>0</v>
      </c>
      <c r="B9266" t="s">
        <v>373</v>
      </c>
      <c r="C9266" t="s">
        <v>11538</v>
      </c>
      <c r="D9266" t="s">
        <v>13045</v>
      </c>
      <c r="E9266" t="s">
        <v>21168</v>
      </c>
      <c r="F9266" t="s">
        <v>22436</v>
      </c>
      <c r="G9266" t="s">
        <v>22444</v>
      </c>
      <c r="H9266" t="s">
        <v>22454</v>
      </c>
      <c r="I9266" t="s">
        <v>7738</v>
      </c>
      <c r="J9266" t="s">
        <v>28448</v>
      </c>
      <c r="K9266" t="s">
        <v>29338</v>
      </c>
      <c r="M9266" t="s">
        <v>29951</v>
      </c>
      <c r="N9266" t="s">
        <v>32524</v>
      </c>
      <c r="O9266" t="s">
        <v>32525</v>
      </c>
      <c r="P9266">
        <v>0</v>
      </c>
      <c r="Q9266">
        <v>3</v>
      </c>
      <c r="R9266" t="s">
        <v>32538</v>
      </c>
      <c r="S9266" t="s">
        <v>32872</v>
      </c>
      <c r="T9266" t="s">
        <v>33278</v>
      </c>
      <c r="U9266" t="s">
        <v>41290</v>
      </c>
      <c r="W9266" t="s">
        <v>29951</v>
      </c>
      <c r="X9266" t="s">
        <v>32539</v>
      </c>
    </row>
    <row r="9267" spans="1:24">
      <c r="A9267">
        <f>HYPERLINK("https://www.philgeps.gov.ph/GEPSNONPILOT/Tender/SplashBidNoticeAbstractUI.aspx?menuIndex=3&amp;refID=7024346&amp;Result=3","7024346")</f>
        <v>0</v>
      </c>
      <c r="B9267" t="s">
        <v>768</v>
      </c>
      <c r="C9267" t="s">
        <v>11539</v>
      </c>
      <c r="D9267" t="s">
        <v>13046</v>
      </c>
      <c r="E9267" t="s">
        <v>21169</v>
      </c>
      <c r="F9267" t="s">
        <v>22436</v>
      </c>
      <c r="G9267" t="s">
        <v>22444</v>
      </c>
      <c r="H9267" t="s">
        <v>22452</v>
      </c>
      <c r="I9267" t="s">
        <v>22474</v>
      </c>
      <c r="J9267" t="s">
        <v>24189</v>
      </c>
      <c r="K9267" t="s">
        <v>29336</v>
      </c>
      <c r="L9267" t="s">
        <v>768</v>
      </c>
      <c r="M9267" t="s">
        <v>30369</v>
      </c>
      <c r="N9267" t="s">
        <v>32524</v>
      </c>
      <c r="O9267" t="s">
        <v>32525</v>
      </c>
      <c r="P9267">
        <v>0</v>
      </c>
      <c r="Q9267">
        <v>3</v>
      </c>
      <c r="R9267" t="s">
        <v>32538</v>
      </c>
      <c r="S9267" t="s">
        <v>32872</v>
      </c>
      <c r="T9267" t="s">
        <v>33186</v>
      </c>
      <c r="U9267" t="s">
        <v>41291</v>
      </c>
      <c r="V9267" t="s">
        <v>43244</v>
      </c>
      <c r="W9267" t="s">
        <v>30369</v>
      </c>
      <c r="X9267" t="s">
        <v>32539</v>
      </c>
    </row>
    <row r="9268" spans="1:24">
      <c r="A9268">
        <f>HYPERLINK("https://www.philgeps.gov.ph/GEPSNONPILOT/Tender/SplashBidNoticeAbstractUI.aspx?menuIndex=3&amp;refID=7024390&amp;Result=3","7024390")</f>
        <v>0</v>
      </c>
      <c r="B9268" t="s">
        <v>2347</v>
      </c>
      <c r="C9268" t="s">
        <v>11540</v>
      </c>
      <c r="E9268" t="s">
        <v>21170</v>
      </c>
      <c r="F9268" t="s">
        <v>22436</v>
      </c>
      <c r="G9268" t="s">
        <v>22444</v>
      </c>
      <c r="H9268" t="s">
        <v>22454</v>
      </c>
      <c r="I9268" t="s">
        <v>7738</v>
      </c>
      <c r="J9268" t="s">
        <v>28449</v>
      </c>
      <c r="K9268" t="s">
        <v>29467</v>
      </c>
      <c r="M9268" t="s">
        <v>32125</v>
      </c>
      <c r="N9268" t="s">
        <v>32524</v>
      </c>
      <c r="O9268" t="s">
        <v>32525</v>
      </c>
      <c r="P9268">
        <v>0</v>
      </c>
      <c r="Q9268">
        <v>5</v>
      </c>
      <c r="R9268" t="s">
        <v>32538</v>
      </c>
      <c r="S9268" t="s">
        <v>32872</v>
      </c>
      <c r="T9268" t="s">
        <v>33409</v>
      </c>
      <c r="U9268" t="s">
        <v>41292</v>
      </c>
      <c r="V9268" t="s">
        <v>43456</v>
      </c>
      <c r="W9268" t="s">
        <v>43755</v>
      </c>
      <c r="X9268" t="s">
        <v>32539</v>
      </c>
    </row>
    <row r="9269" spans="1:24">
      <c r="A9269">
        <f>HYPERLINK("https://www.philgeps.gov.ph/GEPSNONPILOT/Tender/SplashBidNoticeAbstractUI.aspx?menuIndex=3&amp;refID=7024383&amp;Result=3","7024383")</f>
        <v>0</v>
      </c>
      <c r="B9269" t="s">
        <v>2411</v>
      </c>
      <c r="C9269" t="s">
        <v>11541</v>
      </c>
      <c r="D9269" t="s">
        <v>13060</v>
      </c>
      <c r="E9269" t="s">
        <v>21171</v>
      </c>
      <c r="F9269" t="s">
        <v>22436</v>
      </c>
      <c r="G9269" t="s">
        <v>22443</v>
      </c>
      <c r="H9269" t="s">
        <v>22452</v>
      </c>
      <c r="I9269" t="s">
        <v>2981</v>
      </c>
      <c r="J9269" t="s">
        <v>23191</v>
      </c>
      <c r="K9269" t="s">
        <v>29335</v>
      </c>
      <c r="M9269" t="s">
        <v>32209</v>
      </c>
      <c r="N9269" t="s">
        <v>32524</v>
      </c>
      <c r="O9269" t="s">
        <v>32525</v>
      </c>
      <c r="Q9269">
        <v>0</v>
      </c>
      <c r="R9269" t="s">
        <v>32538</v>
      </c>
      <c r="S9269" t="s">
        <v>32898</v>
      </c>
      <c r="T9269" t="s">
        <v>33169</v>
      </c>
      <c r="U9269" t="s">
        <v>40647</v>
      </c>
      <c r="V9269" t="s">
        <v>43371</v>
      </c>
      <c r="W9269" t="s">
        <v>32209</v>
      </c>
      <c r="X9269" t="s">
        <v>32539</v>
      </c>
    </row>
    <row r="9270" spans="1:24">
      <c r="A9270">
        <f>HYPERLINK("https://www.philgeps.gov.ph/GEPSNONPILOT/Tender/SplashBidNoticeAbstractUI.aspx?menuIndex=3&amp;refID=7024320&amp;Result=3","7024320")</f>
        <v>0</v>
      </c>
      <c r="B9270" t="s">
        <v>1580</v>
      </c>
      <c r="C9270" t="s">
        <v>11542</v>
      </c>
      <c r="D9270" t="s">
        <v>13006</v>
      </c>
      <c r="E9270" t="s">
        <v>14018</v>
      </c>
      <c r="F9270" t="s">
        <v>22436</v>
      </c>
      <c r="G9270" t="s">
        <v>22444</v>
      </c>
      <c r="H9270" t="s">
        <v>22452</v>
      </c>
      <c r="I9270" t="s">
        <v>3529</v>
      </c>
      <c r="J9270" t="s">
        <v>28450</v>
      </c>
      <c r="K9270" t="s">
        <v>29341</v>
      </c>
      <c r="M9270" t="s">
        <v>31262</v>
      </c>
      <c r="N9270" t="s">
        <v>32524</v>
      </c>
      <c r="O9270" t="s">
        <v>32525</v>
      </c>
      <c r="P9270">
        <v>0</v>
      </c>
      <c r="Q9270">
        <v>0</v>
      </c>
      <c r="R9270" t="s">
        <v>32538</v>
      </c>
      <c r="S9270" t="s">
        <v>32872</v>
      </c>
      <c r="T9270" t="s">
        <v>33177</v>
      </c>
      <c r="U9270" t="s">
        <v>37869</v>
      </c>
      <c r="W9270" t="s">
        <v>31262</v>
      </c>
      <c r="X9270" t="s">
        <v>32539</v>
      </c>
    </row>
    <row r="9271" spans="1:24">
      <c r="A9271">
        <f>HYPERLINK("https://www.philgeps.gov.ph/GEPSNONPILOT/Tender/SplashBidNoticeAbstractUI.aspx?menuIndex=3&amp;refID=7024376&amp;Result=3","7024376")</f>
        <v>0</v>
      </c>
      <c r="B9271" t="s">
        <v>2510</v>
      </c>
      <c r="C9271" t="s">
        <v>11543</v>
      </c>
      <c r="D9271" t="s">
        <v>13002</v>
      </c>
      <c r="E9271" t="s">
        <v>21172</v>
      </c>
      <c r="F9271" t="s">
        <v>22436</v>
      </c>
      <c r="G9271" t="s">
        <v>22444</v>
      </c>
      <c r="H9271" t="s">
        <v>22454</v>
      </c>
      <c r="I9271" t="s">
        <v>7738</v>
      </c>
      <c r="J9271" t="s">
        <v>22779</v>
      </c>
      <c r="K9271" t="s">
        <v>29378</v>
      </c>
      <c r="M9271" t="s">
        <v>32317</v>
      </c>
      <c r="N9271" t="s">
        <v>32524</v>
      </c>
      <c r="O9271" t="s">
        <v>32525</v>
      </c>
      <c r="P9271">
        <v>0</v>
      </c>
      <c r="Q9271">
        <v>1</v>
      </c>
      <c r="R9271" t="s">
        <v>32538</v>
      </c>
      <c r="S9271" t="s">
        <v>32872</v>
      </c>
      <c r="T9271" t="s">
        <v>33171</v>
      </c>
      <c r="U9271" t="s">
        <v>41293</v>
      </c>
      <c r="V9271" t="s">
        <v>43458</v>
      </c>
      <c r="W9271" t="s">
        <v>43763</v>
      </c>
      <c r="X9271" t="s">
        <v>32539</v>
      </c>
    </row>
    <row r="9272" spans="1:24">
      <c r="A9272">
        <f>HYPERLINK("https://www.philgeps.gov.ph/GEPSNONPILOT/Tender/SplashBidNoticeAbstractUI.aspx?menuIndex=3&amp;refID=7024385&amp;Result=3","7024385")</f>
        <v>0</v>
      </c>
      <c r="B9272" t="s">
        <v>2510</v>
      </c>
      <c r="C9272" t="s">
        <v>11544</v>
      </c>
      <c r="D9272" t="s">
        <v>13002</v>
      </c>
      <c r="E9272" t="s">
        <v>21173</v>
      </c>
      <c r="F9272" t="s">
        <v>22436</v>
      </c>
      <c r="G9272" t="s">
        <v>22444</v>
      </c>
      <c r="H9272" t="s">
        <v>22454</v>
      </c>
      <c r="I9272" t="s">
        <v>7738</v>
      </c>
      <c r="J9272" t="s">
        <v>22971</v>
      </c>
      <c r="K9272" t="s">
        <v>29438</v>
      </c>
      <c r="M9272" t="s">
        <v>32317</v>
      </c>
      <c r="N9272" t="s">
        <v>32524</v>
      </c>
      <c r="O9272" t="s">
        <v>32525</v>
      </c>
      <c r="P9272">
        <v>0</v>
      </c>
      <c r="Q9272">
        <v>0</v>
      </c>
      <c r="R9272" t="s">
        <v>32538</v>
      </c>
      <c r="S9272" t="s">
        <v>32872</v>
      </c>
      <c r="T9272" t="s">
        <v>33171</v>
      </c>
      <c r="U9272" t="s">
        <v>41294</v>
      </c>
      <c r="V9272" t="s">
        <v>43458</v>
      </c>
      <c r="W9272" t="s">
        <v>43763</v>
      </c>
      <c r="X9272" t="s">
        <v>32539</v>
      </c>
    </row>
    <row r="9273" spans="1:24">
      <c r="A9273">
        <f>HYPERLINK("https://www.philgeps.gov.ph/GEPSNONPILOT/Tender/SplashBidNoticeAbstractUI.aspx?menuIndex=3&amp;refID=7024324&amp;Result=3","7024324")</f>
        <v>0</v>
      </c>
      <c r="B9273" t="s">
        <v>1580</v>
      </c>
      <c r="C9273" t="s">
        <v>11535</v>
      </c>
      <c r="D9273" t="s">
        <v>13006</v>
      </c>
      <c r="E9273" t="s">
        <v>13668</v>
      </c>
      <c r="F9273" t="s">
        <v>22436</v>
      </c>
      <c r="G9273" t="s">
        <v>22444</v>
      </c>
      <c r="H9273" t="s">
        <v>22452</v>
      </c>
      <c r="I9273" t="s">
        <v>3529</v>
      </c>
      <c r="J9273" t="s">
        <v>23404</v>
      </c>
      <c r="K9273" t="s">
        <v>29341</v>
      </c>
      <c r="M9273" t="s">
        <v>31262</v>
      </c>
      <c r="N9273" t="s">
        <v>32524</v>
      </c>
      <c r="O9273" t="s">
        <v>32525</v>
      </c>
      <c r="P9273">
        <v>0</v>
      </c>
      <c r="Q9273">
        <v>0</v>
      </c>
      <c r="R9273" t="s">
        <v>32538</v>
      </c>
      <c r="S9273" t="s">
        <v>32872</v>
      </c>
      <c r="T9273" t="s">
        <v>33177</v>
      </c>
      <c r="U9273" t="s">
        <v>37869</v>
      </c>
      <c r="W9273" t="s">
        <v>31262</v>
      </c>
      <c r="X9273" t="s">
        <v>32539</v>
      </c>
    </row>
    <row r="9274" spans="1:24">
      <c r="A9274">
        <f>HYPERLINK("https://www.philgeps.gov.ph/GEPSNONPILOT/Tender/SplashBidNoticeAbstractUI.aspx?menuIndex=3&amp;refID=7024429&amp;Result=3","7024429")</f>
        <v>0</v>
      </c>
      <c r="B9274" t="s">
        <v>348</v>
      </c>
      <c r="C9274" t="s">
        <v>11545</v>
      </c>
      <c r="D9274" t="s">
        <v>13038</v>
      </c>
      <c r="E9274" t="s">
        <v>21174</v>
      </c>
      <c r="F9274" t="s">
        <v>22436</v>
      </c>
      <c r="G9274" t="s">
        <v>22444</v>
      </c>
      <c r="H9274" t="s">
        <v>22454</v>
      </c>
      <c r="I9274" t="s">
        <v>7738</v>
      </c>
      <c r="J9274" t="s">
        <v>25492</v>
      </c>
      <c r="K9274" t="s">
        <v>29419</v>
      </c>
      <c r="M9274" t="s">
        <v>31320</v>
      </c>
      <c r="N9274" t="s">
        <v>32524</v>
      </c>
      <c r="O9274" t="s">
        <v>32525</v>
      </c>
      <c r="P9274">
        <v>0</v>
      </c>
      <c r="Q9274">
        <v>0</v>
      </c>
      <c r="R9274" t="s">
        <v>32538</v>
      </c>
      <c r="S9274" t="s">
        <v>32872</v>
      </c>
      <c r="T9274" t="s">
        <v>33312</v>
      </c>
      <c r="U9274" t="s">
        <v>41295</v>
      </c>
      <c r="W9274" t="s">
        <v>31320</v>
      </c>
      <c r="X9274" t="s">
        <v>32539</v>
      </c>
    </row>
    <row r="9275" spans="1:24">
      <c r="A9275">
        <f>HYPERLINK("https://www.philgeps.gov.ph/GEPSNONPILOT/Tender/SplashBidNoticeAbstractUI.aspx?menuIndex=3&amp;refID=7024394&amp;Result=3","7024394")</f>
        <v>0</v>
      </c>
      <c r="B9275" t="s">
        <v>2510</v>
      </c>
      <c r="C9275" t="s">
        <v>11546</v>
      </c>
      <c r="D9275" t="s">
        <v>13002</v>
      </c>
      <c r="E9275" t="s">
        <v>21175</v>
      </c>
      <c r="F9275" t="s">
        <v>22436</v>
      </c>
      <c r="G9275" t="s">
        <v>22444</v>
      </c>
      <c r="H9275" t="s">
        <v>22454</v>
      </c>
      <c r="I9275" t="s">
        <v>7738</v>
      </c>
      <c r="J9275" t="s">
        <v>28451</v>
      </c>
      <c r="K9275" t="s">
        <v>29333</v>
      </c>
      <c r="M9275" t="s">
        <v>32317</v>
      </c>
      <c r="N9275" t="s">
        <v>32524</v>
      </c>
      <c r="O9275" t="s">
        <v>32525</v>
      </c>
      <c r="P9275">
        <v>0</v>
      </c>
      <c r="Q9275">
        <v>0</v>
      </c>
      <c r="R9275" t="s">
        <v>32538</v>
      </c>
      <c r="S9275" t="s">
        <v>32872</v>
      </c>
      <c r="T9275" t="s">
        <v>33171</v>
      </c>
      <c r="U9275" t="s">
        <v>41294</v>
      </c>
      <c r="V9275" t="s">
        <v>43458</v>
      </c>
      <c r="W9275" t="s">
        <v>43763</v>
      </c>
      <c r="X9275" t="s">
        <v>32539</v>
      </c>
    </row>
    <row r="9276" spans="1:24">
      <c r="A9276">
        <f>HYPERLINK("https://www.philgeps.gov.ph/GEPSNONPILOT/Tender/SplashBidNoticeAbstractUI.aspx?menuIndex=3&amp;refID=7024325&amp;Result=3","7024325")</f>
        <v>0</v>
      </c>
      <c r="B9276" t="s">
        <v>64</v>
      </c>
      <c r="C9276" t="s">
        <v>11547</v>
      </c>
      <c r="D9276" t="s">
        <v>13016</v>
      </c>
      <c r="E9276" t="s">
        <v>21176</v>
      </c>
      <c r="F9276" t="s">
        <v>22436</v>
      </c>
      <c r="G9276" t="s">
        <v>22445</v>
      </c>
      <c r="H9276" t="s">
        <v>22452</v>
      </c>
      <c r="I9276" t="s">
        <v>2981</v>
      </c>
      <c r="J9276" t="s">
        <v>28452</v>
      </c>
      <c r="K9276" t="s">
        <v>29335</v>
      </c>
      <c r="M9276" t="s">
        <v>31664</v>
      </c>
      <c r="N9276" t="s">
        <v>32524</v>
      </c>
      <c r="O9276" t="s">
        <v>32525</v>
      </c>
      <c r="P9276">
        <v>0</v>
      </c>
      <c r="Q9276">
        <v>5</v>
      </c>
      <c r="R9276" t="s">
        <v>32538</v>
      </c>
      <c r="S9276" t="s">
        <v>32872</v>
      </c>
      <c r="T9276" t="s">
        <v>33197</v>
      </c>
      <c r="U9276" t="s">
        <v>41296</v>
      </c>
      <c r="W9276" t="s">
        <v>31664</v>
      </c>
      <c r="X9276" t="s">
        <v>32539</v>
      </c>
    </row>
    <row r="9277" spans="1:24">
      <c r="A9277">
        <f>HYPERLINK("https://www.philgeps.gov.ph/GEPSNONPILOT/Tender/SplashBidNoticeAbstractUI.aspx?menuIndex=3&amp;refID=7024701&amp;Result=3","7024701")</f>
        <v>0</v>
      </c>
      <c r="B9277" t="s">
        <v>625</v>
      </c>
      <c r="C9277" t="s">
        <v>11548</v>
      </c>
      <c r="D9277" t="s">
        <v>13018</v>
      </c>
      <c r="E9277" t="s">
        <v>15357</v>
      </c>
      <c r="F9277" t="s">
        <v>22437</v>
      </c>
      <c r="G9277" t="s">
        <v>22447</v>
      </c>
      <c r="H9277" t="s">
        <v>22454</v>
      </c>
      <c r="I9277" t="s">
        <v>7738</v>
      </c>
      <c r="J9277" t="s">
        <v>28453</v>
      </c>
      <c r="K9277" t="s">
        <v>29344</v>
      </c>
      <c r="M9277" t="s">
        <v>30216</v>
      </c>
      <c r="N9277" t="s">
        <v>32524</v>
      </c>
      <c r="O9277" t="s">
        <v>32525</v>
      </c>
      <c r="P9277">
        <v>0</v>
      </c>
      <c r="Q9277">
        <v>3</v>
      </c>
      <c r="R9277" t="s">
        <v>32538</v>
      </c>
      <c r="S9277" t="s">
        <v>32872</v>
      </c>
      <c r="T9277" t="s">
        <v>33211</v>
      </c>
      <c r="U9277" t="s">
        <v>41297</v>
      </c>
      <c r="V9277" t="s">
        <v>43002</v>
      </c>
      <c r="W9277" t="s">
        <v>30216</v>
      </c>
      <c r="X9277" t="s">
        <v>32539</v>
      </c>
    </row>
    <row r="9278" spans="1:24">
      <c r="A9278">
        <f>HYPERLINK("https://www.philgeps.gov.ph/GEPSNONPILOT/Tender/SplashBidNoticeAbstractUI.aspx?menuIndex=3&amp;refID=7024490&amp;Result=3","7024490")</f>
        <v>0</v>
      </c>
      <c r="B9278" t="s">
        <v>1175</v>
      </c>
      <c r="C9278" t="s">
        <v>11549</v>
      </c>
      <c r="D9278" t="s">
        <v>13050</v>
      </c>
      <c r="E9278" t="s">
        <v>21177</v>
      </c>
      <c r="F9278" t="s">
        <v>22436</v>
      </c>
      <c r="G9278" t="s">
        <v>22444</v>
      </c>
      <c r="H9278" t="s">
        <v>22452</v>
      </c>
      <c r="I9278" t="s">
        <v>22553</v>
      </c>
      <c r="J9278" t="s">
        <v>22960</v>
      </c>
      <c r="K9278" t="s">
        <v>29338</v>
      </c>
      <c r="M9278" t="s">
        <v>30821</v>
      </c>
      <c r="N9278" t="s">
        <v>32524</v>
      </c>
      <c r="O9278" t="s">
        <v>32525</v>
      </c>
      <c r="P9278">
        <v>0</v>
      </c>
      <c r="Q9278">
        <v>1</v>
      </c>
      <c r="R9278" t="s">
        <v>32538</v>
      </c>
      <c r="S9278" t="s">
        <v>32872</v>
      </c>
      <c r="T9278" t="s">
        <v>33488</v>
      </c>
      <c r="U9278" t="s">
        <v>41298</v>
      </c>
      <c r="W9278" t="s">
        <v>30821</v>
      </c>
      <c r="X9278" t="s">
        <v>32539</v>
      </c>
    </row>
    <row r="9279" spans="1:24">
      <c r="A9279">
        <f>HYPERLINK("https://www.philgeps.gov.ph/GEPSNONPILOT/Tender/SplashBidNoticeAbstractUI.aspx?menuIndex=3&amp;refID=7024638&amp;Result=3","7024638")</f>
        <v>0</v>
      </c>
      <c r="B9279" t="s">
        <v>1175</v>
      </c>
      <c r="C9279" t="s">
        <v>11550</v>
      </c>
      <c r="D9279" t="s">
        <v>13050</v>
      </c>
      <c r="E9279" t="s">
        <v>21178</v>
      </c>
      <c r="F9279" t="s">
        <v>22436</v>
      </c>
      <c r="G9279" t="s">
        <v>22444</v>
      </c>
      <c r="H9279" t="s">
        <v>22452</v>
      </c>
      <c r="I9279" t="s">
        <v>22474</v>
      </c>
      <c r="J9279" t="s">
        <v>28454</v>
      </c>
      <c r="K9279" t="s">
        <v>29338</v>
      </c>
      <c r="M9279" t="s">
        <v>30821</v>
      </c>
      <c r="N9279" t="s">
        <v>32524</v>
      </c>
      <c r="O9279" t="s">
        <v>32525</v>
      </c>
      <c r="P9279">
        <v>0</v>
      </c>
      <c r="Q9279">
        <v>12</v>
      </c>
      <c r="R9279" t="s">
        <v>32538</v>
      </c>
      <c r="S9279" t="s">
        <v>32872</v>
      </c>
      <c r="T9279" t="s">
        <v>33488</v>
      </c>
      <c r="U9279" t="s">
        <v>41298</v>
      </c>
      <c r="W9279" t="s">
        <v>30821</v>
      </c>
      <c r="X9279" t="s">
        <v>32539</v>
      </c>
    </row>
    <row r="9280" spans="1:24">
      <c r="A9280">
        <f>HYPERLINK("https://www.philgeps.gov.ph/GEPSNONPILOT/Tender/SplashBidNoticeAbstractUI.aspx?menuIndex=3&amp;refID=7024363&amp;Result=3","7024363")</f>
        <v>0</v>
      </c>
      <c r="B9280" t="s">
        <v>348</v>
      </c>
      <c r="C9280" t="s">
        <v>11551</v>
      </c>
      <c r="D9280" t="s">
        <v>13038</v>
      </c>
      <c r="E9280" t="s">
        <v>21179</v>
      </c>
      <c r="F9280" t="s">
        <v>22436</v>
      </c>
      <c r="G9280" t="s">
        <v>22444</v>
      </c>
      <c r="H9280" t="s">
        <v>22454</v>
      </c>
      <c r="I9280" t="s">
        <v>7738</v>
      </c>
      <c r="J9280" t="s">
        <v>28455</v>
      </c>
      <c r="K9280" t="s">
        <v>29563</v>
      </c>
      <c r="M9280" t="s">
        <v>31320</v>
      </c>
      <c r="N9280" t="s">
        <v>32524</v>
      </c>
      <c r="O9280" t="s">
        <v>32525</v>
      </c>
      <c r="P9280">
        <v>0</v>
      </c>
      <c r="Q9280">
        <v>1</v>
      </c>
      <c r="R9280" t="s">
        <v>32538</v>
      </c>
      <c r="S9280" t="s">
        <v>32872</v>
      </c>
      <c r="T9280" t="s">
        <v>33312</v>
      </c>
      <c r="U9280" t="s">
        <v>41299</v>
      </c>
      <c r="W9280" t="s">
        <v>31320</v>
      </c>
      <c r="X9280" t="s">
        <v>32539</v>
      </c>
    </row>
    <row r="9281" spans="1:24">
      <c r="A9281">
        <f>HYPERLINK("https://www.philgeps.gov.ph/GEPSNONPILOT/Tender/SplashBidNoticeAbstractUI.aspx?menuIndex=3&amp;refID=7024626&amp;Result=3","7024626")</f>
        <v>0</v>
      </c>
      <c r="B9281" t="s">
        <v>2511</v>
      </c>
      <c r="C9281" t="s">
        <v>11552</v>
      </c>
      <c r="D9281" t="s">
        <v>13044</v>
      </c>
      <c r="E9281" t="s">
        <v>21180</v>
      </c>
      <c r="F9281" t="s">
        <v>22436</v>
      </c>
      <c r="G9281" t="s">
        <v>22444</v>
      </c>
      <c r="H9281" t="s">
        <v>22454</v>
      </c>
      <c r="I9281" t="s">
        <v>7738</v>
      </c>
      <c r="J9281" t="s">
        <v>28456</v>
      </c>
      <c r="K9281" t="s">
        <v>29344</v>
      </c>
      <c r="M9281" t="s">
        <v>32318</v>
      </c>
      <c r="N9281" t="s">
        <v>32524</v>
      </c>
      <c r="O9281" t="s">
        <v>32525</v>
      </c>
      <c r="P9281">
        <v>0</v>
      </c>
      <c r="Q9281">
        <v>2</v>
      </c>
      <c r="R9281" t="s">
        <v>32538</v>
      </c>
      <c r="S9281" t="s">
        <v>32872</v>
      </c>
      <c r="T9281" t="s">
        <v>33233</v>
      </c>
      <c r="U9281" t="s">
        <v>41300</v>
      </c>
      <c r="V9281" t="s">
        <v>43459</v>
      </c>
      <c r="W9281" t="s">
        <v>32318</v>
      </c>
      <c r="X9281" t="s">
        <v>32539</v>
      </c>
    </row>
    <row r="9282" spans="1:24">
      <c r="A9282">
        <f>HYPERLINK("https://www.philgeps.gov.ph/GEPSNONPILOT/Tender/SplashBidNoticeAbstractUI.aspx?menuIndex=3&amp;refID=7024675&amp;Result=3","7024675")</f>
        <v>0</v>
      </c>
      <c r="B9282" t="s">
        <v>1506</v>
      </c>
      <c r="C9282" t="s">
        <v>11553</v>
      </c>
      <c r="D9282" t="s">
        <v>12996</v>
      </c>
      <c r="E9282" t="s">
        <v>13984</v>
      </c>
      <c r="F9282" t="s">
        <v>22436</v>
      </c>
      <c r="G9282" t="s">
        <v>22444</v>
      </c>
      <c r="H9282" t="s">
        <v>22452</v>
      </c>
      <c r="I9282" t="s">
        <v>22463</v>
      </c>
      <c r="J9282" t="s">
        <v>28457</v>
      </c>
      <c r="K9282" t="s">
        <v>29335</v>
      </c>
      <c r="M9282" t="s">
        <v>31180</v>
      </c>
      <c r="N9282" t="s">
        <v>32524</v>
      </c>
      <c r="O9282" t="s">
        <v>32525</v>
      </c>
      <c r="Q9282">
        <v>4</v>
      </c>
      <c r="R9282" t="s">
        <v>32538</v>
      </c>
      <c r="S9282" t="s">
        <v>32715</v>
      </c>
      <c r="T9282" t="s">
        <v>33241</v>
      </c>
      <c r="U9282" t="s">
        <v>41301</v>
      </c>
      <c r="W9282" t="s">
        <v>31180</v>
      </c>
      <c r="X9282" t="s">
        <v>32539</v>
      </c>
    </row>
    <row r="9283" spans="1:24">
      <c r="A9283">
        <f>HYPERLINK("https://www.philgeps.gov.ph/GEPSNONPILOT/Tender/SplashBidNoticeAbstractUI.aspx?menuIndex=3&amp;refID=7024615&amp;Result=3","7024615")</f>
        <v>0</v>
      </c>
      <c r="B9283" t="s">
        <v>2163</v>
      </c>
      <c r="C9283" t="s">
        <v>11554</v>
      </c>
      <c r="D9283" t="s">
        <v>13026</v>
      </c>
      <c r="E9283" t="s">
        <v>21181</v>
      </c>
      <c r="F9283" t="s">
        <v>22436</v>
      </c>
      <c r="G9283" t="s">
        <v>22444</v>
      </c>
      <c r="H9283" t="s">
        <v>22452</v>
      </c>
      <c r="I9283" t="s">
        <v>6421</v>
      </c>
      <c r="J9283" t="s">
        <v>28458</v>
      </c>
      <c r="K9283" t="s">
        <v>29352</v>
      </c>
      <c r="M9283" t="s">
        <v>31919</v>
      </c>
      <c r="N9283" t="s">
        <v>32524</v>
      </c>
      <c r="O9283" t="s">
        <v>32525</v>
      </c>
      <c r="P9283">
        <v>0</v>
      </c>
      <c r="Q9283">
        <v>6</v>
      </c>
      <c r="R9283" t="s">
        <v>32538</v>
      </c>
      <c r="S9283" t="s">
        <v>32872</v>
      </c>
      <c r="T9283" t="s">
        <v>33171</v>
      </c>
      <c r="U9283" t="s">
        <v>41302</v>
      </c>
      <c r="W9283" t="s">
        <v>43744</v>
      </c>
      <c r="X9283" t="s">
        <v>32539</v>
      </c>
    </row>
    <row r="9284" spans="1:24">
      <c r="A9284">
        <f>HYPERLINK("https://www.philgeps.gov.ph/GEPSNONPILOT/Tender/SplashBidNoticeAbstractUI.aspx?menuIndex=3&amp;refID=7024631&amp;Result=3","7024631")</f>
        <v>0</v>
      </c>
      <c r="B9284" t="s">
        <v>2163</v>
      </c>
      <c r="C9284" t="s">
        <v>11555</v>
      </c>
      <c r="D9284" t="s">
        <v>13026</v>
      </c>
      <c r="E9284" t="s">
        <v>21182</v>
      </c>
      <c r="F9284" t="s">
        <v>22436</v>
      </c>
      <c r="G9284" t="s">
        <v>22444</v>
      </c>
      <c r="H9284" t="s">
        <v>22452</v>
      </c>
      <c r="I9284" t="s">
        <v>6421</v>
      </c>
      <c r="J9284" t="s">
        <v>26091</v>
      </c>
      <c r="K9284" t="s">
        <v>29330</v>
      </c>
      <c r="M9284" t="s">
        <v>31919</v>
      </c>
      <c r="N9284" t="s">
        <v>32524</v>
      </c>
      <c r="O9284" t="s">
        <v>32525</v>
      </c>
      <c r="P9284">
        <v>0</v>
      </c>
      <c r="Q9284">
        <v>4</v>
      </c>
      <c r="R9284" t="s">
        <v>32538</v>
      </c>
      <c r="S9284" t="s">
        <v>32872</v>
      </c>
      <c r="T9284" t="s">
        <v>33171</v>
      </c>
      <c r="U9284" t="s">
        <v>41303</v>
      </c>
      <c r="W9284" t="s">
        <v>43744</v>
      </c>
      <c r="X9284" t="s">
        <v>32539</v>
      </c>
    </row>
    <row r="9285" spans="1:24">
      <c r="A9285">
        <f>HYPERLINK("https://www.philgeps.gov.ph/GEPSNONPILOT/Tender/SplashBidNoticeAbstractUI.aspx?menuIndex=3&amp;refID=7024609&amp;Result=3","7024609")</f>
        <v>0</v>
      </c>
      <c r="B9285" t="s">
        <v>1175</v>
      </c>
      <c r="C9285" t="s">
        <v>11556</v>
      </c>
      <c r="D9285" t="s">
        <v>13050</v>
      </c>
      <c r="E9285" t="s">
        <v>21183</v>
      </c>
      <c r="F9285" t="s">
        <v>22436</v>
      </c>
      <c r="G9285" t="s">
        <v>22444</v>
      </c>
      <c r="H9285" t="s">
        <v>22452</v>
      </c>
      <c r="I9285" t="s">
        <v>22464</v>
      </c>
      <c r="J9285" t="s">
        <v>28459</v>
      </c>
      <c r="K9285" t="s">
        <v>29338</v>
      </c>
      <c r="M9285" t="s">
        <v>30821</v>
      </c>
      <c r="N9285" t="s">
        <v>32524</v>
      </c>
      <c r="O9285" t="s">
        <v>32525</v>
      </c>
      <c r="P9285">
        <v>0</v>
      </c>
      <c r="Q9285">
        <v>15</v>
      </c>
      <c r="R9285" t="s">
        <v>32538</v>
      </c>
      <c r="S9285" t="s">
        <v>32872</v>
      </c>
      <c r="T9285" t="s">
        <v>33488</v>
      </c>
      <c r="U9285" t="s">
        <v>41298</v>
      </c>
      <c r="W9285" t="s">
        <v>30821</v>
      </c>
      <c r="X9285" t="s">
        <v>32539</v>
      </c>
    </row>
    <row r="9286" spans="1:24">
      <c r="A9286">
        <f>HYPERLINK("https://www.philgeps.gov.ph/GEPSNONPILOT/Tender/SplashBidNoticeAbstractUI.aspx?menuIndex=3&amp;refID=7024603&amp;Result=3","7024603")</f>
        <v>0</v>
      </c>
      <c r="B9286" t="s">
        <v>2444</v>
      </c>
      <c r="C9286" t="s">
        <v>11557</v>
      </c>
      <c r="D9286" t="s">
        <v>13042</v>
      </c>
      <c r="E9286" t="s">
        <v>13318</v>
      </c>
      <c r="F9286" t="s">
        <v>22436</v>
      </c>
      <c r="G9286" t="s">
        <v>22444</v>
      </c>
      <c r="H9286" t="s">
        <v>22452</v>
      </c>
      <c r="I9286" t="s">
        <v>22482</v>
      </c>
      <c r="J9286" t="s">
        <v>28460</v>
      </c>
      <c r="K9286" t="s">
        <v>29331</v>
      </c>
      <c r="M9286" t="s">
        <v>32248</v>
      </c>
      <c r="N9286" t="s">
        <v>32524</v>
      </c>
      <c r="O9286" t="s">
        <v>32525</v>
      </c>
      <c r="P9286">
        <v>0</v>
      </c>
      <c r="Q9286">
        <v>7</v>
      </c>
      <c r="R9286" t="s">
        <v>32538</v>
      </c>
      <c r="S9286" t="s">
        <v>32872</v>
      </c>
      <c r="T9286" t="s">
        <v>33168</v>
      </c>
      <c r="U9286" t="s">
        <v>41304</v>
      </c>
      <c r="V9286" t="s">
        <v>43460</v>
      </c>
      <c r="W9286" t="s">
        <v>32248</v>
      </c>
      <c r="X9286" t="s">
        <v>32539</v>
      </c>
    </row>
    <row r="9287" spans="1:24">
      <c r="A9287">
        <f>HYPERLINK("https://www.philgeps.gov.ph/GEPSNONPILOT/Tender/SplashBidNoticeAbstractUI.aspx?menuIndex=3&amp;refID=7024611&amp;Result=3","7024611")</f>
        <v>0</v>
      </c>
      <c r="B9287" t="s">
        <v>383</v>
      </c>
      <c r="C9287" t="s">
        <v>11558</v>
      </c>
      <c r="D9287" t="s">
        <v>13018</v>
      </c>
      <c r="E9287" t="s">
        <v>21184</v>
      </c>
      <c r="F9287" t="s">
        <v>22436</v>
      </c>
      <c r="G9287" t="s">
        <v>22444</v>
      </c>
      <c r="H9287" t="s">
        <v>22452</v>
      </c>
      <c r="I9287" t="s">
        <v>22465</v>
      </c>
      <c r="J9287" t="s">
        <v>28461</v>
      </c>
      <c r="K9287" t="s">
        <v>29335</v>
      </c>
      <c r="M9287" t="s">
        <v>29962</v>
      </c>
      <c r="N9287" t="s">
        <v>32524</v>
      </c>
      <c r="O9287" t="s">
        <v>32525</v>
      </c>
      <c r="Q9287">
        <v>3</v>
      </c>
      <c r="R9287" t="s">
        <v>32538</v>
      </c>
      <c r="S9287" t="s">
        <v>32899</v>
      </c>
      <c r="T9287" t="s">
        <v>33249</v>
      </c>
      <c r="U9287" t="s">
        <v>41305</v>
      </c>
      <c r="V9287" t="s">
        <v>42504</v>
      </c>
      <c r="W9287" t="s">
        <v>29962</v>
      </c>
      <c r="X9287" t="s">
        <v>32539</v>
      </c>
    </row>
    <row r="9288" spans="1:24">
      <c r="A9288">
        <f>HYPERLINK("https://www.philgeps.gov.ph/GEPSNONPILOT/Tender/SplashBidNoticeAbstractUI.aspx?menuIndex=3&amp;refID=7024723&amp;Result=3","7024723")</f>
        <v>0</v>
      </c>
      <c r="B9288" t="s">
        <v>2512</v>
      </c>
      <c r="C9288" t="s">
        <v>11559</v>
      </c>
      <c r="D9288" t="s">
        <v>13015</v>
      </c>
      <c r="E9288" t="s">
        <v>21185</v>
      </c>
      <c r="F9288" t="s">
        <v>22436</v>
      </c>
      <c r="G9288" t="s">
        <v>22444</v>
      </c>
      <c r="H9288" t="s">
        <v>22452</v>
      </c>
      <c r="I9288" t="s">
        <v>22465</v>
      </c>
      <c r="J9288" t="s">
        <v>28462</v>
      </c>
      <c r="K9288" t="s">
        <v>29341</v>
      </c>
      <c r="M9288" t="s">
        <v>32319</v>
      </c>
      <c r="N9288" t="s">
        <v>32524</v>
      </c>
      <c r="O9288" t="s">
        <v>32525</v>
      </c>
      <c r="P9288">
        <v>0</v>
      </c>
      <c r="Q9288">
        <v>0</v>
      </c>
      <c r="R9288" t="s">
        <v>32538</v>
      </c>
      <c r="S9288" t="s">
        <v>32872</v>
      </c>
      <c r="T9288" t="s">
        <v>33236</v>
      </c>
      <c r="U9288" t="s">
        <v>41306</v>
      </c>
      <c r="W9288" t="s">
        <v>43764</v>
      </c>
      <c r="X9288" t="s">
        <v>32539</v>
      </c>
    </row>
    <row r="9289" spans="1:24">
      <c r="A9289">
        <f>HYPERLINK("https://www.philgeps.gov.ph/GEPSNONPILOT/Tender/SplashBidNoticeAbstractUI.aspx?menuIndex=3&amp;refID=7024590&amp;Result=3","7024590")</f>
        <v>0</v>
      </c>
      <c r="B9289" t="s">
        <v>2163</v>
      </c>
      <c r="C9289" t="s">
        <v>11560</v>
      </c>
      <c r="D9289" t="s">
        <v>13026</v>
      </c>
      <c r="E9289" t="s">
        <v>21186</v>
      </c>
      <c r="F9289" t="s">
        <v>22436</v>
      </c>
      <c r="G9289" t="s">
        <v>22444</v>
      </c>
      <c r="H9289" t="s">
        <v>22452</v>
      </c>
      <c r="I9289" t="s">
        <v>22502</v>
      </c>
      <c r="J9289" t="s">
        <v>24189</v>
      </c>
      <c r="K9289" t="s">
        <v>29330</v>
      </c>
      <c r="M9289" t="s">
        <v>31919</v>
      </c>
      <c r="N9289" t="s">
        <v>32524</v>
      </c>
      <c r="O9289" t="s">
        <v>32525</v>
      </c>
      <c r="P9289">
        <v>0</v>
      </c>
      <c r="Q9289">
        <v>15</v>
      </c>
      <c r="R9289" t="s">
        <v>32538</v>
      </c>
      <c r="S9289" t="s">
        <v>32872</v>
      </c>
      <c r="T9289" t="s">
        <v>33171</v>
      </c>
      <c r="U9289" t="s">
        <v>41307</v>
      </c>
      <c r="W9289" t="s">
        <v>43744</v>
      </c>
      <c r="X9289" t="s">
        <v>32539</v>
      </c>
    </row>
    <row r="9290" spans="1:24">
      <c r="A9290">
        <f>HYPERLINK("https://www.philgeps.gov.ph/GEPSNONPILOT/Tender/SplashBidNoticeAbstractUI.aspx?menuIndex=3&amp;refID=7024810&amp;Result=3","7024810")</f>
        <v>0</v>
      </c>
      <c r="B9290" t="s">
        <v>1796</v>
      </c>
      <c r="C9290" t="s">
        <v>11561</v>
      </c>
      <c r="D9290" t="s">
        <v>12997</v>
      </c>
      <c r="E9290" t="s">
        <v>14594</v>
      </c>
      <c r="F9290" t="s">
        <v>22436</v>
      </c>
      <c r="G9290" t="s">
        <v>22443</v>
      </c>
      <c r="H9290" t="s">
        <v>22452</v>
      </c>
      <c r="I9290" t="s">
        <v>22494</v>
      </c>
      <c r="J9290" t="s">
        <v>28463</v>
      </c>
      <c r="K9290" t="s">
        <v>29357</v>
      </c>
      <c r="M9290" t="s">
        <v>31507</v>
      </c>
      <c r="N9290" t="s">
        <v>32524</v>
      </c>
      <c r="O9290" t="s">
        <v>32525</v>
      </c>
      <c r="P9290">
        <v>0</v>
      </c>
      <c r="Q9290">
        <v>0</v>
      </c>
      <c r="R9290" t="s">
        <v>32538</v>
      </c>
      <c r="S9290" t="s">
        <v>32872</v>
      </c>
      <c r="T9290" t="s">
        <v>33451</v>
      </c>
      <c r="U9290" t="s">
        <v>41308</v>
      </c>
      <c r="W9290" t="s">
        <v>31507</v>
      </c>
      <c r="X9290" t="s">
        <v>32539</v>
      </c>
    </row>
    <row r="9291" spans="1:24">
      <c r="A9291">
        <f>HYPERLINK("https://www.philgeps.gov.ph/GEPSNONPILOT/Tender/SplashBidNoticeAbstractUI.aspx?menuIndex=3&amp;refID=7024673&amp;Result=3","7024673")</f>
        <v>0</v>
      </c>
      <c r="B9291" t="s">
        <v>2513</v>
      </c>
      <c r="C9291" t="s">
        <v>11562</v>
      </c>
      <c r="D9291" t="s">
        <v>13049</v>
      </c>
      <c r="E9291" t="s">
        <v>21187</v>
      </c>
      <c r="F9291" t="s">
        <v>22437</v>
      </c>
      <c r="G9291" t="s">
        <v>22444</v>
      </c>
      <c r="H9291" t="s">
        <v>22454</v>
      </c>
      <c r="I9291" t="s">
        <v>7738</v>
      </c>
      <c r="J9291" t="s">
        <v>28464</v>
      </c>
      <c r="K9291" t="s">
        <v>29436</v>
      </c>
      <c r="M9291" t="s">
        <v>32320</v>
      </c>
      <c r="N9291" t="s">
        <v>32524</v>
      </c>
      <c r="O9291" t="s">
        <v>32525</v>
      </c>
      <c r="P9291">
        <v>0</v>
      </c>
      <c r="Q9291">
        <v>0</v>
      </c>
      <c r="R9291" t="s">
        <v>32538</v>
      </c>
      <c r="S9291" t="s">
        <v>32872</v>
      </c>
      <c r="T9291" t="s">
        <v>33213</v>
      </c>
      <c r="U9291" t="s">
        <v>41309</v>
      </c>
      <c r="W9291" t="s">
        <v>32320</v>
      </c>
      <c r="X9291" t="s">
        <v>32539</v>
      </c>
    </row>
    <row r="9292" spans="1:24">
      <c r="A9292">
        <f>HYPERLINK("https://www.philgeps.gov.ph/GEPSNONPILOT/Tender/SplashBidNoticeAbstractUI.aspx?menuIndex=3&amp;refID=7024850&amp;Result=3","7024850")</f>
        <v>0</v>
      </c>
      <c r="B9292" t="s">
        <v>2514</v>
      </c>
      <c r="C9292" t="s">
        <v>11563</v>
      </c>
      <c r="D9292" t="s">
        <v>13012</v>
      </c>
      <c r="E9292" t="s">
        <v>21188</v>
      </c>
      <c r="F9292" t="s">
        <v>22436</v>
      </c>
      <c r="G9292" t="s">
        <v>22444</v>
      </c>
      <c r="H9292" t="s">
        <v>22454</v>
      </c>
      <c r="I9292" t="s">
        <v>7738</v>
      </c>
      <c r="J9292" t="s">
        <v>28465</v>
      </c>
      <c r="K9292" t="s">
        <v>29517</v>
      </c>
      <c r="M9292" t="s">
        <v>32321</v>
      </c>
      <c r="N9292" t="s">
        <v>32524</v>
      </c>
      <c r="O9292" t="s">
        <v>32525</v>
      </c>
      <c r="P9292">
        <v>0</v>
      </c>
      <c r="Q9292">
        <v>3</v>
      </c>
      <c r="R9292" t="s">
        <v>32538</v>
      </c>
      <c r="S9292" t="s">
        <v>32872</v>
      </c>
      <c r="T9292" t="s">
        <v>33230</v>
      </c>
      <c r="U9292" t="s">
        <v>41310</v>
      </c>
      <c r="W9292" t="s">
        <v>32321</v>
      </c>
      <c r="X9292" t="s">
        <v>32539</v>
      </c>
    </row>
    <row r="9293" spans="1:24">
      <c r="A9293">
        <f>HYPERLINK("https://www.philgeps.gov.ph/GEPSNONPILOT/Tender/SplashBidNoticeAbstractUI.aspx?menuIndex=3&amp;refID=7024851&amp;Result=3","7024851")</f>
        <v>0</v>
      </c>
      <c r="B9293" t="s">
        <v>1627</v>
      </c>
      <c r="C9293" t="s">
        <v>11564</v>
      </c>
      <c r="D9293" t="s">
        <v>13000</v>
      </c>
      <c r="E9293" t="s">
        <v>21189</v>
      </c>
      <c r="F9293" t="s">
        <v>22436</v>
      </c>
      <c r="G9293" t="s">
        <v>22444</v>
      </c>
      <c r="H9293" t="s">
        <v>22454</v>
      </c>
      <c r="I9293" t="s">
        <v>7738</v>
      </c>
      <c r="J9293" t="s">
        <v>22779</v>
      </c>
      <c r="K9293" t="s">
        <v>29347</v>
      </c>
      <c r="M9293" t="s">
        <v>31314</v>
      </c>
      <c r="N9293" t="s">
        <v>32524</v>
      </c>
      <c r="O9293" t="s">
        <v>32525</v>
      </c>
      <c r="P9293">
        <v>0</v>
      </c>
      <c r="Q9293">
        <v>0</v>
      </c>
      <c r="R9293" t="s">
        <v>32538</v>
      </c>
      <c r="S9293" t="s">
        <v>32872</v>
      </c>
      <c r="T9293" t="s">
        <v>33177</v>
      </c>
      <c r="U9293" t="s">
        <v>41311</v>
      </c>
      <c r="W9293" t="s">
        <v>31314</v>
      </c>
      <c r="X9293" t="s">
        <v>32539</v>
      </c>
    </row>
    <row r="9294" spans="1:24">
      <c r="A9294">
        <f>HYPERLINK("https://www.philgeps.gov.ph/GEPSNONPILOT/Tender/SplashBidNoticeAbstractUI.aspx?menuIndex=3&amp;refID=7024670&amp;Result=3","7024670")</f>
        <v>0</v>
      </c>
      <c r="B9294" t="s">
        <v>2444</v>
      </c>
      <c r="C9294" t="s">
        <v>11565</v>
      </c>
      <c r="D9294" t="s">
        <v>13042</v>
      </c>
      <c r="E9294" t="s">
        <v>13881</v>
      </c>
      <c r="F9294" t="s">
        <v>22436</v>
      </c>
      <c r="G9294" t="s">
        <v>22444</v>
      </c>
      <c r="H9294" t="s">
        <v>22452</v>
      </c>
      <c r="I9294" t="s">
        <v>3529</v>
      </c>
      <c r="J9294" t="s">
        <v>28466</v>
      </c>
      <c r="K9294" t="s">
        <v>29331</v>
      </c>
      <c r="M9294" t="s">
        <v>32248</v>
      </c>
      <c r="N9294" t="s">
        <v>32524</v>
      </c>
      <c r="O9294" t="s">
        <v>32525</v>
      </c>
      <c r="P9294">
        <v>0</v>
      </c>
      <c r="Q9294">
        <v>0</v>
      </c>
      <c r="R9294" t="s">
        <v>32538</v>
      </c>
      <c r="S9294" t="s">
        <v>32872</v>
      </c>
      <c r="T9294" t="s">
        <v>33168</v>
      </c>
      <c r="U9294" t="s">
        <v>41312</v>
      </c>
      <c r="V9294" t="s">
        <v>43461</v>
      </c>
      <c r="W9294" t="s">
        <v>32248</v>
      </c>
      <c r="X9294" t="s">
        <v>32539</v>
      </c>
    </row>
    <row r="9295" spans="1:24">
      <c r="A9295">
        <f>HYPERLINK("https://www.philgeps.gov.ph/GEPSNONPILOT/Tender/SplashBidNoticeAbstractUI.aspx?menuIndex=3&amp;refID=7024846&amp;Result=3","7024846")</f>
        <v>0</v>
      </c>
      <c r="B9295" t="s">
        <v>2515</v>
      </c>
      <c r="C9295" t="s">
        <v>11566</v>
      </c>
      <c r="D9295" t="s">
        <v>13037</v>
      </c>
      <c r="E9295" t="s">
        <v>21190</v>
      </c>
      <c r="F9295" t="s">
        <v>22436</v>
      </c>
      <c r="G9295" t="s">
        <v>22444</v>
      </c>
      <c r="H9295" t="s">
        <v>22454</v>
      </c>
      <c r="I9295" t="s">
        <v>7738</v>
      </c>
      <c r="J9295" t="s">
        <v>28467</v>
      </c>
      <c r="K9295" t="s">
        <v>29564</v>
      </c>
      <c r="M9295" t="s">
        <v>32322</v>
      </c>
      <c r="N9295" t="s">
        <v>32524</v>
      </c>
      <c r="O9295" t="s">
        <v>32525</v>
      </c>
      <c r="P9295">
        <v>0</v>
      </c>
      <c r="Q9295">
        <v>0</v>
      </c>
      <c r="R9295" t="s">
        <v>32538</v>
      </c>
      <c r="S9295" t="s">
        <v>32872</v>
      </c>
      <c r="T9295" t="s">
        <v>33234</v>
      </c>
      <c r="U9295" t="s">
        <v>41313</v>
      </c>
      <c r="W9295" t="s">
        <v>32322</v>
      </c>
      <c r="X9295" t="s">
        <v>32539</v>
      </c>
    </row>
    <row r="9296" spans="1:24">
      <c r="A9296">
        <f>HYPERLINK("https://www.philgeps.gov.ph/GEPSNONPILOT/Tender/SplashBidNoticeAbstractUI.aspx?menuIndex=3&amp;refID=7024839&amp;Result=3","7024839")</f>
        <v>0</v>
      </c>
      <c r="B9296" t="s">
        <v>1506</v>
      </c>
      <c r="C9296" t="s">
        <v>11567</v>
      </c>
      <c r="D9296" t="s">
        <v>12996</v>
      </c>
      <c r="E9296" t="s">
        <v>14107</v>
      </c>
      <c r="F9296" t="s">
        <v>22436</v>
      </c>
      <c r="G9296" t="s">
        <v>22444</v>
      </c>
      <c r="H9296" t="s">
        <v>22452</v>
      </c>
      <c r="I9296" t="s">
        <v>6421</v>
      </c>
      <c r="J9296" t="s">
        <v>28468</v>
      </c>
      <c r="K9296" t="s">
        <v>29335</v>
      </c>
      <c r="M9296" t="s">
        <v>31180</v>
      </c>
      <c r="N9296" t="s">
        <v>32524</v>
      </c>
      <c r="O9296" t="s">
        <v>32525</v>
      </c>
      <c r="Q9296">
        <v>2</v>
      </c>
      <c r="R9296" t="s">
        <v>32538</v>
      </c>
      <c r="S9296" t="s">
        <v>32900</v>
      </c>
      <c r="T9296" t="s">
        <v>33241</v>
      </c>
      <c r="U9296" t="s">
        <v>41314</v>
      </c>
      <c r="W9296" t="s">
        <v>31180</v>
      </c>
      <c r="X9296" t="s">
        <v>32539</v>
      </c>
    </row>
    <row r="9297" spans="1:24">
      <c r="A9297">
        <f>HYPERLINK("https://www.philgeps.gov.ph/GEPSNONPILOT/Tender/SplashBidNoticeAbstractUI.aspx?menuIndex=3&amp;refID=7024853&amp;Result=3","7024853")</f>
        <v>0</v>
      </c>
      <c r="B9297" t="s">
        <v>2444</v>
      </c>
      <c r="C9297" t="s">
        <v>11568</v>
      </c>
      <c r="D9297" t="s">
        <v>13042</v>
      </c>
      <c r="E9297" t="s">
        <v>13701</v>
      </c>
      <c r="F9297" t="s">
        <v>22436</v>
      </c>
      <c r="G9297" t="s">
        <v>22444</v>
      </c>
      <c r="H9297" t="s">
        <v>22454</v>
      </c>
      <c r="I9297" t="s">
        <v>3529</v>
      </c>
      <c r="J9297" t="s">
        <v>22634</v>
      </c>
      <c r="K9297" t="s">
        <v>29331</v>
      </c>
      <c r="M9297" t="s">
        <v>32248</v>
      </c>
      <c r="N9297" t="s">
        <v>32524</v>
      </c>
      <c r="O9297" t="s">
        <v>32525</v>
      </c>
      <c r="P9297">
        <v>0</v>
      </c>
      <c r="Q9297">
        <v>0</v>
      </c>
      <c r="R9297" t="s">
        <v>32538</v>
      </c>
      <c r="S9297" t="s">
        <v>32872</v>
      </c>
      <c r="T9297" t="s">
        <v>33168</v>
      </c>
      <c r="U9297" t="s">
        <v>41315</v>
      </c>
      <c r="V9297" t="s">
        <v>43462</v>
      </c>
      <c r="W9297" t="s">
        <v>32248</v>
      </c>
      <c r="X9297" t="s">
        <v>32539</v>
      </c>
    </row>
    <row r="9298" spans="1:24">
      <c r="A9298">
        <f>HYPERLINK("https://www.philgeps.gov.ph/GEPSNONPILOT/Tender/SplashBidNoticeAbstractUI.aspx?menuIndex=3&amp;refID=7024666&amp;Result=3","7024666")</f>
        <v>0</v>
      </c>
      <c r="B9298" t="s">
        <v>1580</v>
      </c>
      <c r="C9298" t="s">
        <v>11569</v>
      </c>
      <c r="D9298" t="s">
        <v>13006</v>
      </c>
      <c r="E9298" t="s">
        <v>14329</v>
      </c>
      <c r="F9298" t="s">
        <v>22436</v>
      </c>
      <c r="G9298" t="s">
        <v>22444</v>
      </c>
      <c r="H9298" t="s">
        <v>22452</v>
      </c>
      <c r="I9298" t="s">
        <v>22476</v>
      </c>
      <c r="J9298" t="s">
        <v>22704</v>
      </c>
      <c r="K9298" t="s">
        <v>29341</v>
      </c>
      <c r="M9298" t="s">
        <v>31262</v>
      </c>
      <c r="N9298" t="s">
        <v>32524</v>
      </c>
      <c r="O9298" t="s">
        <v>32525</v>
      </c>
      <c r="P9298">
        <v>0</v>
      </c>
      <c r="Q9298">
        <v>0</v>
      </c>
      <c r="R9298" t="s">
        <v>32538</v>
      </c>
      <c r="S9298" t="s">
        <v>32872</v>
      </c>
      <c r="T9298" t="s">
        <v>33177</v>
      </c>
      <c r="U9298" t="s">
        <v>41316</v>
      </c>
      <c r="W9298" t="s">
        <v>31262</v>
      </c>
      <c r="X9298" t="s">
        <v>32539</v>
      </c>
    </row>
    <row r="9299" spans="1:24">
      <c r="A9299">
        <f>HYPERLINK("https://www.philgeps.gov.ph/GEPSNONPILOT/Tender/SplashBidNoticeAbstractUI.aspx?menuIndex=3&amp;refID=7024833&amp;Result=3","7024833")</f>
        <v>0</v>
      </c>
      <c r="B9299" t="s">
        <v>2516</v>
      </c>
      <c r="C9299" t="s">
        <v>11570</v>
      </c>
      <c r="D9299" t="s">
        <v>13043</v>
      </c>
      <c r="E9299" t="s">
        <v>21191</v>
      </c>
      <c r="F9299" t="s">
        <v>22436</v>
      </c>
      <c r="G9299" t="s">
        <v>22446</v>
      </c>
      <c r="H9299" t="s">
        <v>22452</v>
      </c>
      <c r="I9299" t="s">
        <v>22524</v>
      </c>
      <c r="J9299" t="s">
        <v>27677</v>
      </c>
      <c r="K9299" t="s">
        <v>29341</v>
      </c>
      <c r="M9299" t="s">
        <v>32323</v>
      </c>
      <c r="N9299" t="s">
        <v>32524</v>
      </c>
      <c r="O9299" t="s">
        <v>32525</v>
      </c>
      <c r="P9299">
        <v>0</v>
      </c>
      <c r="Q9299">
        <v>6</v>
      </c>
      <c r="R9299" t="s">
        <v>32538</v>
      </c>
      <c r="S9299" t="s">
        <v>32872</v>
      </c>
      <c r="T9299" t="s">
        <v>33187</v>
      </c>
      <c r="U9299" t="s">
        <v>41317</v>
      </c>
      <c r="W9299" t="s">
        <v>32323</v>
      </c>
      <c r="X9299" t="s">
        <v>32539</v>
      </c>
    </row>
    <row r="9300" spans="1:24">
      <c r="A9300">
        <f>HYPERLINK("https://www.philgeps.gov.ph/GEPSNONPILOT/Tender/SplashBidNoticeAbstractUI.aspx?menuIndex=3&amp;refID=7024831&amp;Result=3","7024831")</f>
        <v>0</v>
      </c>
      <c r="B9300" t="s">
        <v>124</v>
      </c>
      <c r="C9300" t="s">
        <v>11571</v>
      </c>
      <c r="D9300" t="s">
        <v>13031</v>
      </c>
      <c r="E9300" t="s">
        <v>21192</v>
      </c>
      <c r="F9300" t="s">
        <v>22436</v>
      </c>
      <c r="G9300" t="s">
        <v>22444</v>
      </c>
      <c r="H9300" t="s">
        <v>22452</v>
      </c>
      <c r="I9300" t="s">
        <v>22469</v>
      </c>
      <c r="J9300" t="s">
        <v>28469</v>
      </c>
      <c r="K9300" t="s">
        <v>29338</v>
      </c>
      <c r="M9300" t="s">
        <v>30213</v>
      </c>
      <c r="N9300" t="s">
        <v>32524</v>
      </c>
      <c r="O9300" t="s">
        <v>32525</v>
      </c>
      <c r="Q9300">
        <v>11</v>
      </c>
      <c r="R9300" t="s">
        <v>32538</v>
      </c>
      <c r="S9300" t="s">
        <v>32901</v>
      </c>
      <c r="T9300" t="s">
        <v>33252</v>
      </c>
      <c r="U9300" t="s">
        <v>41318</v>
      </c>
      <c r="W9300" t="s">
        <v>30213</v>
      </c>
      <c r="X9300" t="s">
        <v>32539</v>
      </c>
    </row>
    <row r="9301" spans="1:24">
      <c r="A9301">
        <f>HYPERLINK("https://www.philgeps.gov.ph/GEPSNONPILOT/Tender/SplashBidNoticeAbstractUI.aspx?menuIndex=3&amp;refID=7024807&amp;Result=3","7024807")</f>
        <v>0</v>
      </c>
      <c r="B9301" t="s">
        <v>2517</v>
      </c>
      <c r="C9301" t="s">
        <v>11572</v>
      </c>
      <c r="D9301" t="s">
        <v>12991</v>
      </c>
      <c r="E9301" t="s">
        <v>21193</v>
      </c>
      <c r="F9301" t="s">
        <v>22436</v>
      </c>
      <c r="G9301" t="s">
        <v>22444</v>
      </c>
      <c r="H9301" t="s">
        <v>22452</v>
      </c>
      <c r="I9301" t="s">
        <v>2962</v>
      </c>
      <c r="J9301" t="s">
        <v>22679</v>
      </c>
      <c r="K9301" t="s">
        <v>29336</v>
      </c>
      <c r="M9301" t="s">
        <v>32324</v>
      </c>
      <c r="N9301" t="s">
        <v>32524</v>
      </c>
      <c r="O9301" t="s">
        <v>32525</v>
      </c>
      <c r="P9301">
        <v>0</v>
      </c>
      <c r="Q9301">
        <v>0</v>
      </c>
      <c r="R9301" t="s">
        <v>32538</v>
      </c>
      <c r="S9301" t="s">
        <v>32872</v>
      </c>
      <c r="T9301" t="s">
        <v>33487</v>
      </c>
      <c r="U9301" t="s">
        <v>41319</v>
      </c>
      <c r="W9301" t="s">
        <v>32324</v>
      </c>
      <c r="X9301" t="s">
        <v>32539</v>
      </c>
    </row>
    <row r="9302" spans="1:24">
      <c r="A9302">
        <f>HYPERLINK("https://www.philgeps.gov.ph/GEPSNONPILOT/Tender/SplashBidNoticeAbstractUI.aspx?menuIndex=3&amp;refID=7024366&amp;Result=3","7024366")</f>
        <v>0</v>
      </c>
      <c r="B9302" t="s">
        <v>2510</v>
      </c>
      <c r="C9302" t="s">
        <v>11573</v>
      </c>
      <c r="D9302" t="s">
        <v>13002</v>
      </c>
      <c r="E9302" t="s">
        <v>21194</v>
      </c>
      <c r="F9302" t="s">
        <v>22436</v>
      </c>
      <c r="G9302" t="s">
        <v>22444</v>
      </c>
      <c r="H9302" t="s">
        <v>22454</v>
      </c>
      <c r="I9302" t="s">
        <v>7738</v>
      </c>
      <c r="J9302" t="s">
        <v>22779</v>
      </c>
      <c r="K9302" t="s">
        <v>29378</v>
      </c>
      <c r="M9302" t="s">
        <v>32317</v>
      </c>
      <c r="N9302" t="s">
        <v>32524</v>
      </c>
      <c r="O9302" t="s">
        <v>32525</v>
      </c>
      <c r="P9302">
        <v>0</v>
      </c>
      <c r="Q9302">
        <v>0</v>
      </c>
      <c r="R9302" t="s">
        <v>32538</v>
      </c>
      <c r="S9302" t="s">
        <v>32872</v>
      </c>
      <c r="T9302" t="s">
        <v>33171</v>
      </c>
      <c r="U9302" t="s">
        <v>41293</v>
      </c>
      <c r="V9302" t="s">
        <v>43458</v>
      </c>
      <c r="W9302" t="s">
        <v>43763</v>
      </c>
      <c r="X9302" t="s">
        <v>32539</v>
      </c>
    </row>
    <row r="9303" spans="1:24">
      <c r="A9303">
        <f>HYPERLINK("https://www.philgeps.gov.ph/GEPSNONPILOT/Tender/SplashBidNoticeAbstractUI.aspx?menuIndex=3&amp;refID=7024827&amp;Result=3","7024827")</f>
        <v>0</v>
      </c>
      <c r="B9303" t="s">
        <v>2512</v>
      </c>
      <c r="C9303" t="s">
        <v>11574</v>
      </c>
      <c r="D9303" t="s">
        <v>13015</v>
      </c>
      <c r="E9303" t="s">
        <v>21195</v>
      </c>
      <c r="F9303" t="s">
        <v>22436</v>
      </c>
      <c r="G9303" t="s">
        <v>22444</v>
      </c>
      <c r="H9303" t="s">
        <v>22452</v>
      </c>
      <c r="I9303" t="s">
        <v>22457</v>
      </c>
      <c r="J9303" t="s">
        <v>22877</v>
      </c>
      <c r="K9303" t="s">
        <v>29341</v>
      </c>
      <c r="M9303" t="s">
        <v>32319</v>
      </c>
      <c r="N9303" t="s">
        <v>32524</v>
      </c>
      <c r="O9303" t="s">
        <v>32525</v>
      </c>
      <c r="P9303">
        <v>0</v>
      </c>
      <c r="Q9303">
        <v>0</v>
      </c>
      <c r="R9303" t="s">
        <v>32538</v>
      </c>
      <c r="S9303" t="s">
        <v>32872</v>
      </c>
      <c r="T9303" t="s">
        <v>33236</v>
      </c>
      <c r="U9303" t="s">
        <v>41320</v>
      </c>
      <c r="W9303" t="s">
        <v>43764</v>
      </c>
      <c r="X9303" t="s">
        <v>32539</v>
      </c>
    </row>
    <row r="9304" spans="1:24">
      <c r="A9304">
        <f>HYPERLINK("https://www.philgeps.gov.ph/GEPSNONPILOT/Tender/SplashBidNoticeAbstractUI.aspx?menuIndex=3&amp;refID=7024460&amp;Result=3","7024460")</f>
        <v>0</v>
      </c>
      <c r="B9304" t="s">
        <v>348</v>
      </c>
      <c r="C9304" t="s">
        <v>11575</v>
      </c>
      <c r="D9304" t="s">
        <v>13038</v>
      </c>
      <c r="E9304" t="s">
        <v>21196</v>
      </c>
      <c r="F9304" t="s">
        <v>22436</v>
      </c>
      <c r="G9304" t="s">
        <v>22444</v>
      </c>
      <c r="H9304" t="s">
        <v>22454</v>
      </c>
      <c r="I9304" t="s">
        <v>7738</v>
      </c>
      <c r="J9304" t="s">
        <v>28470</v>
      </c>
      <c r="K9304" t="s">
        <v>29333</v>
      </c>
      <c r="M9304" t="s">
        <v>31320</v>
      </c>
      <c r="N9304" t="s">
        <v>32524</v>
      </c>
      <c r="O9304" t="s">
        <v>32525</v>
      </c>
      <c r="P9304">
        <v>0</v>
      </c>
      <c r="Q9304">
        <v>0</v>
      </c>
      <c r="R9304" t="s">
        <v>32538</v>
      </c>
      <c r="S9304" t="s">
        <v>32872</v>
      </c>
      <c r="T9304" t="s">
        <v>33312</v>
      </c>
      <c r="U9304" t="s">
        <v>41321</v>
      </c>
      <c r="W9304" t="s">
        <v>31320</v>
      </c>
      <c r="X9304" t="s">
        <v>32539</v>
      </c>
    </row>
    <row r="9305" spans="1:24">
      <c r="A9305">
        <f>HYPERLINK("https://www.philgeps.gov.ph/GEPSNONPILOT/Tender/SplashBidNoticeAbstractUI.aspx?menuIndex=3&amp;refID=7024816&amp;Result=3","7024816")</f>
        <v>0</v>
      </c>
      <c r="B9305" t="s">
        <v>2518</v>
      </c>
      <c r="C9305" t="s">
        <v>4260</v>
      </c>
      <c r="D9305" t="s">
        <v>13010</v>
      </c>
      <c r="E9305" t="s">
        <v>13503</v>
      </c>
      <c r="F9305" t="s">
        <v>22436</v>
      </c>
      <c r="G9305" t="s">
        <v>22444</v>
      </c>
      <c r="H9305" t="s">
        <v>22452</v>
      </c>
      <c r="I9305" t="s">
        <v>3529</v>
      </c>
      <c r="J9305" t="s">
        <v>28471</v>
      </c>
      <c r="K9305" t="s">
        <v>29331</v>
      </c>
      <c r="M9305" t="s">
        <v>32325</v>
      </c>
      <c r="N9305" t="s">
        <v>32524</v>
      </c>
      <c r="O9305" t="s">
        <v>32525</v>
      </c>
      <c r="P9305">
        <v>0</v>
      </c>
      <c r="Q9305">
        <v>0</v>
      </c>
      <c r="R9305" t="s">
        <v>32538</v>
      </c>
      <c r="S9305" t="s">
        <v>32872</v>
      </c>
      <c r="T9305" t="s">
        <v>33241</v>
      </c>
      <c r="U9305" t="s">
        <v>41322</v>
      </c>
      <c r="W9305" t="s">
        <v>32325</v>
      </c>
      <c r="X9305" t="s">
        <v>32539</v>
      </c>
    </row>
    <row r="9306" spans="1:24">
      <c r="A9306">
        <f>HYPERLINK("https://www.philgeps.gov.ph/GEPSNONPILOT/Tender/SplashBidNoticeAbstractUI.aspx?menuIndex=3&amp;refID=7024806&amp;Result=3","7024806")</f>
        <v>0</v>
      </c>
      <c r="B9306" t="s">
        <v>171</v>
      </c>
      <c r="C9306" t="s">
        <v>11576</v>
      </c>
      <c r="D9306" t="s">
        <v>13025</v>
      </c>
      <c r="E9306" t="s">
        <v>21197</v>
      </c>
      <c r="F9306" t="s">
        <v>22436</v>
      </c>
      <c r="G9306" t="s">
        <v>22444</v>
      </c>
      <c r="H9306" t="s">
        <v>22452</v>
      </c>
      <c r="I9306" t="s">
        <v>22474</v>
      </c>
      <c r="J9306" t="s">
        <v>23226</v>
      </c>
      <c r="K9306" t="s">
        <v>29336</v>
      </c>
      <c r="M9306" t="s">
        <v>29743</v>
      </c>
      <c r="N9306" t="s">
        <v>32524</v>
      </c>
      <c r="O9306" t="s">
        <v>32525</v>
      </c>
      <c r="P9306">
        <v>0</v>
      </c>
      <c r="Q9306">
        <v>1</v>
      </c>
      <c r="R9306" t="s">
        <v>32538</v>
      </c>
      <c r="S9306" t="s">
        <v>32872</v>
      </c>
      <c r="T9306" t="s">
        <v>33186</v>
      </c>
      <c r="U9306" t="s">
        <v>41323</v>
      </c>
      <c r="W9306" t="s">
        <v>29743</v>
      </c>
      <c r="X9306" t="s">
        <v>32539</v>
      </c>
    </row>
    <row r="9307" spans="1:24">
      <c r="A9307">
        <f>HYPERLINK("https://www.philgeps.gov.ph/GEPSNONPILOT/Tender/SplashBidNoticeAbstractUI.aspx?menuIndex=3&amp;refID=7024952&amp;Result=3","7024952")</f>
        <v>0</v>
      </c>
      <c r="B9307" t="s">
        <v>2512</v>
      </c>
      <c r="C9307" t="s">
        <v>11577</v>
      </c>
      <c r="D9307" t="s">
        <v>13015</v>
      </c>
      <c r="E9307" t="s">
        <v>21198</v>
      </c>
      <c r="F9307" t="s">
        <v>22436</v>
      </c>
      <c r="G9307" t="s">
        <v>22444</v>
      </c>
      <c r="H9307" t="s">
        <v>22452</v>
      </c>
      <c r="I9307" t="s">
        <v>22465</v>
      </c>
      <c r="J9307" t="s">
        <v>28472</v>
      </c>
      <c r="K9307" t="s">
        <v>29341</v>
      </c>
      <c r="M9307" t="s">
        <v>32319</v>
      </c>
      <c r="N9307" t="s">
        <v>32524</v>
      </c>
      <c r="O9307" t="s">
        <v>32525</v>
      </c>
      <c r="P9307">
        <v>0</v>
      </c>
      <c r="Q9307">
        <v>0</v>
      </c>
      <c r="R9307" t="s">
        <v>32538</v>
      </c>
      <c r="S9307" t="s">
        <v>32872</v>
      </c>
      <c r="T9307" t="s">
        <v>33236</v>
      </c>
      <c r="U9307" t="s">
        <v>41324</v>
      </c>
      <c r="W9307" t="s">
        <v>43764</v>
      </c>
      <c r="X9307" t="s">
        <v>32539</v>
      </c>
    </row>
    <row r="9308" spans="1:24">
      <c r="A9308">
        <f>HYPERLINK("https://www.philgeps.gov.ph/GEPSNONPILOT/Tender/SplashBidNoticeAbstractUI.aspx?menuIndex=3&amp;refID=7024932&amp;Result=3","7024932")</f>
        <v>0</v>
      </c>
      <c r="B9308" t="s">
        <v>2444</v>
      </c>
      <c r="C9308" t="s">
        <v>11578</v>
      </c>
      <c r="D9308" t="s">
        <v>13042</v>
      </c>
      <c r="E9308" t="s">
        <v>14621</v>
      </c>
      <c r="F9308" t="s">
        <v>22436</v>
      </c>
      <c r="G9308" t="s">
        <v>22444</v>
      </c>
      <c r="H9308" t="s">
        <v>22454</v>
      </c>
      <c r="I9308" t="s">
        <v>22558</v>
      </c>
      <c r="J9308" t="s">
        <v>22960</v>
      </c>
      <c r="K9308" t="s">
        <v>29331</v>
      </c>
      <c r="M9308" t="s">
        <v>32248</v>
      </c>
      <c r="N9308" t="s">
        <v>32524</v>
      </c>
      <c r="O9308" t="s">
        <v>32525</v>
      </c>
      <c r="P9308">
        <v>0</v>
      </c>
      <c r="Q9308">
        <v>0</v>
      </c>
      <c r="R9308" t="s">
        <v>32538</v>
      </c>
      <c r="S9308" t="s">
        <v>32872</v>
      </c>
      <c r="T9308" t="s">
        <v>33168</v>
      </c>
      <c r="U9308" t="s">
        <v>41325</v>
      </c>
      <c r="V9308" t="s">
        <v>43462</v>
      </c>
      <c r="W9308" t="s">
        <v>32248</v>
      </c>
      <c r="X9308" t="s">
        <v>32539</v>
      </c>
    </row>
    <row r="9309" spans="1:24">
      <c r="A9309">
        <f>HYPERLINK("https://www.philgeps.gov.ph/GEPSNONPILOT/Tender/SplashBidNoticeAbstractUI.aspx?menuIndex=3&amp;refID=7024906&amp;Result=3","7024906")</f>
        <v>0</v>
      </c>
      <c r="B9309" t="s">
        <v>978</v>
      </c>
      <c r="C9309" t="s">
        <v>11579</v>
      </c>
      <c r="D9309" t="s">
        <v>13032</v>
      </c>
      <c r="E9309" t="s">
        <v>21199</v>
      </c>
      <c r="F9309" t="s">
        <v>22436</v>
      </c>
      <c r="G9309" t="s">
        <v>22444</v>
      </c>
      <c r="H9309" t="s">
        <v>22454</v>
      </c>
      <c r="I9309" t="s">
        <v>7738</v>
      </c>
      <c r="J9309" t="s">
        <v>28473</v>
      </c>
      <c r="K9309" t="s">
        <v>29334</v>
      </c>
      <c r="M9309" t="s">
        <v>30599</v>
      </c>
      <c r="N9309" t="s">
        <v>32524</v>
      </c>
      <c r="O9309" t="s">
        <v>32525</v>
      </c>
      <c r="P9309">
        <v>0</v>
      </c>
      <c r="Q9309">
        <v>0</v>
      </c>
      <c r="R9309" t="s">
        <v>32538</v>
      </c>
      <c r="S9309" t="s">
        <v>32872</v>
      </c>
      <c r="T9309" t="s">
        <v>33249</v>
      </c>
      <c r="U9309" t="s">
        <v>41326</v>
      </c>
      <c r="V9309" t="s">
        <v>42675</v>
      </c>
      <c r="W9309" t="s">
        <v>30599</v>
      </c>
      <c r="X9309" t="s">
        <v>32539</v>
      </c>
    </row>
    <row r="9310" spans="1:24">
      <c r="A9310">
        <f>HYPERLINK("https://www.philgeps.gov.ph/GEPSNONPILOT/Tender/SplashBidNoticeAbstractUI.aspx?menuIndex=3&amp;refID=7024825&amp;Result=3","7024825")</f>
        <v>0</v>
      </c>
      <c r="B9310" t="s">
        <v>2514</v>
      </c>
      <c r="C9310" t="s">
        <v>11580</v>
      </c>
      <c r="D9310" t="s">
        <v>13012</v>
      </c>
      <c r="E9310" t="s">
        <v>21200</v>
      </c>
      <c r="F9310" t="s">
        <v>22436</v>
      </c>
      <c r="G9310" t="s">
        <v>22444</v>
      </c>
      <c r="H9310" t="s">
        <v>22454</v>
      </c>
      <c r="I9310" t="s">
        <v>7738</v>
      </c>
      <c r="J9310" t="s">
        <v>24904</v>
      </c>
      <c r="K9310" t="s">
        <v>29463</v>
      </c>
      <c r="M9310" t="s">
        <v>32321</v>
      </c>
      <c r="N9310" t="s">
        <v>32524</v>
      </c>
      <c r="O9310" t="s">
        <v>32525</v>
      </c>
      <c r="Q9310">
        <v>7</v>
      </c>
      <c r="R9310" t="s">
        <v>32538</v>
      </c>
      <c r="S9310" t="s">
        <v>32902</v>
      </c>
      <c r="T9310" t="s">
        <v>33230</v>
      </c>
      <c r="U9310" t="s">
        <v>41310</v>
      </c>
      <c r="W9310" t="s">
        <v>32321</v>
      </c>
      <c r="X9310" t="s">
        <v>32539</v>
      </c>
    </row>
    <row r="9311" spans="1:24">
      <c r="A9311">
        <f>HYPERLINK("https://www.philgeps.gov.ph/GEPSNONPILOT/Tender/SplashBidNoticeAbstractUI.aspx?menuIndex=3&amp;refID=7024904&amp;Result=3","7024904")</f>
        <v>0</v>
      </c>
      <c r="B9311" t="s">
        <v>2515</v>
      </c>
      <c r="C9311" t="s">
        <v>11581</v>
      </c>
      <c r="D9311" t="s">
        <v>13037</v>
      </c>
      <c r="E9311" t="s">
        <v>21201</v>
      </c>
      <c r="F9311" t="s">
        <v>22436</v>
      </c>
      <c r="G9311" t="s">
        <v>22444</v>
      </c>
      <c r="H9311" t="s">
        <v>22454</v>
      </c>
      <c r="I9311" t="s">
        <v>7738</v>
      </c>
      <c r="J9311" t="s">
        <v>28474</v>
      </c>
      <c r="K9311" t="s">
        <v>29362</v>
      </c>
      <c r="M9311" t="s">
        <v>32322</v>
      </c>
      <c r="N9311" t="s">
        <v>32524</v>
      </c>
      <c r="O9311" t="s">
        <v>32525</v>
      </c>
      <c r="P9311">
        <v>0</v>
      </c>
      <c r="Q9311">
        <v>0</v>
      </c>
      <c r="R9311" t="s">
        <v>32538</v>
      </c>
      <c r="S9311" t="s">
        <v>32872</v>
      </c>
      <c r="T9311" t="s">
        <v>33234</v>
      </c>
      <c r="U9311" t="s">
        <v>41327</v>
      </c>
      <c r="W9311" t="s">
        <v>32322</v>
      </c>
      <c r="X9311" t="s">
        <v>32539</v>
      </c>
    </row>
    <row r="9312" spans="1:24">
      <c r="A9312">
        <f>HYPERLINK("https://www.philgeps.gov.ph/GEPSNONPILOT/Tender/SplashBidNoticeAbstractUI.aspx?menuIndex=3&amp;refID=7024939&amp;Result=3","7024939")</f>
        <v>0</v>
      </c>
      <c r="B9312" t="s">
        <v>124</v>
      </c>
      <c r="C9312" t="s">
        <v>11582</v>
      </c>
      <c r="D9312" t="s">
        <v>13031</v>
      </c>
      <c r="E9312" t="s">
        <v>21202</v>
      </c>
      <c r="F9312" t="s">
        <v>22436</v>
      </c>
      <c r="G9312" t="s">
        <v>22444</v>
      </c>
      <c r="H9312" t="s">
        <v>22452</v>
      </c>
      <c r="I9312" t="s">
        <v>22483</v>
      </c>
      <c r="J9312" t="s">
        <v>28475</v>
      </c>
      <c r="K9312" t="s">
        <v>29338</v>
      </c>
      <c r="M9312" t="s">
        <v>30213</v>
      </c>
      <c r="N9312" t="s">
        <v>32524</v>
      </c>
      <c r="O9312" t="s">
        <v>32525</v>
      </c>
      <c r="Q9312">
        <v>6</v>
      </c>
      <c r="R9312" t="s">
        <v>32538</v>
      </c>
      <c r="S9312" t="s">
        <v>32903</v>
      </c>
      <c r="T9312" t="s">
        <v>33252</v>
      </c>
      <c r="U9312" t="s">
        <v>41328</v>
      </c>
      <c r="W9312" t="s">
        <v>30213</v>
      </c>
      <c r="X9312" t="s">
        <v>32539</v>
      </c>
    </row>
    <row r="9313" spans="1:24">
      <c r="A9313">
        <f>HYPERLINK("https://www.philgeps.gov.ph/GEPSNONPILOT/Tender/SplashBidNoticeAbstractUI.aspx?menuIndex=3&amp;refID=7024873&amp;Result=3","7024873")</f>
        <v>0</v>
      </c>
      <c r="B9313" t="s">
        <v>479</v>
      </c>
      <c r="C9313" t="s">
        <v>11583</v>
      </c>
      <c r="D9313" t="s">
        <v>13008</v>
      </c>
      <c r="E9313" t="s">
        <v>21203</v>
      </c>
      <c r="F9313" t="s">
        <v>22436</v>
      </c>
      <c r="G9313" t="s">
        <v>22444</v>
      </c>
      <c r="H9313" t="s">
        <v>22452</v>
      </c>
      <c r="I9313" t="s">
        <v>22463</v>
      </c>
      <c r="J9313" t="s">
        <v>28476</v>
      </c>
      <c r="K9313" t="s">
        <v>29335</v>
      </c>
      <c r="M9313" t="s">
        <v>30063</v>
      </c>
      <c r="N9313" t="s">
        <v>32524</v>
      </c>
      <c r="O9313" t="s">
        <v>32525</v>
      </c>
      <c r="P9313">
        <v>0</v>
      </c>
      <c r="Q9313">
        <v>3</v>
      </c>
      <c r="R9313" t="s">
        <v>32538</v>
      </c>
      <c r="S9313" t="s">
        <v>32872</v>
      </c>
      <c r="T9313" t="s">
        <v>33259</v>
      </c>
      <c r="U9313" t="s">
        <v>41329</v>
      </c>
      <c r="W9313" t="s">
        <v>30063</v>
      </c>
      <c r="X9313" t="s">
        <v>32539</v>
      </c>
    </row>
    <row r="9314" spans="1:24">
      <c r="A9314">
        <f>HYPERLINK("https://www.philgeps.gov.ph/GEPSNONPILOT/Tender/SplashBidNoticeAbstractUI.aspx?menuIndex=3&amp;refID=7024953&amp;Result=3","7024953")</f>
        <v>0</v>
      </c>
      <c r="B9314" t="s">
        <v>124</v>
      </c>
      <c r="C9314" t="s">
        <v>11584</v>
      </c>
      <c r="D9314" t="s">
        <v>13031</v>
      </c>
      <c r="E9314" t="s">
        <v>21204</v>
      </c>
      <c r="F9314" t="s">
        <v>22436</v>
      </c>
      <c r="G9314" t="s">
        <v>22444</v>
      </c>
      <c r="H9314" t="s">
        <v>22452</v>
      </c>
      <c r="I9314" t="s">
        <v>22474</v>
      </c>
      <c r="J9314" t="s">
        <v>28477</v>
      </c>
      <c r="K9314" t="s">
        <v>29338</v>
      </c>
      <c r="M9314" t="s">
        <v>30213</v>
      </c>
      <c r="N9314" t="s">
        <v>32524</v>
      </c>
      <c r="O9314" t="s">
        <v>32525</v>
      </c>
      <c r="Q9314">
        <v>3</v>
      </c>
      <c r="R9314" t="s">
        <v>32538</v>
      </c>
      <c r="S9314" t="s">
        <v>32904</v>
      </c>
      <c r="T9314" t="s">
        <v>33252</v>
      </c>
      <c r="U9314" t="s">
        <v>41330</v>
      </c>
      <c r="W9314" t="s">
        <v>30213</v>
      </c>
      <c r="X9314" t="s">
        <v>32539</v>
      </c>
    </row>
    <row r="9315" spans="1:24">
      <c r="A9315">
        <f>HYPERLINK("https://www.philgeps.gov.ph/GEPSNONPILOT/Tender/SplashBidNoticeAbstractUI.aspx?menuIndex=3&amp;refID=7024793&amp;Result=3","7024793")</f>
        <v>0</v>
      </c>
      <c r="B9315" t="s">
        <v>2514</v>
      </c>
      <c r="C9315" t="s">
        <v>11585</v>
      </c>
      <c r="D9315" t="s">
        <v>13012</v>
      </c>
      <c r="E9315" t="s">
        <v>21205</v>
      </c>
      <c r="F9315" t="s">
        <v>22436</v>
      </c>
      <c r="G9315" t="s">
        <v>22444</v>
      </c>
      <c r="H9315" t="s">
        <v>22454</v>
      </c>
      <c r="I9315" t="s">
        <v>7738</v>
      </c>
      <c r="J9315" t="s">
        <v>28478</v>
      </c>
      <c r="K9315" t="s">
        <v>29445</v>
      </c>
      <c r="M9315" t="s">
        <v>32321</v>
      </c>
      <c r="N9315" t="s">
        <v>32524</v>
      </c>
      <c r="O9315" t="s">
        <v>32525</v>
      </c>
      <c r="Q9315">
        <v>4</v>
      </c>
      <c r="R9315" t="s">
        <v>32538</v>
      </c>
      <c r="S9315" t="s">
        <v>32905</v>
      </c>
      <c r="T9315" t="s">
        <v>33230</v>
      </c>
      <c r="U9315" t="s">
        <v>41310</v>
      </c>
      <c r="W9315" t="s">
        <v>32321</v>
      </c>
      <c r="X9315" t="s">
        <v>32539</v>
      </c>
    </row>
    <row r="9316" spans="1:24">
      <c r="A9316">
        <f>HYPERLINK("https://www.philgeps.gov.ph/GEPSNONPILOT/Tender/SplashBidNoticeAbstractUI.aspx?menuIndex=3&amp;refID=7024984&amp;Result=3","7024984")</f>
        <v>0</v>
      </c>
      <c r="B9316" t="s">
        <v>1959</v>
      </c>
      <c r="C9316" t="s">
        <v>11586</v>
      </c>
      <c r="D9316" t="s">
        <v>13004</v>
      </c>
      <c r="E9316" t="s">
        <v>21206</v>
      </c>
      <c r="F9316" t="s">
        <v>22436</v>
      </c>
      <c r="G9316" t="s">
        <v>22444</v>
      </c>
      <c r="H9316" t="s">
        <v>22454</v>
      </c>
      <c r="I9316" t="s">
        <v>7738</v>
      </c>
      <c r="J9316" t="s">
        <v>28479</v>
      </c>
      <c r="K9316" t="s">
        <v>29338</v>
      </c>
      <c r="M9316" t="s">
        <v>31689</v>
      </c>
      <c r="N9316" t="s">
        <v>32524</v>
      </c>
      <c r="O9316" t="s">
        <v>32525</v>
      </c>
      <c r="P9316">
        <v>0</v>
      </c>
      <c r="Q9316">
        <v>1</v>
      </c>
      <c r="R9316" t="s">
        <v>32538</v>
      </c>
      <c r="S9316" t="s">
        <v>32872</v>
      </c>
      <c r="T9316" t="s">
        <v>33487</v>
      </c>
      <c r="U9316" t="s">
        <v>41331</v>
      </c>
      <c r="W9316" t="s">
        <v>31689</v>
      </c>
      <c r="X9316" t="s">
        <v>32539</v>
      </c>
    </row>
    <row r="9317" spans="1:24">
      <c r="A9317">
        <f>HYPERLINK("https://www.philgeps.gov.ph/GEPSNONPILOT/Tender/SplashBidNoticeAbstractUI.aspx?menuIndex=3&amp;refID=7024929&amp;Result=3","7024929")</f>
        <v>0</v>
      </c>
      <c r="B9317" t="s">
        <v>2515</v>
      </c>
      <c r="C9317" t="s">
        <v>11587</v>
      </c>
      <c r="D9317" t="s">
        <v>13037</v>
      </c>
      <c r="E9317" t="s">
        <v>21207</v>
      </c>
      <c r="F9317" t="s">
        <v>22436</v>
      </c>
      <c r="G9317" t="s">
        <v>22444</v>
      </c>
      <c r="H9317" t="s">
        <v>22454</v>
      </c>
      <c r="I9317" t="s">
        <v>7738</v>
      </c>
      <c r="J9317" t="s">
        <v>28480</v>
      </c>
      <c r="K9317" t="s">
        <v>29335</v>
      </c>
      <c r="M9317" t="s">
        <v>32322</v>
      </c>
      <c r="N9317" t="s">
        <v>32524</v>
      </c>
      <c r="O9317" t="s">
        <v>32525</v>
      </c>
      <c r="P9317">
        <v>0</v>
      </c>
      <c r="Q9317">
        <v>0</v>
      </c>
      <c r="R9317" t="s">
        <v>32538</v>
      </c>
      <c r="S9317" t="s">
        <v>32872</v>
      </c>
      <c r="T9317" t="s">
        <v>33234</v>
      </c>
      <c r="U9317" t="s">
        <v>41332</v>
      </c>
      <c r="W9317" t="s">
        <v>32322</v>
      </c>
      <c r="X9317" t="s">
        <v>32539</v>
      </c>
    </row>
    <row r="9318" spans="1:24">
      <c r="A9318">
        <f>HYPERLINK("https://www.philgeps.gov.ph/GEPSNONPILOT/Tender/SplashBidNoticeAbstractUI.aspx?menuIndex=3&amp;refID=7024878&amp;Result=3","7024878")</f>
        <v>0</v>
      </c>
      <c r="B9318" t="s">
        <v>2515</v>
      </c>
      <c r="C9318" t="s">
        <v>11588</v>
      </c>
      <c r="D9318" t="s">
        <v>13037</v>
      </c>
      <c r="E9318" t="s">
        <v>21208</v>
      </c>
      <c r="F9318" t="s">
        <v>22436</v>
      </c>
      <c r="G9318" t="s">
        <v>22444</v>
      </c>
      <c r="H9318" t="s">
        <v>22454</v>
      </c>
      <c r="I9318" t="s">
        <v>7738</v>
      </c>
      <c r="J9318" t="s">
        <v>28481</v>
      </c>
      <c r="K9318" t="s">
        <v>29419</v>
      </c>
      <c r="M9318" t="s">
        <v>32322</v>
      </c>
      <c r="N9318" t="s">
        <v>32524</v>
      </c>
      <c r="O9318" t="s">
        <v>32525</v>
      </c>
      <c r="P9318">
        <v>0</v>
      </c>
      <c r="Q9318">
        <v>0</v>
      </c>
      <c r="R9318" t="s">
        <v>32538</v>
      </c>
      <c r="S9318" t="s">
        <v>32872</v>
      </c>
      <c r="T9318" t="s">
        <v>33234</v>
      </c>
      <c r="U9318" t="s">
        <v>41333</v>
      </c>
      <c r="W9318" t="s">
        <v>32322</v>
      </c>
      <c r="X9318" t="s">
        <v>32539</v>
      </c>
    </row>
    <row r="9319" spans="1:24">
      <c r="A9319">
        <f>HYPERLINK("https://www.philgeps.gov.ph/GEPSNONPILOT/Tender/SplashBidNoticeAbstractUI.aspx?menuIndex=3&amp;refID=7024954&amp;Result=3","7024954")</f>
        <v>0</v>
      </c>
      <c r="B9319" t="s">
        <v>1796</v>
      </c>
      <c r="C9319" t="s">
        <v>11589</v>
      </c>
      <c r="D9319" t="s">
        <v>12997</v>
      </c>
      <c r="E9319" t="s">
        <v>21209</v>
      </c>
      <c r="F9319" t="s">
        <v>22436</v>
      </c>
      <c r="G9319" t="s">
        <v>22443</v>
      </c>
      <c r="H9319" t="s">
        <v>22452</v>
      </c>
      <c r="I9319" t="s">
        <v>22494</v>
      </c>
      <c r="J9319" t="s">
        <v>22878</v>
      </c>
      <c r="K9319" t="s">
        <v>29357</v>
      </c>
      <c r="M9319" t="s">
        <v>31507</v>
      </c>
      <c r="N9319" t="s">
        <v>32524</v>
      </c>
      <c r="O9319" t="s">
        <v>32525</v>
      </c>
      <c r="P9319">
        <v>0</v>
      </c>
      <c r="Q9319">
        <v>0</v>
      </c>
      <c r="R9319" t="s">
        <v>32538</v>
      </c>
      <c r="S9319" t="s">
        <v>32872</v>
      </c>
      <c r="T9319" t="s">
        <v>33270</v>
      </c>
      <c r="U9319" t="s">
        <v>41334</v>
      </c>
      <c r="W9319" t="s">
        <v>31507</v>
      </c>
      <c r="X9319" t="s">
        <v>32539</v>
      </c>
    </row>
    <row r="9320" spans="1:24">
      <c r="A9320">
        <f>HYPERLINK("https://www.philgeps.gov.ph/GEPSNONPILOT/Tender/SplashBidNoticeAbstractUI.aspx?menuIndex=3&amp;refID=7024997&amp;Result=3","7024997")</f>
        <v>0</v>
      </c>
      <c r="B9320" t="s">
        <v>124</v>
      </c>
      <c r="C9320" t="s">
        <v>11590</v>
      </c>
      <c r="D9320" t="s">
        <v>13031</v>
      </c>
      <c r="E9320" t="s">
        <v>21210</v>
      </c>
      <c r="F9320" t="s">
        <v>22436</v>
      </c>
      <c r="G9320" t="s">
        <v>22444</v>
      </c>
      <c r="H9320" t="s">
        <v>22452</v>
      </c>
      <c r="I9320" t="s">
        <v>11896</v>
      </c>
      <c r="J9320" t="s">
        <v>28482</v>
      </c>
      <c r="K9320" t="s">
        <v>29338</v>
      </c>
      <c r="M9320" t="s">
        <v>30213</v>
      </c>
      <c r="N9320" t="s">
        <v>32524</v>
      </c>
      <c r="O9320" t="s">
        <v>32525</v>
      </c>
      <c r="Q9320">
        <v>2</v>
      </c>
      <c r="R9320" t="s">
        <v>32538</v>
      </c>
      <c r="S9320" t="s">
        <v>32906</v>
      </c>
      <c r="T9320" t="s">
        <v>33252</v>
      </c>
      <c r="U9320" t="s">
        <v>41335</v>
      </c>
      <c r="W9320" t="s">
        <v>30213</v>
      </c>
      <c r="X9320" t="s">
        <v>32539</v>
      </c>
    </row>
    <row r="9321" spans="1:24">
      <c r="A9321">
        <f>HYPERLINK("https://www.philgeps.gov.ph/GEPSNONPILOT/Tender/SplashBidNoticeAbstractUI.aspx?menuIndex=3&amp;refID=7024922&amp;Result=3","7024922")</f>
        <v>0</v>
      </c>
      <c r="B9321" t="s">
        <v>124</v>
      </c>
      <c r="C9321" t="s">
        <v>11591</v>
      </c>
      <c r="D9321" t="s">
        <v>13031</v>
      </c>
      <c r="E9321" t="s">
        <v>21211</v>
      </c>
      <c r="F9321" t="s">
        <v>22436</v>
      </c>
      <c r="G9321" t="s">
        <v>22444</v>
      </c>
      <c r="H9321" t="s">
        <v>22452</v>
      </c>
      <c r="I9321" t="s">
        <v>22474</v>
      </c>
      <c r="J9321" t="s">
        <v>22960</v>
      </c>
      <c r="K9321" t="s">
        <v>29338</v>
      </c>
      <c r="M9321" t="s">
        <v>30213</v>
      </c>
      <c r="N9321" t="s">
        <v>32524</v>
      </c>
      <c r="O9321" t="s">
        <v>32525</v>
      </c>
      <c r="Q9321">
        <v>3</v>
      </c>
      <c r="R9321" t="s">
        <v>32538</v>
      </c>
      <c r="S9321" t="s">
        <v>32907</v>
      </c>
      <c r="T9321" t="s">
        <v>33252</v>
      </c>
      <c r="U9321" t="s">
        <v>41336</v>
      </c>
      <c r="W9321" t="s">
        <v>30213</v>
      </c>
      <c r="X9321" t="s">
        <v>32539</v>
      </c>
    </row>
    <row r="9322" spans="1:24">
      <c r="A9322">
        <f>HYPERLINK("https://www.philgeps.gov.ph/GEPSNONPILOT/Tender/SplashBidNoticeAbstractUI.aspx?menuIndex=3&amp;refID=7025000&amp;Result=3","7025000")</f>
        <v>0</v>
      </c>
      <c r="B9322" t="s">
        <v>2519</v>
      </c>
      <c r="C9322" t="s">
        <v>11592</v>
      </c>
      <c r="D9322" t="s">
        <v>13020</v>
      </c>
      <c r="E9322" t="s">
        <v>21212</v>
      </c>
      <c r="F9322" t="s">
        <v>22436</v>
      </c>
      <c r="G9322" t="s">
        <v>22444</v>
      </c>
      <c r="H9322" t="s">
        <v>22454</v>
      </c>
      <c r="I9322" t="s">
        <v>7738</v>
      </c>
      <c r="J9322" t="s">
        <v>23182</v>
      </c>
      <c r="K9322" t="s">
        <v>29333</v>
      </c>
      <c r="M9322" t="s">
        <v>32326</v>
      </c>
      <c r="N9322" t="s">
        <v>32524</v>
      </c>
      <c r="O9322" t="s">
        <v>32525</v>
      </c>
      <c r="P9322">
        <v>0</v>
      </c>
      <c r="Q9322">
        <v>1</v>
      </c>
      <c r="R9322" t="s">
        <v>32538</v>
      </c>
      <c r="S9322" t="s">
        <v>32872</v>
      </c>
      <c r="T9322" t="s">
        <v>33173</v>
      </c>
      <c r="U9322" t="s">
        <v>41337</v>
      </c>
      <c r="W9322" t="s">
        <v>32326</v>
      </c>
      <c r="X9322" t="s">
        <v>32539</v>
      </c>
    </row>
    <row r="9323" spans="1:24">
      <c r="A9323">
        <f>HYPERLINK("https://www.philgeps.gov.ph/GEPSNONPILOT/Tender/SplashBidNoticeAbstractUI.aspx?menuIndex=3&amp;refID=7024884&amp;Result=3","7024884")</f>
        <v>0</v>
      </c>
      <c r="B9323" t="s">
        <v>124</v>
      </c>
      <c r="C9323" t="s">
        <v>11593</v>
      </c>
      <c r="D9323" t="s">
        <v>13031</v>
      </c>
      <c r="E9323" t="s">
        <v>21213</v>
      </c>
      <c r="F9323" t="s">
        <v>22436</v>
      </c>
      <c r="G9323" t="s">
        <v>22444</v>
      </c>
      <c r="H9323" t="s">
        <v>22452</v>
      </c>
      <c r="I9323" t="s">
        <v>22482</v>
      </c>
      <c r="J9323" t="s">
        <v>28483</v>
      </c>
      <c r="K9323" t="s">
        <v>29338</v>
      </c>
      <c r="M9323" t="s">
        <v>30213</v>
      </c>
      <c r="N9323" t="s">
        <v>32524</v>
      </c>
      <c r="O9323" t="s">
        <v>32525</v>
      </c>
      <c r="Q9323">
        <v>14</v>
      </c>
      <c r="R9323" t="s">
        <v>32538</v>
      </c>
      <c r="S9323" t="s">
        <v>32661</v>
      </c>
      <c r="T9323" t="s">
        <v>33252</v>
      </c>
      <c r="U9323" t="s">
        <v>41338</v>
      </c>
      <c r="W9323" t="s">
        <v>30213</v>
      </c>
      <c r="X9323" t="s">
        <v>32539</v>
      </c>
    </row>
    <row r="9324" spans="1:24">
      <c r="A9324">
        <f>HYPERLINK("https://www.philgeps.gov.ph/GEPSNONPILOT/Tender/SplashBidNoticeAbstractUI.aspx?menuIndex=3&amp;refID=7024917&amp;Result=3","7024917")</f>
        <v>0</v>
      </c>
      <c r="B9324" t="s">
        <v>2520</v>
      </c>
      <c r="C9324" t="s">
        <v>11594</v>
      </c>
      <c r="D9324" t="s">
        <v>13037</v>
      </c>
      <c r="E9324" t="s">
        <v>21214</v>
      </c>
      <c r="F9324" t="s">
        <v>22436</v>
      </c>
      <c r="G9324" t="s">
        <v>22444</v>
      </c>
      <c r="H9324" t="s">
        <v>22454</v>
      </c>
      <c r="I9324" t="s">
        <v>7738</v>
      </c>
      <c r="J9324" t="s">
        <v>28484</v>
      </c>
      <c r="K9324" t="s">
        <v>29341</v>
      </c>
      <c r="M9324" t="s">
        <v>32327</v>
      </c>
      <c r="N9324" t="s">
        <v>32524</v>
      </c>
      <c r="O9324" t="s">
        <v>32525</v>
      </c>
      <c r="P9324">
        <v>0</v>
      </c>
      <c r="Q9324">
        <v>1</v>
      </c>
      <c r="R9324" t="s">
        <v>32538</v>
      </c>
      <c r="S9324" t="s">
        <v>32872</v>
      </c>
      <c r="T9324" t="s">
        <v>33171</v>
      </c>
      <c r="U9324" t="s">
        <v>41339</v>
      </c>
      <c r="W9324" t="s">
        <v>32327</v>
      </c>
      <c r="X9324" t="s">
        <v>32539</v>
      </c>
    </row>
    <row r="9325" spans="1:24">
      <c r="A9325">
        <f>HYPERLINK("https://www.philgeps.gov.ph/GEPSNONPILOT/Tender/SplashBidNoticeAbstractUI.aspx?menuIndex=3&amp;refID=7024877&amp;Result=3","7024877")</f>
        <v>0</v>
      </c>
      <c r="B9325" t="s">
        <v>2520</v>
      </c>
      <c r="C9325" t="s">
        <v>11595</v>
      </c>
      <c r="D9325" t="s">
        <v>13037</v>
      </c>
      <c r="E9325" t="s">
        <v>21215</v>
      </c>
      <c r="F9325" t="s">
        <v>22436</v>
      </c>
      <c r="G9325" t="s">
        <v>22444</v>
      </c>
      <c r="H9325" t="s">
        <v>22454</v>
      </c>
      <c r="I9325" t="s">
        <v>7738</v>
      </c>
      <c r="J9325" t="s">
        <v>28485</v>
      </c>
      <c r="K9325" t="s">
        <v>29412</v>
      </c>
      <c r="M9325" t="s">
        <v>32327</v>
      </c>
      <c r="N9325" t="s">
        <v>32524</v>
      </c>
      <c r="O9325" t="s">
        <v>32525</v>
      </c>
      <c r="P9325">
        <v>0</v>
      </c>
      <c r="Q9325">
        <v>0</v>
      </c>
      <c r="R9325" t="s">
        <v>32538</v>
      </c>
      <c r="S9325" t="s">
        <v>32872</v>
      </c>
      <c r="T9325" t="s">
        <v>33171</v>
      </c>
      <c r="U9325" t="s">
        <v>41340</v>
      </c>
      <c r="W9325" t="s">
        <v>32327</v>
      </c>
      <c r="X9325" t="s">
        <v>32539</v>
      </c>
    </row>
    <row r="9326" spans="1:24">
      <c r="A9326">
        <f>HYPERLINK("https://www.philgeps.gov.ph/GEPSNONPILOT/Tender/SplashBidNoticeAbstractUI.aspx?menuIndex=3&amp;refID=7024957&amp;Result=3","7024957")</f>
        <v>0</v>
      </c>
      <c r="B9326" t="s">
        <v>2521</v>
      </c>
      <c r="C9326" t="s">
        <v>11596</v>
      </c>
      <c r="D9326" t="s">
        <v>13051</v>
      </c>
      <c r="E9326" t="s">
        <v>14741</v>
      </c>
      <c r="F9326" t="s">
        <v>22436</v>
      </c>
      <c r="G9326" t="s">
        <v>22444</v>
      </c>
      <c r="H9326" t="s">
        <v>22454</v>
      </c>
      <c r="I9326" t="s">
        <v>7738</v>
      </c>
      <c r="J9326" t="s">
        <v>22624</v>
      </c>
      <c r="K9326" t="s">
        <v>29344</v>
      </c>
      <c r="M9326" t="s">
        <v>32328</v>
      </c>
      <c r="N9326" t="s">
        <v>32524</v>
      </c>
      <c r="O9326" t="s">
        <v>32525</v>
      </c>
      <c r="P9326">
        <v>0</v>
      </c>
      <c r="Q9326">
        <v>0</v>
      </c>
      <c r="R9326" t="s">
        <v>32538</v>
      </c>
      <c r="S9326" t="s">
        <v>32872</v>
      </c>
      <c r="T9326" t="s">
        <v>33345</v>
      </c>
      <c r="U9326" t="s">
        <v>41341</v>
      </c>
      <c r="W9326" t="s">
        <v>32328</v>
      </c>
      <c r="X9326" t="s">
        <v>32539</v>
      </c>
    </row>
    <row r="9327" spans="1:24">
      <c r="A9327">
        <f>HYPERLINK("https://www.philgeps.gov.ph/GEPSNONPILOT/Tender/SplashBidNoticeAbstractUI.aspx?menuIndex=3&amp;refID=7024876&amp;Result=3","7024876")</f>
        <v>0</v>
      </c>
      <c r="B9327" t="s">
        <v>1796</v>
      </c>
      <c r="C9327" t="s">
        <v>11589</v>
      </c>
      <c r="D9327" t="s">
        <v>12997</v>
      </c>
      <c r="E9327" t="s">
        <v>21216</v>
      </c>
      <c r="F9327" t="s">
        <v>22436</v>
      </c>
      <c r="G9327" t="s">
        <v>22443</v>
      </c>
      <c r="H9327" t="s">
        <v>22452</v>
      </c>
      <c r="I9327" t="s">
        <v>22494</v>
      </c>
      <c r="J9327" t="s">
        <v>23702</v>
      </c>
      <c r="K9327" t="s">
        <v>29357</v>
      </c>
      <c r="M9327" t="s">
        <v>31507</v>
      </c>
      <c r="N9327" t="s">
        <v>32524</v>
      </c>
      <c r="O9327" t="s">
        <v>32525</v>
      </c>
      <c r="P9327">
        <v>0</v>
      </c>
      <c r="Q9327">
        <v>0</v>
      </c>
      <c r="R9327" t="s">
        <v>32538</v>
      </c>
      <c r="S9327" t="s">
        <v>32872</v>
      </c>
      <c r="T9327" t="s">
        <v>33367</v>
      </c>
      <c r="U9327" t="s">
        <v>41342</v>
      </c>
      <c r="W9327" t="s">
        <v>31507</v>
      </c>
      <c r="X9327" t="s">
        <v>32539</v>
      </c>
    </row>
    <row r="9328" spans="1:24">
      <c r="A9328">
        <f>HYPERLINK("https://www.philgeps.gov.ph/GEPSNONPILOT/Tender/SplashBidNoticeAbstractUI.aspx?menuIndex=3&amp;refID=7024753&amp;Result=3","7024753")</f>
        <v>0</v>
      </c>
      <c r="B9328" t="s">
        <v>1796</v>
      </c>
      <c r="C9328" t="s">
        <v>11597</v>
      </c>
      <c r="D9328" t="s">
        <v>12997</v>
      </c>
      <c r="E9328" t="s">
        <v>21217</v>
      </c>
      <c r="F9328" t="s">
        <v>22436</v>
      </c>
      <c r="G9328" t="s">
        <v>22443</v>
      </c>
      <c r="H9328" t="s">
        <v>22452</v>
      </c>
      <c r="I9328" t="s">
        <v>22494</v>
      </c>
      <c r="J9328" t="s">
        <v>28486</v>
      </c>
      <c r="K9328" t="s">
        <v>29357</v>
      </c>
      <c r="M9328" t="s">
        <v>31507</v>
      </c>
      <c r="N9328" t="s">
        <v>32524</v>
      </c>
      <c r="O9328" t="s">
        <v>32525</v>
      </c>
      <c r="P9328">
        <v>0</v>
      </c>
      <c r="Q9328">
        <v>0</v>
      </c>
      <c r="R9328" t="s">
        <v>32538</v>
      </c>
      <c r="S9328" t="s">
        <v>32872</v>
      </c>
      <c r="T9328" t="s">
        <v>33220</v>
      </c>
      <c r="U9328" t="s">
        <v>41343</v>
      </c>
      <c r="W9328" t="s">
        <v>31507</v>
      </c>
      <c r="X9328" t="s">
        <v>32539</v>
      </c>
    </row>
    <row r="9329" spans="1:24">
      <c r="A9329">
        <f>HYPERLINK("https://www.philgeps.gov.ph/GEPSNONPILOT/Tender/SplashBidNoticeAbstractUI.aspx?menuIndex=3&amp;refID=7024783&amp;Result=3","7024783")</f>
        <v>0</v>
      </c>
      <c r="B9329" t="s">
        <v>2522</v>
      </c>
      <c r="C9329" t="s">
        <v>11598</v>
      </c>
      <c r="D9329" t="s">
        <v>13045</v>
      </c>
      <c r="E9329" t="s">
        <v>21218</v>
      </c>
      <c r="F9329" t="s">
        <v>22436</v>
      </c>
      <c r="G9329" t="s">
        <v>22444</v>
      </c>
      <c r="H9329" t="s">
        <v>22455</v>
      </c>
      <c r="I9329" t="s">
        <v>22455</v>
      </c>
      <c r="J9329" t="s">
        <v>22877</v>
      </c>
      <c r="K9329" t="s">
        <v>29344</v>
      </c>
      <c r="M9329" t="s">
        <v>32329</v>
      </c>
      <c r="N9329" t="s">
        <v>32524</v>
      </c>
      <c r="O9329" t="s">
        <v>32525</v>
      </c>
      <c r="P9329">
        <v>0</v>
      </c>
      <c r="Q9329">
        <v>6</v>
      </c>
      <c r="R9329" t="s">
        <v>32538</v>
      </c>
      <c r="S9329" t="s">
        <v>32872</v>
      </c>
      <c r="T9329" t="s">
        <v>33241</v>
      </c>
      <c r="U9329" t="s">
        <v>41344</v>
      </c>
      <c r="W9329" t="s">
        <v>32329</v>
      </c>
      <c r="X9329" t="s">
        <v>32539</v>
      </c>
    </row>
    <row r="9330" spans="1:24">
      <c r="A9330">
        <f>HYPERLINK("https://www.philgeps.gov.ph/GEPSNONPILOT/Tender/SplashBidNoticeAbstractUI.aspx?menuIndex=3&amp;refID=7024706&amp;Result=3","7024706")</f>
        <v>0</v>
      </c>
      <c r="B9330" t="s">
        <v>1632</v>
      </c>
      <c r="C9330" t="s">
        <v>11599</v>
      </c>
      <c r="D9330" t="s">
        <v>12994</v>
      </c>
      <c r="E9330" t="s">
        <v>14107</v>
      </c>
      <c r="F9330" t="s">
        <v>22436</v>
      </c>
      <c r="G9330" t="s">
        <v>22444</v>
      </c>
      <c r="H9330" t="s">
        <v>22452</v>
      </c>
      <c r="I9330" t="s">
        <v>22469</v>
      </c>
      <c r="J9330" t="s">
        <v>28487</v>
      </c>
      <c r="K9330" t="s">
        <v>29434</v>
      </c>
      <c r="M9330" t="s">
        <v>31322</v>
      </c>
      <c r="N9330" t="s">
        <v>32524</v>
      </c>
      <c r="O9330" t="s">
        <v>32525</v>
      </c>
      <c r="P9330">
        <v>0</v>
      </c>
      <c r="Q9330">
        <v>2</v>
      </c>
      <c r="R9330" t="s">
        <v>32538</v>
      </c>
      <c r="S9330" t="s">
        <v>32872</v>
      </c>
      <c r="T9330" t="s">
        <v>33230</v>
      </c>
      <c r="U9330" t="s">
        <v>41345</v>
      </c>
      <c r="V9330" t="s">
        <v>43463</v>
      </c>
      <c r="W9330" t="s">
        <v>31322</v>
      </c>
      <c r="X9330" t="s">
        <v>32539</v>
      </c>
    </row>
    <row r="9331" spans="1:24">
      <c r="A9331">
        <f>HYPERLINK("https://www.philgeps.gov.ph/GEPSNONPILOT/Tender/SplashBidNoticeAbstractUI.aspx?menuIndex=3&amp;refID=7025004&amp;Result=3","7025004")</f>
        <v>0</v>
      </c>
      <c r="B9331" t="s">
        <v>1456</v>
      </c>
      <c r="C9331" t="s">
        <v>11600</v>
      </c>
      <c r="D9331" t="s">
        <v>13010</v>
      </c>
      <c r="E9331" t="s">
        <v>21219</v>
      </c>
      <c r="F9331" t="s">
        <v>22436</v>
      </c>
      <c r="G9331" t="s">
        <v>22444</v>
      </c>
      <c r="H9331" t="s">
        <v>22454</v>
      </c>
      <c r="I9331" t="s">
        <v>7738</v>
      </c>
      <c r="J9331" t="s">
        <v>28488</v>
      </c>
      <c r="K9331" t="s">
        <v>29347</v>
      </c>
      <c r="M9331" t="s">
        <v>31122</v>
      </c>
      <c r="N9331" t="s">
        <v>32524</v>
      </c>
      <c r="O9331" t="s">
        <v>32525</v>
      </c>
      <c r="P9331">
        <v>0</v>
      </c>
      <c r="Q9331">
        <v>0</v>
      </c>
      <c r="R9331" t="s">
        <v>32538</v>
      </c>
      <c r="S9331" t="s">
        <v>32872</v>
      </c>
      <c r="T9331" t="s">
        <v>33323</v>
      </c>
      <c r="U9331" t="s">
        <v>41346</v>
      </c>
      <c r="W9331" t="s">
        <v>31122</v>
      </c>
      <c r="X9331" t="s">
        <v>32539</v>
      </c>
    </row>
    <row r="9332" spans="1:24">
      <c r="A9332">
        <f>HYPERLINK("https://www.philgeps.gov.ph/GEPSNONPILOT/Tender/SplashBidNoticeAbstractUI.aspx?menuIndex=3&amp;refID=7024875&amp;Result=3","7024875")</f>
        <v>0</v>
      </c>
      <c r="B9332" t="s">
        <v>1563</v>
      </c>
      <c r="C9332" t="s">
        <v>11601</v>
      </c>
      <c r="D9332" t="s">
        <v>13006</v>
      </c>
      <c r="E9332" t="s">
        <v>21220</v>
      </c>
      <c r="F9332" t="s">
        <v>22436</v>
      </c>
      <c r="G9332" t="s">
        <v>22444</v>
      </c>
      <c r="H9332" t="s">
        <v>22452</v>
      </c>
      <c r="I9332" t="s">
        <v>22513</v>
      </c>
      <c r="J9332" t="s">
        <v>28489</v>
      </c>
      <c r="K9332" t="s">
        <v>29335</v>
      </c>
      <c r="M9332" t="s">
        <v>31244</v>
      </c>
      <c r="N9332" t="s">
        <v>32524</v>
      </c>
      <c r="O9332" t="s">
        <v>32525</v>
      </c>
      <c r="P9332">
        <v>0</v>
      </c>
      <c r="Q9332">
        <v>2</v>
      </c>
      <c r="R9332" t="s">
        <v>32538</v>
      </c>
      <c r="S9332" t="s">
        <v>32872</v>
      </c>
      <c r="T9332" t="s">
        <v>33184</v>
      </c>
      <c r="U9332" t="s">
        <v>41347</v>
      </c>
      <c r="W9332" t="s">
        <v>31244</v>
      </c>
      <c r="X9332" t="s">
        <v>32539</v>
      </c>
    </row>
    <row r="9333" spans="1:24">
      <c r="A9333">
        <f>HYPERLINK("https://www.philgeps.gov.ph/GEPSNONPILOT/Tender/SplashBidNoticeAbstractUI.aspx?menuIndex=3&amp;refID=7024720&amp;Result=3","7024720")</f>
        <v>0</v>
      </c>
      <c r="B9333" t="s">
        <v>1796</v>
      </c>
      <c r="C9333" t="s">
        <v>11602</v>
      </c>
      <c r="D9333" t="s">
        <v>12997</v>
      </c>
      <c r="E9333" t="s">
        <v>16823</v>
      </c>
      <c r="F9333" t="s">
        <v>22436</v>
      </c>
      <c r="G9333" t="s">
        <v>22443</v>
      </c>
      <c r="H9333" t="s">
        <v>22452</v>
      </c>
      <c r="I9333" t="s">
        <v>22494</v>
      </c>
      <c r="J9333" t="s">
        <v>24923</v>
      </c>
      <c r="K9333" t="s">
        <v>29357</v>
      </c>
      <c r="M9333" t="s">
        <v>31507</v>
      </c>
      <c r="N9333" t="s">
        <v>32524</v>
      </c>
      <c r="O9333" t="s">
        <v>32525</v>
      </c>
      <c r="P9333">
        <v>0</v>
      </c>
      <c r="Q9333">
        <v>0</v>
      </c>
      <c r="R9333" t="s">
        <v>32538</v>
      </c>
      <c r="S9333" t="s">
        <v>32872</v>
      </c>
      <c r="T9333" t="s">
        <v>33213</v>
      </c>
      <c r="U9333" t="s">
        <v>41348</v>
      </c>
      <c r="W9333" t="s">
        <v>31507</v>
      </c>
      <c r="X9333" t="s">
        <v>32539</v>
      </c>
    </row>
    <row r="9334" spans="1:24">
      <c r="A9334">
        <f>HYPERLINK("https://www.philgeps.gov.ph/GEPSNONPILOT/Tender/SplashBidNoticeAbstractUI.aspx?menuIndex=3&amp;refID=7024537&amp;Result=3","7024537")</f>
        <v>0</v>
      </c>
      <c r="B9334" t="s">
        <v>1175</v>
      </c>
      <c r="C9334" t="s">
        <v>11603</v>
      </c>
      <c r="D9334" t="s">
        <v>13050</v>
      </c>
      <c r="E9334" t="s">
        <v>21221</v>
      </c>
      <c r="F9334" t="s">
        <v>22436</v>
      </c>
      <c r="G9334" t="s">
        <v>22444</v>
      </c>
      <c r="H9334" t="s">
        <v>22452</v>
      </c>
      <c r="I9334" t="s">
        <v>22476</v>
      </c>
      <c r="J9334" t="s">
        <v>28490</v>
      </c>
      <c r="K9334" t="s">
        <v>29338</v>
      </c>
      <c r="M9334" t="s">
        <v>30821</v>
      </c>
      <c r="N9334" t="s">
        <v>32524</v>
      </c>
      <c r="O9334" t="s">
        <v>32525</v>
      </c>
      <c r="P9334">
        <v>0</v>
      </c>
      <c r="Q9334">
        <v>9</v>
      </c>
      <c r="R9334" t="s">
        <v>32538</v>
      </c>
      <c r="S9334" t="s">
        <v>32872</v>
      </c>
      <c r="T9334" t="s">
        <v>33212</v>
      </c>
      <c r="U9334" t="s">
        <v>41298</v>
      </c>
      <c r="W9334" t="s">
        <v>30821</v>
      </c>
      <c r="X9334" t="s">
        <v>32539</v>
      </c>
    </row>
    <row r="9335" spans="1:24">
      <c r="A9335">
        <f>HYPERLINK("https://www.philgeps.gov.ph/GEPSNONPILOT/Tender/SplashBidNoticeAbstractUI.aspx?menuIndex=3&amp;refID=7024589&amp;Result=3","7024589")</f>
        <v>0</v>
      </c>
      <c r="B9335" t="s">
        <v>2523</v>
      </c>
      <c r="C9335" t="s">
        <v>11604</v>
      </c>
      <c r="D9335" t="s">
        <v>13013</v>
      </c>
      <c r="E9335" t="s">
        <v>21222</v>
      </c>
      <c r="F9335" t="s">
        <v>22436</v>
      </c>
      <c r="G9335" t="s">
        <v>22444</v>
      </c>
      <c r="H9335" t="s">
        <v>22454</v>
      </c>
      <c r="I9335" t="s">
        <v>7738</v>
      </c>
      <c r="J9335" t="s">
        <v>22911</v>
      </c>
      <c r="K9335" t="s">
        <v>29466</v>
      </c>
      <c r="M9335" t="s">
        <v>32330</v>
      </c>
      <c r="N9335" t="s">
        <v>32524</v>
      </c>
      <c r="O9335" t="s">
        <v>32525</v>
      </c>
      <c r="P9335">
        <v>0</v>
      </c>
      <c r="Q9335">
        <v>0</v>
      </c>
      <c r="R9335" t="s">
        <v>32538</v>
      </c>
      <c r="S9335" t="s">
        <v>32872</v>
      </c>
      <c r="T9335" t="s">
        <v>33358</v>
      </c>
      <c r="U9335" t="s">
        <v>41349</v>
      </c>
      <c r="W9335" t="s">
        <v>32330</v>
      </c>
      <c r="X9335" t="s">
        <v>32539</v>
      </c>
    </row>
    <row r="9336" spans="1:24">
      <c r="A9336">
        <f>HYPERLINK("https://www.philgeps.gov.ph/GEPSNONPILOT/Tender/SplashBidNoticeAbstractUI.aspx?menuIndex=3&amp;refID=7024577&amp;Result=3","7024577")</f>
        <v>0</v>
      </c>
      <c r="B9336" t="s">
        <v>2444</v>
      </c>
      <c r="C9336" t="s">
        <v>5384</v>
      </c>
      <c r="D9336" t="s">
        <v>13042</v>
      </c>
      <c r="E9336" t="s">
        <v>13182</v>
      </c>
      <c r="F9336" t="s">
        <v>22436</v>
      </c>
      <c r="G9336" t="s">
        <v>22444</v>
      </c>
      <c r="H9336" t="s">
        <v>22452</v>
      </c>
      <c r="I9336" t="s">
        <v>22456</v>
      </c>
      <c r="J9336" t="s">
        <v>28491</v>
      </c>
      <c r="K9336" t="s">
        <v>29331</v>
      </c>
      <c r="M9336" t="s">
        <v>32248</v>
      </c>
      <c r="N9336" t="s">
        <v>32524</v>
      </c>
      <c r="O9336" t="s">
        <v>32525</v>
      </c>
      <c r="P9336">
        <v>0</v>
      </c>
      <c r="Q9336">
        <v>6</v>
      </c>
      <c r="R9336" t="s">
        <v>32538</v>
      </c>
      <c r="S9336" t="s">
        <v>32872</v>
      </c>
      <c r="T9336" t="s">
        <v>33168</v>
      </c>
      <c r="U9336" t="s">
        <v>41350</v>
      </c>
      <c r="V9336" t="s">
        <v>43462</v>
      </c>
      <c r="W9336" t="s">
        <v>32248</v>
      </c>
      <c r="X9336" t="s">
        <v>32539</v>
      </c>
    </row>
    <row r="9337" spans="1:24">
      <c r="A9337">
        <f>HYPERLINK("https://www.philgeps.gov.ph/GEPSNONPILOT/Tender/SplashBidNoticeAbstractUI.aspx?menuIndex=3&amp;refID=7025012&amp;Result=3","7025012")</f>
        <v>0</v>
      </c>
      <c r="B9337" t="s">
        <v>2524</v>
      </c>
      <c r="C9337" t="s">
        <v>11605</v>
      </c>
      <c r="D9337" t="s">
        <v>13004</v>
      </c>
      <c r="E9337" t="s">
        <v>21223</v>
      </c>
      <c r="F9337" t="s">
        <v>22436</v>
      </c>
      <c r="G9337" t="s">
        <v>22444</v>
      </c>
      <c r="H9337" t="s">
        <v>22454</v>
      </c>
      <c r="I9337" t="s">
        <v>7738</v>
      </c>
      <c r="J9337" t="s">
        <v>28492</v>
      </c>
      <c r="K9337" t="s">
        <v>29334</v>
      </c>
      <c r="M9337" t="s">
        <v>32331</v>
      </c>
      <c r="N9337" t="s">
        <v>32524</v>
      </c>
      <c r="O9337" t="s">
        <v>32525</v>
      </c>
      <c r="P9337">
        <v>0</v>
      </c>
      <c r="Q9337">
        <v>1</v>
      </c>
      <c r="R9337" t="s">
        <v>32538</v>
      </c>
      <c r="S9337" t="s">
        <v>32872</v>
      </c>
      <c r="T9337" t="s">
        <v>33168</v>
      </c>
      <c r="U9337" t="s">
        <v>41351</v>
      </c>
      <c r="W9337" t="s">
        <v>32331</v>
      </c>
      <c r="X9337" t="s">
        <v>32539</v>
      </c>
    </row>
    <row r="9338" spans="1:24">
      <c r="A9338">
        <f>HYPERLINK("https://www.philgeps.gov.ph/GEPSNONPILOT/Tender/SplashBidNoticeAbstractUI.aspx?menuIndex=3&amp;refID=7024762&amp;Result=3","7024762")</f>
        <v>0</v>
      </c>
      <c r="B9338" t="s">
        <v>1581</v>
      </c>
      <c r="C9338" t="s">
        <v>11606</v>
      </c>
      <c r="D9338" t="s">
        <v>13057</v>
      </c>
      <c r="E9338" t="s">
        <v>21224</v>
      </c>
      <c r="F9338" t="s">
        <v>22436</v>
      </c>
      <c r="G9338" t="s">
        <v>22444</v>
      </c>
      <c r="H9338" t="s">
        <v>22452</v>
      </c>
      <c r="I9338" t="s">
        <v>22494</v>
      </c>
      <c r="J9338" t="s">
        <v>28493</v>
      </c>
      <c r="K9338" t="s">
        <v>29344</v>
      </c>
      <c r="L9338" t="s">
        <v>1581</v>
      </c>
      <c r="M9338" t="s">
        <v>31263</v>
      </c>
      <c r="N9338" t="s">
        <v>32524</v>
      </c>
      <c r="O9338" t="s">
        <v>32525</v>
      </c>
      <c r="P9338">
        <v>0</v>
      </c>
      <c r="Q9338">
        <v>1</v>
      </c>
      <c r="R9338" t="s">
        <v>32538</v>
      </c>
      <c r="S9338" t="s">
        <v>32872</v>
      </c>
      <c r="T9338" t="s">
        <v>33344</v>
      </c>
      <c r="U9338" t="s">
        <v>41352</v>
      </c>
      <c r="V9338" t="s">
        <v>43464</v>
      </c>
      <c r="W9338" t="s">
        <v>31263</v>
      </c>
      <c r="X9338" t="s">
        <v>32539</v>
      </c>
    </row>
    <row r="9339" spans="1:24">
      <c r="A9339">
        <f>HYPERLINK("https://www.philgeps.gov.ph/GEPSNONPILOT/Tender/SplashBidNoticeAbstractUI.aspx?menuIndex=3&amp;refID=7025033&amp;Result=3","7025033")</f>
        <v>0</v>
      </c>
      <c r="B9339" t="s">
        <v>124</v>
      </c>
      <c r="C9339" t="s">
        <v>11607</v>
      </c>
      <c r="D9339" t="s">
        <v>13031</v>
      </c>
      <c r="E9339" t="s">
        <v>21225</v>
      </c>
      <c r="F9339" t="s">
        <v>22436</v>
      </c>
      <c r="G9339" t="s">
        <v>22444</v>
      </c>
      <c r="H9339" t="s">
        <v>22452</v>
      </c>
      <c r="I9339" t="s">
        <v>12358</v>
      </c>
      <c r="J9339" t="s">
        <v>28494</v>
      </c>
      <c r="K9339" t="s">
        <v>29338</v>
      </c>
      <c r="M9339" t="s">
        <v>30213</v>
      </c>
      <c r="N9339" t="s">
        <v>32524</v>
      </c>
      <c r="O9339" t="s">
        <v>32525</v>
      </c>
      <c r="Q9339">
        <v>8</v>
      </c>
      <c r="R9339" t="s">
        <v>32538</v>
      </c>
      <c r="S9339" t="s">
        <v>32908</v>
      </c>
      <c r="T9339" t="s">
        <v>33252</v>
      </c>
      <c r="U9339" t="s">
        <v>41353</v>
      </c>
      <c r="W9339" t="s">
        <v>30213</v>
      </c>
      <c r="X9339" t="s">
        <v>32539</v>
      </c>
    </row>
    <row r="9340" spans="1:24">
      <c r="A9340">
        <f>HYPERLINK("https://www.philgeps.gov.ph/GEPSNONPILOT/Tender/SplashBidNoticeAbstractUI.aspx?menuIndex=3&amp;refID=7025041&amp;Result=3","7025041")</f>
        <v>0</v>
      </c>
      <c r="B9340" t="s">
        <v>1381</v>
      </c>
      <c r="C9340" t="s">
        <v>11608</v>
      </c>
      <c r="D9340" t="s">
        <v>13035</v>
      </c>
      <c r="E9340" t="s">
        <v>21226</v>
      </c>
      <c r="F9340" t="s">
        <v>22436</v>
      </c>
      <c r="G9340" t="s">
        <v>22444</v>
      </c>
      <c r="H9340" t="s">
        <v>22454</v>
      </c>
      <c r="I9340" t="s">
        <v>7738</v>
      </c>
      <c r="J9340" t="s">
        <v>28495</v>
      </c>
      <c r="K9340" t="s">
        <v>29333</v>
      </c>
      <c r="M9340" t="s">
        <v>31460</v>
      </c>
      <c r="N9340" t="s">
        <v>32524</v>
      </c>
      <c r="O9340" t="s">
        <v>32525</v>
      </c>
      <c r="P9340">
        <v>0</v>
      </c>
      <c r="Q9340">
        <v>1</v>
      </c>
      <c r="R9340" t="s">
        <v>32538</v>
      </c>
      <c r="S9340" t="s">
        <v>32872</v>
      </c>
      <c r="T9340" t="s">
        <v>33222</v>
      </c>
      <c r="U9340" t="s">
        <v>41354</v>
      </c>
      <c r="V9340" t="s">
        <v>42994</v>
      </c>
      <c r="W9340" t="s">
        <v>31460</v>
      </c>
      <c r="X9340" t="s">
        <v>32539</v>
      </c>
    </row>
    <row r="9341" spans="1:24">
      <c r="A9341">
        <f>HYPERLINK("https://www.philgeps.gov.ph/GEPSNONPILOT/Tender/SplashBidNoticeAbstractUI.aspx?menuIndex=3&amp;refID=7025035&amp;Result=3","7025035")</f>
        <v>0</v>
      </c>
      <c r="B9341" t="s">
        <v>1175</v>
      </c>
      <c r="C9341" t="s">
        <v>11609</v>
      </c>
      <c r="D9341" t="s">
        <v>13050</v>
      </c>
      <c r="E9341" t="s">
        <v>21227</v>
      </c>
      <c r="F9341" t="s">
        <v>22436</v>
      </c>
      <c r="G9341" t="s">
        <v>22444</v>
      </c>
      <c r="H9341" t="s">
        <v>22452</v>
      </c>
      <c r="I9341" t="s">
        <v>22464</v>
      </c>
      <c r="J9341" t="s">
        <v>28496</v>
      </c>
      <c r="K9341" t="s">
        <v>29338</v>
      </c>
      <c r="M9341" t="s">
        <v>30821</v>
      </c>
      <c r="N9341" t="s">
        <v>32524</v>
      </c>
      <c r="O9341" t="s">
        <v>32525</v>
      </c>
      <c r="P9341">
        <v>0</v>
      </c>
      <c r="Q9341">
        <v>12</v>
      </c>
      <c r="R9341" t="s">
        <v>32538</v>
      </c>
      <c r="S9341" t="s">
        <v>32872</v>
      </c>
      <c r="T9341" t="s">
        <v>33488</v>
      </c>
      <c r="U9341" t="s">
        <v>41298</v>
      </c>
      <c r="W9341" t="s">
        <v>30821</v>
      </c>
      <c r="X9341" t="s">
        <v>32539</v>
      </c>
    </row>
    <row r="9342" spans="1:24">
      <c r="A9342">
        <f>HYPERLINK("https://www.philgeps.gov.ph/GEPSNONPILOT/Tender/SplashBidNoticeAbstractUI.aspx?menuIndex=3&amp;refID=7025032&amp;Result=3","7025032")</f>
        <v>0</v>
      </c>
      <c r="B9342" t="s">
        <v>2444</v>
      </c>
      <c r="C9342" t="s">
        <v>11610</v>
      </c>
      <c r="D9342" t="s">
        <v>13042</v>
      </c>
      <c r="E9342" t="s">
        <v>14832</v>
      </c>
      <c r="F9342" t="s">
        <v>22436</v>
      </c>
      <c r="G9342" t="s">
        <v>22444</v>
      </c>
      <c r="H9342" t="s">
        <v>22454</v>
      </c>
      <c r="I9342" t="s">
        <v>3529</v>
      </c>
      <c r="J9342" t="s">
        <v>28497</v>
      </c>
      <c r="K9342" t="s">
        <v>29331</v>
      </c>
      <c r="M9342" t="s">
        <v>32248</v>
      </c>
      <c r="N9342" t="s">
        <v>32524</v>
      </c>
      <c r="O9342" t="s">
        <v>32525</v>
      </c>
      <c r="P9342">
        <v>0</v>
      </c>
      <c r="Q9342">
        <v>0</v>
      </c>
      <c r="R9342" t="s">
        <v>32538</v>
      </c>
      <c r="S9342" t="s">
        <v>32872</v>
      </c>
      <c r="T9342" t="s">
        <v>33168</v>
      </c>
      <c r="U9342" t="s">
        <v>41355</v>
      </c>
      <c r="V9342" t="s">
        <v>43461</v>
      </c>
      <c r="W9342" t="s">
        <v>32248</v>
      </c>
      <c r="X9342" t="s">
        <v>32539</v>
      </c>
    </row>
    <row r="9343" spans="1:24">
      <c r="A9343">
        <f>HYPERLINK("https://www.philgeps.gov.ph/GEPSNONPILOT/Tender/SplashBidNoticeAbstractUI.aspx?menuIndex=3&amp;refID=7025045&amp;Result=3","7025045")</f>
        <v>0</v>
      </c>
      <c r="B9343" t="s">
        <v>2525</v>
      </c>
      <c r="C9343" t="s">
        <v>2945</v>
      </c>
      <c r="E9343" t="s">
        <v>21228</v>
      </c>
      <c r="F9343" t="s">
        <v>22436</v>
      </c>
      <c r="G9343" t="s">
        <v>22444</v>
      </c>
      <c r="H9343" t="s">
        <v>22454</v>
      </c>
      <c r="I9343" t="s">
        <v>7738</v>
      </c>
      <c r="J9343" t="s">
        <v>28498</v>
      </c>
      <c r="K9343" t="s">
        <v>29344</v>
      </c>
      <c r="M9343" t="s">
        <v>32332</v>
      </c>
      <c r="N9343" t="s">
        <v>32524</v>
      </c>
      <c r="O9343" t="s">
        <v>32525</v>
      </c>
      <c r="P9343">
        <v>0</v>
      </c>
      <c r="Q9343">
        <v>30</v>
      </c>
      <c r="R9343" t="s">
        <v>32538</v>
      </c>
      <c r="S9343" t="s">
        <v>32872</v>
      </c>
      <c r="T9343" t="s">
        <v>33159</v>
      </c>
      <c r="U9343" t="s">
        <v>41356</v>
      </c>
      <c r="V9343" t="s">
        <v>43465</v>
      </c>
      <c r="W9343" t="s">
        <v>32332</v>
      </c>
      <c r="X9343" t="s">
        <v>32539</v>
      </c>
    </row>
    <row r="9344" spans="1:24">
      <c r="A9344">
        <f>HYPERLINK("https://www.philgeps.gov.ph/GEPSNONPILOT/Tender/SplashBidNoticeAbstractUI.aspx?menuIndex=3&amp;refID=7025010&amp;Result=3","7025010")</f>
        <v>0</v>
      </c>
      <c r="B9344" t="s">
        <v>124</v>
      </c>
      <c r="C9344" t="s">
        <v>11611</v>
      </c>
      <c r="D9344" t="s">
        <v>13031</v>
      </c>
      <c r="E9344" t="s">
        <v>21229</v>
      </c>
      <c r="F9344" t="s">
        <v>22436</v>
      </c>
      <c r="G9344" t="s">
        <v>22444</v>
      </c>
      <c r="H9344" t="s">
        <v>22452</v>
      </c>
      <c r="I9344" t="s">
        <v>22482</v>
      </c>
      <c r="J9344" t="s">
        <v>28499</v>
      </c>
      <c r="K9344" t="s">
        <v>29338</v>
      </c>
      <c r="M9344" t="s">
        <v>30213</v>
      </c>
      <c r="N9344" t="s">
        <v>32524</v>
      </c>
      <c r="O9344" t="s">
        <v>32525</v>
      </c>
      <c r="Q9344">
        <v>10</v>
      </c>
      <c r="R9344" t="s">
        <v>32538</v>
      </c>
      <c r="S9344" t="s">
        <v>32909</v>
      </c>
      <c r="T9344" t="s">
        <v>33252</v>
      </c>
      <c r="U9344" t="s">
        <v>41357</v>
      </c>
      <c r="W9344" t="s">
        <v>30213</v>
      </c>
      <c r="X9344" t="s">
        <v>32539</v>
      </c>
    </row>
    <row r="9345" spans="1:24">
      <c r="A9345">
        <f>HYPERLINK("https://www.philgeps.gov.ph/GEPSNONPILOT/Tender/SplashBidNoticeAbstractUI.aspx?menuIndex=3&amp;refID=7025076&amp;Result=3","7025076")</f>
        <v>0</v>
      </c>
      <c r="B9345" t="s">
        <v>1381</v>
      </c>
      <c r="C9345" t="s">
        <v>11612</v>
      </c>
      <c r="D9345" t="s">
        <v>13035</v>
      </c>
      <c r="E9345" t="s">
        <v>21230</v>
      </c>
      <c r="F9345" t="s">
        <v>22436</v>
      </c>
      <c r="G9345" t="s">
        <v>22444</v>
      </c>
      <c r="H9345" t="s">
        <v>22454</v>
      </c>
      <c r="I9345" t="s">
        <v>7738</v>
      </c>
      <c r="J9345" t="s">
        <v>28500</v>
      </c>
      <c r="K9345" t="s">
        <v>29344</v>
      </c>
      <c r="M9345" t="s">
        <v>31460</v>
      </c>
      <c r="N9345" t="s">
        <v>32524</v>
      </c>
      <c r="O9345" t="s">
        <v>32525</v>
      </c>
      <c r="P9345">
        <v>0</v>
      </c>
      <c r="Q9345">
        <v>0</v>
      </c>
      <c r="R9345" t="s">
        <v>32538</v>
      </c>
      <c r="S9345" t="s">
        <v>32872</v>
      </c>
      <c r="T9345" t="s">
        <v>33222</v>
      </c>
      <c r="U9345" t="s">
        <v>41358</v>
      </c>
      <c r="V9345" t="s">
        <v>42994</v>
      </c>
      <c r="W9345" t="s">
        <v>31460</v>
      </c>
      <c r="X9345" t="s">
        <v>32539</v>
      </c>
    </row>
    <row r="9346" spans="1:24">
      <c r="A9346">
        <f>HYPERLINK("https://www.philgeps.gov.ph/GEPSNONPILOT/Tender/SplashBidNoticeAbstractUI.aspx?menuIndex=3&amp;refID=7025056&amp;Result=3","7025056")</f>
        <v>0</v>
      </c>
      <c r="B9346" t="s">
        <v>1388</v>
      </c>
      <c r="C9346" t="s">
        <v>11613</v>
      </c>
      <c r="D9346" t="s">
        <v>13018</v>
      </c>
      <c r="E9346" t="s">
        <v>21231</v>
      </c>
      <c r="F9346" t="s">
        <v>22436</v>
      </c>
      <c r="G9346" t="s">
        <v>22444</v>
      </c>
      <c r="H9346" t="s">
        <v>22452</v>
      </c>
      <c r="I9346" t="s">
        <v>3827</v>
      </c>
      <c r="J9346" t="s">
        <v>25909</v>
      </c>
      <c r="K9346" t="s">
        <v>29333</v>
      </c>
      <c r="M9346" t="s">
        <v>31046</v>
      </c>
      <c r="N9346" t="s">
        <v>32524</v>
      </c>
      <c r="O9346" t="s">
        <v>32525</v>
      </c>
      <c r="P9346">
        <v>0</v>
      </c>
      <c r="Q9346">
        <v>2</v>
      </c>
      <c r="R9346" t="s">
        <v>32538</v>
      </c>
      <c r="S9346" t="s">
        <v>32872</v>
      </c>
      <c r="T9346" t="s">
        <v>33365</v>
      </c>
      <c r="U9346" t="s">
        <v>36907</v>
      </c>
      <c r="V9346" t="s">
        <v>43466</v>
      </c>
      <c r="W9346" t="s">
        <v>31046</v>
      </c>
      <c r="X9346" t="s">
        <v>32539</v>
      </c>
    </row>
    <row r="9347" spans="1:24">
      <c r="A9347">
        <f>HYPERLINK("https://www.philgeps.gov.ph/GEPSNONPILOT/Tender/SplashBidNoticeAbstractUI.aspx?menuIndex=3&amp;refID=7025077&amp;Result=3","7025077")</f>
        <v>0</v>
      </c>
      <c r="B9347" t="s">
        <v>1796</v>
      </c>
      <c r="C9347" t="s">
        <v>11614</v>
      </c>
      <c r="D9347" t="s">
        <v>12997</v>
      </c>
      <c r="E9347" t="s">
        <v>13398</v>
      </c>
      <c r="F9347" t="s">
        <v>22436</v>
      </c>
      <c r="G9347" t="s">
        <v>22443</v>
      </c>
      <c r="H9347" t="s">
        <v>22452</v>
      </c>
      <c r="I9347" t="s">
        <v>22494</v>
      </c>
      <c r="J9347" t="s">
        <v>28501</v>
      </c>
      <c r="K9347" t="s">
        <v>29357</v>
      </c>
      <c r="M9347" t="s">
        <v>31507</v>
      </c>
      <c r="N9347" t="s">
        <v>32524</v>
      </c>
      <c r="O9347" t="s">
        <v>32525</v>
      </c>
      <c r="P9347">
        <v>0</v>
      </c>
      <c r="Q9347">
        <v>0</v>
      </c>
      <c r="R9347" t="s">
        <v>32538</v>
      </c>
      <c r="S9347" t="s">
        <v>32872</v>
      </c>
      <c r="T9347" t="s">
        <v>33351</v>
      </c>
      <c r="U9347" t="s">
        <v>41359</v>
      </c>
      <c r="W9347" t="s">
        <v>31507</v>
      </c>
      <c r="X9347" t="s">
        <v>32539</v>
      </c>
    </row>
    <row r="9348" spans="1:24">
      <c r="A9348">
        <f>HYPERLINK("https://www.philgeps.gov.ph/GEPSNONPILOT/Tender/SplashBidNoticeAbstractUI.aspx?menuIndex=3&amp;refID=7025087&amp;Result=3","7025087")</f>
        <v>0</v>
      </c>
      <c r="B9348" t="s">
        <v>124</v>
      </c>
      <c r="C9348" t="s">
        <v>11615</v>
      </c>
      <c r="D9348" t="s">
        <v>13031</v>
      </c>
      <c r="E9348" t="s">
        <v>21232</v>
      </c>
      <c r="F9348" t="s">
        <v>22436</v>
      </c>
      <c r="G9348" t="s">
        <v>22444</v>
      </c>
      <c r="H9348" t="s">
        <v>22452</v>
      </c>
      <c r="I9348" t="s">
        <v>22489</v>
      </c>
      <c r="J9348" t="s">
        <v>28502</v>
      </c>
      <c r="K9348" t="s">
        <v>29338</v>
      </c>
      <c r="M9348" t="s">
        <v>30213</v>
      </c>
      <c r="N9348" t="s">
        <v>32524</v>
      </c>
      <c r="O9348" t="s">
        <v>32525</v>
      </c>
      <c r="Q9348">
        <v>7</v>
      </c>
      <c r="R9348" t="s">
        <v>32538</v>
      </c>
      <c r="S9348" t="s">
        <v>32895</v>
      </c>
      <c r="T9348" t="s">
        <v>33252</v>
      </c>
      <c r="U9348" t="s">
        <v>41360</v>
      </c>
      <c r="W9348" t="s">
        <v>30213</v>
      </c>
      <c r="X9348" t="s">
        <v>32539</v>
      </c>
    </row>
    <row r="9349" spans="1:24">
      <c r="A9349">
        <f>HYPERLINK("https://www.philgeps.gov.ph/GEPSNONPILOT/Tender/SplashBidNoticeAbstractUI.aspx?menuIndex=3&amp;refID=7025048&amp;Result=3","7025048")</f>
        <v>0</v>
      </c>
      <c r="B9349" t="s">
        <v>124</v>
      </c>
      <c r="C9349" t="s">
        <v>11616</v>
      </c>
      <c r="D9349" t="s">
        <v>13031</v>
      </c>
      <c r="E9349" t="s">
        <v>21233</v>
      </c>
      <c r="F9349" t="s">
        <v>22436</v>
      </c>
      <c r="G9349" t="s">
        <v>22444</v>
      </c>
      <c r="H9349" t="s">
        <v>22452</v>
      </c>
      <c r="I9349" t="s">
        <v>3529</v>
      </c>
      <c r="J9349" t="s">
        <v>28503</v>
      </c>
      <c r="K9349" t="s">
        <v>29338</v>
      </c>
      <c r="M9349" t="s">
        <v>30213</v>
      </c>
      <c r="N9349" t="s">
        <v>32524</v>
      </c>
      <c r="O9349" t="s">
        <v>32525</v>
      </c>
      <c r="Q9349">
        <v>5</v>
      </c>
      <c r="R9349" t="s">
        <v>32538</v>
      </c>
      <c r="S9349" t="s">
        <v>32910</v>
      </c>
      <c r="T9349" t="s">
        <v>33252</v>
      </c>
      <c r="U9349" t="s">
        <v>41361</v>
      </c>
      <c r="W9349" t="s">
        <v>30213</v>
      </c>
      <c r="X9349" t="s">
        <v>32539</v>
      </c>
    </row>
    <row r="9350" spans="1:24">
      <c r="A9350">
        <f>HYPERLINK("https://www.philgeps.gov.ph/GEPSNONPILOT/Tender/SplashBidNoticeAbstractUI.aspx?menuIndex=3&amp;refID=7025021&amp;Result=3","7025021")</f>
        <v>0</v>
      </c>
      <c r="B9350" t="s">
        <v>1388</v>
      </c>
      <c r="C9350" t="s">
        <v>11617</v>
      </c>
      <c r="D9350" t="s">
        <v>13018</v>
      </c>
      <c r="E9350" t="s">
        <v>21234</v>
      </c>
      <c r="F9350" t="s">
        <v>22436</v>
      </c>
      <c r="G9350" t="s">
        <v>22444</v>
      </c>
      <c r="H9350" t="s">
        <v>22452</v>
      </c>
      <c r="I9350" t="s">
        <v>22482</v>
      </c>
      <c r="J9350" t="s">
        <v>28504</v>
      </c>
      <c r="K9350" t="s">
        <v>29333</v>
      </c>
      <c r="M9350" t="s">
        <v>31046</v>
      </c>
      <c r="N9350" t="s">
        <v>32524</v>
      </c>
      <c r="O9350" t="s">
        <v>32525</v>
      </c>
      <c r="P9350">
        <v>0</v>
      </c>
      <c r="Q9350">
        <v>9</v>
      </c>
      <c r="R9350" t="s">
        <v>32538</v>
      </c>
      <c r="S9350" t="s">
        <v>32872</v>
      </c>
      <c r="T9350" t="s">
        <v>33365</v>
      </c>
      <c r="U9350" t="s">
        <v>36907</v>
      </c>
      <c r="V9350" t="s">
        <v>43467</v>
      </c>
      <c r="W9350" t="s">
        <v>31046</v>
      </c>
      <c r="X9350" t="s">
        <v>32539</v>
      </c>
    </row>
    <row r="9351" spans="1:24">
      <c r="A9351">
        <f>HYPERLINK("https://www.philgeps.gov.ph/GEPSNONPILOT/Tender/SplashBidNoticeAbstractUI.aspx?menuIndex=3&amp;refID=7025049&amp;Result=3","7025049")</f>
        <v>0</v>
      </c>
      <c r="B9351" t="s">
        <v>1175</v>
      </c>
      <c r="C9351" t="s">
        <v>11618</v>
      </c>
      <c r="D9351" t="s">
        <v>13050</v>
      </c>
      <c r="E9351" t="s">
        <v>21235</v>
      </c>
      <c r="F9351" t="s">
        <v>22436</v>
      </c>
      <c r="G9351" t="s">
        <v>22444</v>
      </c>
      <c r="H9351" t="s">
        <v>22452</v>
      </c>
      <c r="I9351" t="s">
        <v>22464</v>
      </c>
      <c r="J9351" t="s">
        <v>22624</v>
      </c>
      <c r="K9351" t="s">
        <v>29338</v>
      </c>
      <c r="M9351" t="s">
        <v>30821</v>
      </c>
      <c r="N9351" t="s">
        <v>32524</v>
      </c>
      <c r="O9351" t="s">
        <v>32525</v>
      </c>
      <c r="P9351">
        <v>0</v>
      </c>
      <c r="Q9351">
        <v>1</v>
      </c>
      <c r="R9351" t="s">
        <v>32538</v>
      </c>
      <c r="S9351" t="s">
        <v>32872</v>
      </c>
      <c r="T9351" t="s">
        <v>33488</v>
      </c>
      <c r="U9351" t="s">
        <v>41298</v>
      </c>
      <c r="W9351" t="s">
        <v>30821</v>
      </c>
      <c r="X9351" t="s">
        <v>32539</v>
      </c>
    </row>
    <row r="9352" spans="1:24">
      <c r="A9352">
        <f>HYPERLINK("https://www.philgeps.gov.ph/GEPSNONPILOT/Tender/SplashBidNoticeAbstractUI.aspx?menuIndex=3&amp;refID=7025088&amp;Result=3","7025088")</f>
        <v>0</v>
      </c>
      <c r="B9352" t="s">
        <v>1388</v>
      </c>
      <c r="C9352" t="s">
        <v>11619</v>
      </c>
      <c r="D9352" t="s">
        <v>13018</v>
      </c>
      <c r="E9352" t="s">
        <v>21236</v>
      </c>
      <c r="F9352" t="s">
        <v>22436</v>
      </c>
      <c r="G9352" t="s">
        <v>22444</v>
      </c>
      <c r="H9352" t="s">
        <v>22452</v>
      </c>
      <c r="I9352" t="s">
        <v>12358</v>
      </c>
      <c r="J9352" t="s">
        <v>28505</v>
      </c>
      <c r="K9352" t="s">
        <v>29329</v>
      </c>
      <c r="M9352" t="s">
        <v>31046</v>
      </c>
      <c r="N9352" t="s">
        <v>32524</v>
      </c>
      <c r="O9352" t="s">
        <v>32525</v>
      </c>
      <c r="P9352">
        <v>0</v>
      </c>
      <c r="Q9352">
        <v>1</v>
      </c>
      <c r="R9352" t="s">
        <v>32538</v>
      </c>
      <c r="S9352" t="s">
        <v>32872</v>
      </c>
      <c r="T9352" t="s">
        <v>33365</v>
      </c>
      <c r="U9352" t="s">
        <v>36907</v>
      </c>
      <c r="V9352" t="s">
        <v>43468</v>
      </c>
      <c r="W9352" t="s">
        <v>31046</v>
      </c>
      <c r="X9352" t="s">
        <v>32539</v>
      </c>
    </row>
    <row r="9353" spans="1:24">
      <c r="A9353">
        <f>HYPERLINK("https://www.philgeps.gov.ph/GEPSNONPILOT/Tender/SplashBidNoticeAbstractUI.aspx?menuIndex=3&amp;refID=7025134&amp;Result=3","7025134")</f>
        <v>0</v>
      </c>
      <c r="B9353" t="s">
        <v>124</v>
      </c>
      <c r="C9353" t="s">
        <v>11620</v>
      </c>
      <c r="D9353" t="s">
        <v>13031</v>
      </c>
      <c r="E9353" t="s">
        <v>21237</v>
      </c>
      <c r="F9353" t="s">
        <v>22436</v>
      </c>
      <c r="G9353" t="s">
        <v>22444</v>
      </c>
      <c r="H9353" t="s">
        <v>22452</v>
      </c>
      <c r="I9353" t="s">
        <v>22494</v>
      </c>
      <c r="J9353" t="s">
        <v>28506</v>
      </c>
      <c r="K9353" t="s">
        <v>29338</v>
      </c>
      <c r="M9353" t="s">
        <v>30213</v>
      </c>
      <c r="N9353" t="s">
        <v>32524</v>
      </c>
      <c r="O9353" t="s">
        <v>32525</v>
      </c>
      <c r="Q9353">
        <v>2</v>
      </c>
      <c r="R9353" t="s">
        <v>32538</v>
      </c>
      <c r="S9353" t="s">
        <v>32911</v>
      </c>
      <c r="T9353" t="s">
        <v>33252</v>
      </c>
      <c r="U9353" t="s">
        <v>41362</v>
      </c>
      <c r="W9353" t="s">
        <v>30213</v>
      </c>
      <c r="X9353" t="s">
        <v>32539</v>
      </c>
    </row>
    <row r="9354" spans="1:24">
      <c r="A9354">
        <f>HYPERLINK("https://www.philgeps.gov.ph/GEPSNONPILOT/Tender/SplashBidNoticeAbstractUI.aspx?menuIndex=3&amp;refID=7025079&amp;Result=3","7025079")</f>
        <v>0</v>
      </c>
      <c r="B9354" t="s">
        <v>437</v>
      </c>
      <c r="C9354" t="s">
        <v>11621</v>
      </c>
      <c r="D9354" t="s">
        <v>13023</v>
      </c>
      <c r="E9354" t="s">
        <v>21238</v>
      </c>
      <c r="F9354" t="s">
        <v>22437</v>
      </c>
      <c r="G9354" t="s">
        <v>22444</v>
      </c>
      <c r="H9354" t="s">
        <v>22452</v>
      </c>
      <c r="I9354" t="s">
        <v>22482</v>
      </c>
      <c r="J9354" t="s">
        <v>22960</v>
      </c>
      <c r="K9354" t="s">
        <v>29333</v>
      </c>
      <c r="M9354" t="s">
        <v>30018</v>
      </c>
      <c r="N9354" t="s">
        <v>32524</v>
      </c>
      <c r="O9354" t="s">
        <v>32525</v>
      </c>
      <c r="Q9354">
        <v>16</v>
      </c>
      <c r="R9354" t="s">
        <v>32538</v>
      </c>
      <c r="S9354" t="s">
        <v>32912</v>
      </c>
      <c r="T9354" t="s">
        <v>33418</v>
      </c>
      <c r="U9354" t="s">
        <v>41363</v>
      </c>
      <c r="W9354" t="s">
        <v>30018</v>
      </c>
      <c r="X9354" t="s">
        <v>32539</v>
      </c>
    </row>
    <row r="9355" spans="1:24">
      <c r="A9355">
        <f>HYPERLINK("https://www.philgeps.gov.ph/GEPSNONPILOT/Tender/SplashBidNoticeAbstractUI.aspx?menuIndex=3&amp;refID=7025126&amp;Result=3","7025126")</f>
        <v>0</v>
      </c>
      <c r="B9355" t="s">
        <v>469</v>
      </c>
      <c r="C9355" t="s">
        <v>11622</v>
      </c>
      <c r="D9355" t="s">
        <v>13055</v>
      </c>
      <c r="E9355" t="s">
        <v>21239</v>
      </c>
      <c r="F9355" t="s">
        <v>22436</v>
      </c>
      <c r="G9355" t="s">
        <v>22444</v>
      </c>
      <c r="H9355" t="s">
        <v>22454</v>
      </c>
      <c r="I9355" t="s">
        <v>7738</v>
      </c>
      <c r="J9355" t="s">
        <v>23130</v>
      </c>
      <c r="K9355" t="s">
        <v>29504</v>
      </c>
      <c r="M9355" t="s">
        <v>30053</v>
      </c>
      <c r="N9355" t="s">
        <v>32524</v>
      </c>
      <c r="O9355" t="s">
        <v>32525</v>
      </c>
      <c r="Q9355">
        <v>0</v>
      </c>
      <c r="R9355" t="s">
        <v>32538</v>
      </c>
      <c r="S9355" t="s">
        <v>32913</v>
      </c>
      <c r="T9355" t="s">
        <v>33207</v>
      </c>
      <c r="U9355" t="s">
        <v>41364</v>
      </c>
      <c r="W9355" t="s">
        <v>30053</v>
      </c>
      <c r="X9355" t="s">
        <v>32539</v>
      </c>
    </row>
    <row r="9356" spans="1:24">
      <c r="A9356">
        <f>HYPERLINK("https://www.philgeps.gov.ph/GEPSNONPILOT/Tender/SplashBidNoticeAbstractUI.aspx?menuIndex=3&amp;refID=7025072&amp;Result=3","7025072")</f>
        <v>0</v>
      </c>
      <c r="B9356" t="s">
        <v>124</v>
      </c>
      <c r="C9356" t="s">
        <v>11623</v>
      </c>
      <c r="D9356" t="s">
        <v>13031</v>
      </c>
      <c r="E9356" t="s">
        <v>21240</v>
      </c>
      <c r="F9356" t="s">
        <v>22436</v>
      </c>
      <c r="G9356" t="s">
        <v>22444</v>
      </c>
      <c r="H9356" t="s">
        <v>22452</v>
      </c>
      <c r="I9356" t="s">
        <v>3529</v>
      </c>
      <c r="J9356" t="s">
        <v>28507</v>
      </c>
      <c r="K9356" t="s">
        <v>29338</v>
      </c>
      <c r="M9356" t="s">
        <v>30213</v>
      </c>
      <c r="N9356" t="s">
        <v>32524</v>
      </c>
      <c r="O9356" t="s">
        <v>32525</v>
      </c>
      <c r="Q9356">
        <v>3</v>
      </c>
      <c r="R9356" t="s">
        <v>32538</v>
      </c>
      <c r="S9356" t="s">
        <v>32914</v>
      </c>
      <c r="T9356" t="s">
        <v>33252</v>
      </c>
      <c r="U9356" t="s">
        <v>41361</v>
      </c>
      <c r="W9356" t="s">
        <v>30213</v>
      </c>
      <c r="X9356" t="s">
        <v>32539</v>
      </c>
    </row>
    <row r="9357" spans="1:24">
      <c r="A9357">
        <f>HYPERLINK("https://www.philgeps.gov.ph/GEPSNONPILOT/Tender/SplashBidNoticeAbstractUI.aspx?menuIndex=3&amp;refID=7025162&amp;Result=3","7025162")</f>
        <v>0</v>
      </c>
      <c r="B9357" t="s">
        <v>1381</v>
      </c>
      <c r="C9357" t="s">
        <v>11624</v>
      </c>
      <c r="D9357" t="s">
        <v>13035</v>
      </c>
      <c r="E9357" t="s">
        <v>21241</v>
      </c>
      <c r="F9357" t="s">
        <v>22436</v>
      </c>
      <c r="G9357" t="s">
        <v>22444</v>
      </c>
      <c r="H9357" t="s">
        <v>22454</v>
      </c>
      <c r="I9357" t="s">
        <v>7738</v>
      </c>
      <c r="J9357" t="s">
        <v>28508</v>
      </c>
      <c r="K9357" t="s">
        <v>29344</v>
      </c>
      <c r="M9357" t="s">
        <v>31460</v>
      </c>
      <c r="N9357" t="s">
        <v>32524</v>
      </c>
      <c r="O9357" t="s">
        <v>32525</v>
      </c>
      <c r="P9357">
        <v>0</v>
      </c>
      <c r="Q9357">
        <v>0</v>
      </c>
      <c r="R9357" t="s">
        <v>32538</v>
      </c>
      <c r="S9357" t="s">
        <v>32872</v>
      </c>
      <c r="T9357" t="s">
        <v>33222</v>
      </c>
      <c r="U9357" t="s">
        <v>41365</v>
      </c>
      <c r="V9357" t="s">
        <v>42994</v>
      </c>
      <c r="W9357" t="s">
        <v>31460</v>
      </c>
      <c r="X9357" t="s">
        <v>32539</v>
      </c>
    </row>
    <row r="9358" spans="1:24">
      <c r="A9358">
        <f>HYPERLINK("https://www.philgeps.gov.ph/GEPSNONPILOT/Tender/SplashBidNoticeAbstractUI.aspx?menuIndex=3&amp;refID=7025008&amp;Result=3","7025008")</f>
        <v>0</v>
      </c>
      <c r="B9358" t="s">
        <v>2444</v>
      </c>
      <c r="C9358" t="s">
        <v>11625</v>
      </c>
      <c r="D9358" t="s">
        <v>13042</v>
      </c>
      <c r="E9358" t="s">
        <v>14765</v>
      </c>
      <c r="F9358" t="s">
        <v>22436</v>
      </c>
      <c r="G9358" t="s">
        <v>22444</v>
      </c>
      <c r="H9358" t="s">
        <v>22454</v>
      </c>
      <c r="I9358" t="s">
        <v>3529</v>
      </c>
      <c r="J9358" t="s">
        <v>24216</v>
      </c>
      <c r="K9358" t="s">
        <v>29331</v>
      </c>
      <c r="M9358" t="s">
        <v>32248</v>
      </c>
      <c r="N9358" t="s">
        <v>32524</v>
      </c>
      <c r="O9358" t="s">
        <v>32525</v>
      </c>
      <c r="P9358">
        <v>0</v>
      </c>
      <c r="Q9358">
        <v>0</v>
      </c>
      <c r="R9358" t="s">
        <v>32538</v>
      </c>
      <c r="S9358" t="s">
        <v>32872</v>
      </c>
      <c r="T9358" t="s">
        <v>33168</v>
      </c>
      <c r="U9358" t="s">
        <v>41366</v>
      </c>
      <c r="V9358" t="s">
        <v>43462</v>
      </c>
      <c r="W9358" t="s">
        <v>32248</v>
      </c>
      <c r="X9358" t="s">
        <v>32539</v>
      </c>
    </row>
    <row r="9359" spans="1:24">
      <c r="A9359">
        <f>HYPERLINK("https://www.philgeps.gov.ph/GEPSNONPILOT/Tender/SplashBidNoticeAbstractUI.aspx?menuIndex=3&amp;refID=7025132&amp;Result=3","7025132")</f>
        <v>0</v>
      </c>
      <c r="B9359" t="s">
        <v>1381</v>
      </c>
      <c r="C9359" t="s">
        <v>11626</v>
      </c>
      <c r="D9359" t="s">
        <v>13035</v>
      </c>
      <c r="E9359" t="s">
        <v>21242</v>
      </c>
      <c r="F9359" t="s">
        <v>22436</v>
      </c>
      <c r="G9359" t="s">
        <v>22444</v>
      </c>
      <c r="H9359" t="s">
        <v>22454</v>
      </c>
      <c r="I9359" t="s">
        <v>7738</v>
      </c>
      <c r="J9359" t="s">
        <v>28509</v>
      </c>
      <c r="K9359" t="s">
        <v>29554</v>
      </c>
      <c r="M9359" t="s">
        <v>31460</v>
      </c>
      <c r="N9359" t="s">
        <v>32524</v>
      </c>
      <c r="O9359" t="s">
        <v>32525</v>
      </c>
      <c r="P9359">
        <v>0</v>
      </c>
      <c r="Q9359">
        <v>0</v>
      </c>
      <c r="R9359" t="s">
        <v>32538</v>
      </c>
      <c r="S9359" t="s">
        <v>32872</v>
      </c>
      <c r="T9359" t="s">
        <v>33222</v>
      </c>
      <c r="U9359" t="s">
        <v>41367</v>
      </c>
      <c r="V9359" t="s">
        <v>42994</v>
      </c>
      <c r="W9359" t="s">
        <v>31460</v>
      </c>
      <c r="X9359" t="s">
        <v>32539</v>
      </c>
    </row>
    <row r="9360" spans="1:24">
      <c r="A9360">
        <f>HYPERLINK("https://www.philgeps.gov.ph/GEPSNONPILOT/Tender/SplashBidNoticeAbstractUI.aspx?menuIndex=3&amp;refID=7025145&amp;Result=3","7025145")</f>
        <v>0</v>
      </c>
      <c r="B9360" t="s">
        <v>1381</v>
      </c>
      <c r="C9360" t="s">
        <v>11627</v>
      </c>
      <c r="D9360" t="s">
        <v>13035</v>
      </c>
      <c r="E9360" t="s">
        <v>21243</v>
      </c>
      <c r="F9360" t="s">
        <v>22436</v>
      </c>
      <c r="G9360" t="s">
        <v>22444</v>
      </c>
      <c r="H9360" t="s">
        <v>22454</v>
      </c>
      <c r="I9360" t="s">
        <v>7738</v>
      </c>
      <c r="J9360" t="s">
        <v>28510</v>
      </c>
      <c r="K9360" t="s">
        <v>29344</v>
      </c>
      <c r="M9360" t="s">
        <v>31460</v>
      </c>
      <c r="N9360" t="s">
        <v>32524</v>
      </c>
      <c r="O9360" t="s">
        <v>32525</v>
      </c>
      <c r="P9360">
        <v>0</v>
      </c>
      <c r="Q9360">
        <v>0</v>
      </c>
      <c r="R9360" t="s">
        <v>32538</v>
      </c>
      <c r="S9360" t="s">
        <v>32872</v>
      </c>
      <c r="T9360" t="s">
        <v>33222</v>
      </c>
      <c r="U9360" t="s">
        <v>41368</v>
      </c>
      <c r="V9360" t="s">
        <v>42994</v>
      </c>
      <c r="W9360" t="s">
        <v>31460</v>
      </c>
      <c r="X9360" t="s">
        <v>32539</v>
      </c>
    </row>
    <row r="9361" spans="1:24">
      <c r="A9361">
        <f>HYPERLINK("https://www.philgeps.gov.ph/GEPSNONPILOT/Tender/SplashBidNoticeAbstractUI.aspx?menuIndex=3&amp;refID=7025065&amp;Result=3","7025065")</f>
        <v>0</v>
      </c>
      <c r="B9361" t="s">
        <v>2208</v>
      </c>
      <c r="C9361" t="s">
        <v>11628</v>
      </c>
      <c r="D9361" t="s">
        <v>13037</v>
      </c>
      <c r="E9361" t="s">
        <v>21244</v>
      </c>
      <c r="F9361" t="s">
        <v>22436</v>
      </c>
      <c r="G9361" t="s">
        <v>22444</v>
      </c>
      <c r="H9361" t="s">
        <v>22452</v>
      </c>
      <c r="I9361" t="s">
        <v>22461</v>
      </c>
      <c r="J9361" t="s">
        <v>22640</v>
      </c>
      <c r="K9361" t="s">
        <v>29341</v>
      </c>
      <c r="M9361" t="s">
        <v>31974</v>
      </c>
      <c r="N9361" t="s">
        <v>32524</v>
      </c>
      <c r="O9361" t="s">
        <v>32525</v>
      </c>
      <c r="P9361">
        <v>0</v>
      </c>
      <c r="Q9361">
        <v>4</v>
      </c>
      <c r="R9361" t="s">
        <v>32538</v>
      </c>
      <c r="S9361" t="s">
        <v>32872</v>
      </c>
      <c r="T9361" t="s">
        <v>33162</v>
      </c>
      <c r="U9361" t="s">
        <v>41369</v>
      </c>
      <c r="W9361" t="s">
        <v>31974</v>
      </c>
      <c r="X9361" t="s">
        <v>32539</v>
      </c>
    </row>
    <row r="9362" spans="1:24">
      <c r="A9362">
        <f>HYPERLINK("https://www.philgeps.gov.ph/GEPSNONPILOT/Tender/SplashBidNoticeAbstractUI.aspx?menuIndex=3&amp;refID=7025160&amp;Result=3","7025160")</f>
        <v>0</v>
      </c>
      <c r="B9362" t="s">
        <v>469</v>
      </c>
      <c r="C9362" t="s">
        <v>11629</v>
      </c>
      <c r="D9362" t="s">
        <v>13055</v>
      </c>
      <c r="E9362" t="s">
        <v>21245</v>
      </c>
      <c r="F9362" t="s">
        <v>22436</v>
      </c>
      <c r="G9362" t="s">
        <v>22444</v>
      </c>
      <c r="H9362" t="s">
        <v>22454</v>
      </c>
      <c r="I9362" t="s">
        <v>7738</v>
      </c>
      <c r="J9362" t="s">
        <v>28511</v>
      </c>
      <c r="K9362" t="s">
        <v>29406</v>
      </c>
      <c r="M9362" t="s">
        <v>30053</v>
      </c>
      <c r="N9362" t="s">
        <v>32524</v>
      </c>
      <c r="O9362" t="s">
        <v>32525</v>
      </c>
      <c r="P9362">
        <v>0</v>
      </c>
      <c r="Q9362">
        <v>1</v>
      </c>
      <c r="R9362" t="s">
        <v>32538</v>
      </c>
      <c r="S9362" t="s">
        <v>32872</v>
      </c>
      <c r="T9362" t="s">
        <v>33227</v>
      </c>
      <c r="U9362" t="s">
        <v>41370</v>
      </c>
      <c r="W9362" t="s">
        <v>30053</v>
      </c>
      <c r="X9362" t="s">
        <v>32539</v>
      </c>
    </row>
    <row r="9363" spans="1:24">
      <c r="A9363">
        <f>HYPERLINK("https://www.philgeps.gov.ph/GEPSNONPILOT/Tender/SplashBidNoticeAbstractUI.aspx?menuIndex=3&amp;refID=7025046&amp;Result=3","7025046")</f>
        <v>0</v>
      </c>
      <c r="B9363" t="s">
        <v>2526</v>
      </c>
      <c r="C9363" t="s">
        <v>11630</v>
      </c>
      <c r="D9363" t="s">
        <v>13007</v>
      </c>
      <c r="E9363" t="s">
        <v>21246</v>
      </c>
      <c r="F9363" t="s">
        <v>22436</v>
      </c>
      <c r="G9363" t="s">
        <v>22444</v>
      </c>
      <c r="H9363" t="s">
        <v>22452</v>
      </c>
      <c r="I9363" t="s">
        <v>5194</v>
      </c>
      <c r="J9363" t="s">
        <v>28512</v>
      </c>
      <c r="K9363" t="s">
        <v>29340</v>
      </c>
      <c r="M9363" t="s">
        <v>32333</v>
      </c>
      <c r="N9363" t="s">
        <v>32524</v>
      </c>
      <c r="O9363" t="s">
        <v>32525</v>
      </c>
      <c r="P9363">
        <v>0</v>
      </c>
      <c r="Q9363">
        <v>0</v>
      </c>
      <c r="R9363" t="s">
        <v>32538</v>
      </c>
      <c r="S9363" t="s">
        <v>32872</v>
      </c>
      <c r="T9363" t="s">
        <v>33256</v>
      </c>
      <c r="U9363" t="s">
        <v>41371</v>
      </c>
      <c r="W9363" t="s">
        <v>32333</v>
      </c>
      <c r="X9363" t="s">
        <v>32539</v>
      </c>
    </row>
    <row r="9364" spans="1:24">
      <c r="A9364">
        <f>HYPERLINK("https://www.philgeps.gov.ph/GEPSNONPILOT/Tender/SplashBidNoticeAbstractUI.aspx?menuIndex=3&amp;refID=7025136&amp;Result=3","7025136")</f>
        <v>0</v>
      </c>
      <c r="B9364" t="s">
        <v>1388</v>
      </c>
      <c r="C9364" t="s">
        <v>11631</v>
      </c>
      <c r="D9364" t="s">
        <v>13018</v>
      </c>
      <c r="E9364" t="s">
        <v>15573</v>
      </c>
      <c r="F9364" t="s">
        <v>22436</v>
      </c>
      <c r="G9364" t="s">
        <v>22444</v>
      </c>
      <c r="H9364" t="s">
        <v>22452</v>
      </c>
      <c r="I9364" t="s">
        <v>22502</v>
      </c>
      <c r="J9364" t="s">
        <v>24322</v>
      </c>
      <c r="K9364" t="s">
        <v>29335</v>
      </c>
      <c r="M9364" t="s">
        <v>31046</v>
      </c>
      <c r="N9364" t="s">
        <v>32524</v>
      </c>
      <c r="O9364" t="s">
        <v>32525</v>
      </c>
      <c r="P9364">
        <v>0</v>
      </c>
      <c r="Q9364">
        <v>3</v>
      </c>
      <c r="R9364" t="s">
        <v>32538</v>
      </c>
      <c r="S9364" t="s">
        <v>32872</v>
      </c>
      <c r="T9364" t="s">
        <v>33365</v>
      </c>
      <c r="U9364" t="s">
        <v>36907</v>
      </c>
      <c r="V9364" t="s">
        <v>43468</v>
      </c>
      <c r="W9364" t="s">
        <v>31046</v>
      </c>
      <c r="X9364" t="s">
        <v>32539</v>
      </c>
    </row>
    <row r="9365" spans="1:24">
      <c r="A9365">
        <f>HYPERLINK("https://www.philgeps.gov.ph/GEPSNONPILOT/Tender/SplashBidNoticeAbstractUI.aspx?menuIndex=3&amp;refID=7025159&amp;Result=3","7025159")</f>
        <v>0</v>
      </c>
      <c r="B9365" t="s">
        <v>2524</v>
      </c>
      <c r="C9365" t="s">
        <v>11632</v>
      </c>
      <c r="D9365" t="s">
        <v>13004</v>
      </c>
      <c r="E9365" t="s">
        <v>21247</v>
      </c>
      <c r="F9365" t="s">
        <v>22436</v>
      </c>
      <c r="G9365" t="s">
        <v>22444</v>
      </c>
      <c r="H9365" t="s">
        <v>22454</v>
      </c>
      <c r="I9365" t="s">
        <v>22474</v>
      </c>
      <c r="J9365" t="s">
        <v>23350</v>
      </c>
      <c r="K9365" t="s">
        <v>29335</v>
      </c>
      <c r="M9365" t="s">
        <v>32331</v>
      </c>
      <c r="N9365" t="s">
        <v>32524</v>
      </c>
      <c r="O9365" t="s">
        <v>32525</v>
      </c>
      <c r="P9365">
        <v>0</v>
      </c>
      <c r="Q9365">
        <v>7</v>
      </c>
      <c r="R9365" t="s">
        <v>32538</v>
      </c>
      <c r="S9365" t="s">
        <v>32872</v>
      </c>
      <c r="T9365" t="s">
        <v>33186</v>
      </c>
      <c r="U9365" t="s">
        <v>41372</v>
      </c>
      <c r="W9365" t="s">
        <v>32331</v>
      </c>
      <c r="X9365" t="s">
        <v>32539</v>
      </c>
    </row>
    <row r="9366" spans="1:24">
      <c r="A9366">
        <f>HYPERLINK("https://www.philgeps.gov.ph/GEPSNONPILOT/Tender/SplashBidNoticeAbstractUI.aspx?menuIndex=3&amp;refID=7025125&amp;Result=3","7025125")</f>
        <v>0</v>
      </c>
      <c r="B9366" t="s">
        <v>2512</v>
      </c>
      <c r="C9366" t="s">
        <v>11633</v>
      </c>
      <c r="D9366" t="s">
        <v>13015</v>
      </c>
      <c r="E9366" t="s">
        <v>21248</v>
      </c>
      <c r="F9366" t="s">
        <v>22436</v>
      </c>
      <c r="G9366" t="s">
        <v>22444</v>
      </c>
      <c r="H9366" t="s">
        <v>22452</v>
      </c>
      <c r="I9366" t="s">
        <v>6421</v>
      </c>
      <c r="J9366" t="s">
        <v>28513</v>
      </c>
      <c r="K9366" t="s">
        <v>29341</v>
      </c>
      <c r="M9366" t="s">
        <v>32319</v>
      </c>
      <c r="N9366" t="s">
        <v>32524</v>
      </c>
      <c r="O9366" t="s">
        <v>32525</v>
      </c>
      <c r="P9366">
        <v>0</v>
      </c>
      <c r="Q9366">
        <v>2</v>
      </c>
      <c r="R9366" t="s">
        <v>32538</v>
      </c>
      <c r="S9366" t="s">
        <v>32872</v>
      </c>
      <c r="T9366" t="s">
        <v>33236</v>
      </c>
      <c r="U9366" t="s">
        <v>41373</v>
      </c>
      <c r="W9366" t="s">
        <v>43764</v>
      </c>
      <c r="X9366" t="s">
        <v>32539</v>
      </c>
    </row>
    <row r="9367" spans="1:24">
      <c r="A9367">
        <f>HYPERLINK("https://www.philgeps.gov.ph/GEPSNONPILOT/Tender/SplashBidNoticeAbstractUI.aspx?menuIndex=3&amp;refID=7025139&amp;Result=3","7025139")</f>
        <v>0</v>
      </c>
      <c r="B9367" t="s">
        <v>469</v>
      </c>
      <c r="C9367" t="s">
        <v>11634</v>
      </c>
      <c r="D9367" t="s">
        <v>13055</v>
      </c>
      <c r="E9367" t="s">
        <v>21249</v>
      </c>
      <c r="F9367" t="s">
        <v>22436</v>
      </c>
      <c r="G9367" t="s">
        <v>22444</v>
      </c>
      <c r="H9367" t="s">
        <v>22454</v>
      </c>
      <c r="I9367" t="s">
        <v>7738</v>
      </c>
      <c r="J9367" t="s">
        <v>26295</v>
      </c>
      <c r="K9367" t="s">
        <v>29387</v>
      </c>
      <c r="M9367" t="s">
        <v>30053</v>
      </c>
      <c r="N9367" t="s">
        <v>32524</v>
      </c>
      <c r="O9367" t="s">
        <v>32525</v>
      </c>
      <c r="Q9367">
        <v>0</v>
      </c>
      <c r="R9367" t="s">
        <v>32538</v>
      </c>
      <c r="S9367" t="s">
        <v>32915</v>
      </c>
      <c r="T9367" t="s">
        <v>33207</v>
      </c>
      <c r="U9367" t="s">
        <v>41374</v>
      </c>
      <c r="W9367" t="s">
        <v>30053</v>
      </c>
      <c r="X9367" t="s">
        <v>32539</v>
      </c>
    </row>
    <row r="9368" spans="1:24">
      <c r="A9368">
        <f>HYPERLINK("https://www.philgeps.gov.ph/GEPSNONPILOT/Tender/SplashBidNoticeAbstractUI.aspx?menuIndex=3&amp;refID=7025116&amp;Result=3","7025116")</f>
        <v>0</v>
      </c>
      <c r="B9368" t="s">
        <v>2514</v>
      </c>
      <c r="C9368" t="s">
        <v>11635</v>
      </c>
      <c r="D9368" t="s">
        <v>13012</v>
      </c>
      <c r="E9368" t="s">
        <v>21250</v>
      </c>
      <c r="F9368" t="s">
        <v>22436</v>
      </c>
      <c r="G9368" t="s">
        <v>22444</v>
      </c>
      <c r="H9368" t="s">
        <v>22455</v>
      </c>
      <c r="I9368" t="s">
        <v>22455</v>
      </c>
      <c r="J9368" t="s">
        <v>28514</v>
      </c>
      <c r="K9368" t="s">
        <v>29419</v>
      </c>
      <c r="M9368" t="s">
        <v>32334</v>
      </c>
      <c r="N9368" t="s">
        <v>32524</v>
      </c>
      <c r="O9368" t="s">
        <v>32525</v>
      </c>
      <c r="Q9368">
        <v>2</v>
      </c>
      <c r="R9368" t="s">
        <v>32538</v>
      </c>
      <c r="S9368" t="s">
        <v>32916</v>
      </c>
      <c r="T9368" t="s">
        <v>33230</v>
      </c>
      <c r="U9368" t="s">
        <v>41375</v>
      </c>
      <c r="W9368" t="s">
        <v>32334</v>
      </c>
      <c r="X9368" t="s">
        <v>32539</v>
      </c>
    </row>
    <row r="9369" spans="1:24">
      <c r="A9369">
        <f>HYPERLINK("https://www.philgeps.gov.ph/GEPSNONPILOT/Tender/SplashBidNoticeAbstractUI.aspx?menuIndex=3&amp;refID=7025124&amp;Result=3","7025124")</f>
        <v>0</v>
      </c>
      <c r="B9369" t="s">
        <v>124</v>
      </c>
      <c r="C9369" t="s">
        <v>11636</v>
      </c>
      <c r="D9369" t="s">
        <v>13031</v>
      </c>
      <c r="E9369" t="s">
        <v>21251</v>
      </c>
      <c r="F9369" t="s">
        <v>22436</v>
      </c>
      <c r="G9369" t="s">
        <v>22451</v>
      </c>
      <c r="H9369" t="s">
        <v>22452</v>
      </c>
      <c r="I9369" t="s">
        <v>22498</v>
      </c>
      <c r="J9369" t="s">
        <v>28515</v>
      </c>
      <c r="K9369" t="s">
        <v>29338</v>
      </c>
      <c r="M9369" t="s">
        <v>30213</v>
      </c>
      <c r="N9369" t="s">
        <v>32524</v>
      </c>
      <c r="O9369" t="s">
        <v>32525</v>
      </c>
      <c r="Q9369">
        <v>0</v>
      </c>
      <c r="R9369" t="s">
        <v>32538</v>
      </c>
      <c r="S9369" t="s">
        <v>32917</v>
      </c>
      <c r="T9369" t="s">
        <v>33252</v>
      </c>
      <c r="U9369" t="s">
        <v>41376</v>
      </c>
      <c r="W9369" t="s">
        <v>30213</v>
      </c>
      <c r="X9369" t="s">
        <v>32539</v>
      </c>
    </row>
    <row r="9370" spans="1:24">
      <c r="A9370">
        <f>HYPERLINK("https://www.philgeps.gov.ph/GEPSNONPILOT/Tender/SplashBidNoticeAbstractUI.aspx?menuIndex=3&amp;refID=7025115&amp;Result=3","7025115")</f>
        <v>0</v>
      </c>
      <c r="B9370" t="s">
        <v>1388</v>
      </c>
      <c r="C9370" t="s">
        <v>11637</v>
      </c>
      <c r="D9370" t="s">
        <v>13018</v>
      </c>
      <c r="E9370" t="s">
        <v>21252</v>
      </c>
      <c r="F9370" t="s">
        <v>22436</v>
      </c>
      <c r="G9370" t="s">
        <v>22444</v>
      </c>
      <c r="H9370" t="s">
        <v>22452</v>
      </c>
      <c r="I9370" t="s">
        <v>6421</v>
      </c>
      <c r="J9370" t="s">
        <v>28516</v>
      </c>
      <c r="K9370" t="s">
        <v>29335</v>
      </c>
      <c r="M9370" t="s">
        <v>31046</v>
      </c>
      <c r="N9370" t="s">
        <v>32524</v>
      </c>
      <c r="O9370" t="s">
        <v>32525</v>
      </c>
      <c r="P9370">
        <v>0</v>
      </c>
      <c r="Q9370">
        <v>3</v>
      </c>
      <c r="R9370" t="s">
        <v>32538</v>
      </c>
      <c r="S9370" t="s">
        <v>32872</v>
      </c>
      <c r="T9370" t="s">
        <v>33365</v>
      </c>
      <c r="U9370" t="s">
        <v>36907</v>
      </c>
      <c r="V9370" t="s">
        <v>43468</v>
      </c>
      <c r="W9370" t="s">
        <v>31046</v>
      </c>
      <c r="X9370" t="s">
        <v>32539</v>
      </c>
    </row>
    <row r="9371" spans="1:24">
      <c r="A9371">
        <f>HYPERLINK("https://www.philgeps.gov.ph/GEPSNONPILOT/Tender/SplashBidNoticeAbstractUI.aspx?menuIndex=3&amp;refID=7025117&amp;Result=3","7025117")</f>
        <v>0</v>
      </c>
      <c r="B9371" t="s">
        <v>1381</v>
      </c>
      <c r="C9371" t="s">
        <v>11638</v>
      </c>
      <c r="D9371" t="s">
        <v>13035</v>
      </c>
      <c r="E9371" t="s">
        <v>21253</v>
      </c>
      <c r="F9371" t="s">
        <v>22436</v>
      </c>
      <c r="G9371" t="s">
        <v>22444</v>
      </c>
      <c r="H9371" t="s">
        <v>22454</v>
      </c>
      <c r="I9371" t="s">
        <v>7738</v>
      </c>
      <c r="J9371" t="s">
        <v>28517</v>
      </c>
      <c r="K9371" t="s">
        <v>29329</v>
      </c>
      <c r="M9371" t="s">
        <v>31460</v>
      </c>
      <c r="N9371" t="s">
        <v>32524</v>
      </c>
      <c r="O9371" t="s">
        <v>32525</v>
      </c>
      <c r="P9371">
        <v>0</v>
      </c>
      <c r="Q9371">
        <v>0</v>
      </c>
      <c r="R9371" t="s">
        <v>32538</v>
      </c>
      <c r="S9371" t="s">
        <v>32872</v>
      </c>
      <c r="T9371" t="s">
        <v>33222</v>
      </c>
      <c r="U9371" t="s">
        <v>41377</v>
      </c>
      <c r="V9371" t="s">
        <v>42994</v>
      </c>
      <c r="W9371" t="s">
        <v>31460</v>
      </c>
      <c r="X9371" t="s">
        <v>32539</v>
      </c>
    </row>
    <row r="9372" spans="1:24">
      <c r="A9372">
        <f>HYPERLINK("https://www.philgeps.gov.ph/GEPSNONPILOT/Tender/SplashBidNoticeAbstractUI.aspx?menuIndex=3&amp;refID=7025234&amp;Result=3","7025234")</f>
        <v>0</v>
      </c>
      <c r="B9372" t="s">
        <v>1388</v>
      </c>
      <c r="C9372" t="s">
        <v>11639</v>
      </c>
      <c r="D9372" t="s">
        <v>13018</v>
      </c>
      <c r="E9372" t="s">
        <v>13923</v>
      </c>
      <c r="F9372" t="s">
        <v>22436</v>
      </c>
      <c r="G9372" t="s">
        <v>22444</v>
      </c>
      <c r="H9372" t="s">
        <v>22452</v>
      </c>
      <c r="I9372" t="s">
        <v>3027</v>
      </c>
      <c r="J9372" t="s">
        <v>22640</v>
      </c>
      <c r="K9372" t="s">
        <v>29335</v>
      </c>
      <c r="M9372" t="s">
        <v>31046</v>
      </c>
      <c r="N9372" t="s">
        <v>32524</v>
      </c>
      <c r="O9372" t="s">
        <v>32525</v>
      </c>
      <c r="P9372">
        <v>0</v>
      </c>
      <c r="Q9372">
        <v>0</v>
      </c>
      <c r="R9372" t="s">
        <v>32538</v>
      </c>
      <c r="S9372" t="s">
        <v>32872</v>
      </c>
      <c r="T9372" t="s">
        <v>33365</v>
      </c>
      <c r="U9372" t="s">
        <v>36907</v>
      </c>
      <c r="V9372" t="s">
        <v>43468</v>
      </c>
      <c r="W9372" t="s">
        <v>31046</v>
      </c>
      <c r="X9372" t="s">
        <v>32539</v>
      </c>
    </row>
    <row r="9373" spans="1:24">
      <c r="A9373">
        <f>HYPERLINK("https://www.philgeps.gov.ph/GEPSNONPILOT/Tender/SplashBidNoticeAbstractUI.aspx?menuIndex=3&amp;refID=7025119&amp;Result=3","7025119")</f>
        <v>0</v>
      </c>
      <c r="B9373" t="s">
        <v>952</v>
      </c>
      <c r="C9373" t="s">
        <v>11640</v>
      </c>
      <c r="D9373" t="s">
        <v>13018</v>
      </c>
      <c r="E9373" t="s">
        <v>21254</v>
      </c>
      <c r="F9373" t="s">
        <v>22436</v>
      </c>
      <c r="G9373" t="s">
        <v>22444</v>
      </c>
      <c r="H9373" t="s">
        <v>22452</v>
      </c>
      <c r="I9373" t="s">
        <v>22461</v>
      </c>
      <c r="J9373" t="s">
        <v>24762</v>
      </c>
      <c r="K9373" t="s">
        <v>29341</v>
      </c>
      <c r="M9373" t="s">
        <v>30568</v>
      </c>
      <c r="N9373" t="s">
        <v>32524</v>
      </c>
      <c r="O9373" t="s">
        <v>32525</v>
      </c>
      <c r="P9373">
        <v>0</v>
      </c>
      <c r="Q9373">
        <v>1</v>
      </c>
      <c r="R9373" t="s">
        <v>32538</v>
      </c>
      <c r="S9373" t="s">
        <v>32872</v>
      </c>
      <c r="T9373" t="s">
        <v>33335</v>
      </c>
      <c r="U9373" t="s">
        <v>41378</v>
      </c>
      <c r="V9373" t="s">
        <v>43469</v>
      </c>
      <c r="W9373" t="s">
        <v>30568</v>
      </c>
      <c r="X9373" t="s">
        <v>32539</v>
      </c>
    </row>
    <row r="9374" spans="1:24">
      <c r="A9374">
        <f>HYPERLINK("https://www.philgeps.gov.ph/GEPSNONPILOT/Tender/SplashBidNoticeAbstractUI.aspx?menuIndex=3&amp;refID=7024528&amp;Result=3","7024528")</f>
        <v>0</v>
      </c>
      <c r="B9374" t="s">
        <v>2527</v>
      </c>
      <c r="C9374" t="s">
        <v>11641</v>
      </c>
      <c r="D9374" t="s">
        <v>13008</v>
      </c>
      <c r="E9374" t="s">
        <v>21255</v>
      </c>
      <c r="F9374" t="s">
        <v>22436</v>
      </c>
      <c r="G9374" t="s">
        <v>22444</v>
      </c>
      <c r="H9374" t="s">
        <v>22454</v>
      </c>
      <c r="I9374" t="s">
        <v>7738</v>
      </c>
      <c r="J9374" t="s">
        <v>28518</v>
      </c>
      <c r="K9374" t="s">
        <v>29347</v>
      </c>
      <c r="M9374" t="s">
        <v>32335</v>
      </c>
      <c r="N9374" t="s">
        <v>32524</v>
      </c>
      <c r="O9374" t="s">
        <v>32525</v>
      </c>
      <c r="P9374">
        <v>0</v>
      </c>
      <c r="Q9374">
        <v>4</v>
      </c>
      <c r="R9374" t="s">
        <v>32538</v>
      </c>
      <c r="S9374" t="s">
        <v>32872</v>
      </c>
      <c r="T9374" t="s">
        <v>33249</v>
      </c>
      <c r="U9374" t="s">
        <v>41379</v>
      </c>
      <c r="W9374" t="s">
        <v>32335</v>
      </c>
      <c r="X9374" t="s">
        <v>32539</v>
      </c>
    </row>
    <row r="9375" spans="1:24">
      <c r="A9375">
        <f>HYPERLINK("https://www.philgeps.gov.ph/GEPSNONPILOT/Tender/SplashBidNoticeAbstractUI.aspx?menuIndex=3&amp;refID=7025094&amp;Result=3","7025094")</f>
        <v>0</v>
      </c>
      <c r="B9375" t="s">
        <v>2528</v>
      </c>
      <c r="C9375" t="s">
        <v>11642</v>
      </c>
      <c r="D9375" t="s">
        <v>13065</v>
      </c>
      <c r="E9375" t="s">
        <v>21256</v>
      </c>
      <c r="F9375" t="s">
        <v>22436</v>
      </c>
      <c r="G9375" t="s">
        <v>22444</v>
      </c>
      <c r="H9375" t="s">
        <v>22452</v>
      </c>
      <c r="I9375" t="s">
        <v>3529</v>
      </c>
      <c r="J9375" t="s">
        <v>28519</v>
      </c>
      <c r="K9375" t="s">
        <v>29341</v>
      </c>
      <c r="M9375" t="s">
        <v>32336</v>
      </c>
      <c r="N9375" t="s">
        <v>32524</v>
      </c>
      <c r="O9375" t="s">
        <v>32525</v>
      </c>
      <c r="Q9375">
        <v>0</v>
      </c>
      <c r="R9375" t="s">
        <v>32538</v>
      </c>
      <c r="S9375" t="s">
        <v>32918</v>
      </c>
      <c r="T9375" t="s">
        <v>33259</v>
      </c>
      <c r="U9375" t="s">
        <v>41380</v>
      </c>
      <c r="W9375" t="s">
        <v>32336</v>
      </c>
      <c r="X9375" t="s">
        <v>32539</v>
      </c>
    </row>
    <row r="9376" spans="1:24">
      <c r="A9376">
        <f>HYPERLINK("https://www.philgeps.gov.ph/GEPSNONPILOT/Tender/SplashBidNoticeAbstractUI.aspx?menuIndex=3&amp;refID=7025099&amp;Result=3","7025099")</f>
        <v>0</v>
      </c>
      <c r="B9376" t="s">
        <v>1381</v>
      </c>
      <c r="C9376" t="s">
        <v>11643</v>
      </c>
      <c r="D9376" t="s">
        <v>13035</v>
      </c>
      <c r="E9376" t="s">
        <v>21257</v>
      </c>
      <c r="F9376" t="s">
        <v>22436</v>
      </c>
      <c r="G9376" t="s">
        <v>22444</v>
      </c>
      <c r="H9376" t="s">
        <v>22454</v>
      </c>
      <c r="I9376" t="s">
        <v>7738</v>
      </c>
      <c r="J9376" t="s">
        <v>28520</v>
      </c>
      <c r="K9376" t="s">
        <v>29329</v>
      </c>
      <c r="M9376" t="s">
        <v>31460</v>
      </c>
      <c r="N9376" t="s">
        <v>32524</v>
      </c>
      <c r="O9376" t="s">
        <v>32525</v>
      </c>
      <c r="P9376">
        <v>0</v>
      </c>
      <c r="Q9376">
        <v>0</v>
      </c>
      <c r="R9376" t="s">
        <v>32538</v>
      </c>
      <c r="S9376" t="s">
        <v>32872</v>
      </c>
      <c r="T9376" t="s">
        <v>33222</v>
      </c>
      <c r="U9376" t="s">
        <v>41377</v>
      </c>
      <c r="V9376" t="s">
        <v>42994</v>
      </c>
      <c r="W9376" t="s">
        <v>31460</v>
      </c>
      <c r="X9376" t="s">
        <v>32539</v>
      </c>
    </row>
    <row r="9377" spans="1:24">
      <c r="A9377">
        <f>HYPERLINK("https://www.philgeps.gov.ph/GEPSNONPILOT/Tender/SplashBidNoticeAbstractUI.aspx?menuIndex=3&amp;refID=7025233&amp;Result=3","7025233")</f>
        <v>0</v>
      </c>
      <c r="B9377" t="s">
        <v>124</v>
      </c>
      <c r="C9377" t="s">
        <v>11644</v>
      </c>
      <c r="D9377" t="s">
        <v>13031</v>
      </c>
      <c r="E9377" t="s">
        <v>21258</v>
      </c>
      <c r="F9377" t="s">
        <v>22436</v>
      </c>
      <c r="G9377" t="s">
        <v>22444</v>
      </c>
      <c r="H9377" t="s">
        <v>22452</v>
      </c>
      <c r="I9377" t="s">
        <v>22467</v>
      </c>
      <c r="J9377" t="s">
        <v>28521</v>
      </c>
      <c r="K9377" t="s">
        <v>29338</v>
      </c>
      <c r="M9377" t="s">
        <v>30213</v>
      </c>
      <c r="N9377" t="s">
        <v>32524</v>
      </c>
      <c r="O9377" t="s">
        <v>32525</v>
      </c>
      <c r="Q9377">
        <v>0</v>
      </c>
      <c r="R9377" t="s">
        <v>32538</v>
      </c>
      <c r="S9377" t="s">
        <v>32919</v>
      </c>
      <c r="T9377" t="s">
        <v>33252</v>
      </c>
      <c r="U9377" t="s">
        <v>41381</v>
      </c>
      <c r="W9377" t="s">
        <v>30213</v>
      </c>
      <c r="X9377" t="s">
        <v>32539</v>
      </c>
    </row>
    <row r="9378" spans="1:24">
      <c r="A9378">
        <f>HYPERLINK("https://www.philgeps.gov.ph/GEPSNONPILOT/Tender/SplashBidNoticeAbstractUI.aspx?menuIndex=3&amp;refID=7025235&amp;Result=3","7025235")</f>
        <v>0</v>
      </c>
      <c r="B9378" t="s">
        <v>1381</v>
      </c>
      <c r="C9378" t="s">
        <v>11645</v>
      </c>
      <c r="D9378" t="s">
        <v>13035</v>
      </c>
      <c r="E9378" t="s">
        <v>21259</v>
      </c>
      <c r="F9378" t="s">
        <v>22436</v>
      </c>
      <c r="G9378" t="s">
        <v>22444</v>
      </c>
      <c r="H9378" t="s">
        <v>22454</v>
      </c>
      <c r="I9378" t="s">
        <v>7738</v>
      </c>
      <c r="J9378" t="s">
        <v>28522</v>
      </c>
      <c r="K9378" t="s">
        <v>29429</v>
      </c>
      <c r="M9378" t="s">
        <v>31460</v>
      </c>
      <c r="N9378" t="s">
        <v>32524</v>
      </c>
      <c r="O9378" t="s">
        <v>32525</v>
      </c>
      <c r="P9378">
        <v>0</v>
      </c>
      <c r="Q9378">
        <v>1</v>
      </c>
      <c r="R9378" t="s">
        <v>32538</v>
      </c>
      <c r="S9378" t="s">
        <v>32872</v>
      </c>
      <c r="T9378" t="s">
        <v>33222</v>
      </c>
      <c r="U9378" t="s">
        <v>41382</v>
      </c>
      <c r="V9378" t="s">
        <v>42994</v>
      </c>
      <c r="W9378" t="s">
        <v>31460</v>
      </c>
      <c r="X9378" t="s">
        <v>32539</v>
      </c>
    </row>
    <row r="9379" spans="1:24">
      <c r="A9379">
        <f>HYPERLINK("https://www.philgeps.gov.ph/GEPSNONPILOT/Tender/SplashBidNoticeAbstractUI.aspx?menuIndex=3&amp;refID=7025218&amp;Result=3","7025218")</f>
        <v>0</v>
      </c>
      <c r="B9379" t="s">
        <v>1381</v>
      </c>
      <c r="C9379" t="s">
        <v>11646</v>
      </c>
      <c r="D9379" t="s">
        <v>13035</v>
      </c>
      <c r="E9379" t="s">
        <v>21260</v>
      </c>
      <c r="F9379" t="s">
        <v>22436</v>
      </c>
      <c r="G9379" t="s">
        <v>22444</v>
      </c>
      <c r="H9379" t="s">
        <v>22454</v>
      </c>
      <c r="I9379" t="s">
        <v>7738</v>
      </c>
      <c r="J9379" t="s">
        <v>28523</v>
      </c>
      <c r="K9379" t="s">
        <v>29565</v>
      </c>
      <c r="M9379" t="s">
        <v>31460</v>
      </c>
      <c r="N9379" t="s">
        <v>32524</v>
      </c>
      <c r="O9379" t="s">
        <v>32525</v>
      </c>
      <c r="P9379">
        <v>0</v>
      </c>
      <c r="Q9379">
        <v>2</v>
      </c>
      <c r="R9379" t="s">
        <v>32538</v>
      </c>
      <c r="S9379" t="s">
        <v>32872</v>
      </c>
      <c r="T9379" t="s">
        <v>33222</v>
      </c>
      <c r="U9379" t="s">
        <v>41383</v>
      </c>
      <c r="V9379" t="s">
        <v>42994</v>
      </c>
      <c r="W9379" t="s">
        <v>31460</v>
      </c>
      <c r="X9379" t="s">
        <v>32539</v>
      </c>
    </row>
    <row r="9380" spans="1:24">
      <c r="A9380">
        <f>HYPERLINK("https://www.philgeps.gov.ph/GEPSNONPILOT/Tender/SplashBidNoticeAbstractUI.aspx?menuIndex=3&amp;refID=7025231&amp;Result=3","7025231")</f>
        <v>0</v>
      </c>
      <c r="B9380" t="s">
        <v>437</v>
      </c>
      <c r="C9380" t="s">
        <v>11647</v>
      </c>
      <c r="D9380" t="s">
        <v>13023</v>
      </c>
      <c r="E9380" t="s">
        <v>21261</v>
      </c>
      <c r="F9380" t="s">
        <v>22437</v>
      </c>
      <c r="G9380" t="s">
        <v>22444</v>
      </c>
      <c r="H9380" t="s">
        <v>22452</v>
      </c>
      <c r="I9380" t="s">
        <v>22502</v>
      </c>
      <c r="J9380" t="s">
        <v>23350</v>
      </c>
      <c r="K9380" t="s">
        <v>29334</v>
      </c>
      <c r="M9380" t="s">
        <v>30018</v>
      </c>
      <c r="N9380" t="s">
        <v>32524</v>
      </c>
      <c r="O9380" t="s">
        <v>32525</v>
      </c>
      <c r="Q9380">
        <v>16</v>
      </c>
      <c r="R9380" t="s">
        <v>32538</v>
      </c>
      <c r="S9380" t="s">
        <v>32920</v>
      </c>
      <c r="T9380" t="s">
        <v>33418</v>
      </c>
      <c r="U9380" t="s">
        <v>41384</v>
      </c>
      <c r="W9380" t="s">
        <v>30018</v>
      </c>
      <c r="X9380" t="s">
        <v>32539</v>
      </c>
    </row>
    <row r="9381" spans="1:24">
      <c r="A9381">
        <f>HYPERLINK("https://www.philgeps.gov.ph/GEPSNONPILOT/Tender/SplashBidNoticeAbstractUI.aspx?menuIndex=3&amp;refID=7025163&amp;Result=3","7025163")</f>
        <v>0</v>
      </c>
      <c r="B9381" t="s">
        <v>124</v>
      </c>
      <c r="C9381" t="s">
        <v>11648</v>
      </c>
      <c r="D9381" t="s">
        <v>13031</v>
      </c>
      <c r="E9381" t="s">
        <v>21262</v>
      </c>
      <c r="F9381" t="s">
        <v>22436</v>
      </c>
      <c r="G9381" t="s">
        <v>22444</v>
      </c>
      <c r="H9381" t="s">
        <v>22452</v>
      </c>
      <c r="I9381" t="s">
        <v>5194</v>
      </c>
      <c r="J9381" t="s">
        <v>28524</v>
      </c>
      <c r="K9381" t="s">
        <v>29338</v>
      </c>
      <c r="M9381" t="s">
        <v>30213</v>
      </c>
      <c r="N9381" t="s">
        <v>32524</v>
      </c>
      <c r="O9381" t="s">
        <v>32525</v>
      </c>
      <c r="Q9381">
        <v>9</v>
      </c>
      <c r="R9381" t="s">
        <v>32538</v>
      </c>
      <c r="S9381" t="s">
        <v>32921</v>
      </c>
      <c r="T9381" t="s">
        <v>33252</v>
      </c>
      <c r="U9381" t="s">
        <v>41385</v>
      </c>
      <c r="W9381" t="s">
        <v>30213</v>
      </c>
      <c r="X9381" t="s">
        <v>32539</v>
      </c>
    </row>
    <row r="9382" spans="1:24">
      <c r="A9382">
        <f>HYPERLINK("https://www.philgeps.gov.ph/GEPSNONPILOT/Tender/SplashBidNoticeAbstractUI.aspx?menuIndex=3&amp;refID=7025103&amp;Result=3","7025103")</f>
        <v>0</v>
      </c>
      <c r="B9382" t="s">
        <v>469</v>
      </c>
      <c r="C9382" t="s">
        <v>11649</v>
      </c>
      <c r="D9382" t="s">
        <v>13055</v>
      </c>
      <c r="E9382" t="s">
        <v>21263</v>
      </c>
      <c r="F9382" t="s">
        <v>22436</v>
      </c>
      <c r="G9382" t="s">
        <v>22444</v>
      </c>
      <c r="H9382" t="s">
        <v>22454</v>
      </c>
      <c r="I9382" t="s">
        <v>7738</v>
      </c>
      <c r="J9382" t="s">
        <v>28525</v>
      </c>
      <c r="K9382" t="s">
        <v>29347</v>
      </c>
      <c r="M9382" t="s">
        <v>30053</v>
      </c>
      <c r="N9382" t="s">
        <v>32524</v>
      </c>
      <c r="O9382" t="s">
        <v>32525</v>
      </c>
      <c r="Q9382">
        <v>0</v>
      </c>
      <c r="R9382" t="s">
        <v>32538</v>
      </c>
      <c r="S9382" t="s">
        <v>32922</v>
      </c>
      <c r="T9382" t="s">
        <v>33207</v>
      </c>
      <c r="U9382" t="s">
        <v>41386</v>
      </c>
      <c r="W9382" t="s">
        <v>30053</v>
      </c>
      <c r="X9382" t="s">
        <v>32539</v>
      </c>
    </row>
    <row r="9383" spans="1:24">
      <c r="A9383">
        <f>HYPERLINK("https://www.philgeps.gov.ph/GEPSNONPILOT/Tender/SplashBidNoticeAbstractUI.aspx?menuIndex=3&amp;refID=7025226&amp;Result=3","7025226")</f>
        <v>0</v>
      </c>
      <c r="B9383" t="s">
        <v>1265</v>
      </c>
      <c r="C9383" t="s">
        <v>11650</v>
      </c>
      <c r="D9383" t="s">
        <v>13000</v>
      </c>
      <c r="E9383" t="s">
        <v>21264</v>
      </c>
      <c r="F9383" t="s">
        <v>22436</v>
      </c>
      <c r="G9383" t="s">
        <v>22444</v>
      </c>
      <c r="H9383" t="s">
        <v>22452</v>
      </c>
      <c r="I9383" t="s">
        <v>22474</v>
      </c>
      <c r="J9383" t="s">
        <v>28526</v>
      </c>
      <c r="K9383" t="s">
        <v>29338</v>
      </c>
      <c r="M9383" t="s">
        <v>30918</v>
      </c>
      <c r="N9383" t="s">
        <v>32524</v>
      </c>
      <c r="O9383" t="s">
        <v>32525</v>
      </c>
      <c r="P9383">
        <v>0</v>
      </c>
      <c r="Q9383">
        <v>16</v>
      </c>
      <c r="R9383" t="s">
        <v>32538</v>
      </c>
      <c r="S9383" t="s">
        <v>32872</v>
      </c>
      <c r="T9383" t="s">
        <v>33171</v>
      </c>
      <c r="U9383" t="s">
        <v>41387</v>
      </c>
      <c r="W9383" t="s">
        <v>30918</v>
      </c>
      <c r="X9383" t="s">
        <v>32539</v>
      </c>
    </row>
    <row r="9384" spans="1:24">
      <c r="A9384">
        <f>HYPERLINK("https://www.philgeps.gov.ph/GEPSNONPILOT/Tender/SplashBidNoticeAbstractUI.aspx?menuIndex=3&amp;refID=7025209&amp;Result=3","7025209")</f>
        <v>0</v>
      </c>
      <c r="B9384" t="s">
        <v>1388</v>
      </c>
      <c r="C9384" t="s">
        <v>11651</v>
      </c>
      <c r="D9384" t="s">
        <v>13018</v>
      </c>
      <c r="E9384" t="s">
        <v>13161</v>
      </c>
      <c r="F9384" t="s">
        <v>22436</v>
      </c>
      <c r="G9384" t="s">
        <v>22444</v>
      </c>
      <c r="H9384" t="s">
        <v>22454</v>
      </c>
      <c r="I9384" t="s">
        <v>7738</v>
      </c>
      <c r="J9384" t="s">
        <v>22971</v>
      </c>
      <c r="K9384" t="s">
        <v>29333</v>
      </c>
      <c r="M9384" t="s">
        <v>31046</v>
      </c>
      <c r="N9384" t="s">
        <v>32524</v>
      </c>
      <c r="O9384" t="s">
        <v>32525</v>
      </c>
      <c r="P9384">
        <v>0</v>
      </c>
      <c r="Q9384">
        <v>1</v>
      </c>
      <c r="R9384" t="s">
        <v>32538</v>
      </c>
      <c r="S9384" t="s">
        <v>32872</v>
      </c>
      <c r="T9384" t="s">
        <v>33365</v>
      </c>
      <c r="U9384" t="s">
        <v>36907</v>
      </c>
      <c r="V9384" t="s">
        <v>43470</v>
      </c>
      <c r="W9384" t="s">
        <v>31046</v>
      </c>
      <c r="X9384" t="s">
        <v>32539</v>
      </c>
    </row>
    <row r="9385" spans="1:24">
      <c r="A9385">
        <f>HYPERLINK("https://www.philgeps.gov.ph/GEPSNONPILOT/Tender/SplashBidNoticeAbstractUI.aspx?menuIndex=3&amp;refID=7025239&amp;Result=3","7025239")</f>
        <v>0</v>
      </c>
      <c r="B9385" t="s">
        <v>124</v>
      </c>
      <c r="C9385" t="s">
        <v>11652</v>
      </c>
      <c r="D9385" t="s">
        <v>13031</v>
      </c>
      <c r="E9385" t="s">
        <v>21265</v>
      </c>
      <c r="F9385" t="s">
        <v>22436</v>
      </c>
      <c r="G9385" t="s">
        <v>22444</v>
      </c>
      <c r="H9385" t="s">
        <v>22452</v>
      </c>
      <c r="I9385" t="s">
        <v>22467</v>
      </c>
      <c r="J9385" t="s">
        <v>28527</v>
      </c>
      <c r="K9385" t="s">
        <v>29338</v>
      </c>
      <c r="M9385" t="s">
        <v>30213</v>
      </c>
      <c r="N9385" t="s">
        <v>32524</v>
      </c>
      <c r="O9385" t="s">
        <v>32525</v>
      </c>
      <c r="Q9385">
        <v>0</v>
      </c>
      <c r="R9385" t="s">
        <v>32538</v>
      </c>
      <c r="S9385" t="s">
        <v>32923</v>
      </c>
      <c r="T9385" t="s">
        <v>33252</v>
      </c>
      <c r="U9385" t="s">
        <v>41388</v>
      </c>
      <c r="W9385" t="s">
        <v>30213</v>
      </c>
      <c r="X9385" t="s">
        <v>32539</v>
      </c>
    </row>
    <row r="9386" spans="1:24">
      <c r="A9386">
        <f>HYPERLINK("https://www.philgeps.gov.ph/GEPSNONPILOT/Tender/SplashBidNoticeAbstractUI.aspx?menuIndex=3&amp;refID=7025189&amp;Result=3","7025189")</f>
        <v>0</v>
      </c>
      <c r="B9386" t="s">
        <v>1381</v>
      </c>
      <c r="C9386" t="s">
        <v>11653</v>
      </c>
      <c r="D9386" t="s">
        <v>13035</v>
      </c>
      <c r="E9386" t="s">
        <v>21266</v>
      </c>
      <c r="F9386" t="s">
        <v>22436</v>
      </c>
      <c r="G9386" t="s">
        <v>22444</v>
      </c>
      <c r="H9386" t="s">
        <v>22454</v>
      </c>
      <c r="I9386" t="s">
        <v>7738</v>
      </c>
      <c r="J9386" t="s">
        <v>28528</v>
      </c>
      <c r="K9386" t="s">
        <v>29565</v>
      </c>
      <c r="M9386" t="s">
        <v>31460</v>
      </c>
      <c r="N9386" t="s">
        <v>32524</v>
      </c>
      <c r="O9386" t="s">
        <v>32525</v>
      </c>
      <c r="P9386">
        <v>0</v>
      </c>
      <c r="Q9386">
        <v>0</v>
      </c>
      <c r="R9386" t="s">
        <v>32538</v>
      </c>
      <c r="S9386" t="s">
        <v>32872</v>
      </c>
      <c r="T9386" t="s">
        <v>33222</v>
      </c>
      <c r="U9386" t="s">
        <v>41389</v>
      </c>
      <c r="V9386" t="s">
        <v>42994</v>
      </c>
      <c r="W9386" t="s">
        <v>31460</v>
      </c>
      <c r="X9386" t="s">
        <v>32539</v>
      </c>
    </row>
    <row r="9387" spans="1:24">
      <c r="A9387">
        <f>HYPERLINK("https://www.philgeps.gov.ph/GEPSNONPILOT/Tender/SplashBidNoticeAbstractUI.aspx?menuIndex=3&amp;refID=7025200&amp;Result=3","7025200")</f>
        <v>0</v>
      </c>
      <c r="B9387" t="s">
        <v>1381</v>
      </c>
      <c r="C9387" t="s">
        <v>11654</v>
      </c>
      <c r="D9387" t="s">
        <v>13035</v>
      </c>
      <c r="E9387" t="s">
        <v>21267</v>
      </c>
      <c r="F9387" t="s">
        <v>22436</v>
      </c>
      <c r="G9387" t="s">
        <v>22444</v>
      </c>
      <c r="H9387" t="s">
        <v>22454</v>
      </c>
      <c r="I9387" t="s">
        <v>7738</v>
      </c>
      <c r="J9387" t="s">
        <v>28529</v>
      </c>
      <c r="K9387" t="s">
        <v>29334</v>
      </c>
      <c r="M9387" t="s">
        <v>31460</v>
      </c>
      <c r="N9387" t="s">
        <v>32524</v>
      </c>
      <c r="O9387" t="s">
        <v>32525</v>
      </c>
      <c r="P9387">
        <v>0</v>
      </c>
      <c r="Q9387">
        <v>0</v>
      </c>
      <c r="R9387" t="s">
        <v>32538</v>
      </c>
      <c r="S9387" t="s">
        <v>32872</v>
      </c>
      <c r="T9387" t="s">
        <v>33222</v>
      </c>
      <c r="U9387" t="s">
        <v>41390</v>
      </c>
      <c r="V9387" t="s">
        <v>42994</v>
      </c>
      <c r="W9387" t="s">
        <v>31460</v>
      </c>
      <c r="X9387" t="s">
        <v>32539</v>
      </c>
    </row>
    <row r="9388" spans="1:24">
      <c r="A9388">
        <f>HYPERLINK("https://www.philgeps.gov.ph/GEPSNONPILOT/Tender/SplashBidNoticeAbstractUI.aspx?menuIndex=3&amp;refID=7025180&amp;Result=3","7025180")</f>
        <v>0</v>
      </c>
      <c r="B9388" t="s">
        <v>268</v>
      </c>
      <c r="C9388" t="s">
        <v>11655</v>
      </c>
      <c r="D9388" t="s">
        <v>13015</v>
      </c>
      <c r="E9388" t="s">
        <v>13137</v>
      </c>
      <c r="F9388" t="s">
        <v>22441</v>
      </c>
      <c r="G9388" t="s">
        <v>22444</v>
      </c>
      <c r="H9388" t="s">
        <v>22452</v>
      </c>
      <c r="I9388" t="s">
        <v>22460</v>
      </c>
      <c r="J9388" t="s">
        <v>24832</v>
      </c>
      <c r="K9388" t="s">
        <v>29336</v>
      </c>
      <c r="M9388" t="s">
        <v>29842</v>
      </c>
      <c r="N9388" t="s">
        <v>32524</v>
      </c>
      <c r="O9388" t="s">
        <v>32525</v>
      </c>
      <c r="P9388">
        <v>0</v>
      </c>
      <c r="Q9388">
        <v>1</v>
      </c>
      <c r="R9388" t="s">
        <v>32538</v>
      </c>
      <c r="S9388" t="s">
        <v>32872</v>
      </c>
      <c r="T9388" t="s">
        <v>33187</v>
      </c>
      <c r="U9388" t="s">
        <v>41391</v>
      </c>
      <c r="W9388" t="s">
        <v>29842</v>
      </c>
      <c r="X9388" t="s">
        <v>32539</v>
      </c>
    </row>
    <row r="9389" spans="1:24">
      <c r="A9389">
        <f>HYPERLINK("https://www.philgeps.gov.ph/GEPSNONPILOT/Tender/SplashBidNoticeAbstractUI.aspx?menuIndex=3&amp;refID=7025203&amp;Result=3","7025203")</f>
        <v>0</v>
      </c>
      <c r="B9389" t="s">
        <v>2529</v>
      </c>
      <c r="C9389" t="s">
        <v>11656</v>
      </c>
      <c r="D9389" t="s">
        <v>13024</v>
      </c>
      <c r="E9389" t="s">
        <v>21268</v>
      </c>
      <c r="F9389" t="s">
        <v>22436</v>
      </c>
      <c r="G9389" t="s">
        <v>22444</v>
      </c>
      <c r="H9389" t="s">
        <v>22454</v>
      </c>
      <c r="I9389" t="s">
        <v>7738</v>
      </c>
      <c r="J9389" t="s">
        <v>28530</v>
      </c>
      <c r="K9389" t="s">
        <v>29333</v>
      </c>
      <c r="M9389" t="s">
        <v>32337</v>
      </c>
      <c r="N9389" t="s">
        <v>32524</v>
      </c>
      <c r="O9389" t="s">
        <v>32525</v>
      </c>
      <c r="P9389">
        <v>0</v>
      </c>
      <c r="Q9389">
        <v>5</v>
      </c>
      <c r="R9389" t="s">
        <v>32538</v>
      </c>
      <c r="S9389" t="s">
        <v>32872</v>
      </c>
      <c r="T9389" t="s">
        <v>33171</v>
      </c>
      <c r="U9389" t="s">
        <v>41392</v>
      </c>
      <c r="V9389" t="s">
        <v>43471</v>
      </c>
      <c r="W9389" t="s">
        <v>32337</v>
      </c>
      <c r="X9389" t="s">
        <v>32539</v>
      </c>
    </row>
    <row r="9390" spans="1:24">
      <c r="A9390">
        <f>HYPERLINK("https://www.philgeps.gov.ph/GEPSNONPILOT/Tender/SplashBidNoticeAbstractUI.aspx?menuIndex=3&amp;refID=7025229&amp;Result=3","7025229")</f>
        <v>0</v>
      </c>
      <c r="B9390" t="s">
        <v>1381</v>
      </c>
      <c r="C9390" t="s">
        <v>11657</v>
      </c>
      <c r="D9390" t="s">
        <v>13035</v>
      </c>
      <c r="E9390" t="s">
        <v>21269</v>
      </c>
      <c r="F9390" t="s">
        <v>22436</v>
      </c>
      <c r="G9390" t="s">
        <v>22444</v>
      </c>
      <c r="H9390" t="s">
        <v>22454</v>
      </c>
      <c r="I9390" t="s">
        <v>7738</v>
      </c>
      <c r="J9390" t="s">
        <v>28531</v>
      </c>
      <c r="K9390" t="s">
        <v>29566</v>
      </c>
      <c r="M9390" t="s">
        <v>31460</v>
      </c>
      <c r="N9390" t="s">
        <v>32524</v>
      </c>
      <c r="O9390" t="s">
        <v>32525</v>
      </c>
      <c r="P9390">
        <v>0</v>
      </c>
      <c r="Q9390">
        <v>0</v>
      </c>
      <c r="R9390" t="s">
        <v>32538</v>
      </c>
      <c r="S9390" t="s">
        <v>32872</v>
      </c>
      <c r="T9390" t="s">
        <v>33222</v>
      </c>
      <c r="U9390" t="s">
        <v>41393</v>
      </c>
      <c r="V9390" t="s">
        <v>42994</v>
      </c>
      <c r="W9390" t="s">
        <v>31460</v>
      </c>
      <c r="X9390" t="s">
        <v>32539</v>
      </c>
    </row>
    <row r="9391" spans="1:24">
      <c r="A9391">
        <f>HYPERLINK("https://www.philgeps.gov.ph/GEPSNONPILOT/Tender/SplashBidNoticeAbstractUI.aspx?menuIndex=3&amp;refID=7025212&amp;Result=3","7025212")</f>
        <v>0</v>
      </c>
      <c r="B9391" t="s">
        <v>1381</v>
      </c>
      <c r="C9391" t="s">
        <v>11658</v>
      </c>
      <c r="D9391" t="s">
        <v>13035</v>
      </c>
      <c r="E9391" t="s">
        <v>21270</v>
      </c>
      <c r="F9391" t="s">
        <v>22436</v>
      </c>
      <c r="G9391" t="s">
        <v>22444</v>
      </c>
      <c r="H9391" t="s">
        <v>22454</v>
      </c>
      <c r="I9391" t="s">
        <v>7738</v>
      </c>
      <c r="J9391" t="s">
        <v>28532</v>
      </c>
      <c r="K9391" t="s">
        <v>29567</v>
      </c>
      <c r="M9391" t="s">
        <v>31460</v>
      </c>
      <c r="N9391" t="s">
        <v>32524</v>
      </c>
      <c r="O9391" t="s">
        <v>32525</v>
      </c>
      <c r="P9391">
        <v>0</v>
      </c>
      <c r="Q9391">
        <v>0</v>
      </c>
      <c r="R9391" t="s">
        <v>32538</v>
      </c>
      <c r="S9391" t="s">
        <v>32872</v>
      </c>
      <c r="T9391" t="s">
        <v>33222</v>
      </c>
      <c r="U9391" t="s">
        <v>41394</v>
      </c>
      <c r="V9391" t="s">
        <v>42994</v>
      </c>
      <c r="W9391" t="s">
        <v>31460</v>
      </c>
      <c r="X9391" t="s">
        <v>32539</v>
      </c>
    </row>
    <row r="9392" spans="1:24">
      <c r="A9392">
        <f>HYPERLINK("https://www.philgeps.gov.ph/GEPSNONPILOT/Tender/SplashBidNoticeAbstractUI.aspx?menuIndex=3&amp;refID=7025172&amp;Result=3","7025172")</f>
        <v>0</v>
      </c>
      <c r="B9392" t="s">
        <v>469</v>
      </c>
      <c r="C9392" t="s">
        <v>11659</v>
      </c>
      <c r="D9392" t="s">
        <v>13055</v>
      </c>
      <c r="E9392" t="s">
        <v>21271</v>
      </c>
      <c r="F9392" t="s">
        <v>22436</v>
      </c>
      <c r="G9392" t="s">
        <v>22444</v>
      </c>
      <c r="H9392" t="s">
        <v>22454</v>
      </c>
      <c r="I9392" t="s">
        <v>7738</v>
      </c>
      <c r="J9392" t="s">
        <v>28533</v>
      </c>
      <c r="K9392" t="s">
        <v>29347</v>
      </c>
      <c r="M9392" t="s">
        <v>30053</v>
      </c>
      <c r="N9392" t="s">
        <v>32524</v>
      </c>
      <c r="O9392" t="s">
        <v>32525</v>
      </c>
      <c r="P9392">
        <v>0</v>
      </c>
      <c r="Q9392">
        <v>0</v>
      </c>
      <c r="R9392" t="s">
        <v>32538</v>
      </c>
      <c r="S9392" t="s">
        <v>32872</v>
      </c>
      <c r="T9392" t="s">
        <v>33227</v>
      </c>
      <c r="U9392" t="s">
        <v>41395</v>
      </c>
      <c r="W9392" t="s">
        <v>30053</v>
      </c>
      <c r="X9392" t="s">
        <v>32539</v>
      </c>
    </row>
    <row r="9393" spans="1:24">
      <c r="A9393">
        <f>HYPERLINK("https://www.philgeps.gov.ph/GEPSNONPILOT/Tender/SplashBidNoticeAbstractUI.aspx?menuIndex=3&amp;refID=7025165&amp;Result=3","7025165")</f>
        <v>0</v>
      </c>
      <c r="B9393" t="s">
        <v>1388</v>
      </c>
      <c r="C9393" t="s">
        <v>11660</v>
      </c>
      <c r="D9393" t="s">
        <v>13018</v>
      </c>
      <c r="E9393" t="s">
        <v>15570</v>
      </c>
      <c r="F9393" t="s">
        <v>22436</v>
      </c>
      <c r="G9393" t="s">
        <v>22444</v>
      </c>
      <c r="H9393" t="s">
        <v>22452</v>
      </c>
      <c r="I9393" t="s">
        <v>3027</v>
      </c>
      <c r="J9393" t="s">
        <v>22936</v>
      </c>
      <c r="K9393" t="s">
        <v>29335</v>
      </c>
      <c r="M9393" t="s">
        <v>31046</v>
      </c>
      <c r="N9393" t="s">
        <v>32524</v>
      </c>
      <c r="O9393" t="s">
        <v>32525</v>
      </c>
      <c r="P9393">
        <v>0</v>
      </c>
      <c r="Q9393">
        <v>0</v>
      </c>
      <c r="R9393" t="s">
        <v>32538</v>
      </c>
      <c r="S9393" t="s">
        <v>32872</v>
      </c>
      <c r="T9393" t="s">
        <v>33365</v>
      </c>
      <c r="U9393" t="s">
        <v>36907</v>
      </c>
      <c r="V9393" t="s">
        <v>43470</v>
      </c>
      <c r="W9393" t="s">
        <v>31046</v>
      </c>
      <c r="X9393" t="s">
        <v>32539</v>
      </c>
    </row>
    <row r="9394" spans="1:24">
      <c r="A9394">
        <f>HYPERLINK("https://www.philgeps.gov.ph/GEPSNONPILOT/Tender/SplashBidNoticeAbstractUI.aspx?menuIndex=3&amp;refID=7025214&amp;Result=3","7025214")</f>
        <v>0</v>
      </c>
      <c r="B9394" t="s">
        <v>2530</v>
      </c>
      <c r="C9394" t="s">
        <v>11661</v>
      </c>
      <c r="D9394" t="s">
        <v>12999</v>
      </c>
      <c r="E9394" t="s">
        <v>17675</v>
      </c>
      <c r="F9394" t="s">
        <v>22436</v>
      </c>
      <c r="G9394" t="s">
        <v>22444</v>
      </c>
      <c r="H9394" t="s">
        <v>22454</v>
      </c>
      <c r="I9394" t="s">
        <v>7738</v>
      </c>
      <c r="J9394" t="s">
        <v>28534</v>
      </c>
      <c r="K9394" t="s">
        <v>29334</v>
      </c>
      <c r="L9394" t="s">
        <v>2530</v>
      </c>
      <c r="M9394" t="s">
        <v>32338</v>
      </c>
      <c r="N9394" t="s">
        <v>32524</v>
      </c>
      <c r="O9394" t="s">
        <v>32525</v>
      </c>
      <c r="P9394">
        <v>0</v>
      </c>
      <c r="Q9394">
        <v>2</v>
      </c>
      <c r="R9394" t="s">
        <v>32538</v>
      </c>
      <c r="S9394" t="s">
        <v>32872</v>
      </c>
      <c r="T9394" t="s">
        <v>33216</v>
      </c>
      <c r="U9394" t="s">
        <v>41396</v>
      </c>
      <c r="W9394" t="s">
        <v>32338</v>
      </c>
      <c r="X9394" t="s">
        <v>32539</v>
      </c>
    </row>
    <row r="9395" spans="1:24">
      <c r="A9395">
        <f>HYPERLINK("https://www.philgeps.gov.ph/GEPSNONPILOT/Tender/SplashBidNoticeAbstractUI.aspx?menuIndex=3&amp;refID=7025250&amp;Result=3","7025250")</f>
        <v>0</v>
      </c>
      <c r="B9395" t="s">
        <v>1388</v>
      </c>
      <c r="C9395" t="s">
        <v>11662</v>
      </c>
      <c r="D9395" t="s">
        <v>13018</v>
      </c>
      <c r="E9395" t="s">
        <v>13984</v>
      </c>
      <c r="F9395" t="s">
        <v>22436</v>
      </c>
      <c r="G9395" t="s">
        <v>22444</v>
      </c>
      <c r="H9395" t="s">
        <v>22454</v>
      </c>
      <c r="I9395" t="s">
        <v>6387</v>
      </c>
      <c r="J9395" t="s">
        <v>22788</v>
      </c>
      <c r="K9395" t="s">
        <v>29333</v>
      </c>
      <c r="M9395" t="s">
        <v>31046</v>
      </c>
      <c r="N9395" t="s">
        <v>32524</v>
      </c>
      <c r="O9395" t="s">
        <v>32525</v>
      </c>
      <c r="P9395">
        <v>0</v>
      </c>
      <c r="Q9395">
        <v>1</v>
      </c>
      <c r="R9395" t="s">
        <v>32538</v>
      </c>
      <c r="S9395" t="s">
        <v>32872</v>
      </c>
      <c r="T9395" t="s">
        <v>33365</v>
      </c>
      <c r="U9395" t="s">
        <v>36907</v>
      </c>
      <c r="V9395" t="s">
        <v>43468</v>
      </c>
      <c r="W9395" t="s">
        <v>31046</v>
      </c>
      <c r="X9395" t="s">
        <v>32539</v>
      </c>
    </row>
    <row r="9396" spans="1:24">
      <c r="A9396">
        <f>HYPERLINK("https://www.philgeps.gov.ph/GEPSNONPILOT/Tender/SplashBidNoticeAbstractUI.aspx?menuIndex=3&amp;refID=7025183&amp;Result=3","7025183")</f>
        <v>0</v>
      </c>
      <c r="B9396" t="s">
        <v>1388</v>
      </c>
      <c r="C9396" t="s">
        <v>11663</v>
      </c>
      <c r="D9396" t="s">
        <v>13018</v>
      </c>
      <c r="E9396" t="s">
        <v>13149</v>
      </c>
      <c r="F9396" t="s">
        <v>22436</v>
      </c>
      <c r="G9396" t="s">
        <v>22444</v>
      </c>
      <c r="H9396" t="s">
        <v>22452</v>
      </c>
      <c r="I9396" t="s">
        <v>3827</v>
      </c>
      <c r="J9396" t="s">
        <v>22877</v>
      </c>
      <c r="K9396" t="s">
        <v>29335</v>
      </c>
      <c r="M9396" t="s">
        <v>31046</v>
      </c>
      <c r="N9396" t="s">
        <v>32524</v>
      </c>
      <c r="O9396" t="s">
        <v>32525</v>
      </c>
      <c r="P9396">
        <v>0</v>
      </c>
      <c r="Q9396">
        <v>1</v>
      </c>
      <c r="R9396" t="s">
        <v>32538</v>
      </c>
      <c r="S9396" t="s">
        <v>32872</v>
      </c>
      <c r="T9396" t="s">
        <v>33365</v>
      </c>
      <c r="U9396" t="s">
        <v>36907</v>
      </c>
      <c r="V9396" t="s">
        <v>43472</v>
      </c>
      <c r="W9396" t="s">
        <v>31046</v>
      </c>
      <c r="X9396" t="s">
        <v>32539</v>
      </c>
    </row>
    <row r="9397" spans="1:24">
      <c r="A9397">
        <f>HYPERLINK("https://www.philgeps.gov.ph/GEPSNONPILOT/Tender/SplashBidNoticeAbstractUI.aspx?menuIndex=3&amp;refID=7025173&amp;Result=3","7025173")</f>
        <v>0</v>
      </c>
      <c r="B9397" t="s">
        <v>1381</v>
      </c>
      <c r="C9397" t="s">
        <v>11664</v>
      </c>
      <c r="D9397" t="s">
        <v>13035</v>
      </c>
      <c r="E9397" t="s">
        <v>21272</v>
      </c>
      <c r="F9397" t="s">
        <v>22436</v>
      </c>
      <c r="G9397" t="s">
        <v>22444</v>
      </c>
      <c r="H9397" t="s">
        <v>22454</v>
      </c>
      <c r="I9397" t="s">
        <v>7738</v>
      </c>
      <c r="J9397" t="s">
        <v>28535</v>
      </c>
      <c r="K9397" t="s">
        <v>29565</v>
      </c>
      <c r="M9397" t="s">
        <v>31460</v>
      </c>
      <c r="N9397" t="s">
        <v>32524</v>
      </c>
      <c r="O9397" t="s">
        <v>32525</v>
      </c>
      <c r="P9397">
        <v>0</v>
      </c>
      <c r="Q9397">
        <v>0</v>
      </c>
      <c r="R9397" t="s">
        <v>32538</v>
      </c>
      <c r="S9397" t="s">
        <v>32872</v>
      </c>
      <c r="T9397" t="s">
        <v>33222</v>
      </c>
      <c r="U9397" t="s">
        <v>41397</v>
      </c>
      <c r="V9397" t="s">
        <v>42994</v>
      </c>
      <c r="W9397" t="s">
        <v>31460</v>
      </c>
      <c r="X9397" t="s">
        <v>32539</v>
      </c>
    </row>
    <row r="9398" spans="1:24">
      <c r="A9398">
        <f>HYPERLINK("https://www.philgeps.gov.ph/GEPSNONPILOT/Tender/SplashBidNoticeAbstractUI.aspx?menuIndex=3&amp;refID=7025294&amp;Result=3","7025294")</f>
        <v>0</v>
      </c>
      <c r="B9398" t="s">
        <v>1381</v>
      </c>
      <c r="C9398" t="s">
        <v>11665</v>
      </c>
      <c r="D9398" t="s">
        <v>13035</v>
      </c>
      <c r="E9398" t="s">
        <v>21273</v>
      </c>
      <c r="F9398" t="s">
        <v>22436</v>
      </c>
      <c r="G9398" t="s">
        <v>22444</v>
      </c>
      <c r="H9398" t="s">
        <v>22454</v>
      </c>
      <c r="I9398" t="s">
        <v>7738</v>
      </c>
      <c r="J9398" t="s">
        <v>28536</v>
      </c>
      <c r="K9398" t="s">
        <v>29344</v>
      </c>
      <c r="M9398" t="s">
        <v>31460</v>
      </c>
      <c r="N9398" t="s">
        <v>32524</v>
      </c>
      <c r="O9398" t="s">
        <v>32525</v>
      </c>
      <c r="Q9398">
        <v>0</v>
      </c>
      <c r="R9398" t="s">
        <v>32538</v>
      </c>
      <c r="S9398" t="s">
        <v>32634</v>
      </c>
      <c r="T9398" t="s">
        <v>33222</v>
      </c>
      <c r="U9398" t="s">
        <v>41398</v>
      </c>
      <c r="V9398" t="s">
        <v>42994</v>
      </c>
      <c r="W9398" t="s">
        <v>31460</v>
      </c>
      <c r="X9398" t="s">
        <v>32539</v>
      </c>
    </row>
    <row r="9399" spans="1:24">
      <c r="A9399">
        <f>HYPERLINK("https://www.philgeps.gov.ph/GEPSNONPILOT/Tender/SplashBidNoticeAbstractUI.aspx?menuIndex=3&amp;refID=7025275&amp;Result=3","7025275")</f>
        <v>0</v>
      </c>
      <c r="B9399" t="s">
        <v>2531</v>
      </c>
      <c r="C9399" t="s">
        <v>11666</v>
      </c>
      <c r="D9399" t="s">
        <v>13006</v>
      </c>
      <c r="E9399" t="s">
        <v>21274</v>
      </c>
      <c r="F9399" t="s">
        <v>22437</v>
      </c>
      <c r="G9399" t="s">
        <v>22444</v>
      </c>
      <c r="H9399" t="s">
        <v>22452</v>
      </c>
      <c r="I9399" t="s">
        <v>3529</v>
      </c>
      <c r="J9399" t="s">
        <v>25327</v>
      </c>
      <c r="K9399" t="s">
        <v>29337</v>
      </c>
      <c r="M9399" t="s">
        <v>32339</v>
      </c>
      <c r="N9399" t="s">
        <v>32524</v>
      </c>
      <c r="O9399" t="s">
        <v>32525</v>
      </c>
      <c r="P9399">
        <v>0</v>
      </c>
      <c r="Q9399">
        <v>0</v>
      </c>
      <c r="R9399" t="s">
        <v>32538</v>
      </c>
      <c r="S9399" t="s">
        <v>32872</v>
      </c>
      <c r="T9399" t="s">
        <v>33181</v>
      </c>
      <c r="U9399" t="s">
        <v>34876</v>
      </c>
      <c r="V9399" t="s">
        <v>43473</v>
      </c>
      <c r="W9399" t="s">
        <v>32339</v>
      </c>
      <c r="X9399" t="s">
        <v>32539</v>
      </c>
    </row>
    <row r="9400" spans="1:24">
      <c r="A9400">
        <f>HYPERLINK("https://www.philgeps.gov.ph/GEPSNONPILOT/Tender/SplashBidNoticeAbstractUI.aspx?menuIndex=3&amp;refID=7025093&amp;Result=3","7025093")</f>
        <v>0</v>
      </c>
      <c r="B9400" t="s">
        <v>2524</v>
      </c>
      <c r="C9400" t="s">
        <v>11667</v>
      </c>
      <c r="D9400" t="s">
        <v>13004</v>
      </c>
      <c r="E9400" t="s">
        <v>21275</v>
      </c>
      <c r="F9400" t="s">
        <v>22436</v>
      </c>
      <c r="G9400" t="s">
        <v>22444</v>
      </c>
      <c r="H9400" t="s">
        <v>22454</v>
      </c>
      <c r="I9400" t="s">
        <v>7738</v>
      </c>
      <c r="J9400" t="s">
        <v>28537</v>
      </c>
      <c r="K9400" t="s">
        <v>29534</v>
      </c>
      <c r="M9400" t="s">
        <v>32331</v>
      </c>
      <c r="N9400" t="s">
        <v>32524</v>
      </c>
      <c r="O9400" t="s">
        <v>32525</v>
      </c>
      <c r="P9400">
        <v>0</v>
      </c>
      <c r="Q9400">
        <v>2</v>
      </c>
      <c r="R9400" t="s">
        <v>32538</v>
      </c>
      <c r="S9400" t="s">
        <v>32872</v>
      </c>
      <c r="T9400" t="s">
        <v>33358</v>
      </c>
      <c r="U9400" t="s">
        <v>41399</v>
      </c>
      <c r="W9400" t="s">
        <v>32331</v>
      </c>
      <c r="X9400" t="s">
        <v>32539</v>
      </c>
    </row>
    <row r="9401" spans="1:24">
      <c r="A9401">
        <f>HYPERLINK("https://www.philgeps.gov.ph/GEPSNONPILOT/Tender/SplashBidNoticeAbstractUI.aspx?menuIndex=3&amp;refID=7025274&amp;Result=3","7025274")</f>
        <v>0</v>
      </c>
      <c r="B9401" t="s">
        <v>2532</v>
      </c>
      <c r="C9401" t="s">
        <v>11668</v>
      </c>
      <c r="D9401" t="s">
        <v>13044</v>
      </c>
      <c r="E9401" t="s">
        <v>13165</v>
      </c>
      <c r="F9401" t="s">
        <v>22436</v>
      </c>
      <c r="G9401" t="s">
        <v>22444</v>
      </c>
      <c r="H9401" t="s">
        <v>22454</v>
      </c>
      <c r="I9401" t="s">
        <v>7738</v>
      </c>
      <c r="J9401" t="s">
        <v>28538</v>
      </c>
      <c r="K9401" t="s">
        <v>29335</v>
      </c>
      <c r="M9401" t="s">
        <v>32340</v>
      </c>
      <c r="N9401" t="s">
        <v>32524</v>
      </c>
      <c r="O9401" t="s">
        <v>32525</v>
      </c>
      <c r="P9401">
        <v>0</v>
      </c>
      <c r="Q9401">
        <v>1</v>
      </c>
      <c r="R9401" t="s">
        <v>32538</v>
      </c>
      <c r="S9401" t="s">
        <v>32872</v>
      </c>
      <c r="T9401" t="s">
        <v>33175</v>
      </c>
      <c r="U9401" t="s">
        <v>41400</v>
      </c>
      <c r="W9401" t="s">
        <v>32340</v>
      </c>
      <c r="X9401" t="s">
        <v>32539</v>
      </c>
    </row>
    <row r="9402" spans="1:24">
      <c r="A9402">
        <f>HYPERLINK("https://www.philgeps.gov.ph/GEPSNONPILOT/Tender/SplashBidNoticeAbstractUI.aspx?menuIndex=3&amp;refID=7025287&amp;Result=3","7025287")</f>
        <v>0</v>
      </c>
      <c r="B9402" t="s">
        <v>2345</v>
      </c>
      <c r="C9402" t="s">
        <v>11669</v>
      </c>
      <c r="D9402" t="s">
        <v>12991</v>
      </c>
      <c r="E9402" t="s">
        <v>21276</v>
      </c>
      <c r="F9402" t="s">
        <v>22436</v>
      </c>
      <c r="G9402" t="s">
        <v>22443</v>
      </c>
      <c r="H9402" t="s">
        <v>22452</v>
      </c>
      <c r="I9402" t="s">
        <v>22494</v>
      </c>
      <c r="J9402" t="s">
        <v>28539</v>
      </c>
      <c r="K9402" t="s">
        <v>29334</v>
      </c>
      <c r="M9402" t="s">
        <v>32123</v>
      </c>
      <c r="N9402" t="s">
        <v>32524</v>
      </c>
      <c r="O9402" t="s">
        <v>32525</v>
      </c>
      <c r="P9402">
        <v>0</v>
      </c>
      <c r="Q9402">
        <v>0</v>
      </c>
      <c r="R9402" t="s">
        <v>32538</v>
      </c>
      <c r="S9402" t="s">
        <v>32872</v>
      </c>
      <c r="T9402" t="s">
        <v>33220</v>
      </c>
      <c r="U9402" t="s">
        <v>40351</v>
      </c>
      <c r="W9402" t="s">
        <v>32123</v>
      </c>
      <c r="X9402" t="s">
        <v>32539</v>
      </c>
    </row>
    <row r="9403" spans="1:24">
      <c r="A9403">
        <f>HYPERLINK("https://www.philgeps.gov.ph/GEPSNONPILOT/Tender/SplashBidNoticeAbstractUI.aspx?menuIndex=3&amp;refID=7025273&amp;Result=3","7025273")</f>
        <v>0</v>
      </c>
      <c r="B9403" t="s">
        <v>1381</v>
      </c>
      <c r="C9403" t="s">
        <v>11670</v>
      </c>
      <c r="D9403" t="s">
        <v>13035</v>
      </c>
      <c r="E9403" t="s">
        <v>21277</v>
      </c>
      <c r="F9403" t="s">
        <v>22436</v>
      </c>
      <c r="G9403" t="s">
        <v>22444</v>
      </c>
      <c r="H9403" t="s">
        <v>22454</v>
      </c>
      <c r="I9403" t="s">
        <v>7738</v>
      </c>
      <c r="J9403" t="s">
        <v>28540</v>
      </c>
      <c r="K9403" t="s">
        <v>29345</v>
      </c>
      <c r="M9403" t="s">
        <v>31460</v>
      </c>
      <c r="N9403" t="s">
        <v>32524</v>
      </c>
      <c r="O9403" t="s">
        <v>32525</v>
      </c>
      <c r="Q9403">
        <v>1</v>
      </c>
      <c r="R9403" t="s">
        <v>32538</v>
      </c>
      <c r="S9403" t="s">
        <v>32924</v>
      </c>
      <c r="T9403" t="s">
        <v>33222</v>
      </c>
      <c r="U9403" t="s">
        <v>41401</v>
      </c>
      <c r="V9403" t="s">
        <v>42994</v>
      </c>
      <c r="W9403" t="s">
        <v>31460</v>
      </c>
      <c r="X9403" t="s">
        <v>32539</v>
      </c>
    </row>
    <row r="9404" spans="1:24">
      <c r="A9404">
        <f>HYPERLINK("https://www.philgeps.gov.ph/GEPSNONPILOT/Tender/SplashBidNoticeAbstractUI.aspx?menuIndex=3&amp;refID=7025268&amp;Result=3","7025268")</f>
        <v>0</v>
      </c>
      <c r="B9404" t="s">
        <v>456</v>
      </c>
      <c r="C9404" t="s">
        <v>11671</v>
      </c>
      <c r="D9404" t="s">
        <v>13045</v>
      </c>
      <c r="E9404" t="s">
        <v>21278</v>
      </c>
      <c r="F9404" t="s">
        <v>22436</v>
      </c>
      <c r="G9404" t="s">
        <v>22444</v>
      </c>
      <c r="H9404" t="s">
        <v>22454</v>
      </c>
      <c r="I9404" t="s">
        <v>7738</v>
      </c>
      <c r="J9404" t="s">
        <v>28541</v>
      </c>
      <c r="K9404" t="s">
        <v>29486</v>
      </c>
      <c r="M9404" t="s">
        <v>30038</v>
      </c>
      <c r="N9404" t="s">
        <v>32524</v>
      </c>
      <c r="O9404" t="s">
        <v>32525</v>
      </c>
      <c r="Q9404">
        <v>1</v>
      </c>
      <c r="R9404" t="s">
        <v>32538</v>
      </c>
      <c r="S9404" t="s">
        <v>32925</v>
      </c>
      <c r="T9404" t="s">
        <v>33592</v>
      </c>
      <c r="U9404" t="s">
        <v>41402</v>
      </c>
      <c r="V9404" t="s">
        <v>43474</v>
      </c>
      <c r="W9404" t="s">
        <v>30038</v>
      </c>
      <c r="X9404" t="s">
        <v>32539</v>
      </c>
    </row>
    <row r="9405" spans="1:24">
      <c r="A9405">
        <f>HYPERLINK("https://www.philgeps.gov.ph/GEPSNONPILOT/Tender/SplashBidNoticeAbstractUI.aspx?menuIndex=3&amp;refID=7025307&amp;Result=3","7025307")</f>
        <v>0</v>
      </c>
      <c r="B9405" t="s">
        <v>1381</v>
      </c>
      <c r="C9405" t="s">
        <v>11672</v>
      </c>
      <c r="D9405" t="s">
        <v>13035</v>
      </c>
      <c r="E9405" t="s">
        <v>21279</v>
      </c>
      <c r="F9405" t="s">
        <v>22436</v>
      </c>
      <c r="G9405" t="s">
        <v>22444</v>
      </c>
      <c r="H9405" t="s">
        <v>22454</v>
      </c>
      <c r="I9405" t="s">
        <v>7738</v>
      </c>
      <c r="J9405" t="s">
        <v>28542</v>
      </c>
      <c r="K9405" t="s">
        <v>29334</v>
      </c>
      <c r="M9405" t="s">
        <v>31460</v>
      </c>
      <c r="N9405" t="s">
        <v>32524</v>
      </c>
      <c r="O9405" t="s">
        <v>32525</v>
      </c>
      <c r="Q9405">
        <v>0</v>
      </c>
      <c r="R9405" t="s">
        <v>32538</v>
      </c>
      <c r="S9405" t="s">
        <v>32926</v>
      </c>
      <c r="T9405" t="s">
        <v>33222</v>
      </c>
      <c r="U9405" t="s">
        <v>41403</v>
      </c>
      <c r="V9405" t="s">
        <v>42994</v>
      </c>
      <c r="W9405" t="s">
        <v>31460</v>
      </c>
      <c r="X9405" t="s">
        <v>32539</v>
      </c>
    </row>
    <row r="9406" spans="1:24">
      <c r="A9406">
        <f>HYPERLINK("https://www.philgeps.gov.ph/GEPSNONPILOT/Tender/SplashBidNoticeAbstractUI.aspx?menuIndex=3&amp;refID=7025277&amp;Result=3","7025277")</f>
        <v>0</v>
      </c>
      <c r="B9406" t="s">
        <v>1381</v>
      </c>
      <c r="C9406" t="s">
        <v>11673</v>
      </c>
      <c r="D9406" t="s">
        <v>13035</v>
      </c>
      <c r="E9406" t="s">
        <v>21280</v>
      </c>
      <c r="F9406" t="s">
        <v>22436</v>
      </c>
      <c r="G9406" t="s">
        <v>22444</v>
      </c>
      <c r="H9406" t="s">
        <v>22454</v>
      </c>
      <c r="I9406" t="s">
        <v>7738</v>
      </c>
      <c r="J9406" t="s">
        <v>28543</v>
      </c>
      <c r="K9406" t="s">
        <v>29345</v>
      </c>
      <c r="M9406" t="s">
        <v>31460</v>
      </c>
      <c r="N9406" t="s">
        <v>32524</v>
      </c>
      <c r="O9406" t="s">
        <v>32525</v>
      </c>
      <c r="P9406">
        <v>0</v>
      </c>
      <c r="Q9406">
        <v>1</v>
      </c>
      <c r="R9406" t="s">
        <v>32538</v>
      </c>
      <c r="S9406" t="s">
        <v>32872</v>
      </c>
      <c r="T9406" t="s">
        <v>33222</v>
      </c>
      <c r="U9406" t="s">
        <v>41404</v>
      </c>
      <c r="V9406" t="s">
        <v>42994</v>
      </c>
      <c r="W9406" t="s">
        <v>31460</v>
      </c>
      <c r="X9406" t="s">
        <v>32539</v>
      </c>
    </row>
    <row r="9407" spans="1:24">
      <c r="A9407">
        <f>HYPERLINK("https://www.philgeps.gov.ph/GEPSNONPILOT/Tender/SplashBidNoticeAbstractUI.aspx?menuIndex=3&amp;refID=7025288&amp;Result=3","7025288")</f>
        <v>0</v>
      </c>
      <c r="B9407" t="s">
        <v>1796</v>
      </c>
      <c r="C9407" t="s">
        <v>11674</v>
      </c>
      <c r="D9407" t="s">
        <v>12997</v>
      </c>
      <c r="E9407" t="s">
        <v>21281</v>
      </c>
      <c r="F9407" t="s">
        <v>22436</v>
      </c>
      <c r="G9407" t="s">
        <v>22443</v>
      </c>
      <c r="H9407" t="s">
        <v>22452</v>
      </c>
      <c r="I9407" t="s">
        <v>22494</v>
      </c>
      <c r="J9407" t="s">
        <v>22989</v>
      </c>
      <c r="K9407" t="s">
        <v>29357</v>
      </c>
      <c r="M9407" t="s">
        <v>31507</v>
      </c>
      <c r="N9407" t="s">
        <v>32524</v>
      </c>
      <c r="O9407" t="s">
        <v>32525</v>
      </c>
      <c r="P9407">
        <v>0</v>
      </c>
      <c r="Q9407">
        <v>0</v>
      </c>
      <c r="R9407" t="s">
        <v>32538</v>
      </c>
      <c r="S9407" t="s">
        <v>32872</v>
      </c>
      <c r="T9407" t="s">
        <v>33327</v>
      </c>
      <c r="U9407" t="s">
        <v>41405</v>
      </c>
      <c r="W9407" t="s">
        <v>31507</v>
      </c>
      <c r="X9407" t="s">
        <v>32539</v>
      </c>
    </row>
    <row r="9408" spans="1:24">
      <c r="A9408">
        <f>HYPERLINK("https://www.philgeps.gov.ph/GEPSNONPILOT/Tender/SplashBidNoticeAbstractUI.aspx?menuIndex=3&amp;refID=7025266&amp;Result=3","7025266")</f>
        <v>0</v>
      </c>
      <c r="B9408" t="s">
        <v>1381</v>
      </c>
      <c r="C9408" t="s">
        <v>11675</v>
      </c>
      <c r="D9408" t="s">
        <v>13035</v>
      </c>
      <c r="E9408" t="s">
        <v>21282</v>
      </c>
      <c r="F9408" t="s">
        <v>22436</v>
      </c>
      <c r="G9408" t="s">
        <v>22444</v>
      </c>
      <c r="H9408" t="s">
        <v>22454</v>
      </c>
      <c r="I9408" t="s">
        <v>7738</v>
      </c>
      <c r="J9408" t="s">
        <v>28544</v>
      </c>
      <c r="K9408" t="s">
        <v>29334</v>
      </c>
      <c r="M9408" t="s">
        <v>31460</v>
      </c>
      <c r="N9408" t="s">
        <v>32524</v>
      </c>
      <c r="O9408" t="s">
        <v>32525</v>
      </c>
      <c r="P9408">
        <v>0</v>
      </c>
      <c r="Q9408">
        <v>0</v>
      </c>
      <c r="R9408" t="s">
        <v>32538</v>
      </c>
      <c r="S9408" t="s">
        <v>32872</v>
      </c>
      <c r="T9408" t="s">
        <v>33222</v>
      </c>
      <c r="U9408" t="s">
        <v>41406</v>
      </c>
      <c r="V9408" t="s">
        <v>42994</v>
      </c>
      <c r="W9408" t="s">
        <v>31460</v>
      </c>
      <c r="X9408" t="s">
        <v>32539</v>
      </c>
    </row>
    <row r="9409" spans="1:24">
      <c r="A9409">
        <f>HYPERLINK("https://www.philgeps.gov.ph/GEPSNONPILOT/Tender/SplashBidNoticeAbstractUI.aspx?menuIndex=3&amp;refID=7025271&amp;Result=3","7025271")</f>
        <v>0</v>
      </c>
      <c r="B9409" t="s">
        <v>1388</v>
      </c>
      <c r="C9409" t="s">
        <v>11676</v>
      </c>
      <c r="D9409" t="s">
        <v>13018</v>
      </c>
      <c r="E9409" t="s">
        <v>14107</v>
      </c>
      <c r="F9409" t="s">
        <v>22436</v>
      </c>
      <c r="G9409" t="s">
        <v>22444</v>
      </c>
      <c r="H9409" t="s">
        <v>22454</v>
      </c>
      <c r="I9409" t="s">
        <v>7738</v>
      </c>
      <c r="J9409" t="s">
        <v>28545</v>
      </c>
      <c r="K9409" t="s">
        <v>29334</v>
      </c>
      <c r="M9409" t="s">
        <v>31046</v>
      </c>
      <c r="N9409" t="s">
        <v>32524</v>
      </c>
      <c r="O9409" t="s">
        <v>32525</v>
      </c>
      <c r="P9409">
        <v>0</v>
      </c>
      <c r="Q9409">
        <v>1</v>
      </c>
      <c r="R9409" t="s">
        <v>32538</v>
      </c>
      <c r="S9409" t="s">
        <v>32872</v>
      </c>
      <c r="T9409" t="s">
        <v>33365</v>
      </c>
      <c r="U9409" t="s">
        <v>36907</v>
      </c>
      <c r="V9409" t="s">
        <v>43475</v>
      </c>
      <c r="W9409" t="s">
        <v>31046</v>
      </c>
      <c r="X9409" t="s">
        <v>32539</v>
      </c>
    </row>
    <row r="9410" spans="1:24">
      <c r="A9410">
        <f>HYPERLINK("https://www.philgeps.gov.ph/GEPSNONPILOT/Tender/SplashBidNoticeAbstractUI.aspx?menuIndex=3&amp;refID=7025258&amp;Result=3","7025258")</f>
        <v>0</v>
      </c>
      <c r="B9410" t="s">
        <v>1796</v>
      </c>
      <c r="C9410" t="s">
        <v>11677</v>
      </c>
      <c r="D9410" t="s">
        <v>12997</v>
      </c>
      <c r="E9410" t="s">
        <v>21283</v>
      </c>
      <c r="F9410" t="s">
        <v>22436</v>
      </c>
      <c r="G9410" t="s">
        <v>22443</v>
      </c>
      <c r="H9410" t="s">
        <v>22452</v>
      </c>
      <c r="I9410" t="s">
        <v>22494</v>
      </c>
      <c r="J9410" t="s">
        <v>23226</v>
      </c>
      <c r="K9410" t="s">
        <v>29357</v>
      </c>
      <c r="M9410" t="s">
        <v>31507</v>
      </c>
      <c r="N9410" t="s">
        <v>32524</v>
      </c>
      <c r="O9410" t="s">
        <v>32525</v>
      </c>
      <c r="P9410">
        <v>0</v>
      </c>
      <c r="Q9410">
        <v>0</v>
      </c>
      <c r="R9410" t="s">
        <v>32538</v>
      </c>
      <c r="S9410" t="s">
        <v>32872</v>
      </c>
      <c r="T9410" t="s">
        <v>33310</v>
      </c>
      <c r="U9410" t="s">
        <v>41407</v>
      </c>
      <c r="W9410" t="s">
        <v>31507</v>
      </c>
      <c r="X9410" t="s">
        <v>32539</v>
      </c>
    </row>
    <row r="9411" spans="1:24">
      <c r="A9411">
        <f>HYPERLINK("https://www.philgeps.gov.ph/GEPSNONPILOT/Tender/SplashBidNoticeAbstractUI.aspx?menuIndex=3&amp;refID=7025270&amp;Result=3","7025270")</f>
        <v>0</v>
      </c>
      <c r="B9411" t="s">
        <v>2345</v>
      </c>
      <c r="C9411" t="s">
        <v>11678</v>
      </c>
      <c r="D9411" t="s">
        <v>12991</v>
      </c>
      <c r="E9411" t="s">
        <v>21284</v>
      </c>
      <c r="F9411" t="s">
        <v>22436</v>
      </c>
      <c r="G9411" t="s">
        <v>22443</v>
      </c>
      <c r="H9411" t="s">
        <v>22452</v>
      </c>
      <c r="I9411" t="s">
        <v>22467</v>
      </c>
      <c r="J9411" t="s">
        <v>28546</v>
      </c>
      <c r="K9411" t="s">
        <v>29334</v>
      </c>
      <c r="M9411" t="s">
        <v>32123</v>
      </c>
      <c r="N9411" t="s">
        <v>32524</v>
      </c>
      <c r="O9411" t="s">
        <v>32525</v>
      </c>
      <c r="P9411">
        <v>0</v>
      </c>
      <c r="Q9411">
        <v>1</v>
      </c>
      <c r="R9411" t="s">
        <v>32538</v>
      </c>
      <c r="S9411" t="s">
        <v>32872</v>
      </c>
      <c r="T9411" t="s">
        <v>33220</v>
      </c>
      <c r="U9411" t="s">
        <v>40351</v>
      </c>
      <c r="W9411" t="s">
        <v>32123</v>
      </c>
      <c r="X9411" t="s">
        <v>32539</v>
      </c>
    </row>
    <row r="9412" spans="1:24">
      <c r="A9412">
        <f>HYPERLINK("https://www.philgeps.gov.ph/GEPSNONPILOT/Tender/SplashBidNoticeAbstractUI.aspx?menuIndex=3&amp;refID=7025249&amp;Result=3","7025249")</f>
        <v>0</v>
      </c>
      <c r="B9412" t="s">
        <v>124</v>
      </c>
      <c r="C9412" t="s">
        <v>11679</v>
      </c>
      <c r="D9412" t="s">
        <v>13031</v>
      </c>
      <c r="E9412" t="s">
        <v>21285</v>
      </c>
      <c r="F9412" t="s">
        <v>22436</v>
      </c>
      <c r="G9412" t="s">
        <v>22444</v>
      </c>
      <c r="H9412" t="s">
        <v>22452</v>
      </c>
      <c r="I9412" t="s">
        <v>22467</v>
      </c>
      <c r="J9412" t="s">
        <v>28547</v>
      </c>
      <c r="K9412" t="s">
        <v>29338</v>
      </c>
      <c r="M9412" t="s">
        <v>30213</v>
      </c>
      <c r="N9412" t="s">
        <v>32524</v>
      </c>
      <c r="O9412" t="s">
        <v>32525</v>
      </c>
      <c r="Q9412">
        <v>0</v>
      </c>
      <c r="R9412" t="s">
        <v>32538</v>
      </c>
      <c r="S9412" t="s">
        <v>32927</v>
      </c>
      <c r="T9412" t="s">
        <v>33252</v>
      </c>
      <c r="U9412" t="s">
        <v>41408</v>
      </c>
      <c r="W9412" t="s">
        <v>30213</v>
      </c>
      <c r="X9412" t="s">
        <v>32539</v>
      </c>
    </row>
    <row r="9413" spans="1:24">
      <c r="A9413">
        <f>HYPERLINK("https://www.philgeps.gov.ph/GEPSNONPILOT/Tender/SplashBidNoticeAbstractUI.aspx?menuIndex=3&amp;refID=7025261&amp;Result=3","7025261")</f>
        <v>0</v>
      </c>
      <c r="B9413" t="s">
        <v>2345</v>
      </c>
      <c r="C9413" t="s">
        <v>11680</v>
      </c>
      <c r="D9413" t="s">
        <v>12991</v>
      </c>
      <c r="E9413" t="s">
        <v>21286</v>
      </c>
      <c r="F9413" t="s">
        <v>22436</v>
      </c>
      <c r="G9413" t="s">
        <v>22443</v>
      </c>
      <c r="H9413" t="s">
        <v>22452</v>
      </c>
      <c r="I9413" t="s">
        <v>22467</v>
      </c>
      <c r="J9413" t="s">
        <v>28548</v>
      </c>
      <c r="K9413" t="s">
        <v>29334</v>
      </c>
      <c r="M9413" t="s">
        <v>32123</v>
      </c>
      <c r="N9413" t="s">
        <v>32524</v>
      </c>
      <c r="O9413" t="s">
        <v>32525</v>
      </c>
      <c r="P9413">
        <v>0</v>
      </c>
      <c r="Q9413">
        <v>1</v>
      </c>
      <c r="R9413" t="s">
        <v>32538</v>
      </c>
      <c r="S9413" t="s">
        <v>32872</v>
      </c>
      <c r="T9413" t="s">
        <v>33220</v>
      </c>
      <c r="U9413" t="s">
        <v>40351</v>
      </c>
      <c r="W9413" t="s">
        <v>32123</v>
      </c>
      <c r="X9413" t="s">
        <v>32539</v>
      </c>
    </row>
    <row r="9414" spans="1:24">
      <c r="A9414">
        <f>HYPERLINK("https://www.philgeps.gov.ph/GEPSNONPILOT/Tender/SplashBidNoticeAbstractUI.aspx?menuIndex=3&amp;refID=7025255&amp;Result=3","7025255")</f>
        <v>0</v>
      </c>
      <c r="B9414" t="s">
        <v>124</v>
      </c>
      <c r="C9414" t="s">
        <v>11681</v>
      </c>
      <c r="D9414" t="s">
        <v>13031</v>
      </c>
      <c r="E9414" t="s">
        <v>21287</v>
      </c>
      <c r="F9414" t="s">
        <v>22436</v>
      </c>
      <c r="G9414" t="s">
        <v>22444</v>
      </c>
      <c r="H9414" t="s">
        <v>22452</v>
      </c>
      <c r="I9414" t="s">
        <v>22467</v>
      </c>
      <c r="J9414" t="s">
        <v>28549</v>
      </c>
      <c r="K9414" t="s">
        <v>29338</v>
      </c>
      <c r="M9414" t="s">
        <v>30213</v>
      </c>
      <c r="N9414" t="s">
        <v>32524</v>
      </c>
      <c r="O9414" t="s">
        <v>32525</v>
      </c>
      <c r="Q9414">
        <v>0</v>
      </c>
      <c r="R9414" t="s">
        <v>32538</v>
      </c>
      <c r="S9414" t="s">
        <v>32928</v>
      </c>
      <c r="T9414" t="s">
        <v>33252</v>
      </c>
      <c r="U9414" t="s">
        <v>41409</v>
      </c>
      <c r="W9414" t="s">
        <v>30213</v>
      </c>
      <c r="X9414" t="s">
        <v>32539</v>
      </c>
    </row>
    <row r="9415" spans="1:24">
      <c r="A9415">
        <f>HYPERLINK("https://www.philgeps.gov.ph/GEPSNONPILOT/Tender/SplashBidNoticeAbstractUI.aspx?menuIndex=3&amp;refID=7025330&amp;Result=3","7025330")</f>
        <v>0</v>
      </c>
      <c r="B9415" t="s">
        <v>1568</v>
      </c>
      <c r="C9415" t="s">
        <v>11682</v>
      </c>
      <c r="D9415" t="s">
        <v>13069</v>
      </c>
      <c r="E9415" t="s">
        <v>21288</v>
      </c>
      <c r="F9415" t="s">
        <v>22436</v>
      </c>
      <c r="G9415" t="s">
        <v>22443</v>
      </c>
      <c r="H9415" t="s">
        <v>22452</v>
      </c>
      <c r="I9415" t="s">
        <v>3529</v>
      </c>
      <c r="J9415" t="s">
        <v>28550</v>
      </c>
      <c r="K9415" t="s">
        <v>29338</v>
      </c>
      <c r="M9415" t="s">
        <v>31250</v>
      </c>
      <c r="N9415" t="s">
        <v>32524</v>
      </c>
      <c r="O9415" t="s">
        <v>32525</v>
      </c>
      <c r="P9415">
        <v>0</v>
      </c>
      <c r="Q9415">
        <v>4</v>
      </c>
      <c r="R9415" t="s">
        <v>32538</v>
      </c>
      <c r="S9415" t="s">
        <v>32872</v>
      </c>
      <c r="T9415" t="s">
        <v>33187</v>
      </c>
      <c r="U9415" t="s">
        <v>41410</v>
      </c>
      <c r="W9415" t="s">
        <v>31250</v>
      </c>
      <c r="X9415" t="s">
        <v>32539</v>
      </c>
    </row>
    <row r="9416" spans="1:24">
      <c r="A9416">
        <f>HYPERLINK("https://www.philgeps.gov.ph/GEPSNONPILOT/Tender/SplashBidNoticeAbstractUI.aspx?menuIndex=3&amp;refID=7025345&amp;Result=3","7025345")</f>
        <v>0</v>
      </c>
      <c r="B9416" t="s">
        <v>1796</v>
      </c>
      <c r="C9416" t="s">
        <v>11683</v>
      </c>
      <c r="D9416" t="s">
        <v>12997</v>
      </c>
      <c r="E9416" t="s">
        <v>21289</v>
      </c>
      <c r="F9416" t="s">
        <v>22436</v>
      </c>
      <c r="G9416" t="s">
        <v>22443</v>
      </c>
      <c r="H9416" t="s">
        <v>22452</v>
      </c>
      <c r="I9416" t="s">
        <v>22494</v>
      </c>
      <c r="J9416" t="s">
        <v>28551</v>
      </c>
      <c r="K9416" t="s">
        <v>29357</v>
      </c>
      <c r="M9416" t="s">
        <v>31507</v>
      </c>
      <c r="N9416" t="s">
        <v>32524</v>
      </c>
      <c r="O9416" t="s">
        <v>32525</v>
      </c>
      <c r="P9416">
        <v>0</v>
      </c>
      <c r="Q9416">
        <v>1</v>
      </c>
      <c r="R9416" t="s">
        <v>32538</v>
      </c>
      <c r="S9416" t="s">
        <v>32872</v>
      </c>
      <c r="T9416" t="s">
        <v>33229</v>
      </c>
      <c r="U9416" t="s">
        <v>41411</v>
      </c>
      <c r="W9416" t="s">
        <v>31507</v>
      </c>
      <c r="X9416" t="s">
        <v>32539</v>
      </c>
    </row>
    <row r="9417" spans="1:24">
      <c r="A9417">
        <f>HYPERLINK("https://www.philgeps.gov.ph/GEPSNONPILOT/Tender/SplashBidNoticeAbstractUI.aspx?menuIndex=3&amp;refID=7025244&amp;Result=3","7025244")</f>
        <v>0</v>
      </c>
      <c r="B9417" t="s">
        <v>1381</v>
      </c>
      <c r="C9417" t="s">
        <v>11684</v>
      </c>
      <c r="D9417" t="s">
        <v>13035</v>
      </c>
      <c r="E9417" t="s">
        <v>21290</v>
      </c>
      <c r="F9417" t="s">
        <v>22436</v>
      </c>
      <c r="G9417" t="s">
        <v>22444</v>
      </c>
      <c r="H9417" t="s">
        <v>22454</v>
      </c>
      <c r="I9417" t="s">
        <v>7738</v>
      </c>
      <c r="J9417" t="s">
        <v>28552</v>
      </c>
      <c r="K9417" t="s">
        <v>29429</v>
      </c>
      <c r="M9417" t="s">
        <v>31460</v>
      </c>
      <c r="N9417" t="s">
        <v>32524</v>
      </c>
      <c r="O9417" t="s">
        <v>32525</v>
      </c>
      <c r="P9417">
        <v>0</v>
      </c>
      <c r="Q9417">
        <v>0</v>
      </c>
      <c r="R9417" t="s">
        <v>32538</v>
      </c>
      <c r="S9417" t="s">
        <v>32872</v>
      </c>
      <c r="T9417" t="s">
        <v>33222</v>
      </c>
      <c r="U9417" t="s">
        <v>41412</v>
      </c>
      <c r="V9417" t="s">
        <v>42994</v>
      </c>
      <c r="W9417" t="s">
        <v>31460</v>
      </c>
      <c r="X9417" t="s">
        <v>32539</v>
      </c>
    </row>
    <row r="9418" spans="1:24">
      <c r="A9418">
        <f>HYPERLINK("https://www.philgeps.gov.ph/GEPSNONPILOT/Tender/SplashBidNoticeAbstractUI.aspx?menuIndex=3&amp;refID=7025259&amp;Result=3","7025259")</f>
        <v>0</v>
      </c>
      <c r="B9418" t="s">
        <v>456</v>
      </c>
      <c r="C9418" t="s">
        <v>11685</v>
      </c>
      <c r="D9418" t="s">
        <v>13045</v>
      </c>
      <c r="E9418" t="s">
        <v>21291</v>
      </c>
      <c r="F9418" t="s">
        <v>22436</v>
      </c>
      <c r="G9418" t="s">
        <v>22444</v>
      </c>
      <c r="H9418" t="s">
        <v>22454</v>
      </c>
      <c r="I9418" t="s">
        <v>7738</v>
      </c>
      <c r="J9418" t="s">
        <v>28553</v>
      </c>
      <c r="K9418" t="s">
        <v>29330</v>
      </c>
      <c r="M9418" t="s">
        <v>30038</v>
      </c>
      <c r="N9418" t="s">
        <v>32524</v>
      </c>
      <c r="O9418" t="s">
        <v>32525</v>
      </c>
      <c r="Q9418">
        <v>2</v>
      </c>
      <c r="R9418" t="s">
        <v>32538</v>
      </c>
      <c r="S9418" t="s">
        <v>32929</v>
      </c>
      <c r="T9418" t="s">
        <v>33592</v>
      </c>
      <c r="U9418" t="s">
        <v>41413</v>
      </c>
      <c r="V9418" t="s">
        <v>43474</v>
      </c>
      <c r="W9418" t="s">
        <v>30038</v>
      </c>
      <c r="X9418" t="s">
        <v>32539</v>
      </c>
    </row>
    <row r="9419" spans="1:24">
      <c r="A9419">
        <f>HYPERLINK("https://www.philgeps.gov.ph/GEPSNONPILOT/Tender/SplashBidNoticeAbstractUI.aspx?menuIndex=3&amp;refID=7025340&amp;Result=3","7025340")</f>
        <v>0</v>
      </c>
      <c r="B9419" t="s">
        <v>132</v>
      </c>
      <c r="C9419" t="s">
        <v>11686</v>
      </c>
      <c r="D9419" t="s">
        <v>13038</v>
      </c>
      <c r="E9419" t="s">
        <v>21292</v>
      </c>
      <c r="F9419" t="s">
        <v>22436</v>
      </c>
      <c r="G9419" t="s">
        <v>22444</v>
      </c>
      <c r="H9419" t="s">
        <v>22452</v>
      </c>
      <c r="I9419" t="s">
        <v>22474</v>
      </c>
      <c r="J9419" t="s">
        <v>28554</v>
      </c>
      <c r="K9419" t="s">
        <v>29336</v>
      </c>
      <c r="M9419" t="s">
        <v>29704</v>
      </c>
      <c r="N9419" t="s">
        <v>32524</v>
      </c>
      <c r="O9419" t="s">
        <v>32525</v>
      </c>
      <c r="P9419">
        <v>0</v>
      </c>
      <c r="Q9419">
        <v>5</v>
      </c>
      <c r="R9419" t="s">
        <v>32538</v>
      </c>
      <c r="S9419" t="s">
        <v>32872</v>
      </c>
      <c r="T9419" t="s">
        <v>33241</v>
      </c>
      <c r="U9419" t="s">
        <v>41414</v>
      </c>
      <c r="W9419" t="s">
        <v>29704</v>
      </c>
      <c r="X9419" t="s">
        <v>32539</v>
      </c>
    </row>
    <row r="9420" spans="1:24">
      <c r="A9420">
        <f>HYPERLINK("https://www.philgeps.gov.ph/GEPSNONPILOT/Tender/SplashBidNoticeAbstractUI.aspx?menuIndex=3&amp;refID=7025341&amp;Result=3","7025341")</f>
        <v>0</v>
      </c>
      <c r="B9420" t="s">
        <v>2385</v>
      </c>
      <c r="C9420" t="s">
        <v>11687</v>
      </c>
      <c r="D9420" t="s">
        <v>13007</v>
      </c>
      <c r="E9420" t="s">
        <v>21293</v>
      </c>
      <c r="F9420" t="s">
        <v>22436</v>
      </c>
      <c r="G9420" t="s">
        <v>22444</v>
      </c>
      <c r="H9420" t="s">
        <v>22452</v>
      </c>
      <c r="I9420" t="s">
        <v>2993</v>
      </c>
      <c r="J9420" t="s">
        <v>28555</v>
      </c>
      <c r="K9420" t="s">
        <v>29357</v>
      </c>
      <c r="M9420" t="s">
        <v>32176</v>
      </c>
      <c r="N9420" t="s">
        <v>32524</v>
      </c>
      <c r="O9420" t="s">
        <v>32525</v>
      </c>
      <c r="P9420">
        <v>0</v>
      </c>
      <c r="Q9420">
        <v>0</v>
      </c>
      <c r="R9420" t="s">
        <v>32538</v>
      </c>
      <c r="S9420" t="s">
        <v>32872</v>
      </c>
      <c r="T9420" t="s">
        <v>33203</v>
      </c>
      <c r="U9420" t="s">
        <v>41415</v>
      </c>
      <c r="W9420" t="s">
        <v>32176</v>
      </c>
      <c r="X9420" t="s">
        <v>32539</v>
      </c>
    </row>
    <row r="9421" spans="1:24">
      <c r="A9421">
        <f>HYPERLINK("https://www.philgeps.gov.ph/GEPSNONPILOT/Tender/SplashBidNoticeAbstractUI.aspx?menuIndex=3&amp;refID=7025338&amp;Result=3","7025338")</f>
        <v>0</v>
      </c>
      <c r="B9421" t="s">
        <v>2533</v>
      </c>
      <c r="C9421" t="s">
        <v>11688</v>
      </c>
      <c r="E9421" t="s">
        <v>13137</v>
      </c>
      <c r="F9421" t="s">
        <v>22436</v>
      </c>
      <c r="G9421" t="s">
        <v>22444</v>
      </c>
      <c r="H9421" t="s">
        <v>22452</v>
      </c>
      <c r="I9421" t="s">
        <v>22474</v>
      </c>
      <c r="J9421" t="s">
        <v>22703</v>
      </c>
      <c r="K9421" t="s">
        <v>29338</v>
      </c>
      <c r="M9421" t="s">
        <v>32341</v>
      </c>
      <c r="N9421" t="s">
        <v>32524</v>
      </c>
      <c r="O9421" t="s">
        <v>32525</v>
      </c>
      <c r="P9421">
        <v>0</v>
      </c>
      <c r="Q9421">
        <v>5</v>
      </c>
      <c r="R9421" t="s">
        <v>32538</v>
      </c>
      <c r="S9421" t="s">
        <v>32872</v>
      </c>
      <c r="T9421" t="s">
        <v>33155</v>
      </c>
      <c r="U9421" t="s">
        <v>41416</v>
      </c>
      <c r="W9421" t="s">
        <v>32341</v>
      </c>
      <c r="X9421" t="s">
        <v>32539</v>
      </c>
    </row>
    <row r="9422" spans="1:24">
      <c r="A9422">
        <f>HYPERLINK("https://www.philgeps.gov.ph/GEPSNONPILOT/Tender/SplashBidNoticeAbstractUI.aspx?menuIndex=3&amp;refID=7025260&amp;Result=3","7025260")</f>
        <v>0</v>
      </c>
      <c r="B9422" t="s">
        <v>1381</v>
      </c>
      <c r="C9422" t="s">
        <v>11689</v>
      </c>
      <c r="D9422" t="s">
        <v>13035</v>
      </c>
      <c r="E9422" t="s">
        <v>21294</v>
      </c>
      <c r="F9422" t="s">
        <v>22436</v>
      </c>
      <c r="G9422" t="s">
        <v>22444</v>
      </c>
      <c r="H9422" t="s">
        <v>22454</v>
      </c>
      <c r="I9422" t="s">
        <v>7738</v>
      </c>
      <c r="J9422" t="s">
        <v>28556</v>
      </c>
      <c r="K9422" t="s">
        <v>29566</v>
      </c>
      <c r="M9422" t="s">
        <v>31460</v>
      </c>
      <c r="N9422" t="s">
        <v>32524</v>
      </c>
      <c r="O9422" t="s">
        <v>32525</v>
      </c>
      <c r="P9422">
        <v>0</v>
      </c>
      <c r="Q9422">
        <v>0</v>
      </c>
      <c r="R9422" t="s">
        <v>32538</v>
      </c>
      <c r="S9422" t="s">
        <v>32872</v>
      </c>
      <c r="T9422" t="s">
        <v>33222</v>
      </c>
      <c r="U9422" t="s">
        <v>41417</v>
      </c>
      <c r="V9422" t="s">
        <v>42994</v>
      </c>
      <c r="W9422" t="s">
        <v>31460</v>
      </c>
      <c r="X9422" t="s">
        <v>32539</v>
      </c>
    </row>
    <row r="9423" spans="1:24">
      <c r="A9423">
        <f>HYPERLINK("https://www.philgeps.gov.ph/GEPSNONPILOT/Tender/SplashBidNoticeAbstractUI.aspx?menuIndex=3&amp;refID=7025390&amp;Result=3","7025390")</f>
        <v>0</v>
      </c>
      <c r="B9423" t="s">
        <v>1381</v>
      </c>
      <c r="C9423" t="s">
        <v>11690</v>
      </c>
      <c r="D9423" t="s">
        <v>13035</v>
      </c>
      <c r="E9423" t="s">
        <v>21295</v>
      </c>
      <c r="F9423" t="s">
        <v>22436</v>
      </c>
      <c r="G9423" t="s">
        <v>22444</v>
      </c>
      <c r="H9423" t="s">
        <v>22454</v>
      </c>
      <c r="I9423" t="s">
        <v>7738</v>
      </c>
      <c r="J9423" t="s">
        <v>28557</v>
      </c>
      <c r="K9423" t="s">
        <v>29334</v>
      </c>
      <c r="M9423" t="s">
        <v>31460</v>
      </c>
      <c r="N9423" t="s">
        <v>32524</v>
      </c>
      <c r="O9423" t="s">
        <v>32525</v>
      </c>
      <c r="P9423">
        <v>0</v>
      </c>
      <c r="Q9423">
        <v>0</v>
      </c>
      <c r="R9423" t="s">
        <v>32538</v>
      </c>
      <c r="S9423" t="s">
        <v>32872</v>
      </c>
      <c r="T9423" t="s">
        <v>33222</v>
      </c>
      <c r="U9423" t="s">
        <v>41418</v>
      </c>
      <c r="V9423" t="s">
        <v>42994</v>
      </c>
      <c r="W9423" t="s">
        <v>31460</v>
      </c>
      <c r="X9423" t="s">
        <v>32539</v>
      </c>
    </row>
    <row r="9424" spans="1:24">
      <c r="A9424">
        <f>HYPERLINK("https://www.philgeps.gov.ph/GEPSNONPILOT/Tender/SplashBidNoticeAbstractUI.aspx?menuIndex=3&amp;refID=7025389&amp;Result=3","7025389")</f>
        <v>0</v>
      </c>
      <c r="B9424" t="s">
        <v>2502</v>
      </c>
      <c r="C9424" t="s">
        <v>11691</v>
      </c>
      <c r="D9424" t="s">
        <v>13006</v>
      </c>
      <c r="E9424" t="s">
        <v>13416</v>
      </c>
      <c r="F9424" t="s">
        <v>22436</v>
      </c>
      <c r="G9424" t="s">
        <v>22444</v>
      </c>
      <c r="H9424" t="s">
        <v>22452</v>
      </c>
      <c r="I9424" t="s">
        <v>3529</v>
      </c>
      <c r="J9424" t="s">
        <v>28558</v>
      </c>
      <c r="K9424" t="s">
        <v>29341</v>
      </c>
      <c r="M9424" t="s">
        <v>32309</v>
      </c>
      <c r="N9424" t="s">
        <v>32524</v>
      </c>
      <c r="O9424" t="s">
        <v>32525</v>
      </c>
      <c r="P9424">
        <v>0</v>
      </c>
      <c r="Q9424">
        <v>1</v>
      </c>
      <c r="R9424" t="s">
        <v>32538</v>
      </c>
      <c r="S9424" t="s">
        <v>32872</v>
      </c>
      <c r="T9424" t="s">
        <v>33211</v>
      </c>
      <c r="U9424" t="s">
        <v>41419</v>
      </c>
      <c r="V9424" t="s">
        <v>43476</v>
      </c>
      <c r="W9424" t="s">
        <v>32309</v>
      </c>
      <c r="X9424" t="s">
        <v>32539</v>
      </c>
    </row>
    <row r="9425" spans="1:24">
      <c r="A9425">
        <f>HYPERLINK("https://www.philgeps.gov.ph/GEPSNONPILOT/Tender/SplashBidNoticeAbstractUI.aspx?menuIndex=3&amp;refID=7025364&amp;Result=3","7025364")</f>
        <v>0</v>
      </c>
      <c r="B9425" t="s">
        <v>1698</v>
      </c>
      <c r="C9425" t="s">
        <v>11692</v>
      </c>
      <c r="D9425" t="s">
        <v>12990</v>
      </c>
      <c r="E9425" t="s">
        <v>21296</v>
      </c>
      <c r="F9425" t="s">
        <v>22436</v>
      </c>
      <c r="G9425" t="s">
        <v>22444</v>
      </c>
      <c r="H9425" t="s">
        <v>22454</v>
      </c>
      <c r="I9425" t="s">
        <v>7738</v>
      </c>
      <c r="J9425" t="s">
        <v>25909</v>
      </c>
      <c r="K9425" t="s">
        <v>29329</v>
      </c>
      <c r="L9425" t="s">
        <v>1698</v>
      </c>
      <c r="M9425" t="s">
        <v>31400</v>
      </c>
      <c r="N9425" t="s">
        <v>32524</v>
      </c>
      <c r="O9425" t="s">
        <v>32525</v>
      </c>
      <c r="P9425">
        <v>0</v>
      </c>
      <c r="Q9425">
        <v>1</v>
      </c>
      <c r="R9425" t="s">
        <v>32538</v>
      </c>
      <c r="S9425" t="s">
        <v>32872</v>
      </c>
      <c r="T9425" t="s">
        <v>33593</v>
      </c>
      <c r="U9425" t="s">
        <v>41420</v>
      </c>
      <c r="W9425" t="s">
        <v>31400</v>
      </c>
      <c r="X9425" t="s">
        <v>32539</v>
      </c>
    </row>
    <row r="9426" spans="1:24">
      <c r="A9426">
        <f>HYPERLINK("https://www.philgeps.gov.ph/GEPSNONPILOT/Tender/SplashBidNoticeAbstractUI.aspx?menuIndex=3&amp;refID=7025360&amp;Result=3","7025360")</f>
        <v>0</v>
      </c>
      <c r="B9426" t="s">
        <v>1552</v>
      </c>
      <c r="C9426" t="s">
        <v>11693</v>
      </c>
      <c r="D9426" t="s">
        <v>13000</v>
      </c>
      <c r="E9426" t="s">
        <v>21297</v>
      </c>
      <c r="F9426" t="s">
        <v>22436</v>
      </c>
      <c r="G9426" t="s">
        <v>22444</v>
      </c>
      <c r="H9426" t="s">
        <v>22452</v>
      </c>
      <c r="I9426" t="s">
        <v>3529</v>
      </c>
      <c r="J9426" t="s">
        <v>28559</v>
      </c>
      <c r="K9426" t="s">
        <v>29338</v>
      </c>
      <c r="M9426" t="s">
        <v>31232</v>
      </c>
      <c r="N9426" t="s">
        <v>32524</v>
      </c>
      <c r="O9426" t="s">
        <v>32525</v>
      </c>
      <c r="P9426">
        <v>0</v>
      </c>
      <c r="Q9426">
        <v>3</v>
      </c>
      <c r="R9426" t="s">
        <v>32538</v>
      </c>
      <c r="S9426" t="s">
        <v>32872</v>
      </c>
      <c r="T9426" t="s">
        <v>33187</v>
      </c>
      <c r="U9426" t="s">
        <v>41421</v>
      </c>
      <c r="W9426" t="s">
        <v>31232</v>
      </c>
      <c r="X9426" t="s">
        <v>32539</v>
      </c>
    </row>
    <row r="9427" spans="1:24">
      <c r="A9427">
        <f>HYPERLINK("https://www.philgeps.gov.ph/GEPSNONPILOT/Tender/SplashBidNoticeAbstractUI.aspx?menuIndex=3&amp;refID=7025337&amp;Result=3","7025337")</f>
        <v>0</v>
      </c>
      <c r="B9427" t="s">
        <v>1381</v>
      </c>
      <c r="C9427" t="s">
        <v>11694</v>
      </c>
      <c r="D9427" t="s">
        <v>13035</v>
      </c>
      <c r="E9427" t="s">
        <v>21298</v>
      </c>
      <c r="F9427" t="s">
        <v>22436</v>
      </c>
      <c r="G9427" t="s">
        <v>22444</v>
      </c>
      <c r="H9427" t="s">
        <v>22454</v>
      </c>
      <c r="I9427" t="s">
        <v>7738</v>
      </c>
      <c r="J9427" t="s">
        <v>28560</v>
      </c>
      <c r="K9427" t="s">
        <v>29345</v>
      </c>
      <c r="M9427" t="s">
        <v>31460</v>
      </c>
      <c r="N9427" t="s">
        <v>32524</v>
      </c>
      <c r="O9427" t="s">
        <v>32525</v>
      </c>
      <c r="P9427">
        <v>0</v>
      </c>
      <c r="Q9427">
        <v>0</v>
      </c>
      <c r="R9427" t="s">
        <v>32538</v>
      </c>
      <c r="S9427" t="s">
        <v>32872</v>
      </c>
      <c r="T9427" t="s">
        <v>33222</v>
      </c>
      <c r="U9427" t="s">
        <v>41422</v>
      </c>
      <c r="V9427" t="s">
        <v>42994</v>
      </c>
      <c r="W9427" t="s">
        <v>31460</v>
      </c>
      <c r="X9427" t="s">
        <v>32539</v>
      </c>
    </row>
    <row r="9428" spans="1:24">
      <c r="A9428">
        <f>HYPERLINK("https://www.philgeps.gov.ph/GEPSNONPILOT/Tender/SplashBidNoticeAbstractUI.aspx?menuIndex=3&amp;refID=7025354&amp;Result=3","7025354")</f>
        <v>0</v>
      </c>
      <c r="B9428" t="s">
        <v>2502</v>
      </c>
      <c r="C9428" t="s">
        <v>11695</v>
      </c>
      <c r="D9428" t="s">
        <v>13006</v>
      </c>
      <c r="E9428" t="s">
        <v>13396</v>
      </c>
      <c r="F9428" t="s">
        <v>22436</v>
      </c>
      <c r="G9428" t="s">
        <v>22444</v>
      </c>
      <c r="H9428" t="s">
        <v>22452</v>
      </c>
      <c r="I9428" t="s">
        <v>3529</v>
      </c>
      <c r="J9428" t="s">
        <v>28561</v>
      </c>
      <c r="K9428" t="s">
        <v>29341</v>
      </c>
      <c r="M9428" t="s">
        <v>32309</v>
      </c>
      <c r="N9428" t="s">
        <v>32524</v>
      </c>
      <c r="O9428" t="s">
        <v>32525</v>
      </c>
      <c r="P9428">
        <v>0</v>
      </c>
      <c r="Q9428">
        <v>0</v>
      </c>
      <c r="R9428" t="s">
        <v>32538</v>
      </c>
      <c r="S9428" t="s">
        <v>32872</v>
      </c>
      <c r="T9428" t="s">
        <v>33211</v>
      </c>
      <c r="U9428" t="s">
        <v>41423</v>
      </c>
      <c r="V9428" t="s">
        <v>43477</v>
      </c>
      <c r="W9428" t="s">
        <v>32309</v>
      </c>
      <c r="X9428" t="s">
        <v>32539</v>
      </c>
    </row>
    <row r="9429" spans="1:24">
      <c r="A9429">
        <f>HYPERLINK("https://www.philgeps.gov.ph/GEPSNONPILOT/Tender/SplashBidNoticeAbstractUI.aspx?menuIndex=3&amp;refID=7025378&amp;Result=3","7025378")</f>
        <v>0</v>
      </c>
      <c r="B9429" t="s">
        <v>1552</v>
      </c>
      <c r="C9429" t="s">
        <v>11696</v>
      </c>
      <c r="D9429" t="s">
        <v>13000</v>
      </c>
      <c r="E9429" t="s">
        <v>21299</v>
      </c>
      <c r="F9429" t="s">
        <v>22436</v>
      </c>
      <c r="G9429" t="s">
        <v>22444</v>
      </c>
      <c r="H9429" t="s">
        <v>22452</v>
      </c>
      <c r="I9429" t="s">
        <v>3529</v>
      </c>
      <c r="J9429" t="s">
        <v>28562</v>
      </c>
      <c r="K9429" t="s">
        <v>29338</v>
      </c>
      <c r="M9429" t="s">
        <v>31232</v>
      </c>
      <c r="N9429" t="s">
        <v>32524</v>
      </c>
      <c r="O9429" t="s">
        <v>32525</v>
      </c>
      <c r="P9429">
        <v>0</v>
      </c>
      <c r="Q9429">
        <v>2</v>
      </c>
      <c r="R9429" t="s">
        <v>32538</v>
      </c>
      <c r="S9429" t="s">
        <v>32872</v>
      </c>
      <c r="T9429" t="s">
        <v>33187</v>
      </c>
      <c r="U9429" t="s">
        <v>41424</v>
      </c>
      <c r="W9429" t="s">
        <v>31232</v>
      </c>
      <c r="X9429" t="s">
        <v>32539</v>
      </c>
    </row>
    <row r="9430" spans="1:24">
      <c r="A9430">
        <f>HYPERLINK("https://www.philgeps.gov.ph/GEPSNONPILOT/Tender/SplashBidNoticeAbstractUI.aspx?menuIndex=3&amp;refID=7025331&amp;Result=3","7025331")</f>
        <v>0</v>
      </c>
      <c r="B9430" t="s">
        <v>284</v>
      </c>
      <c r="C9430" t="s">
        <v>11697</v>
      </c>
      <c r="D9430" t="s">
        <v>13056</v>
      </c>
      <c r="E9430" t="s">
        <v>21300</v>
      </c>
      <c r="F9430" t="s">
        <v>22436</v>
      </c>
      <c r="G9430" t="s">
        <v>22444</v>
      </c>
      <c r="H9430" t="s">
        <v>22452</v>
      </c>
      <c r="I9430" t="s">
        <v>3529</v>
      </c>
      <c r="J9430" t="s">
        <v>28563</v>
      </c>
      <c r="K9430" t="s">
        <v>29331</v>
      </c>
      <c r="M9430" t="s">
        <v>29858</v>
      </c>
      <c r="N9430" t="s">
        <v>32524</v>
      </c>
      <c r="O9430" t="s">
        <v>32525</v>
      </c>
      <c r="P9430">
        <v>0</v>
      </c>
      <c r="Q9430">
        <v>0</v>
      </c>
      <c r="R9430" t="s">
        <v>32538</v>
      </c>
      <c r="S9430" t="s">
        <v>32872</v>
      </c>
      <c r="T9430" t="s">
        <v>33310</v>
      </c>
      <c r="U9430" t="s">
        <v>41425</v>
      </c>
      <c r="V9430" t="s">
        <v>43278</v>
      </c>
      <c r="W9430" t="s">
        <v>29858</v>
      </c>
      <c r="X9430" t="s">
        <v>32539</v>
      </c>
    </row>
    <row r="9431" spans="1:24">
      <c r="A9431">
        <f>HYPERLINK("https://www.philgeps.gov.ph/GEPSNONPILOT/Tender/SplashBidNoticeAbstractUI.aspx?menuIndex=3&amp;refID=7025359&amp;Result=3","7025359")</f>
        <v>0</v>
      </c>
      <c r="B9431" t="s">
        <v>1381</v>
      </c>
      <c r="C9431" t="s">
        <v>11698</v>
      </c>
      <c r="D9431" t="s">
        <v>13035</v>
      </c>
      <c r="E9431" t="s">
        <v>21301</v>
      </c>
      <c r="F9431" t="s">
        <v>22436</v>
      </c>
      <c r="G9431" t="s">
        <v>22444</v>
      </c>
      <c r="H9431" t="s">
        <v>22454</v>
      </c>
      <c r="I9431" t="s">
        <v>7738</v>
      </c>
      <c r="J9431" t="s">
        <v>28564</v>
      </c>
      <c r="K9431" t="s">
        <v>29334</v>
      </c>
      <c r="M9431" t="s">
        <v>31460</v>
      </c>
      <c r="N9431" t="s">
        <v>32524</v>
      </c>
      <c r="O9431" t="s">
        <v>32525</v>
      </c>
      <c r="P9431">
        <v>0</v>
      </c>
      <c r="Q9431">
        <v>0</v>
      </c>
      <c r="R9431" t="s">
        <v>32538</v>
      </c>
      <c r="S9431" t="s">
        <v>32872</v>
      </c>
      <c r="T9431" t="s">
        <v>33222</v>
      </c>
      <c r="U9431" t="s">
        <v>41426</v>
      </c>
      <c r="V9431" t="s">
        <v>42994</v>
      </c>
      <c r="W9431" t="s">
        <v>31460</v>
      </c>
      <c r="X9431" t="s">
        <v>32539</v>
      </c>
    </row>
    <row r="9432" spans="1:24">
      <c r="A9432">
        <f>HYPERLINK("https://www.philgeps.gov.ph/GEPSNONPILOT/Tender/SplashBidNoticeAbstractUI.aspx?menuIndex=3&amp;refID=7025374&amp;Result=3","7025374")</f>
        <v>0</v>
      </c>
      <c r="B9432" t="s">
        <v>1381</v>
      </c>
      <c r="C9432" t="s">
        <v>11699</v>
      </c>
      <c r="D9432" t="s">
        <v>13035</v>
      </c>
      <c r="E9432" t="s">
        <v>21302</v>
      </c>
      <c r="F9432" t="s">
        <v>22436</v>
      </c>
      <c r="G9432" t="s">
        <v>22444</v>
      </c>
      <c r="H9432" t="s">
        <v>22454</v>
      </c>
      <c r="I9432" t="s">
        <v>7738</v>
      </c>
      <c r="J9432" t="s">
        <v>28565</v>
      </c>
      <c r="K9432" t="s">
        <v>29334</v>
      </c>
      <c r="M9432" t="s">
        <v>31460</v>
      </c>
      <c r="N9432" t="s">
        <v>32524</v>
      </c>
      <c r="O9432" t="s">
        <v>32525</v>
      </c>
      <c r="P9432">
        <v>0</v>
      </c>
      <c r="Q9432">
        <v>0</v>
      </c>
      <c r="R9432" t="s">
        <v>32538</v>
      </c>
      <c r="S9432" t="s">
        <v>32872</v>
      </c>
      <c r="T9432" t="s">
        <v>33222</v>
      </c>
      <c r="U9432" t="s">
        <v>41427</v>
      </c>
      <c r="V9432" t="s">
        <v>42994</v>
      </c>
      <c r="W9432" t="s">
        <v>31460</v>
      </c>
      <c r="X9432" t="s">
        <v>32539</v>
      </c>
    </row>
    <row r="9433" spans="1:24">
      <c r="A9433">
        <f>HYPERLINK("https://www.philgeps.gov.ph/GEPSNONPILOT/Tender/SplashBidNoticeAbstractUI.aspx?menuIndex=3&amp;refID=7025319&amp;Result=3","7025319")</f>
        <v>0</v>
      </c>
      <c r="B9433" t="s">
        <v>1381</v>
      </c>
      <c r="C9433" t="s">
        <v>11700</v>
      </c>
      <c r="D9433" t="s">
        <v>13035</v>
      </c>
      <c r="E9433" t="s">
        <v>21303</v>
      </c>
      <c r="F9433" t="s">
        <v>22436</v>
      </c>
      <c r="G9433" t="s">
        <v>22444</v>
      </c>
      <c r="H9433" t="s">
        <v>22454</v>
      </c>
      <c r="I9433" t="s">
        <v>7738</v>
      </c>
      <c r="J9433" t="s">
        <v>28566</v>
      </c>
      <c r="K9433" t="s">
        <v>29334</v>
      </c>
      <c r="M9433" t="s">
        <v>31460</v>
      </c>
      <c r="N9433" t="s">
        <v>32524</v>
      </c>
      <c r="O9433" t="s">
        <v>32525</v>
      </c>
      <c r="P9433">
        <v>0</v>
      </c>
      <c r="Q9433">
        <v>0</v>
      </c>
      <c r="R9433" t="s">
        <v>32538</v>
      </c>
      <c r="S9433" t="s">
        <v>32872</v>
      </c>
      <c r="T9433" t="s">
        <v>33222</v>
      </c>
      <c r="U9433" t="s">
        <v>41428</v>
      </c>
      <c r="V9433" t="s">
        <v>42994</v>
      </c>
      <c r="W9433" t="s">
        <v>31460</v>
      </c>
      <c r="X9433" t="s">
        <v>32539</v>
      </c>
    </row>
    <row r="9434" spans="1:24">
      <c r="A9434">
        <f>HYPERLINK("https://www.philgeps.gov.ph/GEPSNONPILOT/Tender/SplashBidNoticeAbstractUI.aspx?menuIndex=3&amp;refID=7025349&amp;Result=3","7025349")</f>
        <v>0</v>
      </c>
      <c r="B9434" t="s">
        <v>1956</v>
      </c>
      <c r="C9434" t="s">
        <v>11701</v>
      </c>
      <c r="D9434" t="s">
        <v>12998</v>
      </c>
      <c r="E9434" t="s">
        <v>21304</v>
      </c>
      <c r="F9434" t="s">
        <v>22436</v>
      </c>
      <c r="G9434" t="s">
        <v>22444</v>
      </c>
      <c r="H9434" t="s">
        <v>22452</v>
      </c>
      <c r="I9434" t="s">
        <v>22474</v>
      </c>
      <c r="J9434" t="s">
        <v>28567</v>
      </c>
      <c r="K9434" t="s">
        <v>29335</v>
      </c>
      <c r="M9434" t="s">
        <v>31686</v>
      </c>
      <c r="N9434" t="s">
        <v>32524</v>
      </c>
      <c r="O9434" t="s">
        <v>32525</v>
      </c>
      <c r="P9434">
        <v>0</v>
      </c>
      <c r="Q9434">
        <v>6</v>
      </c>
      <c r="R9434" t="s">
        <v>32538</v>
      </c>
      <c r="S9434" t="s">
        <v>32872</v>
      </c>
      <c r="T9434" t="s">
        <v>33211</v>
      </c>
      <c r="U9434" t="s">
        <v>41429</v>
      </c>
      <c r="V9434" t="s">
        <v>43478</v>
      </c>
      <c r="W9434" t="s">
        <v>31686</v>
      </c>
      <c r="X9434" t="s">
        <v>32539</v>
      </c>
    </row>
    <row r="9435" spans="1:24">
      <c r="A9435">
        <f>HYPERLINK("https://www.philgeps.gov.ph/GEPSNONPILOT/Tender/SplashBidNoticeAbstractUI.aspx?menuIndex=3&amp;refID=7025376&amp;Result=3","7025376")</f>
        <v>0</v>
      </c>
      <c r="B9435" t="s">
        <v>2385</v>
      </c>
      <c r="C9435" t="s">
        <v>11311</v>
      </c>
      <c r="D9435" t="s">
        <v>13007</v>
      </c>
      <c r="E9435" t="s">
        <v>21305</v>
      </c>
      <c r="F9435" t="s">
        <v>22436</v>
      </c>
      <c r="G9435" t="s">
        <v>22444</v>
      </c>
      <c r="H9435" t="s">
        <v>22452</v>
      </c>
      <c r="I9435" t="s">
        <v>2993</v>
      </c>
      <c r="J9435" t="s">
        <v>28568</v>
      </c>
      <c r="K9435" t="s">
        <v>29357</v>
      </c>
      <c r="M9435" t="s">
        <v>32176</v>
      </c>
      <c r="N9435" t="s">
        <v>32524</v>
      </c>
      <c r="O9435" t="s">
        <v>32525</v>
      </c>
      <c r="P9435">
        <v>0</v>
      </c>
      <c r="Q9435">
        <v>0</v>
      </c>
      <c r="R9435" t="s">
        <v>32538</v>
      </c>
      <c r="S9435" t="s">
        <v>32872</v>
      </c>
      <c r="T9435" t="s">
        <v>33203</v>
      </c>
      <c r="U9435" t="s">
        <v>41430</v>
      </c>
      <c r="W9435" t="s">
        <v>32176</v>
      </c>
      <c r="X9435" t="s">
        <v>32539</v>
      </c>
    </row>
    <row r="9436" spans="1:24">
      <c r="A9436">
        <f>HYPERLINK("https://www.philgeps.gov.ph/GEPSNONPILOT/Tender/SplashBidNoticeAbstractUI.aspx?menuIndex=3&amp;refID=7025346&amp;Result=3","7025346")</f>
        <v>0</v>
      </c>
      <c r="B9436" t="s">
        <v>1381</v>
      </c>
      <c r="C9436" t="s">
        <v>11702</v>
      </c>
      <c r="D9436" t="s">
        <v>13035</v>
      </c>
      <c r="E9436" t="s">
        <v>21306</v>
      </c>
      <c r="F9436" t="s">
        <v>22436</v>
      </c>
      <c r="G9436" t="s">
        <v>22444</v>
      </c>
      <c r="H9436" t="s">
        <v>22454</v>
      </c>
      <c r="I9436" t="s">
        <v>7738</v>
      </c>
      <c r="J9436" t="s">
        <v>28569</v>
      </c>
      <c r="K9436" t="s">
        <v>29334</v>
      </c>
      <c r="M9436" t="s">
        <v>31460</v>
      </c>
      <c r="N9436" t="s">
        <v>32524</v>
      </c>
      <c r="O9436" t="s">
        <v>32525</v>
      </c>
      <c r="P9436">
        <v>0</v>
      </c>
      <c r="Q9436">
        <v>0</v>
      </c>
      <c r="R9436" t="s">
        <v>32538</v>
      </c>
      <c r="S9436" t="s">
        <v>32872</v>
      </c>
      <c r="T9436" t="s">
        <v>33222</v>
      </c>
      <c r="U9436" t="s">
        <v>41431</v>
      </c>
      <c r="V9436" t="s">
        <v>42994</v>
      </c>
      <c r="W9436" t="s">
        <v>31460</v>
      </c>
      <c r="X9436" t="s">
        <v>32539</v>
      </c>
    </row>
    <row r="9437" spans="1:24">
      <c r="A9437">
        <f>HYPERLINK("https://www.philgeps.gov.ph/GEPSNONPILOT/Tender/SplashBidNoticeAbstractUI.aspx?menuIndex=3&amp;refID=7025399&amp;Result=3","7025399")</f>
        <v>0</v>
      </c>
      <c r="B9437" t="s">
        <v>1552</v>
      </c>
      <c r="C9437" t="s">
        <v>11703</v>
      </c>
      <c r="D9437" t="s">
        <v>13000</v>
      </c>
      <c r="E9437" t="s">
        <v>21307</v>
      </c>
      <c r="F9437" t="s">
        <v>22436</v>
      </c>
      <c r="G9437" t="s">
        <v>22444</v>
      </c>
      <c r="H9437" t="s">
        <v>22452</v>
      </c>
      <c r="I9437" t="s">
        <v>3529</v>
      </c>
      <c r="J9437" t="s">
        <v>28570</v>
      </c>
      <c r="K9437" t="s">
        <v>29338</v>
      </c>
      <c r="M9437" t="s">
        <v>31232</v>
      </c>
      <c r="N9437" t="s">
        <v>32524</v>
      </c>
      <c r="O9437" t="s">
        <v>32525</v>
      </c>
      <c r="P9437">
        <v>0</v>
      </c>
      <c r="Q9437">
        <v>2</v>
      </c>
      <c r="R9437" t="s">
        <v>32538</v>
      </c>
      <c r="S9437" t="s">
        <v>32872</v>
      </c>
      <c r="T9437" t="s">
        <v>33187</v>
      </c>
      <c r="U9437" t="s">
        <v>41432</v>
      </c>
      <c r="W9437" t="s">
        <v>31232</v>
      </c>
      <c r="X9437" t="s">
        <v>32539</v>
      </c>
    </row>
    <row r="9438" spans="1:24">
      <c r="A9438">
        <f>HYPERLINK("https://www.philgeps.gov.ph/GEPSNONPILOT/Tender/SplashBidNoticeAbstractUI.aspx?menuIndex=3&amp;refID=7025430&amp;Result=3","7025430")</f>
        <v>0</v>
      </c>
      <c r="B9438" t="s">
        <v>2534</v>
      </c>
      <c r="C9438" t="s">
        <v>11704</v>
      </c>
      <c r="D9438" t="s">
        <v>13002</v>
      </c>
      <c r="E9438" t="s">
        <v>20228</v>
      </c>
      <c r="F9438" t="s">
        <v>22436</v>
      </c>
      <c r="G9438" t="s">
        <v>22444</v>
      </c>
      <c r="H9438" t="s">
        <v>22454</v>
      </c>
      <c r="I9438" t="s">
        <v>7738</v>
      </c>
      <c r="J9438" t="s">
        <v>28571</v>
      </c>
      <c r="K9438" t="s">
        <v>29334</v>
      </c>
      <c r="M9438" t="s">
        <v>32342</v>
      </c>
      <c r="N9438" t="s">
        <v>32524</v>
      </c>
      <c r="O9438" t="s">
        <v>32525</v>
      </c>
      <c r="P9438">
        <v>0</v>
      </c>
      <c r="Q9438">
        <v>0</v>
      </c>
      <c r="R9438" t="s">
        <v>32538</v>
      </c>
      <c r="S9438" t="s">
        <v>32872</v>
      </c>
      <c r="T9438" t="s">
        <v>33268</v>
      </c>
      <c r="U9438" t="s">
        <v>41433</v>
      </c>
      <c r="W9438" t="s">
        <v>32342</v>
      </c>
      <c r="X9438" t="s">
        <v>32539</v>
      </c>
    </row>
    <row r="9439" spans="1:24">
      <c r="A9439">
        <f>HYPERLINK("https://www.philgeps.gov.ph/GEPSNONPILOT/Tender/SplashBidNoticeAbstractUI.aspx?menuIndex=3&amp;refID=7025325&amp;Result=3","7025325")</f>
        <v>0</v>
      </c>
      <c r="B9439" t="s">
        <v>1381</v>
      </c>
      <c r="C9439" t="s">
        <v>11705</v>
      </c>
      <c r="D9439" t="s">
        <v>13035</v>
      </c>
      <c r="E9439" t="s">
        <v>21308</v>
      </c>
      <c r="F9439" t="s">
        <v>22436</v>
      </c>
      <c r="G9439" t="s">
        <v>22444</v>
      </c>
      <c r="H9439" t="s">
        <v>22454</v>
      </c>
      <c r="I9439" t="s">
        <v>7738</v>
      </c>
      <c r="J9439" t="s">
        <v>28572</v>
      </c>
      <c r="K9439" t="s">
        <v>29334</v>
      </c>
      <c r="M9439" t="s">
        <v>31460</v>
      </c>
      <c r="N9439" t="s">
        <v>32524</v>
      </c>
      <c r="O9439" t="s">
        <v>32525</v>
      </c>
      <c r="P9439">
        <v>0</v>
      </c>
      <c r="Q9439">
        <v>1</v>
      </c>
      <c r="R9439" t="s">
        <v>32538</v>
      </c>
      <c r="S9439" t="s">
        <v>32872</v>
      </c>
      <c r="T9439" t="s">
        <v>33222</v>
      </c>
      <c r="U9439" t="s">
        <v>41434</v>
      </c>
      <c r="V9439" t="s">
        <v>42994</v>
      </c>
      <c r="W9439" t="s">
        <v>31460</v>
      </c>
      <c r="X9439" t="s">
        <v>32539</v>
      </c>
    </row>
    <row r="9440" spans="1:24">
      <c r="A9440">
        <f>HYPERLINK("https://www.philgeps.gov.ph/GEPSNONPILOT/Tender/SplashBidNoticeAbstractUI.aspx?menuIndex=3&amp;refID=7025415&amp;Result=3","7025415")</f>
        <v>0</v>
      </c>
      <c r="B9440" t="s">
        <v>338</v>
      </c>
      <c r="C9440" t="s">
        <v>11706</v>
      </c>
      <c r="D9440" t="s">
        <v>13043</v>
      </c>
      <c r="E9440" t="s">
        <v>21309</v>
      </c>
      <c r="F9440" t="s">
        <v>22436</v>
      </c>
      <c r="G9440" t="s">
        <v>22444</v>
      </c>
      <c r="H9440" t="s">
        <v>22452</v>
      </c>
      <c r="I9440" t="s">
        <v>22463</v>
      </c>
      <c r="J9440" t="s">
        <v>28573</v>
      </c>
      <c r="K9440" t="s">
        <v>29338</v>
      </c>
      <c r="M9440" t="s">
        <v>29914</v>
      </c>
      <c r="N9440" t="s">
        <v>32524</v>
      </c>
      <c r="O9440" t="s">
        <v>32525</v>
      </c>
      <c r="P9440">
        <v>0</v>
      </c>
      <c r="Q9440">
        <v>4</v>
      </c>
      <c r="R9440" t="s">
        <v>32538</v>
      </c>
      <c r="S9440" t="s">
        <v>32872</v>
      </c>
      <c r="T9440" t="s">
        <v>33487</v>
      </c>
      <c r="U9440" t="s">
        <v>41435</v>
      </c>
      <c r="W9440" t="s">
        <v>29914</v>
      </c>
      <c r="X9440" t="s">
        <v>32539</v>
      </c>
    </row>
    <row r="9441" spans="1:24">
      <c r="A9441">
        <f>HYPERLINK("https://www.philgeps.gov.ph/GEPSNONPILOT/Tender/SplashBidNoticeAbstractUI.aspx?menuIndex=3&amp;refID=7025419&amp;Result=3","7025419")</f>
        <v>0</v>
      </c>
      <c r="B9441" t="s">
        <v>2502</v>
      </c>
      <c r="C9441" t="s">
        <v>11707</v>
      </c>
      <c r="D9441" t="s">
        <v>13006</v>
      </c>
      <c r="E9441" t="s">
        <v>16006</v>
      </c>
      <c r="F9441" t="s">
        <v>22436</v>
      </c>
      <c r="G9441" t="s">
        <v>22444</v>
      </c>
      <c r="H9441" t="s">
        <v>22452</v>
      </c>
      <c r="I9441" t="s">
        <v>3529</v>
      </c>
      <c r="J9441" t="s">
        <v>28574</v>
      </c>
      <c r="K9441" t="s">
        <v>29341</v>
      </c>
      <c r="M9441" t="s">
        <v>32309</v>
      </c>
      <c r="N9441" t="s">
        <v>32524</v>
      </c>
      <c r="O9441" t="s">
        <v>32525</v>
      </c>
      <c r="P9441">
        <v>0</v>
      </c>
      <c r="Q9441">
        <v>1</v>
      </c>
      <c r="R9441" t="s">
        <v>32538</v>
      </c>
      <c r="S9441" t="s">
        <v>32872</v>
      </c>
      <c r="T9441" t="s">
        <v>33211</v>
      </c>
      <c r="U9441" t="s">
        <v>41436</v>
      </c>
      <c r="V9441" t="s">
        <v>43479</v>
      </c>
      <c r="W9441" t="s">
        <v>32309</v>
      </c>
      <c r="X9441" t="s">
        <v>32539</v>
      </c>
    </row>
    <row r="9442" spans="1:24">
      <c r="A9442">
        <f>HYPERLINK("https://www.philgeps.gov.ph/GEPSNONPILOT/Tender/SplashBidNoticeAbstractUI.aspx?menuIndex=3&amp;refID=7025411&amp;Result=3","7025411")</f>
        <v>0</v>
      </c>
      <c r="B9442" t="s">
        <v>131</v>
      </c>
      <c r="C9442" t="s">
        <v>11708</v>
      </c>
      <c r="D9442" t="s">
        <v>13032</v>
      </c>
      <c r="E9442" t="s">
        <v>21310</v>
      </c>
      <c r="F9442" t="s">
        <v>22436</v>
      </c>
      <c r="G9442" t="s">
        <v>22444</v>
      </c>
      <c r="H9442" t="s">
        <v>22454</v>
      </c>
      <c r="I9442" t="s">
        <v>7738</v>
      </c>
      <c r="J9442" t="s">
        <v>22779</v>
      </c>
      <c r="K9442" t="s">
        <v>29338</v>
      </c>
      <c r="M9442" t="s">
        <v>29703</v>
      </c>
      <c r="N9442" t="s">
        <v>32524</v>
      </c>
      <c r="O9442" t="s">
        <v>32525</v>
      </c>
      <c r="P9442">
        <v>0</v>
      </c>
      <c r="Q9442">
        <v>3</v>
      </c>
      <c r="R9442" t="s">
        <v>32538</v>
      </c>
      <c r="S9442" t="s">
        <v>32872</v>
      </c>
      <c r="T9442" t="s">
        <v>33259</v>
      </c>
      <c r="U9442" t="s">
        <v>41437</v>
      </c>
      <c r="V9442" t="s">
        <v>42461</v>
      </c>
      <c r="W9442" t="s">
        <v>29703</v>
      </c>
      <c r="X9442" t="s">
        <v>32539</v>
      </c>
    </row>
    <row r="9443" spans="1:24">
      <c r="A9443">
        <f>HYPERLINK("https://www.philgeps.gov.ph/GEPSNONPILOT/Tender/SplashBidNoticeAbstractUI.aspx?menuIndex=3&amp;refID=7025412&amp;Result=3","7025412")</f>
        <v>0</v>
      </c>
      <c r="B9443" t="s">
        <v>1552</v>
      </c>
      <c r="C9443" t="s">
        <v>11709</v>
      </c>
      <c r="D9443" t="s">
        <v>13000</v>
      </c>
      <c r="E9443" t="s">
        <v>21311</v>
      </c>
      <c r="F9443" t="s">
        <v>22436</v>
      </c>
      <c r="G9443" t="s">
        <v>22444</v>
      </c>
      <c r="H9443" t="s">
        <v>22452</v>
      </c>
      <c r="I9443" t="s">
        <v>3529</v>
      </c>
      <c r="J9443" t="s">
        <v>28575</v>
      </c>
      <c r="K9443" t="s">
        <v>29338</v>
      </c>
      <c r="M9443" t="s">
        <v>31232</v>
      </c>
      <c r="N9443" t="s">
        <v>32524</v>
      </c>
      <c r="O9443" t="s">
        <v>32525</v>
      </c>
      <c r="P9443">
        <v>0</v>
      </c>
      <c r="Q9443">
        <v>2</v>
      </c>
      <c r="R9443" t="s">
        <v>32538</v>
      </c>
      <c r="S9443" t="s">
        <v>32872</v>
      </c>
      <c r="T9443" t="s">
        <v>33187</v>
      </c>
      <c r="U9443" t="s">
        <v>41438</v>
      </c>
      <c r="W9443" t="s">
        <v>31232</v>
      </c>
      <c r="X9443" t="s">
        <v>32539</v>
      </c>
    </row>
    <row r="9444" spans="1:24">
      <c r="A9444">
        <f>HYPERLINK("https://www.philgeps.gov.ph/GEPSNONPILOT/Tender/SplashBidNoticeAbstractUI.aspx?menuIndex=3&amp;refID=7025509&amp;Result=3","7025509")</f>
        <v>0</v>
      </c>
      <c r="B9444" t="s">
        <v>1552</v>
      </c>
      <c r="C9444" t="s">
        <v>11710</v>
      </c>
      <c r="D9444" t="s">
        <v>13000</v>
      </c>
      <c r="E9444" t="s">
        <v>21312</v>
      </c>
      <c r="F9444" t="s">
        <v>22436</v>
      </c>
      <c r="G9444" t="s">
        <v>22444</v>
      </c>
      <c r="H9444" t="s">
        <v>22452</v>
      </c>
      <c r="I9444" t="s">
        <v>3529</v>
      </c>
      <c r="J9444" t="s">
        <v>28576</v>
      </c>
      <c r="K9444" t="s">
        <v>29338</v>
      </c>
      <c r="M9444" t="s">
        <v>31232</v>
      </c>
      <c r="N9444" t="s">
        <v>32524</v>
      </c>
      <c r="O9444" t="s">
        <v>32525</v>
      </c>
      <c r="P9444">
        <v>0</v>
      </c>
      <c r="Q9444">
        <v>2</v>
      </c>
      <c r="R9444" t="s">
        <v>32538</v>
      </c>
      <c r="S9444" t="s">
        <v>32872</v>
      </c>
      <c r="T9444" t="s">
        <v>33187</v>
      </c>
      <c r="U9444" t="s">
        <v>41439</v>
      </c>
      <c r="W9444" t="s">
        <v>31232</v>
      </c>
      <c r="X9444" t="s">
        <v>32539</v>
      </c>
    </row>
    <row r="9445" spans="1:24">
      <c r="A9445">
        <f>HYPERLINK("https://www.philgeps.gov.ph/GEPSNONPILOT/Tender/SplashBidNoticeAbstractUI.aspx?menuIndex=3&amp;refID=7025505&amp;Result=3","7025505")</f>
        <v>0</v>
      </c>
      <c r="B9445" t="s">
        <v>1381</v>
      </c>
      <c r="C9445" t="s">
        <v>11711</v>
      </c>
      <c r="D9445" t="s">
        <v>13035</v>
      </c>
      <c r="E9445" t="s">
        <v>21313</v>
      </c>
      <c r="F9445" t="s">
        <v>22436</v>
      </c>
      <c r="G9445" t="s">
        <v>22444</v>
      </c>
      <c r="H9445" t="s">
        <v>22454</v>
      </c>
      <c r="I9445" t="s">
        <v>7738</v>
      </c>
      <c r="J9445" t="s">
        <v>28577</v>
      </c>
      <c r="K9445" t="s">
        <v>29401</v>
      </c>
      <c r="M9445" t="s">
        <v>31460</v>
      </c>
      <c r="N9445" t="s">
        <v>32524</v>
      </c>
      <c r="O9445" t="s">
        <v>32525</v>
      </c>
      <c r="P9445">
        <v>0</v>
      </c>
      <c r="Q9445">
        <v>0</v>
      </c>
      <c r="R9445" t="s">
        <v>32538</v>
      </c>
      <c r="S9445" t="s">
        <v>32872</v>
      </c>
      <c r="T9445" t="s">
        <v>33222</v>
      </c>
      <c r="U9445" t="s">
        <v>41440</v>
      </c>
      <c r="V9445" t="s">
        <v>42994</v>
      </c>
      <c r="W9445" t="s">
        <v>31460</v>
      </c>
      <c r="X9445" t="s">
        <v>32539</v>
      </c>
    </row>
    <row r="9446" spans="1:24">
      <c r="A9446">
        <f>HYPERLINK("https://www.philgeps.gov.ph/GEPSNONPILOT/Tender/SplashBidNoticeAbstractUI.aspx?menuIndex=3&amp;refID=7025504&amp;Result=3","7025504")</f>
        <v>0</v>
      </c>
      <c r="B9446" t="s">
        <v>1670</v>
      </c>
      <c r="C9446" t="s">
        <v>11712</v>
      </c>
      <c r="D9446" t="s">
        <v>13057</v>
      </c>
      <c r="E9446" t="s">
        <v>21314</v>
      </c>
      <c r="F9446" t="s">
        <v>22436</v>
      </c>
      <c r="G9446" t="s">
        <v>22444</v>
      </c>
      <c r="H9446" t="s">
        <v>22453</v>
      </c>
      <c r="I9446" t="s">
        <v>22457</v>
      </c>
      <c r="J9446" t="s">
        <v>26112</v>
      </c>
      <c r="K9446" t="s">
        <v>29332</v>
      </c>
      <c r="M9446" t="s">
        <v>31367</v>
      </c>
      <c r="N9446" t="s">
        <v>32524</v>
      </c>
      <c r="O9446" t="s">
        <v>32525</v>
      </c>
      <c r="P9446">
        <v>0</v>
      </c>
      <c r="Q9446">
        <v>2</v>
      </c>
      <c r="R9446" t="s">
        <v>32538</v>
      </c>
      <c r="S9446" t="s">
        <v>32872</v>
      </c>
      <c r="T9446" t="s">
        <v>33227</v>
      </c>
      <c r="U9446" t="s">
        <v>41441</v>
      </c>
      <c r="W9446" t="s">
        <v>31367</v>
      </c>
      <c r="X9446" t="s">
        <v>32539</v>
      </c>
    </row>
    <row r="9447" spans="1:24">
      <c r="A9447">
        <f>HYPERLINK("https://www.philgeps.gov.ph/GEPSNONPILOT/Tender/SplashBidNoticeAbstractUI.aspx?menuIndex=3&amp;refID=7025501&amp;Result=3","7025501")</f>
        <v>0</v>
      </c>
      <c r="B9447" t="s">
        <v>2535</v>
      </c>
      <c r="C9447" t="s">
        <v>11713</v>
      </c>
      <c r="D9447" t="s">
        <v>13059</v>
      </c>
      <c r="E9447" t="s">
        <v>13681</v>
      </c>
      <c r="F9447" t="s">
        <v>22436</v>
      </c>
      <c r="G9447" t="s">
        <v>22444</v>
      </c>
      <c r="H9447" t="s">
        <v>22454</v>
      </c>
      <c r="I9447" t="s">
        <v>3529</v>
      </c>
      <c r="J9447" t="s">
        <v>28578</v>
      </c>
      <c r="K9447" t="s">
        <v>29390</v>
      </c>
      <c r="M9447" t="s">
        <v>32343</v>
      </c>
      <c r="N9447" t="s">
        <v>32524</v>
      </c>
      <c r="O9447" t="s">
        <v>32525</v>
      </c>
      <c r="P9447">
        <v>0</v>
      </c>
      <c r="Q9447">
        <v>1</v>
      </c>
      <c r="R9447" t="s">
        <v>32538</v>
      </c>
      <c r="S9447" t="s">
        <v>32872</v>
      </c>
      <c r="T9447" t="s">
        <v>33594</v>
      </c>
      <c r="U9447" t="s">
        <v>41442</v>
      </c>
      <c r="W9447" t="s">
        <v>32343</v>
      </c>
      <c r="X9447" t="s">
        <v>32539</v>
      </c>
    </row>
    <row r="9448" spans="1:24">
      <c r="A9448">
        <f>HYPERLINK("https://www.philgeps.gov.ph/GEPSNONPILOT/Tender/SplashBidNoticeAbstractUI.aspx?menuIndex=3&amp;refID=7025403&amp;Result=3","7025403")</f>
        <v>0</v>
      </c>
      <c r="B9448" t="s">
        <v>1381</v>
      </c>
      <c r="C9448" t="s">
        <v>11714</v>
      </c>
      <c r="D9448" t="s">
        <v>13035</v>
      </c>
      <c r="E9448" t="s">
        <v>21315</v>
      </c>
      <c r="F9448" t="s">
        <v>22436</v>
      </c>
      <c r="G9448" t="s">
        <v>22444</v>
      </c>
      <c r="H9448" t="s">
        <v>22454</v>
      </c>
      <c r="I9448" t="s">
        <v>7738</v>
      </c>
      <c r="J9448" t="s">
        <v>28579</v>
      </c>
      <c r="K9448" t="s">
        <v>29334</v>
      </c>
      <c r="M9448" t="s">
        <v>31460</v>
      </c>
      <c r="N9448" t="s">
        <v>32524</v>
      </c>
      <c r="O9448" t="s">
        <v>32525</v>
      </c>
      <c r="Q9448">
        <v>0</v>
      </c>
      <c r="R9448" t="s">
        <v>32538</v>
      </c>
      <c r="S9448" t="s">
        <v>32930</v>
      </c>
      <c r="T9448" t="s">
        <v>33222</v>
      </c>
      <c r="U9448" t="s">
        <v>41443</v>
      </c>
      <c r="V9448" t="s">
        <v>42994</v>
      </c>
      <c r="W9448" t="s">
        <v>31460</v>
      </c>
      <c r="X9448" t="s">
        <v>32539</v>
      </c>
    </row>
    <row r="9449" spans="1:24">
      <c r="A9449">
        <f>HYPERLINK("https://www.philgeps.gov.ph/GEPSNONPILOT/Tender/SplashBidNoticeAbstractUI.aspx?menuIndex=3&amp;refID=7025490&amp;Result=3","7025490")</f>
        <v>0</v>
      </c>
      <c r="B9449" t="s">
        <v>1381</v>
      </c>
      <c r="C9449" t="s">
        <v>11715</v>
      </c>
      <c r="D9449" t="s">
        <v>13035</v>
      </c>
      <c r="E9449" t="s">
        <v>21316</v>
      </c>
      <c r="F9449" t="s">
        <v>22436</v>
      </c>
      <c r="G9449" t="s">
        <v>22444</v>
      </c>
      <c r="H9449" t="s">
        <v>22454</v>
      </c>
      <c r="I9449" t="s">
        <v>7738</v>
      </c>
      <c r="J9449" t="s">
        <v>28580</v>
      </c>
      <c r="K9449" t="s">
        <v>29334</v>
      </c>
      <c r="M9449" t="s">
        <v>31460</v>
      </c>
      <c r="N9449" t="s">
        <v>32524</v>
      </c>
      <c r="O9449" t="s">
        <v>32525</v>
      </c>
      <c r="P9449">
        <v>0</v>
      </c>
      <c r="Q9449">
        <v>0</v>
      </c>
      <c r="R9449" t="s">
        <v>32538</v>
      </c>
      <c r="S9449" t="s">
        <v>32872</v>
      </c>
      <c r="T9449" t="s">
        <v>33222</v>
      </c>
      <c r="U9449" t="s">
        <v>41444</v>
      </c>
      <c r="V9449" t="s">
        <v>42994</v>
      </c>
      <c r="W9449" t="s">
        <v>31460</v>
      </c>
      <c r="X9449" t="s">
        <v>32539</v>
      </c>
    </row>
    <row r="9450" spans="1:24">
      <c r="A9450">
        <f>HYPERLINK("https://www.philgeps.gov.ph/GEPSNONPILOT/Tender/SplashBidNoticeAbstractUI.aspx?menuIndex=3&amp;refID=7025407&amp;Result=3","7025407")</f>
        <v>0</v>
      </c>
      <c r="B9450" t="s">
        <v>2532</v>
      </c>
      <c r="C9450" t="s">
        <v>11716</v>
      </c>
      <c r="D9450" t="s">
        <v>13044</v>
      </c>
      <c r="E9450" t="s">
        <v>13165</v>
      </c>
      <c r="F9450" t="s">
        <v>22436</v>
      </c>
      <c r="G9450" t="s">
        <v>22444</v>
      </c>
      <c r="H9450" t="s">
        <v>22454</v>
      </c>
      <c r="I9450" t="s">
        <v>7738</v>
      </c>
      <c r="J9450" t="s">
        <v>22605</v>
      </c>
      <c r="K9450" t="s">
        <v>29335</v>
      </c>
      <c r="M9450" t="s">
        <v>32340</v>
      </c>
      <c r="N9450" t="s">
        <v>32524</v>
      </c>
      <c r="O9450" t="s">
        <v>32525</v>
      </c>
      <c r="P9450">
        <v>0</v>
      </c>
      <c r="Q9450">
        <v>1</v>
      </c>
      <c r="R9450" t="s">
        <v>32538</v>
      </c>
      <c r="S9450" t="s">
        <v>32872</v>
      </c>
      <c r="T9450" t="s">
        <v>33595</v>
      </c>
      <c r="U9450" t="s">
        <v>41445</v>
      </c>
      <c r="W9450" t="s">
        <v>32340</v>
      </c>
      <c r="X9450" t="s">
        <v>32539</v>
      </c>
    </row>
    <row r="9451" spans="1:24">
      <c r="A9451">
        <f>HYPERLINK("https://www.philgeps.gov.ph/GEPSNONPILOT/Tender/SplashBidNoticeAbstractUI.aspx?menuIndex=3&amp;refID=7025494&amp;Result=3","7025494")</f>
        <v>0</v>
      </c>
      <c r="B9451" t="s">
        <v>2260</v>
      </c>
      <c r="C9451" t="s">
        <v>11717</v>
      </c>
      <c r="D9451" t="s">
        <v>13009</v>
      </c>
      <c r="E9451" t="s">
        <v>18845</v>
      </c>
      <c r="F9451" t="s">
        <v>22436</v>
      </c>
      <c r="G9451" t="s">
        <v>22444</v>
      </c>
      <c r="H9451" t="s">
        <v>22454</v>
      </c>
      <c r="I9451" t="s">
        <v>22496</v>
      </c>
      <c r="J9451" t="s">
        <v>26571</v>
      </c>
      <c r="K9451" t="s">
        <v>29335</v>
      </c>
      <c r="M9451" t="s">
        <v>32029</v>
      </c>
      <c r="N9451" t="s">
        <v>32524</v>
      </c>
      <c r="O9451" t="s">
        <v>32525</v>
      </c>
      <c r="P9451">
        <v>0</v>
      </c>
      <c r="Q9451">
        <v>2</v>
      </c>
      <c r="R9451" t="s">
        <v>32538</v>
      </c>
      <c r="S9451" t="s">
        <v>32872</v>
      </c>
      <c r="T9451" t="s">
        <v>33175</v>
      </c>
      <c r="U9451" t="s">
        <v>39983</v>
      </c>
      <c r="V9451" t="s">
        <v>43480</v>
      </c>
      <c r="W9451" t="s">
        <v>32029</v>
      </c>
      <c r="X9451" t="s">
        <v>32539</v>
      </c>
    </row>
    <row r="9452" spans="1:24">
      <c r="A9452">
        <f>HYPERLINK("https://www.philgeps.gov.ph/GEPSNONPILOT/Tender/SplashBidNoticeAbstractUI.aspx?menuIndex=3&amp;refID=7025440&amp;Result=3","7025440")</f>
        <v>0</v>
      </c>
      <c r="B9452" t="s">
        <v>1552</v>
      </c>
      <c r="C9452" t="s">
        <v>11718</v>
      </c>
      <c r="D9452" t="s">
        <v>13000</v>
      </c>
      <c r="E9452" t="s">
        <v>21317</v>
      </c>
      <c r="F9452" t="s">
        <v>22436</v>
      </c>
      <c r="G9452" t="s">
        <v>22444</v>
      </c>
      <c r="H9452" t="s">
        <v>22452</v>
      </c>
      <c r="I9452" t="s">
        <v>3529</v>
      </c>
      <c r="J9452" t="s">
        <v>28581</v>
      </c>
      <c r="K9452" t="s">
        <v>29338</v>
      </c>
      <c r="M9452" t="s">
        <v>31232</v>
      </c>
      <c r="N9452" t="s">
        <v>32524</v>
      </c>
      <c r="O9452" t="s">
        <v>32525</v>
      </c>
      <c r="P9452">
        <v>0</v>
      </c>
      <c r="Q9452">
        <v>2</v>
      </c>
      <c r="R9452" t="s">
        <v>32538</v>
      </c>
      <c r="S9452" t="s">
        <v>32872</v>
      </c>
      <c r="T9452" t="s">
        <v>33187</v>
      </c>
      <c r="U9452" t="s">
        <v>41446</v>
      </c>
      <c r="W9452" t="s">
        <v>31232</v>
      </c>
      <c r="X9452" t="s">
        <v>32539</v>
      </c>
    </row>
    <row r="9453" spans="1:24">
      <c r="A9453">
        <f>HYPERLINK("https://www.philgeps.gov.ph/GEPSNONPILOT/Tender/SplashBidNoticeAbstractUI.aspx?menuIndex=3&amp;refID=7025480&amp;Result=3","7025480")</f>
        <v>0</v>
      </c>
      <c r="B9453" t="s">
        <v>1552</v>
      </c>
      <c r="C9453" t="s">
        <v>11719</v>
      </c>
      <c r="D9453" t="s">
        <v>13000</v>
      </c>
      <c r="E9453" t="s">
        <v>21318</v>
      </c>
      <c r="F9453" t="s">
        <v>22436</v>
      </c>
      <c r="G9453" t="s">
        <v>22444</v>
      </c>
      <c r="H9453" t="s">
        <v>22452</v>
      </c>
      <c r="I9453" t="s">
        <v>3529</v>
      </c>
      <c r="J9453" t="s">
        <v>28582</v>
      </c>
      <c r="K9453" t="s">
        <v>29338</v>
      </c>
      <c r="M9453" t="s">
        <v>31232</v>
      </c>
      <c r="N9453" t="s">
        <v>32524</v>
      </c>
      <c r="O9453" t="s">
        <v>32525</v>
      </c>
      <c r="P9453">
        <v>0</v>
      </c>
      <c r="Q9453">
        <v>2</v>
      </c>
      <c r="R9453" t="s">
        <v>32538</v>
      </c>
      <c r="S9453" t="s">
        <v>32872</v>
      </c>
      <c r="T9453" t="s">
        <v>33187</v>
      </c>
      <c r="U9453" t="s">
        <v>41447</v>
      </c>
      <c r="W9453" t="s">
        <v>31232</v>
      </c>
      <c r="X9453" t="s">
        <v>32539</v>
      </c>
    </row>
    <row r="9454" spans="1:24">
      <c r="A9454">
        <f>HYPERLINK("https://www.philgeps.gov.ph/GEPSNONPILOT/Tender/SplashBidNoticeAbstractUI.aspx?menuIndex=3&amp;refID=7025434&amp;Result=3","7025434")</f>
        <v>0</v>
      </c>
      <c r="B9454" t="s">
        <v>1381</v>
      </c>
      <c r="C9454" t="s">
        <v>11720</v>
      </c>
      <c r="D9454" t="s">
        <v>13035</v>
      </c>
      <c r="E9454" t="s">
        <v>21319</v>
      </c>
      <c r="F9454" t="s">
        <v>22436</v>
      </c>
      <c r="G9454" t="s">
        <v>22444</v>
      </c>
      <c r="H9454" t="s">
        <v>22452</v>
      </c>
      <c r="I9454" t="s">
        <v>3529</v>
      </c>
      <c r="J9454" t="s">
        <v>22634</v>
      </c>
      <c r="K9454" t="s">
        <v>29337</v>
      </c>
      <c r="M9454" t="s">
        <v>31039</v>
      </c>
      <c r="N9454" t="s">
        <v>32524</v>
      </c>
      <c r="O9454" t="s">
        <v>32525</v>
      </c>
      <c r="P9454">
        <v>0</v>
      </c>
      <c r="Q9454">
        <v>1</v>
      </c>
      <c r="R9454" t="s">
        <v>32538</v>
      </c>
      <c r="S9454" t="s">
        <v>32872</v>
      </c>
      <c r="T9454" t="s">
        <v>33171</v>
      </c>
      <c r="U9454" t="s">
        <v>36957</v>
      </c>
      <c r="V9454" t="s">
        <v>43481</v>
      </c>
      <c r="W9454" t="s">
        <v>31039</v>
      </c>
      <c r="X9454" t="s">
        <v>32539</v>
      </c>
    </row>
    <row r="9455" spans="1:24">
      <c r="A9455">
        <f>HYPERLINK("https://www.philgeps.gov.ph/GEPSNONPILOT/Tender/SplashBidNoticeAbstractUI.aspx?menuIndex=3&amp;refID=7025495&amp;Result=3","7025495")</f>
        <v>0</v>
      </c>
      <c r="B9455" t="s">
        <v>2534</v>
      </c>
      <c r="C9455" t="s">
        <v>11721</v>
      </c>
      <c r="D9455" t="s">
        <v>13002</v>
      </c>
      <c r="E9455" t="s">
        <v>20346</v>
      </c>
      <c r="F9455" t="s">
        <v>22436</v>
      </c>
      <c r="G9455" t="s">
        <v>22444</v>
      </c>
      <c r="H9455" t="s">
        <v>22454</v>
      </c>
      <c r="I9455" t="s">
        <v>7738</v>
      </c>
      <c r="J9455" t="s">
        <v>28583</v>
      </c>
      <c r="K9455" t="s">
        <v>29521</v>
      </c>
      <c r="M9455" t="s">
        <v>32342</v>
      </c>
      <c r="N9455" t="s">
        <v>32524</v>
      </c>
      <c r="O9455" t="s">
        <v>32525</v>
      </c>
      <c r="P9455">
        <v>0</v>
      </c>
      <c r="Q9455">
        <v>0</v>
      </c>
      <c r="R9455" t="s">
        <v>32538</v>
      </c>
      <c r="S9455" t="s">
        <v>32872</v>
      </c>
      <c r="T9455" t="s">
        <v>33268</v>
      </c>
      <c r="U9455" t="s">
        <v>41448</v>
      </c>
      <c r="W9455" t="s">
        <v>32342</v>
      </c>
      <c r="X9455" t="s">
        <v>32539</v>
      </c>
    </row>
    <row r="9456" spans="1:24">
      <c r="A9456">
        <f>HYPERLINK("https://www.philgeps.gov.ph/GEPSNONPILOT/Tender/SplashBidNoticeAbstractUI.aspx?menuIndex=3&amp;refID=7025467&amp;Result=3","7025467")</f>
        <v>0</v>
      </c>
      <c r="B9456" t="s">
        <v>2411</v>
      </c>
      <c r="C9456" t="s">
        <v>11722</v>
      </c>
      <c r="D9456" t="s">
        <v>13060</v>
      </c>
      <c r="E9456" t="s">
        <v>21320</v>
      </c>
      <c r="F9456" t="s">
        <v>22436</v>
      </c>
      <c r="G9456" t="s">
        <v>22443</v>
      </c>
      <c r="H9456" t="s">
        <v>22452</v>
      </c>
      <c r="I9456" t="s">
        <v>5194</v>
      </c>
      <c r="J9456" t="s">
        <v>28584</v>
      </c>
      <c r="K9456" t="s">
        <v>29335</v>
      </c>
      <c r="M9456" t="s">
        <v>32209</v>
      </c>
      <c r="N9456" t="s">
        <v>32524</v>
      </c>
      <c r="O9456" t="s">
        <v>32525</v>
      </c>
      <c r="Q9456">
        <v>3</v>
      </c>
      <c r="R9456" t="s">
        <v>32538</v>
      </c>
      <c r="S9456" t="s">
        <v>32931</v>
      </c>
      <c r="T9456" t="s">
        <v>33169</v>
      </c>
      <c r="U9456" t="s">
        <v>40647</v>
      </c>
      <c r="V9456" t="s">
        <v>43371</v>
      </c>
      <c r="W9456" t="s">
        <v>32209</v>
      </c>
      <c r="X9456" t="s">
        <v>32539</v>
      </c>
    </row>
    <row r="9457" spans="1:24">
      <c r="A9457">
        <f>HYPERLINK("https://www.philgeps.gov.ph/GEPSNONPILOT/Tender/SplashBidNoticeAbstractUI.aspx?menuIndex=3&amp;refID=7025568&amp;Result=3","7025568")</f>
        <v>0</v>
      </c>
      <c r="B9457" t="s">
        <v>1806</v>
      </c>
      <c r="C9457" t="s">
        <v>11723</v>
      </c>
      <c r="D9457" t="s">
        <v>13007</v>
      </c>
      <c r="E9457" t="s">
        <v>21321</v>
      </c>
      <c r="F9457" t="s">
        <v>22436</v>
      </c>
      <c r="G9457" t="s">
        <v>22444</v>
      </c>
      <c r="H9457" t="s">
        <v>22454</v>
      </c>
      <c r="I9457" t="s">
        <v>7738</v>
      </c>
      <c r="J9457" t="s">
        <v>28585</v>
      </c>
      <c r="K9457" t="s">
        <v>29387</v>
      </c>
      <c r="M9457" t="s">
        <v>31519</v>
      </c>
      <c r="N9457" t="s">
        <v>32524</v>
      </c>
      <c r="O9457" t="s">
        <v>32525</v>
      </c>
      <c r="P9457">
        <v>0</v>
      </c>
      <c r="Q9457">
        <v>7</v>
      </c>
      <c r="R9457" t="s">
        <v>32538</v>
      </c>
      <c r="S9457" t="s">
        <v>32872</v>
      </c>
      <c r="T9457" t="s">
        <v>33249</v>
      </c>
      <c r="U9457" t="s">
        <v>41449</v>
      </c>
      <c r="W9457" t="s">
        <v>31519</v>
      </c>
      <c r="X9457" t="s">
        <v>32539</v>
      </c>
    </row>
    <row r="9458" spans="1:24">
      <c r="A9458">
        <f>HYPERLINK("https://www.philgeps.gov.ph/GEPSNONPILOT/Tender/SplashBidNoticeAbstractUI.aspx?menuIndex=3&amp;refID=7025522&amp;Result=3","7025522")</f>
        <v>0</v>
      </c>
      <c r="B9458" t="s">
        <v>1381</v>
      </c>
      <c r="C9458" t="s">
        <v>11724</v>
      </c>
      <c r="D9458" t="s">
        <v>13035</v>
      </c>
      <c r="E9458" t="s">
        <v>21322</v>
      </c>
      <c r="F9458" t="s">
        <v>22436</v>
      </c>
      <c r="G9458" t="s">
        <v>22444</v>
      </c>
      <c r="H9458" t="s">
        <v>22454</v>
      </c>
      <c r="I9458" t="s">
        <v>7738</v>
      </c>
      <c r="J9458" t="s">
        <v>28586</v>
      </c>
      <c r="K9458" t="s">
        <v>29334</v>
      </c>
      <c r="M9458" t="s">
        <v>31460</v>
      </c>
      <c r="N9458" t="s">
        <v>32524</v>
      </c>
      <c r="O9458" t="s">
        <v>32525</v>
      </c>
      <c r="P9458">
        <v>0</v>
      </c>
      <c r="Q9458">
        <v>0</v>
      </c>
      <c r="R9458" t="s">
        <v>32538</v>
      </c>
      <c r="S9458" t="s">
        <v>32872</v>
      </c>
      <c r="T9458" t="s">
        <v>33222</v>
      </c>
      <c r="U9458" t="s">
        <v>41450</v>
      </c>
      <c r="V9458" t="s">
        <v>42994</v>
      </c>
      <c r="W9458" t="s">
        <v>31460</v>
      </c>
      <c r="X9458" t="s">
        <v>32539</v>
      </c>
    </row>
    <row r="9459" spans="1:24">
      <c r="A9459">
        <f>HYPERLINK("https://www.philgeps.gov.ph/GEPSNONPILOT/Tender/SplashBidNoticeAbstractUI.aspx?menuIndex=3&amp;refID=7025435&amp;Result=3","7025435")</f>
        <v>0</v>
      </c>
      <c r="B9459" t="s">
        <v>1381</v>
      </c>
      <c r="C9459" t="s">
        <v>11725</v>
      </c>
      <c r="D9459" t="s">
        <v>13035</v>
      </c>
      <c r="E9459" t="s">
        <v>21323</v>
      </c>
      <c r="F9459" t="s">
        <v>22436</v>
      </c>
      <c r="G9459" t="s">
        <v>22444</v>
      </c>
      <c r="H9459" t="s">
        <v>22454</v>
      </c>
      <c r="I9459" t="s">
        <v>7738</v>
      </c>
      <c r="J9459" t="s">
        <v>28587</v>
      </c>
      <c r="K9459" t="s">
        <v>29344</v>
      </c>
      <c r="M9459" t="s">
        <v>31460</v>
      </c>
      <c r="N9459" t="s">
        <v>32524</v>
      </c>
      <c r="O9459" t="s">
        <v>32525</v>
      </c>
      <c r="P9459">
        <v>0</v>
      </c>
      <c r="Q9459">
        <v>0</v>
      </c>
      <c r="R9459" t="s">
        <v>32538</v>
      </c>
      <c r="S9459" t="s">
        <v>32872</v>
      </c>
      <c r="T9459" t="s">
        <v>33222</v>
      </c>
      <c r="U9459" t="s">
        <v>41451</v>
      </c>
      <c r="V9459" t="s">
        <v>42994</v>
      </c>
      <c r="W9459" t="s">
        <v>31460</v>
      </c>
      <c r="X9459" t="s">
        <v>32539</v>
      </c>
    </row>
    <row r="9460" spans="1:24">
      <c r="A9460">
        <f>HYPERLINK("https://www.philgeps.gov.ph/GEPSNONPILOT/Tender/SplashBidNoticeAbstractUI.aspx?menuIndex=3&amp;refID=7025558&amp;Result=3","7025558")</f>
        <v>0</v>
      </c>
      <c r="B9460" t="s">
        <v>1381</v>
      </c>
      <c r="C9460" t="s">
        <v>11726</v>
      </c>
      <c r="D9460" t="s">
        <v>13035</v>
      </c>
      <c r="E9460" t="s">
        <v>21324</v>
      </c>
      <c r="F9460" t="s">
        <v>22436</v>
      </c>
      <c r="G9460" t="s">
        <v>22444</v>
      </c>
      <c r="H9460" t="s">
        <v>22454</v>
      </c>
      <c r="I9460" t="s">
        <v>7738</v>
      </c>
      <c r="J9460" t="s">
        <v>28588</v>
      </c>
      <c r="K9460" t="s">
        <v>29394</v>
      </c>
      <c r="M9460" t="s">
        <v>31460</v>
      </c>
      <c r="N9460" t="s">
        <v>32524</v>
      </c>
      <c r="O9460" t="s">
        <v>32525</v>
      </c>
      <c r="P9460">
        <v>0</v>
      </c>
      <c r="Q9460">
        <v>0</v>
      </c>
      <c r="R9460" t="s">
        <v>32538</v>
      </c>
      <c r="S9460" t="s">
        <v>32872</v>
      </c>
      <c r="T9460" t="s">
        <v>33222</v>
      </c>
      <c r="U9460" t="s">
        <v>41452</v>
      </c>
      <c r="V9460" t="s">
        <v>42994</v>
      </c>
      <c r="W9460" t="s">
        <v>31460</v>
      </c>
      <c r="X9460" t="s">
        <v>32539</v>
      </c>
    </row>
    <row r="9461" spans="1:24">
      <c r="A9461">
        <f>HYPERLINK("https://www.philgeps.gov.ph/GEPSNONPILOT/Tender/SplashBidNoticeAbstractUI.aspx?menuIndex=3&amp;refID=7025579&amp;Result=3","7025579")</f>
        <v>0</v>
      </c>
      <c r="B9461" t="s">
        <v>512</v>
      </c>
      <c r="C9461" t="s">
        <v>11727</v>
      </c>
      <c r="D9461" t="s">
        <v>12995</v>
      </c>
      <c r="E9461" t="s">
        <v>21325</v>
      </c>
      <c r="F9461" t="s">
        <v>22436</v>
      </c>
      <c r="G9461" t="s">
        <v>22444</v>
      </c>
      <c r="H9461" t="s">
        <v>22452</v>
      </c>
      <c r="I9461" t="s">
        <v>22463</v>
      </c>
      <c r="J9461" t="s">
        <v>28589</v>
      </c>
      <c r="K9461" t="s">
        <v>29336</v>
      </c>
      <c r="M9461" t="s">
        <v>30096</v>
      </c>
      <c r="N9461" t="s">
        <v>32524</v>
      </c>
      <c r="O9461" t="s">
        <v>32525</v>
      </c>
      <c r="P9461">
        <v>0</v>
      </c>
      <c r="Q9461">
        <v>8</v>
      </c>
      <c r="R9461" t="s">
        <v>32538</v>
      </c>
      <c r="S9461" t="s">
        <v>32872</v>
      </c>
      <c r="T9461" t="s">
        <v>33181</v>
      </c>
      <c r="U9461" t="s">
        <v>34661</v>
      </c>
      <c r="W9461" t="s">
        <v>30096</v>
      </c>
      <c r="X9461" t="s">
        <v>32539</v>
      </c>
    </row>
    <row r="9462" spans="1:24">
      <c r="A9462">
        <f>HYPERLINK("https://www.philgeps.gov.ph/GEPSNONPILOT/Tender/SplashBidNoticeAbstractUI.aspx?menuIndex=3&amp;refID=7025541&amp;Result=3","7025541")</f>
        <v>0</v>
      </c>
      <c r="B9462" t="s">
        <v>1806</v>
      </c>
      <c r="C9462" t="s">
        <v>11728</v>
      </c>
      <c r="D9462" t="s">
        <v>13007</v>
      </c>
      <c r="E9462" t="s">
        <v>21326</v>
      </c>
      <c r="F9462" t="s">
        <v>22436</v>
      </c>
      <c r="G9462" t="s">
        <v>22444</v>
      </c>
      <c r="H9462" t="s">
        <v>22454</v>
      </c>
      <c r="I9462" t="s">
        <v>7738</v>
      </c>
      <c r="J9462" t="s">
        <v>28585</v>
      </c>
      <c r="K9462" t="s">
        <v>29439</v>
      </c>
      <c r="M9462" t="s">
        <v>31519</v>
      </c>
      <c r="N9462" t="s">
        <v>32524</v>
      </c>
      <c r="O9462" t="s">
        <v>32525</v>
      </c>
      <c r="P9462">
        <v>0</v>
      </c>
      <c r="Q9462">
        <v>10</v>
      </c>
      <c r="R9462" t="s">
        <v>32538</v>
      </c>
      <c r="S9462" t="s">
        <v>32872</v>
      </c>
      <c r="T9462" t="s">
        <v>33249</v>
      </c>
      <c r="U9462" t="s">
        <v>41453</v>
      </c>
      <c r="W9462" t="s">
        <v>31519</v>
      </c>
      <c r="X9462" t="s">
        <v>32539</v>
      </c>
    </row>
    <row r="9463" spans="1:24">
      <c r="A9463">
        <f>HYPERLINK("https://www.philgeps.gov.ph/GEPSNONPILOT/Tender/SplashBidNoticeAbstractUI.aspx?menuIndex=3&amp;refID=7025540&amp;Result=3","7025540")</f>
        <v>0</v>
      </c>
      <c r="B9463" t="s">
        <v>1381</v>
      </c>
      <c r="C9463" t="s">
        <v>11729</v>
      </c>
      <c r="D9463" t="s">
        <v>13035</v>
      </c>
      <c r="E9463" t="s">
        <v>21327</v>
      </c>
      <c r="F9463" t="s">
        <v>22436</v>
      </c>
      <c r="G9463" t="s">
        <v>22444</v>
      </c>
      <c r="H9463" t="s">
        <v>22454</v>
      </c>
      <c r="I9463" t="s">
        <v>7738</v>
      </c>
      <c r="J9463" t="s">
        <v>28590</v>
      </c>
      <c r="K9463" t="s">
        <v>29394</v>
      </c>
      <c r="M9463" t="s">
        <v>31460</v>
      </c>
      <c r="N9463" t="s">
        <v>32524</v>
      </c>
      <c r="O9463" t="s">
        <v>32525</v>
      </c>
      <c r="P9463">
        <v>0</v>
      </c>
      <c r="Q9463">
        <v>0</v>
      </c>
      <c r="R9463" t="s">
        <v>32538</v>
      </c>
      <c r="S9463" t="s">
        <v>32872</v>
      </c>
      <c r="T9463" t="s">
        <v>33222</v>
      </c>
      <c r="U9463" t="s">
        <v>41454</v>
      </c>
      <c r="V9463" t="s">
        <v>42994</v>
      </c>
      <c r="W9463" t="s">
        <v>31460</v>
      </c>
      <c r="X9463" t="s">
        <v>32539</v>
      </c>
    </row>
    <row r="9464" spans="1:24">
      <c r="A9464">
        <f>HYPERLINK("https://www.philgeps.gov.ph/GEPSNONPILOT/Tender/SplashBidNoticeAbstractUI.aspx?menuIndex=3&amp;refID=7025600&amp;Result=3","7025600")</f>
        <v>0</v>
      </c>
      <c r="B9464" t="s">
        <v>2357</v>
      </c>
      <c r="C9464" t="s">
        <v>11730</v>
      </c>
      <c r="D9464" t="s">
        <v>13018</v>
      </c>
      <c r="E9464" t="s">
        <v>21328</v>
      </c>
      <c r="F9464" t="s">
        <v>22436</v>
      </c>
      <c r="G9464" t="s">
        <v>22444</v>
      </c>
      <c r="H9464" t="s">
        <v>22452</v>
      </c>
      <c r="I9464" t="s">
        <v>22474</v>
      </c>
      <c r="J9464" t="s">
        <v>23281</v>
      </c>
      <c r="K9464" t="s">
        <v>29333</v>
      </c>
      <c r="M9464" t="s">
        <v>32344</v>
      </c>
      <c r="N9464" t="s">
        <v>32524</v>
      </c>
      <c r="O9464" t="s">
        <v>32525</v>
      </c>
      <c r="P9464">
        <v>0</v>
      </c>
      <c r="Q9464">
        <v>8</v>
      </c>
      <c r="R9464" t="s">
        <v>32538</v>
      </c>
      <c r="S9464" t="s">
        <v>32872</v>
      </c>
      <c r="T9464" t="s">
        <v>33550</v>
      </c>
      <c r="U9464" t="s">
        <v>41455</v>
      </c>
      <c r="W9464" t="s">
        <v>32344</v>
      </c>
      <c r="X9464" t="s">
        <v>32539</v>
      </c>
    </row>
    <row r="9465" spans="1:24">
      <c r="A9465">
        <f>HYPERLINK("https://www.philgeps.gov.ph/GEPSNONPILOT/Tender/SplashBidNoticeAbstractUI.aspx?menuIndex=3&amp;refID=7025598&amp;Result=3","7025598")</f>
        <v>0</v>
      </c>
      <c r="B9465" t="s">
        <v>1698</v>
      </c>
      <c r="C9465" t="s">
        <v>11731</v>
      </c>
      <c r="D9465" t="s">
        <v>12990</v>
      </c>
      <c r="E9465" t="s">
        <v>21329</v>
      </c>
      <c r="F9465" t="s">
        <v>22436</v>
      </c>
      <c r="G9465" t="s">
        <v>22444</v>
      </c>
      <c r="H9465" t="s">
        <v>22454</v>
      </c>
      <c r="I9465" t="s">
        <v>7738</v>
      </c>
      <c r="J9465" t="s">
        <v>25584</v>
      </c>
      <c r="K9465" t="s">
        <v>29388</v>
      </c>
      <c r="L9465" t="s">
        <v>1698</v>
      </c>
      <c r="M9465" t="s">
        <v>31400</v>
      </c>
      <c r="N9465" t="s">
        <v>32524</v>
      </c>
      <c r="O9465" t="s">
        <v>32525</v>
      </c>
      <c r="P9465">
        <v>0</v>
      </c>
      <c r="Q9465">
        <v>5</v>
      </c>
      <c r="R9465" t="s">
        <v>32538</v>
      </c>
      <c r="S9465" t="s">
        <v>32872</v>
      </c>
      <c r="T9465" t="s">
        <v>33593</v>
      </c>
      <c r="U9465" t="s">
        <v>41420</v>
      </c>
      <c r="W9465" t="s">
        <v>31400</v>
      </c>
      <c r="X9465" t="s">
        <v>32539</v>
      </c>
    </row>
    <row r="9466" spans="1:24">
      <c r="A9466">
        <f>HYPERLINK("https://www.philgeps.gov.ph/GEPSNONPILOT/Tender/SplashBidNoticeAbstractUI.aspx?menuIndex=3&amp;refID=7025537&amp;Result=3","7025537")</f>
        <v>0</v>
      </c>
      <c r="B9466" t="s">
        <v>87</v>
      </c>
      <c r="C9466" t="s">
        <v>11732</v>
      </c>
      <c r="E9466" t="s">
        <v>21330</v>
      </c>
      <c r="F9466" t="s">
        <v>22436</v>
      </c>
      <c r="G9466" t="s">
        <v>22444</v>
      </c>
      <c r="H9466" t="s">
        <v>22454</v>
      </c>
      <c r="I9466" t="s">
        <v>7738</v>
      </c>
      <c r="J9466" t="s">
        <v>28591</v>
      </c>
      <c r="K9466" t="s">
        <v>29338</v>
      </c>
      <c r="M9466" t="s">
        <v>29659</v>
      </c>
      <c r="N9466" t="s">
        <v>32524</v>
      </c>
      <c r="O9466" t="s">
        <v>32525</v>
      </c>
      <c r="Q9466">
        <v>1</v>
      </c>
      <c r="R9466" t="s">
        <v>32538</v>
      </c>
      <c r="S9466" t="s">
        <v>32932</v>
      </c>
      <c r="T9466" t="s">
        <v>33171</v>
      </c>
      <c r="U9466" t="s">
        <v>41456</v>
      </c>
      <c r="W9466" t="s">
        <v>29659</v>
      </c>
      <c r="X9466" t="s">
        <v>32539</v>
      </c>
    </row>
    <row r="9467" spans="1:24">
      <c r="A9467">
        <f>HYPERLINK("https://www.philgeps.gov.ph/GEPSNONPILOT/Tender/SplashBidNoticeAbstractUI.aspx?menuIndex=3&amp;refID=7025593&amp;Result=3","7025593")</f>
        <v>0</v>
      </c>
      <c r="B9467" t="s">
        <v>1902</v>
      </c>
      <c r="C9467" t="s">
        <v>11733</v>
      </c>
      <c r="D9467" t="s">
        <v>13014</v>
      </c>
      <c r="E9467" t="s">
        <v>21331</v>
      </c>
      <c r="F9467" t="s">
        <v>22436</v>
      </c>
      <c r="G9467" t="s">
        <v>22449</v>
      </c>
      <c r="H9467" t="s">
        <v>22455</v>
      </c>
      <c r="I9467" t="s">
        <v>7738</v>
      </c>
      <c r="J9467" t="s">
        <v>28592</v>
      </c>
      <c r="K9467" t="s">
        <v>29344</v>
      </c>
      <c r="M9467" t="s">
        <v>31766</v>
      </c>
      <c r="N9467" t="s">
        <v>32524</v>
      </c>
      <c r="O9467" t="s">
        <v>32525</v>
      </c>
      <c r="P9467">
        <v>0</v>
      </c>
      <c r="Q9467">
        <v>2</v>
      </c>
      <c r="R9467" t="s">
        <v>32538</v>
      </c>
      <c r="S9467" t="s">
        <v>32872</v>
      </c>
      <c r="T9467" t="s">
        <v>33218</v>
      </c>
      <c r="U9467" t="s">
        <v>41457</v>
      </c>
      <c r="W9467" t="s">
        <v>31766</v>
      </c>
      <c r="X9467" t="s">
        <v>32539</v>
      </c>
    </row>
    <row r="9468" spans="1:24">
      <c r="A9468">
        <f>HYPERLINK("https://www.philgeps.gov.ph/GEPSNONPILOT/Tender/SplashBidNoticeAbstractUI.aspx?menuIndex=3&amp;refID=7025592&amp;Result=3","7025592")</f>
        <v>0</v>
      </c>
      <c r="B9468" t="s">
        <v>1381</v>
      </c>
      <c r="C9468" t="s">
        <v>11734</v>
      </c>
      <c r="D9468" t="s">
        <v>13035</v>
      </c>
      <c r="E9468" t="s">
        <v>21332</v>
      </c>
      <c r="F9468" t="s">
        <v>22436</v>
      </c>
      <c r="G9468" t="s">
        <v>22444</v>
      </c>
      <c r="H9468" t="s">
        <v>22452</v>
      </c>
      <c r="I9468" t="s">
        <v>3529</v>
      </c>
      <c r="J9468" t="s">
        <v>28593</v>
      </c>
      <c r="K9468" t="s">
        <v>29337</v>
      </c>
      <c r="M9468" t="s">
        <v>31039</v>
      </c>
      <c r="N9468" t="s">
        <v>32524</v>
      </c>
      <c r="O9468" t="s">
        <v>32525</v>
      </c>
      <c r="P9468">
        <v>0</v>
      </c>
      <c r="Q9468">
        <v>3</v>
      </c>
      <c r="R9468" t="s">
        <v>32538</v>
      </c>
      <c r="S9468" t="s">
        <v>32872</v>
      </c>
      <c r="T9468" t="s">
        <v>33171</v>
      </c>
      <c r="U9468" t="s">
        <v>36957</v>
      </c>
      <c r="V9468" t="s">
        <v>43482</v>
      </c>
      <c r="W9468" t="s">
        <v>31039</v>
      </c>
      <c r="X9468" t="s">
        <v>32539</v>
      </c>
    </row>
    <row r="9469" spans="1:24">
      <c r="A9469">
        <f>HYPERLINK("https://www.philgeps.gov.ph/GEPSNONPILOT/Tender/SplashBidNoticeAbstractUI.aspx?menuIndex=3&amp;refID=7025560&amp;Result=3","7025560")</f>
        <v>0</v>
      </c>
      <c r="B9469" t="s">
        <v>2327</v>
      </c>
      <c r="C9469" t="s">
        <v>11735</v>
      </c>
      <c r="D9469" t="s">
        <v>13054</v>
      </c>
      <c r="E9469" t="s">
        <v>20778</v>
      </c>
      <c r="F9469" t="s">
        <v>22436</v>
      </c>
      <c r="G9469" t="s">
        <v>22444</v>
      </c>
      <c r="H9469" t="s">
        <v>22454</v>
      </c>
      <c r="I9469" t="s">
        <v>7738</v>
      </c>
      <c r="J9469" t="s">
        <v>23205</v>
      </c>
      <c r="K9469" t="s">
        <v>29338</v>
      </c>
      <c r="M9469" t="s">
        <v>32104</v>
      </c>
      <c r="N9469" t="s">
        <v>32524</v>
      </c>
      <c r="O9469" t="s">
        <v>32525</v>
      </c>
      <c r="P9469">
        <v>0</v>
      </c>
      <c r="Q9469">
        <v>0</v>
      </c>
      <c r="R9469" t="s">
        <v>32538</v>
      </c>
      <c r="S9469" t="s">
        <v>32872</v>
      </c>
      <c r="T9469" t="s">
        <v>33181</v>
      </c>
      <c r="U9469" t="s">
        <v>41458</v>
      </c>
      <c r="V9469" t="s">
        <v>43483</v>
      </c>
      <c r="W9469" t="s">
        <v>32104</v>
      </c>
      <c r="X9469" t="s">
        <v>32539</v>
      </c>
    </row>
    <row r="9470" spans="1:24">
      <c r="A9470">
        <f>HYPERLINK("https://www.philgeps.gov.ph/GEPSNONPILOT/Tender/SplashBidNoticeAbstractUI.aspx?menuIndex=3&amp;refID=7025601&amp;Result=3","7025601")</f>
        <v>0</v>
      </c>
      <c r="B9470" t="s">
        <v>1730</v>
      </c>
      <c r="C9470" t="s">
        <v>11736</v>
      </c>
      <c r="D9470" t="s">
        <v>13022</v>
      </c>
      <c r="E9470" t="s">
        <v>21333</v>
      </c>
      <c r="F9470" t="s">
        <v>22436</v>
      </c>
      <c r="G9470" t="s">
        <v>22444</v>
      </c>
      <c r="H9470" t="s">
        <v>22454</v>
      </c>
      <c r="I9470" t="s">
        <v>7738</v>
      </c>
      <c r="J9470" t="s">
        <v>28594</v>
      </c>
      <c r="K9470" t="s">
        <v>29369</v>
      </c>
      <c r="M9470" t="s">
        <v>31435</v>
      </c>
      <c r="N9470" t="s">
        <v>32524</v>
      </c>
      <c r="O9470" t="s">
        <v>32525</v>
      </c>
      <c r="P9470">
        <v>0</v>
      </c>
      <c r="Q9470">
        <v>5</v>
      </c>
      <c r="R9470" t="s">
        <v>32538</v>
      </c>
      <c r="S9470" t="s">
        <v>32872</v>
      </c>
      <c r="T9470" t="s">
        <v>33168</v>
      </c>
      <c r="U9470" t="s">
        <v>41459</v>
      </c>
      <c r="V9470" t="s">
        <v>43484</v>
      </c>
      <c r="W9470" t="s">
        <v>31435</v>
      </c>
      <c r="X9470" t="s">
        <v>32539</v>
      </c>
    </row>
    <row r="9471" spans="1:24">
      <c r="A9471">
        <f>HYPERLINK("https://www.philgeps.gov.ph/GEPSNONPILOT/Tender/SplashBidNoticeAbstractUI.aspx?menuIndex=3&amp;refID=7025548&amp;Result=3","7025548")</f>
        <v>0</v>
      </c>
      <c r="B9471" t="s">
        <v>512</v>
      </c>
      <c r="C9471" t="s">
        <v>11737</v>
      </c>
      <c r="D9471" t="s">
        <v>12995</v>
      </c>
      <c r="E9471" t="s">
        <v>21334</v>
      </c>
      <c r="F9471" t="s">
        <v>22436</v>
      </c>
      <c r="G9471" t="s">
        <v>22444</v>
      </c>
      <c r="H9471" t="s">
        <v>22452</v>
      </c>
      <c r="I9471" t="s">
        <v>22574</v>
      </c>
      <c r="J9471" t="s">
        <v>28595</v>
      </c>
      <c r="K9471" t="s">
        <v>29336</v>
      </c>
      <c r="M9471" t="s">
        <v>30096</v>
      </c>
      <c r="N9471" t="s">
        <v>32524</v>
      </c>
      <c r="O9471" t="s">
        <v>32525</v>
      </c>
      <c r="P9471">
        <v>0</v>
      </c>
      <c r="Q9471">
        <v>1</v>
      </c>
      <c r="R9471" t="s">
        <v>32538</v>
      </c>
      <c r="S9471" t="s">
        <v>32872</v>
      </c>
      <c r="T9471" t="s">
        <v>33181</v>
      </c>
      <c r="U9471" t="s">
        <v>34661</v>
      </c>
      <c r="W9471" t="s">
        <v>30096</v>
      </c>
      <c r="X9471" t="s">
        <v>32539</v>
      </c>
    </row>
    <row r="9472" spans="1:24">
      <c r="A9472">
        <f>HYPERLINK("https://www.philgeps.gov.ph/GEPSNONPILOT/Tender/SplashBidNoticeAbstractUI.aspx?menuIndex=3&amp;refID=7025581&amp;Result=3","7025581")</f>
        <v>0</v>
      </c>
      <c r="B9472" t="s">
        <v>1381</v>
      </c>
      <c r="C9472" t="s">
        <v>11738</v>
      </c>
      <c r="D9472" t="s">
        <v>13035</v>
      </c>
      <c r="E9472" t="s">
        <v>21335</v>
      </c>
      <c r="F9472" t="s">
        <v>22436</v>
      </c>
      <c r="G9472" t="s">
        <v>22444</v>
      </c>
      <c r="H9472" t="s">
        <v>22454</v>
      </c>
      <c r="I9472" t="s">
        <v>7738</v>
      </c>
      <c r="J9472" t="s">
        <v>28596</v>
      </c>
      <c r="K9472" t="s">
        <v>29568</v>
      </c>
      <c r="M9472" t="s">
        <v>31460</v>
      </c>
      <c r="N9472" t="s">
        <v>32524</v>
      </c>
      <c r="O9472" t="s">
        <v>32525</v>
      </c>
      <c r="P9472">
        <v>0</v>
      </c>
      <c r="Q9472">
        <v>1</v>
      </c>
      <c r="R9472" t="s">
        <v>32538</v>
      </c>
      <c r="S9472" t="s">
        <v>32872</v>
      </c>
      <c r="T9472" t="s">
        <v>33222</v>
      </c>
      <c r="U9472" t="s">
        <v>41460</v>
      </c>
      <c r="V9472" t="s">
        <v>42994</v>
      </c>
      <c r="W9472" t="s">
        <v>31460</v>
      </c>
      <c r="X9472" t="s">
        <v>32539</v>
      </c>
    </row>
    <row r="9473" spans="1:24">
      <c r="A9473">
        <f>HYPERLINK("https://www.philgeps.gov.ph/GEPSNONPILOT/Tender/SplashBidNoticeAbstractUI.aspx?menuIndex=3&amp;refID=7025527&amp;Result=3","7025527")</f>
        <v>0</v>
      </c>
      <c r="B9473" t="s">
        <v>87</v>
      </c>
      <c r="C9473" t="s">
        <v>11739</v>
      </c>
      <c r="E9473" t="s">
        <v>21336</v>
      </c>
      <c r="F9473" t="s">
        <v>22436</v>
      </c>
      <c r="G9473" t="s">
        <v>22444</v>
      </c>
      <c r="H9473" t="s">
        <v>22454</v>
      </c>
      <c r="I9473" t="s">
        <v>7738</v>
      </c>
      <c r="J9473" t="s">
        <v>28597</v>
      </c>
      <c r="K9473" t="s">
        <v>29338</v>
      </c>
      <c r="M9473" t="s">
        <v>29659</v>
      </c>
      <c r="N9473" t="s">
        <v>32524</v>
      </c>
      <c r="O9473" t="s">
        <v>32525</v>
      </c>
      <c r="Q9473">
        <v>1</v>
      </c>
      <c r="R9473" t="s">
        <v>32538</v>
      </c>
      <c r="S9473" t="s">
        <v>32933</v>
      </c>
      <c r="T9473" t="s">
        <v>33175</v>
      </c>
      <c r="U9473" t="s">
        <v>41461</v>
      </c>
      <c r="W9473" t="s">
        <v>29659</v>
      </c>
      <c r="X9473" t="s">
        <v>32539</v>
      </c>
    </row>
    <row r="9474" spans="1:24">
      <c r="A9474">
        <f>HYPERLINK("https://www.philgeps.gov.ph/GEPSNONPILOT/Tender/SplashBidNoticeAbstractUI.aspx?menuIndex=3&amp;refID=7025585&amp;Result=3","7025585")</f>
        <v>0</v>
      </c>
      <c r="B9474" t="s">
        <v>1698</v>
      </c>
      <c r="C9474" t="s">
        <v>11740</v>
      </c>
      <c r="D9474" t="s">
        <v>12990</v>
      </c>
      <c r="E9474" t="s">
        <v>21337</v>
      </c>
      <c r="F9474" t="s">
        <v>22436</v>
      </c>
      <c r="G9474" t="s">
        <v>22444</v>
      </c>
      <c r="H9474" t="s">
        <v>22454</v>
      </c>
      <c r="I9474" t="s">
        <v>7738</v>
      </c>
      <c r="J9474" t="s">
        <v>28598</v>
      </c>
      <c r="K9474" t="s">
        <v>29412</v>
      </c>
      <c r="L9474" t="s">
        <v>1698</v>
      </c>
      <c r="M9474" t="s">
        <v>31400</v>
      </c>
      <c r="N9474" t="s">
        <v>32524</v>
      </c>
      <c r="O9474" t="s">
        <v>32525</v>
      </c>
      <c r="P9474">
        <v>0</v>
      </c>
      <c r="Q9474">
        <v>8</v>
      </c>
      <c r="R9474" t="s">
        <v>32538</v>
      </c>
      <c r="S9474" t="s">
        <v>32872</v>
      </c>
      <c r="T9474" t="s">
        <v>33593</v>
      </c>
      <c r="U9474" t="s">
        <v>41420</v>
      </c>
      <c r="W9474" t="s">
        <v>31400</v>
      </c>
      <c r="X9474" t="s">
        <v>32539</v>
      </c>
    </row>
    <row r="9475" spans="1:24">
      <c r="A9475">
        <f>HYPERLINK("https://www.philgeps.gov.ph/GEPSNONPILOT/Tender/SplashBidNoticeAbstractUI.aspx?menuIndex=3&amp;refID=7025547&amp;Result=3","7025547")</f>
        <v>0</v>
      </c>
      <c r="B9475" t="s">
        <v>1949</v>
      </c>
      <c r="C9475" t="s">
        <v>11741</v>
      </c>
      <c r="D9475" t="s">
        <v>13019</v>
      </c>
      <c r="E9475" t="s">
        <v>21338</v>
      </c>
      <c r="F9475" t="s">
        <v>22436</v>
      </c>
      <c r="G9475" t="s">
        <v>22444</v>
      </c>
      <c r="H9475" t="s">
        <v>22452</v>
      </c>
      <c r="I9475" t="s">
        <v>22506</v>
      </c>
      <c r="J9475" t="s">
        <v>28599</v>
      </c>
      <c r="K9475" t="s">
        <v>29335</v>
      </c>
      <c r="M9475" t="s">
        <v>31679</v>
      </c>
      <c r="N9475" t="s">
        <v>32524</v>
      </c>
      <c r="O9475" t="s">
        <v>32525</v>
      </c>
      <c r="P9475">
        <v>0</v>
      </c>
      <c r="Q9475">
        <v>3</v>
      </c>
      <c r="R9475" t="s">
        <v>32538</v>
      </c>
      <c r="S9475" t="s">
        <v>32872</v>
      </c>
      <c r="T9475" t="s">
        <v>33400</v>
      </c>
      <c r="U9475" t="s">
        <v>41462</v>
      </c>
      <c r="V9475" t="s">
        <v>43485</v>
      </c>
      <c r="W9475" t="s">
        <v>31679</v>
      </c>
      <c r="X9475" t="s">
        <v>32539</v>
      </c>
    </row>
    <row r="9476" spans="1:24">
      <c r="A9476">
        <f>HYPERLINK("https://www.philgeps.gov.ph/GEPSNONPILOT/Tender/SplashBidNoticeAbstractUI.aspx?menuIndex=3&amp;refID=7025610&amp;Result=3","7025610")</f>
        <v>0</v>
      </c>
      <c r="B9476" t="s">
        <v>1698</v>
      </c>
      <c r="C9476" t="s">
        <v>11742</v>
      </c>
      <c r="D9476" t="s">
        <v>12990</v>
      </c>
      <c r="E9476" t="s">
        <v>21339</v>
      </c>
      <c r="F9476" t="s">
        <v>22436</v>
      </c>
      <c r="G9476" t="s">
        <v>22444</v>
      </c>
      <c r="H9476" t="s">
        <v>22454</v>
      </c>
      <c r="I9476" t="s">
        <v>7738</v>
      </c>
      <c r="J9476" t="s">
        <v>25346</v>
      </c>
      <c r="K9476" t="s">
        <v>29449</v>
      </c>
      <c r="L9476" t="s">
        <v>1698</v>
      </c>
      <c r="M9476" t="s">
        <v>31400</v>
      </c>
      <c r="N9476" t="s">
        <v>32524</v>
      </c>
      <c r="O9476" t="s">
        <v>32525</v>
      </c>
      <c r="P9476">
        <v>0</v>
      </c>
      <c r="Q9476">
        <v>1</v>
      </c>
      <c r="R9476" t="s">
        <v>32538</v>
      </c>
      <c r="S9476" t="s">
        <v>32872</v>
      </c>
      <c r="T9476" t="s">
        <v>33593</v>
      </c>
      <c r="U9476" t="s">
        <v>41420</v>
      </c>
      <c r="W9476" t="s">
        <v>31400</v>
      </c>
      <c r="X9476" t="s">
        <v>32539</v>
      </c>
    </row>
    <row r="9477" spans="1:24">
      <c r="A9477">
        <f>HYPERLINK("https://www.philgeps.gov.ph/GEPSNONPILOT/Tender/SplashBidNoticeAbstractUI.aspx?menuIndex=3&amp;refID=7025524&amp;Result=3","7025524")</f>
        <v>0</v>
      </c>
      <c r="B9477" t="s">
        <v>95</v>
      </c>
      <c r="C9477" t="s">
        <v>11743</v>
      </c>
      <c r="D9477" t="s">
        <v>13028</v>
      </c>
      <c r="E9477" t="s">
        <v>21340</v>
      </c>
      <c r="F9477" t="s">
        <v>22436</v>
      </c>
      <c r="G9477" t="s">
        <v>22444</v>
      </c>
      <c r="H9477" t="s">
        <v>22452</v>
      </c>
      <c r="I9477" t="s">
        <v>22574</v>
      </c>
      <c r="J9477" t="s">
        <v>28600</v>
      </c>
      <c r="K9477" t="s">
        <v>29335</v>
      </c>
      <c r="M9477" t="s">
        <v>30024</v>
      </c>
      <c r="N9477" t="s">
        <v>32524</v>
      </c>
      <c r="O9477" t="s">
        <v>32525</v>
      </c>
      <c r="P9477">
        <v>0</v>
      </c>
      <c r="Q9477">
        <v>2</v>
      </c>
      <c r="R9477" t="s">
        <v>32538</v>
      </c>
      <c r="S9477" t="s">
        <v>32872</v>
      </c>
      <c r="T9477" t="s">
        <v>33249</v>
      </c>
      <c r="U9477" t="s">
        <v>41463</v>
      </c>
      <c r="W9477" t="s">
        <v>30024</v>
      </c>
      <c r="X9477" t="s">
        <v>32539</v>
      </c>
    </row>
    <row r="9478" spans="1:24">
      <c r="A9478">
        <f>HYPERLINK("https://www.philgeps.gov.ph/GEPSNONPILOT/Tender/SplashBidNoticeAbstractUI.aspx?menuIndex=3&amp;refID=7025640&amp;Result=3","7025640")</f>
        <v>0</v>
      </c>
      <c r="B9478" t="s">
        <v>2260</v>
      </c>
      <c r="C9478" t="s">
        <v>11744</v>
      </c>
      <c r="D9478" t="s">
        <v>13009</v>
      </c>
      <c r="E9478" t="s">
        <v>21341</v>
      </c>
      <c r="F9478" t="s">
        <v>22436</v>
      </c>
      <c r="G9478" t="s">
        <v>22444</v>
      </c>
      <c r="H9478" t="s">
        <v>22452</v>
      </c>
      <c r="I9478" t="s">
        <v>3529</v>
      </c>
      <c r="J9478" t="s">
        <v>28601</v>
      </c>
      <c r="K9478" t="s">
        <v>29333</v>
      </c>
      <c r="M9478" t="s">
        <v>32029</v>
      </c>
      <c r="N9478" t="s">
        <v>32524</v>
      </c>
      <c r="O9478" t="s">
        <v>32525</v>
      </c>
      <c r="Q9478">
        <v>1</v>
      </c>
      <c r="R9478" t="s">
        <v>32538</v>
      </c>
      <c r="S9478" t="s">
        <v>32934</v>
      </c>
      <c r="T9478" t="s">
        <v>33216</v>
      </c>
      <c r="U9478" t="s">
        <v>39983</v>
      </c>
      <c r="V9478" t="s">
        <v>43486</v>
      </c>
      <c r="W9478" t="s">
        <v>32029</v>
      </c>
      <c r="X9478" t="s">
        <v>32539</v>
      </c>
    </row>
    <row r="9479" spans="1:24">
      <c r="A9479">
        <f>HYPERLINK("https://www.philgeps.gov.ph/GEPSNONPILOT/Tender/SplashBidNoticeAbstractUI.aspx?menuIndex=3&amp;refID=7025654&amp;Result=3","7025654")</f>
        <v>0</v>
      </c>
      <c r="B9479" t="s">
        <v>1381</v>
      </c>
      <c r="C9479" t="s">
        <v>11745</v>
      </c>
      <c r="D9479" t="s">
        <v>13035</v>
      </c>
      <c r="E9479" t="s">
        <v>21342</v>
      </c>
      <c r="F9479" t="s">
        <v>22436</v>
      </c>
      <c r="G9479" t="s">
        <v>22444</v>
      </c>
      <c r="H9479" t="s">
        <v>22454</v>
      </c>
      <c r="I9479" t="s">
        <v>7738</v>
      </c>
      <c r="J9479" t="s">
        <v>28602</v>
      </c>
      <c r="K9479" t="s">
        <v>29568</v>
      </c>
      <c r="M9479" t="s">
        <v>31460</v>
      </c>
      <c r="N9479" t="s">
        <v>32524</v>
      </c>
      <c r="O9479" t="s">
        <v>32525</v>
      </c>
      <c r="P9479">
        <v>0</v>
      </c>
      <c r="Q9479">
        <v>0</v>
      </c>
      <c r="R9479" t="s">
        <v>32538</v>
      </c>
      <c r="S9479" t="s">
        <v>32872</v>
      </c>
      <c r="T9479" t="s">
        <v>33222</v>
      </c>
      <c r="U9479" t="s">
        <v>41460</v>
      </c>
      <c r="V9479" t="s">
        <v>42994</v>
      </c>
      <c r="W9479" t="s">
        <v>31460</v>
      </c>
      <c r="X9479" t="s">
        <v>32539</v>
      </c>
    </row>
    <row r="9480" spans="1:24">
      <c r="A9480">
        <f>HYPERLINK("https://www.philgeps.gov.ph/GEPSNONPILOT/Tender/SplashBidNoticeAbstractUI.aspx?menuIndex=3&amp;refID=7025687&amp;Result=3","7025687")</f>
        <v>0</v>
      </c>
      <c r="B9480" t="s">
        <v>1902</v>
      </c>
      <c r="C9480" t="s">
        <v>11746</v>
      </c>
      <c r="D9480" t="s">
        <v>13014</v>
      </c>
      <c r="E9480" t="s">
        <v>21343</v>
      </c>
      <c r="F9480" t="s">
        <v>22436</v>
      </c>
      <c r="G9480" t="s">
        <v>22449</v>
      </c>
      <c r="H9480" t="s">
        <v>22455</v>
      </c>
      <c r="I9480" t="s">
        <v>7738</v>
      </c>
      <c r="J9480" t="s">
        <v>23689</v>
      </c>
      <c r="K9480" t="s">
        <v>29333</v>
      </c>
      <c r="M9480" t="s">
        <v>31766</v>
      </c>
      <c r="N9480" t="s">
        <v>32524</v>
      </c>
      <c r="O9480" t="s">
        <v>32525</v>
      </c>
      <c r="P9480">
        <v>0</v>
      </c>
      <c r="Q9480">
        <v>0</v>
      </c>
      <c r="R9480" t="s">
        <v>32538</v>
      </c>
      <c r="S9480" t="s">
        <v>32872</v>
      </c>
      <c r="T9480" t="s">
        <v>33218</v>
      </c>
      <c r="U9480" t="s">
        <v>41464</v>
      </c>
      <c r="W9480" t="s">
        <v>31766</v>
      </c>
      <c r="X9480" t="s">
        <v>32539</v>
      </c>
    </row>
    <row r="9481" spans="1:24">
      <c r="A9481">
        <f>HYPERLINK("https://www.philgeps.gov.ph/GEPSNONPILOT/Tender/SplashBidNoticeAbstractUI.aspx?menuIndex=3&amp;refID=7025525&amp;Result=3","7025525")</f>
        <v>0</v>
      </c>
      <c r="B9481" t="s">
        <v>1465</v>
      </c>
      <c r="C9481" t="s">
        <v>11747</v>
      </c>
      <c r="D9481" t="s">
        <v>13002</v>
      </c>
      <c r="E9481" t="s">
        <v>14018</v>
      </c>
      <c r="F9481" t="s">
        <v>22436</v>
      </c>
      <c r="G9481" t="s">
        <v>22444</v>
      </c>
      <c r="H9481" t="s">
        <v>22452</v>
      </c>
      <c r="I9481" t="s">
        <v>3529</v>
      </c>
      <c r="J9481" t="s">
        <v>28603</v>
      </c>
      <c r="K9481" t="s">
        <v>29337</v>
      </c>
      <c r="M9481" t="s">
        <v>31134</v>
      </c>
      <c r="N9481" t="s">
        <v>32524</v>
      </c>
      <c r="O9481" t="s">
        <v>32525</v>
      </c>
      <c r="P9481">
        <v>0</v>
      </c>
      <c r="Q9481">
        <v>1</v>
      </c>
      <c r="R9481" t="s">
        <v>32538</v>
      </c>
      <c r="S9481" t="s">
        <v>32872</v>
      </c>
      <c r="T9481" t="s">
        <v>33211</v>
      </c>
      <c r="U9481" t="s">
        <v>41465</v>
      </c>
      <c r="W9481" t="s">
        <v>31134</v>
      </c>
      <c r="X9481" t="s">
        <v>32539</v>
      </c>
    </row>
    <row r="9482" spans="1:24">
      <c r="A9482">
        <f>HYPERLINK("https://www.philgeps.gov.ph/GEPSNONPILOT/Tender/SplashBidNoticeAbstractUI.aspx?menuIndex=3&amp;refID=7025635&amp;Result=3","7025635")</f>
        <v>0</v>
      </c>
      <c r="B9482" t="s">
        <v>1698</v>
      </c>
      <c r="C9482" t="s">
        <v>11748</v>
      </c>
      <c r="D9482" t="s">
        <v>12990</v>
      </c>
      <c r="E9482" t="s">
        <v>21344</v>
      </c>
      <c r="F9482" t="s">
        <v>22436</v>
      </c>
      <c r="G9482" t="s">
        <v>22444</v>
      </c>
      <c r="H9482" t="s">
        <v>22454</v>
      </c>
      <c r="I9482" t="s">
        <v>7738</v>
      </c>
      <c r="J9482" t="s">
        <v>25346</v>
      </c>
      <c r="K9482" t="s">
        <v>29334</v>
      </c>
      <c r="L9482" t="s">
        <v>1698</v>
      </c>
      <c r="M9482" t="s">
        <v>31400</v>
      </c>
      <c r="N9482" t="s">
        <v>32524</v>
      </c>
      <c r="O9482" t="s">
        <v>32525</v>
      </c>
      <c r="P9482">
        <v>0</v>
      </c>
      <c r="Q9482">
        <v>2</v>
      </c>
      <c r="R9482" t="s">
        <v>32538</v>
      </c>
      <c r="S9482" t="s">
        <v>32872</v>
      </c>
      <c r="T9482" t="s">
        <v>33593</v>
      </c>
      <c r="U9482" t="s">
        <v>41420</v>
      </c>
      <c r="W9482" t="s">
        <v>31400</v>
      </c>
      <c r="X9482" t="s">
        <v>32539</v>
      </c>
    </row>
    <row r="9483" spans="1:24">
      <c r="A9483">
        <f>HYPERLINK("https://www.philgeps.gov.ph/GEPSNONPILOT/Tender/SplashBidNoticeAbstractUI.aspx?menuIndex=3&amp;refID=7025608&amp;Result=3","7025608")</f>
        <v>0</v>
      </c>
      <c r="B9483" t="s">
        <v>512</v>
      </c>
      <c r="C9483" t="s">
        <v>11749</v>
      </c>
      <c r="D9483" t="s">
        <v>12995</v>
      </c>
      <c r="E9483" t="s">
        <v>21345</v>
      </c>
      <c r="F9483" t="s">
        <v>22436</v>
      </c>
      <c r="G9483" t="s">
        <v>22444</v>
      </c>
      <c r="H9483" t="s">
        <v>22452</v>
      </c>
      <c r="I9483" t="s">
        <v>3122</v>
      </c>
      <c r="J9483" t="s">
        <v>28604</v>
      </c>
      <c r="K9483" t="s">
        <v>29336</v>
      </c>
      <c r="M9483" t="s">
        <v>30096</v>
      </c>
      <c r="N9483" t="s">
        <v>32524</v>
      </c>
      <c r="O9483" t="s">
        <v>32525</v>
      </c>
      <c r="P9483">
        <v>0</v>
      </c>
      <c r="Q9483">
        <v>1</v>
      </c>
      <c r="R9483" t="s">
        <v>32538</v>
      </c>
      <c r="S9483" t="s">
        <v>32872</v>
      </c>
      <c r="T9483" t="s">
        <v>33181</v>
      </c>
      <c r="U9483" t="s">
        <v>34661</v>
      </c>
      <c r="W9483" t="s">
        <v>30096</v>
      </c>
      <c r="X9483" t="s">
        <v>32539</v>
      </c>
    </row>
    <row r="9484" spans="1:24">
      <c r="A9484">
        <f>HYPERLINK("https://www.philgeps.gov.ph/GEPSNONPILOT/Tender/SplashBidNoticeAbstractUI.aspx?menuIndex=3&amp;refID=7025673&amp;Result=3","7025673")</f>
        <v>0</v>
      </c>
      <c r="B9484" t="s">
        <v>40</v>
      </c>
      <c r="C9484" t="s">
        <v>11750</v>
      </c>
      <c r="D9484" t="s">
        <v>13001</v>
      </c>
      <c r="E9484" t="s">
        <v>21346</v>
      </c>
      <c r="F9484" t="s">
        <v>22436</v>
      </c>
      <c r="G9484" t="s">
        <v>22444</v>
      </c>
      <c r="H9484" t="s">
        <v>22454</v>
      </c>
      <c r="I9484" t="s">
        <v>7738</v>
      </c>
      <c r="J9484" t="s">
        <v>23604</v>
      </c>
      <c r="K9484" t="s">
        <v>29345</v>
      </c>
      <c r="M9484" t="s">
        <v>29611</v>
      </c>
      <c r="N9484" t="s">
        <v>32524</v>
      </c>
      <c r="O9484" t="s">
        <v>32525</v>
      </c>
      <c r="P9484">
        <v>0</v>
      </c>
      <c r="Q9484">
        <v>30</v>
      </c>
      <c r="R9484" t="s">
        <v>32538</v>
      </c>
      <c r="S9484" t="s">
        <v>32872</v>
      </c>
      <c r="T9484" t="s">
        <v>33181</v>
      </c>
      <c r="U9484" t="s">
        <v>41466</v>
      </c>
      <c r="V9484" t="s">
        <v>42423</v>
      </c>
      <c r="W9484" t="s">
        <v>29611</v>
      </c>
      <c r="X9484" t="s">
        <v>32539</v>
      </c>
    </row>
    <row r="9485" spans="1:24">
      <c r="A9485">
        <f>HYPERLINK("https://www.philgeps.gov.ph/GEPSNONPILOT/Tender/SplashBidNoticeAbstractUI.aspx?menuIndex=3&amp;refID=7025661&amp;Result=3","7025661")</f>
        <v>0</v>
      </c>
      <c r="B9485" t="s">
        <v>2205</v>
      </c>
      <c r="C9485" t="s">
        <v>11751</v>
      </c>
      <c r="D9485" t="s">
        <v>13018</v>
      </c>
      <c r="E9485" t="s">
        <v>14863</v>
      </c>
      <c r="F9485" t="s">
        <v>22436</v>
      </c>
      <c r="G9485" t="s">
        <v>22444</v>
      </c>
      <c r="H9485" t="s">
        <v>22454</v>
      </c>
      <c r="I9485" t="s">
        <v>7738</v>
      </c>
      <c r="J9485" t="s">
        <v>23090</v>
      </c>
      <c r="K9485" t="s">
        <v>29333</v>
      </c>
      <c r="M9485" t="s">
        <v>31971</v>
      </c>
      <c r="N9485" t="s">
        <v>32524</v>
      </c>
      <c r="O9485" t="s">
        <v>32525</v>
      </c>
      <c r="P9485">
        <v>0</v>
      </c>
      <c r="Q9485">
        <v>0</v>
      </c>
      <c r="R9485" t="s">
        <v>32538</v>
      </c>
      <c r="S9485" t="s">
        <v>32872</v>
      </c>
      <c r="T9485" t="s">
        <v>33293</v>
      </c>
      <c r="U9485" t="s">
        <v>36907</v>
      </c>
      <c r="W9485" t="s">
        <v>31971</v>
      </c>
      <c r="X9485" t="s">
        <v>32539</v>
      </c>
    </row>
    <row r="9486" spans="1:24">
      <c r="A9486">
        <f>HYPERLINK("https://www.philgeps.gov.ph/GEPSNONPILOT/Tender/SplashBidNoticeAbstractUI.aspx?menuIndex=3&amp;refID=7025668&amp;Result=3","7025668")</f>
        <v>0</v>
      </c>
      <c r="B9486" t="s">
        <v>1698</v>
      </c>
      <c r="C9486" t="s">
        <v>11752</v>
      </c>
      <c r="D9486" t="s">
        <v>12990</v>
      </c>
      <c r="E9486" t="s">
        <v>21347</v>
      </c>
      <c r="F9486" t="s">
        <v>22436</v>
      </c>
      <c r="G9486" t="s">
        <v>22444</v>
      </c>
      <c r="H9486" t="s">
        <v>22454</v>
      </c>
      <c r="I9486" t="s">
        <v>7738</v>
      </c>
      <c r="J9486" t="s">
        <v>25369</v>
      </c>
      <c r="K9486" t="s">
        <v>29334</v>
      </c>
      <c r="L9486" t="s">
        <v>1698</v>
      </c>
      <c r="M9486" t="s">
        <v>31400</v>
      </c>
      <c r="N9486" t="s">
        <v>32524</v>
      </c>
      <c r="O9486" t="s">
        <v>32525</v>
      </c>
      <c r="P9486">
        <v>0</v>
      </c>
      <c r="Q9486">
        <v>1</v>
      </c>
      <c r="R9486" t="s">
        <v>32538</v>
      </c>
      <c r="S9486" t="s">
        <v>32872</v>
      </c>
      <c r="T9486" t="s">
        <v>33593</v>
      </c>
      <c r="U9486" t="s">
        <v>41420</v>
      </c>
      <c r="W9486" t="s">
        <v>31400</v>
      </c>
      <c r="X9486" t="s">
        <v>32539</v>
      </c>
    </row>
    <row r="9487" spans="1:24">
      <c r="A9487">
        <f>HYPERLINK("https://www.philgeps.gov.ph/GEPSNONPILOT/Tender/SplashBidNoticeAbstractUI.aspx?menuIndex=3&amp;refID=7025650&amp;Result=3","7025650")</f>
        <v>0</v>
      </c>
      <c r="B9487" t="s">
        <v>2536</v>
      </c>
      <c r="C9487" t="s">
        <v>11753</v>
      </c>
      <c r="D9487" t="s">
        <v>13022</v>
      </c>
      <c r="E9487" t="s">
        <v>21348</v>
      </c>
      <c r="F9487" t="s">
        <v>22436</v>
      </c>
      <c r="G9487" t="s">
        <v>22444</v>
      </c>
      <c r="H9487" t="s">
        <v>22452</v>
      </c>
      <c r="I9487" t="s">
        <v>3529</v>
      </c>
      <c r="J9487" t="s">
        <v>28605</v>
      </c>
      <c r="K9487" t="s">
        <v>29329</v>
      </c>
      <c r="M9487" t="s">
        <v>32345</v>
      </c>
      <c r="N9487" t="s">
        <v>32524</v>
      </c>
      <c r="O9487" t="s">
        <v>32525</v>
      </c>
      <c r="P9487">
        <v>0</v>
      </c>
      <c r="Q9487">
        <v>0</v>
      </c>
      <c r="R9487" t="s">
        <v>32538</v>
      </c>
      <c r="S9487" t="s">
        <v>32872</v>
      </c>
      <c r="T9487" t="s">
        <v>33168</v>
      </c>
      <c r="U9487" t="s">
        <v>41467</v>
      </c>
      <c r="V9487" t="s">
        <v>43487</v>
      </c>
      <c r="W9487" t="s">
        <v>32345</v>
      </c>
      <c r="X9487" t="s">
        <v>32539</v>
      </c>
    </row>
    <row r="9488" spans="1:24">
      <c r="A9488">
        <f>HYPERLINK("https://www.philgeps.gov.ph/GEPSNONPILOT/Tender/SplashBidNoticeAbstractUI.aspx?menuIndex=3&amp;refID=7025655&amp;Result=3","7025655")</f>
        <v>0</v>
      </c>
      <c r="B9488" t="s">
        <v>87</v>
      </c>
      <c r="C9488" t="s">
        <v>11754</v>
      </c>
      <c r="E9488" t="s">
        <v>21349</v>
      </c>
      <c r="F9488" t="s">
        <v>22436</v>
      </c>
      <c r="G9488" t="s">
        <v>22444</v>
      </c>
      <c r="H9488" t="s">
        <v>22454</v>
      </c>
      <c r="I9488" t="s">
        <v>7738</v>
      </c>
      <c r="J9488" t="s">
        <v>28606</v>
      </c>
      <c r="K9488" t="s">
        <v>29338</v>
      </c>
      <c r="M9488" t="s">
        <v>29659</v>
      </c>
      <c r="N9488" t="s">
        <v>32524</v>
      </c>
      <c r="O9488" t="s">
        <v>32525</v>
      </c>
      <c r="Q9488">
        <v>1</v>
      </c>
      <c r="R9488" t="s">
        <v>32538</v>
      </c>
      <c r="S9488" t="s">
        <v>32935</v>
      </c>
      <c r="T9488" t="s">
        <v>33365</v>
      </c>
      <c r="U9488" t="s">
        <v>41468</v>
      </c>
      <c r="W9488" t="s">
        <v>29659</v>
      </c>
      <c r="X9488" t="s">
        <v>32539</v>
      </c>
    </row>
    <row r="9489" spans="1:24">
      <c r="A9489">
        <f>HYPERLINK("https://www.philgeps.gov.ph/GEPSNONPILOT/Tender/SplashBidNoticeAbstractUI.aspx?menuIndex=3&amp;refID=7025667&amp;Result=3","7025667")</f>
        <v>0</v>
      </c>
      <c r="B9489" t="s">
        <v>1586</v>
      </c>
      <c r="C9489" t="s">
        <v>11755</v>
      </c>
      <c r="E9489" t="s">
        <v>21350</v>
      </c>
      <c r="F9489" t="s">
        <v>22436</v>
      </c>
      <c r="G9489" t="s">
        <v>22444</v>
      </c>
      <c r="H9489" t="s">
        <v>22452</v>
      </c>
      <c r="I9489" t="s">
        <v>22475</v>
      </c>
      <c r="J9489" t="s">
        <v>28607</v>
      </c>
      <c r="K9489" t="s">
        <v>29338</v>
      </c>
      <c r="M9489" t="s">
        <v>32346</v>
      </c>
      <c r="N9489" t="s">
        <v>32524</v>
      </c>
      <c r="O9489" t="s">
        <v>32525</v>
      </c>
      <c r="P9489">
        <v>0</v>
      </c>
      <c r="Q9489">
        <v>0</v>
      </c>
      <c r="R9489" t="s">
        <v>32538</v>
      </c>
      <c r="S9489" t="s">
        <v>32872</v>
      </c>
      <c r="T9489" t="s">
        <v>33177</v>
      </c>
      <c r="U9489" t="s">
        <v>41469</v>
      </c>
      <c r="W9489" t="s">
        <v>32346</v>
      </c>
      <c r="X9489" t="s">
        <v>32539</v>
      </c>
    </row>
    <row r="9490" spans="1:24">
      <c r="A9490">
        <f>HYPERLINK("https://www.philgeps.gov.ph/GEPSNONPILOT/Tender/SplashBidNoticeAbstractUI.aspx?menuIndex=3&amp;refID=7025658&amp;Result=3","7025658")</f>
        <v>0</v>
      </c>
      <c r="B9490" t="s">
        <v>512</v>
      </c>
      <c r="C9490" t="s">
        <v>11756</v>
      </c>
      <c r="D9490" t="s">
        <v>12995</v>
      </c>
      <c r="E9490" t="s">
        <v>21351</v>
      </c>
      <c r="F9490" t="s">
        <v>22436</v>
      </c>
      <c r="G9490" t="s">
        <v>22444</v>
      </c>
      <c r="H9490" t="s">
        <v>22452</v>
      </c>
      <c r="I9490" t="s">
        <v>22461</v>
      </c>
      <c r="J9490" t="s">
        <v>28608</v>
      </c>
      <c r="K9490" t="s">
        <v>29336</v>
      </c>
      <c r="M9490" t="s">
        <v>30096</v>
      </c>
      <c r="N9490" t="s">
        <v>32524</v>
      </c>
      <c r="O9490" t="s">
        <v>32525</v>
      </c>
      <c r="P9490">
        <v>0</v>
      </c>
      <c r="Q9490">
        <v>2</v>
      </c>
      <c r="R9490" t="s">
        <v>32538</v>
      </c>
      <c r="S9490" t="s">
        <v>32872</v>
      </c>
      <c r="T9490" t="s">
        <v>33181</v>
      </c>
      <c r="U9490" t="s">
        <v>34661</v>
      </c>
      <c r="W9490" t="s">
        <v>30096</v>
      </c>
      <c r="X9490" t="s">
        <v>32539</v>
      </c>
    </row>
    <row r="9491" spans="1:24">
      <c r="A9491">
        <f>HYPERLINK("https://www.philgeps.gov.ph/GEPSNONPILOT/Tender/SplashBidNoticeAbstractUI.aspx?menuIndex=3&amp;refID=7025679&amp;Result=3","7025679")</f>
        <v>0</v>
      </c>
      <c r="B9491" t="s">
        <v>2537</v>
      </c>
      <c r="C9491" t="s">
        <v>7185</v>
      </c>
      <c r="D9491" t="s">
        <v>13042</v>
      </c>
      <c r="E9491" t="s">
        <v>21352</v>
      </c>
      <c r="F9491" t="s">
        <v>22436</v>
      </c>
      <c r="G9491" t="s">
        <v>22444</v>
      </c>
      <c r="H9491" t="s">
        <v>22454</v>
      </c>
      <c r="I9491" t="s">
        <v>7738</v>
      </c>
      <c r="J9491" t="s">
        <v>28609</v>
      </c>
      <c r="K9491" t="s">
        <v>29366</v>
      </c>
      <c r="M9491" t="s">
        <v>32347</v>
      </c>
      <c r="N9491" t="s">
        <v>32524</v>
      </c>
      <c r="O9491" t="s">
        <v>32525</v>
      </c>
      <c r="P9491">
        <v>0</v>
      </c>
      <c r="Q9491">
        <v>0</v>
      </c>
      <c r="R9491" t="s">
        <v>32538</v>
      </c>
      <c r="S9491" t="s">
        <v>32872</v>
      </c>
      <c r="T9491" t="s">
        <v>33352</v>
      </c>
      <c r="U9491" t="s">
        <v>41470</v>
      </c>
      <c r="W9491" t="s">
        <v>43765</v>
      </c>
      <c r="X9491" t="s">
        <v>32539</v>
      </c>
    </row>
    <row r="9492" spans="1:24">
      <c r="A9492">
        <f>HYPERLINK("https://www.philgeps.gov.ph/GEPSNONPILOT/Tender/SplashBidNoticeAbstractUI.aspx?menuIndex=3&amp;refID=7025631&amp;Result=3","7025631")</f>
        <v>0</v>
      </c>
      <c r="B9492" t="s">
        <v>1918</v>
      </c>
      <c r="C9492" t="s">
        <v>11757</v>
      </c>
      <c r="D9492" t="s">
        <v>13023</v>
      </c>
      <c r="E9492" t="s">
        <v>21353</v>
      </c>
      <c r="F9492" t="s">
        <v>22436</v>
      </c>
      <c r="G9492" t="s">
        <v>22444</v>
      </c>
      <c r="H9492" t="s">
        <v>22454</v>
      </c>
      <c r="I9492" t="s">
        <v>7738</v>
      </c>
      <c r="J9492" t="s">
        <v>28610</v>
      </c>
      <c r="K9492" t="s">
        <v>29335</v>
      </c>
      <c r="M9492" t="s">
        <v>31643</v>
      </c>
      <c r="N9492" t="s">
        <v>32524</v>
      </c>
      <c r="O9492" t="s">
        <v>32525</v>
      </c>
      <c r="P9492">
        <v>0</v>
      </c>
      <c r="Q9492">
        <v>2</v>
      </c>
      <c r="R9492" t="s">
        <v>32538</v>
      </c>
      <c r="S9492" t="s">
        <v>32872</v>
      </c>
      <c r="T9492" t="s">
        <v>33574</v>
      </c>
      <c r="U9492" t="s">
        <v>41471</v>
      </c>
      <c r="W9492" t="s">
        <v>31643</v>
      </c>
      <c r="X9492" t="s">
        <v>32539</v>
      </c>
    </row>
    <row r="9493" spans="1:24">
      <c r="A9493">
        <f>HYPERLINK("https://www.philgeps.gov.ph/GEPSNONPILOT/Tender/SplashBidNoticeAbstractUI.aspx?menuIndex=3&amp;refID=7025624&amp;Result=3","7025624")</f>
        <v>0</v>
      </c>
      <c r="B9493" t="s">
        <v>1698</v>
      </c>
      <c r="C9493" t="s">
        <v>11758</v>
      </c>
      <c r="D9493" t="s">
        <v>12990</v>
      </c>
      <c r="E9493" t="s">
        <v>21354</v>
      </c>
      <c r="F9493" t="s">
        <v>22436</v>
      </c>
      <c r="G9493" t="s">
        <v>22444</v>
      </c>
      <c r="H9493" t="s">
        <v>22454</v>
      </c>
      <c r="I9493" t="s">
        <v>7738</v>
      </c>
      <c r="J9493" t="s">
        <v>25346</v>
      </c>
      <c r="K9493" t="s">
        <v>29423</v>
      </c>
      <c r="L9493" t="s">
        <v>1698</v>
      </c>
      <c r="M9493" t="s">
        <v>31400</v>
      </c>
      <c r="N9493" t="s">
        <v>32524</v>
      </c>
      <c r="O9493" t="s">
        <v>32525</v>
      </c>
      <c r="P9493">
        <v>0</v>
      </c>
      <c r="Q9493">
        <v>3</v>
      </c>
      <c r="R9493" t="s">
        <v>32538</v>
      </c>
      <c r="S9493" t="s">
        <v>32872</v>
      </c>
      <c r="T9493" t="s">
        <v>33593</v>
      </c>
      <c r="U9493" t="s">
        <v>41420</v>
      </c>
      <c r="W9493" t="s">
        <v>31400</v>
      </c>
      <c r="X9493" t="s">
        <v>32539</v>
      </c>
    </row>
    <row r="9494" spans="1:24">
      <c r="A9494">
        <f>HYPERLINK("https://www.philgeps.gov.ph/GEPSNONPILOT/Tender/SplashBidNoticeAbstractUI.aspx?menuIndex=3&amp;refID=7025621&amp;Result=3","7025621")</f>
        <v>0</v>
      </c>
      <c r="B9494" t="s">
        <v>2538</v>
      </c>
      <c r="C9494" t="s">
        <v>11759</v>
      </c>
      <c r="D9494" t="s">
        <v>12988</v>
      </c>
      <c r="E9494" t="s">
        <v>13182</v>
      </c>
      <c r="F9494" t="s">
        <v>22436</v>
      </c>
      <c r="G9494" t="s">
        <v>22444</v>
      </c>
      <c r="H9494" t="s">
        <v>22452</v>
      </c>
      <c r="I9494" t="s">
        <v>22491</v>
      </c>
      <c r="J9494" t="s">
        <v>28611</v>
      </c>
      <c r="K9494" t="s">
        <v>29335</v>
      </c>
      <c r="M9494" t="s">
        <v>32348</v>
      </c>
      <c r="N9494" t="s">
        <v>32524</v>
      </c>
      <c r="O9494" t="s">
        <v>32525</v>
      </c>
      <c r="Q9494">
        <v>15</v>
      </c>
      <c r="R9494" t="s">
        <v>32538</v>
      </c>
      <c r="S9494" t="s">
        <v>32936</v>
      </c>
      <c r="T9494" t="s">
        <v>33249</v>
      </c>
      <c r="U9494" t="s">
        <v>41472</v>
      </c>
      <c r="W9494" t="s">
        <v>32348</v>
      </c>
      <c r="X9494" t="s">
        <v>32539</v>
      </c>
    </row>
    <row r="9495" spans="1:24">
      <c r="A9495">
        <f>HYPERLINK("https://www.philgeps.gov.ph/GEPSNONPILOT/Tender/SplashBidNoticeAbstractUI.aspx?menuIndex=3&amp;refID=7025616&amp;Result=3","7025616")</f>
        <v>0</v>
      </c>
      <c r="B9495" t="s">
        <v>40</v>
      </c>
      <c r="C9495" t="s">
        <v>11760</v>
      </c>
      <c r="D9495" t="s">
        <v>13001</v>
      </c>
      <c r="E9495" t="s">
        <v>21355</v>
      </c>
      <c r="F9495" t="s">
        <v>22436</v>
      </c>
      <c r="G9495" t="s">
        <v>22444</v>
      </c>
      <c r="H9495" t="s">
        <v>22454</v>
      </c>
      <c r="I9495" t="s">
        <v>7738</v>
      </c>
      <c r="J9495" t="s">
        <v>28612</v>
      </c>
      <c r="K9495" t="s">
        <v>29346</v>
      </c>
      <c r="M9495" t="s">
        <v>29611</v>
      </c>
      <c r="N9495" t="s">
        <v>32524</v>
      </c>
      <c r="O9495" t="s">
        <v>32525</v>
      </c>
      <c r="Q9495">
        <v>12</v>
      </c>
      <c r="R9495" t="s">
        <v>32538</v>
      </c>
      <c r="S9495" t="s">
        <v>32937</v>
      </c>
      <c r="T9495" t="s">
        <v>33181</v>
      </c>
      <c r="U9495" t="s">
        <v>40068</v>
      </c>
      <c r="V9495" t="s">
        <v>42423</v>
      </c>
      <c r="W9495" t="s">
        <v>29611</v>
      </c>
      <c r="X9495" t="s">
        <v>32539</v>
      </c>
    </row>
    <row r="9496" spans="1:24">
      <c r="A9496">
        <f>HYPERLINK("https://www.philgeps.gov.ph/GEPSNONPILOT/Tender/SplashBidNoticeAbstractUI.aspx?menuIndex=3&amp;refID=7025613&amp;Result=3","7025613")</f>
        <v>0</v>
      </c>
      <c r="B9496" t="s">
        <v>1381</v>
      </c>
      <c r="C9496" t="s">
        <v>11761</v>
      </c>
      <c r="D9496" t="s">
        <v>13035</v>
      </c>
      <c r="E9496" t="s">
        <v>21356</v>
      </c>
      <c r="F9496" t="s">
        <v>22436</v>
      </c>
      <c r="G9496" t="s">
        <v>22444</v>
      </c>
      <c r="H9496" t="s">
        <v>22452</v>
      </c>
      <c r="I9496" t="s">
        <v>22493</v>
      </c>
      <c r="J9496" t="s">
        <v>28613</v>
      </c>
      <c r="K9496" t="s">
        <v>29337</v>
      </c>
      <c r="M9496" t="s">
        <v>31039</v>
      </c>
      <c r="N9496" t="s">
        <v>32524</v>
      </c>
      <c r="O9496" t="s">
        <v>32525</v>
      </c>
      <c r="P9496">
        <v>0</v>
      </c>
      <c r="Q9496">
        <v>5</v>
      </c>
      <c r="R9496" t="s">
        <v>32538</v>
      </c>
      <c r="S9496" t="s">
        <v>32872</v>
      </c>
      <c r="T9496" t="s">
        <v>33171</v>
      </c>
      <c r="U9496" t="s">
        <v>41473</v>
      </c>
      <c r="V9496" t="s">
        <v>43488</v>
      </c>
      <c r="W9496" t="s">
        <v>31039</v>
      </c>
      <c r="X9496" t="s">
        <v>32539</v>
      </c>
    </row>
    <row r="9497" spans="1:24">
      <c r="A9497">
        <f>HYPERLINK("https://www.philgeps.gov.ph/GEPSNONPILOT/Tender/SplashBidNoticeAbstractUI.aspx?menuIndex=3&amp;refID=7025627&amp;Result=3","7025627")</f>
        <v>0</v>
      </c>
      <c r="B9497" t="s">
        <v>1021</v>
      </c>
      <c r="C9497" t="s">
        <v>11762</v>
      </c>
      <c r="D9497" t="s">
        <v>13020</v>
      </c>
      <c r="E9497" t="s">
        <v>21357</v>
      </c>
      <c r="F9497" t="s">
        <v>22436</v>
      </c>
      <c r="G9497" t="s">
        <v>22444</v>
      </c>
      <c r="H9497" t="s">
        <v>22452</v>
      </c>
      <c r="I9497" t="s">
        <v>22486</v>
      </c>
      <c r="J9497" t="s">
        <v>28614</v>
      </c>
      <c r="K9497" t="s">
        <v>29395</v>
      </c>
      <c r="M9497" t="s">
        <v>30649</v>
      </c>
      <c r="N9497" t="s">
        <v>32524</v>
      </c>
      <c r="O9497" t="s">
        <v>32525</v>
      </c>
      <c r="P9497">
        <v>0</v>
      </c>
      <c r="Q9497">
        <v>1</v>
      </c>
      <c r="R9497" t="s">
        <v>32538</v>
      </c>
      <c r="S9497" t="s">
        <v>32872</v>
      </c>
      <c r="T9497" t="s">
        <v>33181</v>
      </c>
      <c r="U9497" t="s">
        <v>41474</v>
      </c>
      <c r="W9497" t="s">
        <v>43703</v>
      </c>
      <c r="X9497" t="s">
        <v>32539</v>
      </c>
    </row>
    <row r="9498" spans="1:24">
      <c r="A9498">
        <f>HYPERLINK("https://www.philgeps.gov.ph/GEPSNONPILOT/Tender/SplashBidNoticeAbstractUI.aspx?menuIndex=3&amp;refID=7025714&amp;Result=3","7025714")</f>
        <v>0</v>
      </c>
      <c r="B9498" t="s">
        <v>2205</v>
      </c>
      <c r="C9498" t="s">
        <v>11763</v>
      </c>
      <c r="D9498" t="s">
        <v>13018</v>
      </c>
      <c r="E9498" t="s">
        <v>14881</v>
      </c>
      <c r="F9498" t="s">
        <v>22436</v>
      </c>
      <c r="G9498" t="s">
        <v>22444</v>
      </c>
      <c r="H9498" t="s">
        <v>22454</v>
      </c>
      <c r="I9498" t="s">
        <v>7738</v>
      </c>
      <c r="J9498" t="s">
        <v>22617</v>
      </c>
      <c r="K9498" t="s">
        <v>29333</v>
      </c>
      <c r="M9498" t="s">
        <v>31971</v>
      </c>
      <c r="N9498" t="s">
        <v>32524</v>
      </c>
      <c r="O9498" t="s">
        <v>32525</v>
      </c>
      <c r="P9498">
        <v>0</v>
      </c>
      <c r="Q9498">
        <v>0</v>
      </c>
      <c r="R9498" t="s">
        <v>32538</v>
      </c>
      <c r="S9498" t="s">
        <v>32872</v>
      </c>
      <c r="T9498" t="s">
        <v>33293</v>
      </c>
      <c r="U9498" t="s">
        <v>36907</v>
      </c>
      <c r="W9498" t="s">
        <v>31971</v>
      </c>
      <c r="X9498" t="s">
        <v>32539</v>
      </c>
    </row>
    <row r="9499" spans="1:24">
      <c r="A9499">
        <f>HYPERLINK("https://www.philgeps.gov.ph/GEPSNONPILOT/Tender/SplashBidNoticeAbstractUI.aspx?menuIndex=3&amp;refID=7025707&amp;Result=3","7025707")</f>
        <v>0</v>
      </c>
      <c r="B9499" t="s">
        <v>2539</v>
      </c>
      <c r="C9499" t="s">
        <v>11764</v>
      </c>
      <c r="D9499" t="s">
        <v>13025</v>
      </c>
      <c r="E9499" t="s">
        <v>21358</v>
      </c>
      <c r="F9499" t="s">
        <v>22436</v>
      </c>
      <c r="G9499" t="s">
        <v>22444</v>
      </c>
      <c r="H9499" t="s">
        <v>22452</v>
      </c>
      <c r="I9499" t="s">
        <v>22474</v>
      </c>
      <c r="J9499" t="s">
        <v>25164</v>
      </c>
      <c r="K9499" t="s">
        <v>29330</v>
      </c>
      <c r="M9499" t="s">
        <v>32349</v>
      </c>
      <c r="N9499" t="s">
        <v>32524</v>
      </c>
      <c r="O9499" t="s">
        <v>32525</v>
      </c>
      <c r="P9499">
        <v>0</v>
      </c>
      <c r="Q9499">
        <v>5</v>
      </c>
      <c r="R9499" t="s">
        <v>32538</v>
      </c>
      <c r="S9499" t="s">
        <v>32872</v>
      </c>
      <c r="T9499" t="s">
        <v>33181</v>
      </c>
      <c r="U9499" t="s">
        <v>41475</v>
      </c>
      <c r="W9499" t="s">
        <v>32349</v>
      </c>
      <c r="X9499" t="s">
        <v>32539</v>
      </c>
    </row>
    <row r="9500" spans="1:24">
      <c r="A9500">
        <f>HYPERLINK("https://www.philgeps.gov.ph/GEPSNONPILOT/Tender/SplashBidNoticeAbstractUI.aspx?menuIndex=3&amp;refID=7025717&amp;Result=3","7025717")</f>
        <v>0</v>
      </c>
      <c r="B9500" t="s">
        <v>1698</v>
      </c>
      <c r="C9500" t="s">
        <v>11765</v>
      </c>
      <c r="D9500" t="s">
        <v>12990</v>
      </c>
      <c r="E9500" t="s">
        <v>21359</v>
      </c>
      <c r="F9500" t="s">
        <v>22436</v>
      </c>
      <c r="G9500" t="s">
        <v>22444</v>
      </c>
      <c r="H9500" t="s">
        <v>22454</v>
      </c>
      <c r="I9500" t="s">
        <v>7738</v>
      </c>
      <c r="J9500" t="s">
        <v>24074</v>
      </c>
      <c r="K9500" t="s">
        <v>29334</v>
      </c>
      <c r="L9500" t="s">
        <v>1698</v>
      </c>
      <c r="M9500" t="s">
        <v>31400</v>
      </c>
      <c r="N9500" t="s">
        <v>32524</v>
      </c>
      <c r="O9500" t="s">
        <v>32525</v>
      </c>
      <c r="P9500">
        <v>0</v>
      </c>
      <c r="Q9500">
        <v>0</v>
      </c>
      <c r="R9500" t="s">
        <v>32538</v>
      </c>
      <c r="S9500" t="s">
        <v>32872</v>
      </c>
      <c r="T9500" t="s">
        <v>33593</v>
      </c>
      <c r="U9500" t="s">
        <v>41420</v>
      </c>
      <c r="W9500" t="s">
        <v>31400</v>
      </c>
      <c r="X9500" t="s">
        <v>32539</v>
      </c>
    </row>
    <row r="9501" spans="1:24">
      <c r="A9501">
        <f>HYPERLINK("https://www.philgeps.gov.ph/GEPSNONPILOT/Tender/SplashBidNoticeAbstractUI.aspx?menuIndex=3&amp;refID=7025694&amp;Result=3","7025694")</f>
        <v>0</v>
      </c>
      <c r="B9501" t="s">
        <v>483</v>
      </c>
      <c r="C9501" t="s">
        <v>11766</v>
      </c>
      <c r="D9501" t="s">
        <v>13065</v>
      </c>
      <c r="E9501" t="s">
        <v>21360</v>
      </c>
      <c r="F9501" t="s">
        <v>22436</v>
      </c>
      <c r="G9501" t="s">
        <v>22444</v>
      </c>
      <c r="H9501" t="s">
        <v>22452</v>
      </c>
      <c r="I9501" t="s">
        <v>22460</v>
      </c>
      <c r="J9501" t="s">
        <v>28615</v>
      </c>
      <c r="K9501" t="s">
        <v>29331</v>
      </c>
      <c r="M9501" t="s">
        <v>30067</v>
      </c>
      <c r="N9501" t="s">
        <v>32524</v>
      </c>
      <c r="O9501" t="s">
        <v>32525</v>
      </c>
      <c r="P9501">
        <v>0</v>
      </c>
      <c r="Q9501">
        <v>2</v>
      </c>
      <c r="R9501" t="s">
        <v>32538</v>
      </c>
      <c r="S9501" t="s">
        <v>32872</v>
      </c>
      <c r="T9501" t="s">
        <v>33466</v>
      </c>
      <c r="U9501" t="s">
        <v>41476</v>
      </c>
      <c r="W9501" t="s">
        <v>30067</v>
      </c>
      <c r="X9501" t="s">
        <v>32539</v>
      </c>
    </row>
    <row r="9502" spans="1:24">
      <c r="A9502">
        <f>HYPERLINK("https://www.philgeps.gov.ph/GEPSNONPILOT/Tender/SplashBidNoticeAbstractUI.aspx?menuIndex=3&amp;refID=7025688&amp;Result=3","7025688")</f>
        <v>0</v>
      </c>
      <c r="B9502" t="s">
        <v>2205</v>
      </c>
      <c r="C9502" t="s">
        <v>11767</v>
      </c>
      <c r="D9502" t="s">
        <v>13018</v>
      </c>
      <c r="E9502" t="s">
        <v>14863</v>
      </c>
      <c r="F9502" t="s">
        <v>22436</v>
      </c>
      <c r="G9502" t="s">
        <v>22444</v>
      </c>
      <c r="H9502" t="s">
        <v>22454</v>
      </c>
      <c r="I9502" t="s">
        <v>7738</v>
      </c>
      <c r="J9502" t="s">
        <v>22806</v>
      </c>
      <c r="K9502" t="s">
        <v>29334</v>
      </c>
      <c r="M9502" t="s">
        <v>31971</v>
      </c>
      <c r="N9502" t="s">
        <v>32524</v>
      </c>
      <c r="O9502" t="s">
        <v>32525</v>
      </c>
      <c r="P9502">
        <v>0</v>
      </c>
      <c r="Q9502">
        <v>0</v>
      </c>
      <c r="R9502" t="s">
        <v>32538</v>
      </c>
      <c r="S9502" t="s">
        <v>32872</v>
      </c>
      <c r="T9502" t="s">
        <v>33293</v>
      </c>
      <c r="U9502" t="s">
        <v>36907</v>
      </c>
      <c r="W9502" t="s">
        <v>31971</v>
      </c>
      <c r="X9502" t="s">
        <v>32539</v>
      </c>
    </row>
    <row r="9503" spans="1:24">
      <c r="A9503">
        <f>HYPERLINK("https://www.philgeps.gov.ph/GEPSNONPILOT/Tender/SplashBidNoticeAbstractUI.aspx?menuIndex=3&amp;refID=7025706&amp;Result=3","7025706")</f>
        <v>0</v>
      </c>
      <c r="B9503" t="s">
        <v>2478</v>
      </c>
      <c r="C9503" t="s">
        <v>11768</v>
      </c>
      <c r="D9503" t="s">
        <v>13014</v>
      </c>
      <c r="E9503" t="s">
        <v>21361</v>
      </c>
      <c r="F9503" t="s">
        <v>22436</v>
      </c>
      <c r="G9503" t="s">
        <v>22444</v>
      </c>
      <c r="H9503" t="s">
        <v>22452</v>
      </c>
      <c r="I9503" t="s">
        <v>6421</v>
      </c>
      <c r="J9503" t="s">
        <v>28616</v>
      </c>
      <c r="K9503" t="s">
        <v>29335</v>
      </c>
      <c r="M9503" t="s">
        <v>32282</v>
      </c>
      <c r="N9503" t="s">
        <v>32524</v>
      </c>
      <c r="O9503" t="s">
        <v>32525</v>
      </c>
      <c r="P9503">
        <v>0</v>
      </c>
      <c r="Q9503">
        <v>5</v>
      </c>
      <c r="R9503" t="s">
        <v>32538</v>
      </c>
      <c r="S9503" t="s">
        <v>32872</v>
      </c>
      <c r="T9503" t="s">
        <v>33236</v>
      </c>
      <c r="U9503" t="s">
        <v>41477</v>
      </c>
      <c r="W9503" t="s">
        <v>32282</v>
      </c>
      <c r="X9503" t="s">
        <v>32539</v>
      </c>
    </row>
    <row r="9504" spans="1:24">
      <c r="A9504">
        <f>HYPERLINK("https://www.philgeps.gov.ph/GEPSNONPILOT/Tender/SplashBidNoticeAbstractUI.aspx?menuIndex=3&amp;refID=7025704&amp;Result=3","7025704")</f>
        <v>0</v>
      </c>
      <c r="B9504" t="s">
        <v>87</v>
      </c>
      <c r="C9504" t="s">
        <v>11769</v>
      </c>
      <c r="E9504" t="s">
        <v>21362</v>
      </c>
      <c r="F9504" t="s">
        <v>22436</v>
      </c>
      <c r="G9504" t="s">
        <v>22444</v>
      </c>
      <c r="H9504" t="s">
        <v>22454</v>
      </c>
      <c r="I9504" t="s">
        <v>7738</v>
      </c>
      <c r="J9504" t="s">
        <v>28617</v>
      </c>
      <c r="K9504" t="s">
        <v>29338</v>
      </c>
      <c r="M9504" t="s">
        <v>29659</v>
      </c>
      <c r="N9504" t="s">
        <v>32524</v>
      </c>
      <c r="O9504" t="s">
        <v>32525</v>
      </c>
      <c r="Q9504">
        <v>2</v>
      </c>
      <c r="R9504" t="s">
        <v>32538</v>
      </c>
      <c r="S9504" t="s">
        <v>32938</v>
      </c>
      <c r="T9504" t="s">
        <v>33216</v>
      </c>
      <c r="U9504" t="s">
        <v>41478</v>
      </c>
      <c r="W9504" t="s">
        <v>29659</v>
      </c>
      <c r="X9504" t="s">
        <v>32539</v>
      </c>
    </row>
    <row r="9505" spans="1:24">
      <c r="A9505">
        <f>HYPERLINK("https://www.philgeps.gov.ph/GEPSNONPILOT/Tender/SplashBidNoticeAbstractUI.aspx?menuIndex=3&amp;refID=7025698&amp;Result=3","7025698")</f>
        <v>0</v>
      </c>
      <c r="B9505" t="s">
        <v>1698</v>
      </c>
      <c r="C9505" t="s">
        <v>11770</v>
      </c>
      <c r="D9505" t="s">
        <v>12990</v>
      </c>
      <c r="E9505" t="s">
        <v>21363</v>
      </c>
      <c r="F9505" t="s">
        <v>22436</v>
      </c>
      <c r="G9505" t="s">
        <v>22444</v>
      </c>
      <c r="H9505" t="s">
        <v>22454</v>
      </c>
      <c r="I9505" t="s">
        <v>7738</v>
      </c>
      <c r="J9505" t="s">
        <v>28618</v>
      </c>
      <c r="K9505" t="s">
        <v>29334</v>
      </c>
      <c r="L9505" t="s">
        <v>1698</v>
      </c>
      <c r="M9505" t="s">
        <v>31400</v>
      </c>
      <c r="N9505" t="s">
        <v>32524</v>
      </c>
      <c r="O9505" t="s">
        <v>32525</v>
      </c>
      <c r="P9505">
        <v>0</v>
      </c>
      <c r="Q9505">
        <v>1</v>
      </c>
      <c r="R9505" t="s">
        <v>32538</v>
      </c>
      <c r="S9505" t="s">
        <v>32872</v>
      </c>
      <c r="T9505" t="s">
        <v>33593</v>
      </c>
      <c r="U9505" t="s">
        <v>41420</v>
      </c>
      <c r="W9505" t="s">
        <v>31400</v>
      </c>
      <c r="X9505" t="s">
        <v>32539</v>
      </c>
    </row>
    <row r="9506" spans="1:24">
      <c r="A9506">
        <f>HYPERLINK("https://www.philgeps.gov.ph/GEPSNONPILOT/Tender/SplashBidNoticeAbstractUI.aspx?menuIndex=3&amp;refID=7025721&amp;Result=3","7025721")</f>
        <v>0</v>
      </c>
      <c r="B9506" t="s">
        <v>40</v>
      </c>
      <c r="C9506" t="s">
        <v>11771</v>
      </c>
      <c r="D9506" t="s">
        <v>13001</v>
      </c>
      <c r="E9506" t="s">
        <v>21364</v>
      </c>
      <c r="F9506" t="s">
        <v>22436</v>
      </c>
      <c r="G9506" t="s">
        <v>22444</v>
      </c>
      <c r="H9506" t="s">
        <v>22454</v>
      </c>
      <c r="I9506" t="s">
        <v>7738</v>
      </c>
      <c r="J9506" t="s">
        <v>24431</v>
      </c>
      <c r="K9506" t="s">
        <v>29333</v>
      </c>
      <c r="M9506" t="s">
        <v>29611</v>
      </c>
      <c r="N9506" t="s">
        <v>32524</v>
      </c>
      <c r="O9506" t="s">
        <v>32525</v>
      </c>
      <c r="P9506">
        <v>0</v>
      </c>
      <c r="Q9506">
        <v>25</v>
      </c>
      <c r="R9506" t="s">
        <v>32538</v>
      </c>
      <c r="S9506" t="s">
        <v>32872</v>
      </c>
      <c r="T9506" t="s">
        <v>33181</v>
      </c>
      <c r="U9506" t="s">
        <v>33644</v>
      </c>
      <c r="V9506" t="s">
        <v>42423</v>
      </c>
      <c r="W9506" t="s">
        <v>29611</v>
      </c>
      <c r="X9506" t="s">
        <v>32539</v>
      </c>
    </row>
    <row r="9507" spans="1:24">
      <c r="A9507">
        <f>HYPERLINK("https://www.philgeps.gov.ph/GEPSNONPILOT/Tender/SplashBidNoticeAbstractUI.aspx?menuIndex=3&amp;refID=7025725&amp;Result=3","7025725")</f>
        <v>0</v>
      </c>
      <c r="B9507" t="s">
        <v>2537</v>
      </c>
      <c r="C9507" t="s">
        <v>11772</v>
      </c>
      <c r="D9507" t="s">
        <v>13042</v>
      </c>
      <c r="E9507" t="s">
        <v>21365</v>
      </c>
      <c r="F9507" t="s">
        <v>22436</v>
      </c>
      <c r="G9507" t="s">
        <v>22444</v>
      </c>
      <c r="H9507" t="s">
        <v>22452</v>
      </c>
      <c r="I9507" t="s">
        <v>3529</v>
      </c>
      <c r="J9507" t="s">
        <v>28619</v>
      </c>
      <c r="K9507" t="s">
        <v>29386</v>
      </c>
      <c r="M9507" t="s">
        <v>32347</v>
      </c>
      <c r="N9507" t="s">
        <v>32524</v>
      </c>
      <c r="O9507" t="s">
        <v>32525</v>
      </c>
      <c r="P9507">
        <v>0</v>
      </c>
      <c r="Q9507">
        <v>0</v>
      </c>
      <c r="R9507" t="s">
        <v>32538</v>
      </c>
      <c r="S9507" t="s">
        <v>32872</v>
      </c>
      <c r="T9507" t="s">
        <v>33451</v>
      </c>
      <c r="U9507" t="s">
        <v>41479</v>
      </c>
      <c r="W9507" t="s">
        <v>43765</v>
      </c>
      <c r="X9507" t="s">
        <v>32539</v>
      </c>
    </row>
    <row r="9508" spans="1:24">
      <c r="A9508">
        <f>HYPERLINK("https://www.philgeps.gov.ph/GEPSNONPILOT/Tender/SplashBidNoticeAbstractUI.aspx?menuIndex=3&amp;refID=7025741&amp;Result=3","7025741")</f>
        <v>0</v>
      </c>
      <c r="B9508" t="s">
        <v>87</v>
      </c>
      <c r="C9508" t="s">
        <v>11773</v>
      </c>
      <c r="E9508" t="s">
        <v>21366</v>
      </c>
      <c r="F9508" t="s">
        <v>22436</v>
      </c>
      <c r="G9508" t="s">
        <v>22444</v>
      </c>
      <c r="H9508" t="s">
        <v>22454</v>
      </c>
      <c r="I9508" t="s">
        <v>7738</v>
      </c>
      <c r="J9508" t="s">
        <v>28620</v>
      </c>
      <c r="K9508" t="s">
        <v>29338</v>
      </c>
      <c r="M9508" t="s">
        <v>29659</v>
      </c>
      <c r="N9508" t="s">
        <v>32524</v>
      </c>
      <c r="O9508" t="s">
        <v>32525</v>
      </c>
      <c r="Q9508">
        <v>1</v>
      </c>
      <c r="R9508" t="s">
        <v>32538</v>
      </c>
      <c r="S9508" t="s">
        <v>32939</v>
      </c>
      <c r="T9508" t="s">
        <v>33359</v>
      </c>
      <c r="U9508" t="s">
        <v>41480</v>
      </c>
      <c r="W9508" t="s">
        <v>29659</v>
      </c>
      <c r="X9508" t="s">
        <v>32539</v>
      </c>
    </row>
    <row r="9509" spans="1:24">
      <c r="A9509">
        <f>HYPERLINK("https://www.philgeps.gov.ph/GEPSNONPILOT/Tender/SplashBidNoticeAbstractUI.aspx?menuIndex=3&amp;refID=7025742&amp;Result=3","7025742")</f>
        <v>0</v>
      </c>
      <c r="B9509" t="s">
        <v>1698</v>
      </c>
      <c r="C9509" t="s">
        <v>11774</v>
      </c>
      <c r="D9509" t="s">
        <v>12990</v>
      </c>
      <c r="E9509" t="s">
        <v>21367</v>
      </c>
      <c r="F9509" t="s">
        <v>22436</v>
      </c>
      <c r="G9509" t="s">
        <v>22444</v>
      </c>
      <c r="H9509" t="s">
        <v>22454</v>
      </c>
      <c r="I9509" t="s">
        <v>7738</v>
      </c>
      <c r="J9509" t="s">
        <v>25909</v>
      </c>
      <c r="K9509" t="s">
        <v>29504</v>
      </c>
      <c r="L9509" t="s">
        <v>1698</v>
      </c>
      <c r="M9509" t="s">
        <v>31400</v>
      </c>
      <c r="N9509" t="s">
        <v>32524</v>
      </c>
      <c r="O9509" t="s">
        <v>32525</v>
      </c>
      <c r="P9509">
        <v>0</v>
      </c>
      <c r="Q9509">
        <v>1</v>
      </c>
      <c r="R9509" t="s">
        <v>32538</v>
      </c>
      <c r="S9509" t="s">
        <v>32872</v>
      </c>
      <c r="T9509" t="s">
        <v>33593</v>
      </c>
      <c r="U9509" t="s">
        <v>41420</v>
      </c>
      <c r="W9509" t="s">
        <v>31400</v>
      </c>
      <c r="X9509" t="s">
        <v>32539</v>
      </c>
    </row>
    <row r="9510" spans="1:24">
      <c r="A9510">
        <f>HYPERLINK("https://www.philgeps.gov.ph/GEPSNONPILOT/Tender/SplashBidNoticeAbstractUI.aspx?menuIndex=3&amp;refID=7025695&amp;Result=3","7025695")</f>
        <v>0</v>
      </c>
      <c r="B9510" t="s">
        <v>2537</v>
      </c>
      <c r="C9510" t="s">
        <v>11775</v>
      </c>
      <c r="D9510" t="s">
        <v>13042</v>
      </c>
      <c r="E9510" t="s">
        <v>21368</v>
      </c>
      <c r="F9510" t="s">
        <v>22436</v>
      </c>
      <c r="G9510" t="s">
        <v>22444</v>
      </c>
      <c r="H9510" t="s">
        <v>22452</v>
      </c>
      <c r="I9510" t="s">
        <v>3529</v>
      </c>
      <c r="J9510" t="s">
        <v>28621</v>
      </c>
      <c r="K9510" t="s">
        <v>29410</v>
      </c>
      <c r="M9510" t="s">
        <v>32347</v>
      </c>
      <c r="N9510" t="s">
        <v>32524</v>
      </c>
      <c r="O9510" t="s">
        <v>32525</v>
      </c>
      <c r="P9510">
        <v>0</v>
      </c>
      <c r="Q9510">
        <v>0</v>
      </c>
      <c r="R9510" t="s">
        <v>32538</v>
      </c>
      <c r="S9510" t="s">
        <v>32872</v>
      </c>
      <c r="T9510" t="s">
        <v>33220</v>
      </c>
      <c r="U9510" t="s">
        <v>41481</v>
      </c>
      <c r="W9510" t="s">
        <v>43765</v>
      </c>
      <c r="X9510" t="s">
        <v>32539</v>
      </c>
    </row>
    <row r="9511" spans="1:24">
      <c r="A9511">
        <f>HYPERLINK("https://www.philgeps.gov.ph/GEPSNONPILOT/Tender/SplashBidNoticeAbstractUI.aspx?menuIndex=3&amp;refID=7025737&amp;Result=3","7025737")</f>
        <v>0</v>
      </c>
      <c r="B9511" t="s">
        <v>2205</v>
      </c>
      <c r="C9511" t="s">
        <v>11776</v>
      </c>
      <c r="D9511" t="s">
        <v>13018</v>
      </c>
      <c r="E9511" t="s">
        <v>14863</v>
      </c>
      <c r="F9511" t="s">
        <v>22436</v>
      </c>
      <c r="G9511" t="s">
        <v>22444</v>
      </c>
      <c r="H9511" t="s">
        <v>22454</v>
      </c>
      <c r="I9511" t="s">
        <v>7738</v>
      </c>
      <c r="J9511" t="s">
        <v>28622</v>
      </c>
      <c r="K9511" t="s">
        <v>29333</v>
      </c>
      <c r="M9511" t="s">
        <v>31971</v>
      </c>
      <c r="N9511" t="s">
        <v>32524</v>
      </c>
      <c r="O9511" t="s">
        <v>32525</v>
      </c>
      <c r="P9511">
        <v>0</v>
      </c>
      <c r="Q9511">
        <v>0</v>
      </c>
      <c r="R9511" t="s">
        <v>32538</v>
      </c>
      <c r="S9511" t="s">
        <v>32872</v>
      </c>
      <c r="T9511" t="s">
        <v>33293</v>
      </c>
      <c r="U9511" t="s">
        <v>36907</v>
      </c>
      <c r="W9511" t="s">
        <v>31971</v>
      </c>
      <c r="X9511" t="s">
        <v>32539</v>
      </c>
    </row>
    <row r="9512" spans="1:24">
      <c r="A9512">
        <f>HYPERLINK("https://www.philgeps.gov.ph/GEPSNONPILOT/Tender/SplashBidNoticeAbstractUI.aspx?menuIndex=3&amp;refID=7025757&amp;Result=3","7025757")</f>
        <v>0</v>
      </c>
      <c r="B9512" t="s">
        <v>2205</v>
      </c>
      <c r="C9512" t="s">
        <v>11777</v>
      </c>
      <c r="D9512" t="s">
        <v>13018</v>
      </c>
      <c r="E9512" t="s">
        <v>14881</v>
      </c>
      <c r="F9512" t="s">
        <v>22436</v>
      </c>
      <c r="G9512" t="s">
        <v>22444</v>
      </c>
      <c r="H9512" t="s">
        <v>22454</v>
      </c>
      <c r="I9512" t="s">
        <v>7738</v>
      </c>
      <c r="J9512" t="s">
        <v>23079</v>
      </c>
      <c r="K9512" t="s">
        <v>29333</v>
      </c>
      <c r="M9512" t="s">
        <v>31971</v>
      </c>
      <c r="N9512" t="s">
        <v>32524</v>
      </c>
      <c r="O9512" t="s">
        <v>32525</v>
      </c>
      <c r="P9512">
        <v>0</v>
      </c>
      <c r="Q9512">
        <v>0</v>
      </c>
      <c r="R9512" t="s">
        <v>32538</v>
      </c>
      <c r="S9512" t="s">
        <v>32872</v>
      </c>
      <c r="T9512" t="s">
        <v>33293</v>
      </c>
      <c r="U9512" t="s">
        <v>36907</v>
      </c>
      <c r="W9512" t="s">
        <v>31971</v>
      </c>
      <c r="X9512" t="s">
        <v>32539</v>
      </c>
    </row>
    <row r="9513" spans="1:24">
      <c r="A9513">
        <f>HYPERLINK("https://www.philgeps.gov.ph/GEPSNONPILOT/Tender/SplashBidNoticeAbstractUI.aspx?menuIndex=3&amp;refID=7025736&amp;Result=3","7025736")</f>
        <v>0</v>
      </c>
      <c r="B9513" t="s">
        <v>193</v>
      </c>
      <c r="C9513" t="s">
        <v>11778</v>
      </c>
      <c r="D9513" t="s">
        <v>13015</v>
      </c>
      <c r="E9513" t="s">
        <v>21369</v>
      </c>
      <c r="F9513" t="s">
        <v>22436</v>
      </c>
      <c r="G9513" t="s">
        <v>22444</v>
      </c>
      <c r="H9513" t="s">
        <v>22454</v>
      </c>
      <c r="I9513" t="s">
        <v>7738</v>
      </c>
      <c r="J9513" t="s">
        <v>24103</v>
      </c>
      <c r="K9513" t="s">
        <v>29445</v>
      </c>
      <c r="M9513" t="s">
        <v>29766</v>
      </c>
      <c r="N9513" t="s">
        <v>32524</v>
      </c>
      <c r="O9513" t="s">
        <v>32525</v>
      </c>
      <c r="P9513">
        <v>0</v>
      </c>
      <c r="Q9513">
        <v>1</v>
      </c>
      <c r="R9513" t="s">
        <v>32538</v>
      </c>
      <c r="S9513" t="s">
        <v>32872</v>
      </c>
      <c r="T9513" t="s">
        <v>33171</v>
      </c>
      <c r="U9513" t="s">
        <v>41482</v>
      </c>
      <c r="W9513" t="s">
        <v>29766</v>
      </c>
      <c r="X9513" t="s">
        <v>32539</v>
      </c>
    </row>
    <row r="9514" spans="1:24">
      <c r="A9514">
        <f>HYPERLINK("https://www.philgeps.gov.ph/GEPSNONPILOT/Tender/SplashBidNoticeAbstractUI.aspx?menuIndex=3&amp;refID=7025734&amp;Result=3","7025734")</f>
        <v>0</v>
      </c>
      <c r="B9514" t="s">
        <v>1381</v>
      </c>
      <c r="C9514" t="s">
        <v>11779</v>
      </c>
      <c r="D9514" t="s">
        <v>13035</v>
      </c>
      <c r="E9514" t="s">
        <v>21370</v>
      </c>
      <c r="F9514" t="s">
        <v>22436</v>
      </c>
      <c r="G9514" t="s">
        <v>22444</v>
      </c>
      <c r="H9514" t="s">
        <v>22454</v>
      </c>
      <c r="I9514" t="s">
        <v>7738</v>
      </c>
      <c r="J9514" t="s">
        <v>28623</v>
      </c>
      <c r="K9514" t="s">
        <v>29416</v>
      </c>
      <c r="M9514" t="s">
        <v>31460</v>
      </c>
      <c r="N9514" t="s">
        <v>32524</v>
      </c>
      <c r="O9514" t="s">
        <v>32525</v>
      </c>
      <c r="P9514">
        <v>0</v>
      </c>
      <c r="Q9514">
        <v>0</v>
      </c>
      <c r="R9514" t="s">
        <v>32538</v>
      </c>
      <c r="S9514" t="s">
        <v>32872</v>
      </c>
      <c r="T9514" t="s">
        <v>33222</v>
      </c>
      <c r="U9514" t="s">
        <v>41483</v>
      </c>
      <c r="V9514" t="s">
        <v>42994</v>
      </c>
      <c r="W9514" t="s">
        <v>31460</v>
      </c>
      <c r="X9514" t="s">
        <v>32539</v>
      </c>
    </row>
    <row r="9515" spans="1:24">
      <c r="A9515">
        <f>HYPERLINK("https://www.philgeps.gov.ph/GEPSNONPILOT/Tender/SplashBidNoticeAbstractUI.aspx?menuIndex=3&amp;refID=7025745&amp;Result=3","7025745")</f>
        <v>0</v>
      </c>
      <c r="B9515" t="s">
        <v>1748</v>
      </c>
      <c r="C9515" t="s">
        <v>11780</v>
      </c>
      <c r="D9515" t="s">
        <v>13053</v>
      </c>
      <c r="E9515" t="s">
        <v>21371</v>
      </c>
      <c r="F9515" t="s">
        <v>22436</v>
      </c>
      <c r="G9515" t="s">
        <v>22444</v>
      </c>
      <c r="H9515" t="s">
        <v>22452</v>
      </c>
      <c r="I9515" t="s">
        <v>3529</v>
      </c>
      <c r="J9515" t="s">
        <v>28624</v>
      </c>
      <c r="K9515" t="s">
        <v>29331</v>
      </c>
      <c r="M9515" t="s">
        <v>31453</v>
      </c>
      <c r="N9515" t="s">
        <v>32524</v>
      </c>
      <c r="O9515" t="s">
        <v>32525</v>
      </c>
      <c r="P9515">
        <v>0</v>
      </c>
      <c r="Q9515">
        <v>0</v>
      </c>
      <c r="R9515" t="s">
        <v>32538</v>
      </c>
      <c r="S9515" t="s">
        <v>32872</v>
      </c>
      <c r="T9515" t="s">
        <v>33167</v>
      </c>
      <c r="U9515" t="s">
        <v>35200</v>
      </c>
      <c r="V9515" t="s">
        <v>43489</v>
      </c>
      <c r="W9515" t="s">
        <v>31453</v>
      </c>
      <c r="X9515" t="s">
        <v>32539</v>
      </c>
    </row>
    <row r="9516" spans="1:24">
      <c r="A9516">
        <f>HYPERLINK("https://www.philgeps.gov.ph/GEPSNONPILOT/Tender/SplashBidNoticeAbstractUI.aspx?menuIndex=3&amp;refID=7025778&amp;Result=3","7025778")</f>
        <v>0</v>
      </c>
      <c r="B9516" t="s">
        <v>512</v>
      </c>
      <c r="C9516" t="s">
        <v>11781</v>
      </c>
      <c r="D9516" t="s">
        <v>12995</v>
      </c>
      <c r="E9516" t="s">
        <v>21372</v>
      </c>
      <c r="F9516" t="s">
        <v>22436</v>
      </c>
      <c r="G9516" t="s">
        <v>22444</v>
      </c>
      <c r="H9516" t="s">
        <v>22452</v>
      </c>
      <c r="I9516" t="s">
        <v>22506</v>
      </c>
      <c r="J9516" t="s">
        <v>28625</v>
      </c>
      <c r="K9516" t="s">
        <v>29336</v>
      </c>
      <c r="M9516" t="s">
        <v>30096</v>
      </c>
      <c r="N9516" t="s">
        <v>32524</v>
      </c>
      <c r="O9516" t="s">
        <v>32525</v>
      </c>
      <c r="P9516">
        <v>0</v>
      </c>
      <c r="Q9516">
        <v>3</v>
      </c>
      <c r="R9516" t="s">
        <v>32538</v>
      </c>
      <c r="S9516" t="s">
        <v>32872</v>
      </c>
      <c r="T9516" t="s">
        <v>33181</v>
      </c>
      <c r="U9516" t="s">
        <v>34661</v>
      </c>
      <c r="W9516" t="s">
        <v>30096</v>
      </c>
      <c r="X9516" t="s">
        <v>32539</v>
      </c>
    </row>
    <row r="9517" spans="1:24">
      <c r="A9517">
        <f>HYPERLINK("https://www.philgeps.gov.ph/GEPSNONPILOT/Tender/SplashBidNoticeAbstractUI.aspx?menuIndex=3&amp;refID=7025731&amp;Result=3","7025731")</f>
        <v>0</v>
      </c>
      <c r="B9517" t="s">
        <v>1698</v>
      </c>
      <c r="C9517" t="s">
        <v>11782</v>
      </c>
      <c r="D9517" t="s">
        <v>12990</v>
      </c>
      <c r="E9517" t="s">
        <v>21373</v>
      </c>
      <c r="F9517" t="s">
        <v>22436</v>
      </c>
      <c r="G9517" t="s">
        <v>22444</v>
      </c>
      <c r="H9517" t="s">
        <v>22454</v>
      </c>
      <c r="I9517" t="s">
        <v>7738</v>
      </c>
      <c r="J9517" t="s">
        <v>25909</v>
      </c>
      <c r="K9517" t="s">
        <v>29334</v>
      </c>
      <c r="L9517" t="s">
        <v>1698</v>
      </c>
      <c r="M9517" t="s">
        <v>31400</v>
      </c>
      <c r="N9517" t="s">
        <v>32524</v>
      </c>
      <c r="O9517" t="s">
        <v>32525</v>
      </c>
      <c r="P9517">
        <v>0</v>
      </c>
      <c r="Q9517">
        <v>0</v>
      </c>
      <c r="R9517" t="s">
        <v>32538</v>
      </c>
      <c r="S9517" t="s">
        <v>32872</v>
      </c>
      <c r="T9517" t="s">
        <v>33593</v>
      </c>
      <c r="U9517" t="s">
        <v>41420</v>
      </c>
      <c r="W9517" t="s">
        <v>31400</v>
      </c>
      <c r="X9517" t="s">
        <v>32539</v>
      </c>
    </row>
    <row r="9518" spans="1:24">
      <c r="A9518">
        <f>HYPERLINK("https://www.philgeps.gov.ph/GEPSNONPILOT/Tender/SplashBidNoticeAbstractUI.aspx?menuIndex=3&amp;refID=7025730&amp;Result=3","7025730")</f>
        <v>0</v>
      </c>
      <c r="B9518" t="s">
        <v>1748</v>
      </c>
      <c r="C9518" t="s">
        <v>11783</v>
      </c>
      <c r="D9518" t="s">
        <v>13053</v>
      </c>
      <c r="E9518" t="s">
        <v>21374</v>
      </c>
      <c r="F9518" t="s">
        <v>22436</v>
      </c>
      <c r="G9518" t="s">
        <v>22444</v>
      </c>
      <c r="H9518" t="s">
        <v>22452</v>
      </c>
      <c r="I9518" t="s">
        <v>22462</v>
      </c>
      <c r="J9518" t="s">
        <v>23544</v>
      </c>
      <c r="K9518" t="s">
        <v>29331</v>
      </c>
      <c r="M9518" t="s">
        <v>31453</v>
      </c>
      <c r="N9518" t="s">
        <v>32524</v>
      </c>
      <c r="O9518" t="s">
        <v>32525</v>
      </c>
      <c r="P9518">
        <v>0</v>
      </c>
      <c r="Q9518">
        <v>0</v>
      </c>
      <c r="R9518" t="s">
        <v>32538</v>
      </c>
      <c r="S9518" t="s">
        <v>32872</v>
      </c>
      <c r="T9518" t="s">
        <v>33167</v>
      </c>
      <c r="U9518" t="s">
        <v>41484</v>
      </c>
      <c r="V9518" t="s">
        <v>43489</v>
      </c>
      <c r="W9518" t="s">
        <v>31453</v>
      </c>
      <c r="X9518" t="s">
        <v>32539</v>
      </c>
    </row>
    <row r="9519" spans="1:24">
      <c r="A9519">
        <f>HYPERLINK("https://www.philgeps.gov.ph/GEPSNONPILOT/Tender/SplashBidNoticeAbstractUI.aspx?menuIndex=3&amp;refID=7025767&amp;Result=3","7025767")</f>
        <v>0</v>
      </c>
      <c r="B9519" t="s">
        <v>1586</v>
      </c>
      <c r="C9519" t="s">
        <v>11784</v>
      </c>
      <c r="E9519" t="s">
        <v>21375</v>
      </c>
      <c r="F9519" t="s">
        <v>22436</v>
      </c>
      <c r="G9519" t="s">
        <v>22444</v>
      </c>
      <c r="H9519" t="s">
        <v>22452</v>
      </c>
      <c r="I9519" t="s">
        <v>22483</v>
      </c>
      <c r="J9519" t="s">
        <v>28626</v>
      </c>
      <c r="K9519" t="s">
        <v>29338</v>
      </c>
      <c r="M9519" t="s">
        <v>32346</v>
      </c>
      <c r="N9519" t="s">
        <v>32524</v>
      </c>
      <c r="O9519" t="s">
        <v>32525</v>
      </c>
      <c r="P9519">
        <v>0</v>
      </c>
      <c r="Q9519">
        <v>3</v>
      </c>
      <c r="R9519" t="s">
        <v>32538</v>
      </c>
      <c r="S9519" t="s">
        <v>32872</v>
      </c>
      <c r="T9519" t="s">
        <v>33177</v>
      </c>
      <c r="U9519" t="s">
        <v>41485</v>
      </c>
      <c r="W9519" t="s">
        <v>32346</v>
      </c>
      <c r="X9519" t="s">
        <v>32539</v>
      </c>
    </row>
    <row r="9520" spans="1:24">
      <c r="A9520">
        <f>HYPERLINK("https://www.philgeps.gov.ph/GEPSNONPILOT/Tender/SplashBidNoticeAbstractUI.aspx?menuIndex=3&amp;refID=7025769&amp;Result=3","7025769")</f>
        <v>0</v>
      </c>
      <c r="B9520" t="s">
        <v>135</v>
      </c>
      <c r="C9520" t="s">
        <v>11785</v>
      </c>
      <c r="D9520" t="s">
        <v>12988</v>
      </c>
      <c r="E9520" t="s">
        <v>21376</v>
      </c>
      <c r="F9520" t="s">
        <v>22436</v>
      </c>
      <c r="G9520" t="s">
        <v>22444</v>
      </c>
      <c r="H9520" t="s">
        <v>22452</v>
      </c>
      <c r="I9520" t="s">
        <v>22476</v>
      </c>
      <c r="J9520" t="s">
        <v>28627</v>
      </c>
      <c r="K9520" t="s">
        <v>29408</v>
      </c>
      <c r="M9520" t="s">
        <v>32156</v>
      </c>
      <c r="N9520" t="s">
        <v>32524</v>
      </c>
      <c r="O9520" t="s">
        <v>32525</v>
      </c>
      <c r="Q9520">
        <v>12</v>
      </c>
      <c r="R9520" t="s">
        <v>32538</v>
      </c>
      <c r="S9520" t="s">
        <v>32940</v>
      </c>
      <c r="T9520" t="s">
        <v>33564</v>
      </c>
      <c r="U9520" t="s">
        <v>35860</v>
      </c>
      <c r="W9520" t="s">
        <v>32156</v>
      </c>
      <c r="X9520" t="s">
        <v>32539</v>
      </c>
    </row>
    <row r="9521" spans="1:24">
      <c r="A9521">
        <f>HYPERLINK("https://www.philgeps.gov.ph/GEPSNONPILOT/Tender/SplashBidNoticeAbstractUI.aspx?menuIndex=3&amp;refID=7025696&amp;Result=3","7025696")</f>
        <v>0</v>
      </c>
      <c r="B9521" t="s">
        <v>2540</v>
      </c>
      <c r="C9521" t="s">
        <v>11786</v>
      </c>
      <c r="D9521" t="s">
        <v>13013</v>
      </c>
      <c r="E9521" t="s">
        <v>14016</v>
      </c>
      <c r="F9521" t="s">
        <v>22437</v>
      </c>
      <c r="G9521" t="s">
        <v>22444</v>
      </c>
      <c r="H9521" t="s">
        <v>22452</v>
      </c>
      <c r="I9521" t="s">
        <v>3529</v>
      </c>
      <c r="J9521" t="s">
        <v>28628</v>
      </c>
      <c r="K9521" t="s">
        <v>29333</v>
      </c>
      <c r="M9521" t="s">
        <v>32350</v>
      </c>
      <c r="N9521" t="s">
        <v>32524</v>
      </c>
      <c r="O9521" t="s">
        <v>32525</v>
      </c>
      <c r="P9521">
        <v>0</v>
      </c>
      <c r="Q9521">
        <v>2</v>
      </c>
      <c r="R9521" t="s">
        <v>32538</v>
      </c>
      <c r="S9521" t="s">
        <v>32872</v>
      </c>
      <c r="T9521" t="s">
        <v>33213</v>
      </c>
      <c r="U9521" t="s">
        <v>41486</v>
      </c>
      <c r="W9521" t="s">
        <v>32350</v>
      </c>
      <c r="X9521" t="s">
        <v>32539</v>
      </c>
    </row>
    <row r="9522" spans="1:24">
      <c r="A9522">
        <f>HYPERLINK("https://www.philgeps.gov.ph/GEPSNONPILOT/Tender/SplashBidNoticeAbstractUI.aspx?menuIndex=3&amp;refID=7025766&amp;Result=3","7025766")</f>
        <v>0</v>
      </c>
      <c r="B9522" t="s">
        <v>1381</v>
      </c>
      <c r="C9522" t="s">
        <v>11787</v>
      </c>
      <c r="D9522" t="s">
        <v>13035</v>
      </c>
      <c r="E9522" t="s">
        <v>21377</v>
      </c>
      <c r="F9522" t="s">
        <v>22436</v>
      </c>
      <c r="G9522" t="s">
        <v>22444</v>
      </c>
      <c r="H9522" t="s">
        <v>22454</v>
      </c>
      <c r="I9522" t="s">
        <v>7738</v>
      </c>
      <c r="J9522" t="s">
        <v>28629</v>
      </c>
      <c r="K9522" t="s">
        <v>29517</v>
      </c>
      <c r="M9522" t="s">
        <v>31460</v>
      </c>
      <c r="N9522" t="s">
        <v>32524</v>
      </c>
      <c r="O9522" t="s">
        <v>32525</v>
      </c>
      <c r="P9522">
        <v>0</v>
      </c>
      <c r="Q9522">
        <v>0</v>
      </c>
      <c r="R9522" t="s">
        <v>32538</v>
      </c>
      <c r="S9522" t="s">
        <v>32872</v>
      </c>
      <c r="T9522" t="s">
        <v>33222</v>
      </c>
      <c r="U9522" t="s">
        <v>41487</v>
      </c>
      <c r="V9522" t="s">
        <v>42994</v>
      </c>
      <c r="W9522" t="s">
        <v>31460</v>
      </c>
      <c r="X9522" t="s">
        <v>32539</v>
      </c>
    </row>
    <row r="9523" spans="1:24">
      <c r="A9523">
        <f>HYPERLINK("https://www.philgeps.gov.ph/GEPSNONPILOT/Tender/SplashBidNoticeAbstractUI.aspx?menuIndex=3&amp;refID=7025770&amp;Result=3","7025770")</f>
        <v>0</v>
      </c>
      <c r="B9523" t="s">
        <v>1698</v>
      </c>
      <c r="C9523" t="s">
        <v>11788</v>
      </c>
      <c r="D9523" t="s">
        <v>12990</v>
      </c>
      <c r="E9523" t="s">
        <v>21378</v>
      </c>
      <c r="F9523" t="s">
        <v>22436</v>
      </c>
      <c r="G9523" t="s">
        <v>22444</v>
      </c>
      <c r="H9523" t="s">
        <v>22454</v>
      </c>
      <c r="I9523" t="s">
        <v>7738</v>
      </c>
      <c r="J9523" t="s">
        <v>24103</v>
      </c>
      <c r="K9523" t="s">
        <v>29347</v>
      </c>
      <c r="L9523" t="s">
        <v>1698</v>
      </c>
      <c r="M9523" t="s">
        <v>31400</v>
      </c>
      <c r="N9523" t="s">
        <v>32524</v>
      </c>
      <c r="O9523" t="s">
        <v>32525</v>
      </c>
      <c r="P9523">
        <v>0</v>
      </c>
      <c r="Q9523">
        <v>0</v>
      </c>
      <c r="R9523" t="s">
        <v>32538</v>
      </c>
      <c r="S9523" t="s">
        <v>32872</v>
      </c>
      <c r="T9523" t="s">
        <v>33593</v>
      </c>
      <c r="U9523" t="s">
        <v>41420</v>
      </c>
      <c r="W9523" t="s">
        <v>31400</v>
      </c>
      <c r="X9523" t="s">
        <v>32539</v>
      </c>
    </row>
    <row r="9524" spans="1:24">
      <c r="A9524">
        <f>HYPERLINK("https://www.philgeps.gov.ph/GEPSNONPILOT/Tender/SplashBidNoticeAbstractUI.aspx?menuIndex=3&amp;refID=7025728&amp;Result=3","7025728")</f>
        <v>0</v>
      </c>
      <c r="B9524" t="s">
        <v>87</v>
      </c>
      <c r="C9524" t="s">
        <v>11789</v>
      </c>
      <c r="E9524" t="s">
        <v>21379</v>
      </c>
      <c r="F9524" t="s">
        <v>22436</v>
      </c>
      <c r="G9524" t="s">
        <v>22444</v>
      </c>
      <c r="H9524" t="s">
        <v>22454</v>
      </c>
      <c r="I9524" t="s">
        <v>7738</v>
      </c>
      <c r="J9524" t="s">
        <v>28630</v>
      </c>
      <c r="K9524" t="s">
        <v>29338</v>
      </c>
      <c r="M9524" t="s">
        <v>29659</v>
      </c>
      <c r="N9524" t="s">
        <v>32524</v>
      </c>
      <c r="O9524" t="s">
        <v>32525</v>
      </c>
      <c r="Q9524">
        <v>3</v>
      </c>
      <c r="R9524" t="s">
        <v>32538</v>
      </c>
      <c r="S9524" t="s">
        <v>32941</v>
      </c>
      <c r="T9524" t="s">
        <v>33187</v>
      </c>
      <c r="U9524" t="s">
        <v>41488</v>
      </c>
      <c r="W9524" t="s">
        <v>29659</v>
      </c>
      <c r="X9524" t="s">
        <v>32539</v>
      </c>
    </row>
    <row r="9525" spans="1:24">
      <c r="A9525">
        <f>HYPERLINK("https://www.philgeps.gov.ph/GEPSNONPILOT/Tender/SplashBidNoticeAbstractUI.aspx?menuIndex=3&amp;refID=7025800&amp;Result=3","7025800")</f>
        <v>0</v>
      </c>
      <c r="B9525" t="s">
        <v>2541</v>
      </c>
      <c r="C9525" t="s">
        <v>11790</v>
      </c>
      <c r="D9525" t="s">
        <v>13068</v>
      </c>
      <c r="E9525" t="s">
        <v>21380</v>
      </c>
      <c r="F9525" t="s">
        <v>22436</v>
      </c>
      <c r="G9525" t="s">
        <v>22443</v>
      </c>
      <c r="H9525" t="s">
        <v>22452</v>
      </c>
      <c r="I9525" t="s">
        <v>3827</v>
      </c>
      <c r="J9525" t="s">
        <v>22657</v>
      </c>
      <c r="K9525" t="s">
        <v>29335</v>
      </c>
      <c r="M9525" t="s">
        <v>32351</v>
      </c>
      <c r="N9525" t="s">
        <v>32524</v>
      </c>
      <c r="O9525" t="s">
        <v>32525</v>
      </c>
      <c r="P9525">
        <v>0</v>
      </c>
      <c r="Q9525">
        <v>1</v>
      </c>
      <c r="R9525" t="s">
        <v>32538</v>
      </c>
      <c r="S9525" t="s">
        <v>32872</v>
      </c>
      <c r="T9525" t="s">
        <v>33238</v>
      </c>
      <c r="U9525" t="s">
        <v>41489</v>
      </c>
      <c r="V9525" t="s">
        <v>43490</v>
      </c>
      <c r="W9525" t="s">
        <v>32351</v>
      </c>
      <c r="X9525" t="s">
        <v>32539</v>
      </c>
    </row>
    <row r="9526" spans="1:24">
      <c r="A9526">
        <f>HYPERLINK("https://www.philgeps.gov.ph/GEPSNONPILOT/Tender/SplashBidNoticeAbstractUI.aspx?menuIndex=3&amp;refID=7025798&amp;Result=3","7025798")</f>
        <v>0</v>
      </c>
      <c r="B9526" t="s">
        <v>1021</v>
      </c>
      <c r="C9526" t="s">
        <v>11791</v>
      </c>
      <c r="D9526" t="s">
        <v>13020</v>
      </c>
      <c r="E9526" t="s">
        <v>21381</v>
      </c>
      <c r="F9526" t="s">
        <v>22436</v>
      </c>
      <c r="G9526" t="s">
        <v>22444</v>
      </c>
      <c r="H9526" t="s">
        <v>22452</v>
      </c>
      <c r="I9526" t="s">
        <v>22486</v>
      </c>
      <c r="J9526" t="s">
        <v>28631</v>
      </c>
      <c r="K9526" t="s">
        <v>29395</v>
      </c>
      <c r="M9526" t="s">
        <v>30649</v>
      </c>
      <c r="N9526" t="s">
        <v>32524</v>
      </c>
      <c r="O9526" t="s">
        <v>32525</v>
      </c>
      <c r="P9526">
        <v>0</v>
      </c>
      <c r="Q9526">
        <v>1</v>
      </c>
      <c r="R9526" t="s">
        <v>32538</v>
      </c>
      <c r="S9526" t="s">
        <v>32872</v>
      </c>
      <c r="T9526" t="s">
        <v>33181</v>
      </c>
      <c r="U9526" t="s">
        <v>41490</v>
      </c>
      <c r="W9526" t="s">
        <v>43703</v>
      </c>
      <c r="X9526" t="s">
        <v>32539</v>
      </c>
    </row>
    <row r="9527" spans="1:24">
      <c r="A9527">
        <f>HYPERLINK("https://www.philgeps.gov.ph/GEPSNONPILOT/Tender/SplashBidNoticeAbstractUI.aspx?menuIndex=3&amp;refID=7025775&amp;Result=3","7025775")</f>
        <v>0</v>
      </c>
      <c r="B9527" t="s">
        <v>1748</v>
      </c>
      <c r="C9527" t="s">
        <v>11792</v>
      </c>
      <c r="D9527" t="s">
        <v>13053</v>
      </c>
      <c r="E9527" t="s">
        <v>21382</v>
      </c>
      <c r="F9527" t="s">
        <v>22436</v>
      </c>
      <c r="G9527" t="s">
        <v>22444</v>
      </c>
      <c r="H9527" t="s">
        <v>22452</v>
      </c>
      <c r="I9527" t="s">
        <v>3529</v>
      </c>
      <c r="J9527" t="s">
        <v>28632</v>
      </c>
      <c r="K9527" t="s">
        <v>29331</v>
      </c>
      <c r="M9527" t="s">
        <v>31453</v>
      </c>
      <c r="N9527" t="s">
        <v>32524</v>
      </c>
      <c r="O9527" t="s">
        <v>32525</v>
      </c>
      <c r="P9527">
        <v>0</v>
      </c>
      <c r="Q9527">
        <v>0</v>
      </c>
      <c r="R9527" t="s">
        <v>32538</v>
      </c>
      <c r="S9527" t="s">
        <v>32872</v>
      </c>
      <c r="T9527" t="s">
        <v>33167</v>
      </c>
      <c r="U9527" t="s">
        <v>35200</v>
      </c>
      <c r="V9527" t="s">
        <v>43489</v>
      </c>
      <c r="W9527" t="s">
        <v>31453</v>
      </c>
      <c r="X9527" t="s">
        <v>32539</v>
      </c>
    </row>
    <row r="9528" spans="1:24">
      <c r="A9528">
        <f>HYPERLINK("https://www.philgeps.gov.ph/GEPSNONPILOT/Tender/SplashBidNoticeAbstractUI.aspx?menuIndex=3&amp;refID=7025796&amp;Result=3","7025796")</f>
        <v>0</v>
      </c>
      <c r="B9528" t="s">
        <v>246</v>
      </c>
      <c r="C9528" t="s">
        <v>11793</v>
      </c>
      <c r="D9528" t="s">
        <v>13006</v>
      </c>
      <c r="E9528" t="s">
        <v>21383</v>
      </c>
      <c r="F9528" t="s">
        <v>22436</v>
      </c>
      <c r="G9528" t="s">
        <v>22443</v>
      </c>
      <c r="H9528" t="s">
        <v>22452</v>
      </c>
      <c r="I9528" t="s">
        <v>12358</v>
      </c>
      <c r="J9528" t="s">
        <v>28633</v>
      </c>
      <c r="K9528" t="s">
        <v>29341</v>
      </c>
      <c r="M9528" t="s">
        <v>29820</v>
      </c>
      <c r="N9528" t="s">
        <v>32524</v>
      </c>
      <c r="O9528" t="s">
        <v>32525</v>
      </c>
      <c r="Q9528">
        <v>1</v>
      </c>
      <c r="R9528" t="s">
        <v>32538</v>
      </c>
      <c r="S9528" t="s">
        <v>32942</v>
      </c>
      <c r="T9528" t="s">
        <v>33194</v>
      </c>
      <c r="U9528" t="s">
        <v>41491</v>
      </c>
      <c r="W9528" t="s">
        <v>29820</v>
      </c>
      <c r="X9528" t="s">
        <v>32539</v>
      </c>
    </row>
    <row r="9529" spans="1:24">
      <c r="A9529">
        <f>HYPERLINK("https://www.philgeps.gov.ph/GEPSNONPILOT/Tender/SplashBidNoticeAbstractUI.aspx?menuIndex=3&amp;refID=7025813&amp;Result=3","7025813")</f>
        <v>0</v>
      </c>
      <c r="B9529" t="s">
        <v>1698</v>
      </c>
      <c r="C9529" t="s">
        <v>11794</v>
      </c>
      <c r="D9529" t="s">
        <v>12990</v>
      </c>
      <c r="E9529" t="s">
        <v>21384</v>
      </c>
      <c r="F9529" t="s">
        <v>22436</v>
      </c>
      <c r="G9529" t="s">
        <v>22444</v>
      </c>
      <c r="H9529" t="s">
        <v>22454</v>
      </c>
      <c r="I9529" t="s">
        <v>7738</v>
      </c>
      <c r="J9529" t="s">
        <v>23384</v>
      </c>
      <c r="K9529" t="s">
        <v>29333</v>
      </c>
      <c r="L9529" t="s">
        <v>1698</v>
      </c>
      <c r="M9529" t="s">
        <v>31400</v>
      </c>
      <c r="N9529" t="s">
        <v>32524</v>
      </c>
      <c r="O9529" t="s">
        <v>32525</v>
      </c>
      <c r="P9529">
        <v>0</v>
      </c>
      <c r="Q9529">
        <v>0</v>
      </c>
      <c r="R9529" t="s">
        <v>32538</v>
      </c>
      <c r="S9529" t="s">
        <v>32872</v>
      </c>
      <c r="T9529" t="s">
        <v>33593</v>
      </c>
      <c r="U9529" t="s">
        <v>41420</v>
      </c>
      <c r="W9529" t="s">
        <v>31400</v>
      </c>
      <c r="X9529" t="s">
        <v>32539</v>
      </c>
    </row>
    <row r="9530" spans="1:24">
      <c r="A9530">
        <f>HYPERLINK("https://www.philgeps.gov.ph/GEPSNONPILOT/Tender/SplashBidNoticeAbstractUI.aspx?menuIndex=3&amp;refID=7025806&amp;Result=3","7025806")</f>
        <v>0</v>
      </c>
      <c r="B9530" t="s">
        <v>1366</v>
      </c>
      <c r="C9530" t="s">
        <v>11795</v>
      </c>
      <c r="D9530" t="s">
        <v>13039</v>
      </c>
      <c r="E9530" t="s">
        <v>21385</v>
      </c>
      <c r="F9530" t="s">
        <v>22436</v>
      </c>
      <c r="G9530" t="s">
        <v>22444</v>
      </c>
      <c r="H9530" t="s">
        <v>22452</v>
      </c>
      <c r="I9530" t="s">
        <v>22502</v>
      </c>
      <c r="J9530" t="s">
        <v>28634</v>
      </c>
      <c r="K9530" t="s">
        <v>29333</v>
      </c>
      <c r="M9530" t="s">
        <v>31022</v>
      </c>
      <c r="N9530" t="s">
        <v>32524</v>
      </c>
      <c r="O9530" t="s">
        <v>32525</v>
      </c>
      <c r="P9530">
        <v>0</v>
      </c>
      <c r="Q9530">
        <v>7</v>
      </c>
      <c r="R9530" t="s">
        <v>32538</v>
      </c>
      <c r="S9530" t="s">
        <v>32872</v>
      </c>
      <c r="T9530" t="s">
        <v>33466</v>
      </c>
      <c r="U9530" t="s">
        <v>41492</v>
      </c>
      <c r="V9530" t="s">
        <v>43491</v>
      </c>
      <c r="W9530" t="s">
        <v>31022</v>
      </c>
      <c r="X9530" t="s">
        <v>32539</v>
      </c>
    </row>
    <row r="9531" spans="1:24">
      <c r="A9531">
        <f>HYPERLINK("https://www.philgeps.gov.ph/GEPSNONPILOT/Tender/SplashBidNoticeAbstractUI.aspx?menuIndex=3&amp;refID=7025819&amp;Result=3","7025819")</f>
        <v>0</v>
      </c>
      <c r="B9531" t="s">
        <v>1730</v>
      </c>
      <c r="C9531" t="s">
        <v>11796</v>
      </c>
      <c r="D9531" t="s">
        <v>13022</v>
      </c>
      <c r="E9531" t="s">
        <v>21333</v>
      </c>
      <c r="F9531" t="s">
        <v>22436</v>
      </c>
      <c r="G9531" t="s">
        <v>22444</v>
      </c>
      <c r="H9531" t="s">
        <v>22454</v>
      </c>
      <c r="I9531" t="s">
        <v>7738</v>
      </c>
      <c r="J9531" t="s">
        <v>28635</v>
      </c>
      <c r="K9531" t="s">
        <v>29474</v>
      </c>
      <c r="M9531" t="s">
        <v>31435</v>
      </c>
      <c r="N9531" t="s">
        <v>32524</v>
      </c>
      <c r="O9531" t="s">
        <v>32525</v>
      </c>
      <c r="P9531">
        <v>0</v>
      </c>
      <c r="Q9531">
        <v>5</v>
      </c>
      <c r="R9531" t="s">
        <v>32538</v>
      </c>
      <c r="S9531" t="s">
        <v>32872</v>
      </c>
      <c r="T9531" t="s">
        <v>33168</v>
      </c>
      <c r="U9531" t="s">
        <v>41493</v>
      </c>
      <c r="V9531" t="s">
        <v>43484</v>
      </c>
      <c r="W9531" t="s">
        <v>31435</v>
      </c>
      <c r="X9531" t="s">
        <v>32539</v>
      </c>
    </row>
    <row r="9532" spans="1:24">
      <c r="A9532">
        <f>HYPERLINK("https://www.philgeps.gov.ph/GEPSNONPILOT/Tender/SplashBidNoticeAbstractUI.aspx?menuIndex=3&amp;refID=7025758&amp;Result=3","7025758")</f>
        <v>0</v>
      </c>
      <c r="B9532" t="s">
        <v>1698</v>
      </c>
      <c r="C9532" t="s">
        <v>11797</v>
      </c>
      <c r="D9532" t="s">
        <v>12990</v>
      </c>
      <c r="E9532" t="s">
        <v>21386</v>
      </c>
      <c r="F9532" t="s">
        <v>22436</v>
      </c>
      <c r="G9532" t="s">
        <v>22444</v>
      </c>
      <c r="H9532" t="s">
        <v>22454</v>
      </c>
      <c r="I9532" t="s">
        <v>7738</v>
      </c>
      <c r="J9532" t="s">
        <v>24431</v>
      </c>
      <c r="K9532" t="s">
        <v>29335</v>
      </c>
      <c r="L9532" t="s">
        <v>1698</v>
      </c>
      <c r="M9532" t="s">
        <v>31400</v>
      </c>
      <c r="N9532" t="s">
        <v>32524</v>
      </c>
      <c r="O9532" t="s">
        <v>32525</v>
      </c>
      <c r="P9532">
        <v>0</v>
      </c>
      <c r="Q9532">
        <v>1</v>
      </c>
      <c r="R9532" t="s">
        <v>32538</v>
      </c>
      <c r="S9532" t="s">
        <v>32872</v>
      </c>
      <c r="T9532" t="s">
        <v>33593</v>
      </c>
      <c r="U9532" t="s">
        <v>41420</v>
      </c>
      <c r="W9532" t="s">
        <v>31400</v>
      </c>
      <c r="X9532" t="s">
        <v>32539</v>
      </c>
    </row>
    <row r="9533" spans="1:24">
      <c r="A9533">
        <f>HYPERLINK("https://www.philgeps.gov.ph/GEPSNONPILOT/Tender/SplashBidNoticeAbstractUI.aspx?menuIndex=3&amp;refID=7025762&amp;Result=3","7025762")</f>
        <v>0</v>
      </c>
      <c r="B9533" t="s">
        <v>1748</v>
      </c>
      <c r="C9533" t="s">
        <v>11798</v>
      </c>
      <c r="D9533" t="s">
        <v>13053</v>
      </c>
      <c r="E9533" t="s">
        <v>21387</v>
      </c>
      <c r="F9533" t="s">
        <v>22436</v>
      </c>
      <c r="G9533" t="s">
        <v>22444</v>
      </c>
      <c r="H9533" t="s">
        <v>22452</v>
      </c>
      <c r="I9533" t="s">
        <v>3529</v>
      </c>
      <c r="J9533" t="s">
        <v>28636</v>
      </c>
      <c r="K9533" t="s">
        <v>29331</v>
      </c>
      <c r="M9533" t="s">
        <v>31453</v>
      </c>
      <c r="N9533" t="s">
        <v>32524</v>
      </c>
      <c r="O9533" t="s">
        <v>32525</v>
      </c>
      <c r="P9533">
        <v>0</v>
      </c>
      <c r="Q9533">
        <v>0</v>
      </c>
      <c r="R9533" t="s">
        <v>32538</v>
      </c>
      <c r="S9533" t="s">
        <v>32872</v>
      </c>
      <c r="T9533" t="s">
        <v>33167</v>
      </c>
      <c r="U9533" t="s">
        <v>35200</v>
      </c>
      <c r="V9533" t="s">
        <v>43489</v>
      </c>
      <c r="W9533" t="s">
        <v>31453</v>
      </c>
      <c r="X9533" t="s">
        <v>32539</v>
      </c>
    </row>
    <row r="9534" spans="1:24">
      <c r="A9534">
        <f>HYPERLINK("https://www.philgeps.gov.ph/GEPSNONPILOT/Tender/SplashBidNoticeAbstractUI.aspx?menuIndex=3&amp;refID=7025779&amp;Result=3","7025779")</f>
        <v>0</v>
      </c>
      <c r="B9534" t="s">
        <v>1381</v>
      </c>
      <c r="C9534" t="s">
        <v>11799</v>
      </c>
      <c r="D9534" t="s">
        <v>13035</v>
      </c>
      <c r="E9534" t="s">
        <v>21388</v>
      </c>
      <c r="F9534" t="s">
        <v>22436</v>
      </c>
      <c r="G9534" t="s">
        <v>22444</v>
      </c>
      <c r="H9534" t="s">
        <v>22452</v>
      </c>
      <c r="I9534" t="s">
        <v>22467</v>
      </c>
      <c r="J9534" t="s">
        <v>28637</v>
      </c>
      <c r="K9534" t="s">
        <v>29337</v>
      </c>
      <c r="M9534" t="s">
        <v>31039</v>
      </c>
      <c r="N9534" t="s">
        <v>32524</v>
      </c>
      <c r="O9534" t="s">
        <v>32525</v>
      </c>
      <c r="Q9534">
        <v>0</v>
      </c>
      <c r="R9534" t="s">
        <v>32538</v>
      </c>
      <c r="S9534" t="s">
        <v>32943</v>
      </c>
      <c r="T9534" t="s">
        <v>33171</v>
      </c>
      <c r="U9534" t="s">
        <v>41494</v>
      </c>
      <c r="V9534" t="s">
        <v>43492</v>
      </c>
      <c r="W9534" t="s">
        <v>31039</v>
      </c>
      <c r="X9534" t="s">
        <v>32539</v>
      </c>
    </row>
    <row r="9535" spans="1:24">
      <c r="A9535">
        <f>HYPERLINK("https://www.philgeps.gov.ph/GEPSNONPILOT/Tender/SplashBidNoticeAbstractUI.aspx?menuIndex=3&amp;refID=7025772&amp;Result=3","7025772")</f>
        <v>0</v>
      </c>
      <c r="B9535" t="s">
        <v>2205</v>
      </c>
      <c r="C9535" t="s">
        <v>11800</v>
      </c>
      <c r="D9535" t="s">
        <v>13018</v>
      </c>
      <c r="E9535" t="s">
        <v>19637</v>
      </c>
      <c r="F9535" t="s">
        <v>22436</v>
      </c>
      <c r="G9535" t="s">
        <v>22444</v>
      </c>
      <c r="H9535" t="s">
        <v>22454</v>
      </c>
      <c r="I9535" t="s">
        <v>7738</v>
      </c>
      <c r="J9535" t="s">
        <v>22865</v>
      </c>
      <c r="K9535" t="s">
        <v>29333</v>
      </c>
      <c r="M9535" t="s">
        <v>31971</v>
      </c>
      <c r="N9535" t="s">
        <v>32524</v>
      </c>
      <c r="O9535" t="s">
        <v>32525</v>
      </c>
      <c r="P9535">
        <v>0</v>
      </c>
      <c r="Q9535">
        <v>0</v>
      </c>
      <c r="R9535" t="s">
        <v>32538</v>
      </c>
      <c r="S9535" t="s">
        <v>32872</v>
      </c>
      <c r="T9535" t="s">
        <v>33293</v>
      </c>
      <c r="U9535" t="s">
        <v>36907</v>
      </c>
      <c r="W9535" t="s">
        <v>31971</v>
      </c>
      <c r="X9535" t="s">
        <v>32539</v>
      </c>
    </row>
    <row r="9536" spans="1:24">
      <c r="A9536">
        <f>HYPERLINK("https://www.philgeps.gov.ph/GEPSNONPILOT/Tender/SplashBidNoticeAbstractUI.aspx?menuIndex=3&amp;refID=7025797&amp;Result=3","7025797")</f>
        <v>0</v>
      </c>
      <c r="B9536" t="s">
        <v>1698</v>
      </c>
      <c r="C9536" t="s">
        <v>11801</v>
      </c>
      <c r="D9536" t="s">
        <v>12990</v>
      </c>
      <c r="E9536" t="s">
        <v>21389</v>
      </c>
      <c r="F9536" t="s">
        <v>22436</v>
      </c>
      <c r="G9536" t="s">
        <v>22444</v>
      </c>
      <c r="H9536" t="s">
        <v>22454</v>
      </c>
      <c r="I9536" t="s">
        <v>7738</v>
      </c>
      <c r="J9536" t="s">
        <v>24103</v>
      </c>
      <c r="K9536" t="s">
        <v>29329</v>
      </c>
      <c r="L9536" t="s">
        <v>1698</v>
      </c>
      <c r="M9536" t="s">
        <v>31400</v>
      </c>
      <c r="N9536" t="s">
        <v>32524</v>
      </c>
      <c r="O9536" t="s">
        <v>32525</v>
      </c>
      <c r="P9536">
        <v>0</v>
      </c>
      <c r="Q9536">
        <v>0</v>
      </c>
      <c r="R9536" t="s">
        <v>32538</v>
      </c>
      <c r="S9536" t="s">
        <v>32872</v>
      </c>
      <c r="T9536" t="s">
        <v>33593</v>
      </c>
      <c r="U9536" t="s">
        <v>41420</v>
      </c>
      <c r="W9536" t="s">
        <v>31400</v>
      </c>
      <c r="X9536" t="s">
        <v>32539</v>
      </c>
    </row>
    <row r="9537" spans="1:24">
      <c r="A9537">
        <f>HYPERLINK("https://www.philgeps.gov.ph/GEPSNONPILOT/Tender/SplashBidNoticeAbstractUI.aspx?menuIndex=3&amp;refID=7025785&amp;Result=3","7025785")</f>
        <v>0</v>
      </c>
      <c r="B9537" t="s">
        <v>1698</v>
      </c>
      <c r="C9537" t="s">
        <v>11802</v>
      </c>
      <c r="D9537" t="s">
        <v>12990</v>
      </c>
      <c r="E9537" t="s">
        <v>21390</v>
      </c>
      <c r="F9537" t="s">
        <v>22436</v>
      </c>
      <c r="G9537" t="s">
        <v>22444</v>
      </c>
      <c r="H9537" t="s">
        <v>22454</v>
      </c>
      <c r="I9537" t="s">
        <v>7738</v>
      </c>
      <c r="J9537" t="s">
        <v>24103</v>
      </c>
      <c r="K9537" t="s">
        <v>29329</v>
      </c>
      <c r="L9537" t="s">
        <v>1698</v>
      </c>
      <c r="M9537" t="s">
        <v>31400</v>
      </c>
      <c r="N9537" t="s">
        <v>32524</v>
      </c>
      <c r="O9537" t="s">
        <v>32525</v>
      </c>
      <c r="P9537">
        <v>0</v>
      </c>
      <c r="Q9537">
        <v>0</v>
      </c>
      <c r="R9537" t="s">
        <v>32538</v>
      </c>
      <c r="S9537" t="s">
        <v>32872</v>
      </c>
      <c r="T9537" t="s">
        <v>33593</v>
      </c>
      <c r="U9537" t="s">
        <v>41420</v>
      </c>
      <c r="W9537" t="s">
        <v>31400</v>
      </c>
      <c r="X9537" t="s">
        <v>32539</v>
      </c>
    </row>
    <row r="9538" spans="1:24">
      <c r="A9538">
        <f>HYPERLINK("https://www.philgeps.gov.ph/GEPSNONPILOT/Tender/SplashBidNoticeAbstractUI.aspx?menuIndex=3&amp;refID=7025802&amp;Result=3","7025802")</f>
        <v>0</v>
      </c>
      <c r="B9538" t="s">
        <v>127</v>
      </c>
      <c r="C9538" t="s">
        <v>11803</v>
      </c>
      <c r="D9538" t="s">
        <v>13037</v>
      </c>
      <c r="E9538" t="s">
        <v>21391</v>
      </c>
      <c r="F9538" t="s">
        <v>22436</v>
      </c>
      <c r="G9538" t="s">
        <v>22444</v>
      </c>
      <c r="H9538" t="s">
        <v>22454</v>
      </c>
      <c r="I9538" t="s">
        <v>7738</v>
      </c>
      <c r="J9538" t="s">
        <v>28638</v>
      </c>
      <c r="K9538" t="s">
        <v>29552</v>
      </c>
      <c r="M9538" t="s">
        <v>29699</v>
      </c>
      <c r="N9538" t="s">
        <v>32524</v>
      </c>
      <c r="O9538" t="s">
        <v>32525</v>
      </c>
      <c r="P9538">
        <v>0</v>
      </c>
      <c r="Q9538">
        <v>0</v>
      </c>
      <c r="R9538" t="s">
        <v>32538</v>
      </c>
      <c r="S9538" t="s">
        <v>32872</v>
      </c>
      <c r="T9538" t="s">
        <v>33181</v>
      </c>
      <c r="U9538" t="s">
        <v>41495</v>
      </c>
      <c r="V9538" t="s">
        <v>43493</v>
      </c>
      <c r="W9538" t="s">
        <v>29699</v>
      </c>
      <c r="X9538" t="s">
        <v>32539</v>
      </c>
    </row>
    <row r="9539" spans="1:24">
      <c r="A9539">
        <f>HYPERLINK("https://www.philgeps.gov.ph/GEPSNONPILOT/Tender/SplashBidNoticeAbstractUI.aspx?menuIndex=3&amp;refID=7025890&amp;Result=3","7025890")</f>
        <v>0</v>
      </c>
      <c r="B9539" t="s">
        <v>1627</v>
      </c>
      <c r="C9539" t="s">
        <v>11804</v>
      </c>
      <c r="D9539" t="s">
        <v>13000</v>
      </c>
      <c r="E9539" t="s">
        <v>21392</v>
      </c>
      <c r="F9539" t="s">
        <v>22436</v>
      </c>
      <c r="G9539" t="s">
        <v>22444</v>
      </c>
      <c r="H9539" t="s">
        <v>22454</v>
      </c>
      <c r="I9539" t="s">
        <v>7738</v>
      </c>
      <c r="J9539" t="s">
        <v>24431</v>
      </c>
      <c r="K9539" t="s">
        <v>29334</v>
      </c>
      <c r="M9539" t="s">
        <v>32352</v>
      </c>
      <c r="N9539" t="s">
        <v>32524</v>
      </c>
      <c r="O9539" t="s">
        <v>32525</v>
      </c>
      <c r="P9539">
        <v>0</v>
      </c>
      <c r="Q9539">
        <v>2</v>
      </c>
      <c r="R9539" t="s">
        <v>32538</v>
      </c>
      <c r="S9539" t="s">
        <v>32872</v>
      </c>
      <c r="T9539" t="s">
        <v>33177</v>
      </c>
      <c r="U9539" t="s">
        <v>41496</v>
      </c>
      <c r="W9539" t="s">
        <v>32352</v>
      </c>
      <c r="X9539" t="s">
        <v>32539</v>
      </c>
    </row>
    <row r="9540" spans="1:24">
      <c r="A9540">
        <f>HYPERLINK("https://www.philgeps.gov.ph/GEPSNONPILOT/Tender/SplashBidNoticeAbstractUI.aspx?menuIndex=3&amp;refID=7025815&amp;Result=3","7025815")</f>
        <v>0</v>
      </c>
      <c r="B9540" t="s">
        <v>135</v>
      </c>
      <c r="C9540" t="s">
        <v>11805</v>
      </c>
      <c r="D9540" t="s">
        <v>12988</v>
      </c>
      <c r="E9540" t="s">
        <v>21393</v>
      </c>
      <c r="F9540" t="s">
        <v>22436</v>
      </c>
      <c r="G9540" t="s">
        <v>22444</v>
      </c>
      <c r="H9540" t="s">
        <v>22452</v>
      </c>
      <c r="I9540" t="s">
        <v>22561</v>
      </c>
      <c r="J9540" t="s">
        <v>28639</v>
      </c>
      <c r="K9540" t="s">
        <v>29339</v>
      </c>
      <c r="M9540" t="s">
        <v>32156</v>
      </c>
      <c r="N9540" t="s">
        <v>32524</v>
      </c>
      <c r="O9540" t="s">
        <v>32525</v>
      </c>
      <c r="Q9540">
        <v>7</v>
      </c>
      <c r="R9540" t="s">
        <v>32538</v>
      </c>
      <c r="S9540" t="s">
        <v>32944</v>
      </c>
      <c r="T9540" t="s">
        <v>33564</v>
      </c>
      <c r="U9540" t="s">
        <v>41497</v>
      </c>
      <c r="W9540" t="s">
        <v>32156</v>
      </c>
      <c r="X9540" t="s">
        <v>32539</v>
      </c>
    </row>
    <row r="9541" spans="1:24">
      <c r="A9541">
        <f>HYPERLINK("https://www.philgeps.gov.ph/GEPSNONPILOT/Tender/SplashBidNoticeAbstractUI.aspx?menuIndex=3&amp;refID=7025883&amp;Result=3","7025883")</f>
        <v>0</v>
      </c>
      <c r="B9541" t="s">
        <v>1730</v>
      </c>
      <c r="C9541" t="s">
        <v>11806</v>
      </c>
      <c r="D9541" t="s">
        <v>13022</v>
      </c>
      <c r="E9541" t="s">
        <v>21394</v>
      </c>
      <c r="F9541" t="s">
        <v>22436</v>
      </c>
      <c r="G9541" t="s">
        <v>22444</v>
      </c>
      <c r="H9541" t="s">
        <v>22454</v>
      </c>
      <c r="I9541" t="s">
        <v>7738</v>
      </c>
      <c r="J9541" t="s">
        <v>24895</v>
      </c>
      <c r="K9541" t="s">
        <v>29489</v>
      </c>
      <c r="M9541" t="s">
        <v>31435</v>
      </c>
      <c r="N9541" t="s">
        <v>32524</v>
      </c>
      <c r="O9541" t="s">
        <v>32525</v>
      </c>
      <c r="P9541">
        <v>0</v>
      </c>
      <c r="Q9541">
        <v>4</v>
      </c>
      <c r="R9541" t="s">
        <v>32538</v>
      </c>
      <c r="S9541" t="s">
        <v>32872</v>
      </c>
      <c r="T9541" t="s">
        <v>33168</v>
      </c>
      <c r="U9541" t="s">
        <v>41498</v>
      </c>
      <c r="V9541" t="s">
        <v>43484</v>
      </c>
      <c r="W9541" t="s">
        <v>31435</v>
      </c>
      <c r="X9541" t="s">
        <v>32539</v>
      </c>
    </row>
    <row r="9542" spans="1:24">
      <c r="A9542">
        <f>HYPERLINK("https://www.philgeps.gov.ph/GEPSNONPILOT/Tender/SplashBidNoticeAbstractUI.aspx?menuIndex=3&amp;refID=7025870&amp;Result=3","7025870")</f>
        <v>0</v>
      </c>
      <c r="B9542" t="s">
        <v>1791</v>
      </c>
      <c r="C9542" t="s">
        <v>11807</v>
      </c>
      <c r="D9542" t="s">
        <v>13065</v>
      </c>
      <c r="E9542" t="s">
        <v>21395</v>
      </c>
      <c r="F9542" t="s">
        <v>22436</v>
      </c>
      <c r="G9542" t="s">
        <v>22444</v>
      </c>
      <c r="H9542" t="s">
        <v>22454</v>
      </c>
      <c r="I9542" t="s">
        <v>7738</v>
      </c>
      <c r="J9542" t="s">
        <v>28640</v>
      </c>
      <c r="K9542" t="s">
        <v>29344</v>
      </c>
      <c r="M9542" t="s">
        <v>31502</v>
      </c>
      <c r="N9542" t="s">
        <v>32524</v>
      </c>
      <c r="O9542" t="s">
        <v>32525</v>
      </c>
      <c r="P9542">
        <v>0</v>
      </c>
      <c r="Q9542">
        <v>0</v>
      </c>
      <c r="R9542" t="s">
        <v>32538</v>
      </c>
      <c r="S9542" t="s">
        <v>32872</v>
      </c>
      <c r="T9542" t="s">
        <v>33181</v>
      </c>
      <c r="U9542" t="s">
        <v>41499</v>
      </c>
      <c r="V9542" t="s">
        <v>43018</v>
      </c>
      <c r="W9542" t="s">
        <v>31502</v>
      </c>
      <c r="X9542" t="s">
        <v>32539</v>
      </c>
    </row>
    <row r="9543" spans="1:24">
      <c r="A9543">
        <f>HYPERLINK("https://www.philgeps.gov.ph/GEPSNONPILOT/Tender/SplashBidNoticeAbstractUI.aspx?menuIndex=3&amp;refID=7025859&amp;Result=3","7025859")</f>
        <v>0</v>
      </c>
      <c r="B9543" t="s">
        <v>1730</v>
      </c>
      <c r="C9543" t="s">
        <v>11808</v>
      </c>
      <c r="D9543" t="s">
        <v>13022</v>
      </c>
      <c r="E9543" t="s">
        <v>21396</v>
      </c>
      <c r="F9543" t="s">
        <v>22436</v>
      </c>
      <c r="G9543" t="s">
        <v>22444</v>
      </c>
      <c r="H9543" t="s">
        <v>22454</v>
      </c>
      <c r="I9543" t="s">
        <v>7738</v>
      </c>
      <c r="J9543" t="s">
        <v>27465</v>
      </c>
      <c r="K9543" t="s">
        <v>29561</v>
      </c>
      <c r="M9543" t="s">
        <v>31435</v>
      </c>
      <c r="N9543" t="s">
        <v>32524</v>
      </c>
      <c r="O9543" t="s">
        <v>32525</v>
      </c>
      <c r="P9543">
        <v>0</v>
      </c>
      <c r="Q9543">
        <v>5</v>
      </c>
      <c r="R9543" t="s">
        <v>32538</v>
      </c>
      <c r="S9543" t="s">
        <v>32872</v>
      </c>
      <c r="T9543" t="s">
        <v>33168</v>
      </c>
      <c r="U9543" t="s">
        <v>41500</v>
      </c>
      <c r="V9543" t="s">
        <v>43484</v>
      </c>
      <c r="W9543" t="s">
        <v>31435</v>
      </c>
      <c r="X9543" t="s">
        <v>32539</v>
      </c>
    </row>
    <row r="9544" spans="1:24">
      <c r="A9544">
        <f>HYPERLINK("https://www.philgeps.gov.ph/GEPSNONPILOT/Tender/SplashBidNoticeAbstractUI.aspx?menuIndex=3&amp;refID=7025853&amp;Result=3","7025853")</f>
        <v>0</v>
      </c>
      <c r="B9544" t="s">
        <v>140</v>
      </c>
      <c r="C9544" t="s">
        <v>8191</v>
      </c>
      <c r="D9544" t="s">
        <v>12988</v>
      </c>
      <c r="E9544" t="s">
        <v>15038</v>
      </c>
      <c r="F9544" t="s">
        <v>22436</v>
      </c>
      <c r="G9544" t="s">
        <v>22444</v>
      </c>
      <c r="H9544" t="s">
        <v>22454</v>
      </c>
      <c r="I9544" t="s">
        <v>7738</v>
      </c>
      <c r="J9544" t="s">
        <v>28641</v>
      </c>
      <c r="K9544" t="s">
        <v>29569</v>
      </c>
      <c r="M9544" t="s">
        <v>30335</v>
      </c>
      <c r="N9544" t="s">
        <v>32524</v>
      </c>
      <c r="O9544" t="s">
        <v>32525</v>
      </c>
      <c r="P9544">
        <v>0</v>
      </c>
      <c r="Q9544">
        <v>7</v>
      </c>
      <c r="R9544" t="s">
        <v>32538</v>
      </c>
      <c r="S9544" t="s">
        <v>32872</v>
      </c>
      <c r="T9544" t="s">
        <v>33168</v>
      </c>
      <c r="U9544" t="s">
        <v>41501</v>
      </c>
      <c r="W9544" t="s">
        <v>30335</v>
      </c>
      <c r="X9544" t="s">
        <v>32539</v>
      </c>
    </row>
    <row r="9545" spans="1:24">
      <c r="A9545">
        <f>HYPERLINK("https://www.philgeps.gov.ph/GEPSNONPILOT/Tender/SplashBidNoticeAbstractUI.aspx?menuIndex=3&amp;refID=7025865&amp;Result=3","7025865")</f>
        <v>0</v>
      </c>
      <c r="B9545" t="s">
        <v>1021</v>
      </c>
      <c r="C9545" t="s">
        <v>4022</v>
      </c>
      <c r="D9545" t="s">
        <v>13020</v>
      </c>
      <c r="E9545" t="s">
        <v>21397</v>
      </c>
      <c r="F9545" t="s">
        <v>22436</v>
      </c>
      <c r="G9545" t="s">
        <v>22444</v>
      </c>
      <c r="H9545" t="s">
        <v>22452</v>
      </c>
      <c r="I9545" t="s">
        <v>22486</v>
      </c>
      <c r="J9545" t="s">
        <v>25214</v>
      </c>
      <c r="K9545" t="s">
        <v>29395</v>
      </c>
      <c r="M9545" t="s">
        <v>30649</v>
      </c>
      <c r="N9545" t="s">
        <v>32524</v>
      </c>
      <c r="O9545" t="s">
        <v>32525</v>
      </c>
      <c r="P9545">
        <v>0</v>
      </c>
      <c r="Q9545">
        <v>1</v>
      </c>
      <c r="R9545" t="s">
        <v>32538</v>
      </c>
      <c r="S9545" t="s">
        <v>32872</v>
      </c>
      <c r="T9545" t="s">
        <v>33181</v>
      </c>
      <c r="U9545" t="s">
        <v>41502</v>
      </c>
      <c r="W9545" t="s">
        <v>43703</v>
      </c>
      <c r="X9545" t="s">
        <v>32539</v>
      </c>
    </row>
    <row r="9546" spans="1:24">
      <c r="A9546">
        <f>HYPERLINK("https://www.philgeps.gov.ph/GEPSNONPILOT/Tender/SplashBidNoticeAbstractUI.aspx?menuIndex=3&amp;refID=7025851&amp;Result=3","7025851")</f>
        <v>0</v>
      </c>
      <c r="B9546" t="s">
        <v>344</v>
      </c>
      <c r="C9546" t="s">
        <v>11809</v>
      </c>
      <c r="D9546" t="s">
        <v>13051</v>
      </c>
      <c r="E9546" t="s">
        <v>21398</v>
      </c>
      <c r="F9546" t="s">
        <v>22436</v>
      </c>
      <c r="G9546" t="s">
        <v>22444</v>
      </c>
      <c r="H9546" t="s">
        <v>22452</v>
      </c>
      <c r="I9546" t="s">
        <v>22577</v>
      </c>
      <c r="J9546" t="s">
        <v>28642</v>
      </c>
      <c r="K9546" t="s">
        <v>29333</v>
      </c>
      <c r="M9546" t="s">
        <v>29920</v>
      </c>
      <c r="N9546" t="s">
        <v>32524</v>
      </c>
      <c r="O9546" t="s">
        <v>32525</v>
      </c>
      <c r="Q9546">
        <v>5</v>
      </c>
      <c r="R9546" t="s">
        <v>32538</v>
      </c>
      <c r="S9546" t="s">
        <v>32945</v>
      </c>
      <c r="T9546" t="s">
        <v>33155</v>
      </c>
      <c r="U9546" t="s">
        <v>41503</v>
      </c>
      <c r="W9546" t="s">
        <v>29920</v>
      </c>
      <c r="X9546" t="s">
        <v>32539</v>
      </c>
    </row>
    <row r="9547" spans="1:24">
      <c r="A9547">
        <f>HYPERLINK("https://www.philgeps.gov.ph/GEPSNONPILOT/Tender/SplashBidNoticeAbstractUI.aspx?menuIndex=3&amp;refID=7025908&amp;Result=3","7025908")</f>
        <v>0</v>
      </c>
      <c r="B9547" t="s">
        <v>1586</v>
      </c>
      <c r="C9547" t="s">
        <v>11810</v>
      </c>
      <c r="E9547" t="s">
        <v>21399</v>
      </c>
      <c r="F9547" t="s">
        <v>22436</v>
      </c>
      <c r="G9547" t="s">
        <v>22444</v>
      </c>
      <c r="H9547" t="s">
        <v>22452</v>
      </c>
      <c r="I9547" t="s">
        <v>2993</v>
      </c>
      <c r="J9547" t="s">
        <v>28643</v>
      </c>
      <c r="K9547" t="s">
        <v>29338</v>
      </c>
      <c r="M9547" t="s">
        <v>32346</v>
      </c>
      <c r="N9547" t="s">
        <v>32524</v>
      </c>
      <c r="O9547" t="s">
        <v>32525</v>
      </c>
      <c r="P9547">
        <v>0</v>
      </c>
      <c r="Q9547">
        <v>3</v>
      </c>
      <c r="R9547" t="s">
        <v>32538</v>
      </c>
      <c r="S9547" t="s">
        <v>32872</v>
      </c>
      <c r="T9547" t="s">
        <v>33177</v>
      </c>
      <c r="U9547" t="s">
        <v>41504</v>
      </c>
      <c r="W9547" t="s">
        <v>32346</v>
      </c>
      <c r="X9547" t="s">
        <v>32539</v>
      </c>
    </row>
    <row r="9548" spans="1:24">
      <c r="A9548">
        <f>HYPERLINK("https://www.philgeps.gov.ph/GEPSNONPILOT/Tender/SplashBidNoticeAbstractUI.aspx?menuIndex=3&amp;refID=7025846&amp;Result=3","7025846")</f>
        <v>0</v>
      </c>
      <c r="B9548" t="s">
        <v>1045</v>
      </c>
      <c r="C9548" t="s">
        <v>11811</v>
      </c>
      <c r="D9548" t="s">
        <v>12988</v>
      </c>
      <c r="E9548" t="s">
        <v>18143</v>
      </c>
      <c r="F9548" t="s">
        <v>22436</v>
      </c>
      <c r="G9548" t="s">
        <v>22443</v>
      </c>
      <c r="H9548" t="s">
        <v>22452</v>
      </c>
      <c r="I9548" t="s">
        <v>22469</v>
      </c>
      <c r="J9548" t="s">
        <v>22694</v>
      </c>
      <c r="K9548" t="s">
        <v>29338</v>
      </c>
      <c r="M9548" t="s">
        <v>30677</v>
      </c>
      <c r="N9548" t="s">
        <v>32524</v>
      </c>
      <c r="O9548" t="s">
        <v>32525</v>
      </c>
      <c r="Q9548">
        <v>14</v>
      </c>
      <c r="R9548" t="s">
        <v>32538</v>
      </c>
      <c r="S9548" t="s">
        <v>32946</v>
      </c>
      <c r="T9548" t="s">
        <v>33169</v>
      </c>
      <c r="U9548" t="s">
        <v>41505</v>
      </c>
      <c r="V9548" t="s">
        <v>43494</v>
      </c>
      <c r="W9548" t="s">
        <v>30677</v>
      </c>
      <c r="X9548" t="s">
        <v>32539</v>
      </c>
    </row>
    <row r="9549" spans="1:24">
      <c r="A9549">
        <f>HYPERLINK("https://www.philgeps.gov.ph/GEPSNONPILOT/Tender/SplashBidNoticeAbstractUI.aspx?menuIndex=3&amp;refID=7025842&amp;Result=3","7025842")</f>
        <v>0</v>
      </c>
      <c r="B9549" t="s">
        <v>2542</v>
      </c>
      <c r="C9549" t="s">
        <v>11812</v>
      </c>
      <c r="D9549" t="s">
        <v>13056</v>
      </c>
      <c r="E9549" t="s">
        <v>21400</v>
      </c>
      <c r="F9549" t="s">
        <v>22436</v>
      </c>
      <c r="G9549" t="s">
        <v>22444</v>
      </c>
      <c r="H9549" t="s">
        <v>22452</v>
      </c>
      <c r="I9549" t="s">
        <v>22467</v>
      </c>
      <c r="J9549" t="s">
        <v>28644</v>
      </c>
      <c r="K9549" t="s">
        <v>29334</v>
      </c>
      <c r="M9549" t="s">
        <v>32353</v>
      </c>
      <c r="N9549" t="s">
        <v>32524</v>
      </c>
      <c r="O9549" t="s">
        <v>32525</v>
      </c>
      <c r="P9549">
        <v>0</v>
      </c>
      <c r="Q9549">
        <v>0</v>
      </c>
      <c r="R9549" t="s">
        <v>32538</v>
      </c>
      <c r="S9549" t="s">
        <v>32872</v>
      </c>
      <c r="T9549" t="s">
        <v>33229</v>
      </c>
      <c r="U9549" t="s">
        <v>41506</v>
      </c>
      <c r="W9549" t="s">
        <v>32353</v>
      </c>
      <c r="X9549" t="s">
        <v>32539</v>
      </c>
    </row>
    <row r="9550" spans="1:24">
      <c r="A9550">
        <f>HYPERLINK("https://www.philgeps.gov.ph/GEPSNONPILOT/Tender/SplashBidNoticeAbstractUI.aspx?menuIndex=3&amp;refID=7025912&amp;Result=3","7025912")</f>
        <v>0</v>
      </c>
      <c r="B9550" t="s">
        <v>660</v>
      </c>
      <c r="C9550" t="s">
        <v>11813</v>
      </c>
      <c r="D9550" t="s">
        <v>13013</v>
      </c>
      <c r="E9550" t="s">
        <v>21401</v>
      </c>
      <c r="F9550" t="s">
        <v>22436</v>
      </c>
      <c r="G9550" t="s">
        <v>22444</v>
      </c>
      <c r="H9550" t="s">
        <v>22454</v>
      </c>
      <c r="I9550" t="s">
        <v>7738</v>
      </c>
      <c r="J9550" t="s">
        <v>23604</v>
      </c>
      <c r="K9550" t="s">
        <v>29402</v>
      </c>
      <c r="M9550" t="s">
        <v>30252</v>
      </c>
      <c r="N9550" t="s">
        <v>32524</v>
      </c>
      <c r="O9550" t="s">
        <v>32525</v>
      </c>
      <c r="P9550">
        <v>0</v>
      </c>
      <c r="Q9550">
        <v>2</v>
      </c>
      <c r="R9550" t="s">
        <v>32538</v>
      </c>
      <c r="S9550" t="s">
        <v>32872</v>
      </c>
      <c r="T9550" t="s">
        <v>33171</v>
      </c>
      <c r="U9550" t="s">
        <v>41507</v>
      </c>
      <c r="W9550" t="s">
        <v>30252</v>
      </c>
      <c r="X9550" t="s">
        <v>32539</v>
      </c>
    </row>
    <row r="9551" spans="1:24">
      <c r="A9551">
        <f>HYPERLINK("https://www.philgeps.gov.ph/GEPSNONPILOT/Tender/SplashBidNoticeAbstractUI.aspx?menuIndex=3&amp;refID=7025829&amp;Result=3","7025829")</f>
        <v>0</v>
      </c>
      <c r="B9551" t="s">
        <v>2420</v>
      </c>
      <c r="C9551" t="s">
        <v>11814</v>
      </c>
      <c r="D9551" t="s">
        <v>13041</v>
      </c>
      <c r="E9551" t="s">
        <v>21402</v>
      </c>
      <c r="F9551" t="s">
        <v>22436</v>
      </c>
      <c r="G9551" t="s">
        <v>22444</v>
      </c>
      <c r="H9551" t="s">
        <v>22452</v>
      </c>
      <c r="I9551" t="s">
        <v>22474</v>
      </c>
      <c r="J9551" t="s">
        <v>28003</v>
      </c>
      <c r="K9551" t="s">
        <v>29344</v>
      </c>
      <c r="M9551" t="s">
        <v>32220</v>
      </c>
      <c r="N9551" t="s">
        <v>32524</v>
      </c>
      <c r="O9551" t="s">
        <v>32525</v>
      </c>
      <c r="Q9551">
        <v>22</v>
      </c>
      <c r="R9551" t="s">
        <v>32538</v>
      </c>
      <c r="S9551" t="s">
        <v>32632</v>
      </c>
      <c r="T9551" t="s">
        <v>33181</v>
      </c>
      <c r="U9551" t="s">
        <v>41508</v>
      </c>
      <c r="V9551" t="s">
        <v>43374</v>
      </c>
      <c r="W9551" t="s">
        <v>43759</v>
      </c>
      <c r="X9551" t="s">
        <v>32539</v>
      </c>
    </row>
    <row r="9552" spans="1:24">
      <c r="A9552">
        <f>HYPERLINK("https://www.philgeps.gov.ph/GEPSNONPILOT/Tender/SplashBidNoticeAbstractUI.aspx?menuIndex=3&amp;refID=7025959&amp;Result=3","7025959")</f>
        <v>0</v>
      </c>
      <c r="B9552" t="s">
        <v>1791</v>
      </c>
      <c r="C9552" t="s">
        <v>11815</v>
      </c>
      <c r="D9552" t="s">
        <v>13065</v>
      </c>
      <c r="E9552" t="s">
        <v>21403</v>
      </c>
      <c r="F9552" t="s">
        <v>22436</v>
      </c>
      <c r="G9552" t="s">
        <v>22444</v>
      </c>
      <c r="H9552" t="s">
        <v>22452</v>
      </c>
      <c r="I9552" t="s">
        <v>7738</v>
      </c>
      <c r="J9552" t="s">
        <v>28645</v>
      </c>
      <c r="K9552" t="s">
        <v>29365</v>
      </c>
      <c r="M9552" t="s">
        <v>31502</v>
      </c>
      <c r="N9552" t="s">
        <v>32524</v>
      </c>
      <c r="O9552" t="s">
        <v>32525</v>
      </c>
      <c r="P9552">
        <v>0</v>
      </c>
      <c r="Q9552">
        <v>0</v>
      </c>
      <c r="R9552" t="s">
        <v>32538</v>
      </c>
      <c r="S9552" t="s">
        <v>32872</v>
      </c>
      <c r="T9552" t="s">
        <v>33181</v>
      </c>
      <c r="U9552" t="s">
        <v>41509</v>
      </c>
      <c r="V9552" t="s">
        <v>43018</v>
      </c>
      <c r="W9552" t="s">
        <v>31502</v>
      </c>
      <c r="X9552" t="s">
        <v>32539</v>
      </c>
    </row>
    <row r="9553" spans="1:24">
      <c r="A9553">
        <f>HYPERLINK("https://www.philgeps.gov.ph/GEPSNONPILOT/Tender/SplashBidNoticeAbstractUI.aspx?menuIndex=3&amp;refID=7025832&amp;Result=3","7025832")</f>
        <v>0</v>
      </c>
      <c r="B9553" t="s">
        <v>2543</v>
      </c>
      <c r="C9553" t="s">
        <v>11816</v>
      </c>
      <c r="D9553" t="s">
        <v>12988</v>
      </c>
      <c r="E9553" t="s">
        <v>21404</v>
      </c>
      <c r="F9553" t="s">
        <v>22436</v>
      </c>
      <c r="G9553" t="s">
        <v>22444</v>
      </c>
      <c r="H9553" t="s">
        <v>22454</v>
      </c>
      <c r="I9553" t="s">
        <v>7738</v>
      </c>
      <c r="J9553" t="s">
        <v>28646</v>
      </c>
      <c r="K9553" t="s">
        <v>29338</v>
      </c>
      <c r="M9553" t="s">
        <v>32354</v>
      </c>
      <c r="N9553" t="s">
        <v>32524</v>
      </c>
      <c r="O9553" t="s">
        <v>32525</v>
      </c>
      <c r="P9553">
        <v>0</v>
      </c>
      <c r="Q9553">
        <v>0</v>
      </c>
      <c r="R9553" t="s">
        <v>32538</v>
      </c>
      <c r="S9553" t="s">
        <v>32872</v>
      </c>
      <c r="T9553" t="s">
        <v>33153</v>
      </c>
      <c r="U9553" t="s">
        <v>41510</v>
      </c>
      <c r="W9553" t="s">
        <v>32354</v>
      </c>
      <c r="X9553" t="s">
        <v>32539</v>
      </c>
    </row>
    <row r="9554" spans="1:24">
      <c r="A9554">
        <f>HYPERLINK("https://www.philgeps.gov.ph/GEPSNONPILOT/Tender/SplashBidNoticeAbstractUI.aspx?menuIndex=3&amp;refID=7025929&amp;Result=3","7025929")</f>
        <v>0</v>
      </c>
      <c r="B9554" t="s">
        <v>2131</v>
      </c>
      <c r="C9554" t="s">
        <v>11817</v>
      </c>
      <c r="D9554" t="s">
        <v>13041</v>
      </c>
      <c r="E9554" t="s">
        <v>21405</v>
      </c>
      <c r="F9554" t="s">
        <v>22436</v>
      </c>
      <c r="G9554" t="s">
        <v>22444</v>
      </c>
      <c r="H9554" t="s">
        <v>22454</v>
      </c>
      <c r="I9554" t="s">
        <v>7738</v>
      </c>
      <c r="J9554" t="s">
        <v>22893</v>
      </c>
      <c r="K9554" t="s">
        <v>29335</v>
      </c>
      <c r="M9554" t="s">
        <v>32206</v>
      </c>
      <c r="N9554" t="s">
        <v>32524</v>
      </c>
      <c r="O9554" t="s">
        <v>32525</v>
      </c>
      <c r="P9554">
        <v>0</v>
      </c>
      <c r="Q9554">
        <v>0</v>
      </c>
      <c r="R9554" t="s">
        <v>32538</v>
      </c>
      <c r="S9554" t="s">
        <v>32872</v>
      </c>
      <c r="T9554" t="s">
        <v>33175</v>
      </c>
      <c r="U9554" t="s">
        <v>41511</v>
      </c>
      <c r="V9554" t="s">
        <v>43369</v>
      </c>
      <c r="W9554" t="s">
        <v>32206</v>
      </c>
      <c r="X9554" t="s">
        <v>32539</v>
      </c>
    </row>
    <row r="9555" spans="1:24">
      <c r="A9555">
        <f>HYPERLINK("https://www.philgeps.gov.ph/GEPSNONPILOT/Tender/SplashBidNoticeAbstractUI.aspx?menuIndex=3&amp;refID=7025956&amp;Result=3","7025956")</f>
        <v>0</v>
      </c>
      <c r="B9555" t="s">
        <v>968</v>
      </c>
      <c r="C9555" t="s">
        <v>11818</v>
      </c>
      <c r="D9555" t="s">
        <v>13035</v>
      </c>
      <c r="E9555" t="s">
        <v>21406</v>
      </c>
      <c r="F9555" t="s">
        <v>22436</v>
      </c>
      <c r="G9555" t="s">
        <v>22444</v>
      </c>
      <c r="H9555" t="s">
        <v>22452</v>
      </c>
      <c r="I9555" t="s">
        <v>3529</v>
      </c>
      <c r="J9555" t="s">
        <v>28647</v>
      </c>
      <c r="K9555" t="s">
        <v>29341</v>
      </c>
      <c r="M9555" t="s">
        <v>30587</v>
      </c>
      <c r="N9555" t="s">
        <v>32524</v>
      </c>
      <c r="O9555" t="s">
        <v>32525</v>
      </c>
      <c r="P9555">
        <v>0</v>
      </c>
      <c r="Q9555">
        <v>2</v>
      </c>
      <c r="R9555" t="s">
        <v>32538</v>
      </c>
      <c r="S9555" t="s">
        <v>32872</v>
      </c>
      <c r="T9555" t="s">
        <v>33168</v>
      </c>
      <c r="U9555" t="s">
        <v>39021</v>
      </c>
      <c r="V9555" t="s">
        <v>42665</v>
      </c>
      <c r="W9555" t="s">
        <v>30587</v>
      </c>
      <c r="X9555" t="s">
        <v>32539</v>
      </c>
    </row>
    <row r="9556" spans="1:24">
      <c r="A9556">
        <f>HYPERLINK("https://www.philgeps.gov.ph/GEPSNONPILOT/Tender/SplashBidNoticeAbstractUI.aspx?menuIndex=3&amp;refID=7025904&amp;Result=3","7025904")</f>
        <v>0</v>
      </c>
      <c r="B9556" t="s">
        <v>127</v>
      </c>
      <c r="C9556" t="s">
        <v>11819</v>
      </c>
      <c r="D9556" t="s">
        <v>13037</v>
      </c>
      <c r="E9556" t="s">
        <v>21407</v>
      </c>
      <c r="F9556" t="s">
        <v>22436</v>
      </c>
      <c r="G9556" t="s">
        <v>22444</v>
      </c>
      <c r="H9556" t="s">
        <v>22454</v>
      </c>
      <c r="I9556" t="s">
        <v>7738</v>
      </c>
      <c r="J9556" t="s">
        <v>28648</v>
      </c>
      <c r="K9556" t="s">
        <v>29469</v>
      </c>
      <c r="M9556" t="s">
        <v>29699</v>
      </c>
      <c r="N9556" t="s">
        <v>32524</v>
      </c>
      <c r="O9556" t="s">
        <v>32525</v>
      </c>
      <c r="P9556">
        <v>0</v>
      </c>
      <c r="Q9556">
        <v>0</v>
      </c>
      <c r="R9556" t="s">
        <v>32538</v>
      </c>
      <c r="S9556" t="s">
        <v>32872</v>
      </c>
      <c r="T9556" t="s">
        <v>33181</v>
      </c>
      <c r="U9556" t="s">
        <v>41512</v>
      </c>
      <c r="W9556" t="s">
        <v>29699</v>
      </c>
      <c r="X9556" t="s">
        <v>32539</v>
      </c>
    </row>
    <row r="9557" spans="1:24">
      <c r="A9557">
        <f>HYPERLINK("https://www.philgeps.gov.ph/GEPSNONPILOT/Tender/SplashBidNoticeAbstractUI.aspx?menuIndex=3&amp;refID=7025935&amp;Result=3","7025935")</f>
        <v>0</v>
      </c>
      <c r="B9557" t="s">
        <v>2543</v>
      </c>
      <c r="C9557" t="s">
        <v>11820</v>
      </c>
      <c r="D9557" t="s">
        <v>12988</v>
      </c>
      <c r="E9557" t="s">
        <v>21408</v>
      </c>
      <c r="F9557" t="s">
        <v>22436</v>
      </c>
      <c r="G9557" t="s">
        <v>22444</v>
      </c>
      <c r="H9557" t="s">
        <v>22454</v>
      </c>
      <c r="I9557" t="s">
        <v>7738</v>
      </c>
      <c r="J9557" t="s">
        <v>28649</v>
      </c>
      <c r="K9557" t="s">
        <v>29338</v>
      </c>
      <c r="M9557" t="s">
        <v>32354</v>
      </c>
      <c r="N9557" t="s">
        <v>32524</v>
      </c>
      <c r="O9557" t="s">
        <v>32525</v>
      </c>
      <c r="P9557">
        <v>0</v>
      </c>
      <c r="Q9557">
        <v>0</v>
      </c>
      <c r="R9557" t="s">
        <v>32538</v>
      </c>
      <c r="S9557" t="s">
        <v>32872</v>
      </c>
      <c r="T9557" t="s">
        <v>33153</v>
      </c>
      <c r="U9557" t="s">
        <v>41513</v>
      </c>
      <c r="W9557" t="s">
        <v>32354</v>
      </c>
      <c r="X9557" t="s">
        <v>32539</v>
      </c>
    </row>
    <row r="9558" spans="1:24">
      <c r="A9558">
        <f>HYPERLINK("https://www.philgeps.gov.ph/GEPSNONPILOT/Tender/SplashBidNoticeAbstractUI.aspx?menuIndex=3&amp;refID=7026025&amp;Result=3","7026025")</f>
        <v>0</v>
      </c>
      <c r="B9558" t="s">
        <v>127</v>
      </c>
      <c r="C9558" t="s">
        <v>11821</v>
      </c>
      <c r="D9558" t="s">
        <v>13037</v>
      </c>
      <c r="E9558" t="s">
        <v>21409</v>
      </c>
      <c r="F9558" t="s">
        <v>22436</v>
      </c>
      <c r="G9558" t="s">
        <v>22444</v>
      </c>
      <c r="H9558" t="s">
        <v>22454</v>
      </c>
      <c r="I9558" t="s">
        <v>7738</v>
      </c>
      <c r="J9558" t="s">
        <v>24299</v>
      </c>
      <c r="K9558" t="s">
        <v>29470</v>
      </c>
      <c r="M9558" t="s">
        <v>29699</v>
      </c>
      <c r="N9558" t="s">
        <v>32524</v>
      </c>
      <c r="O9558" t="s">
        <v>32525</v>
      </c>
      <c r="P9558">
        <v>0</v>
      </c>
      <c r="Q9558">
        <v>0</v>
      </c>
      <c r="R9558" t="s">
        <v>32538</v>
      </c>
      <c r="S9558" t="s">
        <v>32872</v>
      </c>
      <c r="T9558" t="s">
        <v>33181</v>
      </c>
      <c r="U9558" t="s">
        <v>41514</v>
      </c>
      <c r="W9558" t="s">
        <v>29699</v>
      </c>
      <c r="X9558" t="s">
        <v>32539</v>
      </c>
    </row>
    <row r="9559" spans="1:24">
      <c r="A9559">
        <f>HYPERLINK("https://www.philgeps.gov.ph/GEPSNONPILOT/Tender/SplashBidNoticeAbstractUI.aspx?menuIndex=3&amp;refID=7025938&amp;Result=3","7025938")</f>
        <v>0</v>
      </c>
      <c r="B9559" t="s">
        <v>2544</v>
      </c>
      <c r="C9559" t="s">
        <v>11822</v>
      </c>
      <c r="D9559" t="s">
        <v>12990</v>
      </c>
      <c r="E9559" t="s">
        <v>21410</v>
      </c>
      <c r="F9559" t="s">
        <v>22436</v>
      </c>
      <c r="G9559" t="s">
        <v>22444</v>
      </c>
      <c r="H9559" t="s">
        <v>22452</v>
      </c>
      <c r="I9559" t="s">
        <v>22463</v>
      </c>
      <c r="J9559" t="s">
        <v>28650</v>
      </c>
      <c r="K9559" t="s">
        <v>29331</v>
      </c>
      <c r="M9559" t="s">
        <v>32355</v>
      </c>
      <c r="N9559" t="s">
        <v>32524</v>
      </c>
      <c r="O9559" t="s">
        <v>32525</v>
      </c>
      <c r="P9559">
        <v>0</v>
      </c>
      <c r="Q9559">
        <v>1</v>
      </c>
      <c r="R9559" t="s">
        <v>32538</v>
      </c>
      <c r="S9559" t="s">
        <v>32872</v>
      </c>
      <c r="T9559" t="s">
        <v>33593</v>
      </c>
      <c r="U9559" t="s">
        <v>41515</v>
      </c>
      <c r="V9559" t="s">
        <v>43495</v>
      </c>
      <c r="W9559" t="s">
        <v>32355</v>
      </c>
      <c r="X9559" t="s">
        <v>32539</v>
      </c>
    </row>
    <row r="9560" spans="1:24">
      <c r="A9560">
        <f>HYPERLINK("https://www.philgeps.gov.ph/GEPSNONPILOT/Tender/SplashBidNoticeAbstractUI.aspx?menuIndex=3&amp;refID=7025952&amp;Result=3","7025952")</f>
        <v>0</v>
      </c>
      <c r="B9560" t="s">
        <v>2541</v>
      </c>
      <c r="C9560" t="s">
        <v>11823</v>
      </c>
      <c r="D9560" t="s">
        <v>13068</v>
      </c>
      <c r="E9560" t="s">
        <v>21411</v>
      </c>
      <c r="F9560" t="s">
        <v>22436</v>
      </c>
      <c r="G9560" t="s">
        <v>22443</v>
      </c>
      <c r="H9560" t="s">
        <v>22452</v>
      </c>
      <c r="I9560" t="s">
        <v>12358</v>
      </c>
      <c r="J9560" t="s">
        <v>28651</v>
      </c>
      <c r="K9560" t="s">
        <v>29335</v>
      </c>
      <c r="M9560" t="s">
        <v>32351</v>
      </c>
      <c r="N9560" t="s">
        <v>32524</v>
      </c>
      <c r="O9560" t="s">
        <v>32525</v>
      </c>
      <c r="P9560">
        <v>0</v>
      </c>
      <c r="Q9560">
        <v>1</v>
      </c>
      <c r="R9560" t="s">
        <v>32538</v>
      </c>
      <c r="S9560" t="s">
        <v>32872</v>
      </c>
      <c r="T9560" t="s">
        <v>33238</v>
      </c>
      <c r="U9560" t="s">
        <v>41516</v>
      </c>
      <c r="V9560" t="s">
        <v>43490</v>
      </c>
      <c r="W9560" t="s">
        <v>32351</v>
      </c>
      <c r="X9560" t="s">
        <v>32539</v>
      </c>
    </row>
    <row r="9561" spans="1:24">
      <c r="A9561">
        <f>HYPERLINK("https://www.philgeps.gov.ph/GEPSNONPILOT/Tender/SplashBidNoticeAbstractUI.aspx?menuIndex=3&amp;refID=7025897&amp;Result=3","7025897")</f>
        <v>0</v>
      </c>
      <c r="B9561" t="s">
        <v>2131</v>
      </c>
      <c r="C9561" t="s">
        <v>11824</v>
      </c>
      <c r="D9561" t="s">
        <v>13041</v>
      </c>
      <c r="E9561" t="s">
        <v>21412</v>
      </c>
      <c r="F9561" t="s">
        <v>22436</v>
      </c>
      <c r="G9561" t="s">
        <v>22444</v>
      </c>
      <c r="H9561" t="s">
        <v>22454</v>
      </c>
      <c r="I9561" t="s">
        <v>7738</v>
      </c>
      <c r="J9561" t="s">
        <v>22893</v>
      </c>
      <c r="K9561" t="s">
        <v>29390</v>
      </c>
      <c r="M9561" t="s">
        <v>31883</v>
      </c>
      <c r="N9561" t="s">
        <v>32524</v>
      </c>
      <c r="O9561" t="s">
        <v>32525</v>
      </c>
      <c r="P9561">
        <v>0</v>
      </c>
      <c r="Q9561">
        <v>0</v>
      </c>
      <c r="R9561" t="s">
        <v>32538</v>
      </c>
      <c r="S9561" t="s">
        <v>32872</v>
      </c>
      <c r="T9561" t="s">
        <v>33175</v>
      </c>
      <c r="U9561" t="s">
        <v>41517</v>
      </c>
      <c r="V9561" t="s">
        <v>43199</v>
      </c>
      <c r="W9561" t="s">
        <v>31883</v>
      </c>
      <c r="X9561" t="s">
        <v>32539</v>
      </c>
    </row>
    <row r="9562" spans="1:24">
      <c r="A9562">
        <f>HYPERLINK("https://www.philgeps.gov.ph/GEPSNONPILOT/Tender/SplashBidNoticeAbstractUI.aspx?menuIndex=3&amp;refID=7025934&amp;Result=3","7025934")</f>
        <v>0</v>
      </c>
      <c r="B9562" t="s">
        <v>2534</v>
      </c>
      <c r="C9562" t="s">
        <v>11825</v>
      </c>
      <c r="D9562" t="s">
        <v>13002</v>
      </c>
      <c r="E9562" t="s">
        <v>20339</v>
      </c>
      <c r="F9562" t="s">
        <v>22436</v>
      </c>
      <c r="G9562" t="s">
        <v>22444</v>
      </c>
      <c r="H9562" t="s">
        <v>22454</v>
      </c>
      <c r="I9562" t="s">
        <v>7738</v>
      </c>
      <c r="J9562" t="s">
        <v>28652</v>
      </c>
      <c r="K9562" t="s">
        <v>29334</v>
      </c>
      <c r="M9562" t="s">
        <v>32342</v>
      </c>
      <c r="N9562" t="s">
        <v>32524</v>
      </c>
      <c r="O9562" t="s">
        <v>32525</v>
      </c>
      <c r="P9562">
        <v>0</v>
      </c>
      <c r="Q9562">
        <v>0</v>
      </c>
      <c r="R9562" t="s">
        <v>32538</v>
      </c>
      <c r="S9562" t="s">
        <v>32872</v>
      </c>
      <c r="T9562" t="s">
        <v>33268</v>
      </c>
      <c r="U9562" t="s">
        <v>41518</v>
      </c>
      <c r="W9562" t="s">
        <v>32342</v>
      </c>
      <c r="X9562" t="s">
        <v>32539</v>
      </c>
    </row>
    <row r="9563" spans="1:24">
      <c r="A9563">
        <f>HYPERLINK("https://www.philgeps.gov.ph/GEPSNONPILOT/Tender/SplashBidNoticeAbstractUI.aspx?menuIndex=3&amp;refID=7025893&amp;Result=3","7025893")</f>
        <v>0</v>
      </c>
      <c r="B9563" t="s">
        <v>2545</v>
      </c>
      <c r="C9563" t="s">
        <v>11826</v>
      </c>
      <c r="D9563" t="s">
        <v>13055</v>
      </c>
      <c r="E9563" t="s">
        <v>21413</v>
      </c>
      <c r="F9563" t="s">
        <v>22436</v>
      </c>
      <c r="G9563" t="s">
        <v>22444</v>
      </c>
      <c r="H9563" t="s">
        <v>22454</v>
      </c>
      <c r="I9563" t="s">
        <v>7738</v>
      </c>
      <c r="J9563" t="s">
        <v>28653</v>
      </c>
      <c r="K9563" t="s">
        <v>29570</v>
      </c>
      <c r="M9563" t="s">
        <v>32356</v>
      </c>
      <c r="N9563" t="s">
        <v>32524</v>
      </c>
      <c r="O9563" t="s">
        <v>32525</v>
      </c>
      <c r="P9563">
        <v>0</v>
      </c>
      <c r="Q9563">
        <v>0</v>
      </c>
      <c r="R9563" t="s">
        <v>32538</v>
      </c>
      <c r="S9563" t="s">
        <v>32872</v>
      </c>
      <c r="T9563" t="s">
        <v>33175</v>
      </c>
      <c r="U9563" t="s">
        <v>41519</v>
      </c>
      <c r="W9563" t="s">
        <v>32356</v>
      </c>
      <c r="X9563" t="s">
        <v>32539</v>
      </c>
    </row>
    <row r="9564" spans="1:24">
      <c r="A9564">
        <f>HYPERLINK("https://www.philgeps.gov.ph/GEPSNONPILOT/Tender/SplashBidNoticeAbstractUI.aspx?menuIndex=3&amp;refID=7026008&amp;Result=3","7026008")</f>
        <v>0</v>
      </c>
      <c r="B9564" t="s">
        <v>2546</v>
      </c>
      <c r="C9564" t="s">
        <v>11827</v>
      </c>
      <c r="D9564" t="s">
        <v>13038</v>
      </c>
      <c r="E9564" t="s">
        <v>21414</v>
      </c>
      <c r="F9564" t="s">
        <v>22436</v>
      </c>
      <c r="G9564" t="s">
        <v>22444</v>
      </c>
      <c r="H9564" t="s">
        <v>22454</v>
      </c>
      <c r="I9564" t="s">
        <v>3529</v>
      </c>
      <c r="J9564" t="s">
        <v>28654</v>
      </c>
      <c r="K9564" t="s">
        <v>29335</v>
      </c>
      <c r="M9564" t="s">
        <v>32357</v>
      </c>
      <c r="N9564" t="s">
        <v>32524</v>
      </c>
      <c r="O9564" t="s">
        <v>32525</v>
      </c>
      <c r="P9564">
        <v>0</v>
      </c>
      <c r="Q9564">
        <v>0</v>
      </c>
      <c r="R9564" t="s">
        <v>32538</v>
      </c>
      <c r="S9564" t="s">
        <v>32872</v>
      </c>
      <c r="T9564" t="s">
        <v>33389</v>
      </c>
      <c r="U9564" t="s">
        <v>41520</v>
      </c>
      <c r="V9564" t="s">
        <v>41520</v>
      </c>
      <c r="W9564" t="s">
        <v>32357</v>
      </c>
      <c r="X9564" t="s">
        <v>32539</v>
      </c>
    </row>
    <row r="9565" spans="1:24">
      <c r="A9565">
        <f>HYPERLINK("https://www.philgeps.gov.ph/GEPSNONPILOT/Tender/SplashBidNoticeAbstractUI.aspx?menuIndex=3&amp;refID=7026011&amp;Result=3","7026011")</f>
        <v>0</v>
      </c>
      <c r="B9565" t="s">
        <v>2544</v>
      </c>
      <c r="C9565" t="s">
        <v>11828</v>
      </c>
      <c r="D9565" t="s">
        <v>12990</v>
      </c>
      <c r="E9565" t="s">
        <v>21410</v>
      </c>
      <c r="F9565" t="s">
        <v>22436</v>
      </c>
      <c r="G9565" t="s">
        <v>22444</v>
      </c>
      <c r="H9565" t="s">
        <v>22452</v>
      </c>
      <c r="I9565" t="s">
        <v>22463</v>
      </c>
      <c r="J9565" t="s">
        <v>28655</v>
      </c>
      <c r="K9565" t="s">
        <v>29331</v>
      </c>
      <c r="M9565" t="s">
        <v>32355</v>
      </c>
      <c r="N9565" t="s">
        <v>32524</v>
      </c>
      <c r="O9565" t="s">
        <v>32525</v>
      </c>
      <c r="P9565">
        <v>0</v>
      </c>
      <c r="Q9565">
        <v>4</v>
      </c>
      <c r="R9565" t="s">
        <v>32538</v>
      </c>
      <c r="S9565" t="s">
        <v>32872</v>
      </c>
      <c r="T9565" t="s">
        <v>33593</v>
      </c>
      <c r="U9565" t="s">
        <v>41515</v>
      </c>
      <c r="V9565" t="s">
        <v>43496</v>
      </c>
      <c r="W9565" t="s">
        <v>32355</v>
      </c>
      <c r="X9565" t="s">
        <v>32539</v>
      </c>
    </row>
    <row r="9566" spans="1:24">
      <c r="A9566">
        <f>HYPERLINK("https://www.philgeps.gov.ph/GEPSNONPILOT/Tender/SplashBidNoticeAbstractUI.aspx?menuIndex=3&amp;refID=7025891&amp;Result=3","7025891")</f>
        <v>0</v>
      </c>
      <c r="B9566" t="s">
        <v>1480</v>
      </c>
      <c r="C9566" t="s">
        <v>11829</v>
      </c>
      <c r="E9566" t="s">
        <v>21415</v>
      </c>
      <c r="F9566" t="s">
        <v>22436</v>
      </c>
      <c r="G9566" t="s">
        <v>22444</v>
      </c>
      <c r="H9566" t="s">
        <v>22454</v>
      </c>
      <c r="I9566" t="s">
        <v>7738</v>
      </c>
      <c r="J9566" t="s">
        <v>28656</v>
      </c>
      <c r="K9566" t="s">
        <v>29338</v>
      </c>
      <c r="M9566" t="s">
        <v>31150</v>
      </c>
      <c r="N9566" t="s">
        <v>32524</v>
      </c>
      <c r="O9566" t="s">
        <v>32525</v>
      </c>
      <c r="P9566">
        <v>0</v>
      </c>
      <c r="Q9566">
        <v>8</v>
      </c>
      <c r="R9566" t="s">
        <v>32538</v>
      </c>
      <c r="S9566" t="s">
        <v>32872</v>
      </c>
      <c r="T9566" t="s">
        <v>33228</v>
      </c>
      <c r="U9566" t="s">
        <v>41521</v>
      </c>
      <c r="V9566" t="s">
        <v>42461</v>
      </c>
      <c r="W9566" t="s">
        <v>31150</v>
      </c>
      <c r="X9566" t="s">
        <v>32539</v>
      </c>
    </row>
    <row r="9567" spans="1:24">
      <c r="A9567">
        <f>HYPERLINK("https://www.philgeps.gov.ph/GEPSNONPILOT/Tender/SplashBidNoticeAbstractUI.aspx?menuIndex=3&amp;refID=7025995&amp;Result=3","7025995")</f>
        <v>0</v>
      </c>
      <c r="B9567" t="s">
        <v>386</v>
      </c>
      <c r="C9567" t="s">
        <v>11830</v>
      </c>
      <c r="D9567" t="s">
        <v>12988</v>
      </c>
      <c r="E9567" t="s">
        <v>21416</v>
      </c>
      <c r="F9567" t="s">
        <v>22436</v>
      </c>
      <c r="G9567" t="s">
        <v>22444</v>
      </c>
      <c r="H9567" t="s">
        <v>22452</v>
      </c>
      <c r="I9567" t="s">
        <v>22465</v>
      </c>
      <c r="J9567" t="s">
        <v>28657</v>
      </c>
      <c r="K9567" t="s">
        <v>29335</v>
      </c>
      <c r="M9567" t="s">
        <v>32358</v>
      </c>
      <c r="N9567" t="s">
        <v>32524</v>
      </c>
      <c r="O9567" t="s">
        <v>32525</v>
      </c>
      <c r="Q9567">
        <v>8</v>
      </c>
      <c r="R9567" t="s">
        <v>32538</v>
      </c>
      <c r="S9567" t="s">
        <v>32947</v>
      </c>
      <c r="T9567" t="s">
        <v>33244</v>
      </c>
      <c r="U9567" t="s">
        <v>41522</v>
      </c>
      <c r="W9567" t="s">
        <v>32358</v>
      </c>
      <c r="X9567" t="s">
        <v>32539</v>
      </c>
    </row>
    <row r="9568" spans="1:24">
      <c r="A9568">
        <f>HYPERLINK("https://www.philgeps.gov.ph/GEPSNONPILOT/Tender/SplashBidNoticeAbstractUI.aspx?menuIndex=3&amp;refID=7025980&amp;Result=3","7025980")</f>
        <v>0</v>
      </c>
      <c r="B9568" t="s">
        <v>2544</v>
      </c>
      <c r="C9568" t="s">
        <v>11831</v>
      </c>
      <c r="D9568" t="s">
        <v>12990</v>
      </c>
      <c r="E9568" t="s">
        <v>21410</v>
      </c>
      <c r="F9568" t="s">
        <v>22436</v>
      </c>
      <c r="G9568" t="s">
        <v>22444</v>
      </c>
      <c r="H9568" t="s">
        <v>22452</v>
      </c>
      <c r="I9568" t="s">
        <v>22463</v>
      </c>
      <c r="J9568" t="s">
        <v>28658</v>
      </c>
      <c r="K9568" t="s">
        <v>29331</v>
      </c>
      <c r="M9568" t="s">
        <v>32355</v>
      </c>
      <c r="N9568" t="s">
        <v>32524</v>
      </c>
      <c r="O9568" t="s">
        <v>32525</v>
      </c>
      <c r="P9568">
        <v>0</v>
      </c>
      <c r="Q9568">
        <v>3</v>
      </c>
      <c r="R9568" t="s">
        <v>32538</v>
      </c>
      <c r="S9568" t="s">
        <v>32872</v>
      </c>
      <c r="T9568" t="s">
        <v>33593</v>
      </c>
      <c r="U9568" t="s">
        <v>41515</v>
      </c>
      <c r="V9568" t="s">
        <v>43497</v>
      </c>
      <c r="W9568" t="s">
        <v>32355</v>
      </c>
      <c r="X9568" t="s">
        <v>32539</v>
      </c>
    </row>
    <row r="9569" spans="1:24">
      <c r="A9569">
        <f>HYPERLINK("https://www.philgeps.gov.ph/GEPSNONPILOT/Tender/SplashBidNoticeAbstractUI.aspx?menuIndex=3&amp;refID=7026010&amp;Result=3","7026010")</f>
        <v>0</v>
      </c>
      <c r="B9569" t="s">
        <v>1586</v>
      </c>
      <c r="C9569" t="s">
        <v>11832</v>
      </c>
      <c r="E9569" t="s">
        <v>21417</v>
      </c>
      <c r="F9569" t="s">
        <v>22436</v>
      </c>
      <c r="G9569" t="s">
        <v>22444</v>
      </c>
      <c r="H9569" t="s">
        <v>22452</v>
      </c>
      <c r="I9569" t="s">
        <v>22531</v>
      </c>
      <c r="J9569" t="s">
        <v>28659</v>
      </c>
      <c r="K9569" t="s">
        <v>29338</v>
      </c>
      <c r="M9569" t="s">
        <v>32346</v>
      </c>
      <c r="N9569" t="s">
        <v>32524</v>
      </c>
      <c r="O9569" t="s">
        <v>32525</v>
      </c>
      <c r="P9569">
        <v>0</v>
      </c>
      <c r="Q9569">
        <v>9</v>
      </c>
      <c r="R9569" t="s">
        <v>32538</v>
      </c>
      <c r="S9569" t="s">
        <v>32872</v>
      </c>
      <c r="T9569" t="s">
        <v>33177</v>
      </c>
      <c r="U9569" t="s">
        <v>41523</v>
      </c>
      <c r="W9569" t="s">
        <v>32346</v>
      </c>
      <c r="X9569" t="s">
        <v>32539</v>
      </c>
    </row>
    <row r="9570" spans="1:24">
      <c r="A9570">
        <f>HYPERLINK("https://www.philgeps.gov.ph/GEPSNONPILOT/Tender/SplashBidNoticeAbstractUI.aspx?menuIndex=3&amp;refID=7026029&amp;Result=3","7026029")</f>
        <v>0</v>
      </c>
      <c r="B9570" t="s">
        <v>72</v>
      </c>
      <c r="C9570" t="s">
        <v>11833</v>
      </c>
      <c r="D9570" t="s">
        <v>12996</v>
      </c>
      <c r="E9570" t="s">
        <v>21418</v>
      </c>
      <c r="F9570" t="s">
        <v>22436</v>
      </c>
      <c r="G9570" t="s">
        <v>22444</v>
      </c>
      <c r="H9570" t="s">
        <v>22454</v>
      </c>
      <c r="I9570" t="s">
        <v>7738</v>
      </c>
      <c r="J9570" t="s">
        <v>28660</v>
      </c>
      <c r="K9570" t="s">
        <v>29333</v>
      </c>
      <c r="M9570" t="s">
        <v>29644</v>
      </c>
      <c r="N9570" t="s">
        <v>32524</v>
      </c>
      <c r="O9570" t="s">
        <v>32525</v>
      </c>
      <c r="P9570">
        <v>0</v>
      </c>
      <c r="Q9570">
        <v>1</v>
      </c>
      <c r="R9570" t="s">
        <v>32538</v>
      </c>
      <c r="S9570" t="s">
        <v>32872</v>
      </c>
      <c r="T9570" t="s">
        <v>33227</v>
      </c>
      <c r="U9570" t="s">
        <v>41524</v>
      </c>
      <c r="W9570" t="s">
        <v>29644</v>
      </c>
      <c r="X9570" t="s">
        <v>32539</v>
      </c>
    </row>
    <row r="9571" spans="1:24">
      <c r="A9571">
        <f>HYPERLINK("https://www.philgeps.gov.ph/GEPSNONPILOT/Tender/SplashBidNoticeAbstractUI.aspx?menuIndex=3&amp;refID=7025985&amp;Result=3","7025985")</f>
        <v>0</v>
      </c>
      <c r="B9571" t="s">
        <v>127</v>
      </c>
      <c r="C9571" t="s">
        <v>11834</v>
      </c>
      <c r="D9571" t="s">
        <v>13037</v>
      </c>
      <c r="E9571" t="s">
        <v>21419</v>
      </c>
      <c r="F9571" t="s">
        <v>22436</v>
      </c>
      <c r="G9571" t="s">
        <v>22444</v>
      </c>
      <c r="H9571" t="s">
        <v>22454</v>
      </c>
      <c r="I9571" t="s">
        <v>7738</v>
      </c>
      <c r="J9571" t="s">
        <v>28661</v>
      </c>
      <c r="K9571" t="s">
        <v>29389</v>
      </c>
      <c r="M9571" t="s">
        <v>29699</v>
      </c>
      <c r="N9571" t="s">
        <v>32524</v>
      </c>
      <c r="O9571" t="s">
        <v>32525</v>
      </c>
      <c r="P9571">
        <v>0</v>
      </c>
      <c r="Q9571">
        <v>0</v>
      </c>
      <c r="R9571" t="s">
        <v>32538</v>
      </c>
      <c r="S9571" t="s">
        <v>32872</v>
      </c>
      <c r="T9571" t="s">
        <v>33182</v>
      </c>
      <c r="U9571" t="s">
        <v>41525</v>
      </c>
      <c r="W9571" t="s">
        <v>29699</v>
      </c>
      <c r="X9571" t="s">
        <v>32539</v>
      </c>
    </row>
    <row r="9572" spans="1:24">
      <c r="A9572">
        <f>HYPERLINK("https://www.philgeps.gov.ph/GEPSNONPILOT/Tender/SplashBidNoticeAbstractUI.aspx?menuIndex=3&amp;refID=7025989&amp;Result=3","7025989")</f>
        <v>0</v>
      </c>
      <c r="B9572" t="s">
        <v>1586</v>
      </c>
      <c r="C9572" t="s">
        <v>11835</v>
      </c>
      <c r="E9572" t="s">
        <v>21420</v>
      </c>
      <c r="F9572" t="s">
        <v>22436</v>
      </c>
      <c r="G9572" t="s">
        <v>22444</v>
      </c>
      <c r="H9572" t="s">
        <v>22452</v>
      </c>
      <c r="I9572" t="s">
        <v>22483</v>
      </c>
      <c r="J9572" t="s">
        <v>28662</v>
      </c>
      <c r="K9572" t="s">
        <v>29338</v>
      </c>
      <c r="M9572" t="s">
        <v>32346</v>
      </c>
      <c r="N9572" t="s">
        <v>32524</v>
      </c>
      <c r="O9572" t="s">
        <v>32525</v>
      </c>
      <c r="P9572">
        <v>0</v>
      </c>
      <c r="Q9572">
        <v>3</v>
      </c>
      <c r="R9572" t="s">
        <v>32538</v>
      </c>
      <c r="S9572" t="s">
        <v>32872</v>
      </c>
      <c r="T9572" t="s">
        <v>33177</v>
      </c>
      <c r="U9572" t="s">
        <v>41526</v>
      </c>
      <c r="W9572" t="s">
        <v>32346</v>
      </c>
      <c r="X9572" t="s">
        <v>32539</v>
      </c>
    </row>
    <row r="9573" spans="1:24">
      <c r="A9573">
        <f>HYPERLINK("https://www.philgeps.gov.ph/GEPSNONPILOT/Tender/SplashBidNoticeAbstractUI.aspx?menuIndex=3&amp;refID=7025920&amp;Result=3","7025920")</f>
        <v>0</v>
      </c>
      <c r="B9573" t="s">
        <v>95</v>
      </c>
      <c r="C9573" t="s">
        <v>11836</v>
      </c>
      <c r="D9573" t="s">
        <v>13028</v>
      </c>
      <c r="E9573" t="s">
        <v>21421</v>
      </c>
      <c r="F9573" t="s">
        <v>22436</v>
      </c>
      <c r="G9573" t="s">
        <v>22444</v>
      </c>
      <c r="H9573" t="s">
        <v>22452</v>
      </c>
      <c r="I9573" t="s">
        <v>22474</v>
      </c>
      <c r="J9573" t="s">
        <v>28483</v>
      </c>
      <c r="K9573" t="s">
        <v>29334</v>
      </c>
      <c r="M9573" t="s">
        <v>30024</v>
      </c>
      <c r="N9573" t="s">
        <v>32524</v>
      </c>
      <c r="O9573" t="s">
        <v>32525</v>
      </c>
      <c r="P9573">
        <v>0</v>
      </c>
      <c r="Q9573">
        <v>3</v>
      </c>
      <c r="R9573" t="s">
        <v>32538</v>
      </c>
      <c r="S9573" t="s">
        <v>32872</v>
      </c>
      <c r="T9573" t="s">
        <v>33249</v>
      </c>
      <c r="U9573" t="s">
        <v>41527</v>
      </c>
      <c r="W9573" t="s">
        <v>30024</v>
      </c>
      <c r="X9573" t="s">
        <v>32539</v>
      </c>
    </row>
    <row r="9574" spans="1:24">
      <c r="A9574">
        <f>HYPERLINK("https://www.philgeps.gov.ph/GEPSNONPILOT/Tender/SplashBidNoticeAbstractUI.aspx?menuIndex=3&amp;refID=7025978&amp;Result=3","7025978")</f>
        <v>0</v>
      </c>
      <c r="B9574" t="s">
        <v>2534</v>
      </c>
      <c r="C9574" t="s">
        <v>11837</v>
      </c>
      <c r="D9574" t="s">
        <v>13002</v>
      </c>
      <c r="E9574" t="s">
        <v>18981</v>
      </c>
      <c r="F9574" t="s">
        <v>22436</v>
      </c>
      <c r="G9574" t="s">
        <v>22444</v>
      </c>
      <c r="H9574" t="s">
        <v>22454</v>
      </c>
      <c r="I9574" t="s">
        <v>7738</v>
      </c>
      <c r="J9574" t="s">
        <v>28663</v>
      </c>
      <c r="K9574" t="s">
        <v>29334</v>
      </c>
      <c r="M9574" t="s">
        <v>32342</v>
      </c>
      <c r="N9574" t="s">
        <v>32524</v>
      </c>
      <c r="O9574" t="s">
        <v>32525</v>
      </c>
      <c r="P9574">
        <v>0</v>
      </c>
      <c r="Q9574">
        <v>0</v>
      </c>
      <c r="R9574" t="s">
        <v>32538</v>
      </c>
      <c r="S9574" t="s">
        <v>32872</v>
      </c>
      <c r="T9574" t="s">
        <v>33268</v>
      </c>
      <c r="U9574" t="s">
        <v>41518</v>
      </c>
      <c r="W9574" t="s">
        <v>32342</v>
      </c>
      <c r="X9574" t="s">
        <v>32539</v>
      </c>
    </row>
    <row r="9575" spans="1:24">
      <c r="A9575">
        <f>HYPERLINK("https://www.philgeps.gov.ph/GEPSNONPILOT/Tender/SplashBidNoticeAbstractUI.aspx?menuIndex=3&amp;refID=7025969&amp;Result=3","7025969")</f>
        <v>0</v>
      </c>
      <c r="B9575" t="s">
        <v>1586</v>
      </c>
      <c r="C9575" t="s">
        <v>11838</v>
      </c>
      <c r="E9575" t="s">
        <v>21422</v>
      </c>
      <c r="F9575" t="s">
        <v>22436</v>
      </c>
      <c r="G9575" t="s">
        <v>22444</v>
      </c>
      <c r="H9575" t="s">
        <v>22452</v>
      </c>
      <c r="I9575" t="s">
        <v>22483</v>
      </c>
      <c r="J9575" t="s">
        <v>28664</v>
      </c>
      <c r="K9575" t="s">
        <v>29338</v>
      </c>
      <c r="M9575" t="s">
        <v>32346</v>
      </c>
      <c r="N9575" t="s">
        <v>32524</v>
      </c>
      <c r="O9575" t="s">
        <v>32525</v>
      </c>
      <c r="P9575">
        <v>0</v>
      </c>
      <c r="Q9575">
        <v>3</v>
      </c>
      <c r="R9575" t="s">
        <v>32538</v>
      </c>
      <c r="S9575" t="s">
        <v>32872</v>
      </c>
      <c r="T9575" t="s">
        <v>33177</v>
      </c>
      <c r="U9575" t="s">
        <v>41528</v>
      </c>
      <c r="W9575" t="s">
        <v>32346</v>
      </c>
      <c r="X9575" t="s">
        <v>32539</v>
      </c>
    </row>
    <row r="9576" spans="1:24">
      <c r="A9576">
        <f>HYPERLINK("https://www.philgeps.gov.ph/GEPSNONPILOT/Tender/SplashBidNoticeAbstractUI.aspx?menuIndex=3&amp;refID=7025979&amp;Result=3","7025979")</f>
        <v>0</v>
      </c>
      <c r="B9576" t="s">
        <v>2547</v>
      </c>
      <c r="C9576" t="s">
        <v>11839</v>
      </c>
      <c r="D9576" t="s">
        <v>13038</v>
      </c>
      <c r="E9576" t="s">
        <v>13318</v>
      </c>
      <c r="F9576" t="s">
        <v>22436</v>
      </c>
      <c r="G9576" t="s">
        <v>22444</v>
      </c>
      <c r="H9576" t="s">
        <v>22452</v>
      </c>
      <c r="I9576" t="s">
        <v>3529</v>
      </c>
      <c r="J9576" t="s">
        <v>28665</v>
      </c>
      <c r="K9576" t="s">
        <v>29337</v>
      </c>
      <c r="M9576" t="s">
        <v>32359</v>
      </c>
      <c r="N9576" t="s">
        <v>32524</v>
      </c>
      <c r="O9576" t="s">
        <v>32525</v>
      </c>
      <c r="P9576">
        <v>0</v>
      </c>
      <c r="Q9576">
        <v>0</v>
      </c>
      <c r="R9576" t="s">
        <v>32538</v>
      </c>
      <c r="S9576" t="s">
        <v>32872</v>
      </c>
      <c r="T9576" t="s">
        <v>33312</v>
      </c>
      <c r="U9576" t="s">
        <v>37869</v>
      </c>
      <c r="V9576" t="s">
        <v>43498</v>
      </c>
      <c r="W9576" t="s">
        <v>32359</v>
      </c>
      <c r="X9576" t="s">
        <v>32539</v>
      </c>
    </row>
    <row r="9577" spans="1:24">
      <c r="A9577">
        <f>HYPERLINK("https://www.philgeps.gov.ph/GEPSNONPILOT/Tender/SplashBidNoticeAbstractUI.aspx?menuIndex=3&amp;refID=7026031&amp;Result=3","7026031")</f>
        <v>0</v>
      </c>
      <c r="B9577" t="s">
        <v>1586</v>
      </c>
      <c r="C9577" t="s">
        <v>11840</v>
      </c>
      <c r="E9577" t="s">
        <v>21423</v>
      </c>
      <c r="F9577" t="s">
        <v>22436</v>
      </c>
      <c r="G9577" t="s">
        <v>22444</v>
      </c>
      <c r="H9577" t="s">
        <v>22452</v>
      </c>
      <c r="I9577" t="s">
        <v>22467</v>
      </c>
      <c r="J9577" t="s">
        <v>28666</v>
      </c>
      <c r="K9577" t="s">
        <v>29338</v>
      </c>
      <c r="M9577" t="s">
        <v>32346</v>
      </c>
      <c r="N9577" t="s">
        <v>32524</v>
      </c>
      <c r="O9577" t="s">
        <v>32525</v>
      </c>
      <c r="P9577">
        <v>0</v>
      </c>
      <c r="Q9577">
        <v>0</v>
      </c>
      <c r="R9577" t="s">
        <v>32538</v>
      </c>
      <c r="S9577" t="s">
        <v>32872</v>
      </c>
      <c r="T9577" t="s">
        <v>33177</v>
      </c>
      <c r="U9577" t="s">
        <v>41529</v>
      </c>
      <c r="W9577" t="s">
        <v>32346</v>
      </c>
      <c r="X9577" t="s">
        <v>32539</v>
      </c>
    </row>
    <row r="9578" spans="1:24">
      <c r="A9578">
        <f>HYPERLINK("https://www.philgeps.gov.ph/GEPSNONPILOT/Tender/SplashBidNoticeAbstractUI.aspx?menuIndex=3&amp;refID=7026081&amp;Result=3","7026081")</f>
        <v>0</v>
      </c>
      <c r="B9578" t="s">
        <v>2131</v>
      </c>
      <c r="C9578" t="s">
        <v>11841</v>
      </c>
      <c r="D9578" t="s">
        <v>13041</v>
      </c>
      <c r="E9578" t="s">
        <v>21424</v>
      </c>
      <c r="F9578" t="s">
        <v>22436</v>
      </c>
      <c r="G9578" t="s">
        <v>22444</v>
      </c>
      <c r="H9578" t="s">
        <v>22454</v>
      </c>
      <c r="I9578" t="s">
        <v>7738</v>
      </c>
      <c r="J9578" t="s">
        <v>22893</v>
      </c>
      <c r="K9578" t="s">
        <v>29378</v>
      </c>
      <c r="M9578" t="s">
        <v>32206</v>
      </c>
      <c r="N9578" t="s">
        <v>32524</v>
      </c>
      <c r="O9578" t="s">
        <v>32525</v>
      </c>
      <c r="P9578">
        <v>0</v>
      </c>
      <c r="Q9578">
        <v>0</v>
      </c>
      <c r="R9578" t="s">
        <v>32538</v>
      </c>
      <c r="S9578" t="s">
        <v>32872</v>
      </c>
      <c r="T9578" t="s">
        <v>33175</v>
      </c>
      <c r="U9578" t="s">
        <v>41530</v>
      </c>
      <c r="V9578" t="s">
        <v>43369</v>
      </c>
      <c r="W9578" t="s">
        <v>32206</v>
      </c>
      <c r="X9578" t="s">
        <v>32539</v>
      </c>
    </row>
    <row r="9579" spans="1:24">
      <c r="A9579">
        <f>HYPERLINK("https://www.philgeps.gov.ph/GEPSNONPILOT/Tender/SplashBidNoticeAbstractUI.aspx?menuIndex=3&amp;refID=7025986&amp;Result=3","7025986")</f>
        <v>0</v>
      </c>
      <c r="B9579" t="s">
        <v>2541</v>
      </c>
      <c r="C9579" t="s">
        <v>11842</v>
      </c>
      <c r="D9579" t="s">
        <v>13068</v>
      </c>
      <c r="E9579" t="s">
        <v>21425</v>
      </c>
      <c r="F9579" t="s">
        <v>22436</v>
      </c>
      <c r="G9579" t="s">
        <v>22443</v>
      </c>
      <c r="H9579" t="s">
        <v>22452</v>
      </c>
      <c r="I9579" t="s">
        <v>22460</v>
      </c>
      <c r="J9579" t="s">
        <v>28667</v>
      </c>
      <c r="K9579" t="s">
        <v>29335</v>
      </c>
      <c r="M9579" t="s">
        <v>32351</v>
      </c>
      <c r="N9579" t="s">
        <v>32524</v>
      </c>
      <c r="O9579" t="s">
        <v>32525</v>
      </c>
      <c r="P9579">
        <v>0</v>
      </c>
      <c r="Q9579">
        <v>0</v>
      </c>
      <c r="R9579" t="s">
        <v>32538</v>
      </c>
      <c r="S9579" t="s">
        <v>32872</v>
      </c>
      <c r="T9579" t="s">
        <v>33238</v>
      </c>
      <c r="U9579" t="s">
        <v>34065</v>
      </c>
      <c r="V9579" t="s">
        <v>43490</v>
      </c>
      <c r="W9579" t="s">
        <v>32351</v>
      </c>
      <c r="X9579" t="s">
        <v>32539</v>
      </c>
    </row>
    <row r="9580" spans="1:24">
      <c r="A9580">
        <f>HYPERLINK("https://www.philgeps.gov.ph/GEPSNONPILOT/Tender/SplashBidNoticeAbstractUI.aspx?menuIndex=3&amp;refID=7026030&amp;Result=3","7026030")</f>
        <v>0</v>
      </c>
      <c r="B9580" t="s">
        <v>2534</v>
      </c>
      <c r="C9580" t="s">
        <v>11843</v>
      </c>
      <c r="D9580" t="s">
        <v>13002</v>
      </c>
      <c r="E9580" t="s">
        <v>13695</v>
      </c>
      <c r="F9580" t="s">
        <v>22436</v>
      </c>
      <c r="G9580" t="s">
        <v>22444</v>
      </c>
      <c r="H9580" t="s">
        <v>22454</v>
      </c>
      <c r="I9580" t="s">
        <v>7738</v>
      </c>
      <c r="J9580" t="s">
        <v>28668</v>
      </c>
      <c r="K9580" t="s">
        <v>29556</v>
      </c>
      <c r="M9580" t="s">
        <v>32342</v>
      </c>
      <c r="N9580" t="s">
        <v>32524</v>
      </c>
      <c r="O9580" t="s">
        <v>32525</v>
      </c>
      <c r="P9580">
        <v>0</v>
      </c>
      <c r="Q9580">
        <v>0</v>
      </c>
      <c r="R9580" t="s">
        <v>32538</v>
      </c>
      <c r="S9580" t="s">
        <v>32872</v>
      </c>
      <c r="T9580" t="s">
        <v>33268</v>
      </c>
      <c r="U9580" t="s">
        <v>41531</v>
      </c>
      <c r="W9580" t="s">
        <v>32342</v>
      </c>
      <c r="X9580" t="s">
        <v>32539</v>
      </c>
    </row>
    <row r="9581" spans="1:24">
      <c r="A9581">
        <f>HYPERLINK("https://www.philgeps.gov.ph/GEPSNONPILOT/Tender/SplashBidNoticeAbstractUI.aspx?menuIndex=3&amp;refID=7026107&amp;Result=3","7026107")</f>
        <v>0</v>
      </c>
      <c r="B9581" t="s">
        <v>2534</v>
      </c>
      <c r="C9581" t="s">
        <v>11844</v>
      </c>
      <c r="D9581" t="s">
        <v>13002</v>
      </c>
      <c r="E9581" t="s">
        <v>14577</v>
      </c>
      <c r="F9581" t="s">
        <v>22436</v>
      </c>
      <c r="G9581" t="s">
        <v>22444</v>
      </c>
      <c r="H9581" t="s">
        <v>22454</v>
      </c>
      <c r="I9581" t="s">
        <v>7738</v>
      </c>
      <c r="J9581" t="s">
        <v>28669</v>
      </c>
      <c r="K9581" t="s">
        <v>29333</v>
      </c>
      <c r="M9581" t="s">
        <v>32342</v>
      </c>
      <c r="N9581" t="s">
        <v>32524</v>
      </c>
      <c r="O9581" t="s">
        <v>32525</v>
      </c>
      <c r="P9581">
        <v>0</v>
      </c>
      <c r="Q9581">
        <v>0</v>
      </c>
      <c r="R9581" t="s">
        <v>32538</v>
      </c>
      <c r="S9581" t="s">
        <v>32872</v>
      </c>
      <c r="T9581" t="s">
        <v>33268</v>
      </c>
      <c r="U9581" t="s">
        <v>41532</v>
      </c>
      <c r="W9581" t="s">
        <v>32342</v>
      </c>
      <c r="X9581" t="s">
        <v>32539</v>
      </c>
    </row>
    <row r="9582" spans="1:24">
      <c r="A9582">
        <f>HYPERLINK("https://www.philgeps.gov.ph/GEPSNONPILOT/Tender/SplashBidNoticeAbstractUI.aspx?menuIndex=3&amp;refID=7026070&amp;Result=3","7026070")</f>
        <v>0</v>
      </c>
      <c r="B9582" t="s">
        <v>1586</v>
      </c>
      <c r="C9582" t="s">
        <v>11845</v>
      </c>
      <c r="E9582" t="s">
        <v>21426</v>
      </c>
      <c r="F9582" t="s">
        <v>22436</v>
      </c>
      <c r="G9582" t="s">
        <v>22444</v>
      </c>
      <c r="H9582" t="s">
        <v>22452</v>
      </c>
      <c r="I9582" t="s">
        <v>22486</v>
      </c>
      <c r="J9582" t="s">
        <v>28670</v>
      </c>
      <c r="K9582" t="s">
        <v>29338</v>
      </c>
      <c r="M9582" t="s">
        <v>32346</v>
      </c>
      <c r="N9582" t="s">
        <v>32524</v>
      </c>
      <c r="O9582" t="s">
        <v>32525</v>
      </c>
      <c r="P9582">
        <v>0</v>
      </c>
      <c r="Q9582">
        <v>1</v>
      </c>
      <c r="R9582" t="s">
        <v>32538</v>
      </c>
      <c r="S9582" t="s">
        <v>32872</v>
      </c>
      <c r="T9582" t="s">
        <v>33177</v>
      </c>
      <c r="U9582" t="s">
        <v>41533</v>
      </c>
      <c r="W9582" t="s">
        <v>32346</v>
      </c>
      <c r="X9582" t="s">
        <v>32539</v>
      </c>
    </row>
    <row r="9583" spans="1:24">
      <c r="A9583">
        <f>HYPERLINK("https://www.philgeps.gov.ph/GEPSNONPILOT/Tender/SplashBidNoticeAbstractUI.aspx?menuIndex=3&amp;refID=7026038&amp;Result=3","7026038")</f>
        <v>0</v>
      </c>
      <c r="B9583" t="s">
        <v>2546</v>
      </c>
      <c r="C9583" t="s">
        <v>11846</v>
      </c>
      <c r="D9583" t="s">
        <v>13038</v>
      </c>
      <c r="E9583" t="s">
        <v>21427</v>
      </c>
      <c r="F9583" t="s">
        <v>22436</v>
      </c>
      <c r="G9583" t="s">
        <v>22444</v>
      </c>
      <c r="H9583" t="s">
        <v>22454</v>
      </c>
      <c r="I9583" t="s">
        <v>3529</v>
      </c>
      <c r="J9583" t="s">
        <v>28671</v>
      </c>
      <c r="K9583" t="s">
        <v>29335</v>
      </c>
      <c r="M9583" t="s">
        <v>32357</v>
      </c>
      <c r="N9583" t="s">
        <v>32524</v>
      </c>
      <c r="O9583" t="s">
        <v>32525</v>
      </c>
      <c r="P9583">
        <v>0</v>
      </c>
      <c r="Q9583">
        <v>1</v>
      </c>
      <c r="R9583" t="s">
        <v>32538</v>
      </c>
      <c r="S9583" t="s">
        <v>32872</v>
      </c>
      <c r="T9583" t="s">
        <v>33389</v>
      </c>
      <c r="U9583" t="s">
        <v>41534</v>
      </c>
      <c r="V9583" t="s">
        <v>41534</v>
      </c>
      <c r="W9583" t="s">
        <v>32357</v>
      </c>
      <c r="X9583" t="s">
        <v>32539</v>
      </c>
    </row>
    <row r="9584" spans="1:24">
      <c r="A9584">
        <f>HYPERLINK("https://www.philgeps.gov.ph/GEPSNONPILOT/Tender/SplashBidNoticeAbstractUI.aspx?menuIndex=3&amp;refID=7026105&amp;Result=3","7026105")</f>
        <v>0</v>
      </c>
      <c r="B9584" t="s">
        <v>591</v>
      </c>
      <c r="C9584" t="s">
        <v>11847</v>
      </c>
      <c r="D9584" t="s">
        <v>13003</v>
      </c>
      <c r="E9584" t="s">
        <v>21428</v>
      </c>
      <c r="F9584" t="s">
        <v>22436</v>
      </c>
      <c r="G9584" t="s">
        <v>22444</v>
      </c>
      <c r="H9584" t="s">
        <v>22454</v>
      </c>
      <c r="I9584" t="s">
        <v>7738</v>
      </c>
      <c r="J9584" t="s">
        <v>22877</v>
      </c>
      <c r="K9584" t="s">
        <v>29537</v>
      </c>
      <c r="M9584" t="s">
        <v>30181</v>
      </c>
      <c r="N9584" t="s">
        <v>32524</v>
      </c>
      <c r="O9584" t="s">
        <v>32525</v>
      </c>
      <c r="P9584">
        <v>0</v>
      </c>
      <c r="Q9584">
        <v>0</v>
      </c>
      <c r="R9584" t="s">
        <v>32538</v>
      </c>
      <c r="S9584" t="s">
        <v>32872</v>
      </c>
      <c r="T9584" t="s">
        <v>33312</v>
      </c>
      <c r="U9584" t="s">
        <v>41535</v>
      </c>
      <c r="W9584" t="s">
        <v>30181</v>
      </c>
      <c r="X9584" t="s">
        <v>32539</v>
      </c>
    </row>
    <row r="9585" spans="1:24">
      <c r="A9585">
        <f>HYPERLINK("https://www.philgeps.gov.ph/GEPSNONPILOT/Tender/SplashBidNoticeAbstractUI.aspx?menuIndex=3&amp;refID=7026061&amp;Result=3","7026061")</f>
        <v>0</v>
      </c>
      <c r="B9585" t="s">
        <v>2548</v>
      </c>
      <c r="C9585" t="s">
        <v>11848</v>
      </c>
      <c r="D9585" t="s">
        <v>12999</v>
      </c>
      <c r="E9585" t="s">
        <v>13487</v>
      </c>
      <c r="F9585" t="s">
        <v>22436</v>
      </c>
      <c r="G9585" t="s">
        <v>22444</v>
      </c>
      <c r="H9585" t="s">
        <v>22454</v>
      </c>
      <c r="I9585" t="s">
        <v>7738</v>
      </c>
      <c r="J9585" t="s">
        <v>28672</v>
      </c>
      <c r="K9585" t="s">
        <v>29341</v>
      </c>
      <c r="M9585" t="s">
        <v>32360</v>
      </c>
      <c r="N9585" t="s">
        <v>32524</v>
      </c>
      <c r="O9585" t="s">
        <v>32525</v>
      </c>
      <c r="P9585">
        <v>0</v>
      </c>
      <c r="Q9585">
        <v>0</v>
      </c>
      <c r="R9585" t="s">
        <v>32538</v>
      </c>
      <c r="S9585" t="s">
        <v>32872</v>
      </c>
      <c r="T9585" t="s">
        <v>33238</v>
      </c>
      <c r="U9585" t="s">
        <v>41536</v>
      </c>
      <c r="W9585" t="s">
        <v>32360</v>
      </c>
      <c r="X9585" t="s">
        <v>32539</v>
      </c>
    </row>
    <row r="9586" spans="1:24">
      <c r="A9586">
        <f>HYPERLINK("https://www.philgeps.gov.ph/GEPSNONPILOT/Tender/SplashBidNoticeAbstractUI.aspx?menuIndex=3&amp;refID=7026048&amp;Result=3","7026048")</f>
        <v>0</v>
      </c>
      <c r="B9586" t="s">
        <v>1175</v>
      </c>
      <c r="C9586" t="s">
        <v>11849</v>
      </c>
      <c r="D9586" t="s">
        <v>13050</v>
      </c>
      <c r="E9586" t="s">
        <v>21429</v>
      </c>
      <c r="F9586" t="s">
        <v>22436</v>
      </c>
      <c r="G9586" t="s">
        <v>22444</v>
      </c>
      <c r="H9586" t="s">
        <v>22452</v>
      </c>
      <c r="I9586" t="s">
        <v>6421</v>
      </c>
      <c r="J9586" t="s">
        <v>28673</v>
      </c>
      <c r="K9586" t="s">
        <v>29338</v>
      </c>
      <c r="M9586" t="s">
        <v>30821</v>
      </c>
      <c r="N9586" t="s">
        <v>32524</v>
      </c>
      <c r="O9586" t="s">
        <v>32525</v>
      </c>
      <c r="P9586">
        <v>0</v>
      </c>
      <c r="Q9586">
        <v>5</v>
      </c>
      <c r="R9586" t="s">
        <v>32538</v>
      </c>
      <c r="S9586" t="s">
        <v>32872</v>
      </c>
      <c r="T9586" t="s">
        <v>33488</v>
      </c>
      <c r="U9586" t="s">
        <v>41537</v>
      </c>
      <c r="W9586" t="s">
        <v>30821</v>
      </c>
      <c r="X9586" t="s">
        <v>32539</v>
      </c>
    </row>
    <row r="9587" spans="1:24">
      <c r="A9587">
        <f>HYPERLINK("https://www.philgeps.gov.ph/GEPSNONPILOT/Tender/SplashBidNoticeAbstractUI.aspx?menuIndex=3&amp;refID=7026116&amp;Result=3","7026116")</f>
        <v>0</v>
      </c>
      <c r="B9587" t="s">
        <v>2134</v>
      </c>
      <c r="C9587" t="s">
        <v>11850</v>
      </c>
      <c r="D9587" t="s">
        <v>13011</v>
      </c>
      <c r="E9587" t="s">
        <v>21430</v>
      </c>
      <c r="F9587" t="s">
        <v>22436</v>
      </c>
      <c r="G9587" t="s">
        <v>22444</v>
      </c>
      <c r="H9587" t="s">
        <v>22454</v>
      </c>
      <c r="I9587" t="s">
        <v>7738</v>
      </c>
      <c r="J9587" t="s">
        <v>22779</v>
      </c>
      <c r="K9587" t="s">
        <v>29469</v>
      </c>
      <c r="M9587" t="s">
        <v>31886</v>
      </c>
      <c r="N9587" t="s">
        <v>32524</v>
      </c>
      <c r="O9587" t="s">
        <v>32525</v>
      </c>
      <c r="P9587">
        <v>0</v>
      </c>
      <c r="Q9587">
        <v>11</v>
      </c>
      <c r="R9587" t="s">
        <v>32538</v>
      </c>
      <c r="S9587" t="s">
        <v>32872</v>
      </c>
      <c r="T9587" t="s">
        <v>33184</v>
      </c>
      <c r="U9587" t="s">
        <v>41538</v>
      </c>
      <c r="W9587" t="s">
        <v>31886</v>
      </c>
      <c r="X9587" t="s">
        <v>32539</v>
      </c>
    </row>
    <row r="9588" spans="1:24">
      <c r="A9588">
        <f>HYPERLINK("https://www.philgeps.gov.ph/GEPSNONPILOT/Tender/SplashBidNoticeAbstractUI.aspx?menuIndex=3&amp;refID=7026052&amp;Result=3","7026052")</f>
        <v>0</v>
      </c>
      <c r="B9588" t="s">
        <v>1586</v>
      </c>
      <c r="C9588" t="s">
        <v>11851</v>
      </c>
      <c r="E9588" t="s">
        <v>21431</v>
      </c>
      <c r="F9588" t="s">
        <v>22436</v>
      </c>
      <c r="G9588" t="s">
        <v>22444</v>
      </c>
      <c r="H9588" t="s">
        <v>22452</v>
      </c>
      <c r="I9588" t="s">
        <v>22460</v>
      </c>
      <c r="J9588" t="s">
        <v>28674</v>
      </c>
      <c r="K9588" t="s">
        <v>29338</v>
      </c>
      <c r="M9588" t="s">
        <v>32346</v>
      </c>
      <c r="N9588" t="s">
        <v>32524</v>
      </c>
      <c r="O9588" t="s">
        <v>32525</v>
      </c>
      <c r="P9588">
        <v>0</v>
      </c>
      <c r="Q9588">
        <v>2</v>
      </c>
      <c r="R9588" t="s">
        <v>32538</v>
      </c>
      <c r="S9588" t="s">
        <v>32872</v>
      </c>
      <c r="T9588" t="s">
        <v>33177</v>
      </c>
      <c r="U9588" t="s">
        <v>41539</v>
      </c>
      <c r="W9588" t="s">
        <v>32346</v>
      </c>
      <c r="X9588" t="s">
        <v>32539</v>
      </c>
    </row>
    <row r="9589" spans="1:24">
      <c r="A9589">
        <f>HYPERLINK("https://www.philgeps.gov.ph/GEPSNONPILOT/Tender/SplashBidNoticeAbstractUI.aspx?menuIndex=3&amp;refID=7026142&amp;Result=3","7026142")</f>
        <v>0</v>
      </c>
      <c r="B9589" t="s">
        <v>2549</v>
      </c>
      <c r="C9589" t="s">
        <v>11852</v>
      </c>
      <c r="D9589" t="s">
        <v>13045</v>
      </c>
      <c r="E9589" t="s">
        <v>21432</v>
      </c>
      <c r="F9589" t="s">
        <v>22436</v>
      </c>
      <c r="G9589" t="s">
        <v>22443</v>
      </c>
      <c r="H9589" t="s">
        <v>22452</v>
      </c>
      <c r="I9589" t="s">
        <v>3827</v>
      </c>
      <c r="J9589" t="s">
        <v>23557</v>
      </c>
      <c r="K9589" t="s">
        <v>29329</v>
      </c>
      <c r="M9589" t="s">
        <v>32361</v>
      </c>
      <c r="N9589" t="s">
        <v>32524</v>
      </c>
      <c r="O9589" t="s">
        <v>32525</v>
      </c>
      <c r="P9589">
        <v>0</v>
      </c>
      <c r="Q9589">
        <v>11</v>
      </c>
      <c r="R9589" t="s">
        <v>32538</v>
      </c>
      <c r="S9589" t="s">
        <v>32872</v>
      </c>
      <c r="T9589" t="s">
        <v>33209</v>
      </c>
      <c r="U9589" t="s">
        <v>41540</v>
      </c>
      <c r="W9589" t="s">
        <v>32361</v>
      </c>
      <c r="X9589" t="s">
        <v>32539</v>
      </c>
    </row>
    <row r="9590" spans="1:24">
      <c r="A9590">
        <f>HYPERLINK("https://www.philgeps.gov.ph/GEPSNONPILOT/Tender/SplashBidNoticeAbstractUI.aspx?menuIndex=3&amp;refID=7026120&amp;Result=3","7026120")</f>
        <v>0</v>
      </c>
      <c r="B9590" t="s">
        <v>127</v>
      </c>
      <c r="C9590" t="s">
        <v>11853</v>
      </c>
      <c r="D9590" t="s">
        <v>13037</v>
      </c>
      <c r="E9590" t="s">
        <v>21433</v>
      </c>
      <c r="F9590" t="s">
        <v>22436</v>
      </c>
      <c r="G9590" t="s">
        <v>22444</v>
      </c>
      <c r="H9590" t="s">
        <v>22454</v>
      </c>
      <c r="I9590" t="s">
        <v>7738</v>
      </c>
      <c r="J9590" t="s">
        <v>28675</v>
      </c>
      <c r="K9590" t="s">
        <v>29386</v>
      </c>
      <c r="M9590" t="s">
        <v>29699</v>
      </c>
      <c r="N9590" t="s">
        <v>32524</v>
      </c>
      <c r="O9590" t="s">
        <v>32525</v>
      </c>
      <c r="P9590">
        <v>0</v>
      </c>
      <c r="Q9590">
        <v>0</v>
      </c>
      <c r="R9590" t="s">
        <v>32538</v>
      </c>
      <c r="S9590" t="s">
        <v>32872</v>
      </c>
      <c r="T9590" t="s">
        <v>33181</v>
      </c>
      <c r="U9590" t="s">
        <v>41541</v>
      </c>
      <c r="W9590" t="s">
        <v>29699</v>
      </c>
      <c r="X9590" t="s">
        <v>32539</v>
      </c>
    </row>
    <row r="9591" spans="1:24">
      <c r="A9591">
        <f>HYPERLINK("https://www.philgeps.gov.ph/GEPSNONPILOT/Tender/SplashBidNoticeAbstractUI.aspx?menuIndex=3&amp;refID=7026134&amp;Result=3","7026134")</f>
        <v>0</v>
      </c>
      <c r="B9591" t="s">
        <v>2544</v>
      </c>
      <c r="C9591" t="s">
        <v>11854</v>
      </c>
      <c r="D9591" t="s">
        <v>12990</v>
      </c>
      <c r="E9591" t="s">
        <v>21410</v>
      </c>
      <c r="F9591" t="s">
        <v>22436</v>
      </c>
      <c r="G9591" t="s">
        <v>22444</v>
      </c>
      <c r="H9591" t="s">
        <v>22452</v>
      </c>
      <c r="I9591" t="s">
        <v>22476</v>
      </c>
      <c r="J9591" t="s">
        <v>28676</v>
      </c>
      <c r="K9591" t="s">
        <v>29335</v>
      </c>
      <c r="M9591" t="s">
        <v>32355</v>
      </c>
      <c r="N9591" t="s">
        <v>32524</v>
      </c>
      <c r="O9591" t="s">
        <v>32525</v>
      </c>
      <c r="P9591">
        <v>0</v>
      </c>
      <c r="Q9591">
        <v>1</v>
      </c>
      <c r="R9591" t="s">
        <v>32538</v>
      </c>
      <c r="S9591" t="s">
        <v>32872</v>
      </c>
      <c r="T9591" t="s">
        <v>33593</v>
      </c>
      <c r="U9591" t="s">
        <v>41515</v>
      </c>
      <c r="V9591" t="s">
        <v>43499</v>
      </c>
      <c r="W9591" t="s">
        <v>32355</v>
      </c>
      <c r="X9591" t="s">
        <v>32539</v>
      </c>
    </row>
    <row r="9592" spans="1:24">
      <c r="A9592">
        <f>HYPERLINK("https://www.philgeps.gov.ph/GEPSNONPILOT/Tender/SplashBidNoticeAbstractUI.aspx?menuIndex=3&amp;refID=7026046&amp;Result=3","7026046")</f>
        <v>0</v>
      </c>
      <c r="B9592" t="s">
        <v>2544</v>
      </c>
      <c r="C9592" t="s">
        <v>11855</v>
      </c>
      <c r="D9592" t="s">
        <v>12990</v>
      </c>
      <c r="E9592" t="s">
        <v>21410</v>
      </c>
      <c r="F9592" t="s">
        <v>22436</v>
      </c>
      <c r="G9592" t="s">
        <v>22444</v>
      </c>
      <c r="H9592" t="s">
        <v>22452</v>
      </c>
      <c r="I9592" t="s">
        <v>12358</v>
      </c>
      <c r="J9592" t="s">
        <v>28677</v>
      </c>
      <c r="K9592" t="s">
        <v>29331</v>
      </c>
      <c r="M9592" t="s">
        <v>32355</v>
      </c>
      <c r="N9592" t="s">
        <v>32524</v>
      </c>
      <c r="O9592" t="s">
        <v>32525</v>
      </c>
      <c r="P9592">
        <v>0</v>
      </c>
      <c r="Q9592">
        <v>0</v>
      </c>
      <c r="R9592" t="s">
        <v>32538</v>
      </c>
      <c r="S9592" t="s">
        <v>32872</v>
      </c>
      <c r="T9592" t="s">
        <v>33593</v>
      </c>
      <c r="U9592" t="s">
        <v>41515</v>
      </c>
      <c r="V9592" t="s">
        <v>43500</v>
      </c>
      <c r="W9592" t="s">
        <v>32355</v>
      </c>
      <c r="X9592" t="s">
        <v>32539</v>
      </c>
    </row>
    <row r="9593" spans="1:24">
      <c r="A9593">
        <f>HYPERLINK("https://www.philgeps.gov.ph/GEPSNONPILOT/Tender/SplashBidNoticeAbstractUI.aspx?menuIndex=3&amp;refID=7026170&amp;Result=3","7026170")</f>
        <v>0</v>
      </c>
      <c r="B9593" t="s">
        <v>2550</v>
      </c>
      <c r="C9593" t="s">
        <v>11856</v>
      </c>
      <c r="D9593" t="s">
        <v>13022</v>
      </c>
      <c r="E9593" t="s">
        <v>21434</v>
      </c>
      <c r="F9593" t="s">
        <v>22436</v>
      </c>
      <c r="G9593" t="s">
        <v>22444</v>
      </c>
      <c r="H9593" t="s">
        <v>22452</v>
      </c>
      <c r="I9593" t="s">
        <v>2981</v>
      </c>
      <c r="J9593" t="s">
        <v>28678</v>
      </c>
      <c r="K9593" t="s">
        <v>29335</v>
      </c>
      <c r="M9593" t="s">
        <v>32362</v>
      </c>
      <c r="N9593" t="s">
        <v>32524</v>
      </c>
      <c r="O9593" t="s">
        <v>32525</v>
      </c>
      <c r="P9593">
        <v>0</v>
      </c>
      <c r="Q9593">
        <v>2</v>
      </c>
      <c r="R9593" t="s">
        <v>32538</v>
      </c>
      <c r="S9593" t="s">
        <v>32872</v>
      </c>
      <c r="T9593" t="s">
        <v>33163</v>
      </c>
      <c r="U9593" t="s">
        <v>41542</v>
      </c>
      <c r="V9593" t="s">
        <v>42546</v>
      </c>
      <c r="W9593" t="s">
        <v>32362</v>
      </c>
      <c r="X9593" t="s">
        <v>32539</v>
      </c>
    </row>
    <row r="9594" spans="1:24">
      <c r="A9594">
        <f>HYPERLINK("https://www.philgeps.gov.ph/GEPSNONPILOT/Tender/SplashBidNoticeAbstractUI.aspx?menuIndex=3&amp;refID=7026144&amp;Result=3","7026144")</f>
        <v>0</v>
      </c>
      <c r="B9594" t="s">
        <v>328</v>
      </c>
      <c r="C9594" t="s">
        <v>11857</v>
      </c>
      <c r="D9594" t="s">
        <v>13022</v>
      </c>
      <c r="E9594" t="s">
        <v>21435</v>
      </c>
      <c r="F9594" t="s">
        <v>22436</v>
      </c>
      <c r="G9594" t="s">
        <v>22444</v>
      </c>
      <c r="H9594" t="s">
        <v>22452</v>
      </c>
      <c r="I9594" t="s">
        <v>22467</v>
      </c>
      <c r="J9594" t="s">
        <v>28679</v>
      </c>
      <c r="K9594" t="s">
        <v>29361</v>
      </c>
      <c r="M9594" t="s">
        <v>31311</v>
      </c>
      <c r="N9594" t="s">
        <v>32524</v>
      </c>
      <c r="O9594" t="s">
        <v>32525</v>
      </c>
      <c r="P9594">
        <v>0</v>
      </c>
      <c r="Q9594">
        <v>0</v>
      </c>
      <c r="R9594" t="s">
        <v>32538</v>
      </c>
      <c r="S9594" t="s">
        <v>32872</v>
      </c>
      <c r="T9594" t="s">
        <v>33241</v>
      </c>
      <c r="U9594" t="s">
        <v>41543</v>
      </c>
      <c r="W9594" t="s">
        <v>31311</v>
      </c>
      <c r="X9594" t="s">
        <v>32539</v>
      </c>
    </row>
    <row r="9595" spans="1:24">
      <c r="A9595">
        <f>HYPERLINK("https://www.philgeps.gov.ph/GEPSNONPILOT/Tender/SplashBidNoticeAbstractUI.aspx?menuIndex=3&amp;refID=7026131&amp;Result=3","7026131")</f>
        <v>0</v>
      </c>
      <c r="B9595" t="s">
        <v>1586</v>
      </c>
      <c r="C9595" t="s">
        <v>11858</v>
      </c>
      <c r="E9595" t="s">
        <v>21436</v>
      </c>
      <c r="F9595" t="s">
        <v>22436</v>
      </c>
      <c r="G9595" t="s">
        <v>22444</v>
      </c>
      <c r="H9595" t="s">
        <v>22452</v>
      </c>
      <c r="I9595" t="s">
        <v>22469</v>
      </c>
      <c r="J9595" t="s">
        <v>23347</v>
      </c>
      <c r="K9595" t="s">
        <v>29338</v>
      </c>
      <c r="M9595" t="s">
        <v>32346</v>
      </c>
      <c r="N9595" t="s">
        <v>32524</v>
      </c>
      <c r="O9595" t="s">
        <v>32525</v>
      </c>
      <c r="P9595">
        <v>0</v>
      </c>
      <c r="Q9595">
        <v>8</v>
      </c>
      <c r="R9595" t="s">
        <v>32538</v>
      </c>
      <c r="S9595" t="s">
        <v>32872</v>
      </c>
      <c r="T9595" t="s">
        <v>33177</v>
      </c>
      <c r="U9595" t="s">
        <v>41544</v>
      </c>
      <c r="W9595" t="s">
        <v>32346</v>
      </c>
      <c r="X9595" t="s">
        <v>32539</v>
      </c>
    </row>
    <row r="9596" spans="1:24">
      <c r="A9596">
        <f>HYPERLINK("https://www.philgeps.gov.ph/GEPSNONPILOT/Tender/SplashBidNoticeAbstractUI.aspx?menuIndex=3&amp;refID=7026138&amp;Result=3","7026138")</f>
        <v>0</v>
      </c>
      <c r="B9596" t="s">
        <v>214</v>
      </c>
      <c r="C9596" t="s">
        <v>11859</v>
      </c>
      <c r="D9596" t="s">
        <v>12992</v>
      </c>
      <c r="E9596" t="s">
        <v>14741</v>
      </c>
      <c r="F9596" t="s">
        <v>22436</v>
      </c>
      <c r="G9596" t="s">
        <v>22444</v>
      </c>
      <c r="H9596" t="s">
        <v>22452</v>
      </c>
      <c r="I9596" t="s">
        <v>22471</v>
      </c>
      <c r="J9596" t="s">
        <v>28680</v>
      </c>
      <c r="K9596" t="s">
        <v>29333</v>
      </c>
      <c r="M9596" t="s">
        <v>29787</v>
      </c>
      <c r="N9596" t="s">
        <v>32524</v>
      </c>
      <c r="O9596" t="s">
        <v>32525</v>
      </c>
      <c r="P9596">
        <v>0</v>
      </c>
      <c r="Q9596">
        <v>4</v>
      </c>
      <c r="R9596" t="s">
        <v>32538</v>
      </c>
      <c r="S9596" t="s">
        <v>32872</v>
      </c>
      <c r="T9596" t="s">
        <v>33171</v>
      </c>
      <c r="U9596" t="s">
        <v>41545</v>
      </c>
      <c r="V9596" t="s">
        <v>42461</v>
      </c>
      <c r="W9596" t="s">
        <v>29787</v>
      </c>
      <c r="X9596" t="s">
        <v>32539</v>
      </c>
    </row>
    <row r="9597" spans="1:24">
      <c r="A9597">
        <f>HYPERLINK("https://www.philgeps.gov.ph/GEPSNONPILOT/Tender/SplashBidNoticeAbstractUI.aspx?menuIndex=3&amp;refID=7026111&amp;Result=3","7026111")</f>
        <v>0</v>
      </c>
      <c r="B9597" t="s">
        <v>2544</v>
      </c>
      <c r="C9597" t="s">
        <v>11860</v>
      </c>
      <c r="D9597" t="s">
        <v>12990</v>
      </c>
      <c r="E9597" t="s">
        <v>21410</v>
      </c>
      <c r="F9597" t="s">
        <v>22436</v>
      </c>
      <c r="G9597" t="s">
        <v>22444</v>
      </c>
      <c r="H9597" t="s">
        <v>22452</v>
      </c>
      <c r="I9597" t="s">
        <v>22581</v>
      </c>
      <c r="J9597" t="s">
        <v>28681</v>
      </c>
      <c r="K9597" t="s">
        <v>29335</v>
      </c>
      <c r="M9597" t="s">
        <v>32355</v>
      </c>
      <c r="N9597" t="s">
        <v>32524</v>
      </c>
      <c r="O9597" t="s">
        <v>32525</v>
      </c>
      <c r="P9597">
        <v>0</v>
      </c>
      <c r="Q9597">
        <v>2</v>
      </c>
      <c r="R9597" t="s">
        <v>32538</v>
      </c>
      <c r="S9597" t="s">
        <v>32872</v>
      </c>
      <c r="T9597" t="s">
        <v>33593</v>
      </c>
      <c r="U9597" t="s">
        <v>41515</v>
      </c>
      <c r="V9597" t="s">
        <v>43501</v>
      </c>
      <c r="W9597" t="s">
        <v>32355</v>
      </c>
      <c r="X9597" t="s">
        <v>32539</v>
      </c>
    </row>
    <row r="9598" spans="1:24">
      <c r="A9598">
        <f>HYPERLINK("https://www.philgeps.gov.ph/GEPSNONPILOT/Tender/SplashBidNoticeAbstractUI.aspx?menuIndex=3&amp;refID=7026162&amp;Result=3","7026162")</f>
        <v>0</v>
      </c>
      <c r="B9598" t="s">
        <v>386</v>
      </c>
      <c r="C9598" t="s">
        <v>11861</v>
      </c>
      <c r="D9598" t="s">
        <v>12988</v>
      </c>
      <c r="E9598" t="s">
        <v>21437</v>
      </c>
      <c r="F9598" t="s">
        <v>22436</v>
      </c>
      <c r="G9598" t="s">
        <v>22444</v>
      </c>
      <c r="H9598" t="s">
        <v>22452</v>
      </c>
      <c r="I9598" t="s">
        <v>22554</v>
      </c>
      <c r="J9598" t="s">
        <v>28682</v>
      </c>
      <c r="K9598" t="s">
        <v>29335</v>
      </c>
      <c r="M9598" t="s">
        <v>32363</v>
      </c>
      <c r="N9598" t="s">
        <v>32524</v>
      </c>
      <c r="O9598" t="s">
        <v>32525</v>
      </c>
      <c r="P9598">
        <v>0</v>
      </c>
      <c r="Q9598">
        <v>10</v>
      </c>
      <c r="R9598" t="s">
        <v>32538</v>
      </c>
      <c r="S9598" t="s">
        <v>32872</v>
      </c>
      <c r="T9598" t="s">
        <v>33244</v>
      </c>
      <c r="U9598" t="s">
        <v>41546</v>
      </c>
      <c r="W9598" t="s">
        <v>32363</v>
      </c>
      <c r="X9598" t="s">
        <v>32539</v>
      </c>
    </row>
    <row r="9599" spans="1:24">
      <c r="A9599">
        <f>HYPERLINK("https://www.philgeps.gov.ph/GEPSNONPILOT/Tender/SplashBidNoticeAbstractUI.aspx?menuIndex=3&amp;refID=7026073&amp;Result=3","7026073")</f>
        <v>0</v>
      </c>
      <c r="B9599" t="s">
        <v>2534</v>
      </c>
      <c r="C9599" t="s">
        <v>11862</v>
      </c>
      <c r="D9599" t="s">
        <v>13002</v>
      </c>
      <c r="E9599" t="s">
        <v>13765</v>
      </c>
      <c r="F9599" t="s">
        <v>22436</v>
      </c>
      <c r="G9599" t="s">
        <v>22444</v>
      </c>
      <c r="H9599" t="s">
        <v>22454</v>
      </c>
      <c r="I9599" t="s">
        <v>7738</v>
      </c>
      <c r="J9599" t="s">
        <v>28683</v>
      </c>
      <c r="K9599" t="s">
        <v>29437</v>
      </c>
      <c r="M9599" t="s">
        <v>32342</v>
      </c>
      <c r="N9599" t="s">
        <v>32524</v>
      </c>
      <c r="O9599" t="s">
        <v>32525</v>
      </c>
      <c r="P9599">
        <v>0</v>
      </c>
      <c r="Q9599">
        <v>0</v>
      </c>
      <c r="R9599" t="s">
        <v>32538</v>
      </c>
      <c r="S9599" t="s">
        <v>32872</v>
      </c>
      <c r="T9599" t="s">
        <v>33268</v>
      </c>
      <c r="U9599" t="s">
        <v>41547</v>
      </c>
      <c r="W9599" t="s">
        <v>32342</v>
      </c>
      <c r="X9599" t="s">
        <v>32539</v>
      </c>
    </row>
    <row r="9600" spans="1:24">
      <c r="A9600">
        <f>HYPERLINK("https://www.philgeps.gov.ph/GEPSNONPILOT/Tender/SplashBidNoticeAbstractUI.aspx?menuIndex=3&amp;refID=7026112&amp;Result=3","7026112")</f>
        <v>0</v>
      </c>
      <c r="B9600" t="s">
        <v>1586</v>
      </c>
      <c r="C9600" t="s">
        <v>11863</v>
      </c>
      <c r="E9600" t="s">
        <v>21438</v>
      </c>
      <c r="F9600" t="s">
        <v>22436</v>
      </c>
      <c r="G9600" t="s">
        <v>22444</v>
      </c>
      <c r="H9600" t="s">
        <v>22452</v>
      </c>
      <c r="I9600" t="s">
        <v>2962</v>
      </c>
      <c r="J9600" t="s">
        <v>28684</v>
      </c>
      <c r="K9600" t="s">
        <v>29338</v>
      </c>
      <c r="M9600" t="s">
        <v>32346</v>
      </c>
      <c r="N9600" t="s">
        <v>32524</v>
      </c>
      <c r="O9600" t="s">
        <v>32525</v>
      </c>
      <c r="P9600">
        <v>0</v>
      </c>
      <c r="Q9600">
        <v>1</v>
      </c>
      <c r="R9600" t="s">
        <v>32538</v>
      </c>
      <c r="S9600" t="s">
        <v>32872</v>
      </c>
      <c r="T9600" t="s">
        <v>33177</v>
      </c>
      <c r="U9600" t="s">
        <v>41548</v>
      </c>
      <c r="W9600" t="s">
        <v>32346</v>
      </c>
      <c r="X9600" t="s">
        <v>32539</v>
      </c>
    </row>
    <row r="9601" spans="1:24">
      <c r="A9601">
        <f>HYPERLINK("https://www.philgeps.gov.ph/GEPSNONPILOT/Tender/SplashBidNoticeAbstractUI.aspx?menuIndex=3&amp;refID=7026160&amp;Result=3","7026160")</f>
        <v>0</v>
      </c>
      <c r="B9601" t="s">
        <v>1586</v>
      </c>
      <c r="C9601" t="s">
        <v>11864</v>
      </c>
      <c r="E9601" t="s">
        <v>21439</v>
      </c>
      <c r="F9601" t="s">
        <v>22436</v>
      </c>
      <c r="G9601" t="s">
        <v>22444</v>
      </c>
      <c r="H9601" t="s">
        <v>22452</v>
      </c>
      <c r="I9601" t="s">
        <v>22458</v>
      </c>
      <c r="J9601" t="s">
        <v>23202</v>
      </c>
      <c r="K9601" t="s">
        <v>29338</v>
      </c>
      <c r="M9601" t="s">
        <v>32346</v>
      </c>
      <c r="N9601" t="s">
        <v>32524</v>
      </c>
      <c r="O9601" t="s">
        <v>32525</v>
      </c>
      <c r="P9601">
        <v>0</v>
      </c>
      <c r="Q9601">
        <v>9</v>
      </c>
      <c r="R9601" t="s">
        <v>32538</v>
      </c>
      <c r="S9601" t="s">
        <v>32872</v>
      </c>
      <c r="T9601" t="s">
        <v>33177</v>
      </c>
      <c r="U9601" t="s">
        <v>41549</v>
      </c>
      <c r="W9601" t="s">
        <v>32346</v>
      </c>
      <c r="X9601" t="s">
        <v>32539</v>
      </c>
    </row>
    <row r="9602" spans="1:24">
      <c r="A9602">
        <f>HYPERLINK("https://www.philgeps.gov.ph/GEPSNONPILOT/Tender/SplashBidNoticeAbstractUI.aspx?menuIndex=3&amp;refID=7026149&amp;Result=3","7026149")</f>
        <v>0</v>
      </c>
      <c r="B9602" t="s">
        <v>2551</v>
      </c>
      <c r="C9602" t="s">
        <v>11865</v>
      </c>
      <c r="E9602" t="s">
        <v>16006</v>
      </c>
      <c r="F9602" t="s">
        <v>22436</v>
      </c>
      <c r="G9602" t="s">
        <v>22444</v>
      </c>
      <c r="H9602" t="s">
        <v>22454</v>
      </c>
      <c r="I9602" t="s">
        <v>6387</v>
      </c>
      <c r="J9602" t="s">
        <v>22809</v>
      </c>
      <c r="K9602" t="s">
        <v>29338</v>
      </c>
      <c r="M9602" t="s">
        <v>32364</v>
      </c>
      <c r="N9602" t="s">
        <v>32524</v>
      </c>
      <c r="O9602" t="s">
        <v>32525</v>
      </c>
      <c r="P9602">
        <v>0</v>
      </c>
      <c r="Q9602">
        <v>0</v>
      </c>
      <c r="R9602" t="s">
        <v>32538</v>
      </c>
      <c r="S9602" t="s">
        <v>32872</v>
      </c>
      <c r="T9602" t="s">
        <v>33310</v>
      </c>
      <c r="U9602" t="s">
        <v>41550</v>
      </c>
      <c r="W9602" t="s">
        <v>32364</v>
      </c>
      <c r="X9602" t="s">
        <v>32539</v>
      </c>
    </row>
    <row r="9603" spans="1:24">
      <c r="A9603">
        <f>HYPERLINK("https://www.philgeps.gov.ph/GEPSNONPILOT/Tender/SplashBidNoticeAbstractUI.aspx?menuIndex=3&amp;refID=7026148&amp;Result=3","7026148")</f>
        <v>0</v>
      </c>
      <c r="B9603" t="s">
        <v>1586</v>
      </c>
      <c r="C9603" t="s">
        <v>11866</v>
      </c>
      <c r="E9603" t="s">
        <v>21440</v>
      </c>
      <c r="F9603" t="s">
        <v>22436</v>
      </c>
      <c r="G9603" t="s">
        <v>22444</v>
      </c>
      <c r="H9603" t="s">
        <v>22452</v>
      </c>
      <c r="I9603" t="s">
        <v>22486</v>
      </c>
      <c r="J9603" t="s">
        <v>28685</v>
      </c>
      <c r="K9603" t="s">
        <v>29338</v>
      </c>
      <c r="M9603" t="s">
        <v>32346</v>
      </c>
      <c r="N9603" t="s">
        <v>32524</v>
      </c>
      <c r="O9603" t="s">
        <v>32525</v>
      </c>
      <c r="P9603">
        <v>0</v>
      </c>
      <c r="Q9603">
        <v>0</v>
      </c>
      <c r="R9603" t="s">
        <v>32538</v>
      </c>
      <c r="S9603" t="s">
        <v>32872</v>
      </c>
      <c r="T9603" t="s">
        <v>33177</v>
      </c>
      <c r="U9603" t="s">
        <v>41551</v>
      </c>
      <c r="W9603" t="s">
        <v>32346</v>
      </c>
      <c r="X9603" t="s">
        <v>32539</v>
      </c>
    </row>
    <row r="9604" spans="1:24">
      <c r="A9604">
        <f>HYPERLINK("https://www.philgeps.gov.ph/GEPSNONPILOT/Tender/SplashBidNoticeAbstractUI.aspx?menuIndex=3&amp;refID=7026202&amp;Result=3","7026202")</f>
        <v>0</v>
      </c>
      <c r="B9604" t="s">
        <v>2134</v>
      </c>
      <c r="C9604" t="s">
        <v>11867</v>
      </c>
      <c r="D9604" t="s">
        <v>13011</v>
      </c>
      <c r="E9604" t="s">
        <v>21441</v>
      </c>
      <c r="F9604" t="s">
        <v>22436</v>
      </c>
      <c r="G9604" t="s">
        <v>22444</v>
      </c>
      <c r="H9604" t="s">
        <v>22454</v>
      </c>
      <c r="I9604" t="s">
        <v>7738</v>
      </c>
      <c r="J9604" t="s">
        <v>28686</v>
      </c>
      <c r="K9604" t="s">
        <v>29480</v>
      </c>
      <c r="M9604" t="s">
        <v>31886</v>
      </c>
      <c r="N9604" t="s">
        <v>32524</v>
      </c>
      <c r="O9604" t="s">
        <v>32525</v>
      </c>
      <c r="P9604">
        <v>0</v>
      </c>
      <c r="Q9604">
        <v>11</v>
      </c>
      <c r="R9604" t="s">
        <v>32538</v>
      </c>
      <c r="S9604" t="s">
        <v>32872</v>
      </c>
      <c r="T9604" t="s">
        <v>33184</v>
      </c>
      <c r="U9604" t="s">
        <v>41538</v>
      </c>
      <c r="W9604" t="s">
        <v>31886</v>
      </c>
      <c r="X9604" t="s">
        <v>32539</v>
      </c>
    </row>
    <row r="9605" spans="1:24">
      <c r="A9605">
        <f>HYPERLINK("https://www.philgeps.gov.ph/GEPSNONPILOT/Tender/SplashBidNoticeAbstractUI.aspx?menuIndex=3&amp;refID=7026153&amp;Result=3","7026153")</f>
        <v>0</v>
      </c>
      <c r="B9605" t="s">
        <v>2544</v>
      </c>
      <c r="C9605" t="s">
        <v>11868</v>
      </c>
      <c r="D9605" t="s">
        <v>12990</v>
      </c>
      <c r="E9605" t="s">
        <v>21410</v>
      </c>
      <c r="F9605" t="s">
        <v>22436</v>
      </c>
      <c r="G9605" t="s">
        <v>22444</v>
      </c>
      <c r="H9605" t="s">
        <v>22452</v>
      </c>
      <c r="I9605" t="s">
        <v>22495</v>
      </c>
      <c r="J9605" t="s">
        <v>28687</v>
      </c>
      <c r="K9605" t="s">
        <v>29335</v>
      </c>
      <c r="M9605" t="s">
        <v>32355</v>
      </c>
      <c r="N9605" t="s">
        <v>32524</v>
      </c>
      <c r="O9605" t="s">
        <v>32525</v>
      </c>
      <c r="P9605">
        <v>0</v>
      </c>
      <c r="Q9605">
        <v>3</v>
      </c>
      <c r="R9605" t="s">
        <v>32538</v>
      </c>
      <c r="S9605" t="s">
        <v>32872</v>
      </c>
      <c r="T9605" t="s">
        <v>33593</v>
      </c>
      <c r="U9605" t="s">
        <v>41515</v>
      </c>
      <c r="V9605" t="s">
        <v>43502</v>
      </c>
      <c r="W9605" t="s">
        <v>32355</v>
      </c>
      <c r="X9605" t="s">
        <v>32539</v>
      </c>
    </row>
    <row r="9606" spans="1:24">
      <c r="A9606">
        <f>HYPERLINK("https://www.philgeps.gov.ph/GEPSNONPILOT/Tender/SplashBidNoticeAbstractUI.aspx?menuIndex=3&amp;refID=7026159&amp;Result=3","7026159")</f>
        <v>0</v>
      </c>
      <c r="B9606" t="s">
        <v>2134</v>
      </c>
      <c r="C9606" t="s">
        <v>11869</v>
      </c>
      <c r="D9606" t="s">
        <v>13011</v>
      </c>
      <c r="E9606" t="s">
        <v>21442</v>
      </c>
      <c r="F9606" t="s">
        <v>22436</v>
      </c>
      <c r="G9606" t="s">
        <v>22444</v>
      </c>
      <c r="H9606" t="s">
        <v>22454</v>
      </c>
      <c r="I9606" t="s">
        <v>7738</v>
      </c>
      <c r="J9606" t="s">
        <v>28688</v>
      </c>
      <c r="K9606" t="s">
        <v>29567</v>
      </c>
      <c r="M9606" t="s">
        <v>31886</v>
      </c>
      <c r="N9606" t="s">
        <v>32524</v>
      </c>
      <c r="O9606" t="s">
        <v>32525</v>
      </c>
      <c r="P9606">
        <v>0</v>
      </c>
      <c r="Q9606">
        <v>5</v>
      </c>
      <c r="R9606" t="s">
        <v>32538</v>
      </c>
      <c r="S9606" t="s">
        <v>32872</v>
      </c>
      <c r="T9606" t="s">
        <v>33184</v>
      </c>
      <c r="U9606" t="s">
        <v>41538</v>
      </c>
      <c r="W9606" t="s">
        <v>31886</v>
      </c>
      <c r="X9606" t="s">
        <v>32539</v>
      </c>
    </row>
    <row r="9607" spans="1:24">
      <c r="A9607">
        <f>HYPERLINK("https://www.philgeps.gov.ph/GEPSNONPILOT/Tender/SplashBidNoticeAbstractUI.aspx?menuIndex=3&amp;refID=7026205&amp;Result=3","7026205")</f>
        <v>0</v>
      </c>
      <c r="B9607" t="s">
        <v>1249</v>
      </c>
      <c r="C9607" t="s">
        <v>11870</v>
      </c>
      <c r="D9607" t="s">
        <v>13032</v>
      </c>
      <c r="E9607" t="s">
        <v>21443</v>
      </c>
      <c r="F9607" t="s">
        <v>22436</v>
      </c>
      <c r="G9607" t="s">
        <v>22444</v>
      </c>
      <c r="H9607" t="s">
        <v>22452</v>
      </c>
      <c r="I9607" t="s">
        <v>3827</v>
      </c>
      <c r="J9607" t="s">
        <v>23278</v>
      </c>
      <c r="K9607" t="s">
        <v>29331</v>
      </c>
      <c r="M9607" t="s">
        <v>30901</v>
      </c>
      <c r="N9607" t="s">
        <v>32524</v>
      </c>
      <c r="O9607" t="s">
        <v>32525</v>
      </c>
      <c r="P9607">
        <v>0</v>
      </c>
      <c r="Q9607">
        <v>7</v>
      </c>
      <c r="R9607" t="s">
        <v>32538</v>
      </c>
      <c r="S9607" t="s">
        <v>32872</v>
      </c>
      <c r="T9607" t="s">
        <v>33181</v>
      </c>
      <c r="U9607" t="s">
        <v>41552</v>
      </c>
      <c r="W9607" t="s">
        <v>30901</v>
      </c>
      <c r="X9607" t="s">
        <v>32539</v>
      </c>
    </row>
    <row r="9608" spans="1:24">
      <c r="A9608">
        <f>HYPERLINK("https://www.philgeps.gov.ph/GEPSNONPILOT/Tender/SplashBidNoticeAbstractUI.aspx?menuIndex=3&amp;refID=7026185&amp;Result=3","7026185")</f>
        <v>0</v>
      </c>
      <c r="B9608" t="s">
        <v>1791</v>
      </c>
      <c r="C9608" t="s">
        <v>11871</v>
      </c>
      <c r="D9608" t="s">
        <v>13065</v>
      </c>
      <c r="E9608" t="s">
        <v>21444</v>
      </c>
      <c r="F9608" t="s">
        <v>22436</v>
      </c>
      <c r="G9608" t="s">
        <v>22444</v>
      </c>
      <c r="H9608" t="s">
        <v>22454</v>
      </c>
      <c r="I9608" t="s">
        <v>7738</v>
      </c>
      <c r="J9608" t="s">
        <v>28689</v>
      </c>
      <c r="K9608" t="s">
        <v>29344</v>
      </c>
      <c r="M9608" t="s">
        <v>31502</v>
      </c>
      <c r="N9608" t="s">
        <v>32524</v>
      </c>
      <c r="O9608" t="s">
        <v>32525</v>
      </c>
      <c r="P9608">
        <v>0</v>
      </c>
      <c r="Q9608">
        <v>1</v>
      </c>
      <c r="R9608" t="s">
        <v>32538</v>
      </c>
      <c r="S9608" t="s">
        <v>32872</v>
      </c>
      <c r="T9608" t="s">
        <v>33181</v>
      </c>
      <c r="U9608" t="s">
        <v>41509</v>
      </c>
      <c r="V9608" t="s">
        <v>43018</v>
      </c>
      <c r="W9608" t="s">
        <v>31502</v>
      </c>
      <c r="X9608" t="s">
        <v>32539</v>
      </c>
    </row>
    <row r="9609" spans="1:24">
      <c r="A9609">
        <f>HYPERLINK("https://www.philgeps.gov.ph/GEPSNONPILOT/Tender/SplashBidNoticeAbstractUI.aspx?menuIndex=3&amp;refID=7026194&amp;Result=3","7026194")</f>
        <v>0</v>
      </c>
      <c r="B9609" t="s">
        <v>2551</v>
      </c>
      <c r="C9609" t="s">
        <v>11872</v>
      </c>
      <c r="E9609" t="s">
        <v>15278</v>
      </c>
      <c r="F9609" t="s">
        <v>22436</v>
      </c>
      <c r="G9609" t="s">
        <v>22444</v>
      </c>
      <c r="H9609" t="s">
        <v>22454</v>
      </c>
      <c r="I9609" t="s">
        <v>7738</v>
      </c>
      <c r="J9609" t="s">
        <v>28690</v>
      </c>
      <c r="K9609" t="s">
        <v>29338</v>
      </c>
      <c r="M9609" t="s">
        <v>32364</v>
      </c>
      <c r="N9609" t="s">
        <v>32524</v>
      </c>
      <c r="O9609" t="s">
        <v>32525</v>
      </c>
      <c r="P9609">
        <v>0</v>
      </c>
      <c r="Q9609">
        <v>0</v>
      </c>
      <c r="R9609" t="s">
        <v>32538</v>
      </c>
      <c r="S9609" t="s">
        <v>32872</v>
      </c>
      <c r="T9609" t="s">
        <v>33310</v>
      </c>
      <c r="U9609" t="s">
        <v>41553</v>
      </c>
      <c r="W9609" t="s">
        <v>32364</v>
      </c>
      <c r="X9609" t="s">
        <v>32539</v>
      </c>
    </row>
    <row r="9610" spans="1:24">
      <c r="A9610">
        <f>HYPERLINK("https://www.philgeps.gov.ph/GEPSNONPILOT/Tender/SplashBidNoticeAbstractUI.aspx?menuIndex=3&amp;refID=7026175&amp;Result=3","7026175")</f>
        <v>0</v>
      </c>
      <c r="B9610" t="s">
        <v>1522</v>
      </c>
      <c r="C9610" t="s">
        <v>11873</v>
      </c>
      <c r="D9610" t="s">
        <v>12990</v>
      </c>
      <c r="E9610" t="s">
        <v>21445</v>
      </c>
      <c r="F9610" t="s">
        <v>22436</v>
      </c>
      <c r="G9610" t="s">
        <v>22444</v>
      </c>
      <c r="H9610" t="s">
        <v>22454</v>
      </c>
      <c r="I9610" t="s">
        <v>7738</v>
      </c>
      <c r="J9610" t="s">
        <v>28691</v>
      </c>
      <c r="K9610" t="s">
        <v>29335</v>
      </c>
      <c r="M9610" t="s">
        <v>31197</v>
      </c>
      <c r="N9610" t="s">
        <v>32524</v>
      </c>
      <c r="O9610" t="s">
        <v>32525</v>
      </c>
      <c r="P9610">
        <v>0</v>
      </c>
      <c r="Q9610">
        <v>0</v>
      </c>
      <c r="R9610" t="s">
        <v>32538</v>
      </c>
      <c r="S9610" t="s">
        <v>32872</v>
      </c>
      <c r="T9610" t="s">
        <v>33187</v>
      </c>
      <c r="U9610" t="s">
        <v>41554</v>
      </c>
      <c r="W9610" t="s">
        <v>31197</v>
      </c>
      <c r="X9610" t="s">
        <v>32539</v>
      </c>
    </row>
    <row r="9611" spans="1:24">
      <c r="A9611">
        <f>HYPERLINK("https://www.philgeps.gov.ph/GEPSNONPILOT/Tender/SplashBidNoticeAbstractUI.aspx?menuIndex=3&amp;refID=7026146&amp;Result=3","7026146")</f>
        <v>0</v>
      </c>
      <c r="B9611" t="s">
        <v>2131</v>
      </c>
      <c r="C9611" t="s">
        <v>11874</v>
      </c>
      <c r="D9611" t="s">
        <v>13041</v>
      </c>
      <c r="E9611" t="s">
        <v>21446</v>
      </c>
      <c r="F9611" t="s">
        <v>22436</v>
      </c>
      <c r="G9611" t="s">
        <v>22444</v>
      </c>
      <c r="H9611" t="s">
        <v>22454</v>
      </c>
      <c r="I9611" t="s">
        <v>7738</v>
      </c>
      <c r="J9611" t="s">
        <v>22893</v>
      </c>
      <c r="K9611" t="s">
        <v>29399</v>
      </c>
      <c r="M9611" t="s">
        <v>31883</v>
      </c>
      <c r="N9611" t="s">
        <v>32524</v>
      </c>
      <c r="O9611" t="s">
        <v>32525</v>
      </c>
      <c r="P9611">
        <v>0</v>
      </c>
      <c r="Q9611">
        <v>0</v>
      </c>
      <c r="R9611" t="s">
        <v>32538</v>
      </c>
      <c r="S9611" t="s">
        <v>32872</v>
      </c>
      <c r="T9611" t="s">
        <v>33175</v>
      </c>
      <c r="U9611" t="s">
        <v>41555</v>
      </c>
      <c r="V9611" t="s">
        <v>43199</v>
      </c>
      <c r="W9611" t="s">
        <v>31883</v>
      </c>
      <c r="X9611" t="s">
        <v>32539</v>
      </c>
    </row>
    <row r="9612" spans="1:24">
      <c r="A9612">
        <f>HYPERLINK("https://www.philgeps.gov.ph/GEPSNONPILOT/Tender/SplashBidNoticeAbstractUI.aspx?menuIndex=3&amp;refID=7026203&amp;Result=3","7026203")</f>
        <v>0</v>
      </c>
      <c r="B9612" t="s">
        <v>1586</v>
      </c>
      <c r="C9612" t="s">
        <v>11875</v>
      </c>
      <c r="E9612" t="s">
        <v>21447</v>
      </c>
      <c r="F9612" t="s">
        <v>22436</v>
      </c>
      <c r="G9612" t="s">
        <v>22444</v>
      </c>
      <c r="H9612" t="s">
        <v>22452</v>
      </c>
      <c r="I9612" t="s">
        <v>22477</v>
      </c>
      <c r="J9612" t="s">
        <v>28692</v>
      </c>
      <c r="K9612" t="s">
        <v>29338</v>
      </c>
      <c r="M9612" t="s">
        <v>32346</v>
      </c>
      <c r="N9612" t="s">
        <v>32524</v>
      </c>
      <c r="O9612" t="s">
        <v>32525</v>
      </c>
      <c r="P9612">
        <v>0</v>
      </c>
      <c r="Q9612">
        <v>3</v>
      </c>
      <c r="R9612" t="s">
        <v>32538</v>
      </c>
      <c r="S9612" t="s">
        <v>32872</v>
      </c>
      <c r="T9612" t="s">
        <v>33177</v>
      </c>
      <c r="U9612" t="s">
        <v>41556</v>
      </c>
      <c r="W9612" t="s">
        <v>32346</v>
      </c>
      <c r="X9612" t="s">
        <v>32539</v>
      </c>
    </row>
    <row r="9613" spans="1:24">
      <c r="A9613">
        <f>HYPERLINK("https://www.philgeps.gov.ph/GEPSNONPILOT/Tender/SplashBidNoticeAbstractUI.aspx?menuIndex=3&amp;refID=7026228&amp;Result=3","7026228")</f>
        <v>0</v>
      </c>
      <c r="B9613" t="s">
        <v>591</v>
      </c>
      <c r="C9613" t="s">
        <v>11876</v>
      </c>
      <c r="D9613" t="s">
        <v>13003</v>
      </c>
      <c r="E9613" t="s">
        <v>21448</v>
      </c>
      <c r="F9613" t="s">
        <v>22436</v>
      </c>
      <c r="G9613" t="s">
        <v>22444</v>
      </c>
      <c r="H9613" t="s">
        <v>22454</v>
      </c>
      <c r="I9613" t="s">
        <v>7738</v>
      </c>
      <c r="J9613" t="s">
        <v>22779</v>
      </c>
      <c r="K9613" t="s">
        <v>29408</v>
      </c>
      <c r="M9613" t="s">
        <v>30181</v>
      </c>
      <c r="N9613" t="s">
        <v>32524</v>
      </c>
      <c r="O9613" t="s">
        <v>32525</v>
      </c>
      <c r="Q9613">
        <v>0</v>
      </c>
      <c r="R9613" t="s">
        <v>32538</v>
      </c>
      <c r="S9613" t="s">
        <v>32948</v>
      </c>
      <c r="T9613" t="s">
        <v>33312</v>
      </c>
      <c r="U9613" t="s">
        <v>41557</v>
      </c>
      <c r="W9613" t="s">
        <v>30181</v>
      </c>
      <c r="X9613" t="s">
        <v>32539</v>
      </c>
    </row>
    <row r="9614" spans="1:24">
      <c r="A9614">
        <f>HYPERLINK("https://www.philgeps.gov.ph/GEPSNONPILOT/Tender/SplashBidNoticeAbstractUI.aspx?menuIndex=3&amp;refID=7026233&amp;Result=3","7026233")</f>
        <v>0</v>
      </c>
      <c r="B9614" t="s">
        <v>2550</v>
      </c>
      <c r="C9614" t="s">
        <v>11877</v>
      </c>
      <c r="D9614" t="s">
        <v>13022</v>
      </c>
      <c r="E9614" t="s">
        <v>21449</v>
      </c>
      <c r="F9614" t="s">
        <v>22436</v>
      </c>
      <c r="G9614" t="s">
        <v>22444</v>
      </c>
      <c r="H9614" t="s">
        <v>22454</v>
      </c>
      <c r="I9614" t="s">
        <v>7738</v>
      </c>
      <c r="J9614" t="s">
        <v>22634</v>
      </c>
      <c r="K9614" t="s">
        <v>29333</v>
      </c>
      <c r="M9614" t="s">
        <v>32362</v>
      </c>
      <c r="N9614" t="s">
        <v>32524</v>
      </c>
      <c r="O9614" t="s">
        <v>32525</v>
      </c>
      <c r="P9614">
        <v>0</v>
      </c>
      <c r="Q9614">
        <v>1</v>
      </c>
      <c r="R9614" t="s">
        <v>32538</v>
      </c>
      <c r="S9614" t="s">
        <v>32872</v>
      </c>
      <c r="T9614" t="s">
        <v>33163</v>
      </c>
      <c r="U9614" t="s">
        <v>41558</v>
      </c>
      <c r="V9614" t="s">
        <v>42546</v>
      </c>
      <c r="W9614" t="s">
        <v>32362</v>
      </c>
      <c r="X9614" t="s">
        <v>32539</v>
      </c>
    </row>
    <row r="9615" spans="1:24">
      <c r="A9615">
        <f>HYPERLINK("https://www.philgeps.gov.ph/GEPSNONPILOT/Tender/SplashBidNoticeAbstractUI.aspx?menuIndex=3&amp;refID=7026224&amp;Result=3","7026224")</f>
        <v>0</v>
      </c>
      <c r="B9615" t="s">
        <v>1586</v>
      </c>
      <c r="C9615" t="s">
        <v>11878</v>
      </c>
      <c r="E9615" t="s">
        <v>21450</v>
      </c>
      <c r="F9615" t="s">
        <v>22436</v>
      </c>
      <c r="G9615" t="s">
        <v>22444</v>
      </c>
      <c r="H9615" t="s">
        <v>22452</v>
      </c>
      <c r="I9615" t="s">
        <v>22477</v>
      </c>
      <c r="J9615" t="s">
        <v>28693</v>
      </c>
      <c r="K9615" t="s">
        <v>29338</v>
      </c>
      <c r="M9615" t="s">
        <v>32346</v>
      </c>
      <c r="N9615" t="s">
        <v>32524</v>
      </c>
      <c r="O9615" t="s">
        <v>32525</v>
      </c>
      <c r="P9615">
        <v>0</v>
      </c>
      <c r="Q9615">
        <v>2</v>
      </c>
      <c r="R9615" t="s">
        <v>32538</v>
      </c>
      <c r="S9615" t="s">
        <v>32872</v>
      </c>
      <c r="T9615" t="s">
        <v>33177</v>
      </c>
      <c r="U9615" t="s">
        <v>41559</v>
      </c>
      <c r="W9615" t="s">
        <v>32346</v>
      </c>
      <c r="X9615" t="s">
        <v>32539</v>
      </c>
    </row>
    <row r="9616" spans="1:24">
      <c r="A9616">
        <f>HYPERLINK("https://www.philgeps.gov.ph/GEPSNONPILOT/Tender/SplashBidNoticeAbstractUI.aspx?menuIndex=3&amp;refID=7026181&amp;Result=3","7026181")</f>
        <v>0</v>
      </c>
      <c r="B9616" t="s">
        <v>274</v>
      </c>
      <c r="C9616" t="s">
        <v>11879</v>
      </c>
      <c r="D9616" t="s">
        <v>13015</v>
      </c>
      <c r="E9616" t="s">
        <v>21451</v>
      </c>
      <c r="F9616" t="s">
        <v>22436</v>
      </c>
      <c r="G9616" t="s">
        <v>22444</v>
      </c>
      <c r="H9616" t="s">
        <v>22452</v>
      </c>
      <c r="I9616" t="s">
        <v>22456</v>
      </c>
      <c r="J9616" t="s">
        <v>28694</v>
      </c>
      <c r="K9616" t="s">
        <v>29331</v>
      </c>
      <c r="M9616" t="s">
        <v>29848</v>
      </c>
      <c r="N9616" t="s">
        <v>32524</v>
      </c>
      <c r="O9616" t="s">
        <v>32525</v>
      </c>
      <c r="P9616">
        <v>0</v>
      </c>
      <c r="Q9616">
        <v>3</v>
      </c>
      <c r="R9616" t="s">
        <v>32538</v>
      </c>
      <c r="S9616" t="s">
        <v>32872</v>
      </c>
      <c r="T9616" t="s">
        <v>33177</v>
      </c>
      <c r="U9616" t="s">
        <v>34156</v>
      </c>
      <c r="W9616" t="s">
        <v>29848</v>
      </c>
      <c r="X9616" t="s">
        <v>32539</v>
      </c>
    </row>
    <row r="9617" spans="1:24">
      <c r="A9617">
        <f>HYPERLINK("https://www.philgeps.gov.ph/GEPSNONPILOT/Tender/SplashBidNoticeAbstractUI.aspx?menuIndex=3&amp;refID=7026231&amp;Result=3","7026231")</f>
        <v>0</v>
      </c>
      <c r="B9617" t="s">
        <v>2552</v>
      </c>
      <c r="C9617" t="s">
        <v>11880</v>
      </c>
      <c r="D9617" t="s">
        <v>13040</v>
      </c>
      <c r="E9617" t="s">
        <v>21452</v>
      </c>
      <c r="F9617" t="s">
        <v>22436</v>
      </c>
      <c r="G9617" t="s">
        <v>22444</v>
      </c>
      <c r="H9617" t="s">
        <v>22452</v>
      </c>
      <c r="I9617" t="s">
        <v>22494</v>
      </c>
      <c r="J9617" t="s">
        <v>28695</v>
      </c>
      <c r="K9617" t="s">
        <v>29341</v>
      </c>
      <c r="L9617" t="s">
        <v>2552</v>
      </c>
      <c r="M9617" t="s">
        <v>32365</v>
      </c>
      <c r="N9617" t="s">
        <v>32524</v>
      </c>
      <c r="O9617" t="s">
        <v>32525</v>
      </c>
      <c r="P9617">
        <v>0</v>
      </c>
      <c r="Q9617">
        <v>5</v>
      </c>
      <c r="R9617" t="s">
        <v>32538</v>
      </c>
      <c r="S9617" t="s">
        <v>32872</v>
      </c>
      <c r="T9617" t="s">
        <v>33382</v>
      </c>
      <c r="U9617" t="s">
        <v>41560</v>
      </c>
      <c r="W9617" t="s">
        <v>32365</v>
      </c>
      <c r="X9617" t="s">
        <v>32539</v>
      </c>
    </row>
    <row r="9618" spans="1:24">
      <c r="A9618">
        <f>HYPERLINK("https://www.philgeps.gov.ph/GEPSNONPILOT/Tender/SplashBidNoticeAbstractUI.aspx?menuIndex=3&amp;refID=7026223&amp;Result=3","7026223")</f>
        <v>0</v>
      </c>
      <c r="B9618" t="s">
        <v>477</v>
      </c>
      <c r="C9618" t="s">
        <v>11881</v>
      </c>
      <c r="D9618" t="s">
        <v>13016</v>
      </c>
      <c r="E9618" t="s">
        <v>21453</v>
      </c>
      <c r="F9618" t="s">
        <v>22436</v>
      </c>
      <c r="G9618" t="s">
        <v>22444</v>
      </c>
      <c r="H9618" t="s">
        <v>22452</v>
      </c>
      <c r="I9618" t="s">
        <v>22474</v>
      </c>
      <c r="J9618" t="s">
        <v>28696</v>
      </c>
      <c r="K9618" t="s">
        <v>29331</v>
      </c>
      <c r="M9618" t="s">
        <v>32366</v>
      </c>
      <c r="N9618" t="s">
        <v>32524</v>
      </c>
      <c r="O9618" t="s">
        <v>32525</v>
      </c>
      <c r="P9618">
        <v>0</v>
      </c>
      <c r="Q9618">
        <v>3</v>
      </c>
      <c r="R9618" t="s">
        <v>32538</v>
      </c>
      <c r="S9618" t="s">
        <v>32872</v>
      </c>
      <c r="T9618" t="s">
        <v>33175</v>
      </c>
      <c r="U9618" t="s">
        <v>41561</v>
      </c>
      <c r="W9618" t="s">
        <v>32366</v>
      </c>
      <c r="X9618" t="s">
        <v>32539</v>
      </c>
    </row>
    <row r="9619" spans="1:24">
      <c r="A9619">
        <f>HYPERLINK("https://www.philgeps.gov.ph/GEPSNONPILOT/Tender/SplashBidNoticeAbstractUI.aspx?menuIndex=3&amp;refID=7026308&amp;Result=3","7026308")</f>
        <v>0</v>
      </c>
      <c r="B9619" t="s">
        <v>1586</v>
      </c>
      <c r="C9619" t="s">
        <v>11882</v>
      </c>
      <c r="E9619" t="s">
        <v>21454</v>
      </c>
      <c r="F9619" t="s">
        <v>22436</v>
      </c>
      <c r="G9619" t="s">
        <v>22444</v>
      </c>
      <c r="H9619" t="s">
        <v>22452</v>
      </c>
      <c r="I9619" t="s">
        <v>22465</v>
      </c>
      <c r="J9619" t="s">
        <v>28697</v>
      </c>
      <c r="K9619" t="s">
        <v>29338</v>
      </c>
      <c r="M9619" t="s">
        <v>32346</v>
      </c>
      <c r="N9619" t="s">
        <v>32524</v>
      </c>
      <c r="O9619" t="s">
        <v>32525</v>
      </c>
      <c r="P9619">
        <v>0</v>
      </c>
      <c r="Q9619">
        <v>2</v>
      </c>
      <c r="R9619" t="s">
        <v>32538</v>
      </c>
      <c r="S9619" t="s">
        <v>32872</v>
      </c>
      <c r="T9619" t="s">
        <v>33177</v>
      </c>
      <c r="U9619" t="s">
        <v>41562</v>
      </c>
      <c r="W9619" t="s">
        <v>32346</v>
      </c>
      <c r="X9619" t="s">
        <v>32539</v>
      </c>
    </row>
    <row r="9620" spans="1:24">
      <c r="A9620">
        <f>HYPERLINK("https://www.philgeps.gov.ph/GEPSNONPILOT/Tender/SplashBidNoticeAbstractUI.aspx?menuIndex=3&amp;refID=7026289&amp;Result=3","7026289")</f>
        <v>0</v>
      </c>
      <c r="B9620" t="s">
        <v>2134</v>
      </c>
      <c r="C9620" t="s">
        <v>11883</v>
      </c>
      <c r="D9620" t="s">
        <v>13085</v>
      </c>
      <c r="E9620" t="s">
        <v>21455</v>
      </c>
      <c r="F9620" t="s">
        <v>22436</v>
      </c>
      <c r="G9620" t="s">
        <v>22444</v>
      </c>
      <c r="H9620" t="s">
        <v>22454</v>
      </c>
      <c r="I9620" t="s">
        <v>7738</v>
      </c>
      <c r="J9620" t="s">
        <v>24103</v>
      </c>
      <c r="K9620" t="s">
        <v>29503</v>
      </c>
      <c r="M9620" t="s">
        <v>31886</v>
      </c>
      <c r="N9620" t="s">
        <v>32524</v>
      </c>
      <c r="O9620" t="s">
        <v>32525</v>
      </c>
      <c r="P9620">
        <v>0</v>
      </c>
      <c r="Q9620">
        <v>11</v>
      </c>
      <c r="R9620" t="s">
        <v>32538</v>
      </c>
      <c r="S9620" t="s">
        <v>32872</v>
      </c>
      <c r="T9620" t="s">
        <v>33184</v>
      </c>
      <c r="U9620" t="s">
        <v>41538</v>
      </c>
      <c r="W9620" t="s">
        <v>31886</v>
      </c>
      <c r="X9620" t="s">
        <v>32539</v>
      </c>
    </row>
    <row r="9621" spans="1:24">
      <c r="A9621">
        <f>HYPERLINK("https://www.philgeps.gov.ph/GEPSNONPILOT/Tender/SplashBidNoticeAbstractUI.aspx?menuIndex=3&amp;refID=7026279&amp;Result=3","7026279")</f>
        <v>0</v>
      </c>
      <c r="B9621" t="s">
        <v>614</v>
      </c>
      <c r="C9621" t="s">
        <v>11884</v>
      </c>
      <c r="D9621" t="s">
        <v>12995</v>
      </c>
      <c r="E9621" t="s">
        <v>21456</v>
      </c>
      <c r="F9621" t="s">
        <v>22436</v>
      </c>
      <c r="G9621" t="s">
        <v>22444</v>
      </c>
      <c r="H9621" t="s">
        <v>22452</v>
      </c>
      <c r="I9621" t="s">
        <v>22529</v>
      </c>
      <c r="J9621" t="s">
        <v>28698</v>
      </c>
      <c r="K9621" t="s">
        <v>29335</v>
      </c>
      <c r="M9621" t="s">
        <v>30204</v>
      </c>
      <c r="N9621" t="s">
        <v>32524</v>
      </c>
      <c r="O9621" t="s">
        <v>32525</v>
      </c>
      <c r="P9621">
        <v>0</v>
      </c>
      <c r="Q9621">
        <v>1</v>
      </c>
      <c r="R9621" t="s">
        <v>32538</v>
      </c>
      <c r="S9621" t="s">
        <v>32872</v>
      </c>
      <c r="T9621" t="s">
        <v>33180</v>
      </c>
      <c r="U9621" t="s">
        <v>41563</v>
      </c>
      <c r="V9621" t="s">
        <v>43503</v>
      </c>
      <c r="W9621" t="s">
        <v>30204</v>
      </c>
      <c r="X9621" t="s">
        <v>32539</v>
      </c>
    </row>
    <row r="9622" spans="1:24">
      <c r="A9622">
        <f>HYPERLINK("https://www.philgeps.gov.ph/GEPSNONPILOT/Tender/SplashBidNoticeAbstractUI.aspx?menuIndex=3&amp;refID=7026303&amp;Result=3","7026303")</f>
        <v>0</v>
      </c>
      <c r="B9622" t="s">
        <v>952</v>
      </c>
      <c r="C9622" t="s">
        <v>11885</v>
      </c>
      <c r="D9622" t="s">
        <v>13018</v>
      </c>
      <c r="E9622" t="s">
        <v>21457</v>
      </c>
      <c r="F9622" t="s">
        <v>22436</v>
      </c>
      <c r="G9622" t="s">
        <v>22444</v>
      </c>
      <c r="H9622" t="s">
        <v>22452</v>
      </c>
      <c r="I9622" t="s">
        <v>22460</v>
      </c>
      <c r="J9622" t="s">
        <v>28699</v>
      </c>
      <c r="K9622" t="s">
        <v>29341</v>
      </c>
      <c r="M9622" t="s">
        <v>30568</v>
      </c>
      <c r="N9622" t="s">
        <v>32524</v>
      </c>
      <c r="O9622" t="s">
        <v>32525</v>
      </c>
      <c r="P9622">
        <v>0</v>
      </c>
      <c r="Q9622">
        <v>2</v>
      </c>
      <c r="R9622" t="s">
        <v>32538</v>
      </c>
      <c r="S9622" t="s">
        <v>32872</v>
      </c>
      <c r="T9622" t="s">
        <v>33335</v>
      </c>
      <c r="U9622" t="s">
        <v>41564</v>
      </c>
      <c r="V9622" t="s">
        <v>43504</v>
      </c>
      <c r="W9622" t="s">
        <v>30568</v>
      </c>
      <c r="X9622" t="s">
        <v>32539</v>
      </c>
    </row>
    <row r="9623" spans="1:24">
      <c r="A9623">
        <f>HYPERLINK("https://www.philgeps.gov.ph/GEPSNONPILOT/Tender/SplashBidNoticeAbstractUI.aspx?menuIndex=3&amp;refID=7026278&amp;Result=3","7026278")</f>
        <v>0</v>
      </c>
      <c r="B9623" t="s">
        <v>1586</v>
      </c>
      <c r="C9623" t="s">
        <v>11886</v>
      </c>
      <c r="E9623" t="s">
        <v>21458</v>
      </c>
      <c r="F9623" t="s">
        <v>22436</v>
      </c>
      <c r="G9623" t="s">
        <v>22444</v>
      </c>
      <c r="H9623" t="s">
        <v>22452</v>
      </c>
      <c r="I9623" t="s">
        <v>22458</v>
      </c>
      <c r="J9623" t="s">
        <v>28700</v>
      </c>
      <c r="K9623" t="s">
        <v>29338</v>
      </c>
      <c r="M9623" t="s">
        <v>32346</v>
      </c>
      <c r="N9623" t="s">
        <v>32524</v>
      </c>
      <c r="O9623" t="s">
        <v>32525</v>
      </c>
      <c r="P9623">
        <v>0</v>
      </c>
      <c r="Q9623">
        <v>8</v>
      </c>
      <c r="R9623" t="s">
        <v>32538</v>
      </c>
      <c r="S9623" t="s">
        <v>32872</v>
      </c>
      <c r="T9623" t="s">
        <v>33177</v>
      </c>
      <c r="U9623" t="s">
        <v>41565</v>
      </c>
      <c r="W9623" t="s">
        <v>32346</v>
      </c>
      <c r="X9623" t="s">
        <v>32539</v>
      </c>
    </row>
    <row r="9624" spans="1:24">
      <c r="A9624">
        <f>HYPERLINK("https://www.philgeps.gov.ph/GEPSNONPILOT/Tender/SplashBidNoticeAbstractUI.aspx?menuIndex=3&amp;refID=7026253&amp;Result=3","7026253")</f>
        <v>0</v>
      </c>
      <c r="B9624" t="s">
        <v>127</v>
      </c>
      <c r="C9624" t="s">
        <v>11887</v>
      </c>
      <c r="D9624" t="s">
        <v>13037</v>
      </c>
      <c r="E9624" t="s">
        <v>21459</v>
      </c>
      <c r="F9624" t="s">
        <v>22436</v>
      </c>
      <c r="G9624" t="s">
        <v>22444</v>
      </c>
      <c r="H9624" t="s">
        <v>22454</v>
      </c>
      <c r="I9624" t="s">
        <v>7738</v>
      </c>
      <c r="J9624" t="s">
        <v>28701</v>
      </c>
      <c r="K9624" t="s">
        <v>29524</v>
      </c>
      <c r="M9624" t="s">
        <v>29699</v>
      </c>
      <c r="N9624" t="s">
        <v>32524</v>
      </c>
      <c r="O9624" t="s">
        <v>32525</v>
      </c>
      <c r="P9624">
        <v>0</v>
      </c>
      <c r="Q9624">
        <v>0</v>
      </c>
      <c r="R9624" t="s">
        <v>32538</v>
      </c>
      <c r="S9624" t="s">
        <v>32872</v>
      </c>
      <c r="T9624" t="s">
        <v>33181</v>
      </c>
      <c r="U9624" t="s">
        <v>41566</v>
      </c>
      <c r="W9624" t="s">
        <v>29699</v>
      </c>
      <c r="X9624" t="s">
        <v>32539</v>
      </c>
    </row>
    <row r="9625" spans="1:24">
      <c r="A9625">
        <f>HYPERLINK("https://www.philgeps.gov.ph/GEPSNONPILOT/Tender/SplashBidNoticeAbstractUI.aspx?menuIndex=3&amp;refID=7026320&amp;Result=3","7026320")</f>
        <v>0</v>
      </c>
      <c r="B9625" t="s">
        <v>2553</v>
      </c>
      <c r="C9625" t="s">
        <v>11888</v>
      </c>
      <c r="D9625" t="s">
        <v>13031</v>
      </c>
      <c r="E9625" t="s">
        <v>21460</v>
      </c>
      <c r="F9625" t="s">
        <v>22436</v>
      </c>
      <c r="G9625" t="s">
        <v>22444</v>
      </c>
      <c r="H9625" t="s">
        <v>22454</v>
      </c>
      <c r="I9625" t="s">
        <v>7738</v>
      </c>
      <c r="J9625" t="s">
        <v>26549</v>
      </c>
      <c r="K9625" t="s">
        <v>29338</v>
      </c>
      <c r="L9625" t="s">
        <v>2553</v>
      </c>
      <c r="M9625" t="s">
        <v>32367</v>
      </c>
      <c r="N9625" t="s">
        <v>32524</v>
      </c>
      <c r="O9625" t="s">
        <v>32525</v>
      </c>
      <c r="P9625">
        <v>0</v>
      </c>
      <c r="Q9625">
        <v>1</v>
      </c>
      <c r="R9625" t="s">
        <v>32538</v>
      </c>
      <c r="S9625" t="s">
        <v>32872</v>
      </c>
      <c r="T9625" t="s">
        <v>33211</v>
      </c>
      <c r="U9625" t="s">
        <v>41567</v>
      </c>
      <c r="V9625" t="s">
        <v>43505</v>
      </c>
      <c r="W9625" t="s">
        <v>32367</v>
      </c>
      <c r="X9625" t="s">
        <v>32539</v>
      </c>
    </row>
    <row r="9626" spans="1:24">
      <c r="A9626">
        <f>HYPERLINK("https://www.philgeps.gov.ph/GEPSNONPILOT/Tender/SplashBidNoticeAbstractUI.aspx?menuIndex=3&amp;refID=7026321&amp;Result=3","7026321")</f>
        <v>0</v>
      </c>
      <c r="B9626" t="s">
        <v>1438</v>
      </c>
      <c r="C9626" t="s">
        <v>11889</v>
      </c>
      <c r="D9626" t="s">
        <v>13007</v>
      </c>
      <c r="E9626" t="s">
        <v>21461</v>
      </c>
      <c r="F9626" t="s">
        <v>22436</v>
      </c>
      <c r="G9626" t="s">
        <v>22444</v>
      </c>
      <c r="H9626" t="s">
        <v>22452</v>
      </c>
      <c r="I9626" t="s">
        <v>22474</v>
      </c>
      <c r="J9626" t="s">
        <v>28702</v>
      </c>
      <c r="K9626" t="s">
        <v>29335</v>
      </c>
      <c r="M9626" t="s">
        <v>31101</v>
      </c>
      <c r="N9626" t="s">
        <v>32524</v>
      </c>
      <c r="O9626" t="s">
        <v>32525</v>
      </c>
      <c r="Q9626">
        <v>9</v>
      </c>
      <c r="R9626" t="s">
        <v>32538</v>
      </c>
      <c r="S9626" t="s">
        <v>32949</v>
      </c>
      <c r="T9626" t="s">
        <v>33182</v>
      </c>
      <c r="U9626" t="s">
        <v>41568</v>
      </c>
      <c r="W9626" t="s">
        <v>31101</v>
      </c>
      <c r="X9626" t="s">
        <v>32539</v>
      </c>
    </row>
    <row r="9627" spans="1:24">
      <c r="A9627">
        <f>HYPERLINK("https://www.philgeps.gov.ph/GEPSNONPILOT/Tender/SplashBidNoticeAbstractUI.aspx?menuIndex=3&amp;refID=7026241&amp;Result=3","7026241")</f>
        <v>0</v>
      </c>
      <c r="B9627" t="s">
        <v>1791</v>
      </c>
      <c r="C9627" t="s">
        <v>11890</v>
      </c>
      <c r="D9627" t="s">
        <v>13065</v>
      </c>
      <c r="E9627" t="s">
        <v>21462</v>
      </c>
      <c r="F9627" t="s">
        <v>22436</v>
      </c>
      <c r="G9627" t="s">
        <v>22444</v>
      </c>
      <c r="H9627" t="s">
        <v>22454</v>
      </c>
      <c r="I9627" t="s">
        <v>7738</v>
      </c>
      <c r="J9627" t="s">
        <v>28645</v>
      </c>
      <c r="K9627" t="s">
        <v>29479</v>
      </c>
      <c r="M9627" t="s">
        <v>31502</v>
      </c>
      <c r="N9627" t="s">
        <v>32524</v>
      </c>
      <c r="O9627" t="s">
        <v>32525</v>
      </c>
      <c r="P9627">
        <v>0</v>
      </c>
      <c r="Q9627">
        <v>0</v>
      </c>
      <c r="R9627" t="s">
        <v>32538</v>
      </c>
      <c r="S9627" t="s">
        <v>32872</v>
      </c>
      <c r="T9627" t="s">
        <v>33181</v>
      </c>
      <c r="U9627" t="s">
        <v>38255</v>
      </c>
      <c r="V9627" t="s">
        <v>43018</v>
      </c>
      <c r="W9627" t="s">
        <v>31502</v>
      </c>
      <c r="X9627" t="s">
        <v>32539</v>
      </c>
    </row>
    <row r="9628" spans="1:24">
      <c r="A9628">
        <f>HYPERLINK("https://www.philgeps.gov.ph/GEPSNONPILOT/Tender/SplashBidNoticeAbstractUI.aspx?menuIndex=3&amp;refID=7026319&amp;Result=3","7026319")</f>
        <v>0</v>
      </c>
      <c r="B9628" t="s">
        <v>1791</v>
      </c>
      <c r="C9628" t="s">
        <v>11891</v>
      </c>
      <c r="D9628" t="s">
        <v>13065</v>
      </c>
      <c r="E9628" t="s">
        <v>21463</v>
      </c>
      <c r="F9628" t="s">
        <v>22436</v>
      </c>
      <c r="G9628" t="s">
        <v>22444</v>
      </c>
      <c r="H9628" t="s">
        <v>22455</v>
      </c>
      <c r="I9628" t="s">
        <v>22455</v>
      </c>
      <c r="J9628" t="s">
        <v>28703</v>
      </c>
      <c r="K9628" t="s">
        <v>29411</v>
      </c>
      <c r="M9628" t="s">
        <v>31502</v>
      </c>
      <c r="N9628" t="s">
        <v>32524</v>
      </c>
      <c r="O9628" t="s">
        <v>32525</v>
      </c>
      <c r="P9628">
        <v>0</v>
      </c>
      <c r="Q9628">
        <v>5</v>
      </c>
      <c r="R9628" t="s">
        <v>32538</v>
      </c>
      <c r="S9628" t="s">
        <v>32872</v>
      </c>
      <c r="T9628" t="s">
        <v>33234</v>
      </c>
      <c r="U9628" t="s">
        <v>41569</v>
      </c>
      <c r="V9628" t="s">
        <v>43018</v>
      </c>
      <c r="W9628" t="s">
        <v>31502</v>
      </c>
      <c r="X9628" t="s">
        <v>32539</v>
      </c>
    </row>
    <row r="9629" spans="1:24">
      <c r="A9629">
        <f>HYPERLINK("https://www.philgeps.gov.ph/GEPSNONPILOT/Tender/SplashBidNoticeAbstractUI.aspx?menuIndex=3&amp;refID=7026234&amp;Result=3","7026234")</f>
        <v>0</v>
      </c>
      <c r="B9629" t="s">
        <v>1522</v>
      </c>
      <c r="C9629" t="s">
        <v>11892</v>
      </c>
      <c r="D9629" t="s">
        <v>12990</v>
      </c>
      <c r="E9629" t="s">
        <v>21464</v>
      </c>
      <c r="F9629" t="s">
        <v>22436</v>
      </c>
      <c r="G9629" t="s">
        <v>22444</v>
      </c>
      <c r="H9629" t="s">
        <v>22454</v>
      </c>
      <c r="I9629" t="s">
        <v>7738</v>
      </c>
      <c r="J9629" t="s">
        <v>22936</v>
      </c>
      <c r="K9629" t="s">
        <v>29333</v>
      </c>
      <c r="M9629" t="s">
        <v>31197</v>
      </c>
      <c r="N9629" t="s">
        <v>32524</v>
      </c>
      <c r="O9629" t="s">
        <v>32525</v>
      </c>
      <c r="P9629">
        <v>0</v>
      </c>
      <c r="Q9629">
        <v>0</v>
      </c>
      <c r="R9629" t="s">
        <v>32538</v>
      </c>
      <c r="S9629" t="s">
        <v>32872</v>
      </c>
      <c r="T9629" t="s">
        <v>33187</v>
      </c>
      <c r="U9629" t="s">
        <v>41570</v>
      </c>
      <c r="W9629" t="s">
        <v>31197</v>
      </c>
      <c r="X9629" t="s">
        <v>32539</v>
      </c>
    </row>
    <row r="9630" spans="1:24">
      <c r="A9630">
        <f>HYPERLINK("https://www.philgeps.gov.ph/GEPSNONPILOT/Tender/SplashBidNoticeAbstractUI.aspx?menuIndex=3&amp;refID=7026272&amp;Result=3","7026272")</f>
        <v>0</v>
      </c>
      <c r="B9630" t="s">
        <v>2553</v>
      </c>
      <c r="C9630" t="s">
        <v>11893</v>
      </c>
      <c r="D9630" t="s">
        <v>13031</v>
      </c>
      <c r="E9630" t="s">
        <v>21465</v>
      </c>
      <c r="F9630" t="s">
        <v>22436</v>
      </c>
      <c r="G9630" t="s">
        <v>22444</v>
      </c>
      <c r="H9630" t="s">
        <v>22454</v>
      </c>
      <c r="I9630" t="s">
        <v>7738</v>
      </c>
      <c r="J9630" t="s">
        <v>24130</v>
      </c>
      <c r="K9630" t="s">
        <v>29338</v>
      </c>
      <c r="L9630" t="s">
        <v>2553</v>
      </c>
      <c r="M9630" t="s">
        <v>32367</v>
      </c>
      <c r="N9630" t="s">
        <v>32524</v>
      </c>
      <c r="O9630" t="s">
        <v>32525</v>
      </c>
      <c r="P9630">
        <v>0</v>
      </c>
      <c r="Q9630">
        <v>1</v>
      </c>
      <c r="R9630" t="s">
        <v>32538</v>
      </c>
      <c r="S9630" t="s">
        <v>32872</v>
      </c>
      <c r="T9630" t="s">
        <v>33211</v>
      </c>
      <c r="U9630" t="s">
        <v>41567</v>
      </c>
      <c r="V9630" t="s">
        <v>43505</v>
      </c>
      <c r="W9630" t="s">
        <v>32367</v>
      </c>
      <c r="X9630" t="s">
        <v>32539</v>
      </c>
    </row>
    <row r="9631" spans="1:24">
      <c r="A9631">
        <f>HYPERLINK("https://www.philgeps.gov.ph/GEPSNONPILOT/Tender/SplashBidNoticeAbstractUI.aspx?menuIndex=3&amp;refID=7026315&amp;Result=3","7026315")</f>
        <v>0</v>
      </c>
      <c r="B9631" t="s">
        <v>1748</v>
      </c>
      <c r="C9631" t="s">
        <v>11894</v>
      </c>
      <c r="D9631" t="s">
        <v>13053</v>
      </c>
      <c r="E9631" t="s">
        <v>21466</v>
      </c>
      <c r="F9631" t="s">
        <v>22436</v>
      </c>
      <c r="G9631" t="s">
        <v>22444</v>
      </c>
      <c r="H9631" t="s">
        <v>22452</v>
      </c>
      <c r="I9631" t="s">
        <v>3529</v>
      </c>
      <c r="J9631" t="s">
        <v>28704</v>
      </c>
      <c r="K9631" t="s">
        <v>29331</v>
      </c>
      <c r="M9631" t="s">
        <v>31453</v>
      </c>
      <c r="N9631" t="s">
        <v>32524</v>
      </c>
      <c r="O9631" t="s">
        <v>32525</v>
      </c>
      <c r="P9631">
        <v>0</v>
      </c>
      <c r="Q9631">
        <v>0</v>
      </c>
      <c r="R9631" t="s">
        <v>32538</v>
      </c>
      <c r="S9631" t="s">
        <v>32872</v>
      </c>
      <c r="T9631" t="s">
        <v>33167</v>
      </c>
      <c r="U9631" t="s">
        <v>35200</v>
      </c>
      <c r="V9631" t="s">
        <v>43489</v>
      </c>
      <c r="W9631" t="s">
        <v>31453</v>
      </c>
      <c r="X9631" t="s">
        <v>32539</v>
      </c>
    </row>
    <row r="9632" spans="1:24">
      <c r="A9632">
        <f>HYPERLINK("https://www.philgeps.gov.ph/GEPSNONPILOT/Tender/SplashBidNoticeAbstractUI.aspx?menuIndex=3&amp;refID=7026256&amp;Result=3","7026256")</f>
        <v>0</v>
      </c>
      <c r="B9632" t="s">
        <v>1586</v>
      </c>
      <c r="C9632" t="s">
        <v>11895</v>
      </c>
      <c r="E9632" t="s">
        <v>21467</v>
      </c>
      <c r="F9632" t="s">
        <v>22436</v>
      </c>
      <c r="G9632" t="s">
        <v>22444</v>
      </c>
      <c r="H9632" t="s">
        <v>22452</v>
      </c>
      <c r="I9632" t="s">
        <v>22458</v>
      </c>
      <c r="J9632" t="s">
        <v>28705</v>
      </c>
      <c r="K9632" t="s">
        <v>29338</v>
      </c>
      <c r="M9632" t="s">
        <v>32346</v>
      </c>
      <c r="N9632" t="s">
        <v>32524</v>
      </c>
      <c r="O9632" t="s">
        <v>32525</v>
      </c>
      <c r="P9632">
        <v>0</v>
      </c>
      <c r="Q9632">
        <v>9</v>
      </c>
      <c r="R9632" t="s">
        <v>32538</v>
      </c>
      <c r="S9632" t="s">
        <v>32872</v>
      </c>
      <c r="T9632" t="s">
        <v>33177</v>
      </c>
      <c r="U9632" t="s">
        <v>41571</v>
      </c>
      <c r="W9632" t="s">
        <v>32346</v>
      </c>
      <c r="X9632" t="s">
        <v>32539</v>
      </c>
    </row>
    <row r="9633" spans="1:24">
      <c r="A9633">
        <f>HYPERLINK("https://www.philgeps.gov.ph/GEPSNONPILOT/Tender/SplashBidNoticeAbstractUI.aspx?menuIndex=3&amp;refID=7026287&amp;Result=3","7026287")</f>
        <v>0</v>
      </c>
      <c r="B9633" t="s">
        <v>268</v>
      </c>
      <c r="C9633" t="s">
        <v>11896</v>
      </c>
      <c r="D9633" t="s">
        <v>13015</v>
      </c>
      <c r="E9633" t="s">
        <v>14946</v>
      </c>
      <c r="F9633" t="s">
        <v>22441</v>
      </c>
      <c r="G9633" t="s">
        <v>22444</v>
      </c>
      <c r="H9633" t="s">
        <v>22452</v>
      </c>
      <c r="I9633" t="s">
        <v>11896</v>
      </c>
      <c r="J9633" t="s">
        <v>24018</v>
      </c>
      <c r="K9633" t="s">
        <v>29336</v>
      </c>
      <c r="M9633" t="s">
        <v>29842</v>
      </c>
      <c r="N9633" t="s">
        <v>32524</v>
      </c>
      <c r="O9633" t="s">
        <v>32525</v>
      </c>
      <c r="P9633">
        <v>0</v>
      </c>
      <c r="Q9633">
        <v>0</v>
      </c>
      <c r="R9633" t="s">
        <v>32538</v>
      </c>
      <c r="S9633" t="s">
        <v>32872</v>
      </c>
      <c r="T9633" t="s">
        <v>33187</v>
      </c>
      <c r="U9633" t="s">
        <v>41572</v>
      </c>
      <c r="W9633" t="s">
        <v>29842</v>
      </c>
      <c r="X9633" t="s">
        <v>32539</v>
      </c>
    </row>
    <row r="9634" spans="1:24">
      <c r="A9634">
        <f>HYPERLINK("https://www.philgeps.gov.ph/GEPSNONPILOT/Tender/SplashBidNoticeAbstractUI.aspx?menuIndex=3&amp;refID=7026311&amp;Result=3","7026311")</f>
        <v>0</v>
      </c>
      <c r="B9634" t="s">
        <v>477</v>
      </c>
      <c r="C9634" t="s">
        <v>11897</v>
      </c>
      <c r="D9634" t="s">
        <v>13016</v>
      </c>
      <c r="E9634" t="s">
        <v>21468</v>
      </c>
      <c r="F9634" t="s">
        <v>22436</v>
      </c>
      <c r="G9634" t="s">
        <v>22444</v>
      </c>
      <c r="H9634" t="s">
        <v>22452</v>
      </c>
      <c r="I9634" t="s">
        <v>22467</v>
      </c>
      <c r="J9634" t="s">
        <v>28706</v>
      </c>
      <c r="K9634" t="s">
        <v>29331</v>
      </c>
      <c r="M9634" t="s">
        <v>32366</v>
      </c>
      <c r="N9634" t="s">
        <v>32524</v>
      </c>
      <c r="O9634" t="s">
        <v>32525</v>
      </c>
      <c r="P9634">
        <v>0</v>
      </c>
      <c r="Q9634">
        <v>0</v>
      </c>
      <c r="R9634" t="s">
        <v>32538</v>
      </c>
      <c r="S9634" t="s">
        <v>32872</v>
      </c>
      <c r="T9634" t="s">
        <v>33175</v>
      </c>
      <c r="U9634" t="s">
        <v>41573</v>
      </c>
      <c r="W9634" t="s">
        <v>32366</v>
      </c>
      <c r="X9634" t="s">
        <v>32539</v>
      </c>
    </row>
    <row r="9635" spans="1:24">
      <c r="A9635">
        <f>HYPERLINK("https://www.philgeps.gov.ph/GEPSNONPILOT/Tender/SplashBidNoticeAbstractUI.aspx?menuIndex=3&amp;refID=7026313&amp;Result=3","7026313")</f>
        <v>0</v>
      </c>
      <c r="B9635" t="s">
        <v>1522</v>
      </c>
      <c r="C9635" t="s">
        <v>11898</v>
      </c>
      <c r="D9635" t="s">
        <v>12990</v>
      </c>
      <c r="E9635" t="s">
        <v>21469</v>
      </c>
      <c r="F9635" t="s">
        <v>22436</v>
      </c>
      <c r="G9635" t="s">
        <v>22444</v>
      </c>
      <c r="H9635" t="s">
        <v>22454</v>
      </c>
      <c r="I9635" t="s">
        <v>7738</v>
      </c>
      <c r="J9635" t="s">
        <v>22634</v>
      </c>
      <c r="K9635" t="s">
        <v>29333</v>
      </c>
      <c r="M9635" t="s">
        <v>31197</v>
      </c>
      <c r="N9635" t="s">
        <v>32524</v>
      </c>
      <c r="O9635" t="s">
        <v>32525</v>
      </c>
      <c r="P9635">
        <v>0</v>
      </c>
      <c r="Q9635">
        <v>0</v>
      </c>
      <c r="R9635" t="s">
        <v>32538</v>
      </c>
      <c r="S9635" t="s">
        <v>32872</v>
      </c>
      <c r="T9635" t="s">
        <v>33187</v>
      </c>
      <c r="U9635" t="s">
        <v>41574</v>
      </c>
      <c r="W9635" t="s">
        <v>31197</v>
      </c>
      <c r="X9635" t="s">
        <v>32539</v>
      </c>
    </row>
    <row r="9636" spans="1:24">
      <c r="A9636">
        <f>HYPERLINK("https://www.philgeps.gov.ph/GEPSNONPILOT/Tender/SplashBidNoticeAbstractUI.aspx?menuIndex=3&amp;refID=7026328&amp;Result=3","7026328")</f>
        <v>0</v>
      </c>
      <c r="B9636" t="s">
        <v>2543</v>
      </c>
      <c r="C9636" t="s">
        <v>11899</v>
      </c>
      <c r="D9636" t="s">
        <v>12988</v>
      </c>
      <c r="E9636" t="s">
        <v>21470</v>
      </c>
      <c r="F9636" t="s">
        <v>22436</v>
      </c>
      <c r="G9636" t="s">
        <v>22444</v>
      </c>
      <c r="H9636" t="s">
        <v>22452</v>
      </c>
      <c r="I9636" t="s">
        <v>22469</v>
      </c>
      <c r="J9636" t="s">
        <v>28707</v>
      </c>
      <c r="K9636" t="s">
        <v>29338</v>
      </c>
      <c r="M9636" t="s">
        <v>32354</v>
      </c>
      <c r="N9636" t="s">
        <v>32524</v>
      </c>
      <c r="O9636" t="s">
        <v>32525</v>
      </c>
      <c r="P9636">
        <v>0</v>
      </c>
      <c r="Q9636">
        <v>15</v>
      </c>
      <c r="R9636" t="s">
        <v>32538</v>
      </c>
      <c r="S9636" t="s">
        <v>32872</v>
      </c>
      <c r="T9636" t="s">
        <v>33153</v>
      </c>
      <c r="U9636" t="s">
        <v>41575</v>
      </c>
      <c r="W9636" t="s">
        <v>32354</v>
      </c>
      <c r="X9636" t="s">
        <v>32539</v>
      </c>
    </row>
    <row r="9637" spans="1:24">
      <c r="A9637">
        <f>HYPERLINK("https://www.philgeps.gov.ph/GEPSNONPILOT/Tender/SplashBidNoticeAbstractUI.aspx?menuIndex=3&amp;refID=7026356&amp;Result=3","7026356")</f>
        <v>0</v>
      </c>
      <c r="B9637" t="s">
        <v>2553</v>
      </c>
      <c r="C9637" t="s">
        <v>11900</v>
      </c>
      <c r="D9637" t="s">
        <v>13031</v>
      </c>
      <c r="E9637" t="s">
        <v>21471</v>
      </c>
      <c r="F9637" t="s">
        <v>22436</v>
      </c>
      <c r="G9637" t="s">
        <v>22444</v>
      </c>
      <c r="H9637" t="s">
        <v>22454</v>
      </c>
      <c r="I9637" t="s">
        <v>7738</v>
      </c>
      <c r="J9637" t="s">
        <v>28708</v>
      </c>
      <c r="K9637" t="s">
        <v>29338</v>
      </c>
      <c r="L9637" t="s">
        <v>2553</v>
      </c>
      <c r="M9637" t="s">
        <v>32367</v>
      </c>
      <c r="N9637" t="s">
        <v>32524</v>
      </c>
      <c r="O9637" t="s">
        <v>32525</v>
      </c>
      <c r="P9637">
        <v>0</v>
      </c>
      <c r="Q9637">
        <v>0</v>
      </c>
      <c r="R9637" t="s">
        <v>32538</v>
      </c>
      <c r="S9637" t="s">
        <v>32872</v>
      </c>
      <c r="T9637" t="s">
        <v>33211</v>
      </c>
      <c r="U9637" t="s">
        <v>41567</v>
      </c>
      <c r="V9637" t="s">
        <v>43505</v>
      </c>
      <c r="W9637" t="s">
        <v>32367</v>
      </c>
      <c r="X9637" t="s">
        <v>32539</v>
      </c>
    </row>
    <row r="9638" spans="1:24">
      <c r="A9638">
        <f>HYPERLINK("https://www.philgeps.gov.ph/GEPSNONPILOT/Tender/SplashBidNoticeAbstractUI.aspx?menuIndex=3&amp;refID=7026358&amp;Result=3","7026358")</f>
        <v>0</v>
      </c>
      <c r="B9638" t="s">
        <v>2134</v>
      </c>
      <c r="C9638" t="s">
        <v>11901</v>
      </c>
      <c r="D9638" t="s">
        <v>13011</v>
      </c>
      <c r="E9638" t="s">
        <v>21472</v>
      </c>
      <c r="F9638" t="s">
        <v>22436</v>
      </c>
      <c r="G9638" t="s">
        <v>22444</v>
      </c>
      <c r="H9638" t="s">
        <v>22454</v>
      </c>
      <c r="I9638" t="s">
        <v>7738</v>
      </c>
      <c r="J9638" t="s">
        <v>28709</v>
      </c>
      <c r="K9638" t="s">
        <v>29413</v>
      </c>
      <c r="M9638" t="s">
        <v>31886</v>
      </c>
      <c r="N9638" t="s">
        <v>32524</v>
      </c>
      <c r="O9638" t="s">
        <v>32525</v>
      </c>
      <c r="P9638">
        <v>0</v>
      </c>
      <c r="Q9638">
        <v>11</v>
      </c>
      <c r="R9638" t="s">
        <v>32538</v>
      </c>
      <c r="S9638" t="s">
        <v>32872</v>
      </c>
      <c r="T9638" t="s">
        <v>33184</v>
      </c>
      <c r="U9638" t="s">
        <v>41538</v>
      </c>
      <c r="W9638" t="s">
        <v>31886</v>
      </c>
      <c r="X9638" t="s">
        <v>32539</v>
      </c>
    </row>
    <row r="9639" spans="1:24">
      <c r="A9639">
        <f>HYPERLINK("https://www.philgeps.gov.ph/GEPSNONPILOT/Tender/SplashBidNoticeAbstractUI.aspx?menuIndex=3&amp;refID=7026347&amp;Result=3","7026347")</f>
        <v>0</v>
      </c>
      <c r="B9639" t="s">
        <v>1554</v>
      </c>
      <c r="C9639" t="s">
        <v>11902</v>
      </c>
      <c r="D9639" t="s">
        <v>12998</v>
      </c>
      <c r="E9639" t="s">
        <v>21473</v>
      </c>
      <c r="F9639" t="s">
        <v>22436</v>
      </c>
      <c r="G9639" t="s">
        <v>22444</v>
      </c>
      <c r="H9639" t="s">
        <v>22452</v>
      </c>
      <c r="I9639" t="s">
        <v>22466</v>
      </c>
      <c r="J9639" t="s">
        <v>22634</v>
      </c>
      <c r="K9639" t="s">
        <v>29335</v>
      </c>
      <c r="M9639" t="s">
        <v>32368</v>
      </c>
      <c r="N9639" t="s">
        <v>32524</v>
      </c>
      <c r="O9639" t="s">
        <v>32525</v>
      </c>
      <c r="P9639">
        <v>0</v>
      </c>
      <c r="Q9639">
        <v>10</v>
      </c>
      <c r="R9639" t="s">
        <v>32538</v>
      </c>
      <c r="S9639" t="s">
        <v>32872</v>
      </c>
      <c r="T9639" t="s">
        <v>33312</v>
      </c>
      <c r="U9639" t="s">
        <v>41576</v>
      </c>
      <c r="W9639" t="s">
        <v>32368</v>
      </c>
      <c r="X9639" t="s">
        <v>32539</v>
      </c>
    </row>
    <row r="9640" spans="1:24">
      <c r="A9640">
        <f>HYPERLINK("https://www.philgeps.gov.ph/GEPSNONPILOT/Tender/SplashBidNoticeAbstractUI.aspx?menuIndex=3&amp;refID=7026417&amp;Result=3","7026417")</f>
        <v>0</v>
      </c>
      <c r="B9640" t="s">
        <v>2543</v>
      </c>
      <c r="C9640" t="s">
        <v>11903</v>
      </c>
      <c r="D9640" t="s">
        <v>12988</v>
      </c>
      <c r="E9640" t="s">
        <v>21474</v>
      </c>
      <c r="F9640" t="s">
        <v>22436</v>
      </c>
      <c r="G9640" t="s">
        <v>22444</v>
      </c>
      <c r="H9640" t="s">
        <v>22452</v>
      </c>
      <c r="I9640" t="s">
        <v>22474</v>
      </c>
      <c r="J9640" t="s">
        <v>26791</v>
      </c>
      <c r="K9640" t="s">
        <v>29338</v>
      </c>
      <c r="M9640" t="s">
        <v>32354</v>
      </c>
      <c r="N9640" t="s">
        <v>32524</v>
      </c>
      <c r="O9640" t="s">
        <v>32525</v>
      </c>
      <c r="P9640">
        <v>0</v>
      </c>
      <c r="Q9640">
        <v>6</v>
      </c>
      <c r="R9640" t="s">
        <v>32538</v>
      </c>
      <c r="S9640" t="s">
        <v>32872</v>
      </c>
      <c r="T9640" t="s">
        <v>33153</v>
      </c>
      <c r="U9640" t="s">
        <v>41577</v>
      </c>
      <c r="W9640" t="s">
        <v>32354</v>
      </c>
      <c r="X9640" t="s">
        <v>32539</v>
      </c>
    </row>
    <row r="9641" spans="1:24">
      <c r="A9641">
        <f>HYPERLINK("https://www.philgeps.gov.ph/GEPSNONPILOT/Tender/SplashBidNoticeAbstractUI.aspx?menuIndex=3&amp;refID=7026413&amp;Result=3","7026413")</f>
        <v>0</v>
      </c>
      <c r="B9641" t="s">
        <v>2553</v>
      </c>
      <c r="C9641" t="s">
        <v>11904</v>
      </c>
      <c r="D9641" t="s">
        <v>13031</v>
      </c>
      <c r="E9641" t="s">
        <v>21475</v>
      </c>
      <c r="F9641" t="s">
        <v>22436</v>
      </c>
      <c r="G9641" t="s">
        <v>22444</v>
      </c>
      <c r="H9641" t="s">
        <v>22454</v>
      </c>
      <c r="I9641" t="s">
        <v>7738</v>
      </c>
      <c r="J9641" t="s">
        <v>25071</v>
      </c>
      <c r="K9641" t="s">
        <v>29338</v>
      </c>
      <c r="L9641" t="s">
        <v>2553</v>
      </c>
      <c r="M9641" t="s">
        <v>32367</v>
      </c>
      <c r="N9641" t="s">
        <v>32524</v>
      </c>
      <c r="O9641" t="s">
        <v>32525</v>
      </c>
      <c r="P9641">
        <v>0</v>
      </c>
      <c r="Q9641">
        <v>1</v>
      </c>
      <c r="R9641" t="s">
        <v>32538</v>
      </c>
      <c r="S9641" t="s">
        <v>32872</v>
      </c>
      <c r="T9641" t="s">
        <v>33211</v>
      </c>
      <c r="U9641" t="s">
        <v>41567</v>
      </c>
      <c r="V9641" t="s">
        <v>43505</v>
      </c>
      <c r="W9641" t="s">
        <v>32367</v>
      </c>
      <c r="X9641" t="s">
        <v>32539</v>
      </c>
    </row>
    <row r="9642" spans="1:24">
      <c r="A9642">
        <f>HYPERLINK("https://www.philgeps.gov.ph/GEPSNONPILOT/Tender/SplashBidNoticeAbstractUI.aspx?menuIndex=3&amp;refID=7026374&amp;Result=3","7026374")</f>
        <v>0</v>
      </c>
      <c r="B9642" t="s">
        <v>2553</v>
      </c>
      <c r="C9642" t="s">
        <v>11905</v>
      </c>
      <c r="D9642" t="s">
        <v>13031</v>
      </c>
      <c r="E9642" t="s">
        <v>21476</v>
      </c>
      <c r="F9642" t="s">
        <v>22436</v>
      </c>
      <c r="G9642" t="s">
        <v>22444</v>
      </c>
      <c r="H9642" t="s">
        <v>22454</v>
      </c>
      <c r="I9642" t="s">
        <v>7738</v>
      </c>
      <c r="J9642" t="s">
        <v>28710</v>
      </c>
      <c r="K9642" t="s">
        <v>29338</v>
      </c>
      <c r="L9642" t="s">
        <v>2553</v>
      </c>
      <c r="M9642" t="s">
        <v>32367</v>
      </c>
      <c r="N9642" t="s">
        <v>32524</v>
      </c>
      <c r="O9642" t="s">
        <v>32525</v>
      </c>
      <c r="P9642">
        <v>0</v>
      </c>
      <c r="Q9642">
        <v>0</v>
      </c>
      <c r="R9642" t="s">
        <v>32538</v>
      </c>
      <c r="S9642" t="s">
        <v>32872</v>
      </c>
      <c r="T9642" t="s">
        <v>33211</v>
      </c>
      <c r="U9642" t="s">
        <v>41567</v>
      </c>
      <c r="V9642" t="s">
        <v>43505</v>
      </c>
      <c r="W9642" t="s">
        <v>32367</v>
      </c>
      <c r="X9642" t="s">
        <v>32539</v>
      </c>
    </row>
    <row r="9643" spans="1:24">
      <c r="A9643">
        <f>HYPERLINK("https://www.philgeps.gov.ph/GEPSNONPILOT/Tender/SplashBidNoticeAbstractUI.aspx?menuIndex=3&amp;refID=7026402&amp;Result=3","7026402")</f>
        <v>0</v>
      </c>
      <c r="B9643" t="s">
        <v>2131</v>
      </c>
      <c r="C9643" t="s">
        <v>11906</v>
      </c>
      <c r="D9643" t="s">
        <v>13041</v>
      </c>
      <c r="E9643" t="s">
        <v>21477</v>
      </c>
      <c r="F9643" t="s">
        <v>22436</v>
      </c>
      <c r="G9643" t="s">
        <v>22444</v>
      </c>
      <c r="H9643" t="s">
        <v>22454</v>
      </c>
      <c r="I9643" t="s">
        <v>7738</v>
      </c>
      <c r="J9643" t="s">
        <v>28711</v>
      </c>
      <c r="K9643" t="s">
        <v>29399</v>
      </c>
      <c r="M9643" t="s">
        <v>32206</v>
      </c>
      <c r="N9643" t="s">
        <v>32524</v>
      </c>
      <c r="O9643" t="s">
        <v>32525</v>
      </c>
      <c r="P9643">
        <v>0</v>
      </c>
      <c r="Q9643">
        <v>0</v>
      </c>
      <c r="R9643" t="s">
        <v>32538</v>
      </c>
      <c r="S9643" t="s">
        <v>32872</v>
      </c>
      <c r="T9643" t="s">
        <v>33175</v>
      </c>
      <c r="U9643" t="s">
        <v>41578</v>
      </c>
      <c r="V9643" t="s">
        <v>43369</v>
      </c>
      <c r="W9643" t="s">
        <v>32206</v>
      </c>
      <c r="X9643" t="s">
        <v>32539</v>
      </c>
    </row>
    <row r="9644" spans="1:24">
      <c r="A9644">
        <f>HYPERLINK("https://www.philgeps.gov.ph/GEPSNONPILOT/Tender/SplashBidNoticeAbstractUI.aspx?menuIndex=3&amp;refID=7026395&amp;Result=3","7026395")</f>
        <v>0</v>
      </c>
      <c r="B9644" t="s">
        <v>2554</v>
      </c>
      <c r="C9644" t="s">
        <v>11907</v>
      </c>
      <c r="D9644" t="s">
        <v>13032</v>
      </c>
      <c r="E9644" t="s">
        <v>21478</v>
      </c>
      <c r="F9644" t="s">
        <v>22436</v>
      </c>
      <c r="G9644" t="s">
        <v>22444</v>
      </c>
      <c r="H9644" t="s">
        <v>22452</v>
      </c>
      <c r="I9644" t="s">
        <v>22496</v>
      </c>
      <c r="J9644" t="s">
        <v>28712</v>
      </c>
      <c r="K9644" t="s">
        <v>29333</v>
      </c>
      <c r="M9644" t="s">
        <v>32369</v>
      </c>
      <c r="N9644" t="s">
        <v>32524</v>
      </c>
      <c r="O9644" t="s">
        <v>32525</v>
      </c>
      <c r="Q9644">
        <v>5</v>
      </c>
      <c r="R9644" t="s">
        <v>32538</v>
      </c>
      <c r="S9644" t="s">
        <v>32950</v>
      </c>
      <c r="T9644" t="s">
        <v>33596</v>
      </c>
      <c r="U9644" t="s">
        <v>41579</v>
      </c>
      <c r="W9644" t="s">
        <v>32464</v>
      </c>
      <c r="X9644" t="s">
        <v>32539</v>
      </c>
    </row>
    <row r="9645" spans="1:24">
      <c r="A9645">
        <f>HYPERLINK("https://www.philgeps.gov.ph/GEPSNONPILOT/Tender/SplashBidNoticeAbstractUI.aspx?menuIndex=3&amp;refID=7026373&amp;Result=3","7026373")</f>
        <v>0</v>
      </c>
      <c r="B9645" t="s">
        <v>591</v>
      </c>
      <c r="C9645" t="s">
        <v>11908</v>
      </c>
      <c r="D9645" t="s">
        <v>13003</v>
      </c>
      <c r="E9645" t="s">
        <v>21479</v>
      </c>
      <c r="F9645" t="s">
        <v>22436</v>
      </c>
      <c r="G9645" t="s">
        <v>22443</v>
      </c>
      <c r="H9645" t="s">
        <v>22454</v>
      </c>
      <c r="I9645" t="s">
        <v>7738</v>
      </c>
      <c r="J9645" t="s">
        <v>22605</v>
      </c>
      <c r="K9645" t="s">
        <v>29385</v>
      </c>
      <c r="M9645" t="s">
        <v>30181</v>
      </c>
      <c r="N9645" t="s">
        <v>32524</v>
      </c>
      <c r="O9645" t="s">
        <v>32525</v>
      </c>
      <c r="Q9645">
        <v>0</v>
      </c>
      <c r="R9645" t="s">
        <v>32538</v>
      </c>
      <c r="S9645" t="s">
        <v>32951</v>
      </c>
      <c r="T9645" t="s">
        <v>33312</v>
      </c>
      <c r="U9645" t="s">
        <v>41580</v>
      </c>
      <c r="W9645" t="s">
        <v>30181</v>
      </c>
      <c r="X9645" t="s">
        <v>32539</v>
      </c>
    </row>
    <row r="9646" spans="1:24">
      <c r="A9646">
        <f>HYPERLINK("https://www.philgeps.gov.ph/GEPSNONPILOT/Tender/SplashBidNoticeAbstractUI.aspx?menuIndex=3&amp;refID=7026394&amp;Result=3","7026394")</f>
        <v>0</v>
      </c>
      <c r="B9646" t="s">
        <v>1567</v>
      </c>
      <c r="C9646" t="s">
        <v>11909</v>
      </c>
      <c r="D9646" t="s">
        <v>13004</v>
      </c>
      <c r="E9646" t="s">
        <v>21480</v>
      </c>
      <c r="F9646" t="s">
        <v>22436</v>
      </c>
      <c r="G9646" t="s">
        <v>22444</v>
      </c>
      <c r="H9646" t="s">
        <v>22452</v>
      </c>
      <c r="I9646" t="s">
        <v>5194</v>
      </c>
      <c r="J9646" t="s">
        <v>24767</v>
      </c>
      <c r="K9646" t="s">
        <v>29341</v>
      </c>
      <c r="M9646" t="s">
        <v>31249</v>
      </c>
      <c r="N9646" t="s">
        <v>32524</v>
      </c>
      <c r="O9646" t="s">
        <v>32525</v>
      </c>
      <c r="P9646">
        <v>0</v>
      </c>
      <c r="Q9646">
        <v>4</v>
      </c>
      <c r="R9646" t="s">
        <v>32538</v>
      </c>
      <c r="S9646" t="s">
        <v>32872</v>
      </c>
      <c r="T9646" t="s">
        <v>33234</v>
      </c>
      <c r="U9646" t="s">
        <v>41581</v>
      </c>
      <c r="W9646" t="s">
        <v>31249</v>
      </c>
      <c r="X9646" t="s">
        <v>32539</v>
      </c>
    </row>
    <row r="9647" spans="1:24">
      <c r="A9647">
        <f>HYPERLINK("https://www.philgeps.gov.ph/GEPSNONPILOT/Tender/SplashBidNoticeAbstractUI.aspx?menuIndex=3&amp;refID=7026372&amp;Result=3","7026372")</f>
        <v>0</v>
      </c>
      <c r="B9647" t="s">
        <v>1522</v>
      </c>
      <c r="C9647" t="s">
        <v>11910</v>
      </c>
      <c r="D9647" t="s">
        <v>12990</v>
      </c>
      <c r="E9647" t="s">
        <v>21481</v>
      </c>
      <c r="F9647" t="s">
        <v>22436</v>
      </c>
      <c r="G9647" t="s">
        <v>22444</v>
      </c>
      <c r="H9647" t="s">
        <v>22454</v>
      </c>
      <c r="I9647" t="s">
        <v>7738</v>
      </c>
      <c r="J9647" t="s">
        <v>23399</v>
      </c>
      <c r="K9647" t="s">
        <v>29345</v>
      </c>
      <c r="M9647" t="s">
        <v>31197</v>
      </c>
      <c r="N9647" t="s">
        <v>32524</v>
      </c>
      <c r="O9647" t="s">
        <v>32525</v>
      </c>
      <c r="P9647">
        <v>0</v>
      </c>
      <c r="Q9647">
        <v>0</v>
      </c>
      <c r="R9647" t="s">
        <v>32538</v>
      </c>
      <c r="S9647" t="s">
        <v>32872</v>
      </c>
      <c r="T9647" t="s">
        <v>33187</v>
      </c>
      <c r="U9647" t="s">
        <v>41582</v>
      </c>
      <c r="W9647" t="s">
        <v>31197</v>
      </c>
      <c r="X9647" t="s">
        <v>32539</v>
      </c>
    </row>
    <row r="9648" spans="1:24">
      <c r="A9648">
        <f>HYPERLINK("https://www.philgeps.gov.ph/GEPSNONPILOT/Tender/SplashBidNoticeAbstractUI.aspx?menuIndex=3&amp;refID=7026397&amp;Result=3","7026397")</f>
        <v>0</v>
      </c>
      <c r="B9648" t="s">
        <v>2134</v>
      </c>
      <c r="C9648" t="s">
        <v>11911</v>
      </c>
      <c r="D9648" t="s">
        <v>13011</v>
      </c>
      <c r="E9648" t="s">
        <v>21482</v>
      </c>
      <c r="F9648" t="s">
        <v>22436</v>
      </c>
      <c r="G9648" t="s">
        <v>22444</v>
      </c>
      <c r="H9648" t="s">
        <v>22454</v>
      </c>
      <c r="I9648" t="s">
        <v>7738</v>
      </c>
      <c r="J9648" t="s">
        <v>25909</v>
      </c>
      <c r="K9648" t="s">
        <v>29571</v>
      </c>
      <c r="M9648" t="s">
        <v>31886</v>
      </c>
      <c r="N9648" t="s">
        <v>32524</v>
      </c>
      <c r="O9648" t="s">
        <v>32525</v>
      </c>
      <c r="P9648">
        <v>0</v>
      </c>
      <c r="Q9648">
        <v>11</v>
      </c>
      <c r="R9648" t="s">
        <v>32538</v>
      </c>
      <c r="S9648" t="s">
        <v>32872</v>
      </c>
      <c r="T9648" t="s">
        <v>33184</v>
      </c>
      <c r="U9648" t="s">
        <v>41538</v>
      </c>
      <c r="W9648" t="s">
        <v>31886</v>
      </c>
      <c r="X9648" t="s">
        <v>32539</v>
      </c>
    </row>
    <row r="9649" spans="1:24">
      <c r="A9649">
        <f>HYPERLINK("https://www.philgeps.gov.ph/GEPSNONPILOT/Tender/SplashBidNoticeAbstractUI.aspx?menuIndex=3&amp;refID=7026399&amp;Result=3","7026399")</f>
        <v>0</v>
      </c>
      <c r="B9649" t="s">
        <v>2553</v>
      </c>
      <c r="C9649" t="s">
        <v>11912</v>
      </c>
      <c r="D9649" t="s">
        <v>13031</v>
      </c>
      <c r="E9649" t="s">
        <v>21483</v>
      </c>
      <c r="F9649" t="s">
        <v>22436</v>
      </c>
      <c r="G9649" t="s">
        <v>22444</v>
      </c>
      <c r="H9649" t="s">
        <v>22454</v>
      </c>
      <c r="I9649" t="s">
        <v>7738</v>
      </c>
      <c r="J9649" t="s">
        <v>28708</v>
      </c>
      <c r="K9649" t="s">
        <v>29338</v>
      </c>
      <c r="L9649" t="s">
        <v>2553</v>
      </c>
      <c r="M9649" t="s">
        <v>32367</v>
      </c>
      <c r="N9649" t="s">
        <v>32524</v>
      </c>
      <c r="O9649" t="s">
        <v>32525</v>
      </c>
      <c r="P9649">
        <v>0</v>
      </c>
      <c r="Q9649">
        <v>0</v>
      </c>
      <c r="R9649" t="s">
        <v>32538</v>
      </c>
      <c r="S9649" t="s">
        <v>32872</v>
      </c>
      <c r="T9649" t="s">
        <v>33211</v>
      </c>
      <c r="U9649" t="s">
        <v>41567</v>
      </c>
      <c r="V9649" t="s">
        <v>43505</v>
      </c>
      <c r="W9649" t="s">
        <v>32367</v>
      </c>
      <c r="X9649" t="s">
        <v>32539</v>
      </c>
    </row>
    <row r="9650" spans="1:24">
      <c r="A9650">
        <f>HYPERLINK("https://www.philgeps.gov.ph/GEPSNONPILOT/Tender/SplashBidNoticeAbstractUI.aspx?menuIndex=3&amp;refID=7026426&amp;Result=3","7026426")</f>
        <v>0</v>
      </c>
      <c r="B9650" t="s">
        <v>2555</v>
      </c>
      <c r="C9650" t="s">
        <v>11913</v>
      </c>
      <c r="D9650" t="s">
        <v>13007</v>
      </c>
      <c r="E9650" t="s">
        <v>21484</v>
      </c>
      <c r="F9650" t="s">
        <v>22436</v>
      </c>
      <c r="G9650" t="s">
        <v>22444</v>
      </c>
      <c r="H9650" t="s">
        <v>22452</v>
      </c>
      <c r="I9650" t="s">
        <v>22474</v>
      </c>
      <c r="J9650" t="s">
        <v>22624</v>
      </c>
      <c r="K9650" t="s">
        <v>29333</v>
      </c>
      <c r="M9650" t="s">
        <v>32370</v>
      </c>
      <c r="N9650" t="s">
        <v>32524</v>
      </c>
      <c r="O9650" t="s">
        <v>32525</v>
      </c>
      <c r="P9650">
        <v>0</v>
      </c>
      <c r="Q9650">
        <v>6</v>
      </c>
      <c r="R9650" t="s">
        <v>32538</v>
      </c>
      <c r="S9650" t="s">
        <v>32872</v>
      </c>
      <c r="T9650" t="s">
        <v>33358</v>
      </c>
      <c r="U9650" t="s">
        <v>41583</v>
      </c>
      <c r="W9650" t="s">
        <v>32370</v>
      </c>
      <c r="X9650" t="s">
        <v>32539</v>
      </c>
    </row>
    <row r="9651" spans="1:24">
      <c r="A9651">
        <f>HYPERLINK("https://www.philgeps.gov.ph/GEPSNONPILOT/Tender/SplashBidNoticeAbstractUI.aspx?menuIndex=3&amp;refID=7026325&amp;Result=3","7026325")</f>
        <v>0</v>
      </c>
      <c r="B9651" t="s">
        <v>669</v>
      </c>
      <c r="C9651" t="s">
        <v>11914</v>
      </c>
      <c r="D9651" t="s">
        <v>12988</v>
      </c>
      <c r="E9651" t="s">
        <v>21485</v>
      </c>
      <c r="F9651" t="s">
        <v>22436</v>
      </c>
      <c r="G9651" t="s">
        <v>22444</v>
      </c>
      <c r="H9651" t="s">
        <v>22452</v>
      </c>
      <c r="I9651" t="s">
        <v>22490</v>
      </c>
      <c r="J9651" t="s">
        <v>24183</v>
      </c>
      <c r="K9651" t="s">
        <v>29329</v>
      </c>
      <c r="M9651" t="s">
        <v>32020</v>
      </c>
      <c r="N9651" t="s">
        <v>32524</v>
      </c>
      <c r="O9651" t="s">
        <v>32525</v>
      </c>
      <c r="P9651">
        <v>0</v>
      </c>
      <c r="Q9651">
        <v>4</v>
      </c>
      <c r="R9651" t="s">
        <v>32538</v>
      </c>
      <c r="S9651" t="s">
        <v>32872</v>
      </c>
      <c r="T9651" t="s">
        <v>33191</v>
      </c>
      <c r="U9651" t="s">
        <v>41584</v>
      </c>
      <c r="W9651" t="s">
        <v>32020</v>
      </c>
      <c r="X9651" t="s">
        <v>32539</v>
      </c>
    </row>
    <row r="9652" spans="1:24">
      <c r="A9652">
        <f>HYPERLINK("https://www.philgeps.gov.ph/GEPSNONPILOT/Tender/SplashBidNoticeAbstractUI.aspx?menuIndex=3&amp;refID=7026391&amp;Result=3","7026391")</f>
        <v>0</v>
      </c>
      <c r="B9652" t="s">
        <v>1554</v>
      </c>
      <c r="C9652" t="s">
        <v>11915</v>
      </c>
      <c r="D9652" t="s">
        <v>12998</v>
      </c>
      <c r="E9652" t="s">
        <v>21486</v>
      </c>
      <c r="F9652" t="s">
        <v>22436</v>
      </c>
      <c r="G9652" t="s">
        <v>22444</v>
      </c>
      <c r="H9652" t="s">
        <v>22452</v>
      </c>
      <c r="I9652" t="s">
        <v>22482</v>
      </c>
      <c r="J9652" t="s">
        <v>23350</v>
      </c>
      <c r="K9652" t="s">
        <v>29335</v>
      </c>
      <c r="M9652" t="s">
        <v>32368</v>
      </c>
      <c r="N9652" t="s">
        <v>32524</v>
      </c>
      <c r="O9652" t="s">
        <v>32525</v>
      </c>
      <c r="Q9652">
        <v>15</v>
      </c>
      <c r="R9652" t="s">
        <v>32538</v>
      </c>
      <c r="S9652" t="s">
        <v>32952</v>
      </c>
      <c r="T9652" t="s">
        <v>33312</v>
      </c>
      <c r="U9652" t="s">
        <v>41585</v>
      </c>
      <c r="W9652" t="s">
        <v>32368</v>
      </c>
      <c r="X9652" t="s">
        <v>32539</v>
      </c>
    </row>
    <row r="9653" spans="1:24">
      <c r="A9653">
        <f>HYPERLINK("https://www.philgeps.gov.ph/GEPSNONPILOT/Tender/SplashBidNoticeAbstractUI.aspx?menuIndex=3&amp;refID=7026383&amp;Result=3","7026383")</f>
        <v>0</v>
      </c>
      <c r="B9653" t="s">
        <v>2543</v>
      </c>
      <c r="C9653" t="s">
        <v>11916</v>
      </c>
      <c r="D9653" t="s">
        <v>12988</v>
      </c>
      <c r="E9653" t="s">
        <v>21487</v>
      </c>
      <c r="F9653" t="s">
        <v>22436</v>
      </c>
      <c r="G9653" t="s">
        <v>22444</v>
      </c>
      <c r="H9653" t="s">
        <v>22452</v>
      </c>
      <c r="I9653" t="s">
        <v>22474</v>
      </c>
      <c r="J9653" t="s">
        <v>28713</v>
      </c>
      <c r="K9653" t="s">
        <v>29338</v>
      </c>
      <c r="M9653" t="s">
        <v>32354</v>
      </c>
      <c r="N9653" t="s">
        <v>32524</v>
      </c>
      <c r="O9653" t="s">
        <v>32525</v>
      </c>
      <c r="P9653">
        <v>0</v>
      </c>
      <c r="Q9653">
        <v>5</v>
      </c>
      <c r="R9653" t="s">
        <v>32538</v>
      </c>
      <c r="S9653" t="s">
        <v>32872</v>
      </c>
      <c r="T9653" t="s">
        <v>33153</v>
      </c>
      <c r="U9653" t="s">
        <v>41586</v>
      </c>
      <c r="W9653" t="s">
        <v>32354</v>
      </c>
      <c r="X9653" t="s">
        <v>32539</v>
      </c>
    </row>
    <row r="9654" spans="1:24">
      <c r="A9654">
        <f>HYPERLINK("https://www.philgeps.gov.ph/GEPSNONPILOT/Tender/SplashBidNoticeAbstractUI.aspx?menuIndex=3&amp;refID=7026375&amp;Result=3","7026375")</f>
        <v>0</v>
      </c>
      <c r="B9654" t="s">
        <v>2550</v>
      </c>
      <c r="C9654" t="s">
        <v>11917</v>
      </c>
      <c r="D9654" t="s">
        <v>13022</v>
      </c>
      <c r="E9654" t="s">
        <v>21488</v>
      </c>
      <c r="F9654" t="s">
        <v>22436</v>
      </c>
      <c r="G9654" t="s">
        <v>22444</v>
      </c>
      <c r="H9654" t="s">
        <v>22452</v>
      </c>
      <c r="I9654" t="s">
        <v>22488</v>
      </c>
      <c r="J9654" t="s">
        <v>28714</v>
      </c>
      <c r="K9654" t="s">
        <v>29335</v>
      </c>
      <c r="M9654" t="s">
        <v>32362</v>
      </c>
      <c r="N9654" t="s">
        <v>32524</v>
      </c>
      <c r="O9654" t="s">
        <v>32525</v>
      </c>
      <c r="P9654">
        <v>0</v>
      </c>
      <c r="Q9654">
        <v>1</v>
      </c>
      <c r="R9654" t="s">
        <v>32538</v>
      </c>
      <c r="S9654" t="s">
        <v>32872</v>
      </c>
      <c r="T9654" t="s">
        <v>33163</v>
      </c>
      <c r="U9654" t="s">
        <v>41587</v>
      </c>
      <c r="V9654" t="s">
        <v>42546</v>
      </c>
      <c r="W9654" t="s">
        <v>32362</v>
      </c>
      <c r="X9654" t="s">
        <v>32539</v>
      </c>
    </row>
    <row r="9655" spans="1:24">
      <c r="A9655">
        <f>HYPERLINK("https://www.philgeps.gov.ph/GEPSNONPILOT/Tender/SplashBidNoticeAbstractUI.aspx?menuIndex=3&amp;refID=7026425&amp;Result=3","7026425")</f>
        <v>0</v>
      </c>
      <c r="B9655" t="s">
        <v>2556</v>
      </c>
      <c r="C9655" t="s">
        <v>11918</v>
      </c>
      <c r="D9655" t="s">
        <v>13045</v>
      </c>
      <c r="E9655" t="s">
        <v>21489</v>
      </c>
      <c r="F9655" t="s">
        <v>22436</v>
      </c>
      <c r="G9655" t="s">
        <v>22444</v>
      </c>
      <c r="H9655" t="s">
        <v>22454</v>
      </c>
      <c r="I9655" t="s">
        <v>7738</v>
      </c>
      <c r="J9655" t="s">
        <v>22779</v>
      </c>
      <c r="K9655" t="s">
        <v>29333</v>
      </c>
      <c r="M9655" t="s">
        <v>32371</v>
      </c>
      <c r="N9655" t="s">
        <v>32524</v>
      </c>
      <c r="O9655" t="s">
        <v>32525</v>
      </c>
      <c r="P9655">
        <v>0</v>
      </c>
      <c r="Q9655">
        <v>0</v>
      </c>
      <c r="R9655" t="s">
        <v>32538</v>
      </c>
      <c r="S9655" t="s">
        <v>32872</v>
      </c>
      <c r="T9655" t="s">
        <v>33234</v>
      </c>
      <c r="U9655" t="s">
        <v>41588</v>
      </c>
      <c r="W9655" t="s">
        <v>32371</v>
      </c>
      <c r="X9655" t="s">
        <v>32539</v>
      </c>
    </row>
    <row r="9656" spans="1:24">
      <c r="A9656">
        <f>HYPERLINK("https://www.philgeps.gov.ph/GEPSNONPILOT/Tender/SplashBidNoticeAbstractUI.aspx?menuIndex=3&amp;refID=7026310&amp;Result=3","7026310")</f>
        <v>0</v>
      </c>
      <c r="B9656" t="s">
        <v>543</v>
      </c>
      <c r="C9656" t="s">
        <v>11919</v>
      </c>
      <c r="D9656" t="s">
        <v>13020</v>
      </c>
      <c r="E9656" t="s">
        <v>21490</v>
      </c>
      <c r="F9656" t="s">
        <v>22436</v>
      </c>
      <c r="G9656" t="s">
        <v>22444</v>
      </c>
      <c r="H9656" t="s">
        <v>22453</v>
      </c>
      <c r="I9656" t="s">
        <v>22486</v>
      </c>
      <c r="J9656" t="s">
        <v>28715</v>
      </c>
      <c r="K9656" t="s">
        <v>29345</v>
      </c>
      <c r="M9656" t="s">
        <v>30127</v>
      </c>
      <c r="N9656" t="s">
        <v>32524</v>
      </c>
      <c r="O9656" t="s">
        <v>32525</v>
      </c>
      <c r="P9656">
        <v>0</v>
      </c>
      <c r="Q9656">
        <v>2</v>
      </c>
      <c r="R9656" t="s">
        <v>32538</v>
      </c>
      <c r="S9656" t="s">
        <v>32872</v>
      </c>
      <c r="T9656" t="s">
        <v>33171</v>
      </c>
      <c r="U9656" t="s">
        <v>41589</v>
      </c>
      <c r="V9656" t="s">
        <v>43506</v>
      </c>
      <c r="W9656" t="s">
        <v>30127</v>
      </c>
      <c r="X9656" t="s">
        <v>32539</v>
      </c>
    </row>
    <row r="9657" spans="1:24">
      <c r="A9657">
        <f>HYPERLINK("https://www.philgeps.gov.ph/GEPSNONPILOT/Tender/SplashBidNoticeAbstractUI.aspx?menuIndex=3&amp;refID=7026418&amp;Result=3","7026418")</f>
        <v>0</v>
      </c>
      <c r="B9657" t="s">
        <v>2557</v>
      </c>
      <c r="C9657" t="s">
        <v>11920</v>
      </c>
      <c r="D9657" t="s">
        <v>13034</v>
      </c>
      <c r="E9657" t="s">
        <v>21491</v>
      </c>
      <c r="F9657" t="s">
        <v>22436</v>
      </c>
      <c r="G9657" t="s">
        <v>22443</v>
      </c>
      <c r="H9657" t="s">
        <v>22452</v>
      </c>
      <c r="I9657" t="s">
        <v>2993</v>
      </c>
      <c r="J9657" t="s">
        <v>28716</v>
      </c>
      <c r="K9657" t="s">
        <v>29336</v>
      </c>
      <c r="M9657" t="s">
        <v>32372</v>
      </c>
      <c r="N9657" t="s">
        <v>32524</v>
      </c>
      <c r="O9657" t="s">
        <v>32525</v>
      </c>
      <c r="Q9657">
        <v>1</v>
      </c>
      <c r="R9657" t="s">
        <v>32538</v>
      </c>
      <c r="S9657" t="s">
        <v>32953</v>
      </c>
      <c r="T9657" t="s">
        <v>33322</v>
      </c>
      <c r="U9657" t="s">
        <v>41590</v>
      </c>
      <c r="W9657" t="s">
        <v>32372</v>
      </c>
      <c r="X9657" t="s">
        <v>32539</v>
      </c>
    </row>
    <row r="9658" spans="1:24">
      <c r="A9658">
        <f>HYPERLINK("https://www.philgeps.gov.ph/GEPSNONPILOT/Tender/SplashBidNoticeAbstractUI.aspx?menuIndex=3&amp;refID=7026429&amp;Result=3","7026429")</f>
        <v>0</v>
      </c>
      <c r="B9658" t="s">
        <v>2553</v>
      </c>
      <c r="C9658" t="s">
        <v>11921</v>
      </c>
      <c r="D9658" t="s">
        <v>13031</v>
      </c>
      <c r="E9658" t="s">
        <v>21492</v>
      </c>
      <c r="F9658" t="s">
        <v>22436</v>
      </c>
      <c r="G9658" t="s">
        <v>22444</v>
      </c>
      <c r="H9658" t="s">
        <v>22454</v>
      </c>
      <c r="I9658" t="s">
        <v>7738</v>
      </c>
      <c r="J9658" t="s">
        <v>24904</v>
      </c>
      <c r="K9658" t="s">
        <v>29338</v>
      </c>
      <c r="L9658" t="s">
        <v>2553</v>
      </c>
      <c r="M9658" t="s">
        <v>32367</v>
      </c>
      <c r="N9658" t="s">
        <v>32524</v>
      </c>
      <c r="O9658" t="s">
        <v>32525</v>
      </c>
      <c r="P9658">
        <v>0</v>
      </c>
      <c r="Q9658">
        <v>1</v>
      </c>
      <c r="R9658" t="s">
        <v>32538</v>
      </c>
      <c r="S9658" t="s">
        <v>32872</v>
      </c>
      <c r="T9658" t="s">
        <v>33211</v>
      </c>
      <c r="U9658" t="s">
        <v>41567</v>
      </c>
      <c r="V9658" t="s">
        <v>43505</v>
      </c>
      <c r="W9658" t="s">
        <v>32367</v>
      </c>
      <c r="X9658" t="s">
        <v>32539</v>
      </c>
    </row>
    <row r="9659" spans="1:24">
      <c r="A9659">
        <f>HYPERLINK("https://www.philgeps.gov.ph/GEPSNONPILOT/Tender/SplashBidNoticeAbstractUI.aspx?menuIndex=3&amp;refID=7026464&amp;Result=3","7026464")</f>
        <v>0</v>
      </c>
      <c r="B9659" t="s">
        <v>2558</v>
      </c>
      <c r="C9659" t="s">
        <v>11922</v>
      </c>
      <c r="D9659" t="s">
        <v>13000</v>
      </c>
      <c r="E9659" t="s">
        <v>21493</v>
      </c>
      <c r="F9659" t="s">
        <v>22436</v>
      </c>
      <c r="G9659" t="s">
        <v>22444</v>
      </c>
      <c r="H9659" t="s">
        <v>22452</v>
      </c>
      <c r="I9659" t="s">
        <v>22517</v>
      </c>
      <c r="J9659" t="s">
        <v>28717</v>
      </c>
      <c r="K9659" t="s">
        <v>29331</v>
      </c>
      <c r="M9659" t="s">
        <v>32373</v>
      </c>
      <c r="N9659" t="s">
        <v>32524</v>
      </c>
      <c r="O9659" t="s">
        <v>32525</v>
      </c>
      <c r="P9659">
        <v>0</v>
      </c>
      <c r="Q9659">
        <v>2</v>
      </c>
      <c r="R9659" t="s">
        <v>32538</v>
      </c>
      <c r="S9659" t="s">
        <v>32872</v>
      </c>
      <c r="T9659" t="s">
        <v>33181</v>
      </c>
      <c r="U9659" t="s">
        <v>41591</v>
      </c>
      <c r="W9659" t="s">
        <v>32373</v>
      </c>
      <c r="X9659" t="s">
        <v>32539</v>
      </c>
    </row>
    <row r="9660" spans="1:24">
      <c r="A9660">
        <f>HYPERLINK("https://www.philgeps.gov.ph/GEPSNONPILOT/Tender/SplashBidNoticeAbstractUI.aspx?menuIndex=3&amp;refID=7026438&amp;Result=3","7026438")</f>
        <v>0</v>
      </c>
      <c r="B9660" t="s">
        <v>1567</v>
      </c>
      <c r="C9660" t="s">
        <v>11923</v>
      </c>
      <c r="D9660" t="s">
        <v>13004</v>
      </c>
      <c r="E9660" t="s">
        <v>13861</v>
      </c>
      <c r="F9660" t="s">
        <v>22436</v>
      </c>
      <c r="G9660" t="s">
        <v>22444</v>
      </c>
      <c r="H9660" t="s">
        <v>22452</v>
      </c>
      <c r="I9660" t="s">
        <v>22505</v>
      </c>
      <c r="J9660" t="s">
        <v>28718</v>
      </c>
      <c r="K9660" t="s">
        <v>29341</v>
      </c>
      <c r="M9660" t="s">
        <v>31249</v>
      </c>
      <c r="N9660" t="s">
        <v>32524</v>
      </c>
      <c r="O9660" t="s">
        <v>32525</v>
      </c>
      <c r="P9660">
        <v>0</v>
      </c>
      <c r="Q9660">
        <v>5</v>
      </c>
      <c r="R9660" t="s">
        <v>32538</v>
      </c>
      <c r="S9660" t="s">
        <v>32872</v>
      </c>
      <c r="T9660" t="s">
        <v>33234</v>
      </c>
      <c r="U9660" t="s">
        <v>41592</v>
      </c>
      <c r="W9660" t="s">
        <v>31249</v>
      </c>
      <c r="X9660" t="s">
        <v>32539</v>
      </c>
    </row>
    <row r="9661" spans="1:24">
      <c r="A9661">
        <f>HYPERLINK("https://www.philgeps.gov.ph/GEPSNONPILOT/Tender/SplashBidNoticeAbstractUI.aspx?menuIndex=3&amp;refID=7026437&amp;Result=3","7026437")</f>
        <v>0</v>
      </c>
      <c r="B9661" t="s">
        <v>1554</v>
      </c>
      <c r="C9661" t="s">
        <v>11924</v>
      </c>
      <c r="D9661" t="s">
        <v>12998</v>
      </c>
      <c r="E9661" t="s">
        <v>21494</v>
      </c>
      <c r="F9661" t="s">
        <v>22436</v>
      </c>
      <c r="G9661" t="s">
        <v>22444</v>
      </c>
      <c r="H9661" t="s">
        <v>22452</v>
      </c>
      <c r="I9661" t="s">
        <v>2981</v>
      </c>
      <c r="J9661" t="s">
        <v>28719</v>
      </c>
      <c r="K9661" t="s">
        <v>29335</v>
      </c>
      <c r="M9661" t="s">
        <v>32368</v>
      </c>
      <c r="N9661" t="s">
        <v>32524</v>
      </c>
      <c r="O9661" t="s">
        <v>32525</v>
      </c>
      <c r="Q9661">
        <v>7</v>
      </c>
      <c r="R9661" t="s">
        <v>32538</v>
      </c>
      <c r="S9661" t="s">
        <v>32954</v>
      </c>
      <c r="T9661" t="s">
        <v>33312</v>
      </c>
      <c r="U9661" t="s">
        <v>41593</v>
      </c>
      <c r="W9661" t="s">
        <v>32368</v>
      </c>
      <c r="X9661" t="s">
        <v>32539</v>
      </c>
    </row>
    <row r="9662" spans="1:24">
      <c r="A9662">
        <f>HYPERLINK("https://www.philgeps.gov.ph/GEPSNONPILOT/Tender/SplashBidNoticeAbstractUI.aspx?menuIndex=3&amp;refID=7026463&amp;Result=3","7026463")</f>
        <v>0</v>
      </c>
      <c r="B9662" t="s">
        <v>87</v>
      </c>
      <c r="C9662" t="s">
        <v>11925</v>
      </c>
      <c r="E9662" t="s">
        <v>21495</v>
      </c>
      <c r="F9662" t="s">
        <v>22436</v>
      </c>
      <c r="G9662" t="s">
        <v>22444</v>
      </c>
      <c r="H9662" t="s">
        <v>22452</v>
      </c>
      <c r="I9662" t="s">
        <v>22479</v>
      </c>
      <c r="J9662" t="s">
        <v>28720</v>
      </c>
      <c r="K9662" t="s">
        <v>29338</v>
      </c>
      <c r="M9662" t="s">
        <v>29659</v>
      </c>
      <c r="N9662" t="s">
        <v>32524</v>
      </c>
      <c r="O9662" t="s">
        <v>32525</v>
      </c>
      <c r="Q9662">
        <v>5</v>
      </c>
      <c r="R9662" t="s">
        <v>32538</v>
      </c>
      <c r="S9662" t="s">
        <v>32955</v>
      </c>
      <c r="T9662" t="s">
        <v>33594</v>
      </c>
      <c r="U9662" t="s">
        <v>41594</v>
      </c>
      <c r="W9662" t="s">
        <v>29659</v>
      </c>
      <c r="X9662" t="s">
        <v>32539</v>
      </c>
    </row>
    <row r="9663" spans="1:24">
      <c r="A9663">
        <f>HYPERLINK("https://www.philgeps.gov.ph/GEPSNONPILOT/Tender/SplashBidNoticeAbstractUI.aspx?menuIndex=3&amp;refID=7026434&amp;Result=3","7026434")</f>
        <v>0</v>
      </c>
      <c r="B9663" t="s">
        <v>2546</v>
      </c>
      <c r="C9663" t="s">
        <v>11926</v>
      </c>
      <c r="D9663" t="s">
        <v>13038</v>
      </c>
      <c r="E9663" t="s">
        <v>21496</v>
      </c>
      <c r="F9663" t="s">
        <v>22436</v>
      </c>
      <c r="G9663" t="s">
        <v>22444</v>
      </c>
      <c r="H9663" t="s">
        <v>22453</v>
      </c>
      <c r="I9663" t="s">
        <v>22490</v>
      </c>
      <c r="J9663" t="s">
        <v>22779</v>
      </c>
      <c r="K9663" t="s">
        <v>29335</v>
      </c>
      <c r="M9663" t="s">
        <v>32357</v>
      </c>
      <c r="N9663" t="s">
        <v>32524</v>
      </c>
      <c r="O9663" t="s">
        <v>32525</v>
      </c>
      <c r="P9663">
        <v>0</v>
      </c>
      <c r="Q9663">
        <v>0</v>
      </c>
      <c r="R9663" t="s">
        <v>32538</v>
      </c>
      <c r="S9663" t="s">
        <v>32872</v>
      </c>
      <c r="T9663" t="s">
        <v>33389</v>
      </c>
      <c r="U9663" t="s">
        <v>41595</v>
      </c>
      <c r="V9663" t="s">
        <v>43507</v>
      </c>
      <c r="W9663" t="s">
        <v>32357</v>
      </c>
      <c r="X9663" t="s">
        <v>32539</v>
      </c>
    </row>
    <row r="9664" spans="1:24">
      <c r="A9664">
        <f>HYPERLINK("https://www.philgeps.gov.ph/GEPSNONPILOT/Tender/SplashBidNoticeAbstractUI.aspx?menuIndex=3&amp;refID=7026505&amp;Result=3","7026505")</f>
        <v>0</v>
      </c>
      <c r="B9664" t="s">
        <v>392</v>
      </c>
      <c r="C9664" t="s">
        <v>11927</v>
      </c>
      <c r="E9664" t="s">
        <v>21497</v>
      </c>
      <c r="F9664" t="s">
        <v>22436</v>
      </c>
      <c r="G9664" t="s">
        <v>22444</v>
      </c>
      <c r="H9664" t="s">
        <v>22452</v>
      </c>
      <c r="I9664" t="s">
        <v>7738</v>
      </c>
      <c r="J9664" t="s">
        <v>22788</v>
      </c>
      <c r="K9664" t="s">
        <v>29338</v>
      </c>
      <c r="M9664" t="s">
        <v>29971</v>
      </c>
      <c r="N9664" t="s">
        <v>32524</v>
      </c>
      <c r="O9664" t="s">
        <v>32525</v>
      </c>
      <c r="P9664">
        <v>0</v>
      </c>
      <c r="Q9664">
        <v>0</v>
      </c>
      <c r="R9664" t="s">
        <v>32538</v>
      </c>
      <c r="S9664" t="s">
        <v>32872</v>
      </c>
      <c r="T9664" t="s">
        <v>33187</v>
      </c>
      <c r="U9664" t="s">
        <v>34407</v>
      </c>
      <c r="W9664" t="s">
        <v>29971</v>
      </c>
      <c r="X9664" t="s">
        <v>32539</v>
      </c>
    </row>
    <row r="9665" spans="1:24">
      <c r="A9665">
        <f>HYPERLINK("https://www.philgeps.gov.ph/GEPSNONPILOT/Tender/SplashBidNoticeAbstractUI.aspx?menuIndex=3&amp;refID=7026446&amp;Result=3","7026446")</f>
        <v>0</v>
      </c>
      <c r="B9665" t="s">
        <v>2543</v>
      </c>
      <c r="C9665" t="s">
        <v>11928</v>
      </c>
      <c r="D9665" t="s">
        <v>12988</v>
      </c>
      <c r="E9665" t="s">
        <v>21498</v>
      </c>
      <c r="F9665" t="s">
        <v>22436</v>
      </c>
      <c r="G9665" t="s">
        <v>22444</v>
      </c>
      <c r="H9665" t="s">
        <v>22452</v>
      </c>
      <c r="I9665" t="s">
        <v>3529</v>
      </c>
      <c r="J9665" t="s">
        <v>28721</v>
      </c>
      <c r="K9665" t="s">
        <v>29338</v>
      </c>
      <c r="M9665" t="s">
        <v>32354</v>
      </c>
      <c r="N9665" t="s">
        <v>32524</v>
      </c>
      <c r="O9665" t="s">
        <v>32525</v>
      </c>
      <c r="P9665">
        <v>0</v>
      </c>
      <c r="Q9665">
        <v>0</v>
      </c>
      <c r="R9665" t="s">
        <v>32538</v>
      </c>
      <c r="S9665" t="s">
        <v>32872</v>
      </c>
      <c r="T9665" t="s">
        <v>33153</v>
      </c>
      <c r="U9665" t="s">
        <v>41596</v>
      </c>
      <c r="W9665" t="s">
        <v>32354</v>
      </c>
      <c r="X9665" t="s">
        <v>32539</v>
      </c>
    </row>
    <row r="9666" spans="1:24">
      <c r="A9666">
        <f>HYPERLINK("https://www.philgeps.gov.ph/GEPSNONPILOT/Tender/SplashBidNoticeAbstractUI.aspx?menuIndex=3&amp;refID=7026468&amp;Result=3","7026468")</f>
        <v>0</v>
      </c>
      <c r="B9666" t="s">
        <v>1567</v>
      </c>
      <c r="C9666" t="s">
        <v>11929</v>
      </c>
      <c r="D9666" t="s">
        <v>13004</v>
      </c>
      <c r="E9666" t="s">
        <v>14193</v>
      </c>
      <c r="F9666" t="s">
        <v>22436</v>
      </c>
      <c r="G9666" t="s">
        <v>22444</v>
      </c>
      <c r="H9666" t="s">
        <v>22452</v>
      </c>
      <c r="I9666" t="s">
        <v>7110</v>
      </c>
      <c r="J9666" t="s">
        <v>28722</v>
      </c>
      <c r="K9666" t="s">
        <v>29341</v>
      </c>
      <c r="M9666" t="s">
        <v>31249</v>
      </c>
      <c r="N9666" t="s">
        <v>32524</v>
      </c>
      <c r="O9666" t="s">
        <v>32525</v>
      </c>
      <c r="P9666">
        <v>0</v>
      </c>
      <c r="Q9666">
        <v>7</v>
      </c>
      <c r="R9666" t="s">
        <v>32538</v>
      </c>
      <c r="S9666" t="s">
        <v>32872</v>
      </c>
      <c r="T9666" t="s">
        <v>33234</v>
      </c>
      <c r="U9666" t="s">
        <v>41597</v>
      </c>
      <c r="W9666" t="s">
        <v>31249</v>
      </c>
      <c r="X9666" t="s">
        <v>32539</v>
      </c>
    </row>
    <row r="9667" spans="1:24">
      <c r="A9667">
        <f>HYPERLINK("https://www.philgeps.gov.ph/GEPSNONPILOT/Tender/SplashBidNoticeAbstractUI.aspx?menuIndex=3&amp;refID=7026500&amp;Result=3","7026500")</f>
        <v>0</v>
      </c>
      <c r="B9667" t="s">
        <v>827</v>
      </c>
      <c r="C9667" t="s">
        <v>11930</v>
      </c>
      <c r="D9667" t="s">
        <v>12988</v>
      </c>
      <c r="E9667" t="s">
        <v>20869</v>
      </c>
      <c r="F9667" t="s">
        <v>22436</v>
      </c>
      <c r="G9667" t="s">
        <v>22444</v>
      </c>
      <c r="H9667" t="s">
        <v>22452</v>
      </c>
      <c r="I9667" t="s">
        <v>22484</v>
      </c>
      <c r="J9667" t="s">
        <v>28723</v>
      </c>
      <c r="K9667" t="s">
        <v>29334</v>
      </c>
      <c r="M9667" t="s">
        <v>30433</v>
      </c>
      <c r="N9667" t="s">
        <v>32524</v>
      </c>
      <c r="O9667" t="s">
        <v>32525</v>
      </c>
      <c r="P9667">
        <v>0</v>
      </c>
      <c r="Q9667">
        <v>32</v>
      </c>
      <c r="R9667" t="s">
        <v>32538</v>
      </c>
      <c r="S9667" t="s">
        <v>32872</v>
      </c>
      <c r="T9667" t="s">
        <v>33365</v>
      </c>
      <c r="U9667" t="s">
        <v>41598</v>
      </c>
      <c r="W9667" t="s">
        <v>30433</v>
      </c>
      <c r="X9667" t="s">
        <v>32539</v>
      </c>
    </row>
    <row r="9668" spans="1:24">
      <c r="A9668">
        <f>HYPERLINK("https://www.philgeps.gov.ph/GEPSNONPILOT/Tender/SplashBidNoticeAbstractUI.aspx?menuIndex=3&amp;refID=7026492&amp;Result=3","7026492")</f>
        <v>0</v>
      </c>
      <c r="B9668" t="s">
        <v>2559</v>
      </c>
      <c r="C9668" t="s">
        <v>11931</v>
      </c>
      <c r="D9668" t="s">
        <v>13044</v>
      </c>
      <c r="E9668" t="s">
        <v>21499</v>
      </c>
      <c r="F9668" t="s">
        <v>22436</v>
      </c>
      <c r="G9668" t="s">
        <v>22444</v>
      </c>
      <c r="H9668" t="s">
        <v>22454</v>
      </c>
      <c r="I9668" t="s">
        <v>7738</v>
      </c>
      <c r="J9668" t="s">
        <v>28724</v>
      </c>
      <c r="K9668" t="s">
        <v>29438</v>
      </c>
      <c r="M9668" t="s">
        <v>32374</v>
      </c>
      <c r="N9668" t="s">
        <v>32524</v>
      </c>
      <c r="O9668" t="s">
        <v>32525</v>
      </c>
      <c r="P9668">
        <v>0</v>
      </c>
      <c r="Q9668">
        <v>0</v>
      </c>
      <c r="R9668" t="s">
        <v>32538</v>
      </c>
      <c r="S9668" t="s">
        <v>32872</v>
      </c>
      <c r="T9668" t="s">
        <v>33227</v>
      </c>
      <c r="U9668" t="s">
        <v>41599</v>
      </c>
      <c r="W9668" t="s">
        <v>32374</v>
      </c>
      <c r="X9668" t="s">
        <v>32539</v>
      </c>
    </row>
    <row r="9669" spans="1:24">
      <c r="A9669">
        <f>HYPERLINK("https://www.philgeps.gov.ph/GEPSNONPILOT/Tender/SplashBidNoticeAbstractUI.aspx?menuIndex=3&amp;refID=7026497&amp;Result=3","7026497")</f>
        <v>0</v>
      </c>
      <c r="B9669" t="s">
        <v>117</v>
      </c>
      <c r="C9669" t="s">
        <v>11932</v>
      </c>
      <c r="E9669" t="s">
        <v>21500</v>
      </c>
      <c r="F9669" t="s">
        <v>22436</v>
      </c>
      <c r="G9669" t="s">
        <v>22444</v>
      </c>
      <c r="H9669" t="s">
        <v>22452</v>
      </c>
      <c r="I9669" t="s">
        <v>22486</v>
      </c>
      <c r="J9669" t="s">
        <v>23274</v>
      </c>
      <c r="K9669" t="s">
        <v>29336</v>
      </c>
      <c r="M9669" t="s">
        <v>29689</v>
      </c>
      <c r="N9669" t="s">
        <v>32524</v>
      </c>
      <c r="O9669" t="s">
        <v>32525</v>
      </c>
      <c r="P9669">
        <v>0</v>
      </c>
      <c r="Q9669">
        <v>6</v>
      </c>
      <c r="R9669" t="s">
        <v>32538</v>
      </c>
      <c r="S9669" t="s">
        <v>32872</v>
      </c>
      <c r="T9669" t="s">
        <v>33597</v>
      </c>
      <c r="U9669" t="s">
        <v>41600</v>
      </c>
      <c r="W9669" t="s">
        <v>29689</v>
      </c>
      <c r="X9669" t="s">
        <v>32539</v>
      </c>
    </row>
    <row r="9670" spans="1:24">
      <c r="A9670">
        <f>HYPERLINK("https://www.philgeps.gov.ph/GEPSNONPILOT/Tender/SplashBidNoticeAbstractUI.aspx?menuIndex=3&amp;refID=7026466&amp;Result=3","7026466")</f>
        <v>0</v>
      </c>
      <c r="B9670" t="s">
        <v>1661</v>
      </c>
      <c r="C9670" t="s">
        <v>11933</v>
      </c>
      <c r="D9670" t="s">
        <v>13053</v>
      </c>
      <c r="E9670" t="s">
        <v>21501</v>
      </c>
      <c r="F9670" t="s">
        <v>22436</v>
      </c>
      <c r="G9670" t="s">
        <v>22444</v>
      </c>
      <c r="H9670" t="s">
        <v>22454</v>
      </c>
      <c r="I9670" t="s">
        <v>7738</v>
      </c>
      <c r="J9670" t="s">
        <v>28725</v>
      </c>
      <c r="K9670" t="s">
        <v>29347</v>
      </c>
      <c r="M9670" t="s">
        <v>31358</v>
      </c>
      <c r="N9670" t="s">
        <v>32524</v>
      </c>
      <c r="O9670" t="s">
        <v>32525</v>
      </c>
      <c r="P9670">
        <v>0</v>
      </c>
      <c r="Q9670">
        <v>1</v>
      </c>
      <c r="R9670" t="s">
        <v>32538</v>
      </c>
      <c r="S9670" t="s">
        <v>32872</v>
      </c>
      <c r="T9670" t="s">
        <v>33175</v>
      </c>
      <c r="U9670" t="s">
        <v>41601</v>
      </c>
      <c r="W9670" t="s">
        <v>31358</v>
      </c>
      <c r="X9670" t="s">
        <v>32539</v>
      </c>
    </row>
    <row r="9671" spans="1:24">
      <c r="A9671">
        <f>HYPERLINK("https://www.philgeps.gov.ph/GEPSNONPILOT/Tender/SplashBidNoticeAbstractUI.aspx?menuIndex=3&amp;refID=7026487&amp;Result=3","7026487")</f>
        <v>0</v>
      </c>
      <c r="B9671" t="s">
        <v>1567</v>
      </c>
      <c r="C9671" t="s">
        <v>11934</v>
      </c>
      <c r="D9671" t="s">
        <v>13004</v>
      </c>
      <c r="E9671" t="s">
        <v>21502</v>
      </c>
      <c r="F9671" t="s">
        <v>22436</v>
      </c>
      <c r="G9671" t="s">
        <v>22444</v>
      </c>
      <c r="H9671" t="s">
        <v>22452</v>
      </c>
      <c r="I9671" t="s">
        <v>3827</v>
      </c>
      <c r="J9671" t="s">
        <v>22788</v>
      </c>
      <c r="K9671" t="s">
        <v>29341</v>
      </c>
      <c r="M9671" t="s">
        <v>31249</v>
      </c>
      <c r="N9671" t="s">
        <v>32524</v>
      </c>
      <c r="O9671" t="s">
        <v>32525</v>
      </c>
      <c r="P9671">
        <v>0</v>
      </c>
      <c r="Q9671">
        <v>6</v>
      </c>
      <c r="R9671" t="s">
        <v>32538</v>
      </c>
      <c r="S9671" t="s">
        <v>32872</v>
      </c>
      <c r="T9671" t="s">
        <v>33234</v>
      </c>
      <c r="U9671" t="s">
        <v>41602</v>
      </c>
      <c r="W9671" t="s">
        <v>31249</v>
      </c>
      <c r="X9671" t="s">
        <v>32539</v>
      </c>
    </row>
    <row r="9672" spans="1:24">
      <c r="A9672">
        <f>HYPERLINK("https://www.philgeps.gov.ph/GEPSNONPILOT/Tender/SplashBidNoticeAbstractUI.aspx?menuIndex=3&amp;refID=7026495&amp;Result=3","7026495")</f>
        <v>0</v>
      </c>
      <c r="B9672" t="s">
        <v>227</v>
      </c>
      <c r="C9672" t="s">
        <v>11935</v>
      </c>
      <c r="E9672" t="s">
        <v>21503</v>
      </c>
      <c r="F9672" t="s">
        <v>22436</v>
      </c>
      <c r="G9672" t="s">
        <v>22444</v>
      </c>
      <c r="H9672" t="s">
        <v>22452</v>
      </c>
      <c r="I9672" t="s">
        <v>22460</v>
      </c>
      <c r="J9672" t="s">
        <v>28726</v>
      </c>
      <c r="K9672" t="s">
        <v>29335</v>
      </c>
      <c r="M9672" t="s">
        <v>31411</v>
      </c>
      <c r="N9672" t="s">
        <v>32524</v>
      </c>
      <c r="O9672" t="s">
        <v>32525</v>
      </c>
      <c r="P9672">
        <v>0</v>
      </c>
      <c r="Q9672">
        <v>3</v>
      </c>
      <c r="R9672" t="s">
        <v>32538</v>
      </c>
      <c r="S9672" t="s">
        <v>32872</v>
      </c>
      <c r="T9672" t="s">
        <v>33187</v>
      </c>
      <c r="U9672" t="s">
        <v>41603</v>
      </c>
      <c r="W9672" t="s">
        <v>31411</v>
      </c>
      <c r="X9672" t="s">
        <v>32539</v>
      </c>
    </row>
    <row r="9673" spans="1:24">
      <c r="A9673">
        <f>HYPERLINK("https://www.philgeps.gov.ph/GEPSNONPILOT/Tender/SplashBidNoticeAbstractUI.aspx?menuIndex=3&amp;refID=7026442&amp;Result=3","7026442")</f>
        <v>0</v>
      </c>
      <c r="B9673" t="s">
        <v>2550</v>
      </c>
      <c r="C9673" t="s">
        <v>11936</v>
      </c>
      <c r="D9673" t="s">
        <v>13022</v>
      </c>
      <c r="E9673" t="s">
        <v>21504</v>
      </c>
      <c r="F9673" t="s">
        <v>22436</v>
      </c>
      <c r="G9673" t="s">
        <v>22444</v>
      </c>
      <c r="H9673" t="s">
        <v>22454</v>
      </c>
      <c r="I9673" t="s">
        <v>7738</v>
      </c>
      <c r="J9673" t="s">
        <v>23276</v>
      </c>
      <c r="K9673" t="s">
        <v>29337</v>
      </c>
      <c r="M9673" t="s">
        <v>32362</v>
      </c>
      <c r="N9673" t="s">
        <v>32524</v>
      </c>
      <c r="O9673" t="s">
        <v>32525</v>
      </c>
      <c r="P9673">
        <v>0</v>
      </c>
      <c r="Q9673">
        <v>0</v>
      </c>
      <c r="R9673" t="s">
        <v>32538</v>
      </c>
      <c r="S9673" t="s">
        <v>32872</v>
      </c>
      <c r="T9673" t="s">
        <v>33163</v>
      </c>
      <c r="U9673" t="s">
        <v>41604</v>
      </c>
      <c r="V9673" t="s">
        <v>42546</v>
      </c>
      <c r="W9673" t="s">
        <v>32362</v>
      </c>
      <c r="X9673" t="s">
        <v>32539</v>
      </c>
    </row>
    <row r="9674" spans="1:24">
      <c r="A9674">
        <f>HYPERLINK("https://www.philgeps.gov.ph/GEPSNONPILOT/Tender/SplashBidNoticeAbstractUI.aspx?menuIndex=3&amp;refID=7026515&amp;Result=3","7026515")</f>
        <v>0</v>
      </c>
      <c r="B9674" t="s">
        <v>1554</v>
      </c>
      <c r="C9674" t="s">
        <v>11937</v>
      </c>
      <c r="D9674" t="s">
        <v>12998</v>
      </c>
      <c r="E9674" t="s">
        <v>21505</v>
      </c>
      <c r="F9674" t="s">
        <v>22436</v>
      </c>
      <c r="G9674" t="s">
        <v>22444</v>
      </c>
      <c r="H9674" t="s">
        <v>22452</v>
      </c>
      <c r="I9674" t="s">
        <v>22474</v>
      </c>
      <c r="J9674" t="s">
        <v>28727</v>
      </c>
      <c r="K9674" t="s">
        <v>29335</v>
      </c>
      <c r="M9674" t="s">
        <v>32368</v>
      </c>
      <c r="N9674" t="s">
        <v>32524</v>
      </c>
      <c r="O9674" t="s">
        <v>32525</v>
      </c>
      <c r="P9674">
        <v>0</v>
      </c>
      <c r="Q9674">
        <v>11</v>
      </c>
      <c r="R9674" t="s">
        <v>32538</v>
      </c>
      <c r="S9674" t="s">
        <v>32872</v>
      </c>
      <c r="T9674" t="s">
        <v>33312</v>
      </c>
      <c r="U9674" t="s">
        <v>41605</v>
      </c>
      <c r="W9674" t="s">
        <v>32368</v>
      </c>
      <c r="X9674" t="s">
        <v>32539</v>
      </c>
    </row>
    <row r="9675" spans="1:24">
      <c r="A9675">
        <f>HYPERLINK("https://www.philgeps.gov.ph/GEPSNONPILOT/Tender/SplashBidNoticeAbstractUI.aspx?menuIndex=3&amp;refID=7026488&amp;Result=3","7026488")</f>
        <v>0</v>
      </c>
      <c r="B9675" t="s">
        <v>2550</v>
      </c>
      <c r="C9675" t="s">
        <v>11938</v>
      </c>
      <c r="D9675" t="s">
        <v>13022</v>
      </c>
      <c r="E9675" t="s">
        <v>21506</v>
      </c>
      <c r="F9675" t="s">
        <v>22436</v>
      </c>
      <c r="G9675" t="s">
        <v>22444</v>
      </c>
      <c r="H9675" t="s">
        <v>22454</v>
      </c>
      <c r="I9675" t="s">
        <v>7738</v>
      </c>
      <c r="J9675" t="s">
        <v>28728</v>
      </c>
      <c r="K9675" t="s">
        <v>29388</v>
      </c>
      <c r="M9675" t="s">
        <v>32362</v>
      </c>
      <c r="N9675" t="s">
        <v>32524</v>
      </c>
      <c r="O9675" t="s">
        <v>32525</v>
      </c>
      <c r="P9675">
        <v>0</v>
      </c>
      <c r="Q9675">
        <v>0</v>
      </c>
      <c r="R9675" t="s">
        <v>32538</v>
      </c>
      <c r="S9675" t="s">
        <v>32872</v>
      </c>
      <c r="T9675" t="s">
        <v>33163</v>
      </c>
      <c r="U9675" t="s">
        <v>41606</v>
      </c>
      <c r="V9675" t="s">
        <v>42546</v>
      </c>
      <c r="W9675" t="s">
        <v>32362</v>
      </c>
      <c r="X9675" t="s">
        <v>32539</v>
      </c>
    </row>
    <row r="9676" spans="1:24">
      <c r="A9676">
        <f>HYPERLINK("https://www.philgeps.gov.ph/GEPSNONPILOT/Tender/SplashBidNoticeAbstractUI.aspx?menuIndex=3&amp;refID=7026454&amp;Result=3","7026454")</f>
        <v>0</v>
      </c>
      <c r="B9676" t="s">
        <v>827</v>
      </c>
      <c r="C9676" t="s">
        <v>11939</v>
      </c>
      <c r="D9676" t="s">
        <v>12988</v>
      </c>
      <c r="E9676" t="s">
        <v>20860</v>
      </c>
      <c r="F9676" t="s">
        <v>22436</v>
      </c>
      <c r="G9676" t="s">
        <v>22444</v>
      </c>
      <c r="H9676" t="s">
        <v>22452</v>
      </c>
      <c r="I9676" t="s">
        <v>22484</v>
      </c>
      <c r="J9676" t="s">
        <v>25075</v>
      </c>
      <c r="K9676" t="s">
        <v>29334</v>
      </c>
      <c r="M9676" t="s">
        <v>30433</v>
      </c>
      <c r="N9676" t="s">
        <v>32524</v>
      </c>
      <c r="O9676" t="s">
        <v>32525</v>
      </c>
      <c r="P9676">
        <v>0</v>
      </c>
      <c r="Q9676">
        <v>20</v>
      </c>
      <c r="R9676" t="s">
        <v>32538</v>
      </c>
      <c r="S9676" t="s">
        <v>32872</v>
      </c>
      <c r="T9676" t="s">
        <v>33171</v>
      </c>
      <c r="U9676" t="s">
        <v>41607</v>
      </c>
      <c r="W9676" t="s">
        <v>30433</v>
      </c>
      <c r="X9676" t="s">
        <v>32539</v>
      </c>
    </row>
    <row r="9677" spans="1:24">
      <c r="A9677">
        <f>HYPERLINK("https://www.philgeps.gov.ph/GEPSNONPILOT/Tender/SplashBidNoticeAbstractUI.aspx?menuIndex=3&amp;refID=7026480&amp;Result=3","7026480")</f>
        <v>0</v>
      </c>
      <c r="B9677" t="s">
        <v>1554</v>
      </c>
      <c r="C9677" t="s">
        <v>11937</v>
      </c>
      <c r="D9677" t="s">
        <v>12998</v>
      </c>
      <c r="E9677" t="s">
        <v>21507</v>
      </c>
      <c r="F9677" t="s">
        <v>22436</v>
      </c>
      <c r="G9677" t="s">
        <v>22444</v>
      </c>
      <c r="H9677" t="s">
        <v>22452</v>
      </c>
      <c r="I9677" t="s">
        <v>22474</v>
      </c>
      <c r="J9677" t="s">
        <v>23281</v>
      </c>
      <c r="K9677" t="s">
        <v>29335</v>
      </c>
      <c r="M9677" t="s">
        <v>32368</v>
      </c>
      <c r="N9677" t="s">
        <v>32524</v>
      </c>
      <c r="O9677" t="s">
        <v>32525</v>
      </c>
      <c r="P9677">
        <v>0</v>
      </c>
      <c r="Q9677">
        <v>12</v>
      </c>
      <c r="R9677" t="s">
        <v>32538</v>
      </c>
      <c r="S9677" t="s">
        <v>32872</v>
      </c>
      <c r="T9677" t="s">
        <v>33241</v>
      </c>
      <c r="U9677" t="s">
        <v>41608</v>
      </c>
      <c r="W9677" t="s">
        <v>32368</v>
      </c>
      <c r="X9677" t="s">
        <v>32539</v>
      </c>
    </row>
    <row r="9678" spans="1:24">
      <c r="A9678">
        <f>HYPERLINK("https://www.philgeps.gov.ph/GEPSNONPILOT/Tender/SplashBidNoticeAbstractUI.aspx?menuIndex=3&amp;refID=7026512&amp;Result=3","7026512")</f>
        <v>0</v>
      </c>
      <c r="B9678" t="s">
        <v>1567</v>
      </c>
      <c r="C9678" t="s">
        <v>11940</v>
      </c>
      <c r="D9678" t="s">
        <v>13004</v>
      </c>
      <c r="E9678" t="s">
        <v>21508</v>
      </c>
      <c r="F9678" t="s">
        <v>22436</v>
      </c>
      <c r="G9678" t="s">
        <v>22444</v>
      </c>
      <c r="H9678" t="s">
        <v>22452</v>
      </c>
      <c r="I9678" t="s">
        <v>3529</v>
      </c>
      <c r="J9678" t="s">
        <v>28729</v>
      </c>
      <c r="K9678" t="s">
        <v>29341</v>
      </c>
      <c r="M9678" t="s">
        <v>31249</v>
      </c>
      <c r="N9678" t="s">
        <v>32524</v>
      </c>
      <c r="O9678" t="s">
        <v>32525</v>
      </c>
      <c r="P9678">
        <v>0</v>
      </c>
      <c r="Q9678">
        <v>5</v>
      </c>
      <c r="R9678" t="s">
        <v>32538</v>
      </c>
      <c r="S9678" t="s">
        <v>32872</v>
      </c>
      <c r="T9678" t="s">
        <v>33234</v>
      </c>
      <c r="U9678" t="s">
        <v>41609</v>
      </c>
      <c r="W9678" t="s">
        <v>31249</v>
      </c>
      <c r="X9678" t="s">
        <v>32539</v>
      </c>
    </row>
    <row r="9679" spans="1:24">
      <c r="A9679">
        <f>HYPERLINK("https://www.philgeps.gov.ph/GEPSNONPILOT/Tender/SplashBidNoticeAbstractUI.aspx?menuIndex=3&amp;refID=7026537&amp;Result=3","7026537")</f>
        <v>0</v>
      </c>
      <c r="B9679" t="s">
        <v>2534</v>
      </c>
      <c r="C9679" t="s">
        <v>11941</v>
      </c>
      <c r="D9679" t="s">
        <v>13002</v>
      </c>
      <c r="E9679" t="s">
        <v>16755</v>
      </c>
      <c r="F9679" t="s">
        <v>22436</v>
      </c>
      <c r="G9679" t="s">
        <v>22444</v>
      </c>
      <c r="H9679" t="s">
        <v>22452</v>
      </c>
      <c r="I9679" t="s">
        <v>22463</v>
      </c>
      <c r="J9679" t="s">
        <v>28730</v>
      </c>
      <c r="K9679" t="s">
        <v>29336</v>
      </c>
      <c r="M9679" t="s">
        <v>32342</v>
      </c>
      <c r="N9679" t="s">
        <v>32524</v>
      </c>
      <c r="O9679" t="s">
        <v>32525</v>
      </c>
      <c r="P9679">
        <v>0</v>
      </c>
      <c r="Q9679">
        <v>1</v>
      </c>
      <c r="R9679" t="s">
        <v>32538</v>
      </c>
      <c r="S9679" t="s">
        <v>32872</v>
      </c>
      <c r="T9679" t="s">
        <v>33351</v>
      </c>
      <c r="U9679" t="s">
        <v>41610</v>
      </c>
      <c r="W9679" t="s">
        <v>32342</v>
      </c>
      <c r="X9679" t="s">
        <v>32539</v>
      </c>
    </row>
    <row r="9680" spans="1:24">
      <c r="A9680">
        <f>HYPERLINK("https://www.philgeps.gov.ph/GEPSNONPILOT/Tender/SplashBidNoticeAbstractUI.aspx?menuIndex=3&amp;refID=7026516&amp;Result=3","7026516")</f>
        <v>0</v>
      </c>
      <c r="B9680" t="s">
        <v>339</v>
      </c>
      <c r="C9680" t="s">
        <v>11942</v>
      </c>
      <c r="D9680" t="s">
        <v>12990</v>
      </c>
      <c r="E9680" t="s">
        <v>21509</v>
      </c>
      <c r="F9680" t="s">
        <v>22436</v>
      </c>
      <c r="G9680" t="s">
        <v>22444</v>
      </c>
      <c r="H9680" t="s">
        <v>22452</v>
      </c>
      <c r="I9680" t="s">
        <v>7738</v>
      </c>
      <c r="J9680" t="s">
        <v>28731</v>
      </c>
      <c r="K9680" t="s">
        <v>29334</v>
      </c>
      <c r="M9680" t="s">
        <v>31131</v>
      </c>
      <c r="N9680" t="s">
        <v>32524</v>
      </c>
      <c r="O9680" t="s">
        <v>32525</v>
      </c>
      <c r="P9680">
        <v>0</v>
      </c>
      <c r="Q9680">
        <v>2</v>
      </c>
      <c r="R9680" t="s">
        <v>32538</v>
      </c>
      <c r="S9680" t="s">
        <v>32872</v>
      </c>
      <c r="T9680" t="s">
        <v>33173</v>
      </c>
      <c r="U9680" t="s">
        <v>37443</v>
      </c>
      <c r="W9680" t="s">
        <v>31131</v>
      </c>
      <c r="X9680" t="s">
        <v>32539</v>
      </c>
    </row>
    <row r="9681" spans="1:24">
      <c r="A9681">
        <f>HYPERLINK("https://www.philgeps.gov.ph/GEPSNONPILOT/Tender/SplashBidNoticeAbstractUI.aspx?menuIndex=3&amp;refID=7026484&amp;Result=3","7026484")</f>
        <v>0</v>
      </c>
      <c r="B9681" t="s">
        <v>1108</v>
      </c>
      <c r="C9681" t="s">
        <v>2997</v>
      </c>
      <c r="D9681" t="s">
        <v>13061</v>
      </c>
      <c r="E9681" t="s">
        <v>21510</v>
      </c>
      <c r="F9681" t="s">
        <v>22436</v>
      </c>
      <c r="G9681" t="s">
        <v>22444</v>
      </c>
      <c r="H9681" t="s">
        <v>22452</v>
      </c>
      <c r="I9681" t="s">
        <v>3529</v>
      </c>
      <c r="J9681" t="s">
        <v>28732</v>
      </c>
      <c r="K9681" t="s">
        <v>29338</v>
      </c>
      <c r="M9681" t="s">
        <v>30744</v>
      </c>
      <c r="N9681" t="s">
        <v>32524</v>
      </c>
      <c r="O9681" t="s">
        <v>32525</v>
      </c>
      <c r="P9681">
        <v>0</v>
      </c>
      <c r="Q9681">
        <v>1</v>
      </c>
      <c r="R9681" t="s">
        <v>32538</v>
      </c>
      <c r="S9681" t="s">
        <v>32872</v>
      </c>
      <c r="T9681" t="s">
        <v>33227</v>
      </c>
      <c r="U9681" t="s">
        <v>41611</v>
      </c>
      <c r="V9681" t="s">
        <v>43508</v>
      </c>
      <c r="W9681" t="s">
        <v>30744</v>
      </c>
      <c r="X9681" t="s">
        <v>32539</v>
      </c>
    </row>
    <row r="9682" spans="1:24">
      <c r="A9682">
        <f>HYPERLINK("https://www.philgeps.gov.ph/GEPSNONPILOT/Tender/SplashBidNoticeAbstractUI.aspx?menuIndex=3&amp;refID=7026525&amp;Result=3","7026525")</f>
        <v>0</v>
      </c>
      <c r="B9682" t="s">
        <v>2556</v>
      </c>
      <c r="C9682" t="s">
        <v>11943</v>
      </c>
      <c r="D9682" t="s">
        <v>13045</v>
      </c>
      <c r="E9682" t="s">
        <v>21511</v>
      </c>
      <c r="F9682" t="s">
        <v>22436</v>
      </c>
      <c r="G9682" t="s">
        <v>22444</v>
      </c>
      <c r="H9682" t="s">
        <v>22454</v>
      </c>
      <c r="I9682" t="s">
        <v>7738</v>
      </c>
      <c r="J9682" t="s">
        <v>22960</v>
      </c>
      <c r="K9682" t="s">
        <v>29334</v>
      </c>
      <c r="M9682" t="s">
        <v>32371</v>
      </c>
      <c r="N9682" t="s">
        <v>32524</v>
      </c>
      <c r="O9682" t="s">
        <v>32525</v>
      </c>
      <c r="P9682">
        <v>0</v>
      </c>
      <c r="Q9682">
        <v>1</v>
      </c>
      <c r="R9682" t="s">
        <v>32538</v>
      </c>
      <c r="S9682" t="s">
        <v>32872</v>
      </c>
      <c r="T9682" t="s">
        <v>33234</v>
      </c>
      <c r="U9682" t="s">
        <v>41612</v>
      </c>
      <c r="W9682" t="s">
        <v>32371</v>
      </c>
      <c r="X9682" t="s">
        <v>32539</v>
      </c>
    </row>
    <row r="9683" spans="1:24">
      <c r="A9683">
        <f>HYPERLINK("https://www.philgeps.gov.ph/GEPSNONPILOT/Tender/SplashBidNoticeAbstractUI.aspx?menuIndex=3&amp;refID=7026539&amp;Result=3","7026539")</f>
        <v>0</v>
      </c>
      <c r="B9683" t="s">
        <v>1791</v>
      </c>
      <c r="C9683" t="s">
        <v>11944</v>
      </c>
      <c r="D9683" t="s">
        <v>13065</v>
      </c>
      <c r="E9683" t="s">
        <v>21512</v>
      </c>
      <c r="F9683" t="s">
        <v>22436</v>
      </c>
      <c r="G9683" t="s">
        <v>22444</v>
      </c>
      <c r="H9683" t="s">
        <v>22454</v>
      </c>
      <c r="I9683" t="s">
        <v>7738</v>
      </c>
      <c r="J9683" t="s">
        <v>28733</v>
      </c>
      <c r="K9683" t="s">
        <v>29334</v>
      </c>
      <c r="M9683" t="s">
        <v>31502</v>
      </c>
      <c r="N9683" t="s">
        <v>32524</v>
      </c>
      <c r="O9683" t="s">
        <v>32525</v>
      </c>
      <c r="Q9683">
        <v>0</v>
      </c>
      <c r="R9683" t="s">
        <v>32538</v>
      </c>
      <c r="S9683" t="s">
        <v>32776</v>
      </c>
      <c r="T9683" t="s">
        <v>33181</v>
      </c>
      <c r="U9683" t="s">
        <v>41613</v>
      </c>
      <c r="V9683" t="s">
        <v>43018</v>
      </c>
      <c r="W9683" t="s">
        <v>31502</v>
      </c>
      <c r="X9683" t="s">
        <v>32539</v>
      </c>
    </row>
    <row r="9684" spans="1:24">
      <c r="A9684">
        <f>HYPERLINK("https://www.philgeps.gov.ph/GEPSNONPILOT/Tender/SplashBidNoticeAbstractUI.aspx?menuIndex=3&amp;refID=7026533&amp;Result=3","7026533")</f>
        <v>0</v>
      </c>
      <c r="B9684" t="s">
        <v>2560</v>
      </c>
      <c r="C9684" t="s">
        <v>11945</v>
      </c>
      <c r="E9684" t="s">
        <v>21513</v>
      </c>
      <c r="F9684" t="s">
        <v>22436</v>
      </c>
      <c r="G9684" t="s">
        <v>22444</v>
      </c>
      <c r="H9684" t="s">
        <v>22452</v>
      </c>
      <c r="I9684" t="s">
        <v>22484</v>
      </c>
      <c r="J9684" t="s">
        <v>22669</v>
      </c>
      <c r="K9684" t="s">
        <v>29338</v>
      </c>
      <c r="M9684" t="s">
        <v>32375</v>
      </c>
      <c r="N9684" t="s">
        <v>32524</v>
      </c>
      <c r="O9684" t="s">
        <v>32525</v>
      </c>
      <c r="Q9684">
        <v>15</v>
      </c>
      <c r="R9684" t="s">
        <v>32538</v>
      </c>
      <c r="S9684" t="s">
        <v>32956</v>
      </c>
      <c r="T9684" t="s">
        <v>33259</v>
      </c>
      <c r="U9684" t="s">
        <v>41614</v>
      </c>
      <c r="W9684" t="s">
        <v>32375</v>
      </c>
      <c r="X9684" t="s">
        <v>32539</v>
      </c>
    </row>
    <row r="9685" spans="1:24">
      <c r="A9685">
        <f>HYPERLINK("https://www.philgeps.gov.ph/GEPSNONPILOT/Tender/SplashBidNoticeAbstractUI.aspx?menuIndex=3&amp;refID=7026570&amp;Result=3","7026570")</f>
        <v>0</v>
      </c>
      <c r="B9685" t="s">
        <v>1567</v>
      </c>
      <c r="C9685" t="s">
        <v>11946</v>
      </c>
      <c r="D9685" t="s">
        <v>13004</v>
      </c>
      <c r="E9685" t="s">
        <v>17515</v>
      </c>
      <c r="F9685" t="s">
        <v>22436</v>
      </c>
      <c r="G9685" t="s">
        <v>22444</v>
      </c>
      <c r="H9685" t="s">
        <v>22452</v>
      </c>
      <c r="I9685" t="s">
        <v>3529</v>
      </c>
      <c r="J9685" t="s">
        <v>28734</v>
      </c>
      <c r="K9685" t="s">
        <v>29341</v>
      </c>
      <c r="M9685" t="s">
        <v>31249</v>
      </c>
      <c r="N9685" t="s">
        <v>32524</v>
      </c>
      <c r="O9685" t="s">
        <v>32525</v>
      </c>
      <c r="P9685">
        <v>0</v>
      </c>
      <c r="Q9685">
        <v>3</v>
      </c>
      <c r="R9685" t="s">
        <v>32538</v>
      </c>
      <c r="S9685" t="s">
        <v>32872</v>
      </c>
      <c r="T9685" t="s">
        <v>33234</v>
      </c>
      <c r="U9685" t="s">
        <v>41615</v>
      </c>
      <c r="W9685" t="s">
        <v>31249</v>
      </c>
      <c r="X9685" t="s">
        <v>32539</v>
      </c>
    </row>
    <row r="9686" spans="1:24">
      <c r="A9686">
        <f>HYPERLINK("https://www.philgeps.gov.ph/GEPSNONPILOT/Tender/SplashBidNoticeAbstractUI.aspx?menuIndex=3&amp;refID=7026519&amp;Result=3","7026519")</f>
        <v>0</v>
      </c>
      <c r="B9686" t="s">
        <v>2543</v>
      </c>
      <c r="C9686" t="s">
        <v>11947</v>
      </c>
      <c r="D9686" t="s">
        <v>12988</v>
      </c>
      <c r="E9686" t="s">
        <v>21514</v>
      </c>
      <c r="F9686" t="s">
        <v>22436</v>
      </c>
      <c r="G9686" t="s">
        <v>22444</v>
      </c>
      <c r="H9686" t="s">
        <v>22452</v>
      </c>
      <c r="I9686" t="s">
        <v>22463</v>
      </c>
      <c r="J9686" t="s">
        <v>28735</v>
      </c>
      <c r="K9686" t="s">
        <v>29338</v>
      </c>
      <c r="M9686" t="s">
        <v>32354</v>
      </c>
      <c r="N9686" t="s">
        <v>32524</v>
      </c>
      <c r="O9686" t="s">
        <v>32525</v>
      </c>
      <c r="P9686">
        <v>0</v>
      </c>
      <c r="Q9686">
        <v>4</v>
      </c>
      <c r="R9686" t="s">
        <v>32538</v>
      </c>
      <c r="S9686" t="s">
        <v>32872</v>
      </c>
      <c r="T9686" t="s">
        <v>33153</v>
      </c>
      <c r="U9686" t="s">
        <v>41616</v>
      </c>
      <c r="W9686" t="s">
        <v>32354</v>
      </c>
      <c r="X9686" t="s">
        <v>32539</v>
      </c>
    </row>
    <row r="9687" spans="1:24">
      <c r="A9687">
        <f>HYPERLINK("https://www.philgeps.gov.ph/GEPSNONPILOT/Tender/SplashBidNoticeAbstractUI.aspx?menuIndex=3&amp;refID=7026521&amp;Result=3","7026521")</f>
        <v>0</v>
      </c>
      <c r="B9687" t="s">
        <v>2561</v>
      </c>
      <c r="C9687" t="s">
        <v>11948</v>
      </c>
      <c r="D9687" t="s">
        <v>13011</v>
      </c>
      <c r="E9687" t="s">
        <v>21515</v>
      </c>
      <c r="F9687" t="s">
        <v>22436</v>
      </c>
      <c r="G9687" t="s">
        <v>22444</v>
      </c>
      <c r="H9687" t="s">
        <v>22454</v>
      </c>
      <c r="I9687" t="s">
        <v>7738</v>
      </c>
      <c r="J9687" t="s">
        <v>28736</v>
      </c>
      <c r="K9687" t="s">
        <v>29334</v>
      </c>
      <c r="M9687" t="s">
        <v>32376</v>
      </c>
      <c r="N9687" t="s">
        <v>32524</v>
      </c>
      <c r="O9687" t="s">
        <v>32525</v>
      </c>
      <c r="Q9687">
        <v>11</v>
      </c>
      <c r="R9687" t="s">
        <v>32538</v>
      </c>
      <c r="S9687" t="s">
        <v>32573</v>
      </c>
      <c r="T9687" t="s">
        <v>33181</v>
      </c>
      <c r="U9687" t="s">
        <v>41617</v>
      </c>
      <c r="W9687" t="s">
        <v>32376</v>
      </c>
      <c r="X9687" t="s">
        <v>32539</v>
      </c>
    </row>
    <row r="9688" spans="1:24">
      <c r="A9688">
        <f>HYPERLINK("https://www.philgeps.gov.ph/GEPSNONPILOT/Tender/SplashBidNoticeAbstractUI.aspx?menuIndex=3&amp;refID=7026563&amp;Result=3","7026563")</f>
        <v>0</v>
      </c>
      <c r="B9688" t="s">
        <v>2534</v>
      </c>
      <c r="C9688" t="s">
        <v>11949</v>
      </c>
      <c r="D9688" t="s">
        <v>13002</v>
      </c>
      <c r="E9688" t="s">
        <v>13681</v>
      </c>
      <c r="F9688" t="s">
        <v>22436</v>
      </c>
      <c r="G9688" t="s">
        <v>22444</v>
      </c>
      <c r="H9688" t="s">
        <v>22452</v>
      </c>
      <c r="I9688" t="s">
        <v>22463</v>
      </c>
      <c r="J9688" t="s">
        <v>28737</v>
      </c>
      <c r="K9688" t="s">
        <v>29336</v>
      </c>
      <c r="M9688" t="s">
        <v>32342</v>
      </c>
      <c r="N9688" t="s">
        <v>32524</v>
      </c>
      <c r="O9688" t="s">
        <v>32525</v>
      </c>
      <c r="P9688">
        <v>0</v>
      </c>
      <c r="Q9688">
        <v>2</v>
      </c>
      <c r="R9688" t="s">
        <v>32538</v>
      </c>
      <c r="S9688" t="s">
        <v>32872</v>
      </c>
      <c r="T9688" t="s">
        <v>33351</v>
      </c>
      <c r="U9688" t="s">
        <v>41610</v>
      </c>
      <c r="W9688" t="s">
        <v>32342</v>
      </c>
      <c r="X9688" t="s">
        <v>32539</v>
      </c>
    </row>
    <row r="9689" spans="1:24">
      <c r="A9689">
        <f>HYPERLINK("https://www.philgeps.gov.ph/GEPSNONPILOT/Tender/SplashBidNoticeAbstractUI.aspx?menuIndex=3&amp;refID=7026556&amp;Result=3","7026556")</f>
        <v>0</v>
      </c>
      <c r="B9689" t="s">
        <v>1554</v>
      </c>
      <c r="C9689" t="s">
        <v>11950</v>
      </c>
      <c r="D9689" t="s">
        <v>12998</v>
      </c>
      <c r="E9689" t="s">
        <v>21516</v>
      </c>
      <c r="F9689" t="s">
        <v>22436</v>
      </c>
      <c r="G9689" t="s">
        <v>22444</v>
      </c>
      <c r="H9689" t="s">
        <v>22452</v>
      </c>
      <c r="I9689" t="s">
        <v>22474</v>
      </c>
      <c r="J9689" t="s">
        <v>26195</v>
      </c>
      <c r="K9689" t="s">
        <v>29335</v>
      </c>
      <c r="M9689" t="s">
        <v>32368</v>
      </c>
      <c r="N9689" t="s">
        <v>32524</v>
      </c>
      <c r="O9689" t="s">
        <v>32525</v>
      </c>
      <c r="P9689">
        <v>0</v>
      </c>
      <c r="Q9689">
        <v>5</v>
      </c>
      <c r="R9689" t="s">
        <v>32538</v>
      </c>
      <c r="S9689" t="s">
        <v>32872</v>
      </c>
      <c r="T9689" t="s">
        <v>33312</v>
      </c>
      <c r="U9689" t="s">
        <v>41618</v>
      </c>
      <c r="W9689" t="s">
        <v>32368</v>
      </c>
      <c r="X9689" t="s">
        <v>32539</v>
      </c>
    </row>
    <row r="9690" spans="1:24">
      <c r="A9690">
        <f>HYPERLINK("https://www.philgeps.gov.ph/GEPSNONPILOT/Tender/SplashBidNoticeAbstractUI.aspx?menuIndex=3&amp;refID=7026569&amp;Result=3","7026569")</f>
        <v>0</v>
      </c>
      <c r="B9690" t="s">
        <v>2501</v>
      </c>
      <c r="C9690" t="s">
        <v>11951</v>
      </c>
      <c r="D9690" t="s">
        <v>13031</v>
      </c>
      <c r="E9690" t="s">
        <v>21517</v>
      </c>
      <c r="F9690" t="s">
        <v>22436</v>
      </c>
      <c r="G9690" t="s">
        <v>22444</v>
      </c>
      <c r="H9690" t="s">
        <v>22454</v>
      </c>
      <c r="I9690" t="s">
        <v>7738</v>
      </c>
      <c r="J9690" t="s">
        <v>23349</v>
      </c>
      <c r="K9690" t="s">
        <v>29333</v>
      </c>
      <c r="M9690" t="s">
        <v>32307</v>
      </c>
      <c r="N9690" t="s">
        <v>32524</v>
      </c>
      <c r="O9690" t="s">
        <v>32525</v>
      </c>
      <c r="P9690">
        <v>0</v>
      </c>
      <c r="Q9690">
        <v>0</v>
      </c>
      <c r="R9690" t="s">
        <v>32538</v>
      </c>
      <c r="S9690" t="s">
        <v>32872</v>
      </c>
      <c r="T9690" t="s">
        <v>33238</v>
      </c>
      <c r="U9690" t="s">
        <v>41619</v>
      </c>
      <c r="W9690" t="s">
        <v>32307</v>
      </c>
      <c r="X9690" t="s">
        <v>32539</v>
      </c>
    </row>
    <row r="9691" spans="1:24">
      <c r="A9691">
        <f>HYPERLINK("https://www.philgeps.gov.ph/GEPSNONPILOT/Tender/SplashBidNoticeAbstractUI.aspx?menuIndex=3&amp;refID=7026523&amp;Result=3","7026523")</f>
        <v>0</v>
      </c>
      <c r="B9691" t="s">
        <v>2134</v>
      </c>
      <c r="C9691" t="s">
        <v>11952</v>
      </c>
      <c r="D9691" t="s">
        <v>13011</v>
      </c>
      <c r="E9691" t="s">
        <v>21518</v>
      </c>
      <c r="F9691" t="s">
        <v>22436</v>
      </c>
      <c r="G9691" t="s">
        <v>22444</v>
      </c>
      <c r="H9691" t="s">
        <v>22454</v>
      </c>
      <c r="I9691" t="s">
        <v>7738</v>
      </c>
      <c r="J9691" t="s">
        <v>25909</v>
      </c>
      <c r="K9691" t="s">
        <v>29571</v>
      </c>
      <c r="M9691" t="s">
        <v>31886</v>
      </c>
      <c r="N9691" t="s">
        <v>32524</v>
      </c>
      <c r="O9691" t="s">
        <v>32525</v>
      </c>
      <c r="P9691">
        <v>0</v>
      </c>
      <c r="Q9691">
        <v>11</v>
      </c>
      <c r="R9691" t="s">
        <v>32538</v>
      </c>
      <c r="S9691" t="s">
        <v>32872</v>
      </c>
      <c r="T9691" t="s">
        <v>33184</v>
      </c>
      <c r="U9691" t="s">
        <v>41620</v>
      </c>
      <c r="W9691" t="s">
        <v>31886</v>
      </c>
      <c r="X9691" t="s">
        <v>32539</v>
      </c>
    </row>
    <row r="9692" spans="1:24">
      <c r="A9692">
        <f>HYPERLINK("https://www.philgeps.gov.ph/GEPSNONPILOT/Tender/SplashBidNoticeAbstractUI.aspx?menuIndex=3&amp;refID=7026547&amp;Result=3","7026547")</f>
        <v>0</v>
      </c>
      <c r="B9692" t="s">
        <v>1702</v>
      </c>
      <c r="C9692" t="s">
        <v>11953</v>
      </c>
      <c r="D9692" t="s">
        <v>13065</v>
      </c>
      <c r="E9692" t="s">
        <v>13092</v>
      </c>
      <c r="F9692" t="s">
        <v>22436</v>
      </c>
      <c r="G9692" t="s">
        <v>22444</v>
      </c>
      <c r="H9692" t="s">
        <v>22452</v>
      </c>
      <c r="I9692" t="s">
        <v>6421</v>
      </c>
      <c r="J9692" t="s">
        <v>28738</v>
      </c>
      <c r="K9692" t="s">
        <v>29341</v>
      </c>
      <c r="M9692" t="s">
        <v>31404</v>
      </c>
      <c r="N9692" t="s">
        <v>32524</v>
      </c>
      <c r="O9692" t="s">
        <v>32525</v>
      </c>
      <c r="P9692">
        <v>0</v>
      </c>
      <c r="Q9692">
        <v>0</v>
      </c>
      <c r="R9692" t="s">
        <v>32538</v>
      </c>
      <c r="S9692" t="s">
        <v>32872</v>
      </c>
      <c r="T9692" t="s">
        <v>33323</v>
      </c>
      <c r="U9692" t="s">
        <v>41621</v>
      </c>
      <c r="W9692" t="s">
        <v>31404</v>
      </c>
      <c r="X9692" t="s">
        <v>32539</v>
      </c>
    </row>
    <row r="9693" spans="1:24">
      <c r="A9693">
        <f>HYPERLINK("https://www.philgeps.gov.ph/GEPSNONPILOT/Tender/SplashBidNoticeAbstractUI.aspx?menuIndex=3&amp;refID=7026566&amp;Result=3","7026566")</f>
        <v>0</v>
      </c>
      <c r="B9693" t="s">
        <v>831</v>
      </c>
      <c r="C9693" t="s">
        <v>11954</v>
      </c>
      <c r="D9693" t="s">
        <v>13025</v>
      </c>
      <c r="E9693" t="s">
        <v>21519</v>
      </c>
      <c r="F9693" t="s">
        <v>22436</v>
      </c>
      <c r="G9693" t="s">
        <v>22444</v>
      </c>
      <c r="H9693" t="s">
        <v>22454</v>
      </c>
      <c r="I9693" t="s">
        <v>7738</v>
      </c>
      <c r="J9693" t="s">
        <v>23399</v>
      </c>
      <c r="K9693" t="s">
        <v>29412</v>
      </c>
      <c r="M9693" t="s">
        <v>30437</v>
      </c>
      <c r="N9693" t="s">
        <v>32524</v>
      </c>
      <c r="O9693" t="s">
        <v>32525</v>
      </c>
      <c r="Q9693">
        <v>2</v>
      </c>
      <c r="R9693" t="s">
        <v>32538</v>
      </c>
      <c r="S9693" t="s">
        <v>32957</v>
      </c>
      <c r="T9693" t="s">
        <v>33242</v>
      </c>
      <c r="U9693" t="s">
        <v>41622</v>
      </c>
      <c r="W9693" t="s">
        <v>30437</v>
      </c>
      <c r="X9693" t="s">
        <v>32539</v>
      </c>
    </row>
    <row r="9694" spans="1:24">
      <c r="A9694">
        <f>HYPERLINK("https://www.philgeps.gov.ph/GEPSNONPILOT/Tender/SplashBidNoticeAbstractUI.aspx?menuIndex=3&amp;refID=7026562&amp;Result=3","7026562")</f>
        <v>0</v>
      </c>
      <c r="B9694" t="s">
        <v>2555</v>
      </c>
      <c r="C9694" t="s">
        <v>11955</v>
      </c>
      <c r="D9694" t="s">
        <v>13007</v>
      </c>
      <c r="E9694" t="s">
        <v>21520</v>
      </c>
      <c r="F9694" t="s">
        <v>22436</v>
      </c>
      <c r="G9694" t="s">
        <v>22444</v>
      </c>
      <c r="H9694" t="s">
        <v>22454</v>
      </c>
      <c r="I9694" t="s">
        <v>7738</v>
      </c>
      <c r="J9694" t="s">
        <v>28739</v>
      </c>
      <c r="K9694" t="s">
        <v>29334</v>
      </c>
      <c r="M9694" t="s">
        <v>32370</v>
      </c>
      <c r="N9694" t="s">
        <v>32524</v>
      </c>
      <c r="O9694" t="s">
        <v>32525</v>
      </c>
      <c r="P9694">
        <v>0</v>
      </c>
      <c r="Q9694">
        <v>4</v>
      </c>
      <c r="R9694" t="s">
        <v>32538</v>
      </c>
      <c r="S9694" t="s">
        <v>32872</v>
      </c>
      <c r="T9694" t="s">
        <v>33358</v>
      </c>
      <c r="U9694" t="s">
        <v>41623</v>
      </c>
      <c r="W9694" t="s">
        <v>32370</v>
      </c>
      <c r="X9694" t="s">
        <v>32539</v>
      </c>
    </row>
    <row r="9695" spans="1:24">
      <c r="A9695">
        <f>HYPERLINK("https://www.philgeps.gov.ph/GEPSNONPILOT/Tender/SplashBidNoticeAbstractUI.aspx?menuIndex=3&amp;refID=7026571&amp;Result=3","7026571")</f>
        <v>0</v>
      </c>
      <c r="B9695" t="s">
        <v>2131</v>
      </c>
      <c r="C9695" t="s">
        <v>11956</v>
      </c>
      <c r="D9695" t="s">
        <v>13041</v>
      </c>
      <c r="E9695" t="s">
        <v>21521</v>
      </c>
      <c r="F9695" t="s">
        <v>22436</v>
      </c>
      <c r="G9695" t="s">
        <v>22444</v>
      </c>
      <c r="H9695" t="s">
        <v>22454</v>
      </c>
      <c r="I9695" t="s">
        <v>7738</v>
      </c>
      <c r="J9695" t="s">
        <v>22779</v>
      </c>
      <c r="K9695" t="s">
        <v>29487</v>
      </c>
      <c r="M9695" t="s">
        <v>31883</v>
      </c>
      <c r="N9695" t="s">
        <v>32524</v>
      </c>
      <c r="O9695" t="s">
        <v>32525</v>
      </c>
      <c r="P9695">
        <v>0</v>
      </c>
      <c r="Q9695">
        <v>0</v>
      </c>
      <c r="R9695" t="s">
        <v>32538</v>
      </c>
      <c r="S9695" t="s">
        <v>32872</v>
      </c>
      <c r="T9695" t="s">
        <v>33175</v>
      </c>
      <c r="U9695" t="s">
        <v>41624</v>
      </c>
      <c r="V9695" t="s">
        <v>43199</v>
      </c>
      <c r="W9695" t="s">
        <v>31883</v>
      </c>
      <c r="X9695" t="s">
        <v>32539</v>
      </c>
    </row>
    <row r="9696" spans="1:24">
      <c r="A9696">
        <f>HYPERLINK("https://www.philgeps.gov.ph/GEPSNONPILOT/Tender/SplashBidNoticeAbstractUI.aspx?menuIndex=3&amp;refID=7026558&amp;Result=3","7026558")</f>
        <v>0</v>
      </c>
      <c r="B9696" t="s">
        <v>1661</v>
      </c>
      <c r="C9696" t="s">
        <v>11957</v>
      </c>
      <c r="D9696" t="s">
        <v>13053</v>
      </c>
      <c r="E9696" t="s">
        <v>21522</v>
      </c>
      <c r="F9696" t="s">
        <v>22436</v>
      </c>
      <c r="G9696" t="s">
        <v>22444</v>
      </c>
      <c r="H9696" t="s">
        <v>22454</v>
      </c>
      <c r="I9696" t="s">
        <v>7738</v>
      </c>
      <c r="J9696" t="s">
        <v>25899</v>
      </c>
      <c r="K9696" t="s">
        <v>29374</v>
      </c>
      <c r="M9696" t="s">
        <v>31358</v>
      </c>
      <c r="N9696" t="s">
        <v>32524</v>
      </c>
      <c r="O9696" t="s">
        <v>32525</v>
      </c>
      <c r="P9696">
        <v>0</v>
      </c>
      <c r="Q9696">
        <v>1</v>
      </c>
      <c r="R9696" t="s">
        <v>32538</v>
      </c>
      <c r="S9696" t="s">
        <v>32872</v>
      </c>
      <c r="T9696" t="s">
        <v>33175</v>
      </c>
      <c r="U9696" t="s">
        <v>41625</v>
      </c>
      <c r="W9696" t="s">
        <v>31358</v>
      </c>
      <c r="X9696" t="s">
        <v>32539</v>
      </c>
    </row>
    <row r="9697" spans="1:24">
      <c r="A9697">
        <f>HYPERLINK("https://www.philgeps.gov.ph/GEPSNONPILOT/Tender/SplashBidNoticeAbstractUI.aspx?menuIndex=3&amp;refID=7026540&amp;Result=3","7026540")</f>
        <v>0</v>
      </c>
      <c r="B9697" t="s">
        <v>1567</v>
      </c>
      <c r="C9697" t="s">
        <v>11958</v>
      </c>
      <c r="D9697" t="s">
        <v>13004</v>
      </c>
      <c r="E9697" t="s">
        <v>14633</v>
      </c>
      <c r="F9697" t="s">
        <v>22436</v>
      </c>
      <c r="G9697" t="s">
        <v>22444</v>
      </c>
      <c r="H9697" t="s">
        <v>22452</v>
      </c>
      <c r="I9697" t="s">
        <v>3529</v>
      </c>
      <c r="J9697" t="s">
        <v>23226</v>
      </c>
      <c r="K9697" t="s">
        <v>29341</v>
      </c>
      <c r="M9697" t="s">
        <v>31249</v>
      </c>
      <c r="N9697" t="s">
        <v>32524</v>
      </c>
      <c r="O9697" t="s">
        <v>32525</v>
      </c>
      <c r="P9697">
        <v>0</v>
      </c>
      <c r="Q9697">
        <v>1</v>
      </c>
      <c r="R9697" t="s">
        <v>32538</v>
      </c>
      <c r="S9697" t="s">
        <v>32872</v>
      </c>
      <c r="T9697" t="s">
        <v>33234</v>
      </c>
      <c r="U9697" t="s">
        <v>41626</v>
      </c>
      <c r="W9697" t="s">
        <v>31249</v>
      </c>
      <c r="X9697" t="s">
        <v>32539</v>
      </c>
    </row>
    <row r="9698" spans="1:24">
      <c r="A9698">
        <f>HYPERLINK("https://www.philgeps.gov.ph/GEPSNONPILOT/Tender/SplashBidNoticeAbstractUI.aspx?menuIndex=3&amp;refID=7026757&amp;Result=3","7026757")</f>
        <v>0</v>
      </c>
      <c r="B9698" t="s">
        <v>1727</v>
      </c>
      <c r="C9698" t="s">
        <v>11959</v>
      </c>
      <c r="D9698" t="s">
        <v>12988</v>
      </c>
      <c r="E9698" t="s">
        <v>21523</v>
      </c>
      <c r="F9698" t="s">
        <v>22436</v>
      </c>
      <c r="G9698" t="s">
        <v>22444</v>
      </c>
      <c r="H9698" t="s">
        <v>22452</v>
      </c>
      <c r="I9698" t="s">
        <v>22469</v>
      </c>
      <c r="J9698" t="s">
        <v>28740</v>
      </c>
      <c r="K9698" t="s">
        <v>29344</v>
      </c>
      <c r="M9698" t="s">
        <v>31432</v>
      </c>
      <c r="N9698" t="s">
        <v>32524</v>
      </c>
      <c r="O9698" t="s">
        <v>32525</v>
      </c>
      <c r="P9698">
        <v>0</v>
      </c>
      <c r="Q9698">
        <v>19</v>
      </c>
      <c r="R9698" t="s">
        <v>32538</v>
      </c>
      <c r="S9698" t="s">
        <v>32872</v>
      </c>
      <c r="T9698" t="s">
        <v>33211</v>
      </c>
      <c r="U9698" t="s">
        <v>41627</v>
      </c>
      <c r="W9698" t="s">
        <v>31432</v>
      </c>
      <c r="X9698" t="s">
        <v>32539</v>
      </c>
    </row>
    <row r="9699" spans="1:24">
      <c r="A9699">
        <f>HYPERLINK("https://www.philgeps.gov.ph/GEPSNONPILOT/Tender/SplashBidNoticeAbstractUI.aspx?menuIndex=3&amp;refID=7026791&amp;Result=3","7026791")</f>
        <v>0</v>
      </c>
      <c r="B9699" t="s">
        <v>1021</v>
      </c>
      <c r="C9699" t="s">
        <v>11960</v>
      </c>
      <c r="D9699" t="s">
        <v>13020</v>
      </c>
      <c r="E9699" t="s">
        <v>21524</v>
      </c>
      <c r="F9699" t="s">
        <v>22436</v>
      </c>
      <c r="G9699" t="s">
        <v>22444</v>
      </c>
      <c r="H9699" t="s">
        <v>22454</v>
      </c>
      <c r="I9699" t="s">
        <v>7738</v>
      </c>
      <c r="J9699" t="s">
        <v>28741</v>
      </c>
      <c r="K9699" t="s">
        <v>29345</v>
      </c>
      <c r="M9699" t="s">
        <v>32377</v>
      </c>
      <c r="N9699" t="s">
        <v>32524</v>
      </c>
      <c r="O9699" t="s">
        <v>32525</v>
      </c>
      <c r="Q9699">
        <v>112</v>
      </c>
      <c r="R9699" t="s">
        <v>32538</v>
      </c>
      <c r="S9699" t="s">
        <v>32958</v>
      </c>
      <c r="T9699" t="s">
        <v>33259</v>
      </c>
      <c r="U9699" t="s">
        <v>41628</v>
      </c>
      <c r="V9699" t="s">
        <v>43509</v>
      </c>
      <c r="W9699" t="s">
        <v>43766</v>
      </c>
      <c r="X9699" t="s">
        <v>32539</v>
      </c>
    </row>
    <row r="9700" spans="1:24">
      <c r="A9700">
        <f>HYPERLINK("https://www.philgeps.gov.ph/GEPSNONPILOT/Tender/SplashBidNoticeAbstractUI.aspx?menuIndex=3&amp;refID=7026774&amp;Result=3","7026774")</f>
        <v>0</v>
      </c>
      <c r="B9700" t="s">
        <v>2419</v>
      </c>
      <c r="C9700" t="s">
        <v>11961</v>
      </c>
      <c r="D9700" t="s">
        <v>12990</v>
      </c>
      <c r="E9700" t="s">
        <v>21525</v>
      </c>
      <c r="F9700" t="s">
        <v>22436</v>
      </c>
      <c r="G9700" t="s">
        <v>22444</v>
      </c>
      <c r="H9700" t="s">
        <v>22454</v>
      </c>
      <c r="I9700" t="s">
        <v>7738</v>
      </c>
      <c r="J9700" t="s">
        <v>22634</v>
      </c>
      <c r="K9700" t="s">
        <v>29430</v>
      </c>
      <c r="M9700" t="s">
        <v>32218</v>
      </c>
      <c r="N9700" t="s">
        <v>32524</v>
      </c>
      <c r="O9700" t="s">
        <v>32525</v>
      </c>
      <c r="P9700">
        <v>0</v>
      </c>
      <c r="Q9700">
        <v>0</v>
      </c>
      <c r="R9700" t="s">
        <v>32538</v>
      </c>
      <c r="S9700" t="s">
        <v>32872</v>
      </c>
      <c r="T9700" t="s">
        <v>33168</v>
      </c>
      <c r="U9700" t="s">
        <v>41629</v>
      </c>
      <c r="W9700" t="s">
        <v>32218</v>
      </c>
      <c r="X9700" t="s">
        <v>32539</v>
      </c>
    </row>
    <row r="9701" spans="1:24">
      <c r="A9701">
        <f>HYPERLINK("https://www.philgeps.gov.ph/GEPSNONPILOT/Tender/SplashBidNoticeAbstractUI.aspx?menuIndex=3&amp;refID=7026788&amp;Result=3","7026788")</f>
        <v>0</v>
      </c>
      <c r="B9701" t="s">
        <v>1021</v>
      </c>
      <c r="C9701" t="s">
        <v>11962</v>
      </c>
      <c r="D9701" t="s">
        <v>13020</v>
      </c>
      <c r="E9701" t="s">
        <v>21526</v>
      </c>
      <c r="F9701" t="s">
        <v>22436</v>
      </c>
      <c r="G9701" t="s">
        <v>22444</v>
      </c>
      <c r="H9701" t="s">
        <v>22454</v>
      </c>
      <c r="I9701" t="s">
        <v>7738</v>
      </c>
      <c r="J9701" t="s">
        <v>24887</v>
      </c>
      <c r="K9701" t="s">
        <v>29499</v>
      </c>
      <c r="M9701" t="s">
        <v>32377</v>
      </c>
      <c r="N9701" t="s">
        <v>32524</v>
      </c>
      <c r="O9701" t="s">
        <v>32525</v>
      </c>
      <c r="Q9701">
        <v>113</v>
      </c>
      <c r="R9701" t="s">
        <v>32538</v>
      </c>
      <c r="S9701" t="s">
        <v>32959</v>
      </c>
      <c r="T9701" t="s">
        <v>33259</v>
      </c>
      <c r="U9701" t="s">
        <v>41628</v>
      </c>
      <c r="V9701" t="s">
        <v>43510</v>
      </c>
      <c r="W9701" t="s">
        <v>43766</v>
      </c>
      <c r="X9701" t="s">
        <v>32539</v>
      </c>
    </row>
    <row r="9702" spans="1:24">
      <c r="A9702">
        <f>HYPERLINK("https://www.philgeps.gov.ph/GEPSNONPILOT/Tender/SplashBidNoticeAbstractUI.aspx?menuIndex=3&amp;refID=7026771&amp;Result=3","7026771")</f>
        <v>0</v>
      </c>
      <c r="B9702" t="s">
        <v>117</v>
      </c>
      <c r="C9702" t="s">
        <v>11963</v>
      </c>
      <c r="D9702" t="s">
        <v>12988</v>
      </c>
      <c r="E9702" t="s">
        <v>21527</v>
      </c>
      <c r="F9702" t="s">
        <v>22436</v>
      </c>
      <c r="G9702" t="s">
        <v>22444</v>
      </c>
      <c r="H9702" t="s">
        <v>22452</v>
      </c>
      <c r="I9702" t="s">
        <v>22469</v>
      </c>
      <c r="J9702" t="s">
        <v>28742</v>
      </c>
      <c r="K9702" t="s">
        <v>29341</v>
      </c>
      <c r="M9702" t="s">
        <v>29689</v>
      </c>
      <c r="N9702" t="s">
        <v>32524</v>
      </c>
      <c r="O9702" t="s">
        <v>32525</v>
      </c>
      <c r="P9702">
        <v>0</v>
      </c>
      <c r="Q9702">
        <v>11</v>
      </c>
      <c r="R9702" t="s">
        <v>32538</v>
      </c>
      <c r="S9702" t="s">
        <v>32872</v>
      </c>
      <c r="T9702" t="s">
        <v>33598</v>
      </c>
      <c r="U9702" t="s">
        <v>41630</v>
      </c>
      <c r="W9702" t="s">
        <v>29689</v>
      </c>
      <c r="X9702" t="s">
        <v>32539</v>
      </c>
    </row>
    <row r="9703" spans="1:24">
      <c r="A9703">
        <f>HYPERLINK("https://www.philgeps.gov.ph/GEPSNONPILOT/Tender/SplashBidNoticeAbstractUI.aspx?menuIndex=3&amp;refID=7026767&amp;Result=3","7026767")</f>
        <v>0</v>
      </c>
      <c r="B9703" t="s">
        <v>1062</v>
      </c>
      <c r="C9703" t="s">
        <v>11964</v>
      </c>
      <c r="D9703" t="s">
        <v>13036</v>
      </c>
      <c r="E9703" t="s">
        <v>21528</v>
      </c>
      <c r="F9703" t="s">
        <v>22436</v>
      </c>
      <c r="G9703" t="s">
        <v>22444</v>
      </c>
      <c r="H9703" t="s">
        <v>22452</v>
      </c>
      <c r="I9703" t="s">
        <v>22467</v>
      </c>
      <c r="J9703" t="s">
        <v>28743</v>
      </c>
      <c r="K9703" t="s">
        <v>29333</v>
      </c>
      <c r="M9703" t="s">
        <v>30695</v>
      </c>
      <c r="N9703" t="s">
        <v>32524</v>
      </c>
      <c r="O9703" t="s">
        <v>32525</v>
      </c>
      <c r="Q9703">
        <v>0</v>
      </c>
      <c r="R9703" t="s">
        <v>32538</v>
      </c>
      <c r="S9703" t="s">
        <v>32960</v>
      </c>
      <c r="T9703" t="s">
        <v>33176</v>
      </c>
      <c r="U9703" t="s">
        <v>41631</v>
      </c>
      <c r="W9703" t="s">
        <v>30695</v>
      </c>
      <c r="X9703" t="s">
        <v>32539</v>
      </c>
    </row>
    <row r="9704" spans="1:24">
      <c r="A9704">
        <f>HYPERLINK("https://www.philgeps.gov.ph/GEPSNONPILOT/Tender/SplashBidNoticeAbstractUI.aspx?menuIndex=3&amp;refID=7026792&amp;Result=3","7026792")</f>
        <v>0</v>
      </c>
      <c r="B9704" t="s">
        <v>2562</v>
      </c>
      <c r="C9704" t="s">
        <v>11965</v>
      </c>
      <c r="D9704" t="s">
        <v>12998</v>
      </c>
      <c r="E9704" t="s">
        <v>21529</v>
      </c>
      <c r="F9704" t="s">
        <v>22436</v>
      </c>
      <c r="G9704" t="s">
        <v>22444</v>
      </c>
      <c r="H9704" t="s">
        <v>22454</v>
      </c>
      <c r="I9704" t="s">
        <v>7738</v>
      </c>
      <c r="J9704" t="s">
        <v>28744</v>
      </c>
      <c r="K9704" t="s">
        <v>29344</v>
      </c>
      <c r="M9704" t="s">
        <v>32378</v>
      </c>
      <c r="N9704" t="s">
        <v>32524</v>
      </c>
      <c r="O9704" t="s">
        <v>32525</v>
      </c>
      <c r="P9704">
        <v>0</v>
      </c>
      <c r="Q9704">
        <v>3</v>
      </c>
      <c r="R9704" t="s">
        <v>32538</v>
      </c>
      <c r="S9704" t="s">
        <v>32872</v>
      </c>
      <c r="T9704" t="s">
        <v>33252</v>
      </c>
      <c r="U9704" t="s">
        <v>41632</v>
      </c>
      <c r="W9704" t="s">
        <v>32378</v>
      </c>
      <c r="X9704" t="s">
        <v>32539</v>
      </c>
    </row>
    <row r="9705" spans="1:24">
      <c r="A9705">
        <f>HYPERLINK("https://www.philgeps.gov.ph/GEPSNONPILOT/Tender/SplashBidNoticeAbstractUI.aspx?menuIndex=3&amp;refID=7026761&amp;Result=3","7026761")</f>
        <v>0</v>
      </c>
      <c r="B9705" t="s">
        <v>1727</v>
      </c>
      <c r="C9705" t="s">
        <v>11966</v>
      </c>
      <c r="D9705" t="s">
        <v>12988</v>
      </c>
      <c r="E9705" t="s">
        <v>21530</v>
      </c>
      <c r="F9705" t="s">
        <v>22436</v>
      </c>
      <c r="G9705" t="s">
        <v>22444</v>
      </c>
      <c r="H9705" t="s">
        <v>22452</v>
      </c>
      <c r="I9705" t="s">
        <v>22469</v>
      </c>
      <c r="J9705" t="s">
        <v>28745</v>
      </c>
      <c r="K9705" t="s">
        <v>29344</v>
      </c>
      <c r="M9705" t="s">
        <v>31432</v>
      </c>
      <c r="N9705" t="s">
        <v>32524</v>
      </c>
      <c r="O9705" t="s">
        <v>32525</v>
      </c>
      <c r="P9705">
        <v>0</v>
      </c>
      <c r="Q9705">
        <v>17</v>
      </c>
      <c r="R9705" t="s">
        <v>32538</v>
      </c>
      <c r="S9705" t="s">
        <v>32872</v>
      </c>
      <c r="T9705" t="s">
        <v>33211</v>
      </c>
      <c r="U9705" t="s">
        <v>41633</v>
      </c>
      <c r="W9705" t="s">
        <v>31432</v>
      </c>
      <c r="X9705" t="s">
        <v>32539</v>
      </c>
    </row>
    <row r="9706" spans="1:24">
      <c r="A9706">
        <f>HYPERLINK("https://www.philgeps.gov.ph/GEPSNONPILOT/Tender/SplashBidNoticeAbstractUI.aspx?menuIndex=3&amp;refID=7026800&amp;Result=3","7026800")</f>
        <v>0</v>
      </c>
      <c r="B9706" t="s">
        <v>2441</v>
      </c>
      <c r="C9706" t="s">
        <v>11967</v>
      </c>
      <c r="D9706" t="s">
        <v>13015</v>
      </c>
      <c r="E9706" t="s">
        <v>21531</v>
      </c>
      <c r="F9706" t="s">
        <v>22436</v>
      </c>
      <c r="G9706" t="s">
        <v>22444</v>
      </c>
      <c r="H9706" t="s">
        <v>22454</v>
      </c>
      <c r="I9706" t="s">
        <v>7738</v>
      </c>
      <c r="J9706" t="s">
        <v>23399</v>
      </c>
      <c r="K9706" t="s">
        <v>29338</v>
      </c>
      <c r="M9706" t="s">
        <v>32245</v>
      </c>
      <c r="N9706" t="s">
        <v>32524</v>
      </c>
      <c r="O9706" t="s">
        <v>32525</v>
      </c>
      <c r="P9706">
        <v>0</v>
      </c>
      <c r="Q9706">
        <v>5</v>
      </c>
      <c r="R9706" t="s">
        <v>32538</v>
      </c>
      <c r="S9706" t="s">
        <v>32872</v>
      </c>
      <c r="T9706" t="s">
        <v>33259</v>
      </c>
      <c r="U9706" t="s">
        <v>41634</v>
      </c>
      <c r="W9706" t="s">
        <v>32245</v>
      </c>
      <c r="X9706" t="s">
        <v>32539</v>
      </c>
    </row>
    <row r="9707" spans="1:24">
      <c r="A9707">
        <f>HYPERLINK("https://www.philgeps.gov.ph/GEPSNONPILOT/Tender/SplashBidNoticeAbstractUI.aspx?menuIndex=3&amp;refID=7026798&amp;Result=3","7026798")</f>
        <v>0</v>
      </c>
      <c r="B9707" t="s">
        <v>2562</v>
      </c>
      <c r="C9707" t="s">
        <v>11968</v>
      </c>
      <c r="D9707" t="s">
        <v>12998</v>
      </c>
      <c r="E9707" t="s">
        <v>21532</v>
      </c>
      <c r="F9707" t="s">
        <v>22436</v>
      </c>
      <c r="G9707" t="s">
        <v>22444</v>
      </c>
      <c r="H9707" t="s">
        <v>22454</v>
      </c>
      <c r="I9707" t="s">
        <v>7738</v>
      </c>
      <c r="J9707" t="s">
        <v>28746</v>
      </c>
      <c r="K9707" t="s">
        <v>29344</v>
      </c>
      <c r="M9707" t="s">
        <v>32378</v>
      </c>
      <c r="N9707" t="s">
        <v>32524</v>
      </c>
      <c r="O9707" t="s">
        <v>32525</v>
      </c>
      <c r="P9707">
        <v>0</v>
      </c>
      <c r="Q9707">
        <v>1</v>
      </c>
      <c r="R9707" t="s">
        <v>32538</v>
      </c>
      <c r="S9707" t="s">
        <v>32872</v>
      </c>
      <c r="T9707" t="s">
        <v>33252</v>
      </c>
      <c r="U9707" t="s">
        <v>41635</v>
      </c>
      <c r="W9707" t="s">
        <v>32378</v>
      </c>
      <c r="X9707" t="s">
        <v>32539</v>
      </c>
    </row>
    <row r="9708" spans="1:24">
      <c r="A9708">
        <f>HYPERLINK("https://www.philgeps.gov.ph/GEPSNONPILOT/Tender/SplashBidNoticeAbstractUI.aspx?menuIndex=3&amp;refID=7026778&amp;Result=3","7026778")</f>
        <v>0</v>
      </c>
      <c r="B9708" t="s">
        <v>1970</v>
      </c>
      <c r="C9708" t="s">
        <v>11969</v>
      </c>
      <c r="D9708" t="s">
        <v>12988</v>
      </c>
      <c r="E9708" t="s">
        <v>20766</v>
      </c>
      <c r="F9708" t="s">
        <v>22436</v>
      </c>
      <c r="G9708" t="s">
        <v>22443</v>
      </c>
      <c r="H9708" t="s">
        <v>22452</v>
      </c>
      <c r="I9708" t="s">
        <v>2981</v>
      </c>
      <c r="J9708" t="s">
        <v>28747</v>
      </c>
      <c r="K9708" t="s">
        <v>29338</v>
      </c>
      <c r="M9708" t="s">
        <v>32379</v>
      </c>
      <c r="N9708" t="s">
        <v>32524</v>
      </c>
      <c r="O9708" t="s">
        <v>32525</v>
      </c>
      <c r="Q9708">
        <v>4</v>
      </c>
      <c r="R9708" t="s">
        <v>32538</v>
      </c>
      <c r="S9708" t="s">
        <v>32961</v>
      </c>
      <c r="T9708" t="s">
        <v>33599</v>
      </c>
      <c r="U9708" t="s">
        <v>41636</v>
      </c>
      <c r="V9708" t="s">
        <v>43511</v>
      </c>
      <c r="W9708" t="s">
        <v>32379</v>
      </c>
      <c r="X9708" t="s">
        <v>32539</v>
      </c>
    </row>
    <row r="9709" spans="1:24">
      <c r="A9709">
        <f>HYPERLINK("https://www.philgeps.gov.ph/GEPSNONPILOT/Tender/SplashBidNoticeAbstractUI.aspx?menuIndex=3&amp;refID=7026796&amp;Result=3","7026796")</f>
        <v>0</v>
      </c>
      <c r="B9709" t="s">
        <v>1021</v>
      </c>
      <c r="C9709" t="s">
        <v>11970</v>
      </c>
      <c r="D9709" t="s">
        <v>13020</v>
      </c>
      <c r="E9709" t="s">
        <v>21533</v>
      </c>
      <c r="F9709" t="s">
        <v>22436</v>
      </c>
      <c r="G9709" t="s">
        <v>22444</v>
      </c>
      <c r="H9709" t="s">
        <v>22454</v>
      </c>
      <c r="I9709" t="s">
        <v>7738</v>
      </c>
      <c r="J9709" t="s">
        <v>23387</v>
      </c>
      <c r="K9709" t="s">
        <v>29499</v>
      </c>
      <c r="M9709" t="s">
        <v>32377</v>
      </c>
      <c r="N9709" t="s">
        <v>32524</v>
      </c>
      <c r="O9709" t="s">
        <v>32525</v>
      </c>
      <c r="Q9709">
        <v>114</v>
      </c>
      <c r="R9709" t="s">
        <v>32538</v>
      </c>
      <c r="S9709" t="s">
        <v>32962</v>
      </c>
      <c r="T9709" t="s">
        <v>33259</v>
      </c>
      <c r="U9709" t="s">
        <v>41628</v>
      </c>
      <c r="V9709" t="s">
        <v>43512</v>
      </c>
      <c r="W9709" t="s">
        <v>43766</v>
      </c>
      <c r="X9709" t="s">
        <v>32539</v>
      </c>
    </row>
    <row r="9710" spans="1:24">
      <c r="A9710">
        <f>HYPERLINK("https://www.philgeps.gov.ph/GEPSNONPILOT/Tender/SplashBidNoticeAbstractUI.aspx?menuIndex=3&amp;refID=7026793&amp;Result=3","7026793")</f>
        <v>0</v>
      </c>
      <c r="B9710" t="s">
        <v>1062</v>
      </c>
      <c r="C9710" t="s">
        <v>11971</v>
      </c>
      <c r="D9710" t="s">
        <v>13036</v>
      </c>
      <c r="E9710" t="s">
        <v>21534</v>
      </c>
      <c r="F9710" t="s">
        <v>22436</v>
      </c>
      <c r="G9710" t="s">
        <v>22444</v>
      </c>
      <c r="H9710" t="s">
        <v>22452</v>
      </c>
      <c r="I9710" t="s">
        <v>2962</v>
      </c>
      <c r="J9710" t="s">
        <v>28748</v>
      </c>
      <c r="K9710" t="s">
        <v>29333</v>
      </c>
      <c r="M9710" t="s">
        <v>30695</v>
      </c>
      <c r="N9710" t="s">
        <v>32524</v>
      </c>
      <c r="O9710" t="s">
        <v>32525</v>
      </c>
      <c r="Q9710">
        <v>1</v>
      </c>
      <c r="R9710" t="s">
        <v>32538</v>
      </c>
      <c r="S9710" t="s">
        <v>32963</v>
      </c>
      <c r="T9710" t="s">
        <v>33176</v>
      </c>
      <c r="U9710" t="s">
        <v>41637</v>
      </c>
      <c r="W9710" t="s">
        <v>30695</v>
      </c>
      <c r="X9710" t="s">
        <v>32539</v>
      </c>
    </row>
    <row r="9711" spans="1:24">
      <c r="A9711">
        <f>HYPERLINK("https://www.philgeps.gov.ph/GEPSNONPILOT/Tender/SplashBidNoticeAbstractUI.aspx?menuIndex=3&amp;refID=7026763&amp;Result=3","7026763")</f>
        <v>0</v>
      </c>
      <c r="B9711" t="s">
        <v>1572</v>
      </c>
      <c r="C9711" t="s">
        <v>11972</v>
      </c>
      <c r="D9711" t="s">
        <v>12988</v>
      </c>
      <c r="E9711" t="s">
        <v>21535</v>
      </c>
      <c r="F9711" t="s">
        <v>22436</v>
      </c>
      <c r="G9711" t="s">
        <v>22444</v>
      </c>
      <c r="H9711" t="s">
        <v>22452</v>
      </c>
      <c r="I9711" t="s">
        <v>22529</v>
      </c>
      <c r="J9711" t="s">
        <v>28749</v>
      </c>
      <c r="K9711" t="s">
        <v>29329</v>
      </c>
      <c r="M9711" t="s">
        <v>31254</v>
      </c>
      <c r="N9711" t="s">
        <v>32524</v>
      </c>
      <c r="O9711" t="s">
        <v>32525</v>
      </c>
      <c r="P9711">
        <v>0</v>
      </c>
      <c r="Q9711">
        <v>8</v>
      </c>
      <c r="R9711" t="s">
        <v>32538</v>
      </c>
      <c r="S9711" t="s">
        <v>32872</v>
      </c>
      <c r="T9711" t="s">
        <v>33550</v>
      </c>
      <c r="U9711" t="s">
        <v>36615</v>
      </c>
      <c r="W9711" t="s">
        <v>31254</v>
      </c>
      <c r="X9711" t="s">
        <v>32539</v>
      </c>
    </row>
    <row r="9712" spans="1:24">
      <c r="A9712">
        <f>HYPERLINK("https://www.philgeps.gov.ph/GEPSNONPILOT/Tender/SplashBidNoticeAbstractUI.aspx?menuIndex=3&amp;refID=7026797&amp;Result=3","7026797")</f>
        <v>0</v>
      </c>
      <c r="B9712" t="s">
        <v>1970</v>
      </c>
      <c r="C9712" t="s">
        <v>11973</v>
      </c>
      <c r="D9712" t="s">
        <v>12988</v>
      </c>
      <c r="E9712" t="s">
        <v>21536</v>
      </c>
      <c r="F9712" t="s">
        <v>22436</v>
      </c>
      <c r="G9712" t="s">
        <v>22443</v>
      </c>
      <c r="H9712" t="s">
        <v>22452</v>
      </c>
      <c r="I9712" t="s">
        <v>2981</v>
      </c>
      <c r="J9712" t="s">
        <v>23977</v>
      </c>
      <c r="K9712" t="s">
        <v>29338</v>
      </c>
      <c r="M9712" t="s">
        <v>32379</v>
      </c>
      <c r="N9712" t="s">
        <v>32524</v>
      </c>
      <c r="O9712" t="s">
        <v>32525</v>
      </c>
      <c r="Q9712">
        <v>2</v>
      </c>
      <c r="R9712" t="s">
        <v>32538</v>
      </c>
      <c r="S9712" t="s">
        <v>32964</v>
      </c>
      <c r="T9712" t="s">
        <v>33599</v>
      </c>
      <c r="U9712" t="s">
        <v>41638</v>
      </c>
      <c r="V9712" t="s">
        <v>43511</v>
      </c>
      <c r="W9712" t="s">
        <v>32379</v>
      </c>
      <c r="X9712" t="s">
        <v>32539</v>
      </c>
    </row>
    <row r="9713" spans="1:24">
      <c r="A9713">
        <f>HYPERLINK("https://www.philgeps.gov.ph/GEPSNONPILOT/Tender/SplashBidNoticeAbstractUI.aspx?menuIndex=3&amp;refID=7026795&amp;Result=3","7026795")</f>
        <v>0</v>
      </c>
      <c r="B9713" t="s">
        <v>1461</v>
      </c>
      <c r="C9713" t="s">
        <v>11974</v>
      </c>
      <c r="D9713" t="s">
        <v>12994</v>
      </c>
      <c r="E9713" t="s">
        <v>21537</v>
      </c>
      <c r="F9713" t="s">
        <v>22436</v>
      </c>
      <c r="G9713" t="s">
        <v>22444</v>
      </c>
      <c r="H9713" t="s">
        <v>22454</v>
      </c>
      <c r="I9713" t="s">
        <v>7738</v>
      </c>
      <c r="J9713" t="s">
        <v>25355</v>
      </c>
      <c r="K9713" t="s">
        <v>29549</v>
      </c>
      <c r="M9713" t="s">
        <v>31129</v>
      </c>
      <c r="N9713" t="s">
        <v>32524</v>
      </c>
      <c r="O9713" t="s">
        <v>32525</v>
      </c>
      <c r="Q9713">
        <v>40</v>
      </c>
      <c r="R9713" t="s">
        <v>32538</v>
      </c>
      <c r="S9713" t="s">
        <v>32965</v>
      </c>
      <c r="T9713" t="s">
        <v>33182</v>
      </c>
      <c r="U9713" t="s">
        <v>41639</v>
      </c>
      <c r="W9713" t="s">
        <v>31129</v>
      </c>
      <c r="X9713" t="s">
        <v>32539</v>
      </c>
    </row>
    <row r="9714" spans="1:24">
      <c r="A9714">
        <f>HYPERLINK("https://www.philgeps.gov.ph/GEPSNONPILOT/Tender/SplashBidNoticeAbstractUI.aspx?menuIndex=3&amp;refID=7026801&amp;Result=3","7026801")</f>
        <v>0</v>
      </c>
      <c r="B9714" t="s">
        <v>1021</v>
      </c>
      <c r="C9714" t="s">
        <v>11975</v>
      </c>
      <c r="D9714" t="s">
        <v>13020</v>
      </c>
      <c r="E9714" t="s">
        <v>21538</v>
      </c>
      <c r="F9714" t="s">
        <v>22436</v>
      </c>
      <c r="G9714" t="s">
        <v>22444</v>
      </c>
      <c r="H9714" t="s">
        <v>22454</v>
      </c>
      <c r="I9714" t="s">
        <v>7738</v>
      </c>
      <c r="J9714" t="s">
        <v>22634</v>
      </c>
      <c r="K9714" t="s">
        <v>29334</v>
      </c>
      <c r="M9714" t="s">
        <v>32377</v>
      </c>
      <c r="N9714" t="s">
        <v>32524</v>
      </c>
      <c r="O9714" t="s">
        <v>32525</v>
      </c>
      <c r="Q9714">
        <v>116</v>
      </c>
      <c r="R9714" t="s">
        <v>32538</v>
      </c>
      <c r="S9714" t="s">
        <v>32711</v>
      </c>
      <c r="T9714" t="s">
        <v>33259</v>
      </c>
      <c r="U9714" t="s">
        <v>41628</v>
      </c>
      <c r="V9714" t="s">
        <v>43513</v>
      </c>
      <c r="W9714" t="s">
        <v>43766</v>
      </c>
      <c r="X9714" t="s">
        <v>32539</v>
      </c>
    </row>
    <row r="9715" spans="1:24">
      <c r="A9715">
        <f>HYPERLINK("https://www.philgeps.gov.ph/GEPSNONPILOT/Tender/SplashBidNoticeAbstractUI.aspx?menuIndex=3&amp;refID=7026824&amp;Result=3","7026824")</f>
        <v>0</v>
      </c>
      <c r="B9715" t="s">
        <v>1021</v>
      </c>
      <c r="C9715" t="s">
        <v>11976</v>
      </c>
      <c r="D9715" t="s">
        <v>13020</v>
      </c>
      <c r="E9715" t="s">
        <v>21539</v>
      </c>
      <c r="F9715" t="s">
        <v>22436</v>
      </c>
      <c r="G9715" t="s">
        <v>22444</v>
      </c>
      <c r="H9715" t="s">
        <v>22454</v>
      </c>
      <c r="I9715" t="s">
        <v>7738</v>
      </c>
      <c r="J9715" t="s">
        <v>22634</v>
      </c>
      <c r="K9715" t="s">
        <v>29344</v>
      </c>
      <c r="M9715" t="s">
        <v>32377</v>
      </c>
      <c r="N9715" t="s">
        <v>32524</v>
      </c>
      <c r="O9715" t="s">
        <v>32525</v>
      </c>
      <c r="Q9715">
        <v>114</v>
      </c>
      <c r="R9715" t="s">
        <v>32538</v>
      </c>
      <c r="S9715" t="s">
        <v>32966</v>
      </c>
      <c r="T9715" t="s">
        <v>33259</v>
      </c>
      <c r="U9715" t="s">
        <v>41628</v>
      </c>
      <c r="V9715" t="s">
        <v>43509</v>
      </c>
      <c r="W9715" t="s">
        <v>43766</v>
      </c>
      <c r="X9715" t="s">
        <v>32539</v>
      </c>
    </row>
    <row r="9716" spans="1:24">
      <c r="A9716">
        <f>HYPERLINK("https://www.philgeps.gov.ph/GEPSNONPILOT/Tender/SplashBidNoticeAbstractUI.aspx?menuIndex=3&amp;refID=7026784&amp;Result=3","7026784")</f>
        <v>0</v>
      </c>
      <c r="B9716" t="s">
        <v>2419</v>
      </c>
      <c r="C9716" t="s">
        <v>11977</v>
      </c>
      <c r="D9716" t="s">
        <v>12990</v>
      </c>
      <c r="E9716" t="s">
        <v>21540</v>
      </c>
      <c r="F9716" t="s">
        <v>22436</v>
      </c>
      <c r="G9716" t="s">
        <v>22444</v>
      </c>
      <c r="H9716" t="s">
        <v>22452</v>
      </c>
      <c r="I9716" t="s">
        <v>3529</v>
      </c>
      <c r="J9716" t="s">
        <v>28750</v>
      </c>
      <c r="K9716" t="s">
        <v>29331</v>
      </c>
      <c r="M9716" t="s">
        <v>32218</v>
      </c>
      <c r="N9716" t="s">
        <v>32524</v>
      </c>
      <c r="O9716" t="s">
        <v>32525</v>
      </c>
      <c r="P9716">
        <v>0</v>
      </c>
      <c r="Q9716">
        <v>0</v>
      </c>
      <c r="R9716" t="s">
        <v>32538</v>
      </c>
      <c r="S9716" t="s">
        <v>32872</v>
      </c>
      <c r="T9716" t="s">
        <v>33168</v>
      </c>
      <c r="U9716" t="s">
        <v>41640</v>
      </c>
      <c r="W9716" t="s">
        <v>32218</v>
      </c>
      <c r="X9716" t="s">
        <v>32539</v>
      </c>
    </row>
    <row r="9717" spans="1:24">
      <c r="A9717">
        <f>HYPERLINK("https://www.philgeps.gov.ph/GEPSNONPILOT/Tender/SplashBidNoticeAbstractUI.aspx?menuIndex=3&amp;refID=7026817&amp;Result=3","7026817")</f>
        <v>0</v>
      </c>
      <c r="B9717" t="s">
        <v>2544</v>
      </c>
      <c r="C9717" t="s">
        <v>11978</v>
      </c>
      <c r="D9717" t="s">
        <v>12990</v>
      </c>
      <c r="E9717" t="s">
        <v>21410</v>
      </c>
      <c r="F9717" t="s">
        <v>22436</v>
      </c>
      <c r="G9717" t="s">
        <v>22444</v>
      </c>
      <c r="H9717" t="s">
        <v>22452</v>
      </c>
      <c r="I9717" t="s">
        <v>22495</v>
      </c>
      <c r="J9717" t="s">
        <v>25556</v>
      </c>
      <c r="K9717" t="s">
        <v>29335</v>
      </c>
      <c r="M9717" t="s">
        <v>32355</v>
      </c>
      <c r="N9717" t="s">
        <v>32524</v>
      </c>
      <c r="O9717" t="s">
        <v>32525</v>
      </c>
      <c r="P9717">
        <v>0</v>
      </c>
      <c r="Q9717">
        <v>11</v>
      </c>
      <c r="R9717" t="s">
        <v>32538</v>
      </c>
      <c r="S9717" t="s">
        <v>32872</v>
      </c>
      <c r="T9717" t="s">
        <v>33593</v>
      </c>
      <c r="U9717" t="s">
        <v>41515</v>
      </c>
      <c r="V9717" t="s">
        <v>43514</v>
      </c>
      <c r="W9717" t="s">
        <v>32355</v>
      </c>
      <c r="X9717" t="s">
        <v>32539</v>
      </c>
    </row>
    <row r="9718" spans="1:24">
      <c r="A9718">
        <f>HYPERLINK("https://www.philgeps.gov.ph/GEPSNONPILOT/Tender/SplashBidNoticeAbstractUI.aspx?menuIndex=3&amp;refID=7026785&amp;Result=3","7026785")</f>
        <v>0</v>
      </c>
      <c r="B9718" t="s">
        <v>279</v>
      </c>
      <c r="C9718" t="s">
        <v>11979</v>
      </c>
      <c r="D9718" t="s">
        <v>13010</v>
      </c>
      <c r="E9718" t="s">
        <v>21541</v>
      </c>
      <c r="F9718" t="s">
        <v>22436</v>
      </c>
      <c r="G9718" t="s">
        <v>22444</v>
      </c>
      <c r="H9718" t="s">
        <v>22452</v>
      </c>
      <c r="I9718" t="s">
        <v>22509</v>
      </c>
      <c r="J9718" t="s">
        <v>28751</v>
      </c>
      <c r="K9718" t="s">
        <v>29333</v>
      </c>
      <c r="M9718" t="s">
        <v>31776</v>
      </c>
      <c r="N9718" t="s">
        <v>32524</v>
      </c>
      <c r="O9718" t="s">
        <v>32525</v>
      </c>
      <c r="P9718">
        <v>0</v>
      </c>
      <c r="Q9718">
        <v>12</v>
      </c>
      <c r="R9718" t="s">
        <v>32538</v>
      </c>
      <c r="S9718" t="s">
        <v>32872</v>
      </c>
      <c r="T9718" t="s">
        <v>33181</v>
      </c>
      <c r="U9718" t="s">
        <v>41641</v>
      </c>
      <c r="W9718" t="s">
        <v>31776</v>
      </c>
      <c r="X9718" t="s">
        <v>32539</v>
      </c>
    </row>
    <row r="9719" spans="1:24">
      <c r="A9719">
        <f>HYPERLINK("https://www.philgeps.gov.ph/GEPSNONPILOT/Tender/SplashBidNoticeAbstractUI.aspx?menuIndex=3&amp;refID=7026816&amp;Result=3","7026816")</f>
        <v>0</v>
      </c>
      <c r="B9719" t="s">
        <v>2563</v>
      </c>
      <c r="C9719" t="s">
        <v>11980</v>
      </c>
      <c r="D9719" t="s">
        <v>13039</v>
      </c>
      <c r="E9719" t="s">
        <v>21542</v>
      </c>
      <c r="F9719" t="s">
        <v>22436</v>
      </c>
      <c r="G9719" t="s">
        <v>22444</v>
      </c>
      <c r="H9719" t="s">
        <v>22452</v>
      </c>
      <c r="I9719" t="s">
        <v>3529</v>
      </c>
      <c r="J9719" t="s">
        <v>28752</v>
      </c>
      <c r="K9719" t="s">
        <v>29341</v>
      </c>
      <c r="M9719" t="s">
        <v>32380</v>
      </c>
      <c r="N9719" t="s">
        <v>32524</v>
      </c>
      <c r="O9719" t="s">
        <v>32525</v>
      </c>
      <c r="P9719">
        <v>0</v>
      </c>
      <c r="Q9719">
        <v>0</v>
      </c>
      <c r="R9719" t="s">
        <v>32538</v>
      </c>
      <c r="S9719" t="s">
        <v>32872</v>
      </c>
      <c r="T9719" t="s">
        <v>33206</v>
      </c>
      <c r="U9719" t="s">
        <v>41642</v>
      </c>
      <c r="W9719" t="s">
        <v>32380</v>
      </c>
      <c r="X9719" t="s">
        <v>32539</v>
      </c>
    </row>
    <row r="9720" spans="1:24">
      <c r="A9720">
        <f>HYPERLINK("https://www.philgeps.gov.ph/GEPSNONPILOT/Tender/SplashBidNoticeAbstractUI.aspx?menuIndex=3&amp;refID=7026821&amp;Result=3","7026821")</f>
        <v>0</v>
      </c>
      <c r="B9720" t="s">
        <v>1021</v>
      </c>
      <c r="C9720" t="s">
        <v>11981</v>
      </c>
      <c r="D9720" t="s">
        <v>13020</v>
      </c>
      <c r="E9720" t="s">
        <v>21543</v>
      </c>
      <c r="F9720" t="s">
        <v>22436</v>
      </c>
      <c r="G9720" t="s">
        <v>22444</v>
      </c>
      <c r="H9720" t="s">
        <v>22454</v>
      </c>
      <c r="I9720" t="s">
        <v>7738</v>
      </c>
      <c r="J9720" t="s">
        <v>22634</v>
      </c>
      <c r="K9720" t="s">
        <v>29344</v>
      </c>
      <c r="M9720" t="s">
        <v>32377</v>
      </c>
      <c r="N9720" t="s">
        <v>32524</v>
      </c>
      <c r="O9720" t="s">
        <v>32525</v>
      </c>
      <c r="Q9720">
        <v>114</v>
      </c>
      <c r="R9720" t="s">
        <v>32538</v>
      </c>
      <c r="S9720" t="s">
        <v>32967</v>
      </c>
      <c r="T9720" t="s">
        <v>33259</v>
      </c>
      <c r="U9720" t="s">
        <v>41628</v>
      </c>
      <c r="V9720" t="s">
        <v>43515</v>
      </c>
      <c r="W9720" t="s">
        <v>43766</v>
      </c>
      <c r="X9720" t="s">
        <v>32539</v>
      </c>
    </row>
    <row r="9721" spans="1:24">
      <c r="A9721">
        <f>HYPERLINK("https://www.philgeps.gov.ph/GEPSNONPILOT/Tender/SplashBidNoticeAbstractUI.aspx?menuIndex=3&amp;refID=7026810&amp;Result=3","7026810")</f>
        <v>0</v>
      </c>
      <c r="B9721" t="s">
        <v>1461</v>
      </c>
      <c r="C9721" t="s">
        <v>11982</v>
      </c>
      <c r="D9721" t="s">
        <v>12994</v>
      </c>
      <c r="E9721" t="s">
        <v>21544</v>
      </c>
      <c r="F9721" t="s">
        <v>22436</v>
      </c>
      <c r="G9721" t="s">
        <v>22444</v>
      </c>
      <c r="H9721" t="s">
        <v>22454</v>
      </c>
      <c r="I9721" t="s">
        <v>7738</v>
      </c>
      <c r="J9721" t="s">
        <v>25339</v>
      </c>
      <c r="K9721" t="s">
        <v>29513</v>
      </c>
      <c r="M9721" t="s">
        <v>31129</v>
      </c>
      <c r="N9721" t="s">
        <v>32524</v>
      </c>
      <c r="O9721" t="s">
        <v>32525</v>
      </c>
      <c r="Q9721">
        <v>33</v>
      </c>
      <c r="R9721" t="s">
        <v>32538</v>
      </c>
      <c r="S9721" t="s">
        <v>32968</v>
      </c>
      <c r="T9721" t="s">
        <v>33182</v>
      </c>
      <c r="U9721" t="s">
        <v>41639</v>
      </c>
      <c r="W9721" t="s">
        <v>31129</v>
      </c>
      <c r="X9721" t="s">
        <v>32539</v>
      </c>
    </row>
    <row r="9722" spans="1:24">
      <c r="A9722">
        <f>HYPERLINK("https://www.philgeps.gov.ph/GEPSNONPILOT/Tender/SplashBidNoticeAbstractUI.aspx?menuIndex=3&amp;refID=7026776&amp;Result=3","7026776")</f>
        <v>0</v>
      </c>
      <c r="B9722" t="s">
        <v>2564</v>
      </c>
      <c r="C9722" t="s">
        <v>11983</v>
      </c>
      <c r="D9722" t="s">
        <v>12999</v>
      </c>
      <c r="E9722" t="s">
        <v>21545</v>
      </c>
      <c r="F9722" t="s">
        <v>22436</v>
      </c>
      <c r="G9722" t="s">
        <v>22444</v>
      </c>
      <c r="H9722" t="s">
        <v>22452</v>
      </c>
      <c r="I9722" t="s">
        <v>22474</v>
      </c>
      <c r="J9722" t="s">
        <v>28753</v>
      </c>
      <c r="K9722" t="s">
        <v>29338</v>
      </c>
      <c r="M9722" t="s">
        <v>32381</v>
      </c>
      <c r="N9722" t="s">
        <v>32524</v>
      </c>
      <c r="O9722" t="s">
        <v>32525</v>
      </c>
      <c r="P9722">
        <v>0</v>
      </c>
      <c r="Q9722">
        <v>6</v>
      </c>
      <c r="R9722" t="s">
        <v>32538</v>
      </c>
      <c r="S9722" t="s">
        <v>32872</v>
      </c>
      <c r="T9722" t="s">
        <v>33185</v>
      </c>
      <c r="U9722" t="s">
        <v>41643</v>
      </c>
      <c r="W9722" t="s">
        <v>32381</v>
      </c>
      <c r="X9722" t="s">
        <v>32539</v>
      </c>
    </row>
    <row r="9723" spans="1:24">
      <c r="A9723">
        <f>HYPERLINK("https://www.philgeps.gov.ph/GEPSNONPILOT/Tender/SplashBidNoticeAbstractUI.aspx?menuIndex=3&amp;refID=7026820&amp;Result=3","7026820")</f>
        <v>0</v>
      </c>
      <c r="B9723" t="s">
        <v>873</v>
      </c>
      <c r="C9723" t="s">
        <v>11984</v>
      </c>
      <c r="D9723" t="s">
        <v>13062</v>
      </c>
      <c r="E9723" t="s">
        <v>21546</v>
      </c>
      <c r="F9723" t="s">
        <v>22436</v>
      </c>
      <c r="G9723" t="s">
        <v>22444</v>
      </c>
      <c r="H9723" t="s">
        <v>22452</v>
      </c>
      <c r="I9723" t="s">
        <v>12358</v>
      </c>
      <c r="J9723" t="s">
        <v>23154</v>
      </c>
      <c r="K9723" t="s">
        <v>29341</v>
      </c>
      <c r="M9723" t="s">
        <v>30481</v>
      </c>
      <c r="N9723" t="s">
        <v>32524</v>
      </c>
      <c r="O9723" t="s">
        <v>32525</v>
      </c>
      <c r="P9723">
        <v>0</v>
      </c>
      <c r="Q9723">
        <v>0</v>
      </c>
      <c r="R9723" t="s">
        <v>32538</v>
      </c>
      <c r="S9723" t="s">
        <v>32872</v>
      </c>
      <c r="T9723" t="s">
        <v>33220</v>
      </c>
      <c r="U9723" t="s">
        <v>41644</v>
      </c>
      <c r="W9723" t="s">
        <v>30481</v>
      </c>
      <c r="X9723" t="s">
        <v>32539</v>
      </c>
    </row>
    <row r="9724" spans="1:24">
      <c r="A9724">
        <f>HYPERLINK("https://www.philgeps.gov.ph/GEPSNONPILOT/Tender/SplashBidNoticeAbstractUI.aspx?menuIndex=3&amp;refID=7026787&amp;Result=3","7026787")</f>
        <v>0</v>
      </c>
      <c r="B9724" t="s">
        <v>2562</v>
      </c>
      <c r="C9724" t="s">
        <v>11985</v>
      </c>
      <c r="D9724" t="s">
        <v>12998</v>
      </c>
      <c r="E9724" t="s">
        <v>21547</v>
      </c>
      <c r="F9724" t="s">
        <v>22436</v>
      </c>
      <c r="G9724" t="s">
        <v>22444</v>
      </c>
      <c r="H9724" t="s">
        <v>22454</v>
      </c>
      <c r="I9724" t="s">
        <v>7738</v>
      </c>
      <c r="J9724" t="s">
        <v>23835</v>
      </c>
      <c r="K9724" t="s">
        <v>29344</v>
      </c>
      <c r="M9724" t="s">
        <v>32378</v>
      </c>
      <c r="N9724" t="s">
        <v>32524</v>
      </c>
      <c r="O9724" t="s">
        <v>32525</v>
      </c>
      <c r="Q9724">
        <v>2</v>
      </c>
      <c r="R9724" t="s">
        <v>32538</v>
      </c>
      <c r="S9724" t="s">
        <v>32969</v>
      </c>
      <c r="T9724" t="s">
        <v>33252</v>
      </c>
      <c r="U9724" t="s">
        <v>41645</v>
      </c>
      <c r="W9724" t="s">
        <v>32378</v>
      </c>
      <c r="X9724" t="s">
        <v>32539</v>
      </c>
    </row>
    <row r="9725" spans="1:24">
      <c r="A9725">
        <f>HYPERLINK("https://www.philgeps.gov.ph/GEPSNONPILOT/Tender/SplashBidNoticeAbstractUI.aspx?menuIndex=3&amp;refID=7026837&amp;Result=3","7026837")</f>
        <v>0</v>
      </c>
      <c r="B9725" t="s">
        <v>1021</v>
      </c>
      <c r="C9725" t="s">
        <v>11986</v>
      </c>
      <c r="D9725" t="s">
        <v>13020</v>
      </c>
      <c r="E9725" t="s">
        <v>21548</v>
      </c>
      <c r="F9725" t="s">
        <v>22436</v>
      </c>
      <c r="G9725" t="s">
        <v>22444</v>
      </c>
      <c r="H9725" t="s">
        <v>22454</v>
      </c>
      <c r="I9725" t="s">
        <v>7738</v>
      </c>
      <c r="J9725" t="s">
        <v>22779</v>
      </c>
      <c r="K9725" t="s">
        <v>29334</v>
      </c>
      <c r="M9725" t="s">
        <v>32377</v>
      </c>
      <c r="N9725" t="s">
        <v>32524</v>
      </c>
      <c r="O9725" t="s">
        <v>32525</v>
      </c>
      <c r="Q9725">
        <v>113</v>
      </c>
      <c r="R9725" t="s">
        <v>32538</v>
      </c>
      <c r="S9725" t="s">
        <v>32970</v>
      </c>
      <c r="T9725" t="s">
        <v>33259</v>
      </c>
      <c r="U9725" t="s">
        <v>41628</v>
      </c>
      <c r="V9725" t="s">
        <v>43509</v>
      </c>
      <c r="W9725" t="s">
        <v>43766</v>
      </c>
      <c r="X9725" t="s">
        <v>32539</v>
      </c>
    </row>
    <row r="9726" spans="1:24">
      <c r="A9726">
        <f>HYPERLINK("https://www.philgeps.gov.ph/GEPSNONPILOT/Tender/SplashBidNoticeAbstractUI.aspx?menuIndex=3&amp;refID=7026811&amp;Result=3","7026811")</f>
        <v>0</v>
      </c>
      <c r="B9726" t="s">
        <v>2562</v>
      </c>
      <c r="C9726" t="s">
        <v>11987</v>
      </c>
      <c r="D9726" t="s">
        <v>12998</v>
      </c>
      <c r="E9726" t="s">
        <v>21549</v>
      </c>
      <c r="F9726" t="s">
        <v>22436</v>
      </c>
      <c r="G9726" t="s">
        <v>22444</v>
      </c>
      <c r="H9726" t="s">
        <v>22454</v>
      </c>
      <c r="I9726" t="s">
        <v>7738</v>
      </c>
      <c r="J9726" t="s">
        <v>28754</v>
      </c>
      <c r="K9726" t="s">
        <v>29344</v>
      </c>
      <c r="M9726" t="s">
        <v>32378</v>
      </c>
      <c r="N9726" t="s">
        <v>32524</v>
      </c>
      <c r="O9726" t="s">
        <v>32525</v>
      </c>
      <c r="P9726">
        <v>0</v>
      </c>
      <c r="Q9726">
        <v>1</v>
      </c>
      <c r="R9726" t="s">
        <v>32538</v>
      </c>
      <c r="S9726" t="s">
        <v>32872</v>
      </c>
      <c r="T9726" t="s">
        <v>33252</v>
      </c>
      <c r="U9726" t="s">
        <v>41646</v>
      </c>
      <c r="W9726" t="s">
        <v>32378</v>
      </c>
      <c r="X9726" t="s">
        <v>32539</v>
      </c>
    </row>
    <row r="9727" spans="1:24">
      <c r="A9727">
        <f>HYPERLINK("https://www.philgeps.gov.ph/GEPSNONPILOT/Tender/SplashBidNoticeAbstractUI.aspx?menuIndex=3&amp;refID=7026822&amp;Result=3","7026822")</f>
        <v>0</v>
      </c>
      <c r="B9727" t="s">
        <v>873</v>
      </c>
      <c r="C9727" t="s">
        <v>11988</v>
      </c>
      <c r="D9727" t="s">
        <v>13062</v>
      </c>
      <c r="E9727" t="s">
        <v>21550</v>
      </c>
      <c r="F9727" t="s">
        <v>22436</v>
      </c>
      <c r="G9727" t="s">
        <v>22444</v>
      </c>
      <c r="H9727" t="s">
        <v>22452</v>
      </c>
      <c r="I9727" t="s">
        <v>5194</v>
      </c>
      <c r="J9727" t="s">
        <v>28755</v>
      </c>
      <c r="K9727" t="s">
        <v>29341</v>
      </c>
      <c r="M9727" t="s">
        <v>30481</v>
      </c>
      <c r="N9727" t="s">
        <v>32524</v>
      </c>
      <c r="O9727" t="s">
        <v>32525</v>
      </c>
      <c r="P9727">
        <v>0</v>
      </c>
      <c r="Q9727">
        <v>0</v>
      </c>
      <c r="R9727" t="s">
        <v>32538</v>
      </c>
      <c r="S9727" t="s">
        <v>32872</v>
      </c>
      <c r="T9727" t="s">
        <v>33220</v>
      </c>
      <c r="U9727" t="s">
        <v>41644</v>
      </c>
      <c r="W9727" t="s">
        <v>30481</v>
      </c>
      <c r="X9727" t="s">
        <v>32539</v>
      </c>
    </row>
    <row r="9728" spans="1:24">
      <c r="A9728">
        <f>HYPERLINK("https://www.philgeps.gov.ph/GEPSNONPILOT/Tender/SplashBidNoticeAbstractUI.aspx?menuIndex=3&amp;refID=7026835&amp;Result=3","7026835")</f>
        <v>0</v>
      </c>
      <c r="B9728" t="s">
        <v>2565</v>
      </c>
      <c r="C9728" t="s">
        <v>11989</v>
      </c>
      <c r="D9728" t="s">
        <v>12988</v>
      </c>
      <c r="E9728" t="s">
        <v>21551</v>
      </c>
      <c r="F9728" t="s">
        <v>22437</v>
      </c>
      <c r="G9728" t="s">
        <v>22444</v>
      </c>
      <c r="H9728" t="s">
        <v>22452</v>
      </c>
      <c r="I9728" t="s">
        <v>22517</v>
      </c>
      <c r="J9728" t="s">
        <v>22802</v>
      </c>
      <c r="K9728" t="s">
        <v>29338</v>
      </c>
      <c r="M9728" t="s">
        <v>32382</v>
      </c>
      <c r="N9728" t="s">
        <v>32524</v>
      </c>
      <c r="O9728" t="s">
        <v>32525</v>
      </c>
      <c r="P9728">
        <v>0</v>
      </c>
      <c r="Q9728">
        <v>7</v>
      </c>
      <c r="R9728" t="s">
        <v>32538</v>
      </c>
      <c r="S9728" t="s">
        <v>32872</v>
      </c>
      <c r="T9728" t="s">
        <v>33185</v>
      </c>
      <c r="U9728" t="s">
        <v>41647</v>
      </c>
      <c r="W9728" t="s">
        <v>32382</v>
      </c>
      <c r="X9728" t="s">
        <v>32539</v>
      </c>
    </row>
    <row r="9729" spans="1:24">
      <c r="A9729">
        <f>HYPERLINK("https://www.philgeps.gov.ph/GEPSNONPILOT/Tender/SplashBidNoticeAbstractUI.aspx?menuIndex=3&amp;refID=7026809&amp;Result=3","7026809")</f>
        <v>0</v>
      </c>
      <c r="B9729" t="s">
        <v>2562</v>
      </c>
      <c r="C9729" t="s">
        <v>11990</v>
      </c>
      <c r="D9729" t="s">
        <v>12998</v>
      </c>
      <c r="E9729" t="s">
        <v>21552</v>
      </c>
      <c r="F9729" t="s">
        <v>22436</v>
      </c>
      <c r="G9729" t="s">
        <v>22444</v>
      </c>
      <c r="H9729" t="s">
        <v>22452</v>
      </c>
      <c r="I9729" t="s">
        <v>2981</v>
      </c>
      <c r="J9729" t="s">
        <v>28756</v>
      </c>
      <c r="K9729" t="s">
        <v>29331</v>
      </c>
      <c r="M9729" t="s">
        <v>32378</v>
      </c>
      <c r="N9729" t="s">
        <v>32524</v>
      </c>
      <c r="O9729" t="s">
        <v>32525</v>
      </c>
      <c r="P9729">
        <v>0</v>
      </c>
      <c r="Q9729">
        <v>1</v>
      </c>
      <c r="R9729" t="s">
        <v>32538</v>
      </c>
      <c r="S9729" t="s">
        <v>32872</v>
      </c>
      <c r="T9729" t="s">
        <v>33252</v>
      </c>
      <c r="U9729" t="s">
        <v>41648</v>
      </c>
      <c r="W9729" t="s">
        <v>32378</v>
      </c>
      <c r="X9729" t="s">
        <v>32539</v>
      </c>
    </row>
    <row r="9730" spans="1:24">
      <c r="A9730">
        <f>HYPERLINK("https://www.philgeps.gov.ph/GEPSNONPILOT/Tender/SplashBidNoticeAbstractUI.aspx?menuIndex=3&amp;refID=7026804&amp;Result=3","7026804")</f>
        <v>0</v>
      </c>
      <c r="B9730" t="s">
        <v>2566</v>
      </c>
      <c r="C9730" t="s">
        <v>11991</v>
      </c>
      <c r="E9730" t="s">
        <v>21553</v>
      </c>
      <c r="F9730" t="s">
        <v>22436</v>
      </c>
      <c r="G9730" t="s">
        <v>22444</v>
      </c>
      <c r="H9730" t="s">
        <v>22454</v>
      </c>
      <c r="I9730" t="s">
        <v>7738</v>
      </c>
      <c r="J9730" t="s">
        <v>28757</v>
      </c>
      <c r="K9730" t="s">
        <v>29338</v>
      </c>
      <c r="M9730" t="s">
        <v>32383</v>
      </c>
      <c r="N9730" t="s">
        <v>32524</v>
      </c>
      <c r="O9730" t="s">
        <v>32525</v>
      </c>
      <c r="P9730">
        <v>0</v>
      </c>
      <c r="Q9730">
        <v>2</v>
      </c>
      <c r="R9730" t="s">
        <v>32538</v>
      </c>
      <c r="S9730" t="s">
        <v>32872</v>
      </c>
      <c r="T9730" t="s">
        <v>33182</v>
      </c>
      <c r="U9730" t="s">
        <v>41649</v>
      </c>
      <c r="W9730" t="s">
        <v>32383</v>
      </c>
      <c r="X9730" t="s">
        <v>32539</v>
      </c>
    </row>
    <row r="9731" spans="1:24">
      <c r="A9731">
        <f>HYPERLINK("https://www.philgeps.gov.ph/GEPSNONPILOT/Tender/SplashBidNoticeAbstractUI.aspx?menuIndex=3&amp;refID=7026844&amp;Result=3","7026844")</f>
        <v>0</v>
      </c>
      <c r="B9731" t="s">
        <v>1021</v>
      </c>
      <c r="C9731" t="s">
        <v>11992</v>
      </c>
      <c r="D9731" t="s">
        <v>13020</v>
      </c>
      <c r="E9731" t="s">
        <v>21554</v>
      </c>
      <c r="F9731" t="s">
        <v>22436</v>
      </c>
      <c r="G9731" t="s">
        <v>22444</v>
      </c>
      <c r="H9731" t="s">
        <v>22454</v>
      </c>
      <c r="I9731" t="s">
        <v>7738</v>
      </c>
      <c r="J9731" t="s">
        <v>22960</v>
      </c>
      <c r="K9731" t="s">
        <v>29388</v>
      </c>
      <c r="M9731" t="s">
        <v>32377</v>
      </c>
      <c r="N9731" t="s">
        <v>32524</v>
      </c>
      <c r="O9731" t="s">
        <v>32525</v>
      </c>
      <c r="Q9731">
        <v>112</v>
      </c>
      <c r="R9731" t="s">
        <v>32538</v>
      </c>
      <c r="S9731" t="s">
        <v>32971</v>
      </c>
      <c r="T9731" t="s">
        <v>33259</v>
      </c>
      <c r="U9731" t="s">
        <v>41628</v>
      </c>
      <c r="V9731" t="s">
        <v>43509</v>
      </c>
      <c r="W9731" t="s">
        <v>43766</v>
      </c>
      <c r="X9731" t="s">
        <v>32539</v>
      </c>
    </row>
    <row r="9732" spans="1:24">
      <c r="A9732">
        <f>HYPERLINK("https://www.philgeps.gov.ph/GEPSNONPILOT/Tender/SplashBidNoticeAbstractUI.aspx?menuIndex=3&amp;refID=7026807&amp;Result=3","7026807")</f>
        <v>0</v>
      </c>
      <c r="B9732" t="s">
        <v>2566</v>
      </c>
      <c r="C9732" t="s">
        <v>11993</v>
      </c>
      <c r="E9732" t="s">
        <v>21555</v>
      </c>
      <c r="F9732" t="s">
        <v>22436</v>
      </c>
      <c r="G9732" t="s">
        <v>22444</v>
      </c>
      <c r="H9732" t="s">
        <v>22454</v>
      </c>
      <c r="I9732" t="s">
        <v>7738</v>
      </c>
      <c r="J9732" t="s">
        <v>28758</v>
      </c>
      <c r="K9732" t="s">
        <v>29338</v>
      </c>
      <c r="M9732" t="s">
        <v>32383</v>
      </c>
      <c r="N9732" t="s">
        <v>32524</v>
      </c>
      <c r="O9732" t="s">
        <v>32525</v>
      </c>
      <c r="P9732">
        <v>0</v>
      </c>
      <c r="Q9732">
        <v>2</v>
      </c>
      <c r="R9732" t="s">
        <v>32538</v>
      </c>
      <c r="S9732" t="s">
        <v>32872</v>
      </c>
      <c r="T9732" t="s">
        <v>33181</v>
      </c>
      <c r="U9732" t="s">
        <v>41650</v>
      </c>
      <c r="W9732" t="s">
        <v>32383</v>
      </c>
      <c r="X9732" t="s">
        <v>32539</v>
      </c>
    </row>
    <row r="9733" spans="1:24">
      <c r="A9733">
        <f>HYPERLINK("https://www.philgeps.gov.ph/GEPSNONPILOT/Tender/SplashBidNoticeAbstractUI.aspx?menuIndex=3&amp;refID=7026802&amp;Result=3","7026802")</f>
        <v>0</v>
      </c>
      <c r="B9733" t="s">
        <v>2562</v>
      </c>
      <c r="C9733" t="s">
        <v>11994</v>
      </c>
      <c r="D9733" t="s">
        <v>12998</v>
      </c>
      <c r="E9733" t="s">
        <v>21556</v>
      </c>
      <c r="F9733" t="s">
        <v>22436</v>
      </c>
      <c r="G9733" t="s">
        <v>22444</v>
      </c>
      <c r="H9733" t="s">
        <v>22454</v>
      </c>
      <c r="I9733" t="s">
        <v>7738</v>
      </c>
      <c r="J9733" t="s">
        <v>28759</v>
      </c>
      <c r="K9733" t="s">
        <v>29344</v>
      </c>
      <c r="M9733" t="s">
        <v>32378</v>
      </c>
      <c r="N9733" t="s">
        <v>32524</v>
      </c>
      <c r="O9733" t="s">
        <v>32525</v>
      </c>
      <c r="P9733">
        <v>0</v>
      </c>
      <c r="Q9733">
        <v>1</v>
      </c>
      <c r="R9733" t="s">
        <v>32538</v>
      </c>
      <c r="S9733" t="s">
        <v>32872</v>
      </c>
      <c r="T9733" t="s">
        <v>33252</v>
      </c>
      <c r="U9733" t="s">
        <v>41651</v>
      </c>
      <c r="W9733" t="s">
        <v>32378</v>
      </c>
      <c r="X9733" t="s">
        <v>32539</v>
      </c>
    </row>
    <row r="9734" spans="1:24">
      <c r="A9734">
        <f>HYPERLINK("https://www.philgeps.gov.ph/GEPSNONPILOT/Tender/SplashBidNoticeAbstractUI.aspx?menuIndex=3&amp;refID=7026854&amp;Result=3","7026854")</f>
        <v>0</v>
      </c>
      <c r="B9734" t="s">
        <v>2544</v>
      </c>
      <c r="C9734" t="s">
        <v>11995</v>
      </c>
      <c r="D9734" t="s">
        <v>12990</v>
      </c>
      <c r="E9734" t="s">
        <v>21410</v>
      </c>
      <c r="F9734" t="s">
        <v>22436</v>
      </c>
      <c r="G9734" t="s">
        <v>22444</v>
      </c>
      <c r="H9734" t="s">
        <v>22452</v>
      </c>
      <c r="I9734" t="s">
        <v>3840</v>
      </c>
      <c r="J9734" t="s">
        <v>28760</v>
      </c>
      <c r="K9734" t="s">
        <v>29335</v>
      </c>
      <c r="M9734" t="s">
        <v>32355</v>
      </c>
      <c r="N9734" t="s">
        <v>32524</v>
      </c>
      <c r="O9734" t="s">
        <v>32525</v>
      </c>
      <c r="P9734">
        <v>0</v>
      </c>
      <c r="Q9734">
        <v>2</v>
      </c>
      <c r="R9734" t="s">
        <v>32538</v>
      </c>
      <c r="S9734" t="s">
        <v>32872</v>
      </c>
      <c r="T9734" t="s">
        <v>33593</v>
      </c>
      <c r="U9734" t="s">
        <v>41515</v>
      </c>
      <c r="V9734" t="s">
        <v>43516</v>
      </c>
      <c r="W9734" t="s">
        <v>32355</v>
      </c>
      <c r="X9734" t="s">
        <v>32539</v>
      </c>
    </row>
    <row r="9735" spans="1:24">
      <c r="A9735">
        <f>HYPERLINK("https://www.philgeps.gov.ph/GEPSNONPILOT/Tender/SplashBidNoticeAbstractUI.aspx?menuIndex=3&amp;refID=7026852&amp;Result=3","7026852")</f>
        <v>0</v>
      </c>
      <c r="B9735" t="s">
        <v>1021</v>
      </c>
      <c r="C9735" t="s">
        <v>11996</v>
      </c>
      <c r="D9735" t="s">
        <v>13020</v>
      </c>
      <c r="E9735" t="s">
        <v>21557</v>
      </c>
      <c r="F9735" t="s">
        <v>22436</v>
      </c>
      <c r="G9735" t="s">
        <v>22444</v>
      </c>
      <c r="H9735" t="s">
        <v>22454</v>
      </c>
      <c r="I9735" t="s">
        <v>7738</v>
      </c>
      <c r="J9735" t="s">
        <v>28761</v>
      </c>
      <c r="K9735" t="s">
        <v>29388</v>
      </c>
      <c r="M9735" t="s">
        <v>32377</v>
      </c>
      <c r="N9735" t="s">
        <v>32524</v>
      </c>
      <c r="O9735" t="s">
        <v>32525</v>
      </c>
      <c r="Q9735">
        <v>114</v>
      </c>
      <c r="R9735" t="s">
        <v>32538</v>
      </c>
      <c r="S9735" t="s">
        <v>32972</v>
      </c>
      <c r="T9735" t="s">
        <v>33259</v>
      </c>
      <c r="U9735" t="s">
        <v>41628</v>
      </c>
      <c r="V9735" t="s">
        <v>43509</v>
      </c>
      <c r="W9735" t="s">
        <v>43766</v>
      </c>
      <c r="X9735" t="s">
        <v>32539</v>
      </c>
    </row>
    <row r="9736" spans="1:24">
      <c r="A9736">
        <f>HYPERLINK("https://www.philgeps.gov.ph/GEPSNONPILOT/Tender/SplashBidNoticeAbstractUI.aspx?menuIndex=3&amp;refID=7026842&amp;Result=3","7026842")</f>
        <v>0</v>
      </c>
      <c r="B9736" t="s">
        <v>2544</v>
      </c>
      <c r="C9736" t="s">
        <v>11997</v>
      </c>
      <c r="D9736" t="s">
        <v>12990</v>
      </c>
      <c r="E9736" t="s">
        <v>21410</v>
      </c>
      <c r="F9736" t="s">
        <v>22436</v>
      </c>
      <c r="G9736" t="s">
        <v>22444</v>
      </c>
      <c r="H9736" t="s">
        <v>22452</v>
      </c>
      <c r="I9736" t="s">
        <v>22482</v>
      </c>
      <c r="J9736" t="s">
        <v>24482</v>
      </c>
      <c r="K9736" t="s">
        <v>29335</v>
      </c>
      <c r="M9736" t="s">
        <v>32355</v>
      </c>
      <c r="N9736" t="s">
        <v>32524</v>
      </c>
      <c r="O9736" t="s">
        <v>32525</v>
      </c>
      <c r="P9736">
        <v>0</v>
      </c>
      <c r="Q9736">
        <v>7</v>
      </c>
      <c r="R9736" t="s">
        <v>32538</v>
      </c>
      <c r="S9736" t="s">
        <v>32872</v>
      </c>
      <c r="T9736" t="s">
        <v>33593</v>
      </c>
      <c r="U9736" t="s">
        <v>41515</v>
      </c>
      <c r="V9736" t="s">
        <v>43517</v>
      </c>
      <c r="W9736" t="s">
        <v>32355</v>
      </c>
      <c r="X9736" t="s">
        <v>32539</v>
      </c>
    </row>
    <row r="9737" spans="1:24">
      <c r="A9737">
        <f>HYPERLINK("https://www.philgeps.gov.ph/GEPSNONPILOT/Tender/SplashBidNoticeAbstractUI.aspx?menuIndex=3&amp;refID=7026850&amp;Result=3","7026850")</f>
        <v>0</v>
      </c>
      <c r="B9737" t="s">
        <v>2544</v>
      </c>
      <c r="C9737" t="s">
        <v>11998</v>
      </c>
      <c r="D9737" t="s">
        <v>12990</v>
      </c>
      <c r="E9737" t="s">
        <v>21410</v>
      </c>
      <c r="F9737" t="s">
        <v>22436</v>
      </c>
      <c r="G9737" t="s">
        <v>22444</v>
      </c>
      <c r="H9737" t="s">
        <v>22452</v>
      </c>
      <c r="I9737" t="s">
        <v>22482</v>
      </c>
      <c r="J9737" t="s">
        <v>28762</v>
      </c>
      <c r="K9737" t="s">
        <v>29335</v>
      </c>
      <c r="M9737" t="s">
        <v>32355</v>
      </c>
      <c r="N9737" t="s">
        <v>32524</v>
      </c>
      <c r="O9737" t="s">
        <v>32525</v>
      </c>
      <c r="P9737">
        <v>0</v>
      </c>
      <c r="Q9737">
        <v>7</v>
      </c>
      <c r="R9737" t="s">
        <v>32538</v>
      </c>
      <c r="S9737" t="s">
        <v>32872</v>
      </c>
      <c r="T9737" t="s">
        <v>33593</v>
      </c>
      <c r="U9737" t="s">
        <v>41515</v>
      </c>
      <c r="V9737" t="s">
        <v>43518</v>
      </c>
      <c r="W9737" t="s">
        <v>32355</v>
      </c>
      <c r="X9737" t="s">
        <v>32539</v>
      </c>
    </row>
    <row r="9738" spans="1:24">
      <c r="A9738">
        <f>HYPERLINK("https://www.philgeps.gov.ph/GEPSNONPILOT/Tender/SplashBidNoticeAbstractUI.aspx?menuIndex=3&amp;refID=7026829&amp;Result=3","7026829")</f>
        <v>0</v>
      </c>
      <c r="B9738" t="s">
        <v>1021</v>
      </c>
      <c r="C9738" t="s">
        <v>11999</v>
      </c>
      <c r="D9738" t="s">
        <v>13020</v>
      </c>
      <c r="E9738" t="s">
        <v>21558</v>
      </c>
      <c r="F9738" t="s">
        <v>22436</v>
      </c>
      <c r="G9738" t="s">
        <v>22444</v>
      </c>
      <c r="H9738" t="s">
        <v>22454</v>
      </c>
      <c r="I9738" t="s">
        <v>7738</v>
      </c>
      <c r="J9738" t="s">
        <v>22634</v>
      </c>
      <c r="K9738" t="s">
        <v>29388</v>
      </c>
      <c r="M9738" t="s">
        <v>32377</v>
      </c>
      <c r="N9738" t="s">
        <v>32524</v>
      </c>
      <c r="O9738" t="s">
        <v>32525</v>
      </c>
      <c r="Q9738">
        <v>112</v>
      </c>
      <c r="R9738" t="s">
        <v>32538</v>
      </c>
      <c r="S9738" t="s">
        <v>32973</v>
      </c>
      <c r="T9738" t="s">
        <v>33259</v>
      </c>
      <c r="U9738" t="s">
        <v>41628</v>
      </c>
      <c r="V9738" t="s">
        <v>43509</v>
      </c>
      <c r="W9738" t="s">
        <v>43766</v>
      </c>
      <c r="X9738" t="s">
        <v>32539</v>
      </c>
    </row>
    <row r="9739" spans="1:24">
      <c r="A9739">
        <f>HYPERLINK("https://www.philgeps.gov.ph/GEPSNONPILOT/Tender/SplashBidNoticeAbstractUI.aspx?menuIndex=3&amp;refID=7026847&amp;Result=3","7026847")</f>
        <v>0</v>
      </c>
      <c r="B9739" t="s">
        <v>1021</v>
      </c>
      <c r="C9739" t="s">
        <v>12000</v>
      </c>
      <c r="D9739" t="s">
        <v>13020</v>
      </c>
      <c r="E9739" t="s">
        <v>21559</v>
      </c>
      <c r="F9739" t="s">
        <v>22436</v>
      </c>
      <c r="G9739" t="s">
        <v>22444</v>
      </c>
      <c r="H9739" t="s">
        <v>22454</v>
      </c>
      <c r="I9739" t="s">
        <v>7738</v>
      </c>
      <c r="J9739" t="s">
        <v>22634</v>
      </c>
      <c r="K9739" t="s">
        <v>29499</v>
      </c>
      <c r="M9739" t="s">
        <v>32377</v>
      </c>
      <c r="N9739" t="s">
        <v>32524</v>
      </c>
      <c r="O9739" t="s">
        <v>32525</v>
      </c>
      <c r="Q9739">
        <v>113</v>
      </c>
      <c r="R9739" t="s">
        <v>32538</v>
      </c>
      <c r="S9739" t="s">
        <v>32974</v>
      </c>
      <c r="T9739" t="s">
        <v>33259</v>
      </c>
      <c r="U9739" t="s">
        <v>41628</v>
      </c>
      <c r="V9739" t="s">
        <v>43519</v>
      </c>
      <c r="W9739" t="s">
        <v>43766</v>
      </c>
      <c r="X9739" t="s">
        <v>32539</v>
      </c>
    </row>
    <row r="9740" spans="1:24">
      <c r="A9740">
        <f>HYPERLINK("https://www.philgeps.gov.ph/GEPSNONPILOT/Tender/SplashBidNoticeAbstractUI.aspx?menuIndex=3&amp;refID=7026849&amp;Result=3","7026849")</f>
        <v>0</v>
      </c>
      <c r="B9740" t="s">
        <v>1070</v>
      </c>
      <c r="C9740" t="s">
        <v>12001</v>
      </c>
      <c r="E9740" t="s">
        <v>21560</v>
      </c>
      <c r="F9740" t="s">
        <v>22436</v>
      </c>
      <c r="G9740" t="s">
        <v>22444</v>
      </c>
      <c r="H9740" t="s">
        <v>22452</v>
      </c>
      <c r="I9740" t="s">
        <v>22488</v>
      </c>
      <c r="J9740" t="s">
        <v>27659</v>
      </c>
      <c r="K9740" t="s">
        <v>29338</v>
      </c>
      <c r="M9740" t="s">
        <v>32384</v>
      </c>
      <c r="N9740" t="s">
        <v>32524</v>
      </c>
      <c r="O9740" t="s">
        <v>32525</v>
      </c>
      <c r="P9740">
        <v>0</v>
      </c>
      <c r="Q9740">
        <v>1</v>
      </c>
      <c r="R9740" t="s">
        <v>32538</v>
      </c>
      <c r="S9740" t="s">
        <v>32872</v>
      </c>
      <c r="T9740" t="s">
        <v>33168</v>
      </c>
      <c r="U9740" t="s">
        <v>41652</v>
      </c>
      <c r="V9740" t="s">
        <v>43520</v>
      </c>
      <c r="W9740" t="s">
        <v>32384</v>
      </c>
      <c r="X9740" t="s">
        <v>32539</v>
      </c>
    </row>
    <row r="9741" spans="1:24">
      <c r="A9741">
        <f>HYPERLINK("https://www.philgeps.gov.ph/GEPSNONPILOT/Tender/SplashBidNoticeAbstractUI.aspx?menuIndex=3&amp;refID=7026825&amp;Result=3","7026825")</f>
        <v>0</v>
      </c>
      <c r="B9741" t="s">
        <v>1736</v>
      </c>
      <c r="C9741" t="s">
        <v>12002</v>
      </c>
      <c r="D9741" t="s">
        <v>12990</v>
      </c>
      <c r="E9741" t="s">
        <v>21561</v>
      </c>
      <c r="F9741" t="s">
        <v>22436</v>
      </c>
      <c r="G9741" t="s">
        <v>22444</v>
      </c>
      <c r="H9741" t="s">
        <v>22452</v>
      </c>
      <c r="I9741" t="s">
        <v>3529</v>
      </c>
      <c r="J9741" t="s">
        <v>28763</v>
      </c>
      <c r="K9741" t="s">
        <v>29337</v>
      </c>
      <c r="L9741" t="s">
        <v>1736</v>
      </c>
      <c r="M9741" t="s">
        <v>32385</v>
      </c>
      <c r="N9741" t="s">
        <v>32524</v>
      </c>
      <c r="O9741" t="s">
        <v>32525</v>
      </c>
      <c r="P9741">
        <v>0</v>
      </c>
      <c r="Q9741">
        <v>0</v>
      </c>
      <c r="R9741" t="s">
        <v>32538</v>
      </c>
      <c r="S9741" t="s">
        <v>32872</v>
      </c>
      <c r="T9741" t="s">
        <v>33181</v>
      </c>
      <c r="U9741" t="s">
        <v>41653</v>
      </c>
      <c r="V9741" t="s">
        <v>43521</v>
      </c>
      <c r="W9741" t="s">
        <v>32385</v>
      </c>
      <c r="X9741" t="s">
        <v>32539</v>
      </c>
    </row>
    <row r="9742" spans="1:24">
      <c r="A9742">
        <f>HYPERLINK("https://www.philgeps.gov.ph/GEPSNONPILOT/Tender/SplashBidNoticeAbstractUI.aspx?menuIndex=3&amp;refID=7026867&amp;Result=3","7026867")</f>
        <v>0</v>
      </c>
      <c r="B9742" t="s">
        <v>1021</v>
      </c>
      <c r="C9742" t="s">
        <v>12003</v>
      </c>
      <c r="D9742" t="s">
        <v>13020</v>
      </c>
      <c r="E9742" t="s">
        <v>21562</v>
      </c>
      <c r="F9742" t="s">
        <v>22436</v>
      </c>
      <c r="G9742" t="s">
        <v>22444</v>
      </c>
      <c r="H9742" t="s">
        <v>22454</v>
      </c>
      <c r="I9742" t="s">
        <v>7738</v>
      </c>
      <c r="J9742" t="s">
        <v>28764</v>
      </c>
      <c r="K9742" t="s">
        <v>29401</v>
      </c>
      <c r="M9742" t="s">
        <v>32377</v>
      </c>
      <c r="N9742" t="s">
        <v>32524</v>
      </c>
      <c r="O9742" t="s">
        <v>32525</v>
      </c>
      <c r="Q9742">
        <v>116</v>
      </c>
      <c r="R9742" t="s">
        <v>32538</v>
      </c>
      <c r="S9742" t="s">
        <v>32975</v>
      </c>
      <c r="T9742" t="s">
        <v>33259</v>
      </c>
      <c r="U9742" t="s">
        <v>41628</v>
      </c>
      <c r="V9742" t="s">
        <v>43522</v>
      </c>
      <c r="W9742" t="s">
        <v>43766</v>
      </c>
      <c r="X9742" t="s">
        <v>32539</v>
      </c>
    </row>
    <row r="9743" spans="1:24">
      <c r="A9743">
        <f>HYPERLINK("https://www.philgeps.gov.ph/GEPSNONPILOT/Tender/SplashBidNoticeAbstractUI.aspx?menuIndex=3&amp;refID=7026846&amp;Result=3","7026846")</f>
        <v>0</v>
      </c>
      <c r="B9743" t="s">
        <v>2544</v>
      </c>
      <c r="C9743" t="s">
        <v>12004</v>
      </c>
      <c r="D9743" t="s">
        <v>12990</v>
      </c>
      <c r="E9743" t="s">
        <v>21410</v>
      </c>
      <c r="F9743" t="s">
        <v>22436</v>
      </c>
      <c r="G9743" t="s">
        <v>22444</v>
      </c>
      <c r="H9743" t="s">
        <v>22452</v>
      </c>
      <c r="I9743" t="s">
        <v>22469</v>
      </c>
      <c r="J9743" t="s">
        <v>26913</v>
      </c>
      <c r="K9743" t="s">
        <v>29335</v>
      </c>
      <c r="M9743" t="s">
        <v>32355</v>
      </c>
      <c r="N9743" t="s">
        <v>32524</v>
      </c>
      <c r="O9743" t="s">
        <v>32525</v>
      </c>
      <c r="P9743">
        <v>0</v>
      </c>
      <c r="Q9743">
        <v>0</v>
      </c>
      <c r="R9743" t="s">
        <v>32538</v>
      </c>
      <c r="S9743" t="s">
        <v>32872</v>
      </c>
      <c r="T9743" t="s">
        <v>33593</v>
      </c>
      <c r="U9743" t="s">
        <v>41515</v>
      </c>
      <c r="V9743" t="s">
        <v>43523</v>
      </c>
      <c r="W9743" t="s">
        <v>32355</v>
      </c>
      <c r="X9743" t="s">
        <v>32539</v>
      </c>
    </row>
    <row r="9744" spans="1:24">
      <c r="A9744">
        <f>HYPERLINK("https://www.philgeps.gov.ph/GEPSNONPILOT/Tender/SplashBidNoticeAbstractUI.aspx?menuIndex=3&amp;refID=7026866&amp;Result=3","7026866")</f>
        <v>0</v>
      </c>
      <c r="B9744" t="s">
        <v>2544</v>
      </c>
      <c r="C9744" t="s">
        <v>12005</v>
      </c>
      <c r="D9744" t="s">
        <v>12990</v>
      </c>
      <c r="E9744" t="s">
        <v>21410</v>
      </c>
      <c r="F9744" t="s">
        <v>22436</v>
      </c>
      <c r="G9744" t="s">
        <v>22444</v>
      </c>
      <c r="H9744" t="s">
        <v>22452</v>
      </c>
      <c r="I9744" t="s">
        <v>3529</v>
      </c>
      <c r="J9744" t="s">
        <v>28765</v>
      </c>
      <c r="K9744" t="s">
        <v>29335</v>
      </c>
      <c r="M9744" t="s">
        <v>32355</v>
      </c>
      <c r="N9744" t="s">
        <v>32524</v>
      </c>
      <c r="O9744" t="s">
        <v>32525</v>
      </c>
      <c r="P9744">
        <v>0</v>
      </c>
      <c r="Q9744">
        <v>0</v>
      </c>
      <c r="R9744" t="s">
        <v>32538</v>
      </c>
      <c r="S9744" t="s">
        <v>32872</v>
      </c>
      <c r="T9744" t="s">
        <v>33593</v>
      </c>
      <c r="U9744" t="s">
        <v>41515</v>
      </c>
      <c r="V9744" t="s">
        <v>43524</v>
      </c>
      <c r="W9744" t="s">
        <v>32355</v>
      </c>
      <c r="X9744" t="s">
        <v>32539</v>
      </c>
    </row>
    <row r="9745" spans="1:24">
      <c r="A9745">
        <f>HYPERLINK("https://www.philgeps.gov.ph/GEPSNONPILOT/Tender/SplashBidNoticeAbstractUI.aspx?menuIndex=3&amp;refID=7026865&amp;Result=3","7026865")</f>
        <v>0</v>
      </c>
      <c r="B9745" t="s">
        <v>684</v>
      </c>
      <c r="C9745" t="s">
        <v>12006</v>
      </c>
      <c r="D9745" t="s">
        <v>13010</v>
      </c>
      <c r="E9745" t="s">
        <v>21563</v>
      </c>
      <c r="F9745" t="s">
        <v>22436</v>
      </c>
      <c r="G9745" t="s">
        <v>22444</v>
      </c>
      <c r="H9745" t="s">
        <v>22454</v>
      </c>
      <c r="I9745" t="s">
        <v>7738</v>
      </c>
      <c r="J9745" t="s">
        <v>25071</v>
      </c>
      <c r="K9745" t="s">
        <v>29572</v>
      </c>
      <c r="M9745" t="s">
        <v>32386</v>
      </c>
      <c r="N9745" t="s">
        <v>32524</v>
      </c>
      <c r="O9745" t="s">
        <v>32525</v>
      </c>
      <c r="Q9745">
        <v>4</v>
      </c>
      <c r="R9745" t="s">
        <v>32538</v>
      </c>
      <c r="S9745" t="s">
        <v>32976</v>
      </c>
      <c r="T9745" t="s">
        <v>33181</v>
      </c>
      <c r="U9745" t="s">
        <v>41654</v>
      </c>
      <c r="W9745" t="s">
        <v>32386</v>
      </c>
      <c r="X9745" t="s">
        <v>32539</v>
      </c>
    </row>
    <row r="9746" spans="1:24">
      <c r="A9746">
        <f>HYPERLINK("https://www.philgeps.gov.ph/GEPSNONPILOT/Tender/SplashBidNoticeAbstractUI.aspx?menuIndex=3&amp;refID=7026840&amp;Result=3","7026840")</f>
        <v>0</v>
      </c>
      <c r="B9746" t="s">
        <v>1089</v>
      </c>
      <c r="C9746" t="s">
        <v>12007</v>
      </c>
      <c r="D9746" t="s">
        <v>12996</v>
      </c>
      <c r="E9746" t="s">
        <v>21564</v>
      </c>
      <c r="F9746" t="s">
        <v>22436</v>
      </c>
      <c r="G9746" t="s">
        <v>22444</v>
      </c>
      <c r="H9746" t="s">
        <v>22454</v>
      </c>
      <c r="I9746" t="s">
        <v>7738</v>
      </c>
      <c r="J9746" t="s">
        <v>28766</v>
      </c>
      <c r="K9746" t="s">
        <v>29344</v>
      </c>
      <c r="M9746" t="s">
        <v>30725</v>
      </c>
      <c r="N9746" t="s">
        <v>32524</v>
      </c>
      <c r="O9746" t="s">
        <v>32525</v>
      </c>
      <c r="P9746">
        <v>0</v>
      </c>
      <c r="Q9746">
        <v>1</v>
      </c>
      <c r="R9746" t="s">
        <v>32538</v>
      </c>
      <c r="S9746" t="s">
        <v>32872</v>
      </c>
      <c r="T9746" t="s">
        <v>33228</v>
      </c>
      <c r="U9746" t="s">
        <v>41655</v>
      </c>
      <c r="W9746" t="s">
        <v>30725</v>
      </c>
      <c r="X9746" t="s">
        <v>32539</v>
      </c>
    </row>
    <row r="9747" spans="1:24">
      <c r="A9747">
        <f>HYPERLINK("https://www.philgeps.gov.ph/GEPSNONPILOT/Tender/SplashBidNoticeAbstractUI.aspx?menuIndex=3&amp;refID=7026833&amp;Result=3","7026833")</f>
        <v>0</v>
      </c>
      <c r="B9747" t="s">
        <v>1730</v>
      </c>
      <c r="C9747" t="s">
        <v>12008</v>
      </c>
      <c r="D9747" t="s">
        <v>13022</v>
      </c>
      <c r="E9747" t="s">
        <v>21565</v>
      </c>
      <c r="F9747" t="s">
        <v>22436</v>
      </c>
      <c r="G9747" t="s">
        <v>22444</v>
      </c>
      <c r="H9747" t="s">
        <v>22454</v>
      </c>
      <c r="I9747" t="s">
        <v>7738</v>
      </c>
      <c r="J9747" t="s">
        <v>24130</v>
      </c>
      <c r="K9747" t="s">
        <v>29573</v>
      </c>
      <c r="M9747" t="s">
        <v>31435</v>
      </c>
      <c r="N9747" t="s">
        <v>32524</v>
      </c>
      <c r="O9747" t="s">
        <v>32525</v>
      </c>
      <c r="P9747">
        <v>0</v>
      </c>
      <c r="Q9747">
        <v>5</v>
      </c>
      <c r="R9747" t="s">
        <v>32538</v>
      </c>
      <c r="S9747" t="s">
        <v>32872</v>
      </c>
      <c r="T9747" t="s">
        <v>33168</v>
      </c>
      <c r="U9747" t="s">
        <v>41656</v>
      </c>
      <c r="V9747" t="s">
        <v>43525</v>
      </c>
      <c r="W9747" t="s">
        <v>31435</v>
      </c>
      <c r="X9747" t="s">
        <v>32539</v>
      </c>
    </row>
    <row r="9748" spans="1:24">
      <c r="A9748">
        <f>HYPERLINK("https://www.philgeps.gov.ph/GEPSNONPILOT/Tender/SplashBidNoticeAbstractUI.aspx?menuIndex=3&amp;refID=7026869&amp;Result=3","7026869")</f>
        <v>0</v>
      </c>
      <c r="B9748" t="s">
        <v>684</v>
      </c>
      <c r="C9748" t="s">
        <v>12009</v>
      </c>
      <c r="D9748" t="s">
        <v>13010</v>
      </c>
      <c r="E9748" t="s">
        <v>21566</v>
      </c>
      <c r="F9748" t="s">
        <v>22436</v>
      </c>
      <c r="G9748" t="s">
        <v>22444</v>
      </c>
      <c r="H9748" t="s">
        <v>22454</v>
      </c>
      <c r="I9748" t="s">
        <v>7738</v>
      </c>
      <c r="J9748" t="s">
        <v>28594</v>
      </c>
      <c r="K9748" t="s">
        <v>29471</v>
      </c>
      <c r="M9748" t="s">
        <v>32386</v>
      </c>
      <c r="N9748" t="s">
        <v>32524</v>
      </c>
      <c r="O9748" t="s">
        <v>32525</v>
      </c>
      <c r="Q9748">
        <v>1</v>
      </c>
      <c r="R9748" t="s">
        <v>32538</v>
      </c>
      <c r="S9748" t="s">
        <v>32977</v>
      </c>
      <c r="T9748" t="s">
        <v>33181</v>
      </c>
      <c r="U9748" t="s">
        <v>41654</v>
      </c>
      <c r="W9748" t="s">
        <v>32386</v>
      </c>
      <c r="X9748" t="s">
        <v>32539</v>
      </c>
    </row>
    <row r="9749" spans="1:24">
      <c r="A9749">
        <f>HYPERLINK("https://www.philgeps.gov.ph/GEPSNONPILOT/Tender/SplashBidNoticeAbstractUI.aspx?menuIndex=3&amp;refID=7026861&amp;Result=3","7026861")</f>
        <v>0</v>
      </c>
      <c r="B9749" t="s">
        <v>684</v>
      </c>
      <c r="C9749" t="s">
        <v>12010</v>
      </c>
      <c r="D9749" t="s">
        <v>13010</v>
      </c>
      <c r="E9749" t="s">
        <v>21567</v>
      </c>
      <c r="F9749" t="s">
        <v>22436</v>
      </c>
      <c r="G9749" t="s">
        <v>22444</v>
      </c>
      <c r="H9749" t="s">
        <v>22454</v>
      </c>
      <c r="I9749" t="s">
        <v>7738</v>
      </c>
      <c r="J9749" t="s">
        <v>28767</v>
      </c>
      <c r="K9749" t="s">
        <v>29574</v>
      </c>
      <c r="M9749" t="s">
        <v>32386</v>
      </c>
      <c r="N9749" t="s">
        <v>32524</v>
      </c>
      <c r="O9749" t="s">
        <v>32525</v>
      </c>
      <c r="Q9749">
        <v>2</v>
      </c>
      <c r="R9749" t="s">
        <v>32538</v>
      </c>
      <c r="S9749" t="s">
        <v>32978</v>
      </c>
      <c r="T9749" t="s">
        <v>33181</v>
      </c>
      <c r="U9749" t="s">
        <v>41654</v>
      </c>
      <c r="W9749" t="s">
        <v>32386</v>
      </c>
      <c r="X9749" t="s">
        <v>32539</v>
      </c>
    </row>
    <row r="9750" spans="1:24">
      <c r="A9750">
        <f>HYPERLINK("https://www.philgeps.gov.ph/GEPSNONPILOT/Tender/SplashBidNoticeAbstractUI.aspx?menuIndex=3&amp;refID=7026830&amp;Result=3","7026830")</f>
        <v>0</v>
      </c>
      <c r="B9750" t="s">
        <v>1089</v>
      </c>
      <c r="C9750" t="s">
        <v>12011</v>
      </c>
      <c r="D9750" t="s">
        <v>12996</v>
      </c>
      <c r="E9750" t="s">
        <v>21568</v>
      </c>
      <c r="F9750" t="s">
        <v>22436</v>
      </c>
      <c r="G9750" t="s">
        <v>22444</v>
      </c>
      <c r="H9750" t="s">
        <v>22452</v>
      </c>
      <c r="I9750" t="s">
        <v>22460</v>
      </c>
      <c r="J9750" t="s">
        <v>28768</v>
      </c>
      <c r="K9750" t="s">
        <v>29330</v>
      </c>
      <c r="M9750" t="s">
        <v>30725</v>
      </c>
      <c r="N9750" t="s">
        <v>32524</v>
      </c>
      <c r="O9750" t="s">
        <v>32525</v>
      </c>
      <c r="P9750">
        <v>0</v>
      </c>
      <c r="Q9750">
        <v>6</v>
      </c>
      <c r="R9750" t="s">
        <v>32538</v>
      </c>
      <c r="S9750" t="s">
        <v>32872</v>
      </c>
      <c r="T9750" t="s">
        <v>33228</v>
      </c>
      <c r="U9750" t="s">
        <v>41657</v>
      </c>
      <c r="W9750" t="s">
        <v>30725</v>
      </c>
      <c r="X9750" t="s">
        <v>32539</v>
      </c>
    </row>
    <row r="9751" spans="1:24">
      <c r="A9751">
        <f>HYPERLINK("https://www.philgeps.gov.ph/GEPSNONPILOT/Tender/SplashBidNoticeAbstractUI.aspx?menuIndex=3&amp;refID=7026855&amp;Result=3","7026855")</f>
        <v>0</v>
      </c>
      <c r="B9751" t="s">
        <v>2567</v>
      </c>
      <c r="C9751" t="s">
        <v>12012</v>
      </c>
      <c r="D9751" t="s">
        <v>13031</v>
      </c>
      <c r="E9751" t="s">
        <v>20173</v>
      </c>
      <c r="F9751" t="s">
        <v>22436</v>
      </c>
      <c r="G9751" t="s">
        <v>22444</v>
      </c>
      <c r="H9751" t="s">
        <v>22452</v>
      </c>
      <c r="I9751" t="s">
        <v>3381</v>
      </c>
      <c r="J9751" t="s">
        <v>23093</v>
      </c>
      <c r="K9751" t="s">
        <v>29335</v>
      </c>
      <c r="M9751" t="s">
        <v>32387</v>
      </c>
      <c r="N9751" t="s">
        <v>32524</v>
      </c>
      <c r="O9751" t="s">
        <v>32525</v>
      </c>
      <c r="Q9751">
        <v>4</v>
      </c>
      <c r="R9751" t="s">
        <v>32538</v>
      </c>
      <c r="S9751" t="s">
        <v>32979</v>
      </c>
      <c r="T9751" t="s">
        <v>33218</v>
      </c>
      <c r="U9751" t="s">
        <v>41658</v>
      </c>
      <c r="W9751" t="s">
        <v>32387</v>
      </c>
      <c r="X9751" t="s">
        <v>32539</v>
      </c>
    </row>
    <row r="9752" spans="1:24">
      <c r="A9752">
        <f>HYPERLINK("https://www.philgeps.gov.ph/GEPSNONPILOT/Tender/SplashBidNoticeAbstractUI.aspx?menuIndex=3&amp;refID=7026862&amp;Result=3","7026862")</f>
        <v>0</v>
      </c>
      <c r="B9752" t="s">
        <v>1021</v>
      </c>
      <c r="C9752" t="s">
        <v>12013</v>
      </c>
      <c r="D9752" t="s">
        <v>13020</v>
      </c>
      <c r="E9752" t="s">
        <v>21569</v>
      </c>
      <c r="F9752" t="s">
        <v>22436</v>
      </c>
      <c r="G9752" t="s">
        <v>22444</v>
      </c>
      <c r="H9752" t="s">
        <v>22454</v>
      </c>
      <c r="I9752" t="s">
        <v>7738</v>
      </c>
      <c r="J9752" t="s">
        <v>23786</v>
      </c>
      <c r="K9752" t="s">
        <v>29333</v>
      </c>
      <c r="M9752" t="s">
        <v>32377</v>
      </c>
      <c r="N9752" t="s">
        <v>32524</v>
      </c>
      <c r="O9752" t="s">
        <v>32525</v>
      </c>
      <c r="Q9752">
        <v>105</v>
      </c>
      <c r="R9752" t="s">
        <v>32538</v>
      </c>
      <c r="S9752" t="s">
        <v>32980</v>
      </c>
      <c r="T9752" t="s">
        <v>33259</v>
      </c>
      <c r="U9752" t="s">
        <v>41628</v>
      </c>
      <c r="V9752" t="s">
        <v>43526</v>
      </c>
      <c r="W9752" t="s">
        <v>43766</v>
      </c>
      <c r="X9752" t="s">
        <v>32539</v>
      </c>
    </row>
    <row r="9753" spans="1:24">
      <c r="A9753">
        <f>HYPERLINK("https://www.philgeps.gov.ph/GEPSNONPILOT/Tender/SplashBidNoticeAbstractUI.aspx?menuIndex=3&amp;refID=7026831&amp;Result=3","7026831")</f>
        <v>0</v>
      </c>
      <c r="B9753" t="s">
        <v>1736</v>
      </c>
      <c r="C9753" t="s">
        <v>12014</v>
      </c>
      <c r="D9753" t="s">
        <v>12990</v>
      </c>
      <c r="E9753" t="s">
        <v>21570</v>
      </c>
      <c r="F9753" t="s">
        <v>22436</v>
      </c>
      <c r="G9753" t="s">
        <v>22444</v>
      </c>
      <c r="H9753" t="s">
        <v>22452</v>
      </c>
      <c r="I9753" t="s">
        <v>3529</v>
      </c>
      <c r="J9753" t="s">
        <v>28769</v>
      </c>
      <c r="K9753" t="s">
        <v>29335</v>
      </c>
      <c r="L9753" t="s">
        <v>1736</v>
      </c>
      <c r="M9753" t="s">
        <v>32385</v>
      </c>
      <c r="N9753" t="s">
        <v>32524</v>
      </c>
      <c r="O9753" t="s">
        <v>32525</v>
      </c>
      <c r="P9753">
        <v>0</v>
      </c>
      <c r="Q9753">
        <v>0</v>
      </c>
      <c r="R9753" t="s">
        <v>32538</v>
      </c>
      <c r="S9753" t="s">
        <v>32872</v>
      </c>
      <c r="T9753" t="s">
        <v>33181</v>
      </c>
      <c r="U9753" t="s">
        <v>41653</v>
      </c>
      <c r="V9753" t="s">
        <v>43527</v>
      </c>
      <c r="W9753" t="s">
        <v>32385</v>
      </c>
      <c r="X9753" t="s">
        <v>32539</v>
      </c>
    </row>
    <row r="9754" spans="1:24">
      <c r="A9754">
        <f>HYPERLINK("https://www.philgeps.gov.ph/GEPSNONPILOT/Tender/SplashBidNoticeAbstractUI.aspx?menuIndex=3&amp;refID=7026856&amp;Result=3","7026856")</f>
        <v>0</v>
      </c>
      <c r="B9754" t="s">
        <v>1021</v>
      </c>
      <c r="C9754" t="s">
        <v>12015</v>
      </c>
      <c r="D9754" t="s">
        <v>13020</v>
      </c>
      <c r="E9754" t="s">
        <v>21571</v>
      </c>
      <c r="F9754" t="s">
        <v>22436</v>
      </c>
      <c r="G9754" t="s">
        <v>22444</v>
      </c>
      <c r="H9754" t="s">
        <v>22454</v>
      </c>
      <c r="I9754" t="s">
        <v>7738</v>
      </c>
      <c r="J9754" t="s">
        <v>22960</v>
      </c>
      <c r="K9754" t="s">
        <v>29344</v>
      </c>
      <c r="M9754" t="s">
        <v>32377</v>
      </c>
      <c r="N9754" t="s">
        <v>32524</v>
      </c>
      <c r="O9754" t="s">
        <v>32525</v>
      </c>
      <c r="Q9754">
        <v>112</v>
      </c>
      <c r="R9754" t="s">
        <v>32538</v>
      </c>
      <c r="S9754" t="s">
        <v>32981</v>
      </c>
      <c r="T9754" t="s">
        <v>33259</v>
      </c>
      <c r="U9754" t="s">
        <v>41628</v>
      </c>
      <c r="V9754" t="s">
        <v>43509</v>
      </c>
      <c r="W9754" t="s">
        <v>43766</v>
      </c>
      <c r="X9754" t="s">
        <v>32539</v>
      </c>
    </row>
    <row r="9755" spans="1:24">
      <c r="A9755">
        <f>HYPERLINK("https://www.philgeps.gov.ph/GEPSNONPILOT/Tender/SplashBidNoticeAbstractUI.aspx?menuIndex=3&amp;refID=7026863&amp;Result=3","7026863")</f>
        <v>0</v>
      </c>
      <c r="B9755" t="s">
        <v>2544</v>
      </c>
      <c r="C9755" t="s">
        <v>12016</v>
      </c>
      <c r="D9755" t="s">
        <v>12990</v>
      </c>
      <c r="E9755" t="s">
        <v>21410</v>
      </c>
      <c r="F9755" t="s">
        <v>22436</v>
      </c>
      <c r="G9755" t="s">
        <v>22444</v>
      </c>
      <c r="H9755" t="s">
        <v>22452</v>
      </c>
      <c r="I9755" t="s">
        <v>12358</v>
      </c>
      <c r="J9755" t="s">
        <v>28770</v>
      </c>
      <c r="K9755" t="s">
        <v>29335</v>
      </c>
      <c r="M9755" t="s">
        <v>32355</v>
      </c>
      <c r="N9755" t="s">
        <v>32524</v>
      </c>
      <c r="O9755" t="s">
        <v>32525</v>
      </c>
      <c r="P9755">
        <v>0</v>
      </c>
      <c r="Q9755">
        <v>0</v>
      </c>
      <c r="R9755" t="s">
        <v>32538</v>
      </c>
      <c r="S9755" t="s">
        <v>32872</v>
      </c>
      <c r="T9755" t="s">
        <v>33593</v>
      </c>
      <c r="U9755" t="s">
        <v>41515</v>
      </c>
      <c r="V9755" t="s">
        <v>43528</v>
      </c>
      <c r="W9755" t="s">
        <v>32355</v>
      </c>
      <c r="X9755" t="s">
        <v>32539</v>
      </c>
    </row>
    <row r="9756" spans="1:24">
      <c r="A9756">
        <f>HYPERLINK("https://www.philgeps.gov.ph/GEPSNONPILOT/Tender/SplashBidNoticeAbstractUI.aspx?menuIndex=3&amp;refID=7026872&amp;Result=3","7026872")</f>
        <v>0</v>
      </c>
      <c r="B9756" t="s">
        <v>2544</v>
      </c>
      <c r="C9756" t="s">
        <v>12017</v>
      </c>
      <c r="D9756" t="s">
        <v>12990</v>
      </c>
      <c r="E9756" t="s">
        <v>21410</v>
      </c>
      <c r="F9756" t="s">
        <v>22436</v>
      </c>
      <c r="G9756" t="s">
        <v>22444</v>
      </c>
      <c r="H9756" t="s">
        <v>22452</v>
      </c>
      <c r="I9756" t="s">
        <v>3529</v>
      </c>
      <c r="J9756" t="s">
        <v>28771</v>
      </c>
      <c r="K9756" t="s">
        <v>29335</v>
      </c>
      <c r="M9756" t="s">
        <v>32355</v>
      </c>
      <c r="N9756" t="s">
        <v>32524</v>
      </c>
      <c r="O9756" t="s">
        <v>32525</v>
      </c>
      <c r="P9756">
        <v>0</v>
      </c>
      <c r="Q9756">
        <v>3</v>
      </c>
      <c r="R9756" t="s">
        <v>32538</v>
      </c>
      <c r="S9756" t="s">
        <v>32872</v>
      </c>
      <c r="T9756" t="s">
        <v>33593</v>
      </c>
      <c r="U9756" t="s">
        <v>41515</v>
      </c>
      <c r="V9756" t="s">
        <v>43529</v>
      </c>
      <c r="W9756" t="s">
        <v>32355</v>
      </c>
      <c r="X9756" t="s">
        <v>32539</v>
      </c>
    </row>
    <row r="9757" spans="1:24">
      <c r="A9757">
        <f>HYPERLINK("https://www.philgeps.gov.ph/GEPSNONPILOT/Tender/SplashBidNoticeAbstractUI.aspx?menuIndex=3&amp;refID=7026897&amp;Result=3","7026897")</f>
        <v>0</v>
      </c>
      <c r="B9757" t="s">
        <v>2544</v>
      </c>
      <c r="C9757" t="s">
        <v>12018</v>
      </c>
      <c r="D9757" t="s">
        <v>12990</v>
      </c>
      <c r="E9757" t="s">
        <v>21410</v>
      </c>
      <c r="F9757" t="s">
        <v>22436</v>
      </c>
      <c r="G9757" t="s">
        <v>22444</v>
      </c>
      <c r="H9757" t="s">
        <v>22452</v>
      </c>
      <c r="I9757" t="s">
        <v>12358</v>
      </c>
      <c r="J9757" t="s">
        <v>28772</v>
      </c>
      <c r="K9757" t="s">
        <v>29335</v>
      </c>
      <c r="M9757" t="s">
        <v>32355</v>
      </c>
      <c r="N9757" t="s">
        <v>32524</v>
      </c>
      <c r="O9757" t="s">
        <v>32525</v>
      </c>
      <c r="P9757">
        <v>0</v>
      </c>
      <c r="Q9757">
        <v>0</v>
      </c>
      <c r="R9757" t="s">
        <v>32538</v>
      </c>
      <c r="S9757" t="s">
        <v>32872</v>
      </c>
      <c r="T9757" t="s">
        <v>33593</v>
      </c>
      <c r="U9757" t="s">
        <v>41515</v>
      </c>
      <c r="V9757" t="s">
        <v>43530</v>
      </c>
      <c r="W9757" t="s">
        <v>32355</v>
      </c>
      <c r="X9757" t="s">
        <v>32539</v>
      </c>
    </row>
    <row r="9758" spans="1:24">
      <c r="A9758">
        <f>HYPERLINK("https://www.philgeps.gov.ph/GEPSNONPILOT/Tender/SplashBidNoticeAbstractUI.aspx?menuIndex=3&amp;refID=7026858&amp;Result=3","7026858")</f>
        <v>0</v>
      </c>
      <c r="B9758" t="s">
        <v>2544</v>
      </c>
      <c r="C9758" t="s">
        <v>12019</v>
      </c>
      <c r="D9758" t="s">
        <v>12990</v>
      </c>
      <c r="E9758" t="s">
        <v>21410</v>
      </c>
      <c r="F9758" t="s">
        <v>22436</v>
      </c>
      <c r="G9758" t="s">
        <v>22444</v>
      </c>
      <c r="H9758" t="s">
        <v>22452</v>
      </c>
      <c r="I9758" t="s">
        <v>22460</v>
      </c>
      <c r="J9758" t="s">
        <v>28773</v>
      </c>
      <c r="K9758" t="s">
        <v>29335</v>
      </c>
      <c r="M9758" t="s">
        <v>32355</v>
      </c>
      <c r="N9758" t="s">
        <v>32524</v>
      </c>
      <c r="O9758" t="s">
        <v>32525</v>
      </c>
      <c r="P9758">
        <v>0</v>
      </c>
      <c r="Q9758">
        <v>0</v>
      </c>
      <c r="R9758" t="s">
        <v>32538</v>
      </c>
      <c r="S9758" t="s">
        <v>32872</v>
      </c>
      <c r="T9758" t="s">
        <v>33593</v>
      </c>
      <c r="U9758" t="s">
        <v>41515</v>
      </c>
      <c r="V9758" t="s">
        <v>43531</v>
      </c>
      <c r="W9758" t="s">
        <v>32355</v>
      </c>
      <c r="X9758" t="s">
        <v>32539</v>
      </c>
    </row>
    <row r="9759" spans="1:24">
      <c r="A9759">
        <f>HYPERLINK("https://www.philgeps.gov.ph/GEPSNONPILOT/Tender/SplashBidNoticeAbstractUI.aspx?menuIndex=3&amp;refID=7026893&amp;Result=3","7026893")</f>
        <v>0</v>
      </c>
      <c r="B9759" t="s">
        <v>430</v>
      </c>
      <c r="C9759" t="s">
        <v>12020</v>
      </c>
      <c r="D9759" t="s">
        <v>13027</v>
      </c>
      <c r="E9759" t="s">
        <v>21572</v>
      </c>
      <c r="F9759" t="s">
        <v>22438</v>
      </c>
      <c r="G9759" t="s">
        <v>22444</v>
      </c>
      <c r="H9759" t="s">
        <v>22454</v>
      </c>
      <c r="I9759" t="s">
        <v>7738</v>
      </c>
      <c r="J9759" t="s">
        <v>22605</v>
      </c>
      <c r="K9759" t="s">
        <v>29334</v>
      </c>
      <c r="M9759" t="s">
        <v>30011</v>
      </c>
      <c r="N9759" t="s">
        <v>32524</v>
      </c>
      <c r="O9759" t="s">
        <v>32525</v>
      </c>
      <c r="P9759">
        <v>0</v>
      </c>
      <c r="Q9759">
        <v>1</v>
      </c>
      <c r="R9759" t="s">
        <v>32538</v>
      </c>
      <c r="S9759" t="s">
        <v>32872</v>
      </c>
      <c r="T9759" t="s">
        <v>33175</v>
      </c>
      <c r="U9759" t="s">
        <v>41659</v>
      </c>
      <c r="W9759" t="s">
        <v>30011</v>
      </c>
      <c r="X9759" t="s">
        <v>32539</v>
      </c>
    </row>
    <row r="9760" spans="1:24">
      <c r="A9760">
        <f>HYPERLINK("https://www.philgeps.gov.ph/GEPSNONPILOT/Tender/SplashBidNoticeAbstractUI.aspx?menuIndex=3&amp;refID=7026896&amp;Result=3","7026896")</f>
        <v>0</v>
      </c>
      <c r="B9760" t="s">
        <v>2568</v>
      </c>
      <c r="C9760" t="s">
        <v>12021</v>
      </c>
      <c r="D9760" t="s">
        <v>13022</v>
      </c>
      <c r="E9760" t="s">
        <v>21573</v>
      </c>
      <c r="F9760" t="s">
        <v>22436</v>
      </c>
      <c r="G9760" t="s">
        <v>22444</v>
      </c>
      <c r="H9760" t="s">
        <v>22452</v>
      </c>
      <c r="I9760" t="s">
        <v>3827</v>
      </c>
      <c r="J9760" t="s">
        <v>22785</v>
      </c>
      <c r="K9760" t="s">
        <v>29341</v>
      </c>
      <c r="M9760" t="s">
        <v>32388</v>
      </c>
      <c r="N9760" t="s">
        <v>32524</v>
      </c>
      <c r="O9760" t="s">
        <v>32525</v>
      </c>
      <c r="P9760">
        <v>0</v>
      </c>
      <c r="Q9760">
        <v>6</v>
      </c>
      <c r="R9760" t="s">
        <v>32538</v>
      </c>
      <c r="S9760" t="s">
        <v>32872</v>
      </c>
      <c r="T9760" t="s">
        <v>33593</v>
      </c>
      <c r="U9760" t="s">
        <v>41660</v>
      </c>
      <c r="W9760" t="s">
        <v>32388</v>
      </c>
      <c r="X9760" t="s">
        <v>32539</v>
      </c>
    </row>
    <row r="9761" spans="1:24">
      <c r="A9761">
        <f>HYPERLINK("https://www.philgeps.gov.ph/GEPSNONPILOT/Tender/SplashBidNoticeAbstractUI.aspx?menuIndex=3&amp;refID=7026888&amp;Result=3","7026888")</f>
        <v>0</v>
      </c>
      <c r="B9761" t="s">
        <v>2544</v>
      </c>
      <c r="C9761" t="s">
        <v>12022</v>
      </c>
      <c r="D9761" t="s">
        <v>12990</v>
      </c>
      <c r="E9761" t="s">
        <v>21410</v>
      </c>
      <c r="F9761" t="s">
        <v>22436</v>
      </c>
      <c r="G9761" t="s">
        <v>22444</v>
      </c>
      <c r="H9761" t="s">
        <v>22452</v>
      </c>
      <c r="I9761" t="s">
        <v>3529</v>
      </c>
      <c r="J9761" t="s">
        <v>28774</v>
      </c>
      <c r="K9761" t="s">
        <v>29335</v>
      </c>
      <c r="M9761" t="s">
        <v>32355</v>
      </c>
      <c r="N9761" t="s">
        <v>32524</v>
      </c>
      <c r="O9761" t="s">
        <v>32525</v>
      </c>
      <c r="P9761">
        <v>0</v>
      </c>
      <c r="Q9761">
        <v>0</v>
      </c>
      <c r="R9761" t="s">
        <v>32538</v>
      </c>
      <c r="S9761" t="s">
        <v>32872</v>
      </c>
      <c r="T9761" t="s">
        <v>33593</v>
      </c>
      <c r="U9761" t="s">
        <v>41515</v>
      </c>
      <c r="V9761" t="s">
        <v>43532</v>
      </c>
      <c r="W9761" t="s">
        <v>32355</v>
      </c>
      <c r="X9761" t="s">
        <v>32539</v>
      </c>
    </row>
    <row r="9762" spans="1:24">
      <c r="A9762">
        <f>HYPERLINK("https://www.philgeps.gov.ph/GEPSNONPILOT/Tender/SplashBidNoticeAbstractUI.aspx?menuIndex=3&amp;refID=7026870&amp;Result=3","7026870")</f>
        <v>0</v>
      </c>
      <c r="B9762" t="s">
        <v>2544</v>
      </c>
      <c r="C9762" t="s">
        <v>12023</v>
      </c>
      <c r="D9762" t="s">
        <v>12990</v>
      </c>
      <c r="E9762" t="s">
        <v>21410</v>
      </c>
      <c r="F9762" t="s">
        <v>22436</v>
      </c>
      <c r="G9762" t="s">
        <v>22444</v>
      </c>
      <c r="H9762" t="s">
        <v>22452</v>
      </c>
      <c r="I9762" t="s">
        <v>22465</v>
      </c>
      <c r="J9762" t="s">
        <v>28775</v>
      </c>
      <c r="K9762" t="s">
        <v>29335</v>
      </c>
      <c r="M9762" t="s">
        <v>32355</v>
      </c>
      <c r="N9762" t="s">
        <v>32524</v>
      </c>
      <c r="O9762" t="s">
        <v>32525</v>
      </c>
      <c r="P9762">
        <v>0</v>
      </c>
      <c r="Q9762">
        <v>0</v>
      </c>
      <c r="R9762" t="s">
        <v>32538</v>
      </c>
      <c r="S9762" t="s">
        <v>32872</v>
      </c>
      <c r="T9762" t="s">
        <v>33593</v>
      </c>
      <c r="U9762" t="s">
        <v>41515</v>
      </c>
      <c r="V9762" t="s">
        <v>43533</v>
      </c>
      <c r="W9762" t="s">
        <v>32355</v>
      </c>
      <c r="X9762" t="s">
        <v>32539</v>
      </c>
    </row>
    <row r="9763" spans="1:24">
      <c r="A9763">
        <f>HYPERLINK("https://www.philgeps.gov.ph/GEPSNONPILOT/Tender/SplashBidNoticeAbstractUI.aspx?menuIndex=3&amp;refID=7026886&amp;Result=3","7026886")</f>
        <v>0</v>
      </c>
      <c r="B9763" t="s">
        <v>430</v>
      </c>
      <c r="C9763" t="s">
        <v>12024</v>
      </c>
      <c r="D9763" t="s">
        <v>13027</v>
      </c>
      <c r="E9763" t="s">
        <v>21574</v>
      </c>
      <c r="F9763" t="s">
        <v>22438</v>
      </c>
      <c r="G9763" t="s">
        <v>22444</v>
      </c>
      <c r="H9763" t="s">
        <v>22454</v>
      </c>
      <c r="I9763" t="s">
        <v>7738</v>
      </c>
      <c r="J9763" t="s">
        <v>28776</v>
      </c>
      <c r="K9763" t="s">
        <v>29354</v>
      </c>
      <c r="M9763" t="s">
        <v>30011</v>
      </c>
      <c r="N9763" t="s">
        <v>32524</v>
      </c>
      <c r="O9763" t="s">
        <v>32525</v>
      </c>
      <c r="P9763">
        <v>0</v>
      </c>
      <c r="Q9763">
        <v>1</v>
      </c>
      <c r="R9763" t="s">
        <v>32538</v>
      </c>
      <c r="S9763" t="s">
        <v>32872</v>
      </c>
      <c r="T9763" t="s">
        <v>33175</v>
      </c>
      <c r="U9763" t="s">
        <v>41661</v>
      </c>
      <c r="W9763" t="s">
        <v>30011</v>
      </c>
      <c r="X9763" t="s">
        <v>32539</v>
      </c>
    </row>
    <row r="9764" spans="1:24">
      <c r="A9764">
        <f>HYPERLINK("https://www.philgeps.gov.ph/GEPSNONPILOT/Tender/SplashBidNoticeAbstractUI.aspx?menuIndex=3&amp;refID=7026895&amp;Result=3","7026895")</f>
        <v>0</v>
      </c>
      <c r="B9764" t="s">
        <v>1021</v>
      </c>
      <c r="C9764" t="s">
        <v>12025</v>
      </c>
      <c r="D9764" t="s">
        <v>13020</v>
      </c>
      <c r="E9764" t="s">
        <v>21575</v>
      </c>
      <c r="F9764" t="s">
        <v>22436</v>
      </c>
      <c r="G9764" t="s">
        <v>22444</v>
      </c>
      <c r="H9764" t="s">
        <v>22454</v>
      </c>
      <c r="I9764" t="s">
        <v>7738</v>
      </c>
      <c r="J9764" t="s">
        <v>23316</v>
      </c>
      <c r="K9764" t="s">
        <v>29345</v>
      </c>
      <c r="M9764" t="s">
        <v>32377</v>
      </c>
      <c r="N9764" t="s">
        <v>32524</v>
      </c>
      <c r="O9764" t="s">
        <v>32525</v>
      </c>
      <c r="Q9764">
        <v>104</v>
      </c>
      <c r="R9764" t="s">
        <v>32538</v>
      </c>
      <c r="S9764" t="s">
        <v>32982</v>
      </c>
      <c r="T9764" t="s">
        <v>33259</v>
      </c>
      <c r="U9764" t="s">
        <v>41628</v>
      </c>
      <c r="V9764" t="s">
        <v>43534</v>
      </c>
      <c r="W9764" t="s">
        <v>43766</v>
      </c>
      <c r="X9764" t="s">
        <v>32539</v>
      </c>
    </row>
    <row r="9765" spans="1:24">
      <c r="A9765">
        <f>HYPERLINK("https://www.philgeps.gov.ph/GEPSNONPILOT/Tender/SplashBidNoticeAbstractUI.aspx?menuIndex=3&amp;refID=7026860&amp;Result=3","7026860")</f>
        <v>0</v>
      </c>
      <c r="B9765" t="s">
        <v>2544</v>
      </c>
      <c r="C9765" t="s">
        <v>12026</v>
      </c>
      <c r="D9765" t="s">
        <v>12990</v>
      </c>
      <c r="E9765" t="s">
        <v>21410</v>
      </c>
      <c r="F9765" t="s">
        <v>22436</v>
      </c>
      <c r="G9765" t="s">
        <v>22444</v>
      </c>
      <c r="H9765" t="s">
        <v>22452</v>
      </c>
      <c r="I9765" t="s">
        <v>22465</v>
      </c>
      <c r="J9765" t="s">
        <v>28777</v>
      </c>
      <c r="K9765" t="s">
        <v>29335</v>
      </c>
      <c r="M9765" t="s">
        <v>32355</v>
      </c>
      <c r="N9765" t="s">
        <v>32524</v>
      </c>
      <c r="O9765" t="s">
        <v>32525</v>
      </c>
      <c r="P9765">
        <v>0</v>
      </c>
      <c r="Q9765">
        <v>1</v>
      </c>
      <c r="R9765" t="s">
        <v>32538</v>
      </c>
      <c r="S9765" t="s">
        <v>32872</v>
      </c>
      <c r="T9765" t="s">
        <v>33593</v>
      </c>
      <c r="U9765" t="s">
        <v>41515</v>
      </c>
      <c r="V9765" t="s">
        <v>43535</v>
      </c>
      <c r="W9765" t="s">
        <v>32355</v>
      </c>
      <c r="X9765" t="s">
        <v>32539</v>
      </c>
    </row>
    <row r="9766" spans="1:24">
      <c r="A9766">
        <f>HYPERLINK("https://www.philgeps.gov.ph/GEPSNONPILOT/Tender/SplashBidNoticeAbstractUI.aspx?menuIndex=3&amp;refID=7026884&amp;Result=3","7026884")</f>
        <v>0</v>
      </c>
      <c r="B9766" t="s">
        <v>2142</v>
      </c>
      <c r="C9766" t="s">
        <v>12027</v>
      </c>
      <c r="D9766" t="s">
        <v>13029</v>
      </c>
      <c r="E9766" t="s">
        <v>21576</v>
      </c>
      <c r="F9766" t="s">
        <v>22436</v>
      </c>
      <c r="G9766" t="s">
        <v>22444</v>
      </c>
      <c r="H9766" t="s">
        <v>22454</v>
      </c>
      <c r="I9766" t="s">
        <v>7738</v>
      </c>
      <c r="J9766" t="s">
        <v>28778</v>
      </c>
      <c r="K9766" t="s">
        <v>29344</v>
      </c>
      <c r="M9766" t="s">
        <v>31894</v>
      </c>
      <c r="N9766" t="s">
        <v>32524</v>
      </c>
      <c r="O9766" t="s">
        <v>32525</v>
      </c>
      <c r="Q9766">
        <v>2</v>
      </c>
      <c r="R9766" t="s">
        <v>32538</v>
      </c>
      <c r="S9766" t="s">
        <v>32983</v>
      </c>
      <c r="T9766" t="s">
        <v>33181</v>
      </c>
      <c r="U9766" t="s">
        <v>41662</v>
      </c>
      <c r="V9766" t="s">
        <v>43536</v>
      </c>
      <c r="W9766" t="s">
        <v>43743</v>
      </c>
      <c r="X9766" t="s">
        <v>32539</v>
      </c>
    </row>
    <row r="9767" spans="1:24">
      <c r="A9767">
        <f>HYPERLINK("https://www.philgeps.gov.ph/GEPSNONPILOT/Tender/SplashBidNoticeAbstractUI.aspx?menuIndex=3&amp;refID=7026891&amp;Result=3","7026891")</f>
        <v>0</v>
      </c>
      <c r="B9767" t="s">
        <v>2544</v>
      </c>
      <c r="C9767" t="s">
        <v>12028</v>
      </c>
      <c r="D9767" t="s">
        <v>12990</v>
      </c>
      <c r="E9767" t="s">
        <v>21410</v>
      </c>
      <c r="F9767" t="s">
        <v>22436</v>
      </c>
      <c r="G9767" t="s">
        <v>22444</v>
      </c>
      <c r="H9767" t="s">
        <v>22452</v>
      </c>
      <c r="I9767" t="s">
        <v>3529</v>
      </c>
      <c r="J9767" t="s">
        <v>28779</v>
      </c>
      <c r="K9767" t="s">
        <v>29335</v>
      </c>
      <c r="M9767" t="s">
        <v>32355</v>
      </c>
      <c r="N9767" t="s">
        <v>32524</v>
      </c>
      <c r="O9767" t="s">
        <v>32525</v>
      </c>
      <c r="Q9767">
        <v>0</v>
      </c>
      <c r="R9767" t="s">
        <v>32538</v>
      </c>
      <c r="S9767" t="s">
        <v>32984</v>
      </c>
      <c r="T9767" t="s">
        <v>33593</v>
      </c>
      <c r="U9767" t="s">
        <v>41515</v>
      </c>
      <c r="V9767" t="s">
        <v>43537</v>
      </c>
      <c r="W9767" t="s">
        <v>32355</v>
      </c>
      <c r="X9767" t="s">
        <v>32539</v>
      </c>
    </row>
    <row r="9768" spans="1:24">
      <c r="A9768">
        <f>HYPERLINK("https://www.philgeps.gov.ph/GEPSNONPILOT/Tender/SplashBidNoticeAbstractUI.aspx?menuIndex=3&amp;refID=7026885&amp;Result=3","7026885")</f>
        <v>0</v>
      </c>
      <c r="B9768" t="s">
        <v>1021</v>
      </c>
      <c r="C9768" t="s">
        <v>12029</v>
      </c>
      <c r="D9768" t="s">
        <v>13020</v>
      </c>
      <c r="E9768" t="s">
        <v>21577</v>
      </c>
      <c r="F9768" t="s">
        <v>22436</v>
      </c>
      <c r="G9768" t="s">
        <v>22444</v>
      </c>
      <c r="H9768" t="s">
        <v>22454</v>
      </c>
      <c r="I9768" t="s">
        <v>7738</v>
      </c>
      <c r="J9768" t="s">
        <v>28780</v>
      </c>
      <c r="K9768" t="s">
        <v>29346</v>
      </c>
      <c r="M9768" t="s">
        <v>32377</v>
      </c>
      <c r="N9768" t="s">
        <v>32524</v>
      </c>
      <c r="O9768" t="s">
        <v>32525</v>
      </c>
      <c r="Q9768">
        <v>112</v>
      </c>
      <c r="R9768" t="s">
        <v>32538</v>
      </c>
      <c r="S9768" t="s">
        <v>32985</v>
      </c>
      <c r="T9768" t="s">
        <v>33259</v>
      </c>
      <c r="U9768" t="s">
        <v>41628</v>
      </c>
      <c r="V9768" t="s">
        <v>43538</v>
      </c>
      <c r="W9768" t="s">
        <v>43766</v>
      </c>
      <c r="X9768" t="s">
        <v>32539</v>
      </c>
    </row>
    <row r="9769" spans="1:24">
      <c r="A9769">
        <f>HYPERLINK("https://www.philgeps.gov.ph/GEPSNONPILOT/Tender/SplashBidNoticeAbstractUI.aspx?menuIndex=3&amp;refID=7026883&amp;Result=3","7026883")</f>
        <v>0</v>
      </c>
      <c r="B9769" t="s">
        <v>2544</v>
      </c>
      <c r="C9769" t="s">
        <v>12030</v>
      </c>
      <c r="D9769" t="s">
        <v>12990</v>
      </c>
      <c r="E9769" t="s">
        <v>21410</v>
      </c>
      <c r="F9769" t="s">
        <v>22436</v>
      </c>
      <c r="G9769" t="s">
        <v>22444</v>
      </c>
      <c r="H9769" t="s">
        <v>22452</v>
      </c>
      <c r="I9769" t="s">
        <v>22465</v>
      </c>
      <c r="J9769" t="s">
        <v>28781</v>
      </c>
      <c r="K9769" t="s">
        <v>29335</v>
      </c>
      <c r="M9769" t="s">
        <v>32355</v>
      </c>
      <c r="N9769" t="s">
        <v>32524</v>
      </c>
      <c r="O9769" t="s">
        <v>32525</v>
      </c>
      <c r="P9769">
        <v>0</v>
      </c>
      <c r="Q9769">
        <v>1</v>
      </c>
      <c r="R9769" t="s">
        <v>32538</v>
      </c>
      <c r="S9769" t="s">
        <v>32872</v>
      </c>
      <c r="T9769" t="s">
        <v>33593</v>
      </c>
      <c r="U9769" t="s">
        <v>41515</v>
      </c>
      <c r="V9769" t="s">
        <v>43539</v>
      </c>
      <c r="W9769" t="s">
        <v>32355</v>
      </c>
      <c r="X9769" t="s">
        <v>32539</v>
      </c>
    </row>
    <row r="9770" spans="1:24">
      <c r="A9770">
        <f>HYPERLINK("https://www.philgeps.gov.ph/GEPSNONPILOT/Tender/SplashBidNoticeAbstractUI.aspx?menuIndex=3&amp;refID=7026881&amp;Result=3","7026881")</f>
        <v>0</v>
      </c>
      <c r="B9770" t="s">
        <v>684</v>
      </c>
      <c r="C9770" t="s">
        <v>12031</v>
      </c>
      <c r="D9770" t="s">
        <v>13010</v>
      </c>
      <c r="E9770" t="s">
        <v>21578</v>
      </c>
      <c r="F9770" t="s">
        <v>22436</v>
      </c>
      <c r="G9770" t="s">
        <v>22444</v>
      </c>
      <c r="H9770" t="s">
        <v>22454</v>
      </c>
      <c r="I9770" t="s">
        <v>7738</v>
      </c>
      <c r="J9770" t="s">
        <v>24074</v>
      </c>
      <c r="K9770" t="s">
        <v>29344</v>
      </c>
      <c r="M9770" t="s">
        <v>32386</v>
      </c>
      <c r="N9770" t="s">
        <v>32524</v>
      </c>
      <c r="O9770" t="s">
        <v>32525</v>
      </c>
      <c r="Q9770">
        <v>3</v>
      </c>
      <c r="R9770" t="s">
        <v>32538</v>
      </c>
      <c r="S9770" t="s">
        <v>32986</v>
      </c>
      <c r="T9770" t="s">
        <v>33181</v>
      </c>
      <c r="U9770" t="s">
        <v>41654</v>
      </c>
      <c r="W9770" t="s">
        <v>32386</v>
      </c>
      <c r="X9770" t="s">
        <v>32539</v>
      </c>
    </row>
    <row r="9771" spans="1:24">
      <c r="A9771">
        <f>HYPERLINK("https://www.philgeps.gov.ph/GEPSNONPILOT/Tender/SplashBidNoticeAbstractUI.aspx?menuIndex=3&amp;refID=7026880&amp;Result=3","7026880")</f>
        <v>0</v>
      </c>
      <c r="B9771" t="s">
        <v>430</v>
      </c>
      <c r="C9771" t="s">
        <v>12032</v>
      </c>
      <c r="D9771" t="s">
        <v>13027</v>
      </c>
      <c r="E9771" t="s">
        <v>21579</v>
      </c>
      <c r="F9771" t="s">
        <v>22438</v>
      </c>
      <c r="G9771" t="s">
        <v>22444</v>
      </c>
      <c r="H9771" t="s">
        <v>22454</v>
      </c>
      <c r="I9771" t="s">
        <v>7738</v>
      </c>
      <c r="J9771" t="s">
        <v>28782</v>
      </c>
      <c r="K9771" t="s">
        <v>29334</v>
      </c>
      <c r="M9771" t="s">
        <v>30011</v>
      </c>
      <c r="N9771" t="s">
        <v>32524</v>
      </c>
      <c r="O9771" t="s">
        <v>32525</v>
      </c>
      <c r="P9771">
        <v>0</v>
      </c>
      <c r="Q9771">
        <v>1</v>
      </c>
      <c r="R9771" t="s">
        <v>32538</v>
      </c>
      <c r="S9771" t="s">
        <v>32872</v>
      </c>
      <c r="T9771" t="s">
        <v>33175</v>
      </c>
      <c r="U9771" t="s">
        <v>41663</v>
      </c>
      <c r="W9771" t="s">
        <v>30011</v>
      </c>
      <c r="X9771" t="s">
        <v>32539</v>
      </c>
    </row>
    <row r="9772" spans="1:24">
      <c r="A9772">
        <f>HYPERLINK("https://www.philgeps.gov.ph/GEPSNONPILOT/Tender/SplashBidNoticeAbstractUI.aspx?menuIndex=3&amp;refID=7026920&amp;Result=3","7026920")</f>
        <v>0</v>
      </c>
      <c r="B9772" t="s">
        <v>584</v>
      </c>
      <c r="C9772" t="s">
        <v>12033</v>
      </c>
      <c r="D9772" t="s">
        <v>12988</v>
      </c>
      <c r="E9772" t="s">
        <v>21580</v>
      </c>
      <c r="F9772" t="s">
        <v>22436</v>
      </c>
      <c r="G9772" t="s">
        <v>22444</v>
      </c>
      <c r="H9772" t="s">
        <v>22454</v>
      </c>
      <c r="I9772" t="s">
        <v>7738</v>
      </c>
      <c r="J9772" t="s">
        <v>28783</v>
      </c>
      <c r="K9772" t="s">
        <v>29333</v>
      </c>
      <c r="M9772" t="s">
        <v>32389</v>
      </c>
      <c r="N9772" t="s">
        <v>32524</v>
      </c>
      <c r="O9772" t="s">
        <v>32525</v>
      </c>
      <c r="P9772">
        <v>0</v>
      </c>
      <c r="Q9772">
        <v>57</v>
      </c>
      <c r="R9772" t="s">
        <v>32538</v>
      </c>
      <c r="S9772" t="s">
        <v>32872</v>
      </c>
      <c r="T9772" t="s">
        <v>33268</v>
      </c>
      <c r="U9772" t="s">
        <v>41664</v>
      </c>
      <c r="W9772" t="s">
        <v>32389</v>
      </c>
      <c r="X9772" t="s">
        <v>32539</v>
      </c>
    </row>
    <row r="9773" spans="1:24">
      <c r="A9773">
        <f>HYPERLINK("https://www.philgeps.gov.ph/GEPSNONPILOT/Tender/SplashBidNoticeAbstractUI.aspx?menuIndex=3&amp;refID=7026918&amp;Result=3","7026918")</f>
        <v>0</v>
      </c>
      <c r="B9773" t="s">
        <v>1121</v>
      </c>
      <c r="C9773" t="s">
        <v>12034</v>
      </c>
      <c r="D9773" t="s">
        <v>13038</v>
      </c>
      <c r="E9773" t="s">
        <v>21581</v>
      </c>
      <c r="F9773" t="s">
        <v>22436</v>
      </c>
      <c r="G9773" t="s">
        <v>22444</v>
      </c>
      <c r="H9773" t="s">
        <v>22452</v>
      </c>
      <c r="I9773" t="s">
        <v>22461</v>
      </c>
      <c r="J9773" t="s">
        <v>28784</v>
      </c>
      <c r="K9773" t="s">
        <v>29337</v>
      </c>
      <c r="M9773" t="s">
        <v>30759</v>
      </c>
      <c r="N9773" t="s">
        <v>32524</v>
      </c>
      <c r="O9773" t="s">
        <v>32525</v>
      </c>
      <c r="P9773">
        <v>0</v>
      </c>
      <c r="Q9773">
        <v>1</v>
      </c>
      <c r="R9773" t="s">
        <v>32538</v>
      </c>
      <c r="S9773" t="s">
        <v>32872</v>
      </c>
      <c r="T9773" t="s">
        <v>33168</v>
      </c>
      <c r="U9773" t="s">
        <v>41665</v>
      </c>
      <c r="W9773" t="s">
        <v>30759</v>
      </c>
      <c r="X9773" t="s">
        <v>32539</v>
      </c>
    </row>
    <row r="9774" spans="1:24">
      <c r="A9774">
        <f>HYPERLINK("https://www.philgeps.gov.ph/GEPSNONPILOT/Tender/SplashBidNoticeAbstractUI.aspx?menuIndex=3&amp;refID=7026889&amp;Result=3","7026889")</f>
        <v>0</v>
      </c>
      <c r="B9774" t="s">
        <v>1873</v>
      </c>
      <c r="C9774" t="s">
        <v>12035</v>
      </c>
      <c r="D9774" t="s">
        <v>12988</v>
      </c>
      <c r="E9774" t="s">
        <v>21582</v>
      </c>
      <c r="F9774" t="s">
        <v>22436</v>
      </c>
      <c r="G9774" t="s">
        <v>22444</v>
      </c>
      <c r="H9774" t="s">
        <v>22454</v>
      </c>
      <c r="I9774" t="s">
        <v>7738</v>
      </c>
      <c r="J9774" t="s">
        <v>28785</v>
      </c>
      <c r="K9774" t="s">
        <v>29401</v>
      </c>
      <c r="M9774" t="s">
        <v>31591</v>
      </c>
      <c r="N9774" t="s">
        <v>32524</v>
      </c>
      <c r="O9774" t="s">
        <v>32525</v>
      </c>
      <c r="Q9774">
        <v>28</v>
      </c>
      <c r="R9774" t="s">
        <v>32538</v>
      </c>
      <c r="S9774" t="s">
        <v>32987</v>
      </c>
      <c r="T9774" t="s">
        <v>33181</v>
      </c>
      <c r="U9774" t="s">
        <v>38523</v>
      </c>
      <c r="W9774" t="s">
        <v>31591</v>
      </c>
      <c r="X9774" t="s">
        <v>32539</v>
      </c>
    </row>
    <row r="9775" spans="1:24">
      <c r="A9775">
        <f>HYPERLINK("https://www.philgeps.gov.ph/GEPSNONPILOT/Tender/SplashBidNoticeAbstractUI.aspx?menuIndex=3&amp;refID=7026906&amp;Result=3","7026906")</f>
        <v>0</v>
      </c>
      <c r="B9775" t="s">
        <v>2544</v>
      </c>
      <c r="C9775" t="s">
        <v>12036</v>
      </c>
      <c r="D9775" t="s">
        <v>12990</v>
      </c>
      <c r="E9775" t="s">
        <v>21410</v>
      </c>
      <c r="F9775" t="s">
        <v>22436</v>
      </c>
      <c r="G9775" t="s">
        <v>22444</v>
      </c>
      <c r="H9775" t="s">
        <v>22452</v>
      </c>
      <c r="I9775" t="s">
        <v>22464</v>
      </c>
      <c r="J9775" t="s">
        <v>22877</v>
      </c>
      <c r="K9775" t="s">
        <v>29329</v>
      </c>
      <c r="M9775" t="s">
        <v>32355</v>
      </c>
      <c r="N9775" t="s">
        <v>32524</v>
      </c>
      <c r="O9775" t="s">
        <v>32525</v>
      </c>
      <c r="P9775">
        <v>0</v>
      </c>
      <c r="Q9775">
        <v>2</v>
      </c>
      <c r="R9775" t="s">
        <v>32538</v>
      </c>
      <c r="S9775" t="s">
        <v>32872</v>
      </c>
      <c r="T9775" t="s">
        <v>33593</v>
      </c>
      <c r="U9775" t="s">
        <v>41515</v>
      </c>
      <c r="V9775" t="s">
        <v>43540</v>
      </c>
      <c r="W9775" t="s">
        <v>32355</v>
      </c>
      <c r="X9775" t="s">
        <v>32539</v>
      </c>
    </row>
    <row r="9776" spans="1:24">
      <c r="A9776">
        <f>HYPERLINK("https://www.philgeps.gov.ph/GEPSNONPILOT/Tender/SplashBidNoticeAbstractUI.aspx?menuIndex=3&amp;refID=7026898&amp;Result=3","7026898")</f>
        <v>0</v>
      </c>
      <c r="B9776" t="s">
        <v>430</v>
      </c>
      <c r="C9776" t="s">
        <v>12037</v>
      </c>
      <c r="D9776" t="s">
        <v>13027</v>
      </c>
      <c r="E9776" t="s">
        <v>21583</v>
      </c>
      <c r="F9776" t="s">
        <v>22438</v>
      </c>
      <c r="G9776" t="s">
        <v>22444</v>
      </c>
      <c r="H9776" t="s">
        <v>22454</v>
      </c>
      <c r="I9776" t="s">
        <v>22471</v>
      </c>
      <c r="J9776" t="s">
        <v>28786</v>
      </c>
      <c r="K9776" t="s">
        <v>29329</v>
      </c>
      <c r="M9776" t="s">
        <v>30011</v>
      </c>
      <c r="N9776" t="s">
        <v>32524</v>
      </c>
      <c r="O9776" t="s">
        <v>32525</v>
      </c>
      <c r="P9776">
        <v>0</v>
      </c>
      <c r="Q9776">
        <v>2</v>
      </c>
      <c r="R9776" t="s">
        <v>32538</v>
      </c>
      <c r="S9776" t="s">
        <v>32872</v>
      </c>
      <c r="T9776" t="s">
        <v>33175</v>
      </c>
      <c r="U9776" t="s">
        <v>41666</v>
      </c>
      <c r="W9776" t="s">
        <v>30011</v>
      </c>
      <c r="X9776" t="s">
        <v>32539</v>
      </c>
    </row>
    <row r="9777" spans="1:24">
      <c r="A9777">
        <f>HYPERLINK("https://www.philgeps.gov.ph/GEPSNONPILOT/Tender/SplashBidNoticeAbstractUI.aspx?menuIndex=3&amp;refID=7026890&amp;Result=3","7026890")</f>
        <v>0</v>
      </c>
      <c r="B9777" t="s">
        <v>430</v>
      </c>
      <c r="C9777" t="s">
        <v>12038</v>
      </c>
      <c r="D9777" t="s">
        <v>13027</v>
      </c>
      <c r="E9777" t="s">
        <v>21584</v>
      </c>
      <c r="F9777" t="s">
        <v>22438</v>
      </c>
      <c r="G9777" t="s">
        <v>22444</v>
      </c>
      <c r="H9777" t="s">
        <v>22454</v>
      </c>
      <c r="I9777" t="s">
        <v>7738</v>
      </c>
      <c r="J9777" t="s">
        <v>28787</v>
      </c>
      <c r="K9777" t="s">
        <v>29333</v>
      </c>
      <c r="M9777" t="s">
        <v>30011</v>
      </c>
      <c r="N9777" t="s">
        <v>32524</v>
      </c>
      <c r="O9777" t="s">
        <v>32525</v>
      </c>
      <c r="P9777">
        <v>0</v>
      </c>
      <c r="Q9777">
        <v>1</v>
      </c>
      <c r="R9777" t="s">
        <v>32538</v>
      </c>
      <c r="S9777" t="s">
        <v>32872</v>
      </c>
      <c r="T9777" t="s">
        <v>33175</v>
      </c>
      <c r="U9777" t="s">
        <v>41667</v>
      </c>
      <c r="W9777" t="s">
        <v>30011</v>
      </c>
      <c r="X9777" t="s">
        <v>32539</v>
      </c>
    </row>
    <row r="9778" spans="1:24">
      <c r="A9778">
        <f>HYPERLINK("https://www.philgeps.gov.ph/GEPSNONPILOT/Tender/SplashBidNoticeAbstractUI.aspx?menuIndex=3&amp;refID=7026879&amp;Result=3","7026879")</f>
        <v>0</v>
      </c>
      <c r="B9778" t="s">
        <v>2544</v>
      </c>
      <c r="C9778" t="s">
        <v>12039</v>
      </c>
      <c r="D9778" t="s">
        <v>12990</v>
      </c>
      <c r="E9778" t="s">
        <v>21410</v>
      </c>
      <c r="F9778" t="s">
        <v>22436</v>
      </c>
      <c r="G9778" t="s">
        <v>22444</v>
      </c>
      <c r="H9778" t="s">
        <v>22452</v>
      </c>
      <c r="I9778" t="s">
        <v>12358</v>
      </c>
      <c r="J9778" t="s">
        <v>24398</v>
      </c>
      <c r="K9778" t="s">
        <v>29335</v>
      </c>
      <c r="M9778" t="s">
        <v>32355</v>
      </c>
      <c r="N9778" t="s">
        <v>32524</v>
      </c>
      <c r="O9778" t="s">
        <v>32525</v>
      </c>
      <c r="Q9778">
        <v>0</v>
      </c>
      <c r="R9778" t="s">
        <v>32538</v>
      </c>
      <c r="S9778" t="s">
        <v>32988</v>
      </c>
      <c r="T9778" t="s">
        <v>33593</v>
      </c>
      <c r="U9778" t="s">
        <v>41515</v>
      </c>
      <c r="V9778" t="s">
        <v>43541</v>
      </c>
      <c r="W9778" t="s">
        <v>32355</v>
      </c>
      <c r="X9778" t="s">
        <v>32539</v>
      </c>
    </row>
    <row r="9779" spans="1:24">
      <c r="A9779">
        <f>HYPERLINK("https://www.philgeps.gov.ph/GEPSNONPILOT/Tender/SplashBidNoticeAbstractUI.aspx?menuIndex=3&amp;refID=7026924&amp;Result=3","7026924")</f>
        <v>0</v>
      </c>
      <c r="B9779" t="s">
        <v>1293</v>
      </c>
      <c r="C9779" t="s">
        <v>12040</v>
      </c>
      <c r="D9779" t="s">
        <v>13032</v>
      </c>
      <c r="E9779" t="s">
        <v>13503</v>
      </c>
      <c r="F9779" t="s">
        <v>22436</v>
      </c>
      <c r="G9779" t="s">
        <v>22444</v>
      </c>
      <c r="H9779" t="s">
        <v>22454</v>
      </c>
      <c r="I9779" t="s">
        <v>7738</v>
      </c>
      <c r="J9779" t="s">
        <v>22779</v>
      </c>
      <c r="K9779" t="s">
        <v>29334</v>
      </c>
      <c r="M9779" t="s">
        <v>30947</v>
      </c>
      <c r="N9779" t="s">
        <v>32524</v>
      </c>
      <c r="O9779" t="s">
        <v>32525</v>
      </c>
      <c r="Q9779">
        <v>4</v>
      </c>
      <c r="R9779" t="s">
        <v>32538</v>
      </c>
      <c r="S9779" t="s">
        <v>32989</v>
      </c>
      <c r="T9779" t="s">
        <v>33172</v>
      </c>
      <c r="U9779" t="s">
        <v>41668</v>
      </c>
      <c r="W9779" t="s">
        <v>30947</v>
      </c>
      <c r="X9779" t="s">
        <v>32539</v>
      </c>
    </row>
    <row r="9780" spans="1:24">
      <c r="A9780">
        <f>HYPERLINK("https://www.philgeps.gov.ph/GEPSNONPILOT/Tender/SplashBidNoticeAbstractUI.aspx?menuIndex=3&amp;refID=7026923&amp;Result=3","7026923")</f>
        <v>0</v>
      </c>
      <c r="B9780" t="s">
        <v>1923</v>
      </c>
      <c r="C9780" t="s">
        <v>12041</v>
      </c>
      <c r="D9780" t="s">
        <v>13060</v>
      </c>
      <c r="E9780" t="s">
        <v>21585</v>
      </c>
      <c r="F9780" t="s">
        <v>22436</v>
      </c>
      <c r="G9780" t="s">
        <v>22444</v>
      </c>
      <c r="H9780" t="s">
        <v>22454</v>
      </c>
      <c r="I9780" t="s">
        <v>7738</v>
      </c>
      <c r="J9780" t="s">
        <v>23276</v>
      </c>
      <c r="K9780" t="s">
        <v>29344</v>
      </c>
      <c r="M9780" t="s">
        <v>31651</v>
      </c>
      <c r="N9780" t="s">
        <v>32524</v>
      </c>
      <c r="O9780" t="s">
        <v>32525</v>
      </c>
      <c r="P9780">
        <v>0</v>
      </c>
      <c r="Q9780">
        <v>0</v>
      </c>
      <c r="R9780" t="s">
        <v>32538</v>
      </c>
      <c r="S9780" t="s">
        <v>32872</v>
      </c>
      <c r="T9780" t="s">
        <v>33268</v>
      </c>
      <c r="U9780" t="s">
        <v>41669</v>
      </c>
      <c r="W9780" t="s">
        <v>31651</v>
      </c>
      <c r="X9780" t="s">
        <v>32539</v>
      </c>
    </row>
    <row r="9781" spans="1:24">
      <c r="A9781">
        <f>HYPERLINK("https://www.philgeps.gov.ph/GEPSNONPILOT/Tender/SplashBidNoticeAbstractUI.aspx?menuIndex=3&amp;refID=7026926&amp;Result=3","7026926")</f>
        <v>0</v>
      </c>
      <c r="B9781" t="s">
        <v>584</v>
      </c>
      <c r="C9781" t="s">
        <v>12042</v>
      </c>
      <c r="D9781" t="s">
        <v>12988</v>
      </c>
      <c r="E9781" t="s">
        <v>21586</v>
      </c>
      <c r="F9781" t="s">
        <v>22436</v>
      </c>
      <c r="G9781" t="s">
        <v>22444</v>
      </c>
      <c r="H9781" t="s">
        <v>22454</v>
      </c>
      <c r="I9781" t="s">
        <v>7738</v>
      </c>
      <c r="J9781" t="s">
        <v>28788</v>
      </c>
      <c r="K9781" t="s">
        <v>29345</v>
      </c>
      <c r="M9781" t="s">
        <v>32389</v>
      </c>
      <c r="N9781" t="s">
        <v>32524</v>
      </c>
      <c r="O9781" t="s">
        <v>32525</v>
      </c>
      <c r="P9781">
        <v>0</v>
      </c>
      <c r="Q9781">
        <v>60</v>
      </c>
      <c r="R9781" t="s">
        <v>32538</v>
      </c>
      <c r="S9781" t="s">
        <v>32872</v>
      </c>
      <c r="T9781" t="s">
        <v>33268</v>
      </c>
      <c r="U9781" t="s">
        <v>41670</v>
      </c>
      <c r="W9781" t="s">
        <v>32389</v>
      </c>
      <c r="X9781" t="s">
        <v>32539</v>
      </c>
    </row>
    <row r="9782" spans="1:24">
      <c r="A9782">
        <f>HYPERLINK("https://www.philgeps.gov.ph/GEPSNONPILOT/Tender/SplashBidNoticeAbstractUI.aspx?menuIndex=3&amp;refID=7026915&amp;Result=3","7026915")</f>
        <v>0</v>
      </c>
      <c r="B9782" t="s">
        <v>584</v>
      </c>
      <c r="C9782" t="s">
        <v>12043</v>
      </c>
      <c r="D9782" t="s">
        <v>12988</v>
      </c>
      <c r="E9782" t="s">
        <v>21587</v>
      </c>
      <c r="F9782" t="s">
        <v>22436</v>
      </c>
      <c r="G9782" t="s">
        <v>22444</v>
      </c>
      <c r="H9782" t="s">
        <v>22454</v>
      </c>
      <c r="I9782" t="s">
        <v>7738</v>
      </c>
      <c r="J9782" t="s">
        <v>28789</v>
      </c>
      <c r="K9782" t="s">
        <v>29345</v>
      </c>
      <c r="M9782" t="s">
        <v>32389</v>
      </c>
      <c r="N9782" t="s">
        <v>32524</v>
      </c>
      <c r="O9782" t="s">
        <v>32525</v>
      </c>
      <c r="P9782">
        <v>0</v>
      </c>
      <c r="Q9782">
        <v>60</v>
      </c>
      <c r="R9782" t="s">
        <v>32538</v>
      </c>
      <c r="S9782" t="s">
        <v>32872</v>
      </c>
      <c r="T9782" t="s">
        <v>33268</v>
      </c>
      <c r="U9782" t="s">
        <v>41671</v>
      </c>
      <c r="W9782" t="s">
        <v>32389</v>
      </c>
      <c r="X9782" t="s">
        <v>32539</v>
      </c>
    </row>
    <row r="9783" spans="1:24">
      <c r="A9783">
        <f>HYPERLINK("https://www.philgeps.gov.ph/GEPSNONPILOT/Tender/SplashBidNoticeAbstractUI.aspx?menuIndex=3&amp;refID=7026922&amp;Result=3","7026922")</f>
        <v>0</v>
      </c>
      <c r="B9783" t="s">
        <v>1461</v>
      </c>
      <c r="C9783" t="s">
        <v>12044</v>
      </c>
      <c r="D9783" t="s">
        <v>12994</v>
      </c>
      <c r="E9783" t="s">
        <v>21588</v>
      </c>
      <c r="F9783" t="s">
        <v>22436</v>
      </c>
      <c r="G9783" t="s">
        <v>22444</v>
      </c>
      <c r="H9783" t="s">
        <v>22454</v>
      </c>
      <c r="I9783" t="s">
        <v>7738</v>
      </c>
      <c r="J9783" t="s">
        <v>25909</v>
      </c>
      <c r="K9783" t="s">
        <v>29403</v>
      </c>
      <c r="M9783" t="s">
        <v>31129</v>
      </c>
      <c r="N9783" t="s">
        <v>32524</v>
      </c>
      <c r="O9783" t="s">
        <v>32525</v>
      </c>
      <c r="Q9783">
        <v>35</v>
      </c>
      <c r="R9783" t="s">
        <v>32538</v>
      </c>
      <c r="S9783" t="s">
        <v>32990</v>
      </c>
      <c r="T9783" t="s">
        <v>33182</v>
      </c>
      <c r="U9783" t="s">
        <v>41639</v>
      </c>
      <c r="W9783" t="s">
        <v>31129</v>
      </c>
      <c r="X9783" t="s">
        <v>32539</v>
      </c>
    </row>
    <row r="9784" spans="1:24">
      <c r="A9784">
        <f>HYPERLINK("https://www.philgeps.gov.ph/GEPSNONPILOT/Tender/SplashBidNoticeAbstractUI.aspx?menuIndex=3&amp;refID=7026912&amp;Result=3","7026912")</f>
        <v>0</v>
      </c>
      <c r="B9784" t="s">
        <v>430</v>
      </c>
      <c r="C9784" t="s">
        <v>12045</v>
      </c>
      <c r="D9784" t="s">
        <v>13027</v>
      </c>
      <c r="E9784" t="s">
        <v>21589</v>
      </c>
      <c r="F9784" t="s">
        <v>22438</v>
      </c>
      <c r="G9784" t="s">
        <v>22444</v>
      </c>
      <c r="H9784" t="s">
        <v>22454</v>
      </c>
      <c r="I9784" t="s">
        <v>7738</v>
      </c>
      <c r="J9784" t="s">
        <v>22616</v>
      </c>
      <c r="K9784" t="s">
        <v>29347</v>
      </c>
      <c r="M9784" t="s">
        <v>30011</v>
      </c>
      <c r="N9784" t="s">
        <v>32524</v>
      </c>
      <c r="O9784" t="s">
        <v>32525</v>
      </c>
      <c r="P9784">
        <v>0</v>
      </c>
      <c r="Q9784">
        <v>1</v>
      </c>
      <c r="R9784" t="s">
        <v>32538</v>
      </c>
      <c r="S9784" t="s">
        <v>32872</v>
      </c>
      <c r="T9784" t="s">
        <v>33175</v>
      </c>
      <c r="U9784" t="s">
        <v>41659</v>
      </c>
      <c r="W9784" t="s">
        <v>30011</v>
      </c>
      <c r="X9784" t="s">
        <v>32539</v>
      </c>
    </row>
    <row r="9785" spans="1:24">
      <c r="A9785">
        <f>HYPERLINK("https://www.philgeps.gov.ph/GEPSNONPILOT/Tender/SplashBidNoticeAbstractUI.aspx?menuIndex=3&amp;refID=7026921&amp;Result=3","7026921")</f>
        <v>0</v>
      </c>
      <c r="B9785" t="s">
        <v>1021</v>
      </c>
      <c r="C9785" t="s">
        <v>12046</v>
      </c>
      <c r="D9785" t="s">
        <v>13020</v>
      </c>
      <c r="E9785" t="s">
        <v>21590</v>
      </c>
      <c r="F9785" t="s">
        <v>22436</v>
      </c>
      <c r="G9785" t="s">
        <v>22444</v>
      </c>
      <c r="H9785" t="s">
        <v>22454</v>
      </c>
      <c r="I9785" t="s">
        <v>7738</v>
      </c>
      <c r="J9785" t="s">
        <v>23350</v>
      </c>
      <c r="K9785" t="s">
        <v>29346</v>
      </c>
      <c r="M9785" t="s">
        <v>32377</v>
      </c>
      <c r="N9785" t="s">
        <v>32524</v>
      </c>
      <c r="O9785" t="s">
        <v>32525</v>
      </c>
      <c r="Q9785">
        <v>99</v>
      </c>
      <c r="R9785" t="s">
        <v>32538</v>
      </c>
      <c r="S9785" t="s">
        <v>32991</v>
      </c>
      <c r="T9785" t="s">
        <v>33259</v>
      </c>
      <c r="U9785" t="s">
        <v>41628</v>
      </c>
      <c r="V9785" t="s">
        <v>43542</v>
      </c>
      <c r="W9785" t="s">
        <v>43766</v>
      </c>
      <c r="X9785" t="s">
        <v>32539</v>
      </c>
    </row>
    <row r="9786" spans="1:24">
      <c r="A9786">
        <f>HYPERLINK("https://www.philgeps.gov.ph/GEPSNONPILOT/Tender/SplashBidNoticeAbstractUI.aspx?menuIndex=3&amp;refID=7026908&amp;Result=3","7026908")</f>
        <v>0</v>
      </c>
      <c r="B9786" t="s">
        <v>1121</v>
      </c>
      <c r="C9786" t="s">
        <v>12047</v>
      </c>
      <c r="D9786" t="s">
        <v>13038</v>
      </c>
      <c r="E9786" t="s">
        <v>21591</v>
      </c>
      <c r="F9786" t="s">
        <v>22436</v>
      </c>
      <c r="G9786" t="s">
        <v>22444</v>
      </c>
      <c r="H9786" t="s">
        <v>22452</v>
      </c>
      <c r="I9786" t="s">
        <v>22474</v>
      </c>
      <c r="J9786" t="s">
        <v>23350</v>
      </c>
      <c r="K9786" t="s">
        <v>29333</v>
      </c>
      <c r="M9786" t="s">
        <v>32390</v>
      </c>
      <c r="N9786" t="s">
        <v>32524</v>
      </c>
      <c r="O9786" t="s">
        <v>32525</v>
      </c>
      <c r="Q9786">
        <v>7</v>
      </c>
      <c r="R9786" t="s">
        <v>32538</v>
      </c>
      <c r="S9786" t="s">
        <v>32992</v>
      </c>
      <c r="T9786" t="s">
        <v>33175</v>
      </c>
      <c r="U9786" t="s">
        <v>41672</v>
      </c>
      <c r="W9786" t="s">
        <v>32390</v>
      </c>
      <c r="X9786" t="s">
        <v>32539</v>
      </c>
    </row>
    <row r="9787" spans="1:24">
      <c r="A9787">
        <f>HYPERLINK("https://www.philgeps.gov.ph/GEPSNONPILOT/Tender/SplashBidNoticeAbstractUI.aspx?menuIndex=3&amp;refID=7026910&amp;Result=3","7026910")</f>
        <v>0</v>
      </c>
      <c r="B9787" t="s">
        <v>1873</v>
      </c>
      <c r="C9787" t="s">
        <v>12048</v>
      </c>
      <c r="D9787" t="s">
        <v>12988</v>
      </c>
      <c r="E9787" t="s">
        <v>21592</v>
      </c>
      <c r="F9787" t="s">
        <v>22436</v>
      </c>
      <c r="G9787" t="s">
        <v>22444</v>
      </c>
      <c r="H9787" t="s">
        <v>22454</v>
      </c>
      <c r="I9787" t="s">
        <v>7738</v>
      </c>
      <c r="J9787" t="s">
        <v>28790</v>
      </c>
      <c r="K9787" t="s">
        <v>29345</v>
      </c>
      <c r="M9787" t="s">
        <v>31591</v>
      </c>
      <c r="N9787" t="s">
        <v>32524</v>
      </c>
      <c r="O9787" t="s">
        <v>32525</v>
      </c>
      <c r="Q9787">
        <v>22</v>
      </c>
      <c r="R9787" t="s">
        <v>32538</v>
      </c>
      <c r="S9787" t="s">
        <v>32993</v>
      </c>
      <c r="T9787" t="s">
        <v>33181</v>
      </c>
      <c r="U9787" t="s">
        <v>38523</v>
      </c>
      <c r="W9787" t="s">
        <v>31591</v>
      </c>
      <c r="X9787" t="s">
        <v>32539</v>
      </c>
    </row>
    <row r="9788" spans="1:24">
      <c r="A9788">
        <f>HYPERLINK("https://www.philgeps.gov.ph/GEPSNONPILOT/Tender/SplashBidNoticeAbstractUI.aspx?menuIndex=3&amp;refID=7026916&amp;Result=3","7026916")</f>
        <v>0</v>
      </c>
      <c r="B9788" t="s">
        <v>2544</v>
      </c>
      <c r="C9788" t="s">
        <v>12049</v>
      </c>
      <c r="D9788" t="s">
        <v>12990</v>
      </c>
      <c r="E9788" t="s">
        <v>21410</v>
      </c>
      <c r="F9788" t="s">
        <v>22436</v>
      </c>
      <c r="G9788" t="s">
        <v>22444</v>
      </c>
      <c r="H9788" t="s">
        <v>22452</v>
      </c>
      <c r="I9788" t="s">
        <v>22464</v>
      </c>
      <c r="J9788" t="s">
        <v>24189</v>
      </c>
      <c r="K9788" t="s">
        <v>29333</v>
      </c>
      <c r="M9788" t="s">
        <v>32355</v>
      </c>
      <c r="N9788" t="s">
        <v>32524</v>
      </c>
      <c r="O9788" t="s">
        <v>32525</v>
      </c>
      <c r="P9788">
        <v>0</v>
      </c>
      <c r="Q9788">
        <v>0</v>
      </c>
      <c r="R9788" t="s">
        <v>32538</v>
      </c>
      <c r="S9788" t="s">
        <v>32872</v>
      </c>
      <c r="T9788" t="s">
        <v>33593</v>
      </c>
      <c r="U9788" t="s">
        <v>41515</v>
      </c>
      <c r="V9788" t="s">
        <v>43543</v>
      </c>
      <c r="W9788" t="s">
        <v>32355</v>
      </c>
      <c r="X9788" t="s">
        <v>32539</v>
      </c>
    </row>
    <row r="9789" spans="1:24">
      <c r="A9789">
        <f>HYPERLINK("https://www.philgeps.gov.ph/GEPSNONPILOT/Tender/SplashBidNoticeAbstractUI.aspx?menuIndex=3&amp;refID=7026914&amp;Result=3","7026914")</f>
        <v>0</v>
      </c>
      <c r="B9789" t="s">
        <v>1021</v>
      </c>
      <c r="C9789" t="s">
        <v>12050</v>
      </c>
      <c r="D9789" t="s">
        <v>13020</v>
      </c>
      <c r="E9789" t="s">
        <v>21593</v>
      </c>
      <c r="F9789" t="s">
        <v>22436</v>
      </c>
      <c r="G9789" t="s">
        <v>22444</v>
      </c>
      <c r="H9789" t="s">
        <v>22454</v>
      </c>
      <c r="I9789" t="s">
        <v>7738</v>
      </c>
      <c r="J9789" t="s">
        <v>23350</v>
      </c>
      <c r="K9789" t="s">
        <v>29346</v>
      </c>
      <c r="M9789" t="s">
        <v>32377</v>
      </c>
      <c r="N9789" t="s">
        <v>32524</v>
      </c>
      <c r="O9789" t="s">
        <v>32525</v>
      </c>
      <c r="Q9789">
        <v>101</v>
      </c>
      <c r="R9789" t="s">
        <v>32538</v>
      </c>
      <c r="S9789" t="s">
        <v>32994</v>
      </c>
      <c r="T9789" t="s">
        <v>33259</v>
      </c>
      <c r="U9789" t="s">
        <v>41628</v>
      </c>
      <c r="V9789" t="s">
        <v>43544</v>
      </c>
      <c r="W9789" t="s">
        <v>43766</v>
      </c>
      <c r="X9789" t="s">
        <v>32539</v>
      </c>
    </row>
    <row r="9790" spans="1:24">
      <c r="A9790">
        <f>HYPERLINK("https://www.philgeps.gov.ph/GEPSNONPILOT/Tender/SplashBidNoticeAbstractUI.aspx?menuIndex=3&amp;refID=7026900&amp;Result=3","7026900")</f>
        <v>0</v>
      </c>
      <c r="B9790" t="s">
        <v>1121</v>
      </c>
      <c r="C9790" t="s">
        <v>12051</v>
      </c>
      <c r="D9790" t="s">
        <v>13038</v>
      </c>
      <c r="E9790" t="s">
        <v>21594</v>
      </c>
      <c r="F9790" t="s">
        <v>22436</v>
      </c>
      <c r="G9790" t="s">
        <v>22444</v>
      </c>
      <c r="H9790" t="s">
        <v>22454</v>
      </c>
      <c r="I9790" t="s">
        <v>7738</v>
      </c>
      <c r="J9790" t="s">
        <v>22634</v>
      </c>
      <c r="K9790" t="s">
        <v>29516</v>
      </c>
      <c r="M9790" t="s">
        <v>32390</v>
      </c>
      <c r="N9790" t="s">
        <v>32524</v>
      </c>
      <c r="O9790" t="s">
        <v>32525</v>
      </c>
      <c r="Q9790">
        <v>3</v>
      </c>
      <c r="R9790" t="s">
        <v>32538</v>
      </c>
      <c r="S9790" t="s">
        <v>32995</v>
      </c>
      <c r="T9790" t="s">
        <v>33175</v>
      </c>
      <c r="U9790" t="s">
        <v>41673</v>
      </c>
      <c r="W9790" t="s">
        <v>32390</v>
      </c>
      <c r="X9790" t="s">
        <v>32539</v>
      </c>
    </row>
    <row r="9791" spans="1:24">
      <c r="A9791">
        <f>HYPERLINK("https://www.philgeps.gov.ph/GEPSNONPILOT/Tender/SplashBidNoticeAbstractUI.aspx?menuIndex=3&amp;refID=7026901&amp;Result=3","7026901")</f>
        <v>0</v>
      </c>
      <c r="B9791" t="s">
        <v>2544</v>
      </c>
      <c r="C9791" t="s">
        <v>12052</v>
      </c>
      <c r="D9791" t="s">
        <v>12990</v>
      </c>
      <c r="E9791" t="s">
        <v>21410</v>
      </c>
      <c r="F9791" t="s">
        <v>22436</v>
      </c>
      <c r="G9791" t="s">
        <v>22444</v>
      </c>
      <c r="H9791" t="s">
        <v>22452</v>
      </c>
      <c r="I9791" t="s">
        <v>12358</v>
      </c>
      <c r="J9791" t="s">
        <v>28791</v>
      </c>
      <c r="K9791" t="s">
        <v>29333</v>
      </c>
      <c r="M9791" t="s">
        <v>32355</v>
      </c>
      <c r="N9791" t="s">
        <v>32524</v>
      </c>
      <c r="O9791" t="s">
        <v>32525</v>
      </c>
      <c r="P9791">
        <v>0</v>
      </c>
      <c r="Q9791">
        <v>1</v>
      </c>
      <c r="R9791" t="s">
        <v>32538</v>
      </c>
      <c r="S9791" t="s">
        <v>32872</v>
      </c>
      <c r="T9791" t="s">
        <v>33593</v>
      </c>
      <c r="U9791" t="s">
        <v>41515</v>
      </c>
      <c r="V9791" t="s">
        <v>43545</v>
      </c>
      <c r="W9791" t="s">
        <v>32355</v>
      </c>
      <c r="X9791" t="s">
        <v>32539</v>
      </c>
    </row>
    <row r="9792" spans="1:24">
      <c r="A9792">
        <f>HYPERLINK("https://www.philgeps.gov.ph/GEPSNONPILOT/Tender/SplashBidNoticeAbstractUI.aspx?menuIndex=3&amp;refID=7026904&amp;Result=3","7026904")</f>
        <v>0</v>
      </c>
      <c r="B9792" t="s">
        <v>430</v>
      </c>
      <c r="C9792" t="s">
        <v>12053</v>
      </c>
      <c r="D9792" t="s">
        <v>13027</v>
      </c>
      <c r="E9792" t="s">
        <v>21574</v>
      </c>
      <c r="F9792" t="s">
        <v>22438</v>
      </c>
      <c r="G9792" t="s">
        <v>22444</v>
      </c>
      <c r="H9792" t="s">
        <v>22454</v>
      </c>
      <c r="I9792" t="s">
        <v>7738</v>
      </c>
      <c r="J9792" t="s">
        <v>28792</v>
      </c>
      <c r="K9792" t="s">
        <v>29334</v>
      </c>
      <c r="M9792" t="s">
        <v>30011</v>
      </c>
      <c r="N9792" t="s">
        <v>32524</v>
      </c>
      <c r="O9792" t="s">
        <v>32525</v>
      </c>
      <c r="P9792">
        <v>0</v>
      </c>
      <c r="Q9792">
        <v>1</v>
      </c>
      <c r="R9792" t="s">
        <v>32538</v>
      </c>
      <c r="S9792" t="s">
        <v>32872</v>
      </c>
      <c r="T9792" t="s">
        <v>33175</v>
      </c>
      <c r="U9792" t="s">
        <v>41674</v>
      </c>
      <c r="W9792" t="s">
        <v>30011</v>
      </c>
      <c r="X9792" t="s">
        <v>32539</v>
      </c>
    </row>
    <row r="9793" spans="1:24">
      <c r="A9793">
        <f>HYPERLINK("https://www.philgeps.gov.ph/GEPSNONPILOT/Tender/SplashBidNoticeAbstractUI.aspx?menuIndex=3&amp;refID=7026913&amp;Result=3","7026913")</f>
        <v>0</v>
      </c>
      <c r="B9793" t="s">
        <v>1654</v>
      </c>
      <c r="C9793" t="s">
        <v>12054</v>
      </c>
      <c r="D9793" t="s">
        <v>13031</v>
      </c>
      <c r="E9793" t="s">
        <v>21595</v>
      </c>
      <c r="F9793" t="s">
        <v>22436</v>
      </c>
      <c r="G9793" t="s">
        <v>22444</v>
      </c>
      <c r="H9793" t="s">
        <v>22454</v>
      </c>
      <c r="I9793" t="s">
        <v>7738</v>
      </c>
      <c r="J9793" t="s">
        <v>22634</v>
      </c>
      <c r="K9793" t="s">
        <v>29334</v>
      </c>
      <c r="L9793" t="s">
        <v>1654</v>
      </c>
      <c r="M9793" t="s">
        <v>32080</v>
      </c>
      <c r="N9793" t="s">
        <v>32524</v>
      </c>
      <c r="O9793" t="s">
        <v>32525</v>
      </c>
      <c r="P9793">
        <v>0</v>
      </c>
      <c r="Q9793">
        <v>0</v>
      </c>
      <c r="R9793" t="s">
        <v>32538</v>
      </c>
      <c r="S9793" t="s">
        <v>32872</v>
      </c>
      <c r="T9793" t="s">
        <v>33181</v>
      </c>
      <c r="U9793" t="s">
        <v>41675</v>
      </c>
      <c r="V9793" t="s">
        <v>43280</v>
      </c>
      <c r="W9793" t="s">
        <v>32080</v>
      </c>
      <c r="X9793" t="s">
        <v>32539</v>
      </c>
    </row>
    <row r="9794" spans="1:24">
      <c r="A9794">
        <f>HYPERLINK("https://www.philgeps.gov.ph/GEPSNONPILOT/Tender/SplashBidNoticeAbstractUI.aspx?menuIndex=3&amp;refID=7026899&amp;Result=3","7026899")</f>
        <v>0</v>
      </c>
      <c r="B9794" t="s">
        <v>2142</v>
      </c>
      <c r="C9794" t="s">
        <v>12055</v>
      </c>
      <c r="D9794" t="s">
        <v>13029</v>
      </c>
      <c r="E9794" t="s">
        <v>21596</v>
      </c>
      <c r="F9794" t="s">
        <v>22436</v>
      </c>
      <c r="G9794" t="s">
        <v>22444</v>
      </c>
      <c r="H9794" t="s">
        <v>22454</v>
      </c>
      <c r="I9794" t="s">
        <v>7738</v>
      </c>
      <c r="J9794" t="s">
        <v>28793</v>
      </c>
      <c r="K9794" t="s">
        <v>29344</v>
      </c>
      <c r="M9794" t="s">
        <v>31894</v>
      </c>
      <c r="N9794" t="s">
        <v>32524</v>
      </c>
      <c r="O9794" t="s">
        <v>32525</v>
      </c>
      <c r="P9794">
        <v>0</v>
      </c>
      <c r="Q9794">
        <v>3</v>
      </c>
      <c r="R9794" t="s">
        <v>32538</v>
      </c>
      <c r="S9794" t="s">
        <v>32872</v>
      </c>
      <c r="T9794" t="s">
        <v>33181</v>
      </c>
      <c r="U9794" t="s">
        <v>41676</v>
      </c>
      <c r="V9794" t="s">
        <v>43546</v>
      </c>
      <c r="W9794" t="s">
        <v>43743</v>
      </c>
      <c r="X9794" t="s">
        <v>32539</v>
      </c>
    </row>
    <row r="9795" spans="1:24">
      <c r="A9795">
        <f>HYPERLINK("https://www.philgeps.gov.ph/GEPSNONPILOT/Tender/SplashBidNoticeAbstractUI.aspx?menuIndex=3&amp;refID=7026874&amp;Result=3","7026874")</f>
        <v>0</v>
      </c>
      <c r="B9795" t="s">
        <v>430</v>
      </c>
      <c r="C9795" t="s">
        <v>12056</v>
      </c>
      <c r="D9795" t="s">
        <v>13027</v>
      </c>
      <c r="E9795" t="s">
        <v>21597</v>
      </c>
      <c r="F9795" t="s">
        <v>22438</v>
      </c>
      <c r="G9795" t="s">
        <v>22444</v>
      </c>
      <c r="H9795" t="s">
        <v>22454</v>
      </c>
      <c r="I9795" t="s">
        <v>7738</v>
      </c>
      <c r="J9795" t="s">
        <v>28794</v>
      </c>
      <c r="K9795" t="s">
        <v>29334</v>
      </c>
      <c r="M9795" t="s">
        <v>30011</v>
      </c>
      <c r="N9795" t="s">
        <v>32524</v>
      </c>
      <c r="O9795" t="s">
        <v>32525</v>
      </c>
      <c r="P9795">
        <v>0</v>
      </c>
      <c r="Q9795">
        <v>1</v>
      </c>
      <c r="R9795" t="s">
        <v>32538</v>
      </c>
      <c r="S9795" t="s">
        <v>32872</v>
      </c>
      <c r="T9795" t="s">
        <v>33175</v>
      </c>
      <c r="U9795" t="s">
        <v>41677</v>
      </c>
      <c r="W9795" t="s">
        <v>30011</v>
      </c>
      <c r="X9795" t="s">
        <v>32539</v>
      </c>
    </row>
    <row r="9796" spans="1:24">
      <c r="A9796">
        <f>HYPERLINK("https://www.philgeps.gov.ph/GEPSNONPILOT/Tender/SplashBidNoticeAbstractUI.aspx?menuIndex=3&amp;refID=7026927&amp;Result=3","7026927")</f>
        <v>0</v>
      </c>
      <c r="B9796" t="s">
        <v>2568</v>
      </c>
      <c r="C9796" t="s">
        <v>12057</v>
      </c>
      <c r="D9796" t="s">
        <v>13022</v>
      </c>
      <c r="E9796" t="s">
        <v>21598</v>
      </c>
      <c r="F9796" t="s">
        <v>22436</v>
      </c>
      <c r="G9796" t="s">
        <v>22444</v>
      </c>
      <c r="H9796" t="s">
        <v>22452</v>
      </c>
      <c r="I9796" t="s">
        <v>22484</v>
      </c>
      <c r="J9796" t="s">
        <v>24255</v>
      </c>
      <c r="K9796" t="s">
        <v>29341</v>
      </c>
      <c r="M9796" t="s">
        <v>32388</v>
      </c>
      <c r="N9796" t="s">
        <v>32524</v>
      </c>
      <c r="O9796" t="s">
        <v>32525</v>
      </c>
      <c r="P9796">
        <v>0</v>
      </c>
      <c r="Q9796">
        <v>4</v>
      </c>
      <c r="R9796" t="s">
        <v>32538</v>
      </c>
      <c r="S9796" t="s">
        <v>32872</v>
      </c>
      <c r="T9796" t="s">
        <v>33530</v>
      </c>
      <c r="U9796" t="s">
        <v>41678</v>
      </c>
      <c r="W9796" t="s">
        <v>32388</v>
      </c>
      <c r="X9796" t="s">
        <v>32539</v>
      </c>
    </row>
    <row r="9797" spans="1:24">
      <c r="A9797">
        <f>HYPERLINK("https://www.philgeps.gov.ph/GEPSNONPILOT/Tender/SplashBidNoticeAbstractUI.aspx?menuIndex=3&amp;refID=7026873&amp;Result=3","7026873")</f>
        <v>0</v>
      </c>
      <c r="B9797" t="s">
        <v>684</v>
      </c>
      <c r="C9797" t="s">
        <v>12058</v>
      </c>
      <c r="D9797" t="s">
        <v>13010</v>
      </c>
      <c r="E9797" t="s">
        <v>21599</v>
      </c>
      <c r="F9797" t="s">
        <v>22436</v>
      </c>
      <c r="G9797" t="s">
        <v>22444</v>
      </c>
      <c r="H9797" t="s">
        <v>22454</v>
      </c>
      <c r="I9797" t="s">
        <v>7738</v>
      </c>
      <c r="J9797" t="s">
        <v>28618</v>
      </c>
      <c r="K9797" t="s">
        <v>29532</v>
      </c>
      <c r="M9797" t="s">
        <v>32386</v>
      </c>
      <c r="N9797" t="s">
        <v>32524</v>
      </c>
      <c r="O9797" t="s">
        <v>32525</v>
      </c>
      <c r="P9797">
        <v>0</v>
      </c>
      <c r="Q9797">
        <v>2</v>
      </c>
      <c r="R9797" t="s">
        <v>32538</v>
      </c>
      <c r="S9797" t="s">
        <v>32872</v>
      </c>
      <c r="T9797" t="s">
        <v>33181</v>
      </c>
      <c r="U9797" t="s">
        <v>41654</v>
      </c>
      <c r="W9797" t="s">
        <v>32386</v>
      </c>
      <c r="X9797" t="s">
        <v>32539</v>
      </c>
    </row>
    <row r="9798" spans="1:24">
      <c r="A9798">
        <f>HYPERLINK("https://www.philgeps.gov.ph/GEPSNONPILOT/Tender/SplashBidNoticeAbstractUI.aspx?menuIndex=3&amp;refID=7026935&amp;Result=3","7026935")</f>
        <v>0</v>
      </c>
      <c r="B9798" t="s">
        <v>584</v>
      </c>
      <c r="C9798" t="s">
        <v>12059</v>
      </c>
      <c r="D9798" t="s">
        <v>12988</v>
      </c>
      <c r="E9798" t="s">
        <v>21600</v>
      </c>
      <c r="F9798" t="s">
        <v>22436</v>
      </c>
      <c r="G9798" t="s">
        <v>22444</v>
      </c>
      <c r="H9798" t="s">
        <v>22454</v>
      </c>
      <c r="I9798" t="s">
        <v>7738</v>
      </c>
      <c r="J9798" t="s">
        <v>28795</v>
      </c>
      <c r="K9798" t="s">
        <v>29333</v>
      </c>
      <c r="M9798" t="s">
        <v>32389</v>
      </c>
      <c r="N9798" t="s">
        <v>32524</v>
      </c>
      <c r="O9798" t="s">
        <v>32525</v>
      </c>
      <c r="P9798">
        <v>0</v>
      </c>
      <c r="Q9798">
        <v>57</v>
      </c>
      <c r="R9798" t="s">
        <v>32538</v>
      </c>
      <c r="S9798" t="s">
        <v>32872</v>
      </c>
      <c r="T9798" t="s">
        <v>33268</v>
      </c>
      <c r="U9798" t="s">
        <v>41679</v>
      </c>
      <c r="W9798" t="s">
        <v>32389</v>
      </c>
      <c r="X9798" t="s">
        <v>32539</v>
      </c>
    </row>
    <row r="9799" spans="1:24">
      <c r="A9799">
        <f>HYPERLINK("https://www.philgeps.gov.ph/GEPSNONPILOT/Tender/SplashBidNoticeAbstractUI.aspx?menuIndex=3&amp;refID=7026954&amp;Result=3","7026954")</f>
        <v>0</v>
      </c>
      <c r="B9799" t="s">
        <v>584</v>
      </c>
      <c r="C9799" t="s">
        <v>12060</v>
      </c>
      <c r="D9799" t="s">
        <v>12988</v>
      </c>
      <c r="E9799" t="s">
        <v>21601</v>
      </c>
      <c r="F9799" t="s">
        <v>22436</v>
      </c>
      <c r="G9799" t="s">
        <v>22444</v>
      </c>
      <c r="H9799" t="s">
        <v>22454</v>
      </c>
      <c r="I9799" t="s">
        <v>7738</v>
      </c>
      <c r="J9799" t="s">
        <v>28796</v>
      </c>
      <c r="K9799" t="s">
        <v>29388</v>
      </c>
      <c r="M9799" t="s">
        <v>32389</v>
      </c>
      <c r="N9799" t="s">
        <v>32524</v>
      </c>
      <c r="O9799" t="s">
        <v>32525</v>
      </c>
      <c r="P9799">
        <v>0</v>
      </c>
      <c r="Q9799">
        <v>60</v>
      </c>
      <c r="R9799" t="s">
        <v>32538</v>
      </c>
      <c r="S9799" t="s">
        <v>32872</v>
      </c>
      <c r="T9799" t="s">
        <v>33268</v>
      </c>
      <c r="U9799" t="s">
        <v>41680</v>
      </c>
      <c r="W9799" t="s">
        <v>32389</v>
      </c>
      <c r="X9799" t="s">
        <v>32539</v>
      </c>
    </row>
    <row r="9800" spans="1:24">
      <c r="A9800">
        <f>HYPERLINK("https://www.philgeps.gov.ph/GEPSNONPILOT/Tender/SplashBidNoticeAbstractUI.aspx?menuIndex=3&amp;refID=7026962&amp;Result=3","7026962")</f>
        <v>0</v>
      </c>
      <c r="B9800" t="s">
        <v>2565</v>
      </c>
      <c r="C9800" t="s">
        <v>12061</v>
      </c>
      <c r="D9800" t="s">
        <v>12988</v>
      </c>
      <c r="E9800" t="s">
        <v>21602</v>
      </c>
      <c r="F9800" t="s">
        <v>22437</v>
      </c>
      <c r="G9800" t="s">
        <v>22444</v>
      </c>
      <c r="H9800" t="s">
        <v>22452</v>
      </c>
      <c r="I9800" t="s">
        <v>2993</v>
      </c>
      <c r="J9800" t="s">
        <v>28797</v>
      </c>
      <c r="K9800" t="s">
        <v>29338</v>
      </c>
      <c r="M9800" t="s">
        <v>32382</v>
      </c>
      <c r="N9800" t="s">
        <v>32524</v>
      </c>
      <c r="O9800" t="s">
        <v>32525</v>
      </c>
      <c r="P9800">
        <v>0</v>
      </c>
      <c r="Q9800">
        <v>5</v>
      </c>
      <c r="R9800" t="s">
        <v>32538</v>
      </c>
      <c r="S9800" t="s">
        <v>32872</v>
      </c>
      <c r="T9800" t="s">
        <v>33154</v>
      </c>
      <c r="U9800" t="s">
        <v>41681</v>
      </c>
      <c r="W9800" t="s">
        <v>32382</v>
      </c>
      <c r="X9800" t="s">
        <v>32539</v>
      </c>
    </row>
    <row r="9801" spans="1:24">
      <c r="A9801">
        <f>HYPERLINK("https://www.philgeps.gov.ph/GEPSNONPILOT/Tender/SplashBidNoticeAbstractUI.aspx?menuIndex=3&amp;refID=7026942&amp;Result=3","7026942")</f>
        <v>0</v>
      </c>
      <c r="B9801" t="s">
        <v>1293</v>
      </c>
      <c r="C9801" t="s">
        <v>12062</v>
      </c>
      <c r="D9801" t="s">
        <v>13032</v>
      </c>
      <c r="E9801" t="s">
        <v>13371</v>
      </c>
      <c r="F9801" t="s">
        <v>22436</v>
      </c>
      <c r="G9801" t="s">
        <v>22444</v>
      </c>
      <c r="H9801" t="s">
        <v>22454</v>
      </c>
      <c r="I9801" t="s">
        <v>7738</v>
      </c>
      <c r="J9801" t="s">
        <v>22779</v>
      </c>
      <c r="K9801" t="s">
        <v>29334</v>
      </c>
      <c r="M9801" t="s">
        <v>30947</v>
      </c>
      <c r="N9801" t="s">
        <v>32524</v>
      </c>
      <c r="O9801" t="s">
        <v>32525</v>
      </c>
      <c r="P9801">
        <v>0</v>
      </c>
      <c r="Q9801">
        <v>3</v>
      </c>
      <c r="R9801" t="s">
        <v>32538</v>
      </c>
      <c r="S9801" t="s">
        <v>32872</v>
      </c>
      <c r="T9801" t="s">
        <v>33175</v>
      </c>
      <c r="U9801" t="s">
        <v>41682</v>
      </c>
      <c r="W9801" t="s">
        <v>30947</v>
      </c>
      <c r="X9801" t="s">
        <v>32539</v>
      </c>
    </row>
    <row r="9802" spans="1:24">
      <c r="A9802">
        <f>HYPERLINK("https://www.philgeps.gov.ph/GEPSNONPILOT/Tender/SplashBidNoticeAbstractUI.aspx?menuIndex=3&amp;refID=7026951&amp;Result=3","7026951")</f>
        <v>0</v>
      </c>
      <c r="B9802" t="s">
        <v>1021</v>
      </c>
      <c r="C9802" t="s">
        <v>12063</v>
      </c>
      <c r="D9802" t="s">
        <v>13020</v>
      </c>
      <c r="E9802" t="s">
        <v>21603</v>
      </c>
      <c r="F9802" t="s">
        <v>22436</v>
      </c>
      <c r="G9802" t="s">
        <v>22444</v>
      </c>
      <c r="H9802" t="s">
        <v>22454</v>
      </c>
      <c r="I9802" t="s">
        <v>7738</v>
      </c>
      <c r="J9802" t="s">
        <v>22960</v>
      </c>
      <c r="K9802" t="s">
        <v>29345</v>
      </c>
      <c r="M9802" t="s">
        <v>32377</v>
      </c>
      <c r="N9802" t="s">
        <v>32524</v>
      </c>
      <c r="O9802" t="s">
        <v>32525</v>
      </c>
      <c r="Q9802">
        <v>93</v>
      </c>
      <c r="R9802" t="s">
        <v>32538</v>
      </c>
      <c r="S9802" t="s">
        <v>32996</v>
      </c>
      <c r="T9802" t="s">
        <v>33259</v>
      </c>
      <c r="U9802" t="s">
        <v>41628</v>
      </c>
      <c r="V9802" t="s">
        <v>43547</v>
      </c>
      <c r="W9802" t="s">
        <v>43766</v>
      </c>
      <c r="X9802" t="s">
        <v>32539</v>
      </c>
    </row>
    <row r="9803" spans="1:24">
      <c r="A9803">
        <f>HYPERLINK("https://www.philgeps.gov.ph/GEPSNONPILOT/Tender/SplashBidNoticeAbstractUI.aspx?menuIndex=3&amp;refID=7026953&amp;Result=3","7026953")</f>
        <v>0</v>
      </c>
      <c r="B9803" t="s">
        <v>2565</v>
      </c>
      <c r="C9803" t="s">
        <v>12064</v>
      </c>
      <c r="D9803" t="s">
        <v>12988</v>
      </c>
      <c r="E9803" t="s">
        <v>21604</v>
      </c>
      <c r="F9803" t="s">
        <v>22437</v>
      </c>
      <c r="G9803" t="s">
        <v>22444</v>
      </c>
      <c r="H9803" t="s">
        <v>22452</v>
      </c>
      <c r="I9803" t="s">
        <v>3122</v>
      </c>
      <c r="J9803" t="s">
        <v>22874</v>
      </c>
      <c r="K9803" t="s">
        <v>29338</v>
      </c>
      <c r="M9803" t="s">
        <v>32382</v>
      </c>
      <c r="N9803" t="s">
        <v>32524</v>
      </c>
      <c r="O9803" t="s">
        <v>32525</v>
      </c>
      <c r="P9803">
        <v>0</v>
      </c>
      <c r="Q9803">
        <v>5</v>
      </c>
      <c r="R9803" t="s">
        <v>32538</v>
      </c>
      <c r="S9803" t="s">
        <v>32872</v>
      </c>
      <c r="T9803" t="s">
        <v>33154</v>
      </c>
      <c r="U9803" t="s">
        <v>41683</v>
      </c>
      <c r="W9803" t="s">
        <v>32382</v>
      </c>
      <c r="X9803" t="s">
        <v>32539</v>
      </c>
    </row>
    <row r="9804" spans="1:24">
      <c r="A9804">
        <f>HYPERLINK("https://www.philgeps.gov.ph/GEPSNONPILOT/Tender/SplashBidNoticeAbstractUI.aspx?menuIndex=3&amp;refID=7026878&amp;Result=3","7026878")</f>
        <v>0</v>
      </c>
      <c r="B9804" t="s">
        <v>1021</v>
      </c>
      <c r="C9804" t="s">
        <v>12065</v>
      </c>
      <c r="D9804" t="s">
        <v>13020</v>
      </c>
      <c r="E9804" t="s">
        <v>21605</v>
      </c>
      <c r="F9804" t="s">
        <v>22436</v>
      </c>
      <c r="G9804" t="s">
        <v>22444</v>
      </c>
      <c r="H9804" t="s">
        <v>22454</v>
      </c>
      <c r="I9804" t="s">
        <v>7738</v>
      </c>
      <c r="J9804" t="s">
        <v>22960</v>
      </c>
      <c r="K9804" t="s">
        <v>29345</v>
      </c>
      <c r="M9804" t="s">
        <v>32377</v>
      </c>
      <c r="N9804" t="s">
        <v>32524</v>
      </c>
      <c r="O9804" t="s">
        <v>32525</v>
      </c>
      <c r="Q9804">
        <v>116</v>
      </c>
      <c r="R9804" t="s">
        <v>32538</v>
      </c>
      <c r="S9804" t="s">
        <v>32997</v>
      </c>
      <c r="T9804" t="s">
        <v>33259</v>
      </c>
      <c r="U9804" t="s">
        <v>41628</v>
      </c>
      <c r="V9804" t="s">
        <v>43548</v>
      </c>
      <c r="W9804" t="s">
        <v>43766</v>
      </c>
      <c r="X9804" t="s">
        <v>32539</v>
      </c>
    </row>
    <row r="9805" spans="1:24">
      <c r="A9805">
        <f>HYPERLINK("https://www.philgeps.gov.ph/GEPSNONPILOT/Tender/SplashBidNoticeAbstractUI.aspx?menuIndex=3&amp;refID=7026955&amp;Result=3","7026955")</f>
        <v>0</v>
      </c>
      <c r="B9805" t="s">
        <v>2569</v>
      </c>
      <c r="C9805" t="s">
        <v>12066</v>
      </c>
      <c r="D9805" t="s">
        <v>13006</v>
      </c>
      <c r="E9805" t="s">
        <v>13521</v>
      </c>
      <c r="F9805" t="s">
        <v>22436</v>
      </c>
      <c r="G9805" t="s">
        <v>22444</v>
      </c>
      <c r="H9805" t="s">
        <v>22452</v>
      </c>
      <c r="I9805" t="s">
        <v>3529</v>
      </c>
      <c r="J9805" t="s">
        <v>22893</v>
      </c>
      <c r="K9805" t="s">
        <v>29331</v>
      </c>
      <c r="M9805" t="s">
        <v>32391</v>
      </c>
      <c r="N9805" t="s">
        <v>32524</v>
      </c>
      <c r="O9805" t="s">
        <v>32525</v>
      </c>
      <c r="P9805">
        <v>0</v>
      </c>
      <c r="Q9805">
        <v>0</v>
      </c>
      <c r="R9805" t="s">
        <v>32538</v>
      </c>
      <c r="S9805" t="s">
        <v>32872</v>
      </c>
      <c r="T9805" t="s">
        <v>33229</v>
      </c>
      <c r="U9805" t="s">
        <v>41684</v>
      </c>
      <c r="V9805" t="s">
        <v>43549</v>
      </c>
      <c r="W9805" t="s">
        <v>32391</v>
      </c>
      <c r="X9805" t="s">
        <v>32539</v>
      </c>
    </row>
    <row r="9806" spans="1:24">
      <c r="A9806">
        <f>HYPERLINK("https://www.philgeps.gov.ph/GEPSNONPILOT/Tender/SplashBidNoticeAbstractUI.aspx?menuIndex=3&amp;refID=7026950&amp;Result=3","7026950")</f>
        <v>0</v>
      </c>
      <c r="B9806" t="s">
        <v>1293</v>
      </c>
      <c r="C9806" t="s">
        <v>12067</v>
      </c>
      <c r="D9806" t="s">
        <v>13032</v>
      </c>
      <c r="E9806" t="s">
        <v>16755</v>
      </c>
      <c r="F9806" t="s">
        <v>22436</v>
      </c>
      <c r="G9806" t="s">
        <v>22444</v>
      </c>
      <c r="H9806" t="s">
        <v>22454</v>
      </c>
      <c r="I9806" t="s">
        <v>7738</v>
      </c>
      <c r="J9806" t="s">
        <v>22779</v>
      </c>
      <c r="K9806" t="s">
        <v>29334</v>
      </c>
      <c r="M9806" t="s">
        <v>30947</v>
      </c>
      <c r="N9806" t="s">
        <v>32524</v>
      </c>
      <c r="O9806" t="s">
        <v>32525</v>
      </c>
      <c r="P9806">
        <v>0</v>
      </c>
      <c r="Q9806">
        <v>4</v>
      </c>
      <c r="R9806" t="s">
        <v>32538</v>
      </c>
      <c r="S9806" t="s">
        <v>32872</v>
      </c>
      <c r="T9806" t="s">
        <v>33175</v>
      </c>
      <c r="U9806" t="s">
        <v>41685</v>
      </c>
      <c r="W9806" t="s">
        <v>30947</v>
      </c>
      <c r="X9806" t="s">
        <v>32539</v>
      </c>
    </row>
    <row r="9807" spans="1:24">
      <c r="A9807">
        <f>HYPERLINK("https://www.philgeps.gov.ph/GEPSNONPILOT/Tender/SplashBidNoticeAbstractUI.aspx?menuIndex=3&amp;refID=7026945&amp;Result=3","7026945")</f>
        <v>0</v>
      </c>
      <c r="B9807" t="s">
        <v>2499</v>
      </c>
      <c r="C9807" t="s">
        <v>12068</v>
      </c>
      <c r="D9807" t="s">
        <v>13058</v>
      </c>
      <c r="E9807" t="s">
        <v>21606</v>
      </c>
      <c r="F9807" t="s">
        <v>22436</v>
      </c>
      <c r="G9807" t="s">
        <v>22444</v>
      </c>
      <c r="H9807" t="s">
        <v>22454</v>
      </c>
      <c r="I9807" t="s">
        <v>7738</v>
      </c>
      <c r="J9807" t="s">
        <v>28798</v>
      </c>
      <c r="K9807" t="s">
        <v>29334</v>
      </c>
      <c r="M9807" t="s">
        <v>32305</v>
      </c>
      <c r="N9807" t="s">
        <v>32524</v>
      </c>
      <c r="O9807" t="s">
        <v>32525</v>
      </c>
      <c r="Q9807">
        <v>1</v>
      </c>
      <c r="R9807" t="s">
        <v>32538</v>
      </c>
      <c r="S9807" t="s">
        <v>32796</v>
      </c>
      <c r="T9807" t="s">
        <v>33181</v>
      </c>
      <c r="U9807" t="s">
        <v>41686</v>
      </c>
      <c r="W9807" t="s">
        <v>32305</v>
      </c>
      <c r="X9807" t="s">
        <v>32539</v>
      </c>
    </row>
    <row r="9808" spans="1:24">
      <c r="A9808">
        <f>HYPERLINK("https://www.philgeps.gov.ph/GEPSNONPILOT/Tender/SplashBidNoticeAbstractUI.aspx?menuIndex=3&amp;refID=7026977&amp;Result=3","7026977")</f>
        <v>0</v>
      </c>
      <c r="B9808" t="s">
        <v>1990</v>
      </c>
      <c r="C9808" t="s">
        <v>12069</v>
      </c>
      <c r="E9808" t="s">
        <v>21607</v>
      </c>
      <c r="F9808" t="s">
        <v>22436</v>
      </c>
      <c r="G9808" t="s">
        <v>22444</v>
      </c>
      <c r="H9808" t="s">
        <v>22454</v>
      </c>
      <c r="I9808" t="s">
        <v>7738</v>
      </c>
      <c r="J9808" t="s">
        <v>22893</v>
      </c>
      <c r="K9808" t="s">
        <v>29329</v>
      </c>
      <c r="M9808" t="s">
        <v>31722</v>
      </c>
      <c r="N9808" t="s">
        <v>32524</v>
      </c>
      <c r="O9808" t="s">
        <v>32525</v>
      </c>
      <c r="Q9808">
        <v>0</v>
      </c>
      <c r="R9808" t="s">
        <v>32538</v>
      </c>
      <c r="S9808" t="s">
        <v>32998</v>
      </c>
      <c r="T9808" t="s">
        <v>33184</v>
      </c>
      <c r="U9808" t="s">
        <v>41687</v>
      </c>
      <c r="V9808" t="s">
        <v>43127</v>
      </c>
      <c r="W9808" t="s">
        <v>31722</v>
      </c>
      <c r="X9808" t="s">
        <v>32539</v>
      </c>
    </row>
    <row r="9809" spans="1:24">
      <c r="A9809">
        <f>HYPERLINK("https://www.philgeps.gov.ph/GEPSNONPILOT/Tender/SplashBidNoticeAbstractUI.aspx?menuIndex=3&amp;refID=7026941&amp;Result=3","7026941")</f>
        <v>0</v>
      </c>
      <c r="B9809" t="s">
        <v>584</v>
      </c>
      <c r="C9809" t="s">
        <v>12070</v>
      </c>
      <c r="D9809" t="s">
        <v>12988</v>
      </c>
      <c r="E9809" t="s">
        <v>21608</v>
      </c>
      <c r="F9809" t="s">
        <v>22436</v>
      </c>
      <c r="G9809" t="s">
        <v>22444</v>
      </c>
      <c r="H9809" t="s">
        <v>22454</v>
      </c>
      <c r="I9809" t="s">
        <v>7738</v>
      </c>
      <c r="J9809" t="s">
        <v>28799</v>
      </c>
      <c r="K9809" t="s">
        <v>29345</v>
      </c>
      <c r="M9809" t="s">
        <v>32389</v>
      </c>
      <c r="N9809" t="s">
        <v>32524</v>
      </c>
      <c r="O9809" t="s">
        <v>32525</v>
      </c>
      <c r="P9809">
        <v>0</v>
      </c>
      <c r="Q9809">
        <v>60</v>
      </c>
      <c r="R9809" t="s">
        <v>32538</v>
      </c>
      <c r="S9809" t="s">
        <v>32872</v>
      </c>
      <c r="T9809" t="s">
        <v>33268</v>
      </c>
      <c r="U9809" t="s">
        <v>41688</v>
      </c>
      <c r="W9809" t="s">
        <v>32389</v>
      </c>
      <c r="X9809" t="s">
        <v>32539</v>
      </c>
    </row>
    <row r="9810" spans="1:24">
      <c r="A9810">
        <f>HYPERLINK("https://www.philgeps.gov.ph/GEPSNONPILOT/Tender/SplashBidNoticeAbstractUI.aspx?menuIndex=3&amp;refID=7026964&amp;Result=3","7026964")</f>
        <v>0</v>
      </c>
      <c r="B9810" t="s">
        <v>1070</v>
      </c>
      <c r="C9810" t="s">
        <v>12071</v>
      </c>
      <c r="E9810" t="s">
        <v>21609</v>
      </c>
      <c r="F9810" t="s">
        <v>22436</v>
      </c>
      <c r="G9810" t="s">
        <v>22444</v>
      </c>
      <c r="H9810" t="s">
        <v>22452</v>
      </c>
      <c r="I9810" t="s">
        <v>3358</v>
      </c>
      <c r="J9810" t="s">
        <v>28800</v>
      </c>
      <c r="K9810" t="s">
        <v>29338</v>
      </c>
      <c r="M9810" t="s">
        <v>32384</v>
      </c>
      <c r="N9810" t="s">
        <v>32524</v>
      </c>
      <c r="O9810" t="s">
        <v>32525</v>
      </c>
      <c r="P9810">
        <v>0</v>
      </c>
      <c r="Q9810">
        <v>1</v>
      </c>
      <c r="R9810" t="s">
        <v>32538</v>
      </c>
      <c r="S9810" t="s">
        <v>32872</v>
      </c>
      <c r="T9810" t="s">
        <v>33168</v>
      </c>
      <c r="U9810" t="s">
        <v>41689</v>
      </c>
      <c r="V9810" t="s">
        <v>43520</v>
      </c>
      <c r="W9810" t="s">
        <v>32384</v>
      </c>
      <c r="X9810" t="s">
        <v>32539</v>
      </c>
    </row>
    <row r="9811" spans="1:24">
      <c r="A9811">
        <f>HYPERLINK("https://www.philgeps.gov.ph/GEPSNONPILOT/Tender/SplashBidNoticeAbstractUI.aspx?menuIndex=3&amp;refID=7026948&amp;Result=3","7026948")</f>
        <v>0</v>
      </c>
      <c r="B9811" t="s">
        <v>584</v>
      </c>
      <c r="C9811" t="s">
        <v>12072</v>
      </c>
      <c r="D9811" t="s">
        <v>12988</v>
      </c>
      <c r="E9811" t="s">
        <v>21610</v>
      </c>
      <c r="F9811" t="s">
        <v>22436</v>
      </c>
      <c r="G9811" t="s">
        <v>22444</v>
      </c>
      <c r="H9811" t="s">
        <v>22454</v>
      </c>
      <c r="I9811" t="s">
        <v>7738</v>
      </c>
      <c r="J9811" t="s">
        <v>28801</v>
      </c>
      <c r="K9811" t="s">
        <v>29388</v>
      </c>
      <c r="M9811" t="s">
        <v>32389</v>
      </c>
      <c r="N9811" t="s">
        <v>32524</v>
      </c>
      <c r="O9811" t="s">
        <v>32525</v>
      </c>
      <c r="P9811">
        <v>0</v>
      </c>
      <c r="Q9811">
        <v>56</v>
      </c>
      <c r="R9811" t="s">
        <v>32538</v>
      </c>
      <c r="S9811" t="s">
        <v>32872</v>
      </c>
      <c r="T9811" t="s">
        <v>33268</v>
      </c>
      <c r="U9811" t="s">
        <v>41690</v>
      </c>
      <c r="W9811" t="s">
        <v>32389</v>
      </c>
      <c r="X9811" t="s">
        <v>32539</v>
      </c>
    </row>
    <row r="9812" spans="1:24">
      <c r="A9812">
        <f>HYPERLINK("https://www.philgeps.gov.ph/GEPSNONPILOT/Tender/SplashBidNoticeAbstractUI.aspx?menuIndex=3&amp;refID=7026968&amp;Result=3","7026968")</f>
        <v>0</v>
      </c>
      <c r="B9812" t="s">
        <v>1070</v>
      </c>
      <c r="C9812" t="s">
        <v>12073</v>
      </c>
      <c r="E9812" t="s">
        <v>21611</v>
      </c>
      <c r="F9812" t="s">
        <v>22436</v>
      </c>
      <c r="G9812" t="s">
        <v>22444</v>
      </c>
      <c r="H9812" t="s">
        <v>22452</v>
      </c>
      <c r="I9812" t="s">
        <v>22474</v>
      </c>
      <c r="J9812" t="s">
        <v>23350</v>
      </c>
      <c r="K9812" t="s">
        <v>29338</v>
      </c>
      <c r="M9812" t="s">
        <v>31602</v>
      </c>
      <c r="N9812" t="s">
        <v>32524</v>
      </c>
      <c r="O9812" t="s">
        <v>32525</v>
      </c>
      <c r="Q9812">
        <v>5</v>
      </c>
      <c r="R9812" t="s">
        <v>32538</v>
      </c>
      <c r="S9812" t="s">
        <v>32631</v>
      </c>
      <c r="T9812" t="s">
        <v>33168</v>
      </c>
      <c r="U9812" t="s">
        <v>41691</v>
      </c>
      <c r="V9812" t="s">
        <v>43520</v>
      </c>
      <c r="W9812" t="s">
        <v>31602</v>
      </c>
      <c r="X9812" t="s">
        <v>32539</v>
      </c>
    </row>
    <row r="9813" spans="1:24">
      <c r="A9813">
        <f>HYPERLINK("https://www.philgeps.gov.ph/GEPSNONPILOT/Tender/SplashBidNoticeAbstractUI.aspx?menuIndex=3&amp;refID=7026934&amp;Result=3","7026934")</f>
        <v>0</v>
      </c>
      <c r="B9813" t="s">
        <v>1461</v>
      </c>
      <c r="C9813" t="s">
        <v>12074</v>
      </c>
      <c r="D9813" t="s">
        <v>12994</v>
      </c>
      <c r="E9813" t="s">
        <v>21612</v>
      </c>
      <c r="F9813" t="s">
        <v>22436</v>
      </c>
      <c r="G9813" t="s">
        <v>22444</v>
      </c>
      <c r="H9813" t="s">
        <v>22454</v>
      </c>
      <c r="I9813" t="s">
        <v>7738</v>
      </c>
      <c r="J9813" t="s">
        <v>24295</v>
      </c>
      <c r="K9813" t="s">
        <v>29477</v>
      </c>
      <c r="M9813" t="s">
        <v>31129</v>
      </c>
      <c r="N9813" t="s">
        <v>32524</v>
      </c>
      <c r="O9813" t="s">
        <v>32525</v>
      </c>
      <c r="Q9813">
        <v>48</v>
      </c>
      <c r="R9813" t="s">
        <v>32538</v>
      </c>
      <c r="S9813" t="s">
        <v>32999</v>
      </c>
      <c r="T9813" t="s">
        <v>33182</v>
      </c>
      <c r="U9813" t="s">
        <v>41639</v>
      </c>
      <c r="W9813" t="s">
        <v>31129</v>
      </c>
      <c r="X9813" t="s">
        <v>32539</v>
      </c>
    </row>
    <row r="9814" spans="1:24">
      <c r="A9814">
        <f>HYPERLINK("https://www.philgeps.gov.ph/GEPSNONPILOT/Tender/SplashBidNoticeAbstractUI.aspx?menuIndex=3&amp;refID=7026931&amp;Result=3","7026931")</f>
        <v>0</v>
      </c>
      <c r="B9814" t="s">
        <v>1021</v>
      </c>
      <c r="C9814" t="s">
        <v>12075</v>
      </c>
      <c r="D9814" t="s">
        <v>13020</v>
      </c>
      <c r="E9814" t="s">
        <v>21613</v>
      </c>
      <c r="F9814" t="s">
        <v>22436</v>
      </c>
      <c r="G9814" t="s">
        <v>22444</v>
      </c>
      <c r="H9814" t="s">
        <v>22454</v>
      </c>
      <c r="I9814" t="s">
        <v>7738</v>
      </c>
      <c r="J9814" t="s">
        <v>23789</v>
      </c>
      <c r="K9814" t="s">
        <v>29345</v>
      </c>
      <c r="M9814" t="s">
        <v>32377</v>
      </c>
      <c r="N9814" t="s">
        <v>32524</v>
      </c>
      <c r="O9814" t="s">
        <v>32525</v>
      </c>
      <c r="Q9814">
        <v>100</v>
      </c>
      <c r="R9814" t="s">
        <v>32538</v>
      </c>
      <c r="S9814" t="s">
        <v>33000</v>
      </c>
      <c r="T9814" t="s">
        <v>33259</v>
      </c>
      <c r="U9814" t="s">
        <v>41628</v>
      </c>
      <c r="V9814" t="s">
        <v>43550</v>
      </c>
      <c r="W9814" t="s">
        <v>43766</v>
      </c>
      <c r="X9814" t="s">
        <v>32539</v>
      </c>
    </row>
    <row r="9815" spans="1:24">
      <c r="A9815">
        <f>HYPERLINK("https://www.philgeps.gov.ph/GEPSNONPILOT/Tender/SplashBidNoticeAbstractUI.aspx?menuIndex=3&amp;refID=7026975&amp;Result=3","7026975")</f>
        <v>0</v>
      </c>
      <c r="B9815" t="s">
        <v>456</v>
      </c>
      <c r="C9815" t="s">
        <v>12076</v>
      </c>
      <c r="D9815" t="s">
        <v>13045</v>
      </c>
      <c r="E9815" t="s">
        <v>21614</v>
      </c>
      <c r="F9815" t="s">
        <v>22436</v>
      </c>
      <c r="G9815" t="s">
        <v>22444</v>
      </c>
      <c r="H9815" t="s">
        <v>22452</v>
      </c>
      <c r="I9815" t="s">
        <v>3529</v>
      </c>
      <c r="J9815" t="s">
        <v>28802</v>
      </c>
      <c r="K9815" t="s">
        <v>29335</v>
      </c>
      <c r="M9815" t="s">
        <v>32392</v>
      </c>
      <c r="N9815" t="s">
        <v>32524</v>
      </c>
      <c r="O9815" t="s">
        <v>32525</v>
      </c>
      <c r="P9815">
        <v>0</v>
      </c>
      <c r="Q9815">
        <v>3</v>
      </c>
      <c r="R9815" t="s">
        <v>32538</v>
      </c>
      <c r="S9815" t="s">
        <v>32872</v>
      </c>
      <c r="T9815" t="s">
        <v>33592</v>
      </c>
      <c r="U9815" t="s">
        <v>41692</v>
      </c>
      <c r="W9815" t="s">
        <v>32392</v>
      </c>
      <c r="X9815" t="s">
        <v>32539</v>
      </c>
    </row>
    <row r="9816" spans="1:24">
      <c r="A9816">
        <f>HYPERLINK("https://www.philgeps.gov.ph/GEPSNONPILOT/Tender/SplashBidNoticeAbstractUI.aspx?menuIndex=3&amp;refID=7026979&amp;Result=3","7026979")</f>
        <v>0</v>
      </c>
      <c r="B9816" t="s">
        <v>1990</v>
      </c>
      <c r="C9816" t="s">
        <v>12077</v>
      </c>
      <c r="E9816" t="s">
        <v>21615</v>
      </c>
      <c r="F9816" t="s">
        <v>22436</v>
      </c>
      <c r="G9816" t="s">
        <v>22444</v>
      </c>
      <c r="H9816" t="s">
        <v>22454</v>
      </c>
      <c r="I9816" t="s">
        <v>7738</v>
      </c>
      <c r="J9816" t="s">
        <v>25312</v>
      </c>
      <c r="K9816" t="s">
        <v>29333</v>
      </c>
      <c r="M9816" t="s">
        <v>31722</v>
      </c>
      <c r="N9816" t="s">
        <v>32524</v>
      </c>
      <c r="O9816" t="s">
        <v>32525</v>
      </c>
      <c r="Q9816">
        <v>0</v>
      </c>
      <c r="R9816" t="s">
        <v>32538</v>
      </c>
      <c r="S9816" t="s">
        <v>33001</v>
      </c>
      <c r="T9816" t="s">
        <v>33184</v>
      </c>
      <c r="U9816" t="s">
        <v>41687</v>
      </c>
      <c r="V9816" t="s">
        <v>43127</v>
      </c>
      <c r="W9816" t="s">
        <v>31722</v>
      </c>
      <c r="X9816" t="s">
        <v>32539</v>
      </c>
    </row>
    <row r="9817" spans="1:24">
      <c r="A9817">
        <f>HYPERLINK("https://www.philgeps.gov.ph/GEPSNONPILOT/Tender/SplashBidNoticeAbstractUI.aspx?menuIndex=3&amp;refID=7026963&amp;Result=3","7026963")</f>
        <v>0</v>
      </c>
      <c r="B9817" t="s">
        <v>1293</v>
      </c>
      <c r="C9817" t="s">
        <v>12078</v>
      </c>
      <c r="D9817" t="s">
        <v>13032</v>
      </c>
      <c r="E9817" t="s">
        <v>13681</v>
      </c>
      <c r="F9817" t="s">
        <v>22436</v>
      </c>
      <c r="G9817" t="s">
        <v>22444</v>
      </c>
      <c r="H9817" t="s">
        <v>22454</v>
      </c>
      <c r="I9817" t="s">
        <v>7738</v>
      </c>
      <c r="J9817" t="s">
        <v>22806</v>
      </c>
      <c r="K9817" t="s">
        <v>29435</v>
      </c>
      <c r="M9817" t="s">
        <v>30947</v>
      </c>
      <c r="N9817" t="s">
        <v>32524</v>
      </c>
      <c r="O9817" t="s">
        <v>32525</v>
      </c>
      <c r="P9817">
        <v>0</v>
      </c>
      <c r="Q9817">
        <v>3</v>
      </c>
      <c r="R9817" t="s">
        <v>32538</v>
      </c>
      <c r="S9817" t="s">
        <v>32872</v>
      </c>
      <c r="T9817" t="s">
        <v>33175</v>
      </c>
      <c r="U9817" t="s">
        <v>41693</v>
      </c>
      <c r="W9817" t="s">
        <v>30947</v>
      </c>
      <c r="X9817" t="s">
        <v>32539</v>
      </c>
    </row>
    <row r="9818" spans="1:24">
      <c r="A9818">
        <f>HYPERLINK("https://www.philgeps.gov.ph/GEPSNONPILOT/Tender/SplashBidNoticeAbstractUI.aspx?menuIndex=3&amp;refID=7026986&amp;Result=3","7026986")</f>
        <v>0</v>
      </c>
      <c r="B9818" t="s">
        <v>1990</v>
      </c>
      <c r="C9818" t="s">
        <v>12079</v>
      </c>
      <c r="E9818" t="s">
        <v>21616</v>
      </c>
      <c r="F9818" t="s">
        <v>22436</v>
      </c>
      <c r="G9818" t="s">
        <v>22444</v>
      </c>
      <c r="H9818" t="s">
        <v>22454</v>
      </c>
      <c r="I9818" t="s">
        <v>7738</v>
      </c>
      <c r="J9818" t="s">
        <v>22893</v>
      </c>
      <c r="K9818" t="s">
        <v>29329</v>
      </c>
      <c r="M9818" t="s">
        <v>31722</v>
      </c>
      <c r="N9818" t="s">
        <v>32524</v>
      </c>
      <c r="O9818" t="s">
        <v>32525</v>
      </c>
      <c r="Q9818">
        <v>0</v>
      </c>
      <c r="R9818" t="s">
        <v>32538</v>
      </c>
      <c r="S9818" t="s">
        <v>33002</v>
      </c>
      <c r="T9818" t="s">
        <v>33184</v>
      </c>
      <c r="U9818" t="s">
        <v>41687</v>
      </c>
      <c r="V9818" t="s">
        <v>43127</v>
      </c>
      <c r="W9818" t="s">
        <v>31722</v>
      </c>
      <c r="X9818" t="s">
        <v>32539</v>
      </c>
    </row>
    <row r="9819" spans="1:24">
      <c r="A9819">
        <f>HYPERLINK("https://www.philgeps.gov.ph/GEPSNONPILOT/Tender/SplashBidNoticeAbstractUI.aspx?menuIndex=3&amp;refID=7026989&amp;Result=3","7026989")</f>
        <v>0</v>
      </c>
      <c r="B9819" t="s">
        <v>1990</v>
      </c>
      <c r="C9819" t="s">
        <v>12080</v>
      </c>
      <c r="E9819" t="s">
        <v>21617</v>
      </c>
      <c r="F9819" t="s">
        <v>22436</v>
      </c>
      <c r="G9819" t="s">
        <v>22444</v>
      </c>
      <c r="H9819" t="s">
        <v>22454</v>
      </c>
      <c r="I9819" t="s">
        <v>7738</v>
      </c>
      <c r="J9819" t="s">
        <v>22779</v>
      </c>
      <c r="K9819" t="s">
        <v>29347</v>
      </c>
      <c r="M9819" t="s">
        <v>31722</v>
      </c>
      <c r="N9819" t="s">
        <v>32524</v>
      </c>
      <c r="O9819" t="s">
        <v>32525</v>
      </c>
      <c r="Q9819">
        <v>0</v>
      </c>
      <c r="R9819" t="s">
        <v>32538</v>
      </c>
      <c r="S9819" t="s">
        <v>33002</v>
      </c>
      <c r="T9819" t="s">
        <v>33184</v>
      </c>
      <c r="U9819" t="s">
        <v>41687</v>
      </c>
      <c r="V9819" t="s">
        <v>43127</v>
      </c>
      <c r="W9819" t="s">
        <v>31722</v>
      </c>
      <c r="X9819" t="s">
        <v>32539</v>
      </c>
    </row>
    <row r="9820" spans="1:24">
      <c r="A9820">
        <f>HYPERLINK("https://www.philgeps.gov.ph/GEPSNONPILOT/Tender/SplashBidNoticeAbstractUI.aspx?menuIndex=3&amp;refID=7026984&amp;Result=3","7026984")</f>
        <v>0</v>
      </c>
      <c r="B9820" t="s">
        <v>1990</v>
      </c>
      <c r="C9820" t="s">
        <v>12081</v>
      </c>
      <c r="E9820" t="s">
        <v>21618</v>
      </c>
      <c r="F9820" t="s">
        <v>22436</v>
      </c>
      <c r="G9820" t="s">
        <v>22444</v>
      </c>
      <c r="H9820" t="s">
        <v>22454</v>
      </c>
      <c r="I9820" t="s">
        <v>7738</v>
      </c>
      <c r="J9820" t="s">
        <v>22893</v>
      </c>
      <c r="K9820" t="s">
        <v>29329</v>
      </c>
      <c r="M9820" t="s">
        <v>31722</v>
      </c>
      <c r="N9820" t="s">
        <v>32524</v>
      </c>
      <c r="O9820" t="s">
        <v>32525</v>
      </c>
      <c r="Q9820">
        <v>0</v>
      </c>
      <c r="R9820" t="s">
        <v>32538</v>
      </c>
      <c r="S9820" t="s">
        <v>33003</v>
      </c>
      <c r="T9820" t="s">
        <v>33184</v>
      </c>
      <c r="U9820" t="s">
        <v>41687</v>
      </c>
      <c r="V9820" t="s">
        <v>43127</v>
      </c>
      <c r="W9820" t="s">
        <v>31722</v>
      </c>
      <c r="X9820" t="s">
        <v>32539</v>
      </c>
    </row>
    <row r="9821" spans="1:24">
      <c r="A9821">
        <f>HYPERLINK("https://www.philgeps.gov.ph/GEPSNONPILOT/Tender/SplashBidNoticeAbstractUI.aspx?menuIndex=3&amp;refID=7026944&amp;Result=3","7026944")</f>
        <v>0</v>
      </c>
      <c r="B9821" t="s">
        <v>1021</v>
      </c>
      <c r="C9821" t="s">
        <v>12082</v>
      </c>
      <c r="D9821" t="s">
        <v>13020</v>
      </c>
      <c r="E9821" t="s">
        <v>21619</v>
      </c>
      <c r="F9821" t="s">
        <v>22436</v>
      </c>
      <c r="G9821" t="s">
        <v>22444</v>
      </c>
      <c r="H9821" t="s">
        <v>22454</v>
      </c>
      <c r="I9821" t="s">
        <v>7738</v>
      </c>
      <c r="J9821" t="s">
        <v>22960</v>
      </c>
      <c r="K9821" t="s">
        <v>29346</v>
      </c>
      <c r="M9821" t="s">
        <v>32377</v>
      </c>
      <c r="N9821" t="s">
        <v>32524</v>
      </c>
      <c r="O9821" t="s">
        <v>32525</v>
      </c>
      <c r="Q9821">
        <v>91</v>
      </c>
      <c r="R9821" t="s">
        <v>32538</v>
      </c>
      <c r="S9821" t="s">
        <v>33004</v>
      </c>
      <c r="T9821" t="s">
        <v>33259</v>
      </c>
      <c r="U9821" t="s">
        <v>41628</v>
      </c>
      <c r="V9821" t="s">
        <v>43551</v>
      </c>
      <c r="W9821" t="s">
        <v>43766</v>
      </c>
      <c r="X9821" t="s">
        <v>32539</v>
      </c>
    </row>
    <row r="9822" spans="1:24">
      <c r="A9822">
        <f>HYPERLINK("https://www.philgeps.gov.ph/GEPSNONPILOT/Tender/SplashBidNoticeAbstractUI.aspx?menuIndex=3&amp;refID=7026999&amp;Result=3","7026999")</f>
        <v>0</v>
      </c>
      <c r="B9822" t="s">
        <v>1730</v>
      </c>
      <c r="C9822" t="s">
        <v>12083</v>
      </c>
      <c r="D9822" t="s">
        <v>13022</v>
      </c>
      <c r="E9822" t="s">
        <v>21620</v>
      </c>
      <c r="F9822" t="s">
        <v>22436</v>
      </c>
      <c r="G9822" t="s">
        <v>22444</v>
      </c>
      <c r="H9822" t="s">
        <v>22454</v>
      </c>
      <c r="I9822" t="s">
        <v>7738</v>
      </c>
      <c r="J9822" t="s">
        <v>24130</v>
      </c>
      <c r="K9822" t="s">
        <v>29575</v>
      </c>
      <c r="M9822" t="s">
        <v>31435</v>
      </c>
      <c r="N9822" t="s">
        <v>32524</v>
      </c>
      <c r="O9822" t="s">
        <v>32525</v>
      </c>
      <c r="P9822">
        <v>0</v>
      </c>
      <c r="Q9822">
        <v>5</v>
      </c>
      <c r="R9822" t="s">
        <v>32538</v>
      </c>
      <c r="S9822" t="s">
        <v>32872</v>
      </c>
      <c r="T9822" t="s">
        <v>33168</v>
      </c>
      <c r="U9822" t="s">
        <v>41694</v>
      </c>
      <c r="V9822" t="s">
        <v>43525</v>
      </c>
      <c r="W9822" t="s">
        <v>31435</v>
      </c>
      <c r="X9822" t="s">
        <v>32539</v>
      </c>
    </row>
    <row r="9823" spans="1:24">
      <c r="A9823">
        <f>HYPERLINK("https://www.philgeps.gov.ph/GEPSNONPILOT/Tender/SplashBidNoticeAbstractUI.aspx?menuIndex=3&amp;refID=7027005&amp;Result=3","7027005")</f>
        <v>0</v>
      </c>
      <c r="B9823" t="s">
        <v>2570</v>
      </c>
      <c r="C9823" t="s">
        <v>12084</v>
      </c>
      <c r="E9823" t="s">
        <v>21621</v>
      </c>
      <c r="F9823" t="s">
        <v>22436</v>
      </c>
      <c r="G9823" t="s">
        <v>22444</v>
      </c>
      <c r="H9823" t="s">
        <v>22452</v>
      </c>
      <c r="I9823" t="s">
        <v>22461</v>
      </c>
      <c r="J9823" t="s">
        <v>22960</v>
      </c>
      <c r="K9823" t="s">
        <v>29338</v>
      </c>
      <c r="M9823" t="s">
        <v>32393</v>
      </c>
      <c r="N9823" t="s">
        <v>32524</v>
      </c>
      <c r="O9823" t="s">
        <v>32525</v>
      </c>
      <c r="P9823">
        <v>0</v>
      </c>
      <c r="Q9823">
        <v>1</v>
      </c>
      <c r="R9823" t="s">
        <v>32538</v>
      </c>
      <c r="S9823" t="s">
        <v>32872</v>
      </c>
      <c r="T9823" t="s">
        <v>33249</v>
      </c>
      <c r="U9823" t="s">
        <v>41695</v>
      </c>
      <c r="W9823" t="s">
        <v>32393</v>
      </c>
      <c r="X9823" t="s">
        <v>32539</v>
      </c>
    </row>
    <row r="9824" spans="1:24">
      <c r="A9824">
        <f>HYPERLINK("https://www.philgeps.gov.ph/GEPSNONPILOT/Tender/SplashBidNoticeAbstractUI.aspx?menuIndex=3&amp;refID=7026981&amp;Result=3","7026981")</f>
        <v>0</v>
      </c>
      <c r="B9824" t="s">
        <v>1990</v>
      </c>
      <c r="C9824" t="s">
        <v>12085</v>
      </c>
      <c r="E9824" t="s">
        <v>21622</v>
      </c>
      <c r="F9824" t="s">
        <v>22436</v>
      </c>
      <c r="G9824" t="s">
        <v>22444</v>
      </c>
      <c r="H9824" t="s">
        <v>22454</v>
      </c>
      <c r="I9824" t="s">
        <v>7738</v>
      </c>
      <c r="J9824" t="s">
        <v>22779</v>
      </c>
      <c r="K9824" t="s">
        <v>29333</v>
      </c>
      <c r="M9824" t="s">
        <v>31722</v>
      </c>
      <c r="N9824" t="s">
        <v>32524</v>
      </c>
      <c r="O9824" t="s">
        <v>32525</v>
      </c>
      <c r="Q9824">
        <v>0</v>
      </c>
      <c r="R9824" t="s">
        <v>32538</v>
      </c>
      <c r="S9824" t="s">
        <v>33001</v>
      </c>
      <c r="T9824" t="s">
        <v>33184</v>
      </c>
      <c r="U9824" t="s">
        <v>41687</v>
      </c>
      <c r="V9824" t="s">
        <v>43127</v>
      </c>
      <c r="W9824" t="s">
        <v>31722</v>
      </c>
      <c r="X9824" t="s">
        <v>32539</v>
      </c>
    </row>
    <row r="9825" spans="1:24">
      <c r="A9825">
        <f>HYPERLINK("https://www.philgeps.gov.ph/GEPSNONPILOT/Tender/SplashBidNoticeAbstractUI.aspx?menuIndex=3&amp;refID=7026995&amp;Result=3","7026995")</f>
        <v>0</v>
      </c>
      <c r="B9825" t="s">
        <v>1990</v>
      </c>
      <c r="C9825" t="s">
        <v>12086</v>
      </c>
      <c r="E9825" t="s">
        <v>21623</v>
      </c>
      <c r="F9825" t="s">
        <v>22436</v>
      </c>
      <c r="G9825" t="s">
        <v>22444</v>
      </c>
      <c r="H9825" t="s">
        <v>22454</v>
      </c>
      <c r="I9825" t="s">
        <v>7738</v>
      </c>
      <c r="J9825" t="s">
        <v>22779</v>
      </c>
      <c r="K9825" t="s">
        <v>29329</v>
      </c>
      <c r="M9825" t="s">
        <v>31722</v>
      </c>
      <c r="N9825" t="s">
        <v>32524</v>
      </c>
      <c r="O9825" t="s">
        <v>32525</v>
      </c>
      <c r="Q9825">
        <v>0</v>
      </c>
      <c r="R9825" t="s">
        <v>32538</v>
      </c>
      <c r="S9825" t="s">
        <v>33005</v>
      </c>
      <c r="T9825" t="s">
        <v>33184</v>
      </c>
      <c r="U9825" t="s">
        <v>41687</v>
      </c>
      <c r="V9825" t="s">
        <v>43127</v>
      </c>
      <c r="W9825" t="s">
        <v>31722</v>
      </c>
      <c r="X9825" t="s">
        <v>32539</v>
      </c>
    </row>
    <row r="9826" spans="1:24">
      <c r="A9826">
        <f>HYPERLINK("https://www.philgeps.gov.ph/GEPSNONPILOT/Tender/SplashBidNoticeAbstractUI.aspx?menuIndex=3&amp;refID=7026992&amp;Result=3","7026992")</f>
        <v>0</v>
      </c>
      <c r="B9826" t="s">
        <v>1990</v>
      </c>
      <c r="C9826" t="s">
        <v>12087</v>
      </c>
      <c r="E9826" t="s">
        <v>21624</v>
      </c>
      <c r="F9826" t="s">
        <v>22436</v>
      </c>
      <c r="G9826" t="s">
        <v>22444</v>
      </c>
      <c r="H9826" t="s">
        <v>22454</v>
      </c>
      <c r="I9826" t="s">
        <v>7738</v>
      </c>
      <c r="J9826" t="s">
        <v>22779</v>
      </c>
      <c r="K9826" t="s">
        <v>29333</v>
      </c>
      <c r="M9826" t="s">
        <v>31722</v>
      </c>
      <c r="N9826" t="s">
        <v>32524</v>
      </c>
      <c r="O9826" t="s">
        <v>32525</v>
      </c>
      <c r="Q9826">
        <v>0</v>
      </c>
      <c r="R9826" t="s">
        <v>32538</v>
      </c>
      <c r="S9826" t="s">
        <v>33006</v>
      </c>
      <c r="T9826" t="s">
        <v>33184</v>
      </c>
      <c r="U9826" t="s">
        <v>41687</v>
      </c>
      <c r="V9826" t="s">
        <v>43127</v>
      </c>
      <c r="W9826" t="s">
        <v>31722</v>
      </c>
      <c r="X9826" t="s">
        <v>32539</v>
      </c>
    </row>
    <row r="9827" spans="1:24">
      <c r="A9827">
        <f>HYPERLINK("https://www.philgeps.gov.ph/GEPSNONPILOT/Tender/SplashBidNoticeAbstractUI.aspx?menuIndex=3&amp;refID=7027001&amp;Result=3","7027001")</f>
        <v>0</v>
      </c>
      <c r="B9827" t="s">
        <v>1730</v>
      </c>
      <c r="C9827" t="s">
        <v>12088</v>
      </c>
      <c r="D9827" t="s">
        <v>13022</v>
      </c>
      <c r="E9827" t="s">
        <v>21625</v>
      </c>
      <c r="F9827" t="s">
        <v>22436</v>
      </c>
      <c r="G9827" t="s">
        <v>22444</v>
      </c>
      <c r="H9827" t="s">
        <v>22454</v>
      </c>
      <c r="I9827" t="s">
        <v>7738</v>
      </c>
      <c r="J9827" t="s">
        <v>24130</v>
      </c>
      <c r="K9827" t="s">
        <v>29575</v>
      </c>
      <c r="M9827" t="s">
        <v>31435</v>
      </c>
      <c r="N9827" t="s">
        <v>32524</v>
      </c>
      <c r="O9827" t="s">
        <v>32525</v>
      </c>
      <c r="P9827">
        <v>0</v>
      </c>
      <c r="Q9827">
        <v>5</v>
      </c>
      <c r="R9827" t="s">
        <v>32538</v>
      </c>
      <c r="S9827" t="s">
        <v>32872</v>
      </c>
      <c r="T9827" t="s">
        <v>33168</v>
      </c>
      <c r="U9827" t="s">
        <v>41696</v>
      </c>
      <c r="V9827" t="s">
        <v>43525</v>
      </c>
      <c r="W9827" t="s">
        <v>31435</v>
      </c>
      <c r="X9827" t="s">
        <v>32539</v>
      </c>
    </row>
    <row r="9828" spans="1:24">
      <c r="A9828">
        <f>HYPERLINK("https://www.philgeps.gov.ph/GEPSNONPILOT/Tender/SplashBidNoticeAbstractUI.aspx?menuIndex=3&amp;refID=7026994&amp;Result=3","7026994")</f>
        <v>0</v>
      </c>
      <c r="B9828" t="s">
        <v>684</v>
      </c>
      <c r="C9828" t="s">
        <v>12089</v>
      </c>
      <c r="D9828" t="s">
        <v>13010</v>
      </c>
      <c r="E9828" t="s">
        <v>21626</v>
      </c>
      <c r="F9828" t="s">
        <v>22436</v>
      </c>
      <c r="G9828" t="s">
        <v>22444</v>
      </c>
      <c r="H9828" t="s">
        <v>22454</v>
      </c>
      <c r="I9828" t="s">
        <v>7738</v>
      </c>
      <c r="J9828" t="s">
        <v>28635</v>
      </c>
      <c r="K9828" t="s">
        <v>29344</v>
      </c>
      <c r="M9828" t="s">
        <v>32386</v>
      </c>
      <c r="N9828" t="s">
        <v>32524</v>
      </c>
      <c r="O9828" t="s">
        <v>32525</v>
      </c>
      <c r="Q9828">
        <v>4</v>
      </c>
      <c r="R9828" t="s">
        <v>32538</v>
      </c>
      <c r="S9828" t="s">
        <v>33007</v>
      </c>
      <c r="T9828" t="s">
        <v>33181</v>
      </c>
      <c r="U9828" t="s">
        <v>41654</v>
      </c>
      <c r="W9828" t="s">
        <v>32386</v>
      </c>
      <c r="X9828" t="s">
        <v>32539</v>
      </c>
    </row>
    <row r="9829" spans="1:24">
      <c r="A9829">
        <f>HYPERLINK("https://www.philgeps.gov.ph/GEPSNONPILOT/Tender/SplashBidNoticeAbstractUI.aspx?menuIndex=3&amp;refID=7027012&amp;Result=3","7027012")</f>
        <v>0</v>
      </c>
      <c r="B9829" t="s">
        <v>1730</v>
      </c>
      <c r="C9829" t="s">
        <v>12090</v>
      </c>
      <c r="D9829" t="s">
        <v>13022</v>
      </c>
      <c r="E9829" t="s">
        <v>21627</v>
      </c>
      <c r="F9829" t="s">
        <v>22436</v>
      </c>
      <c r="G9829" t="s">
        <v>22444</v>
      </c>
      <c r="H9829" t="s">
        <v>22454</v>
      </c>
      <c r="I9829" t="s">
        <v>7738</v>
      </c>
      <c r="J9829" t="s">
        <v>28618</v>
      </c>
      <c r="K9829" t="s">
        <v>29490</v>
      </c>
      <c r="M9829" t="s">
        <v>31435</v>
      </c>
      <c r="N9829" t="s">
        <v>32524</v>
      </c>
      <c r="O9829" t="s">
        <v>32525</v>
      </c>
      <c r="P9829">
        <v>0</v>
      </c>
      <c r="Q9829">
        <v>5</v>
      </c>
      <c r="R9829" t="s">
        <v>32538</v>
      </c>
      <c r="S9829" t="s">
        <v>32872</v>
      </c>
      <c r="T9829" t="s">
        <v>33168</v>
      </c>
      <c r="U9829" t="s">
        <v>41697</v>
      </c>
      <c r="V9829" t="s">
        <v>43525</v>
      </c>
      <c r="W9829" t="s">
        <v>31435</v>
      </c>
      <c r="X9829" t="s">
        <v>32539</v>
      </c>
    </row>
    <row r="9830" spans="1:24">
      <c r="A9830">
        <f>HYPERLINK("https://www.philgeps.gov.ph/GEPSNONPILOT/Tender/SplashBidNoticeAbstractUI.aspx?menuIndex=3&amp;refID=7026990&amp;Result=3","7026990")</f>
        <v>0</v>
      </c>
      <c r="B9830" t="s">
        <v>1070</v>
      </c>
      <c r="C9830" t="s">
        <v>12091</v>
      </c>
      <c r="E9830" t="s">
        <v>21628</v>
      </c>
      <c r="F9830" t="s">
        <v>22436</v>
      </c>
      <c r="G9830" t="s">
        <v>22444</v>
      </c>
      <c r="H9830" t="s">
        <v>22452</v>
      </c>
      <c r="I9830" t="s">
        <v>22492</v>
      </c>
      <c r="J9830" t="s">
        <v>28803</v>
      </c>
      <c r="K9830" t="s">
        <v>29338</v>
      </c>
      <c r="M9830" t="s">
        <v>31602</v>
      </c>
      <c r="N9830" t="s">
        <v>32524</v>
      </c>
      <c r="O9830" t="s">
        <v>32525</v>
      </c>
      <c r="Q9830">
        <v>3</v>
      </c>
      <c r="R9830" t="s">
        <v>32538</v>
      </c>
      <c r="S9830" t="s">
        <v>33008</v>
      </c>
      <c r="T9830" t="s">
        <v>33168</v>
      </c>
      <c r="U9830" t="s">
        <v>41698</v>
      </c>
      <c r="V9830" t="s">
        <v>43520</v>
      </c>
      <c r="W9830" t="s">
        <v>31602</v>
      </c>
      <c r="X9830" t="s">
        <v>32539</v>
      </c>
    </row>
    <row r="9831" spans="1:24">
      <c r="A9831">
        <f>HYPERLINK("https://www.philgeps.gov.ph/GEPSNONPILOT/Tender/SplashBidNoticeAbstractUI.aspx?menuIndex=3&amp;refID=7027017&amp;Result=3","7027017")</f>
        <v>0</v>
      </c>
      <c r="B9831" t="s">
        <v>2571</v>
      </c>
      <c r="C9831" t="s">
        <v>12092</v>
      </c>
      <c r="D9831" t="s">
        <v>13045</v>
      </c>
      <c r="E9831" t="s">
        <v>21629</v>
      </c>
      <c r="F9831" t="s">
        <v>22436</v>
      </c>
      <c r="G9831" t="s">
        <v>22444</v>
      </c>
      <c r="H9831" t="s">
        <v>22452</v>
      </c>
      <c r="I9831" t="s">
        <v>22471</v>
      </c>
      <c r="J9831" t="s">
        <v>28804</v>
      </c>
      <c r="K9831" t="s">
        <v>29335</v>
      </c>
      <c r="M9831" t="s">
        <v>32394</v>
      </c>
      <c r="N9831" t="s">
        <v>32524</v>
      </c>
      <c r="O9831" t="s">
        <v>32525</v>
      </c>
      <c r="P9831">
        <v>0</v>
      </c>
      <c r="Q9831">
        <v>9</v>
      </c>
      <c r="R9831" t="s">
        <v>32538</v>
      </c>
      <c r="S9831" t="s">
        <v>32872</v>
      </c>
      <c r="T9831" t="s">
        <v>33400</v>
      </c>
      <c r="U9831" t="s">
        <v>41699</v>
      </c>
      <c r="W9831" t="s">
        <v>32394</v>
      </c>
      <c r="X9831" t="s">
        <v>32539</v>
      </c>
    </row>
    <row r="9832" spans="1:24">
      <c r="A9832">
        <f>HYPERLINK("https://www.philgeps.gov.ph/GEPSNONPILOT/Tender/SplashBidNoticeAbstractUI.aspx?menuIndex=3&amp;refID=7027006&amp;Result=3","7027006")</f>
        <v>0</v>
      </c>
      <c r="B9832" t="s">
        <v>1730</v>
      </c>
      <c r="C9832" t="s">
        <v>12093</v>
      </c>
      <c r="D9832" t="s">
        <v>13022</v>
      </c>
      <c r="E9832" t="s">
        <v>21630</v>
      </c>
      <c r="F9832" t="s">
        <v>22436</v>
      </c>
      <c r="G9832" t="s">
        <v>22444</v>
      </c>
      <c r="H9832" t="s">
        <v>22454</v>
      </c>
      <c r="I9832" t="s">
        <v>7738</v>
      </c>
      <c r="J9832" t="s">
        <v>28805</v>
      </c>
      <c r="K9832" t="s">
        <v>29354</v>
      </c>
      <c r="M9832" t="s">
        <v>31435</v>
      </c>
      <c r="N9832" t="s">
        <v>32524</v>
      </c>
      <c r="O9832" t="s">
        <v>32525</v>
      </c>
      <c r="P9832">
        <v>0</v>
      </c>
      <c r="Q9832">
        <v>5</v>
      </c>
      <c r="R9832" t="s">
        <v>32538</v>
      </c>
      <c r="S9832" t="s">
        <v>32872</v>
      </c>
      <c r="T9832" t="s">
        <v>33168</v>
      </c>
      <c r="U9832" t="s">
        <v>41700</v>
      </c>
      <c r="V9832" t="s">
        <v>43525</v>
      </c>
      <c r="W9832" t="s">
        <v>31435</v>
      </c>
      <c r="X9832" t="s">
        <v>32539</v>
      </c>
    </row>
    <row r="9833" spans="1:24">
      <c r="A9833">
        <f>HYPERLINK("https://www.philgeps.gov.ph/GEPSNONPILOT/Tender/SplashBidNoticeAbstractUI.aspx?menuIndex=3&amp;refID=7027023&amp;Result=3","7027023")</f>
        <v>0</v>
      </c>
      <c r="B9833" t="s">
        <v>2565</v>
      </c>
      <c r="C9833" t="s">
        <v>12094</v>
      </c>
      <c r="D9833" t="s">
        <v>12988</v>
      </c>
      <c r="E9833" t="s">
        <v>21631</v>
      </c>
      <c r="F9833" t="s">
        <v>22437</v>
      </c>
      <c r="G9833" t="s">
        <v>22444</v>
      </c>
      <c r="H9833" t="s">
        <v>22452</v>
      </c>
      <c r="I9833" t="s">
        <v>3122</v>
      </c>
      <c r="J9833" t="s">
        <v>22605</v>
      </c>
      <c r="K9833" t="s">
        <v>29338</v>
      </c>
      <c r="M9833" t="s">
        <v>32382</v>
      </c>
      <c r="N9833" t="s">
        <v>32524</v>
      </c>
      <c r="O9833" t="s">
        <v>32525</v>
      </c>
      <c r="P9833">
        <v>0</v>
      </c>
      <c r="Q9833">
        <v>0</v>
      </c>
      <c r="R9833" t="s">
        <v>32538</v>
      </c>
      <c r="S9833" t="s">
        <v>32872</v>
      </c>
      <c r="T9833" t="s">
        <v>33185</v>
      </c>
      <c r="U9833" t="s">
        <v>41701</v>
      </c>
      <c r="W9833" t="s">
        <v>32382</v>
      </c>
      <c r="X9833" t="s">
        <v>32539</v>
      </c>
    </row>
    <row r="9834" spans="1:24">
      <c r="A9834">
        <f>HYPERLINK("https://www.philgeps.gov.ph/GEPSNONPILOT/Tender/SplashBidNoticeAbstractUI.aspx?menuIndex=3&amp;refID=7027013&amp;Result=3","7027013")</f>
        <v>0</v>
      </c>
      <c r="B9834" t="s">
        <v>2572</v>
      </c>
      <c r="C9834" t="s">
        <v>12095</v>
      </c>
      <c r="D9834" t="s">
        <v>13033</v>
      </c>
      <c r="E9834" t="s">
        <v>13137</v>
      </c>
      <c r="F9834" t="s">
        <v>22436</v>
      </c>
      <c r="G9834" t="s">
        <v>22444</v>
      </c>
      <c r="H9834" t="s">
        <v>22454</v>
      </c>
      <c r="I9834" t="s">
        <v>7738</v>
      </c>
      <c r="J9834" t="s">
        <v>22640</v>
      </c>
      <c r="K9834" t="s">
        <v>29335</v>
      </c>
      <c r="M9834" t="s">
        <v>32395</v>
      </c>
      <c r="N9834" t="s">
        <v>32524</v>
      </c>
      <c r="O9834" t="s">
        <v>32525</v>
      </c>
      <c r="P9834">
        <v>0</v>
      </c>
      <c r="Q9834">
        <v>2</v>
      </c>
      <c r="R9834" t="s">
        <v>32538</v>
      </c>
      <c r="S9834" t="s">
        <v>32872</v>
      </c>
      <c r="T9834" t="s">
        <v>33159</v>
      </c>
      <c r="U9834" t="s">
        <v>41702</v>
      </c>
      <c r="W9834" t="s">
        <v>32395</v>
      </c>
      <c r="X9834" t="s">
        <v>32539</v>
      </c>
    </row>
    <row r="9835" spans="1:24">
      <c r="A9835">
        <f>HYPERLINK("https://www.philgeps.gov.ph/GEPSNONPILOT/Tender/SplashBidNoticeAbstractUI.aspx?menuIndex=3&amp;refID=7027008&amp;Result=3","7027008")</f>
        <v>0</v>
      </c>
      <c r="B9835" t="s">
        <v>1730</v>
      </c>
      <c r="C9835" t="s">
        <v>12096</v>
      </c>
      <c r="D9835" t="s">
        <v>13022</v>
      </c>
      <c r="E9835" t="s">
        <v>21632</v>
      </c>
      <c r="F9835" t="s">
        <v>22436</v>
      </c>
      <c r="G9835" t="s">
        <v>22444</v>
      </c>
      <c r="H9835" t="s">
        <v>22454</v>
      </c>
      <c r="I9835" t="s">
        <v>7738</v>
      </c>
      <c r="J9835" t="s">
        <v>28618</v>
      </c>
      <c r="K9835" t="s">
        <v>29396</v>
      </c>
      <c r="M9835" t="s">
        <v>31435</v>
      </c>
      <c r="N9835" t="s">
        <v>32524</v>
      </c>
      <c r="O9835" t="s">
        <v>32525</v>
      </c>
      <c r="P9835">
        <v>0</v>
      </c>
      <c r="Q9835">
        <v>4</v>
      </c>
      <c r="R9835" t="s">
        <v>32538</v>
      </c>
      <c r="S9835" t="s">
        <v>32872</v>
      </c>
      <c r="T9835" t="s">
        <v>33168</v>
      </c>
      <c r="U9835" t="s">
        <v>41703</v>
      </c>
      <c r="V9835" t="s">
        <v>43525</v>
      </c>
      <c r="W9835" t="s">
        <v>31435</v>
      </c>
      <c r="X9835" t="s">
        <v>32539</v>
      </c>
    </row>
    <row r="9836" spans="1:24">
      <c r="A9836">
        <f>HYPERLINK("https://www.philgeps.gov.ph/GEPSNONPILOT/Tender/SplashBidNoticeAbstractUI.aspx?menuIndex=3&amp;refID=7027024&amp;Result=3","7027024")</f>
        <v>0</v>
      </c>
      <c r="B9836" t="s">
        <v>1730</v>
      </c>
      <c r="C9836" t="s">
        <v>12097</v>
      </c>
      <c r="D9836" t="s">
        <v>13022</v>
      </c>
      <c r="E9836" t="s">
        <v>21633</v>
      </c>
      <c r="F9836" t="s">
        <v>22436</v>
      </c>
      <c r="G9836" t="s">
        <v>22444</v>
      </c>
      <c r="H9836" t="s">
        <v>22454</v>
      </c>
      <c r="I9836" t="s">
        <v>7738</v>
      </c>
      <c r="J9836" t="s">
        <v>24103</v>
      </c>
      <c r="K9836" t="s">
        <v>29438</v>
      </c>
      <c r="M9836" t="s">
        <v>31435</v>
      </c>
      <c r="N9836" t="s">
        <v>32524</v>
      </c>
      <c r="O9836" t="s">
        <v>32525</v>
      </c>
      <c r="P9836">
        <v>0</v>
      </c>
      <c r="Q9836">
        <v>5</v>
      </c>
      <c r="R9836" t="s">
        <v>32538</v>
      </c>
      <c r="S9836" t="s">
        <v>32872</v>
      </c>
      <c r="T9836" t="s">
        <v>33168</v>
      </c>
      <c r="U9836" t="s">
        <v>41704</v>
      </c>
      <c r="V9836" t="s">
        <v>43525</v>
      </c>
      <c r="W9836" t="s">
        <v>31435</v>
      </c>
      <c r="X9836" t="s">
        <v>32539</v>
      </c>
    </row>
    <row r="9837" spans="1:24">
      <c r="A9837">
        <f>HYPERLINK("https://www.philgeps.gov.ph/GEPSNONPILOT/Tender/SplashBidNoticeAbstractUI.aspx?menuIndex=3&amp;refID=7027016&amp;Result=3","7027016")</f>
        <v>0</v>
      </c>
      <c r="B9837" t="s">
        <v>1730</v>
      </c>
      <c r="C9837" t="s">
        <v>12098</v>
      </c>
      <c r="D9837" t="s">
        <v>13022</v>
      </c>
      <c r="E9837" t="s">
        <v>21634</v>
      </c>
      <c r="F9837" t="s">
        <v>22436</v>
      </c>
      <c r="G9837" t="s">
        <v>22444</v>
      </c>
      <c r="H9837" t="s">
        <v>22454</v>
      </c>
      <c r="I9837" t="s">
        <v>7738</v>
      </c>
      <c r="J9837" t="s">
        <v>28638</v>
      </c>
      <c r="K9837" t="s">
        <v>29344</v>
      </c>
      <c r="M9837" t="s">
        <v>31435</v>
      </c>
      <c r="N9837" t="s">
        <v>32524</v>
      </c>
      <c r="O9837" t="s">
        <v>32525</v>
      </c>
      <c r="P9837">
        <v>0</v>
      </c>
      <c r="Q9837">
        <v>4</v>
      </c>
      <c r="R9837" t="s">
        <v>32538</v>
      </c>
      <c r="S9837" t="s">
        <v>32872</v>
      </c>
      <c r="T9837" t="s">
        <v>33168</v>
      </c>
      <c r="U9837" t="s">
        <v>41705</v>
      </c>
      <c r="V9837" t="s">
        <v>43525</v>
      </c>
      <c r="W9837" t="s">
        <v>31435</v>
      </c>
      <c r="X9837" t="s">
        <v>32539</v>
      </c>
    </row>
    <row r="9838" spans="1:24">
      <c r="A9838">
        <f>HYPERLINK("https://www.philgeps.gov.ph/GEPSNONPILOT/Tender/SplashBidNoticeAbstractUI.aspx?menuIndex=3&amp;refID=7027066&amp;Result=3","7027066")</f>
        <v>0</v>
      </c>
      <c r="B9838" t="s">
        <v>1125</v>
      </c>
      <c r="C9838" t="s">
        <v>12099</v>
      </c>
      <c r="D9838" t="s">
        <v>13041</v>
      </c>
      <c r="E9838" t="s">
        <v>21635</v>
      </c>
      <c r="F9838" t="s">
        <v>22436</v>
      </c>
      <c r="G9838" t="s">
        <v>22444</v>
      </c>
      <c r="H9838" t="s">
        <v>22454</v>
      </c>
      <c r="I9838" t="s">
        <v>7738</v>
      </c>
      <c r="J9838" t="s">
        <v>28806</v>
      </c>
      <c r="K9838" t="s">
        <v>29388</v>
      </c>
      <c r="M9838" t="s">
        <v>30763</v>
      </c>
      <c r="N9838" t="s">
        <v>32524</v>
      </c>
      <c r="O9838" t="s">
        <v>32525</v>
      </c>
      <c r="Q9838">
        <v>5</v>
      </c>
      <c r="R9838" t="s">
        <v>32538</v>
      </c>
      <c r="S9838" t="s">
        <v>33009</v>
      </c>
      <c r="T9838" t="s">
        <v>33167</v>
      </c>
      <c r="U9838" t="s">
        <v>41706</v>
      </c>
      <c r="V9838" t="s">
        <v>43552</v>
      </c>
      <c r="W9838" t="s">
        <v>30763</v>
      </c>
      <c r="X9838" t="s">
        <v>32539</v>
      </c>
    </row>
    <row r="9839" spans="1:24">
      <c r="A9839">
        <f>HYPERLINK("https://www.philgeps.gov.ph/GEPSNONPILOT/Tender/SplashBidNoticeAbstractUI.aspx?menuIndex=3&amp;refID=7011563&amp;Result=3","7011563")</f>
        <v>0</v>
      </c>
      <c r="B9839" t="s">
        <v>2164</v>
      </c>
      <c r="C9839" t="s">
        <v>12100</v>
      </c>
      <c r="D9839" t="s">
        <v>12992</v>
      </c>
      <c r="E9839" t="s">
        <v>21636</v>
      </c>
      <c r="F9839" t="s">
        <v>22436</v>
      </c>
      <c r="G9839" t="s">
        <v>22444</v>
      </c>
      <c r="H9839" t="s">
        <v>22454</v>
      </c>
      <c r="I9839" t="s">
        <v>7738</v>
      </c>
      <c r="J9839" t="s">
        <v>28807</v>
      </c>
      <c r="K9839" t="s">
        <v>29451</v>
      </c>
      <c r="M9839" t="s">
        <v>31921</v>
      </c>
      <c r="N9839" t="s">
        <v>32524</v>
      </c>
      <c r="O9839" t="s">
        <v>32525</v>
      </c>
      <c r="P9839">
        <v>0</v>
      </c>
      <c r="Q9839">
        <v>15</v>
      </c>
      <c r="R9839" t="s">
        <v>32539</v>
      </c>
      <c r="S9839" t="s">
        <v>33010</v>
      </c>
      <c r="T9839" t="s">
        <v>33181</v>
      </c>
      <c r="U9839" t="s">
        <v>41707</v>
      </c>
      <c r="V9839" t="s">
        <v>35503</v>
      </c>
      <c r="W9839" t="s">
        <v>31921</v>
      </c>
      <c r="X9839" t="s">
        <v>43778</v>
      </c>
    </row>
    <row r="9840" spans="1:24">
      <c r="A9840">
        <f>HYPERLINK("https://www.philgeps.gov.ph/GEPSNONPILOT/Tender/SplashBidNoticeAbstractUI.aspx?menuIndex=3&amp;refID=7013608&amp;Result=3","7013608")</f>
        <v>0</v>
      </c>
      <c r="B9840" t="s">
        <v>432</v>
      </c>
      <c r="C9840" t="s">
        <v>12101</v>
      </c>
      <c r="D9840" t="s">
        <v>13028</v>
      </c>
      <c r="E9840" t="s">
        <v>21637</v>
      </c>
      <c r="F9840" t="s">
        <v>22436</v>
      </c>
      <c r="G9840" t="s">
        <v>22444</v>
      </c>
      <c r="H9840" t="s">
        <v>22454</v>
      </c>
      <c r="I9840" t="s">
        <v>7738</v>
      </c>
      <c r="J9840" t="s">
        <v>25355</v>
      </c>
      <c r="K9840" t="s">
        <v>29401</v>
      </c>
      <c r="M9840" t="s">
        <v>30013</v>
      </c>
      <c r="N9840" t="s">
        <v>32524</v>
      </c>
      <c r="O9840" t="s">
        <v>32525</v>
      </c>
      <c r="P9840">
        <v>0</v>
      </c>
      <c r="Q9840">
        <v>4</v>
      </c>
      <c r="R9840" t="s">
        <v>32539</v>
      </c>
      <c r="S9840" t="s">
        <v>33010</v>
      </c>
      <c r="T9840" t="s">
        <v>33181</v>
      </c>
      <c r="U9840" t="s">
        <v>34672</v>
      </c>
      <c r="V9840" t="s">
        <v>43553</v>
      </c>
      <c r="W9840" t="s">
        <v>30013</v>
      </c>
      <c r="X9840" t="s">
        <v>43793</v>
      </c>
    </row>
    <row r="9841" spans="1:24">
      <c r="A9841">
        <f>HYPERLINK("https://www.philgeps.gov.ph/GEPSNONPILOT/Tender/SplashBidNoticeAbstractUI.aspx?menuIndex=3&amp;refID=7013383&amp;Result=3","7013383")</f>
        <v>0</v>
      </c>
      <c r="B9841" t="s">
        <v>432</v>
      </c>
      <c r="C9841" t="s">
        <v>12102</v>
      </c>
      <c r="D9841" t="s">
        <v>13028</v>
      </c>
      <c r="E9841" t="s">
        <v>21638</v>
      </c>
      <c r="F9841" t="s">
        <v>22436</v>
      </c>
      <c r="G9841" t="s">
        <v>22444</v>
      </c>
      <c r="H9841" t="s">
        <v>22454</v>
      </c>
      <c r="I9841" t="s">
        <v>7738</v>
      </c>
      <c r="J9841" t="s">
        <v>23384</v>
      </c>
      <c r="K9841" t="s">
        <v>29347</v>
      </c>
      <c r="M9841" t="s">
        <v>30013</v>
      </c>
      <c r="N9841" t="s">
        <v>32524</v>
      </c>
      <c r="O9841" t="s">
        <v>32525</v>
      </c>
      <c r="P9841">
        <v>0</v>
      </c>
      <c r="Q9841">
        <v>0</v>
      </c>
      <c r="R9841" t="s">
        <v>32539</v>
      </c>
      <c r="S9841" t="s">
        <v>33010</v>
      </c>
      <c r="T9841" t="s">
        <v>33181</v>
      </c>
      <c r="U9841" t="s">
        <v>34672</v>
      </c>
      <c r="V9841" t="s">
        <v>43554</v>
      </c>
      <c r="W9841" t="s">
        <v>30013</v>
      </c>
      <c r="X9841" t="s">
        <v>43793</v>
      </c>
    </row>
    <row r="9842" spans="1:24">
      <c r="A9842">
        <f>HYPERLINK("https://www.philgeps.gov.ph/GEPSNONPILOT/Tender/SplashBidNoticeAbstractUI.aspx?menuIndex=3&amp;refID=7012313&amp;Result=3","7012313")</f>
        <v>0</v>
      </c>
      <c r="B9842" t="s">
        <v>2164</v>
      </c>
      <c r="C9842" t="s">
        <v>12103</v>
      </c>
      <c r="D9842" t="s">
        <v>12994</v>
      </c>
      <c r="E9842" t="s">
        <v>21639</v>
      </c>
      <c r="F9842" t="s">
        <v>22436</v>
      </c>
      <c r="G9842" t="s">
        <v>22444</v>
      </c>
      <c r="H9842" t="s">
        <v>22454</v>
      </c>
      <c r="I9842" t="s">
        <v>7738</v>
      </c>
      <c r="J9842" t="s">
        <v>28808</v>
      </c>
      <c r="K9842" t="s">
        <v>29473</v>
      </c>
      <c r="M9842" t="s">
        <v>31921</v>
      </c>
      <c r="N9842" t="s">
        <v>32524</v>
      </c>
      <c r="O9842" t="s">
        <v>32525</v>
      </c>
      <c r="P9842">
        <v>0</v>
      </c>
      <c r="Q9842">
        <v>16</v>
      </c>
      <c r="R9842" t="s">
        <v>32539</v>
      </c>
      <c r="S9842" t="s">
        <v>33010</v>
      </c>
      <c r="T9842" t="s">
        <v>33181</v>
      </c>
      <c r="U9842" t="s">
        <v>41708</v>
      </c>
      <c r="V9842" t="s">
        <v>35503</v>
      </c>
      <c r="W9842" t="s">
        <v>31921</v>
      </c>
      <c r="X9842" t="s">
        <v>43793</v>
      </c>
    </row>
    <row r="9843" spans="1:24">
      <c r="A9843">
        <f>HYPERLINK("https://www.philgeps.gov.ph/GEPSNONPILOT/Tender/SplashBidNoticeAbstractUI.aspx?menuIndex=3&amp;refID=7013078&amp;Result=3","7013078")</f>
        <v>0</v>
      </c>
      <c r="B9843" t="s">
        <v>432</v>
      </c>
      <c r="C9843" t="s">
        <v>12104</v>
      </c>
      <c r="D9843" t="s">
        <v>13028</v>
      </c>
      <c r="E9843" t="s">
        <v>21640</v>
      </c>
      <c r="F9843" t="s">
        <v>22436</v>
      </c>
      <c r="G9843" t="s">
        <v>22444</v>
      </c>
      <c r="H9843" t="s">
        <v>22454</v>
      </c>
      <c r="I9843" t="s">
        <v>7738</v>
      </c>
      <c r="J9843" t="s">
        <v>23384</v>
      </c>
      <c r="K9843" t="s">
        <v>29347</v>
      </c>
      <c r="M9843" t="s">
        <v>30013</v>
      </c>
      <c r="N9843" t="s">
        <v>32524</v>
      </c>
      <c r="O9843" t="s">
        <v>32525</v>
      </c>
      <c r="P9843">
        <v>0</v>
      </c>
      <c r="Q9843">
        <v>0</v>
      </c>
      <c r="R9843" t="s">
        <v>32539</v>
      </c>
      <c r="S9843" t="s">
        <v>33010</v>
      </c>
      <c r="T9843" t="s">
        <v>33181</v>
      </c>
      <c r="U9843" t="s">
        <v>34672</v>
      </c>
      <c r="V9843" t="s">
        <v>43555</v>
      </c>
      <c r="W9843" t="s">
        <v>30013</v>
      </c>
      <c r="X9843" t="s">
        <v>43793</v>
      </c>
    </row>
    <row r="9844" spans="1:24">
      <c r="A9844">
        <f>HYPERLINK("https://www.philgeps.gov.ph/GEPSNONPILOT/Tender/SplashBidNoticeAbstractUI.aspx?menuIndex=3&amp;refID=7012980&amp;Result=3","7012980")</f>
        <v>0</v>
      </c>
      <c r="B9844" t="s">
        <v>432</v>
      </c>
      <c r="C9844" t="s">
        <v>12105</v>
      </c>
      <c r="D9844" t="s">
        <v>13028</v>
      </c>
      <c r="E9844" t="s">
        <v>21641</v>
      </c>
      <c r="F9844" t="s">
        <v>22436</v>
      </c>
      <c r="G9844" t="s">
        <v>22444</v>
      </c>
      <c r="H9844" t="s">
        <v>22454</v>
      </c>
      <c r="I9844" t="s">
        <v>7738</v>
      </c>
      <c r="J9844" t="s">
        <v>23384</v>
      </c>
      <c r="K9844" t="s">
        <v>29347</v>
      </c>
      <c r="M9844" t="s">
        <v>30013</v>
      </c>
      <c r="N9844" t="s">
        <v>32524</v>
      </c>
      <c r="O9844" t="s">
        <v>32525</v>
      </c>
      <c r="P9844">
        <v>0</v>
      </c>
      <c r="Q9844">
        <v>1</v>
      </c>
      <c r="R9844" t="s">
        <v>32539</v>
      </c>
      <c r="S9844" t="s">
        <v>33010</v>
      </c>
      <c r="T9844" t="s">
        <v>33181</v>
      </c>
      <c r="U9844" t="s">
        <v>34672</v>
      </c>
      <c r="V9844" t="s">
        <v>43556</v>
      </c>
      <c r="W9844" t="s">
        <v>30013</v>
      </c>
      <c r="X9844" t="s">
        <v>43793</v>
      </c>
    </row>
    <row r="9845" spans="1:24">
      <c r="A9845">
        <f>HYPERLINK("https://www.philgeps.gov.ph/GEPSNONPILOT/Tender/SplashBidNoticeAbstractUI.aspx?menuIndex=3&amp;refID=7013235&amp;Result=3","7013235")</f>
        <v>0</v>
      </c>
      <c r="B9845" t="s">
        <v>432</v>
      </c>
      <c r="C9845" t="s">
        <v>12106</v>
      </c>
      <c r="D9845" t="s">
        <v>13028</v>
      </c>
      <c r="E9845" t="s">
        <v>21642</v>
      </c>
      <c r="F9845" t="s">
        <v>22436</v>
      </c>
      <c r="G9845" t="s">
        <v>22444</v>
      </c>
      <c r="H9845" t="s">
        <v>22454</v>
      </c>
      <c r="I9845" t="s">
        <v>7738</v>
      </c>
      <c r="J9845" t="s">
        <v>23384</v>
      </c>
      <c r="K9845" t="s">
        <v>29347</v>
      </c>
      <c r="M9845" t="s">
        <v>30013</v>
      </c>
      <c r="N9845" t="s">
        <v>32524</v>
      </c>
      <c r="O9845" t="s">
        <v>32525</v>
      </c>
      <c r="P9845">
        <v>0</v>
      </c>
      <c r="Q9845">
        <v>1</v>
      </c>
      <c r="R9845" t="s">
        <v>32539</v>
      </c>
      <c r="S9845" t="s">
        <v>33010</v>
      </c>
      <c r="T9845" t="s">
        <v>33181</v>
      </c>
      <c r="U9845" t="s">
        <v>34672</v>
      </c>
      <c r="V9845" t="s">
        <v>43557</v>
      </c>
      <c r="W9845" t="s">
        <v>30013</v>
      </c>
      <c r="X9845" t="s">
        <v>43793</v>
      </c>
    </row>
    <row r="9846" spans="1:24">
      <c r="A9846">
        <f>HYPERLINK("https://www.philgeps.gov.ph/GEPSNONPILOT/Tender/SplashBidNoticeAbstractUI.aspx?menuIndex=3&amp;refID=6999329&amp;Result=3","6999329")</f>
        <v>0</v>
      </c>
      <c r="B9846" t="s">
        <v>2573</v>
      </c>
      <c r="C9846" t="s">
        <v>12107</v>
      </c>
      <c r="D9846" t="s">
        <v>13006</v>
      </c>
      <c r="E9846" t="s">
        <v>21643</v>
      </c>
      <c r="F9846" t="s">
        <v>22436</v>
      </c>
      <c r="G9846" t="s">
        <v>22444</v>
      </c>
      <c r="H9846" t="s">
        <v>22452</v>
      </c>
      <c r="I9846" t="s">
        <v>22460</v>
      </c>
      <c r="J9846" t="s">
        <v>28809</v>
      </c>
      <c r="K9846" t="s">
        <v>29341</v>
      </c>
      <c r="M9846" t="s">
        <v>32396</v>
      </c>
      <c r="N9846" t="s">
        <v>32524</v>
      </c>
      <c r="O9846" t="s">
        <v>32525</v>
      </c>
      <c r="P9846">
        <v>0</v>
      </c>
      <c r="Q9846">
        <v>4</v>
      </c>
      <c r="R9846" t="s">
        <v>32539</v>
      </c>
      <c r="S9846" t="s">
        <v>33010</v>
      </c>
      <c r="T9846" t="s">
        <v>33181</v>
      </c>
      <c r="U9846" t="s">
        <v>41709</v>
      </c>
      <c r="V9846" t="s">
        <v>43558</v>
      </c>
      <c r="W9846" t="s">
        <v>32396</v>
      </c>
      <c r="X9846" t="s">
        <v>43786</v>
      </c>
    </row>
    <row r="9847" spans="1:24">
      <c r="A9847">
        <f>HYPERLINK("https://www.philgeps.gov.ph/GEPSNONPILOT/Tender/SplashBidNoticeAbstractUI.aspx?menuIndex=3&amp;refID=7012811&amp;Result=3","7012811")</f>
        <v>0</v>
      </c>
      <c r="B9847" t="s">
        <v>432</v>
      </c>
      <c r="C9847" t="s">
        <v>12108</v>
      </c>
      <c r="D9847" t="s">
        <v>13028</v>
      </c>
      <c r="E9847" t="s">
        <v>21644</v>
      </c>
      <c r="F9847" t="s">
        <v>22436</v>
      </c>
      <c r="G9847" t="s">
        <v>22444</v>
      </c>
      <c r="H9847" t="s">
        <v>22454</v>
      </c>
      <c r="I9847" t="s">
        <v>7738</v>
      </c>
      <c r="J9847" t="s">
        <v>23347</v>
      </c>
      <c r="K9847" t="s">
        <v>29347</v>
      </c>
      <c r="M9847" t="s">
        <v>30013</v>
      </c>
      <c r="N9847" t="s">
        <v>32524</v>
      </c>
      <c r="O9847" t="s">
        <v>32525</v>
      </c>
      <c r="P9847">
        <v>0</v>
      </c>
      <c r="Q9847">
        <v>1</v>
      </c>
      <c r="R9847" t="s">
        <v>32539</v>
      </c>
      <c r="S9847" t="s">
        <v>33010</v>
      </c>
      <c r="T9847" t="s">
        <v>33181</v>
      </c>
      <c r="U9847" t="s">
        <v>34672</v>
      </c>
      <c r="V9847" t="s">
        <v>43559</v>
      </c>
      <c r="W9847" t="s">
        <v>30013</v>
      </c>
      <c r="X9847" t="s">
        <v>43793</v>
      </c>
    </row>
    <row r="9848" spans="1:24">
      <c r="A9848">
        <f>HYPERLINK("https://www.philgeps.gov.ph/GEPSNONPILOT/Tender/SplashBidNoticeAbstractUI.aspx?menuIndex=3&amp;refID=6951409&amp;Result=3","6951409")</f>
        <v>0</v>
      </c>
      <c r="B9848" t="s">
        <v>2160</v>
      </c>
      <c r="C9848" t="s">
        <v>12109</v>
      </c>
      <c r="D9848" t="s">
        <v>13043</v>
      </c>
      <c r="E9848" t="s">
        <v>21645</v>
      </c>
      <c r="F9848" t="s">
        <v>22436</v>
      </c>
      <c r="G9848" t="s">
        <v>22444</v>
      </c>
      <c r="H9848" t="s">
        <v>22452</v>
      </c>
      <c r="I9848" t="s">
        <v>22461</v>
      </c>
      <c r="J9848" t="s">
        <v>28810</v>
      </c>
      <c r="K9848" t="s">
        <v>29335</v>
      </c>
      <c r="M9848" t="s">
        <v>31915</v>
      </c>
      <c r="N9848" t="s">
        <v>32524</v>
      </c>
      <c r="O9848" t="s">
        <v>32525</v>
      </c>
      <c r="P9848">
        <v>0</v>
      </c>
      <c r="Q9848">
        <v>1</v>
      </c>
      <c r="R9848" t="s">
        <v>32539</v>
      </c>
      <c r="S9848" t="s">
        <v>33010</v>
      </c>
      <c r="T9848" t="s">
        <v>33153</v>
      </c>
      <c r="U9848" t="s">
        <v>41710</v>
      </c>
      <c r="W9848" t="s">
        <v>31915</v>
      </c>
      <c r="X9848" t="s">
        <v>43802</v>
      </c>
    </row>
    <row r="9849" spans="1:24">
      <c r="A9849">
        <f>HYPERLINK("https://www.philgeps.gov.ph/GEPSNONPILOT/Tender/SplashBidNoticeAbstractUI.aspx?menuIndex=3&amp;refID=7027071&amp;Result=3","7027071")</f>
        <v>0</v>
      </c>
      <c r="B9849" t="s">
        <v>1125</v>
      </c>
      <c r="C9849" t="s">
        <v>12110</v>
      </c>
      <c r="D9849" t="s">
        <v>13041</v>
      </c>
      <c r="E9849" t="s">
        <v>21646</v>
      </c>
      <c r="F9849" t="s">
        <v>22436</v>
      </c>
      <c r="G9849" t="s">
        <v>22444</v>
      </c>
      <c r="H9849" t="s">
        <v>22454</v>
      </c>
      <c r="I9849" t="s">
        <v>7738</v>
      </c>
      <c r="J9849" t="s">
        <v>24431</v>
      </c>
      <c r="K9849" t="s">
        <v>29335</v>
      </c>
      <c r="M9849" t="s">
        <v>30763</v>
      </c>
      <c r="N9849" t="s">
        <v>32524</v>
      </c>
      <c r="O9849" t="s">
        <v>32525</v>
      </c>
      <c r="Q9849">
        <v>0</v>
      </c>
      <c r="R9849" t="s">
        <v>32538</v>
      </c>
      <c r="S9849" t="s">
        <v>33011</v>
      </c>
      <c r="T9849" t="s">
        <v>33167</v>
      </c>
      <c r="U9849" t="s">
        <v>41711</v>
      </c>
      <c r="W9849" t="s">
        <v>30763</v>
      </c>
      <c r="X9849" t="s">
        <v>32539</v>
      </c>
    </row>
    <row r="9850" spans="1:24">
      <c r="A9850">
        <f>HYPERLINK("https://www.philgeps.gov.ph/GEPSNONPILOT/Tender/SplashBidNoticeAbstractUI.aspx?menuIndex=3&amp;refID=7027047&amp;Result=3","7027047")</f>
        <v>0</v>
      </c>
      <c r="B9850" t="s">
        <v>2574</v>
      </c>
      <c r="C9850" t="s">
        <v>12111</v>
      </c>
      <c r="D9850" t="s">
        <v>13034</v>
      </c>
      <c r="E9850" t="s">
        <v>20241</v>
      </c>
      <c r="F9850" t="s">
        <v>22436</v>
      </c>
      <c r="G9850" t="s">
        <v>22444</v>
      </c>
      <c r="H9850" t="s">
        <v>22452</v>
      </c>
      <c r="I9850" t="s">
        <v>22469</v>
      </c>
      <c r="J9850" t="s">
        <v>28811</v>
      </c>
      <c r="K9850" t="s">
        <v>29341</v>
      </c>
      <c r="M9850" t="s">
        <v>32397</v>
      </c>
      <c r="N9850" t="s">
        <v>32524</v>
      </c>
      <c r="O9850" t="s">
        <v>32525</v>
      </c>
      <c r="P9850">
        <v>0</v>
      </c>
      <c r="Q9850">
        <v>3</v>
      </c>
      <c r="R9850" t="s">
        <v>32538</v>
      </c>
      <c r="S9850" t="s">
        <v>32872</v>
      </c>
      <c r="T9850" t="s">
        <v>33187</v>
      </c>
      <c r="U9850" t="s">
        <v>41712</v>
      </c>
      <c r="V9850" t="s">
        <v>43560</v>
      </c>
      <c r="W9850" t="s">
        <v>32397</v>
      </c>
      <c r="X9850" t="s">
        <v>32539</v>
      </c>
    </row>
    <row r="9851" spans="1:24">
      <c r="A9851">
        <f>HYPERLINK("https://www.philgeps.gov.ph/GEPSNONPILOT/Tender/SplashBidNoticeAbstractUI.aspx?menuIndex=3&amp;refID=7012436&amp;Result=3","7012436")</f>
        <v>0</v>
      </c>
      <c r="B9851" t="s">
        <v>2164</v>
      </c>
      <c r="C9851" t="s">
        <v>12112</v>
      </c>
      <c r="D9851" t="s">
        <v>12994</v>
      </c>
      <c r="E9851" t="s">
        <v>21647</v>
      </c>
      <c r="F9851" t="s">
        <v>22436</v>
      </c>
      <c r="G9851" t="s">
        <v>22444</v>
      </c>
      <c r="H9851" t="s">
        <v>22454</v>
      </c>
      <c r="I9851" t="s">
        <v>7738</v>
      </c>
      <c r="J9851" t="s">
        <v>28812</v>
      </c>
      <c r="K9851" t="s">
        <v>29468</v>
      </c>
      <c r="M9851" t="s">
        <v>31921</v>
      </c>
      <c r="N9851" t="s">
        <v>32524</v>
      </c>
      <c r="O9851" t="s">
        <v>32525</v>
      </c>
      <c r="P9851">
        <v>0</v>
      </c>
      <c r="Q9851">
        <v>20</v>
      </c>
      <c r="R9851" t="s">
        <v>32539</v>
      </c>
      <c r="S9851" t="s">
        <v>33010</v>
      </c>
      <c r="T9851" t="s">
        <v>33181</v>
      </c>
      <c r="U9851" t="s">
        <v>41713</v>
      </c>
      <c r="V9851" t="s">
        <v>35503</v>
      </c>
      <c r="W9851" t="s">
        <v>31921</v>
      </c>
      <c r="X9851" t="s">
        <v>43793</v>
      </c>
    </row>
    <row r="9852" spans="1:24">
      <c r="A9852">
        <f>HYPERLINK("https://www.philgeps.gov.ph/GEPSNONPILOT/Tender/SplashBidNoticeAbstractUI.aspx?menuIndex=3&amp;refID=7012526&amp;Result=3","7012526")</f>
        <v>0</v>
      </c>
      <c r="B9852" t="s">
        <v>2164</v>
      </c>
      <c r="C9852" t="s">
        <v>12113</v>
      </c>
      <c r="D9852" t="s">
        <v>12994</v>
      </c>
      <c r="E9852" t="s">
        <v>21648</v>
      </c>
      <c r="F9852" t="s">
        <v>22436</v>
      </c>
      <c r="G9852" t="s">
        <v>22444</v>
      </c>
      <c r="H9852" t="s">
        <v>22454</v>
      </c>
      <c r="I9852" t="s">
        <v>7738</v>
      </c>
      <c r="J9852" t="s">
        <v>28813</v>
      </c>
      <c r="K9852" t="s">
        <v>29576</v>
      </c>
      <c r="M9852" t="s">
        <v>31921</v>
      </c>
      <c r="N9852" t="s">
        <v>32524</v>
      </c>
      <c r="O9852" t="s">
        <v>32525</v>
      </c>
      <c r="Q9852">
        <v>14</v>
      </c>
      <c r="R9852" t="s">
        <v>32539</v>
      </c>
      <c r="S9852" t="s">
        <v>33012</v>
      </c>
      <c r="T9852" t="s">
        <v>33181</v>
      </c>
      <c r="U9852" t="s">
        <v>41714</v>
      </c>
      <c r="V9852" t="s">
        <v>35503</v>
      </c>
      <c r="W9852" t="s">
        <v>31921</v>
      </c>
      <c r="X9852" t="s">
        <v>43793</v>
      </c>
    </row>
    <row r="9853" spans="1:24">
      <c r="A9853">
        <f>HYPERLINK("https://www.philgeps.gov.ph/GEPSNONPILOT/Tender/SplashBidNoticeAbstractUI.aspx?menuIndex=3&amp;refID=7012364&amp;Result=3","7012364")</f>
        <v>0</v>
      </c>
      <c r="B9853" t="s">
        <v>2164</v>
      </c>
      <c r="C9853" t="s">
        <v>12114</v>
      </c>
      <c r="D9853" t="s">
        <v>12994</v>
      </c>
      <c r="E9853" t="s">
        <v>21649</v>
      </c>
      <c r="F9853" t="s">
        <v>22436</v>
      </c>
      <c r="G9853" t="s">
        <v>22444</v>
      </c>
      <c r="H9853" t="s">
        <v>22454</v>
      </c>
      <c r="I9853" t="s">
        <v>7738</v>
      </c>
      <c r="J9853" t="s">
        <v>28814</v>
      </c>
      <c r="K9853" t="s">
        <v>29388</v>
      </c>
      <c r="M9853" t="s">
        <v>31921</v>
      </c>
      <c r="N9853" t="s">
        <v>32524</v>
      </c>
      <c r="O9853" t="s">
        <v>32525</v>
      </c>
      <c r="Q9853">
        <v>15</v>
      </c>
      <c r="R9853" t="s">
        <v>32539</v>
      </c>
      <c r="S9853" t="s">
        <v>33013</v>
      </c>
      <c r="T9853" t="s">
        <v>33181</v>
      </c>
      <c r="U9853" t="s">
        <v>41715</v>
      </c>
      <c r="V9853" t="s">
        <v>35503</v>
      </c>
      <c r="W9853" t="s">
        <v>31921</v>
      </c>
      <c r="X9853" t="s">
        <v>43793</v>
      </c>
    </row>
    <row r="9854" spans="1:24">
      <c r="A9854">
        <f>HYPERLINK("https://www.philgeps.gov.ph/GEPSNONPILOT/Tender/SplashBidNoticeAbstractUI.aspx?menuIndex=3&amp;refID=7027028&amp;Result=3","7027028")</f>
        <v>0</v>
      </c>
      <c r="B9854" t="s">
        <v>2565</v>
      </c>
      <c r="C9854" t="s">
        <v>12115</v>
      </c>
      <c r="D9854" t="s">
        <v>12988</v>
      </c>
      <c r="E9854" t="s">
        <v>21631</v>
      </c>
      <c r="F9854" t="s">
        <v>22437</v>
      </c>
      <c r="G9854" t="s">
        <v>22444</v>
      </c>
      <c r="H9854" t="s">
        <v>22452</v>
      </c>
      <c r="I9854" t="s">
        <v>3122</v>
      </c>
      <c r="J9854" t="s">
        <v>22654</v>
      </c>
      <c r="K9854" t="s">
        <v>29338</v>
      </c>
      <c r="M9854" t="s">
        <v>32382</v>
      </c>
      <c r="N9854" t="s">
        <v>32524</v>
      </c>
      <c r="O9854" t="s">
        <v>32525</v>
      </c>
      <c r="P9854">
        <v>0</v>
      </c>
      <c r="Q9854">
        <v>5</v>
      </c>
      <c r="R9854" t="s">
        <v>32538</v>
      </c>
      <c r="S9854" t="s">
        <v>32872</v>
      </c>
      <c r="T9854" t="s">
        <v>33185</v>
      </c>
      <c r="U9854" t="s">
        <v>41716</v>
      </c>
      <c r="W9854" t="s">
        <v>32382</v>
      </c>
      <c r="X9854" t="s">
        <v>32539</v>
      </c>
    </row>
    <row r="9855" spans="1:24">
      <c r="A9855">
        <f>HYPERLINK("https://www.philgeps.gov.ph/GEPSNONPILOT/Tender/SplashBidNoticeAbstractUI.aspx?menuIndex=3&amp;refID=7012580&amp;Result=3","7012580")</f>
        <v>0</v>
      </c>
      <c r="B9855" t="s">
        <v>2164</v>
      </c>
      <c r="C9855" t="s">
        <v>12116</v>
      </c>
      <c r="D9855" t="s">
        <v>12994</v>
      </c>
      <c r="E9855" t="s">
        <v>21650</v>
      </c>
      <c r="F9855" t="s">
        <v>22436</v>
      </c>
      <c r="G9855" t="s">
        <v>22444</v>
      </c>
      <c r="H9855" t="s">
        <v>22454</v>
      </c>
      <c r="I9855" t="s">
        <v>7738</v>
      </c>
      <c r="J9855" t="s">
        <v>28815</v>
      </c>
      <c r="K9855" t="s">
        <v>29576</v>
      </c>
      <c r="M9855" t="s">
        <v>31921</v>
      </c>
      <c r="N9855" t="s">
        <v>32524</v>
      </c>
      <c r="O9855" t="s">
        <v>32525</v>
      </c>
      <c r="Q9855">
        <v>13</v>
      </c>
      <c r="R9855" t="s">
        <v>32539</v>
      </c>
      <c r="S9855" t="s">
        <v>33014</v>
      </c>
      <c r="T9855" t="s">
        <v>33181</v>
      </c>
      <c r="U9855" t="s">
        <v>41717</v>
      </c>
      <c r="V9855" t="s">
        <v>35503</v>
      </c>
      <c r="W9855" t="s">
        <v>31921</v>
      </c>
      <c r="X9855" t="s">
        <v>43793</v>
      </c>
    </row>
    <row r="9856" spans="1:24">
      <c r="A9856">
        <f>HYPERLINK("https://www.philgeps.gov.ph/GEPSNONPILOT/Tender/SplashBidNoticeAbstractUI.aspx?menuIndex=3&amp;refID=7012397&amp;Result=3","7012397")</f>
        <v>0</v>
      </c>
      <c r="B9856" t="s">
        <v>2164</v>
      </c>
      <c r="C9856" t="s">
        <v>12117</v>
      </c>
      <c r="D9856" t="s">
        <v>12994</v>
      </c>
      <c r="E9856" t="s">
        <v>21651</v>
      </c>
      <c r="F9856" t="s">
        <v>22436</v>
      </c>
      <c r="G9856" t="s">
        <v>22444</v>
      </c>
      <c r="H9856" t="s">
        <v>22454</v>
      </c>
      <c r="I9856" t="s">
        <v>7738</v>
      </c>
      <c r="J9856" t="s">
        <v>28816</v>
      </c>
      <c r="K9856" t="s">
        <v>29577</v>
      </c>
      <c r="M9856" t="s">
        <v>31921</v>
      </c>
      <c r="N9856" t="s">
        <v>32524</v>
      </c>
      <c r="O9856" t="s">
        <v>32525</v>
      </c>
      <c r="P9856">
        <v>0</v>
      </c>
      <c r="Q9856">
        <v>20</v>
      </c>
      <c r="R9856" t="s">
        <v>32539</v>
      </c>
      <c r="S9856" t="s">
        <v>33010</v>
      </c>
      <c r="T9856" t="s">
        <v>33181</v>
      </c>
      <c r="U9856" t="s">
        <v>41718</v>
      </c>
      <c r="V9856" t="s">
        <v>35503</v>
      </c>
      <c r="W9856" t="s">
        <v>31921</v>
      </c>
      <c r="X9856" t="s">
        <v>43793</v>
      </c>
    </row>
    <row r="9857" spans="1:24">
      <c r="A9857">
        <f>HYPERLINK("https://www.philgeps.gov.ph/GEPSNONPILOT/Tender/SplashBidNoticeAbstractUI.aspx?menuIndex=3&amp;refID=7015886&amp;Result=3","7015886")</f>
        <v>0</v>
      </c>
      <c r="B9857" t="s">
        <v>2575</v>
      </c>
      <c r="C9857" t="s">
        <v>12118</v>
      </c>
      <c r="E9857" t="s">
        <v>21652</v>
      </c>
      <c r="F9857" t="s">
        <v>22436</v>
      </c>
      <c r="G9857" t="s">
        <v>22444</v>
      </c>
      <c r="H9857" t="s">
        <v>22452</v>
      </c>
      <c r="I9857" t="s">
        <v>7738</v>
      </c>
      <c r="J9857" t="s">
        <v>22779</v>
      </c>
      <c r="K9857" t="s">
        <v>29338</v>
      </c>
      <c r="M9857" t="s">
        <v>32398</v>
      </c>
      <c r="N9857" t="s">
        <v>32524</v>
      </c>
      <c r="O9857" t="s">
        <v>32525</v>
      </c>
      <c r="P9857">
        <v>0</v>
      </c>
      <c r="Q9857">
        <v>1</v>
      </c>
      <c r="R9857" t="s">
        <v>32539</v>
      </c>
      <c r="S9857" t="s">
        <v>33010</v>
      </c>
      <c r="T9857" t="s">
        <v>33256</v>
      </c>
      <c r="U9857" t="s">
        <v>41719</v>
      </c>
      <c r="W9857" t="s">
        <v>32398</v>
      </c>
      <c r="X9857" t="s">
        <v>43801</v>
      </c>
    </row>
    <row r="9858" spans="1:24">
      <c r="A9858">
        <f>HYPERLINK("https://www.philgeps.gov.ph/GEPSNONPILOT/Tender/SplashBidNoticeAbstractUI.aspx?menuIndex=3&amp;refID=7016591&amp;Result=3","7016591")</f>
        <v>0</v>
      </c>
      <c r="B9858" t="s">
        <v>1601</v>
      </c>
      <c r="C9858" t="s">
        <v>12119</v>
      </c>
      <c r="D9858" t="s">
        <v>13001</v>
      </c>
      <c r="E9858" t="s">
        <v>21653</v>
      </c>
      <c r="F9858" t="s">
        <v>22436</v>
      </c>
      <c r="G9858" t="s">
        <v>22444</v>
      </c>
      <c r="H9858" t="s">
        <v>22454</v>
      </c>
      <c r="I9858" t="s">
        <v>7738</v>
      </c>
      <c r="J9858" t="s">
        <v>28817</v>
      </c>
      <c r="K9858" t="s">
        <v>29333</v>
      </c>
      <c r="M9858" t="s">
        <v>31285</v>
      </c>
      <c r="N9858" t="s">
        <v>32524</v>
      </c>
      <c r="O9858" t="s">
        <v>32525</v>
      </c>
      <c r="Q9858">
        <v>16</v>
      </c>
      <c r="R9858" t="s">
        <v>32539</v>
      </c>
      <c r="S9858" t="s">
        <v>33015</v>
      </c>
      <c r="T9858" t="s">
        <v>33230</v>
      </c>
      <c r="U9858" t="s">
        <v>41720</v>
      </c>
      <c r="V9858" t="s">
        <v>43561</v>
      </c>
      <c r="W9858" t="s">
        <v>31285</v>
      </c>
      <c r="X9858" t="s">
        <v>43782</v>
      </c>
    </row>
    <row r="9859" spans="1:24">
      <c r="A9859">
        <f>HYPERLINK("https://www.philgeps.gov.ph/GEPSNONPILOT/Tender/SplashBidNoticeAbstractUI.aspx?menuIndex=3&amp;refID=7016584&amp;Result=3","7016584")</f>
        <v>0</v>
      </c>
      <c r="B9859" t="s">
        <v>1601</v>
      </c>
      <c r="C9859" t="s">
        <v>12120</v>
      </c>
      <c r="D9859" t="s">
        <v>13001</v>
      </c>
      <c r="E9859" t="s">
        <v>21654</v>
      </c>
      <c r="F9859" t="s">
        <v>22436</v>
      </c>
      <c r="G9859" t="s">
        <v>22444</v>
      </c>
      <c r="H9859" t="s">
        <v>22454</v>
      </c>
      <c r="I9859" t="s">
        <v>7738</v>
      </c>
      <c r="J9859" t="s">
        <v>28817</v>
      </c>
      <c r="K9859" t="s">
        <v>29333</v>
      </c>
      <c r="M9859" t="s">
        <v>31285</v>
      </c>
      <c r="N9859" t="s">
        <v>32524</v>
      </c>
      <c r="O9859" t="s">
        <v>32525</v>
      </c>
      <c r="Q9859">
        <v>15</v>
      </c>
      <c r="R9859" t="s">
        <v>32539</v>
      </c>
      <c r="S9859" t="s">
        <v>33016</v>
      </c>
      <c r="T9859" t="s">
        <v>33230</v>
      </c>
      <c r="U9859" t="s">
        <v>41721</v>
      </c>
      <c r="V9859" t="s">
        <v>43561</v>
      </c>
      <c r="W9859" t="s">
        <v>31285</v>
      </c>
      <c r="X9859" t="s">
        <v>43782</v>
      </c>
    </row>
    <row r="9860" spans="1:24">
      <c r="A9860">
        <f>HYPERLINK("https://www.philgeps.gov.ph/GEPSNONPILOT/Tender/SplashBidNoticeAbstractUI.aspx?menuIndex=3&amp;refID=7016786&amp;Result=3","7016786")</f>
        <v>0</v>
      </c>
      <c r="B9860" t="s">
        <v>2576</v>
      </c>
      <c r="C9860" t="s">
        <v>12121</v>
      </c>
      <c r="D9860" t="s">
        <v>12993</v>
      </c>
      <c r="E9860" t="s">
        <v>21655</v>
      </c>
      <c r="F9860" t="s">
        <v>22436</v>
      </c>
      <c r="G9860" t="s">
        <v>22443</v>
      </c>
      <c r="H9860" t="s">
        <v>22452</v>
      </c>
      <c r="I9860" t="s">
        <v>22461</v>
      </c>
      <c r="J9860" t="s">
        <v>28818</v>
      </c>
      <c r="K9860" t="s">
        <v>29338</v>
      </c>
      <c r="M9860" t="s">
        <v>32399</v>
      </c>
      <c r="N9860" t="s">
        <v>32524</v>
      </c>
      <c r="O9860" t="s">
        <v>32525</v>
      </c>
      <c r="P9860">
        <v>0</v>
      </c>
      <c r="Q9860">
        <v>1</v>
      </c>
      <c r="R9860" t="s">
        <v>32539</v>
      </c>
      <c r="S9860" t="s">
        <v>33010</v>
      </c>
      <c r="T9860" t="s">
        <v>33357</v>
      </c>
      <c r="U9860" t="s">
        <v>41722</v>
      </c>
      <c r="W9860" t="s">
        <v>32399</v>
      </c>
      <c r="X9860" t="s">
        <v>43782</v>
      </c>
    </row>
    <row r="9861" spans="1:24">
      <c r="A9861">
        <f>HYPERLINK("https://www.philgeps.gov.ph/GEPSNONPILOT/Tender/SplashBidNoticeAbstractUI.aspx?menuIndex=3&amp;refID=7016513&amp;Result=3","7016513")</f>
        <v>0</v>
      </c>
      <c r="B9861" t="s">
        <v>2577</v>
      </c>
      <c r="C9861" t="s">
        <v>12122</v>
      </c>
      <c r="D9861" t="s">
        <v>13019</v>
      </c>
      <c r="E9861" t="s">
        <v>21656</v>
      </c>
      <c r="F9861" t="s">
        <v>22436</v>
      </c>
      <c r="G9861" t="s">
        <v>22444</v>
      </c>
      <c r="H9861" t="s">
        <v>22454</v>
      </c>
      <c r="I9861" t="s">
        <v>7738</v>
      </c>
      <c r="J9861" t="s">
        <v>22877</v>
      </c>
      <c r="K9861" t="s">
        <v>29334</v>
      </c>
      <c r="M9861" t="s">
        <v>32400</v>
      </c>
      <c r="N9861" t="s">
        <v>32524</v>
      </c>
      <c r="O9861" t="s">
        <v>32525</v>
      </c>
      <c r="P9861">
        <v>0</v>
      </c>
      <c r="Q9861">
        <v>1</v>
      </c>
      <c r="R9861" t="s">
        <v>32539</v>
      </c>
      <c r="S9861" t="s">
        <v>33010</v>
      </c>
      <c r="T9861" t="s">
        <v>33155</v>
      </c>
      <c r="U9861" t="s">
        <v>41723</v>
      </c>
      <c r="W9861" t="s">
        <v>43767</v>
      </c>
      <c r="X9861" t="s">
        <v>43801</v>
      </c>
    </row>
    <row r="9862" spans="1:24">
      <c r="A9862">
        <f>HYPERLINK("https://www.philgeps.gov.ph/GEPSNONPILOT/Tender/SplashBidNoticeAbstractUI.aspx?menuIndex=3&amp;refID=7017649&amp;Result=3","7017649")</f>
        <v>0</v>
      </c>
      <c r="B9862" t="s">
        <v>2091</v>
      </c>
      <c r="C9862" t="s">
        <v>12123</v>
      </c>
      <c r="D9862" t="s">
        <v>13018</v>
      </c>
      <c r="E9862" t="s">
        <v>21657</v>
      </c>
      <c r="F9862" t="s">
        <v>22436</v>
      </c>
      <c r="G9862" t="s">
        <v>22444</v>
      </c>
      <c r="H9862" t="s">
        <v>22452</v>
      </c>
      <c r="I9862" t="s">
        <v>2981</v>
      </c>
      <c r="J9862" t="s">
        <v>28819</v>
      </c>
      <c r="K9862" t="s">
        <v>29341</v>
      </c>
      <c r="M9862" t="s">
        <v>31835</v>
      </c>
      <c r="N9862" t="s">
        <v>32524</v>
      </c>
      <c r="O9862" t="s">
        <v>32525</v>
      </c>
      <c r="P9862">
        <v>0</v>
      </c>
      <c r="Q9862">
        <v>5</v>
      </c>
      <c r="R9862" t="s">
        <v>32539</v>
      </c>
      <c r="S9862" t="s">
        <v>33010</v>
      </c>
      <c r="T9862" t="s">
        <v>33177</v>
      </c>
      <c r="U9862" t="s">
        <v>41724</v>
      </c>
      <c r="V9862" t="s">
        <v>43562</v>
      </c>
      <c r="W9862" t="s">
        <v>31835</v>
      </c>
      <c r="X9862" t="s">
        <v>43782</v>
      </c>
    </row>
    <row r="9863" spans="1:24">
      <c r="A9863">
        <f>HYPERLINK("https://www.philgeps.gov.ph/GEPSNONPILOT/Tender/SplashBidNoticeAbstractUI.aspx?menuIndex=3&amp;refID=7015714&amp;Result=3","7015714")</f>
        <v>0</v>
      </c>
      <c r="B9863" t="s">
        <v>802</v>
      </c>
      <c r="C9863" t="s">
        <v>12124</v>
      </c>
      <c r="D9863" t="s">
        <v>12990</v>
      </c>
      <c r="E9863" t="s">
        <v>14829</v>
      </c>
      <c r="F9863" t="s">
        <v>22436</v>
      </c>
      <c r="G9863" t="s">
        <v>22446</v>
      </c>
      <c r="H9863" t="s">
        <v>22452</v>
      </c>
      <c r="I9863" t="s">
        <v>22482</v>
      </c>
      <c r="J9863" t="s">
        <v>22654</v>
      </c>
      <c r="K9863" t="s">
        <v>29331</v>
      </c>
      <c r="M9863" t="s">
        <v>30404</v>
      </c>
      <c r="N9863" t="s">
        <v>32524</v>
      </c>
      <c r="O9863" t="s">
        <v>32525</v>
      </c>
      <c r="P9863">
        <v>0</v>
      </c>
      <c r="Q9863">
        <v>5</v>
      </c>
      <c r="R9863" t="s">
        <v>32539</v>
      </c>
      <c r="S9863" t="s">
        <v>33010</v>
      </c>
      <c r="T9863" t="s">
        <v>33235</v>
      </c>
      <c r="U9863" t="s">
        <v>41725</v>
      </c>
      <c r="W9863" t="s">
        <v>30404</v>
      </c>
      <c r="X9863" t="s">
        <v>43801</v>
      </c>
    </row>
    <row r="9864" spans="1:24">
      <c r="A9864">
        <f>HYPERLINK("https://www.philgeps.gov.ph/GEPSNONPILOT/Tender/SplashBidNoticeAbstractUI.aspx?menuIndex=3&amp;refID=7017188&amp;Result=3","7017188")</f>
        <v>0</v>
      </c>
      <c r="B9864" t="s">
        <v>136</v>
      </c>
      <c r="C9864" t="s">
        <v>12125</v>
      </c>
      <c r="D9864" t="s">
        <v>13039</v>
      </c>
      <c r="E9864" t="s">
        <v>21658</v>
      </c>
      <c r="F9864" t="s">
        <v>22436</v>
      </c>
      <c r="G9864" t="s">
        <v>22444</v>
      </c>
      <c r="H9864" t="s">
        <v>22455</v>
      </c>
      <c r="I9864" t="s">
        <v>22455</v>
      </c>
      <c r="J9864" t="s">
        <v>22943</v>
      </c>
      <c r="K9864" t="s">
        <v>29329</v>
      </c>
      <c r="M9864" t="s">
        <v>29708</v>
      </c>
      <c r="N9864" t="s">
        <v>32524</v>
      </c>
      <c r="O9864" t="s">
        <v>32525</v>
      </c>
      <c r="P9864">
        <v>0</v>
      </c>
      <c r="Q9864">
        <v>6</v>
      </c>
      <c r="R9864" t="s">
        <v>32539</v>
      </c>
      <c r="S9864" t="s">
        <v>33010</v>
      </c>
      <c r="T9864" t="s">
        <v>33571</v>
      </c>
      <c r="U9864" t="s">
        <v>41726</v>
      </c>
      <c r="W9864" t="s">
        <v>29708</v>
      </c>
      <c r="X9864" t="s">
        <v>43782</v>
      </c>
    </row>
    <row r="9865" spans="1:24">
      <c r="A9865">
        <f>HYPERLINK("https://www.philgeps.gov.ph/GEPSNONPILOT/Tender/SplashBidNoticeAbstractUI.aspx?menuIndex=3&amp;refID=7016886&amp;Result=3","7016886")</f>
        <v>0</v>
      </c>
      <c r="B9865" t="s">
        <v>364</v>
      </c>
      <c r="C9865" t="s">
        <v>12126</v>
      </c>
      <c r="D9865" t="s">
        <v>13011</v>
      </c>
      <c r="E9865" t="s">
        <v>21659</v>
      </c>
      <c r="F9865" t="s">
        <v>22436</v>
      </c>
      <c r="G9865" t="s">
        <v>22444</v>
      </c>
      <c r="H9865" t="s">
        <v>22454</v>
      </c>
      <c r="I9865" t="s">
        <v>7738</v>
      </c>
      <c r="J9865" t="s">
        <v>22877</v>
      </c>
      <c r="K9865" t="s">
        <v>29435</v>
      </c>
      <c r="M9865" t="s">
        <v>29942</v>
      </c>
      <c r="N9865" t="s">
        <v>32524</v>
      </c>
      <c r="O9865" t="s">
        <v>32525</v>
      </c>
      <c r="P9865">
        <v>0</v>
      </c>
      <c r="Q9865">
        <v>0</v>
      </c>
      <c r="R9865" t="s">
        <v>32539</v>
      </c>
      <c r="S9865" t="s">
        <v>33010</v>
      </c>
      <c r="T9865" t="s">
        <v>33216</v>
      </c>
      <c r="U9865" t="s">
        <v>41727</v>
      </c>
      <c r="W9865" t="s">
        <v>29942</v>
      </c>
      <c r="X9865" t="s">
        <v>43782</v>
      </c>
    </row>
    <row r="9866" spans="1:24">
      <c r="A9866">
        <f>HYPERLINK("https://www.philgeps.gov.ph/GEPSNONPILOT/Tender/SplashBidNoticeAbstractUI.aspx?menuIndex=3&amp;refID=7018021&amp;Result=3","7018021")</f>
        <v>0</v>
      </c>
      <c r="B9866" t="s">
        <v>2091</v>
      </c>
      <c r="C9866" t="s">
        <v>12127</v>
      </c>
      <c r="D9866" t="s">
        <v>13018</v>
      </c>
      <c r="E9866" t="s">
        <v>21660</v>
      </c>
      <c r="F9866" t="s">
        <v>22436</v>
      </c>
      <c r="G9866" t="s">
        <v>22444</v>
      </c>
      <c r="H9866" t="s">
        <v>22452</v>
      </c>
      <c r="I9866" t="s">
        <v>2981</v>
      </c>
      <c r="J9866" t="s">
        <v>22605</v>
      </c>
      <c r="K9866" t="s">
        <v>29341</v>
      </c>
      <c r="M9866" t="s">
        <v>31835</v>
      </c>
      <c r="N9866" t="s">
        <v>32524</v>
      </c>
      <c r="O9866" t="s">
        <v>32525</v>
      </c>
      <c r="P9866">
        <v>0</v>
      </c>
      <c r="Q9866">
        <v>3</v>
      </c>
      <c r="R9866" t="s">
        <v>32539</v>
      </c>
      <c r="S9866" t="s">
        <v>33010</v>
      </c>
      <c r="T9866" t="s">
        <v>33177</v>
      </c>
      <c r="U9866" t="s">
        <v>41728</v>
      </c>
      <c r="V9866" t="s">
        <v>43563</v>
      </c>
      <c r="W9866" t="s">
        <v>31835</v>
      </c>
      <c r="X9866" t="s">
        <v>43782</v>
      </c>
    </row>
    <row r="9867" spans="1:24">
      <c r="A9867">
        <f>HYPERLINK("https://www.philgeps.gov.ph/GEPSNONPILOT/Tender/SplashBidNoticeAbstractUI.aspx?menuIndex=3&amp;refID=7016861&amp;Result=3","7016861")</f>
        <v>0</v>
      </c>
      <c r="B9867" t="s">
        <v>364</v>
      </c>
      <c r="C9867" t="s">
        <v>12128</v>
      </c>
      <c r="D9867" t="s">
        <v>13011</v>
      </c>
      <c r="E9867" t="s">
        <v>21661</v>
      </c>
      <c r="F9867" t="s">
        <v>22436</v>
      </c>
      <c r="G9867" t="s">
        <v>22444</v>
      </c>
      <c r="H9867" t="s">
        <v>22454</v>
      </c>
      <c r="I9867" t="s">
        <v>7738</v>
      </c>
      <c r="J9867" t="s">
        <v>23350</v>
      </c>
      <c r="K9867" t="s">
        <v>29388</v>
      </c>
      <c r="M9867" t="s">
        <v>29942</v>
      </c>
      <c r="N9867" t="s">
        <v>32524</v>
      </c>
      <c r="O9867" t="s">
        <v>32525</v>
      </c>
      <c r="P9867">
        <v>0</v>
      </c>
      <c r="Q9867">
        <v>1</v>
      </c>
      <c r="R9867" t="s">
        <v>32539</v>
      </c>
      <c r="S9867" t="s">
        <v>33010</v>
      </c>
      <c r="T9867" t="s">
        <v>33171</v>
      </c>
      <c r="U9867" t="s">
        <v>41729</v>
      </c>
      <c r="W9867" t="s">
        <v>29942</v>
      </c>
      <c r="X9867" t="s">
        <v>43782</v>
      </c>
    </row>
    <row r="9868" spans="1:24">
      <c r="A9868">
        <f>HYPERLINK("https://www.philgeps.gov.ph/GEPSNONPILOT/Tender/SplashBidNoticeAbstractUI.aspx?menuIndex=3&amp;refID=7019188&amp;Result=3","7019188")</f>
        <v>0</v>
      </c>
      <c r="B9868" t="s">
        <v>46</v>
      </c>
      <c r="C9868" t="s">
        <v>12129</v>
      </c>
      <c r="D9868" t="s">
        <v>13006</v>
      </c>
      <c r="E9868" t="s">
        <v>21662</v>
      </c>
      <c r="F9868" t="s">
        <v>22436</v>
      </c>
      <c r="G9868" t="s">
        <v>22444</v>
      </c>
      <c r="H9868" t="s">
        <v>22452</v>
      </c>
      <c r="I9868" t="s">
        <v>22479</v>
      </c>
      <c r="J9868" t="s">
        <v>25148</v>
      </c>
      <c r="K9868" t="s">
        <v>29336</v>
      </c>
      <c r="M9868" t="s">
        <v>29617</v>
      </c>
      <c r="N9868" t="s">
        <v>32524</v>
      </c>
      <c r="O9868" t="s">
        <v>32525</v>
      </c>
      <c r="Q9868">
        <v>0</v>
      </c>
      <c r="R9868" t="s">
        <v>32539</v>
      </c>
      <c r="S9868" t="s">
        <v>33017</v>
      </c>
      <c r="T9868" t="s">
        <v>33175</v>
      </c>
      <c r="U9868" t="s">
        <v>41730</v>
      </c>
      <c r="V9868" t="s">
        <v>42654</v>
      </c>
      <c r="W9868" t="s">
        <v>29617</v>
      </c>
      <c r="X9868" t="s">
        <v>43779</v>
      </c>
    </row>
    <row r="9869" spans="1:24">
      <c r="A9869">
        <f>HYPERLINK("https://www.philgeps.gov.ph/GEPSNONPILOT/Tender/SplashBidNoticeAbstractUI.aspx?menuIndex=3&amp;refID=7017801&amp;Result=3","7017801")</f>
        <v>0</v>
      </c>
      <c r="B9869" t="s">
        <v>2091</v>
      </c>
      <c r="C9869" t="s">
        <v>12130</v>
      </c>
      <c r="D9869" t="s">
        <v>13018</v>
      </c>
      <c r="E9869" t="s">
        <v>21663</v>
      </c>
      <c r="F9869" t="s">
        <v>22436</v>
      </c>
      <c r="G9869" t="s">
        <v>22444</v>
      </c>
      <c r="H9869" t="s">
        <v>22452</v>
      </c>
      <c r="I9869" t="s">
        <v>2981</v>
      </c>
      <c r="J9869" t="s">
        <v>24526</v>
      </c>
      <c r="K9869" t="s">
        <v>29341</v>
      </c>
      <c r="M9869" t="s">
        <v>31835</v>
      </c>
      <c r="N9869" t="s">
        <v>32524</v>
      </c>
      <c r="O9869" t="s">
        <v>32525</v>
      </c>
      <c r="Q9869">
        <v>2</v>
      </c>
      <c r="R9869" t="s">
        <v>32539</v>
      </c>
      <c r="S9869" t="s">
        <v>33018</v>
      </c>
      <c r="T9869" t="s">
        <v>33177</v>
      </c>
      <c r="U9869" t="s">
        <v>41731</v>
      </c>
      <c r="V9869" t="s">
        <v>43564</v>
      </c>
      <c r="W9869" t="s">
        <v>31835</v>
      </c>
      <c r="X9869" t="s">
        <v>43782</v>
      </c>
    </row>
    <row r="9870" spans="1:24">
      <c r="A9870">
        <f>HYPERLINK("https://www.philgeps.gov.ph/GEPSNONPILOT/Tender/SplashBidNoticeAbstractUI.aspx?menuIndex=3&amp;refID=7018321&amp;Result=3","7018321")</f>
        <v>0</v>
      </c>
      <c r="B9870" t="s">
        <v>116</v>
      </c>
      <c r="C9870" t="s">
        <v>12131</v>
      </c>
      <c r="D9870" t="s">
        <v>12994</v>
      </c>
      <c r="E9870" t="s">
        <v>21664</v>
      </c>
      <c r="F9870" t="s">
        <v>22436</v>
      </c>
      <c r="G9870" t="s">
        <v>22444</v>
      </c>
      <c r="H9870" t="s">
        <v>22454</v>
      </c>
      <c r="I9870" t="s">
        <v>7738</v>
      </c>
      <c r="J9870" t="s">
        <v>28820</v>
      </c>
      <c r="K9870" t="s">
        <v>29388</v>
      </c>
      <c r="L9870" t="s">
        <v>116</v>
      </c>
      <c r="M9870" t="s">
        <v>29688</v>
      </c>
      <c r="N9870" t="s">
        <v>32524</v>
      </c>
      <c r="O9870" t="s">
        <v>32525</v>
      </c>
      <c r="P9870">
        <v>0</v>
      </c>
      <c r="Q9870">
        <v>40</v>
      </c>
      <c r="R9870" t="s">
        <v>32539</v>
      </c>
      <c r="S9870" t="s">
        <v>33010</v>
      </c>
      <c r="T9870" t="s">
        <v>33230</v>
      </c>
      <c r="U9870" t="s">
        <v>41732</v>
      </c>
      <c r="V9870" t="s">
        <v>43565</v>
      </c>
      <c r="W9870" t="s">
        <v>29688</v>
      </c>
      <c r="X9870" t="s">
        <v>43782</v>
      </c>
    </row>
    <row r="9871" spans="1:24">
      <c r="A9871">
        <f>HYPERLINK("https://www.philgeps.gov.ph/GEPSNONPILOT/Tender/SplashBidNoticeAbstractUI.aspx?menuIndex=3&amp;refID=7017955&amp;Result=3","7017955")</f>
        <v>0</v>
      </c>
      <c r="B9871" t="s">
        <v>2091</v>
      </c>
      <c r="C9871" t="s">
        <v>12132</v>
      </c>
      <c r="D9871" t="s">
        <v>13018</v>
      </c>
      <c r="E9871" t="s">
        <v>21665</v>
      </c>
      <c r="F9871" t="s">
        <v>22436</v>
      </c>
      <c r="G9871" t="s">
        <v>22444</v>
      </c>
      <c r="H9871" t="s">
        <v>22452</v>
      </c>
      <c r="I9871" t="s">
        <v>22456</v>
      </c>
      <c r="J9871" t="s">
        <v>22700</v>
      </c>
      <c r="K9871" t="s">
        <v>29341</v>
      </c>
      <c r="M9871" t="s">
        <v>31835</v>
      </c>
      <c r="N9871" t="s">
        <v>32524</v>
      </c>
      <c r="O9871" t="s">
        <v>32525</v>
      </c>
      <c r="Q9871">
        <v>1</v>
      </c>
      <c r="R9871" t="s">
        <v>32539</v>
      </c>
      <c r="S9871" t="s">
        <v>33019</v>
      </c>
      <c r="T9871" t="s">
        <v>33177</v>
      </c>
      <c r="U9871" t="s">
        <v>41733</v>
      </c>
      <c r="V9871" t="s">
        <v>43566</v>
      </c>
      <c r="W9871" t="s">
        <v>31835</v>
      </c>
      <c r="X9871" t="s">
        <v>43782</v>
      </c>
    </row>
    <row r="9872" spans="1:24">
      <c r="A9872">
        <f>HYPERLINK("https://www.philgeps.gov.ph/GEPSNONPILOT/Tender/SplashBidNoticeAbstractUI.aspx?menuIndex=3&amp;refID=7018815&amp;Result=3","7018815")</f>
        <v>0</v>
      </c>
      <c r="B9872" t="s">
        <v>946</v>
      </c>
      <c r="C9872" t="s">
        <v>12133</v>
      </c>
      <c r="D9872" t="s">
        <v>13060</v>
      </c>
      <c r="E9872" t="s">
        <v>21666</v>
      </c>
      <c r="F9872" t="s">
        <v>22436</v>
      </c>
      <c r="G9872" t="s">
        <v>22444</v>
      </c>
      <c r="H9872" t="s">
        <v>22454</v>
      </c>
      <c r="I9872" t="s">
        <v>7738</v>
      </c>
      <c r="J9872" t="s">
        <v>25909</v>
      </c>
      <c r="K9872" t="s">
        <v>29401</v>
      </c>
      <c r="M9872" t="s">
        <v>30560</v>
      </c>
      <c r="N9872" t="s">
        <v>32524</v>
      </c>
      <c r="O9872" t="s">
        <v>32525</v>
      </c>
      <c r="P9872">
        <v>0</v>
      </c>
      <c r="Q9872">
        <v>0</v>
      </c>
      <c r="R9872" t="s">
        <v>32539</v>
      </c>
      <c r="S9872" t="s">
        <v>33010</v>
      </c>
      <c r="T9872" t="s">
        <v>33203</v>
      </c>
      <c r="U9872" t="s">
        <v>41734</v>
      </c>
      <c r="V9872" t="s">
        <v>43567</v>
      </c>
      <c r="W9872" t="s">
        <v>30560</v>
      </c>
      <c r="X9872" t="s">
        <v>43780</v>
      </c>
    </row>
    <row r="9873" spans="1:24">
      <c r="A9873">
        <f>HYPERLINK("https://www.philgeps.gov.ph/GEPSNONPILOT/Tender/SplashBidNoticeAbstractUI.aspx?menuIndex=3&amp;refID=7017842&amp;Result=3","7017842")</f>
        <v>0</v>
      </c>
      <c r="B9873" t="s">
        <v>2091</v>
      </c>
      <c r="C9873" t="s">
        <v>12134</v>
      </c>
      <c r="D9873" t="s">
        <v>13018</v>
      </c>
      <c r="E9873" t="s">
        <v>21667</v>
      </c>
      <c r="F9873" t="s">
        <v>22436</v>
      </c>
      <c r="G9873" t="s">
        <v>22444</v>
      </c>
      <c r="H9873" t="s">
        <v>22452</v>
      </c>
      <c r="I9873" t="s">
        <v>22456</v>
      </c>
      <c r="J9873" t="s">
        <v>23234</v>
      </c>
      <c r="K9873" t="s">
        <v>29341</v>
      </c>
      <c r="M9873" t="s">
        <v>31835</v>
      </c>
      <c r="N9873" t="s">
        <v>32524</v>
      </c>
      <c r="O9873" t="s">
        <v>32525</v>
      </c>
      <c r="Q9873">
        <v>1</v>
      </c>
      <c r="R9873" t="s">
        <v>32539</v>
      </c>
      <c r="S9873" t="s">
        <v>33020</v>
      </c>
      <c r="T9873" t="s">
        <v>33177</v>
      </c>
      <c r="U9873" t="s">
        <v>41735</v>
      </c>
      <c r="V9873" t="s">
        <v>43568</v>
      </c>
      <c r="W9873" t="s">
        <v>31835</v>
      </c>
      <c r="X9873" t="s">
        <v>43782</v>
      </c>
    </row>
    <row r="9874" spans="1:24">
      <c r="A9874">
        <f>HYPERLINK("https://www.philgeps.gov.ph/GEPSNONPILOT/Tender/SplashBidNoticeAbstractUI.aspx?menuIndex=3&amp;refID=7018821&amp;Result=3","7018821")</f>
        <v>0</v>
      </c>
      <c r="B9874" t="s">
        <v>946</v>
      </c>
      <c r="C9874" t="s">
        <v>12135</v>
      </c>
      <c r="D9874" t="s">
        <v>13060</v>
      </c>
      <c r="E9874" t="s">
        <v>21668</v>
      </c>
      <c r="F9874" t="s">
        <v>22436</v>
      </c>
      <c r="G9874" t="s">
        <v>22444</v>
      </c>
      <c r="H9874" t="s">
        <v>22454</v>
      </c>
      <c r="I9874" t="s">
        <v>7738</v>
      </c>
      <c r="J9874" t="s">
        <v>24431</v>
      </c>
      <c r="K9874" t="s">
        <v>29345</v>
      </c>
      <c r="M9874" t="s">
        <v>30560</v>
      </c>
      <c r="N9874" t="s">
        <v>32524</v>
      </c>
      <c r="O9874" t="s">
        <v>32525</v>
      </c>
      <c r="P9874">
        <v>0</v>
      </c>
      <c r="Q9874">
        <v>0</v>
      </c>
      <c r="R9874" t="s">
        <v>32539</v>
      </c>
      <c r="S9874" t="s">
        <v>33010</v>
      </c>
      <c r="T9874" t="s">
        <v>33203</v>
      </c>
      <c r="U9874" t="s">
        <v>41736</v>
      </c>
      <c r="V9874" t="s">
        <v>43569</v>
      </c>
      <c r="W9874" t="s">
        <v>30560</v>
      </c>
      <c r="X9874" t="s">
        <v>43780</v>
      </c>
    </row>
    <row r="9875" spans="1:24">
      <c r="A9875">
        <f>HYPERLINK("https://www.philgeps.gov.ph/GEPSNONPILOT/Tender/SplashBidNoticeAbstractUI.aspx?menuIndex=3&amp;refID=7018187&amp;Result=3","7018187")</f>
        <v>0</v>
      </c>
      <c r="B9875" t="s">
        <v>2578</v>
      </c>
      <c r="C9875" t="s">
        <v>12136</v>
      </c>
      <c r="D9875" t="s">
        <v>13007</v>
      </c>
      <c r="E9875" t="s">
        <v>21669</v>
      </c>
      <c r="F9875" t="s">
        <v>22436</v>
      </c>
      <c r="G9875" t="s">
        <v>22444</v>
      </c>
      <c r="H9875" t="s">
        <v>22452</v>
      </c>
      <c r="I9875" t="s">
        <v>7738</v>
      </c>
      <c r="J9875" t="s">
        <v>28821</v>
      </c>
      <c r="K9875" t="s">
        <v>29433</v>
      </c>
      <c r="M9875" t="s">
        <v>32401</v>
      </c>
      <c r="N9875" t="s">
        <v>32524</v>
      </c>
      <c r="O9875" t="s">
        <v>32525</v>
      </c>
      <c r="P9875">
        <v>0</v>
      </c>
      <c r="Q9875">
        <v>4</v>
      </c>
      <c r="R9875" t="s">
        <v>32539</v>
      </c>
      <c r="S9875" t="s">
        <v>33010</v>
      </c>
      <c r="T9875" t="s">
        <v>33203</v>
      </c>
      <c r="U9875" t="s">
        <v>41737</v>
      </c>
      <c r="V9875" t="s">
        <v>43570</v>
      </c>
      <c r="W9875" t="s">
        <v>32401</v>
      </c>
      <c r="X9875" t="s">
        <v>43782</v>
      </c>
    </row>
    <row r="9876" spans="1:24">
      <c r="A9876">
        <f>HYPERLINK("https://www.philgeps.gov.ph/GEPSNONPILOT/Tender/SplashBidNoticeAbstractUI.aspx?menuIndex=3&amp;refID=7020347&amp;Result=3","7020347")</f>
        <v>0</v>
      </c>
      <c r="B9876" t="s">
        <v>1265</v>
      </c>
      <c r="C9876" t="s">
        <v>12137</v>
      </c>
      <c r="D9876" t="s">
        <v>13000</v>
      </c>
      <c r="E9876" t="s">
        <v>21670</v>
      </c>
      <c r="F9876" t="s">
        <v>22436</v>
      </c>
      <c r="G9876" t="s">
        <v>22444</v>
      </c>
      <c r="H9876" t="s">
        <v>22452</v>
      </c>
      <c r="I9876" t="s">
        <v>12358</v>
      </c>
      <c r="J9876" t="s">
        <v>28822</v>
      </c>
      <c r="K9876" t="s">
        <v>29338</v>
      </c>
      <c r="M9876" t="s">
        <v>30918</v>
      </c>
      <c r="N9876" t="s">
        <v>32524</v>
      </c>
      <c r="O9876" t="s">
        <v>32525</v>
      </c>
      <c r="P9876">
        <v>0</v>
      </c>
      <c r="Q9876">
        <v>1</v>
      </c>
      <c r="R9876" t="s">
        <v>32539</v>
      </c>
      <c r="S9876" t="s">
        <v>33010</v>
      </c>
      <c r="T9876" t="s">
        <v>33171</v>
      </c>
      <c r="U9876" t="s">
        <v>41738</v>
      </c>
      <c r="W9876" t="s">
        <v>30918</v>
      </c>
      <c r="X9876" t="s">
        <v>43779</v>
      </c>
    </row>
    <row r="9877" spans="1:24">
      <c r="A9877">
        <f>HYPERLINK("https://www.philgeps.gov.ph/GEPSNONPILOT/Tender/SplashBidNoticeAbstractUI.aspx?menuIndex=3&amp;refID=7018820&amp;Result=3","7018820")</f>
        <v>0</v>
      </c>
      <c r="B9877" t="s">
        <v>946</v>
      </c>
      <c r="C9877" t="s">
        <v>12138</v>
      </c>
      <c r="D9877" t="s">
        <v>13060</v>
      </c>
      <c r="E9877" t="s">
        <v>21671</v>
      </c>
      <c r="F9877" t="s">
        <v>22436</v>
      </c>
      <c r="G9877" t="s">
        <v>22444</v>
      </c>
      <c r="H9877" t="s">
        <v>22454</v>
      </c>
      <c r="I9877" t="s">
        <v>7738</v>
      </c>
      <c r="J9877" t="s">
        <v>25311</v>
      </c>
      <c r="K9877" t="s">
        <v>29333</v>
      </c>
      <c r="M9877" t="s">
        <v>30560</v>
      </c>
      <c r="N9877" t="s">
        <v>32524</v>
      </c>
      <c r="O9877" t="s">
        <v>32525</v>
      </c>
      <c r="P9877">
        <v>0</v>
      </c>
      <c r="Q9877">
        <v>0</v>
      </c>
      <c r="R9877" t="s">
        <v>32539</v>
      </c>
      <c r="S9877" t="s">
        <v>33010</v>
      </c>
      <c r="T9877" t="s">
        <v>33203</v>
      </c>
      <c r="U9877" t="s">
        <v>41736</v>
      </c>
      <c r="V9877" t="s">
        <v>43571</v>
      </c>
      <c r="W9877" t="s">
        <v>30560</v>
      </c>
      <c r="X9877" t="s">
        <v>43780</v>
      </c>
    </row>
    <row r="9878" spans="1:24">
      <c r="A9878">
        <f>HYPERLINK("https://www.philgeps.gov.ph/GEPSNONPILOT/Tender/SplashBidNoticeAbstractUI.aspx?menuIndex=3&amp;refID=7020302&amp;Result=3","7020302")</f>
        <v>0</v>
      </c>
      <c r="B9878" t="s">
        <v>168</v>
      </c>
      <c r="C9878" t="s">
        <v>12139</v>
      </c>
      <c r="D9878" t="s">
        <v>13015</v>
      </c>
      <c r="E9878" t="s">
        <v>21672</v>
      </c>
      <c r="F9878" t="s">
        <v>22436</v>
      </c>
      <c r="G9878" t="s">
        <v>22444</v>
      </c>
      <c r="H9878" t="s">
        <v>22452</v>
      </c>
      <c r="I9878" t="s">
        <v>22479</v>
      </c>
      <c r="J9878" t="s">
        <v>22960</v>
      </c>
      <c r="K9878" t="s">
        <v>29335</v>
      </c>
      <c r="M9878" t="s">
        <v>31341</v>
      </c>
      <c r="N9878" t="s">
        <v>32524</v>
      </c>
      <c r="O9878" t="s">
        <v>32525</v>
      </c>
      <c r="P9878">
        <v>0</v>
      </c>
      <c r="Q9878">
        <v>3</v>
      </c>
      <c r="R9878" t="s">
        <v>32539</v>
      </c>
      <c r="S9878" t="s">
        <v>33010</v>
      </c>
      <c r="T9878" t="s">
        <v>33168</v>
      </c>
      <c r="U9878" t="s">
        <v>33937</v>
      </c>
      <c r="V9878" t="s">
        <v>42464</v>
      </c>
      <c r="W9878" t="s">
        <v>31341</v>
      </c>
      <c r="X9878" t="s">
        <v>43779</v>
      </c>
    </row>
    <row r="9879" spans="1:24">
      <c r="A9879">
        <f>HYPERLINK("https://www.philgeps.gov.ph/GEPSNONPILOT/Tender/SplashBidNoticeAbstractUI.aspx?menuIndex=3&amp;refID=7019194&amp;Result=3","7019194")</f>
        <v>0</v>
      </c>
      <c r="B9879" t="s">
        <v>46</v>
      </c>
      <c r="C9879" t="s">
        <v>12140</v>
      </c>
      <c r="D9879" t="s">
        <v>13006</v>
      </c>
      <c r="E9879" t="s">
        <v>21673</v>
      </c>
      <c r="F9879" t="s">
        <v>22436</v>
      </c>
      <c r="G9879" t="s">
        <v>22444</v>
      </c>
      <c r="H9879" t="s">
        <v>22452</v>
      </c>
      <c r="I9879" t="s">
        <v>22479</v>
      </c>
      <c r="J9879" t="s">
        <v>25109</v>
      </c>
      <c r="K9879" t="s">
        <v>29336</v>
      </c>
      <c r="M9879" t="s">
        <v>29617</v>
      </c>
      <c r="N9879" t="s">
        <v>32524</v>
      </c>
      <c r="O9879" t="s">
        <v>32525</v>
      </c>
      <c r="Q9879">
        <v>0</v>
      </c>
      <c r="R9879" t="s">
        <v>32539</v>
      </c>
      <c r="S9879" t="s">
        <v>33021</v>
      </c>
      <c r="T9879" t="s">
        <v>33175</v>
      </c>
      <c r="U9879" t="s">
        <v>41739</v>
      </c>
      <c r="V9879" t="s">
        <v>42654</v>
      </c>
      <c r="W9879" t="s">
        <v>29617</v>
      </c>
      <c r="X9879" t="s">
        <v>43779</v>
      </c>
    </row>
    <row r="9880" spans="1:24">
      <c r="A9880">
        <f>HYPERLINK("https://www.philgeps.gov.ph/GEPSNONPILOT/Tender/SplashBidNoticeAbstractUI.aspx?menuIndex=3&amp;refID=7020245&amp;Result=3","7020245")</f>
        <v>0</v>
      </c>
      <c r="B9880" t="s">
        <v>2579</v>
      </c>
      <c r="C9880" t="s">
        <v>12141</v>
      </c>
      <c r="D9880" t="s">
        <v>13032</v>
      </c>
      <c r="E9880" t="s">
        <v>21674</v>
      </c>
      <c r="F9880" t="s">
        <v>22436</v>
      </c>
      <c r="G9880" t="s">
        <v>22444</v>
      </c>
      <c r="H9880" t="s">
        <v>22454</v>
      </c>
      <c r="I9880" t="s">
        <v>7738</v>
      </c>
      <c r="J9880" t="s">
        <v>28823</v>
      </c>
      <c r="K9880" t="s">
        <v>29334</v>
      </c>
      <c r="M9880" t="s">
        <v>32402</v>
      </c>
      <c r="N9880" t="s">
        <v>32524</v>
      </c>
      <c r="O9880" t="s">
        <v>32525</v>
      </c>
      <c r="P9880">
        <v>0</v>
      </c>
      <c r="Q9880">
        <v>2</v>
      </c>
      <c r="R9880" t="s">
        <v>32539</v>
      </c>
      <c r="S9880" t="s">
        <v>33010</v>
      </c>
      <c r="T9880" t="s">
        <v>33181</v>
      </c>
      <c r="U9880" t="s">
        <v>41740</v>
      </c>
      <c r="W9880" t="s">
        <v>43768</v>
      </c>
      <c r="X9880" t="s">
        <v>43779</v>
      </c>
    </row>
    <row r="9881" spans="1:24">
      <c r="A9881">
        <f>HYPERLINK("https://www.philgeps.gov.ph/GEPSNONPILOT/Tender/SplashBidNoticeAbstractUI.aspx?menuIndex=3&amp;refID=7020284&amp;Result=3","7020284")</f>
        <v>0</v>
      </c>
      <c r="B9881" t="s">
        <v>168</v>
      </c>
      <c r="C9881" t="s">
        <v>12142</v>
      </c>
      <c r="D9881" t="s">
        <v>13015</v>
      </c>
      <c r="E9881" t="s">
        <v>21675</v>
      </c>
      <c r="F9881" t="s">
        <v>22436</v>
      </c>
      <c r="G9881" t="s">
        <v>22444</v>
      </c>
      <c r="H9881" t="s">
        <v>22452</v>
      </c>
      <c r="I9881" t="s">
        <v>22461</v>
      </c>
      <c r="J9881" t="s">
        <v>24169</v>
      </c>
      <c r="K9881" t="s">
        <v>29335</v>
      </c>
      <c r="M9881" t="s">
        <v>31341</v>
      </c>
      <c r="N9881" t="s">
        <v>32524</v>
      </c>
      <c r="O9881" t="s">
        <v>32525</v>
      </c>
      <c r="P9881">
        <v>0</v>
      </c>
      <c r="Q9881">
        <v>4</v>
      </c>
      <c r="R9881" t="s">
        <v>32539</v>
      </c>
      <c r="S9881" t="s">
        <v>33010</v>
      </c>
      <c r="T9881" t="s">
        <v>33168</v>
      </c>
      <c r="U9881" t="s">
        <v>33937</v>
      </c>
      <c r="V9881" t="s">
        <v>42464</v>
      </c>
      <c r="W9881" t="s">
        <v>31341</v>
      </c>
      <c r="X9881" t="s">
        <v>43779</v>
      </c>
    </row>
    <row r="9882" spans="1:24">
      <c r="A9882">
        <f>HYPERLINK("https://www.philgeps.gov.ph/GEPSNONPILOT/Tender/SplashBidNoticeAbstractUI.aspx?menuIndex=3&amp;refID=7020230&amp;Result=3","7020230")</f>
        <v>0</v>
      </c>
      <c r="B9882" t="s">
        <v>1008</v>
      </c>
      <c r="C9882" t="s">
        <v>12143</v>
      </c>
      <c r="D9882" t="s">
        <v>13037</v>
      </c>
      <c r="E9882" t="s">
        <v>21676</v>
      </c>
      <c r="F9882" t="s">
        <v>22436</v>
      </c>
      <c r="G9882" t="s">
        <v>22444</v>
      </c>
      <c r="H9882" t="s">
        <v>22454</v>
      </c>
      <c r="I9882" t="s">
        <v>7738</v>
      </c>
      <c r="J9882" t="s">
        <v>25909</v>
      </c>
      <c r="K9882" t="s">
        <v>29334</v>
      </c>
      <c r="M9882" t="s">
        <v>30636</v>
      </c>
      <c r="N9882" t="s">
        <v>32524</v>
      </c>
      <c r="O9882" t="s">
        <v>32525</v>
      </c>
      <c r="P9882">
        <v>0</v>
      </c>
      <c r="Q9882">
        <v>1</v>
      </c>
      <c r="R9882" t="s">
        <v>32539</v>
      </c>
      <c r="S9882" t="s">
        <v>33010</v>
      </c>
      <c r="T9882" t="s">
        <v>33230</v>
      </c>
      <c r="U9882" t="s">
        <v>35903</v>
      </c>
      <c r="W9882" t="s">
        <v>30636</v>
      </c>
      <c r="X9882" t="s">
        <v>43779</v>
      </c>
    </row>
    <row r="9883" spans="1:24">
      <c r="A9883">
        <f>HYPERLINK("https://www.philgeps.gov.ph/GEPSNONPILOT/Tender/SplashBidNoticeAbstractUI.aspx?menuIndex=3&amp;refID=7020262&amp;Result=3","7020262")</f>
        <v>0</v>
      </c>
      <c r="B9883" t="s">
        <v>1008</v>
      </c>
      <c r="C9883" t="s">
        <v>12144</v>
      </c>
      <c r="D9883" t="s">
        <v>13037</v>
      </c>
      <c r="E9883" t="s">
        <v>21677</v>
      </c>
      <c r="F9883" t="s">
        <v>22436</v>
      </c>
      <c r="G9883" t="s">
        <v>22444</v>
      </c>
      <c r="H9883" t="s">
        <v>22454</v>
      </c>
      <c r="I9883" t="s">
        <v>7738</v>
      </c>
      <c r="J9883" t="s">
        <v>24103</v>
      </c>
      <c r="K9883" t="s">
        <v>29334</v>
      </c>
      <c r="M9883" t="s">
        <v>30636</v>
      </c>
      <c r="N9883" t="s">
        <v>32524</v>
      </c>
      <c r="O9883" t="s">
        <v>32525</v>
      </c>
      <c r="P9883">
        <v>0</v>
      </c>
      <c r="Q9883">
        <v>0</v>
      </c>
      <c r="R9883" t="s">
        <v>32539</v>
      </c>
      <c r="S9883" t="s">
        <v>33010</v>
      </c>
      <c r="T9883" t="s">
        <v>33230</v>
      </c>
      <c r="U9883" t="s">
        <v>35903</v>
      </c>
      <c r="W9883" t="s">
        <v>30636</v>
      </c>
      <c r="X9883" t="s">
        <v>43779</v>
      </c>
    </row>
    <row r="9884" spans="1:24">
      <c r="A9884">
        <f>HYPERLINK("https://www.philgeps.gov.ph/GEPSNONPILOT/Tender/SplashBidNoticeAbstractUI.aspx?menuIndex=3&amp;refID=7020321&amp;Result=3","7020321")</f>
        <v>0</v>
      </c>
      <c r="B9884" t="s">
        <v>1265</v>
      </c>
      <c r="C9884" t="s">
        <v>11706</v>
      </c>
      <c r="D9884" t="s">
        <v>13000</v>
      </c>
      <c r="E9884" t="s">
        <v>21678</v>
      </c>
      <c r="F9884" t="s">
        <v>22436</v>
      </c>
      <c r="G9884" t="s">
        <v>22444</v>
      </c>
      <c r="H9884" t="s">
        <v>22452</v>
      </c>
      <c r="I9884" t="s">
        <v>22463</v>
      </c>
      <c r="J9884" t="s">
        <v>28824</v>
      </c>
      <c r="K9884" t="s">
        <v>29338</v>
      </c>
      <c r="M9884" t="s">
        <v>30918</v>
      </c>
      <c r="N9884" t="s">
        <v>32524</v>
      </c>
      <c r="O9884" t="s">
        <v>32525</v>
      </c>
      <c r="P9884">
        <v>0</v>
      </c>
      <c r="Q9884">
        <v>14</v>
      </c>
      <c r="R9884" t="s">
        <v>32539</v>
      </c>
      <c r="S9884" t="s">
        <v>33010</v>
      </c>
      <c r="T9884" t="s">
        <v>33171</v>
      </c>
      <c r="U9884" t="s">
        <v>41741</v>
      </c>
      <c r="W9884" t="s">
        <v>30918</v>
      </c>
      <c r="X9884" t="s">
        <v>43779</v>
      </c>
    </row>
    <row r="9885" spans="1:24">
      <c r="A9885">
        <f>HYPERLINK("https://www.philgeps.gov.ph/GEPSNONPILOT/Tender/SplashBidNoticeAbstractUI.aspx?menuIndex=3&amp;refID=7020301&amp;Result=3","7020301")</f>
        <v>0</v>
      </c>
      <c r="B9885" t="s">
        <v>2580</v>
      </c>
      <c r="C9885" t="s">
        <v>12145</v>
      </c>
      <c r="D9885" t="s">
        <v>13006</v>
      </c>
      <c r="E9885" t="s">
        <v>17396</v>
      </c>
      <c r="F9885" t="s">
        <v>22436</v>
      </c>
      <c r="G9885" t="s">
        <v>22444</v>
      </c>
      <c r="H9885" t="s">
        <v>22452</v>
      </c>
      <c r="I9885" t="s">
        <v>3529</v>
      </c>
      <c r="J9885" t="s">
        <v>22629</v>
      </c>
      <c r="K9885" t="s">
        <v>29336</v>
      </c>
      <c r="M9885" t="s">
        <v>32403</v>
      </c>
      <c r="N9885" t="s">
        <v>32524</v>
      </c>
      <c r="O9885" t="s">
        <v>32525</v>
      </c>
      <c r="P9885">
        <v>0</v>
      </c>
      <c r="Q9885">
        <v>0</v>
      </c>
      <c r="R9885" t="s">
        <v>32539</v>
      </c>
      <c r="S9885" t="s">
        <v>33010</v>
      </c>
      <c r="T9885" t="s">
        <v>33243</v>
      </c>
      <c r="U9885" t="s">
        <v>41742</v>
      </c>
      <c r="W9885" t="s">
        <v>32403</v>
      </c>
      <c r="X9885" t="s">
        <v>43779</v>
      </c>
    </row>
    <row r="9886" spans="1:24">
      <c r="A9886">
        <f>HYPERLINK("https://www.philgeps.gov.ph/GEPSNONPILOT/Tender/SplashBidNoticeAbstractUI.aspx?menuIndex=3&amp;refID=7020299&amp;Result=3","7020299")</f>
        <v>0</v>
      </c>
      <c r="B9886" t="s">
        <v>1265</v>
      </c>
      <c r="C9886" t="s">
        <v>6606</v>
      </c>
      <c r="D9886" t="s">
        <v>13000</v>
      </c>
      <c r="E9886" t="s">
        <v>21679</v>
      </c>
      <c r="F9886" t="s">
        <v>22436</v>
      </c>
      <c r="G9886" t="s">
        <v>22444</v>
      </c>
      <c r="H9886" t="s">
        <v>22452</v>
      </c>
      <c r="I9886" t="s">
        <v>6421</v>
      </c>
      <c r="J9886" t="s">
        <v>28825</v>
      </c>
      <c r="K9886" t="s">
        <v>29338</v>
      </c>
      <c r="M9886" t="s">
        <v>30918</v>
      </c>
      <c r="N9886" t="s">
        <v>32524</v>
      </c>
      <c r="O9886" t="s">
        <v>32525</v>
      </c>
      <c r="P9886">
        <v>0</v>
      </c>
      <c r="Q9886">
        <v>9</v>
      </c>
      <c r="R9886" t="s">
        <v>32539</v>
      </c>
      <c r="S9886" t="s">
        <v>33010</v>
      </c>
      <c r="T9886" t="s">
        <v>33171</v>
      </c>
      <c r="U9886" t="s">
        <v>41743</v>
      </c>
      <c r="W9886" t="s">
        <v>30918</v>
      </c>
      <c r="X9886" t="s">
        <v>43779</v>
      </c>
    </row>
    <row r="9887" spans="1:24">
      <c r="A9887">
        <f>HYPERLINK("https://www.philgeps.gov.ph/GEPSNONPILOT/Tender/SplashBidNoticeAbstractUI.aspx?menuIndex=3&amp;refID=7020150&amp;Result=3","7020150")</f>
        <v>0</v>
      </c>
      <c r="B9887" t="s">
        <v>1008</v>
      </c>
      <c r="C9887" t="s">
        <v>12146</v>
      </c>
      <c r="D9887" t="s">
        <v>13037</v>
      </c>
      <c r="E9887" t="s">
        <v>21680</v>
      </c>
      <c r="F9887" t="s">
        <v>22436</v>
      </c>
      <c r="G9887" t="s">
        <v>22444</v>
      </c>
      <c r="H9887" t="s">
        <v>22452</v>
      </c>
      <c r="I9887" t="s">
        <v>3529</v>
      </c>
      <c r="J9887" t="s">
        <v>28826</v>
      </c>
      <c r="K9887" t="s">
        <v>29335</v>
      </c>
      <c r="M9887" t="s">
        <v>30636</v>
      </c>
      <c r="N9887" t="s">
        <v>32524</v>
      </c>
      <c r="O9887" t="s">
        <v>32525</v>
      </c>
      <c r="P9887">
        <v>0</v>
      </c>
      <c r="Q9887">
        <v>3</v>
      </c>
      <c r="R9887" t="s">
        <v>32539</v>
      </c>
      <c r="S9887" t="s">
        <v>33010</v>
      </c>
      <c r="T9887" t="s">
        <v>33230</v>
      </c>
      <c r="U9887" t="s">
        <v>35903</v>
      </c>
      <c r="W9887" t="s">
        <v>30636</v>
      </c>
      <c r="X9887" t="s">
        <v>43779</v>
      </c>
    </row>
    <row r="9888" spans="1:24">
      <c r="A9888">
        <f>HYPERLINK("https://www.philgeps.gov.ph/GEPSNONPILOT/Tender/SplashBidNoticeAbstractUI.aspx?menuIndex=3&amp;refID=7018819&amp;Result=3","7018819")</f>
        <v>0</v>
      </c>
      <c r="B9888" t="s">
        <v>946</v>
      </c>
      <c r="C9888" t="s">
        <v>12147</v>
      </c>
      <c r="D9888" t="s">
        <v>13060</v>
      </c>
      <c r="E9888" t="s">
        <v>21681</v>
      </c>
      <c r="F9888" t="s">
        <v>22436</v>
      </c>
      <c r="G9888" t="s">
        <v>22444</v>
      </c>
      <c r="H9888" t="s">
        <v>22454</v>
      </c>
      <c r="I9888" t="s">
        <v>7738</v>
      </c>
      <c r="J9888" t="s">
        <v>28827</v>
      </c>
      <c r="K9888" t="s">
        <v>29578</v>
      </c>
      <c r="M9888" t="s">
        <v>30560</v>
      </c>
      <c r="N9888" t="s">
        <v>32524</v>
      </c>
      <c r="O9888" t="s">
        <v>32525</v>
      </c>
      <c r="P9888">
        <v>0</v>
      </c>
      <c r="Q9888">
        <v>0</v>
      </c>
      <c r="R9888" t="s">
        <v>32539</v>
      </c>
      <c r="S9888" t="s">
        <v>33010</v>
      </c>
      <c r="T9888" t="s">
        <v>33203</v>
      </c>
      <c r="U9888" t="s">
        <v>41736</v>
      </c>
      <c r="V9888" t="s">
        <v>43572</v>
      </c>
      <c r="W9888" t="s">
        <v>30560</v>
      </c>
      <c r="X9888" t="s">
        <v>43780</v>
      </c>
    </row>
    <row r="9889" spans="1:24">
      <c r="A9889">
        <f>HYPERLINK("https://www.philgeps.gov.ph/GEPSNONPILOT/Tender/SplashBidNoticeAbstractUI.aspx?menuIndex=3&amp;refID=7020450&amp;Result=3","7020450")</f>
        <v>0</v>
      </c>
      <c r="B9889" t="s">
        <v>1265</v>
      </c>
      <c r="C9889" t="s">
        <v>12148</v>
      </c>
      <c r="D9889" t="s">
        <v>13000</v>
      </c>
      <c r="E9889" t="s">
        <v>21682</v>
      </c>
      <c r="F9889" t="s">
        <v>22436</v>
      </c>
      <c r="G9889" t="s">
        <v>22444</v>
      </c>
      <c r="H9889" t="s">
        <v>22452</v>
      </c>
      <c r="I9889" t="s">
        <v>22540</v>
      </c>
      <c r="J9889" t="s">
        <v>28828</v>
      </c>
      <c r="K9889" t="s">
        <v>29338</v>
      </c>
      <c r="M9889" t="s">
        <v>30918</v>
      </c>
      <c r="N9889" t="s">
        <v>32524</v>
      </c>
      <c r="O9889" t="s">
        <v>32525</v>
      </c>
      <c r="P9889">
        <v>0</v>
      </c>
      <c r="Q9889">
        <v>9</v>
      </c>
      <c r="R9889" t="s">
        <v>32539</v>
      </c>
      <c r="S9889" t="s">
        <v>33010</v>
      </c>
      <c r="T9889" t="s">
        <v>33171</v>
      </c>
      <c r="U9889" t="s">
        <v>41744</v>
      </c>
      <c r="W9889" t="s">
        <v>30918</v>
      </c>
      <c r="X9889" t="s">
        <v>43779</v>
      </c>
    </row>
    <row r="9890" spans="1:24">
      <c r="A9890">
        <f>HYPERLINK("https://www.philgeps.gov.ph/GEPSNONPILOT/Tender/SplashBidNoticeAbstractUI.aspx?menuIndex=3&amp;refID=7020428&amp;Result=3","7020428")</f>
        <v>0</v>
      </c>
      <c r="B9890" t="s">
        <v>434</v>
      </c>
      <c r="C9890" t="s">
        <v>12149</v>
      </c>
      <c r="D9890" t="s">
        <v>13007</v>
      </c>
      <c r="E9890" t="s">
        <v>21683</v>
      </c>
      <c r="F9890" t="s">
        <v>22436</v>
      </c>
      <c r="G9890" t="s">
        <v>22444</v>
      </c>
      <c r="H9890" t="s">
        <v>22454</v>
      </c>
      <c r="I9890" t="s">
        <v>7738</v>
      </c>
      <c r="J9890" t="s">
        <v>28829</v>
      </c>
      <c r="K9890" t="s">
        <v>29344</v>
      </c>
      <c r="M9890" t="s">
        <v>30015</v>
      </c>
      <c r="N9890" t="s">
        <v>32524</v>
      </c>
      <c r="O9890" t="s">
        <v>32525</v>
      </c>
      <c r="P9890">
        <v>0</v>
      </c>
      <c r="Q9890">
        <v>2</v>
      </c>
      <c r="R9890" t="s">
        <v>32539</v>
      </c>
      <c r="S9890" t="s">
        <v>33010</v>
      </c>
      <c r="T9890" t="s">
        <v>33182</v>
      </c>
      <c r="U9890" t="s">
        <v>41745</v>
      </c>
      <c r="W9890" t="s">
        <v>30015</v>
      </c>
      <c r="X9890" t="s">
        <v>43779</v>
      </c>
    </row>
    <row r="9891" spans="1:24">
      <c r="A9891">
        <f>HYPERLINK("https://www.philgeps.gov.ph/GEPSNONPILOT/Tender/SplashBidNoticeAbstractUI.aspx?menuIndex=3&amp;refID=7020489&amp;Result=3","7020489")</f>
        <v>0</v>
      </c>
      <c r="B9891" t="s">
        <v>1265</v>
      </c>
      <c r="C9891" t="s">
        <v>12150</v>
      </c>
      <c r="D9891" t="s">
        <v>13000</v>
      </c>
      <c r="E9891" t="s">
        <v>21684</v>
      </c>
      <c r="F9891" t="s">
        <v>22436</v>
      </c>
      <c r="G9891" t="s">
        <v>22444</v>
      </c>
      <c r="H9891" t="s">
        <v>22454</v>
      </c>
      <c r="I9891" t="s">
        <v>7738</v>
      </c>
      <c r="J9891" t="s">
        <v>28830</v>
      </c>
      <c r="K9891" t="s">
        <v>29338</v>
      </c>
      <c r="M9891" t="s">
        <v>30918</v>
      </c>
      <c r="N9891" t="s">
        <v>32524</v>
      </c>
      <c r="O9891" t="s">
        <v>32525</v>
      </c>
      <c r="P9891">
        <v>0</v>
      </c>
      <c r="Q9891">
        <v>2</v>
      </c>
      <c r="R9891" t="s">
        <v>32539</v>
      </c>
      <c r="S9891" t="s">
        <v>33010</v>
      </c>
      <c r="T9891" t="s">
        <v>33171</v>
      </c>
      <c r="U9891" t="s">
        <v>41746</v>
      </c>
      <c r="W9891" t="s">
        <v>30918</v>
      </c>
      <c r="X9891" t="s">
        <v>43779</v>
      </c>
    </row>
    <row r="9892" spans="1:24">
      <c r="A9892">
        <f>HYPERLINK("https://www.philgeps.gov.ph/GEPSNONPILOT/Tender/SplashBidNoticeAbstractUI.aspx?menuIndex=3&amp;refID=7020392&amp;Result=3","7020392")</f>
        <v>0</v>
      </c>
      <c r="B9892" t="s">
        <v>1903</v>
      </c>
      <c r="C9892" t="s">
        <v>12151</v>
      </c>
      <c r="D9892" t="s">
        <v>13010</v>
      </c>
      <c r="E9892" t="s">
        <v>21685</v>
      </c>
      <c r="F9892" t="s">
        <v>22436</v>
      </c>
      <c r="G9892" t="s">
        <v>22444</v>
      </c>
      <c r="H9892" t="s">
        <v>22452</v>
      </c>
      <c r="I9892" t="s">
        <v>3827</v>
      </c>
      <c r="J9892" t="s">
        <v>28831</v>
      </c>
      <c r="K9892" t="s">
        <v>29331</v>
      </c>
      <c r="M9892" t="s">
        <v>31625</v>
      </c>
      <c r="N9892" t="s">
        <v>32524</v>
      </c>
      <c r="O9892" t="s">
        <v>32525</v>
      </c>
      <c r="P9892">
        <v>0</v>
      </c>
      <c r="Q9892">
        <v>7</v>
      </c>
      <c r="R9892" t="s">
        <v>32539</v>
      </c>
      <c r="S9892" t="s">
        <v>33010</v>
      </c>
      <c r="T9892" t="s">
        <v>33530</v>
      </c>
      <c r="U9892" t="s">
        <v>41747</v>
      </c>
      <c r="V9892" t="s">
        <v>43077</v>
      </c>
      <c r="W9892" t="s">
        <v>31625</v>
      </c>
      <c r="X9892" t="s">
        <v>43779</v>
      </c>
    </row>
    <row r="9893" spans="1:24">
      <c r="A9893">
        <f>HYPERLINK("https://www.philgeps.gov.ph/GEPSNONPILOT/Tender/SplashBidNoticeAbstractUI.aspx?menuIndex=3&amp;refID=7020363&amp;Result=3","7020363")</f>
        <v>0</v>
      </c>
      <c r="B9893" t="s">
        <v>1265</v>
      </c>
      <c r="C9893" t="s">
        <v>12152</v>
      </c>
      <c r="D9893" t="s">
        <v>13000</v>
      </c>
      <c r="E9893" t="s">
        <v>21686</v>
      </c>
      <c r="F9893" t="s">
        <v>22436</v>
      </c>
      <c r="G9893" t="s">
        <v>22444</v>
      </c>
      <c r="H9893" t="s">
        <v>22452</v>
      </c>
      <c r="I9893" t="s">
        <v>12358</v>
      </c>
      <c r="J9893" t="s">
        <v>26571</v>
      </c>
      <c r="K9893" t="s">
        <v>29338</v>
      </c>
      <c r="M9893" t="s">
        <v>30918</v>
      </c>
      <c r="N9893" t="s">
        <v>32524</v>
      </c>
      <c r="O9893" t="s">
        <v>32525</v>
      </c>
      <c r="P9893">
        <v>0</v>
      </c>
      <c r="Q9893">
        <v>2</v>
      </c>
      <c r="R9893" t="s">
        <v>32539</v>
      </c>
      <c r="S9893" t="s">
        <v>33010</v>
      </c>
      <c r="T9893" t="s">
        <v>33171</v>
      </c>
      <c r="U9893" t="s">
        <v>41748</v>
      </c>
      <c r="W9893" t="s">
        <v>30918</v>
      </c>
      <c r="X9893" t="s">
        <v>43779</v>
      </c>
    </row>
    <row r="9894" spans="1:24">
      <c r="A9894">
        <f>HYPERLINK("https://www.philgeps.gov.ph/GEPSNONPILOT/Tender/SplashBidNoticeAbstractUI.aspx?menuIndex=3&amp;refID=7020562&amp;Result=3","7020562")</f>
        <v>0</v>
      </c>
      <c r="B9894" t="s">
        <v>2581</v>
      </c>
      <c r="C9894" t="s">
        <v>12153</v>
      </c>
      <c r="D9894" t="s">
        <v>13025</v>
      </c>
      <c r="E9894" t="s">
        <v>21687</v>
      </c>
      <c r="F9894" t="s">
        <v>22436</v>
      </c>
      <c r="G9894" t="s">
        <v>22444</v>
      </c>
      <c r="H9894" t="s">
        <v>22452</v>
      </c>
      <c r="I9894" t="s">
        <v>3529</v>
      </c>
      <c r="J9894" t="s">
        <v>28832</v>
      </c>
      <c r="K9894" t="s">
        <v>29335</v>
      </c>
      <c r="M9894" t="s">
        <v>32404</v>
      </c>
      <c r="N9894" t="s">
        <v>32524</v>
      </c>
      <c r="O9894" t="s">
        <v>32525</v>
      </c>
      <c r="P9894">
        <v>0</v>
      </c>
      <c r="Q9894">
        <v>3</v>
      </c>
      <c r="R9894" t="s">
        <v>32539</v>
      </c>
      <c r="S9894" t="s">
        <v>33010</v>
      </c>
      <c r="T9894" t="s">
        <v>33181</v>
      </c>
      <c r="U9894" t="s">
        <v>41749</v>
      </c>
      <c r="V9894" t="s">
        <v>43573</v>
      </c>
      <c r="W9894" t="s">
        <v>32404</v>
      </c>
      <c r="X9894" t="s">
        <v>43779</v>
      </c>
    </row>
    <row r="9895" spans="1:24">
      <c r="A9895">
        <f>HYPERLINK("https://www.philgeps.gov.ph/GEPSNONPILOT/Tender/SplashBidNoticeAbstractUI.aspx?menuIndex=3&amp;refID=7020424&amp;Result=3","7020424")</f>
        <v>0</v>
      </c>
      <c r="B9895" t="s">
        <v>1265</v>
      </c>
      <c r="C9895" t="s">
        <v>12154</v>
      </c>
      <c r="D9895" t="s">
        <v>13000</v>
      </c>
      <c r="E9895" t="s">
        <v>21688</v>
      </c>
      <c r="F9895" t="s">
        <v>22436</v>
      </c>
      <c r="G9895" t="s">
        <v>22444</v>
      </c>
      <c r="H9895" t="s">
        <v>22452</v>
      </c>
      <c r="I9895" t="s">
        <v>12358</v>
      </c>
      <c r="J9895" t="s">
        <v>23758</v>
      </c>
      <c r="K9895" t="s">
        <v>29338</v>
      </c>
      <c r="M9895" t="s">
        <v>30918</v>
      </c>
      <c r="N9895" t="s">
        <v>32524</v>
      </c>
      <c r="O9895" t="s">
        <v>32525</v>
      </c>
      <c r="P9895">
        <v>0</v>
      </c>
      <c r="Q9895">
        <v>2</v>
      </c>
      <c r="R9895" t="s">
        <v>32539</v>
      </c>
      <c r="S9895" t="s">
        <v>33010</v>
      </c>
      <c r="T9895" t="s">
        <v>33171</v>
      </c>
      <c r="U9895" t="s">
        <v>41750</v>
      </c>
      <c r="W9895" t="s">
        <v>30918</v>
      </c>
      <c r="X9895" t="s">
        <v>43779</v>
      </c>
    </row>
    <row r="9896" spans="1:24">
      <c r="A9896">
        <f>HYPERLINK("https://www.philgeps.gov.ph/GEPSNONPILOT/Tender/SplashBidNoticeAbstractUI.aspx?menuIndex=3&amp;refID=7020526&amp;Result=3","7020526")</f>
        <v>0</v>
      </c>
      <c r="B9896" t="s">
        <v>1265</v>
      </c>
      <c r="C9896" t="s">
        <v>12155</v>
      </c>
      <c r="D9896" t="s">
        <v>13000</v>
      </c>
      <c r="E9896" t="s">
        <v>21689</v>
      </c>
      <c r="F9896" t="s">
        <v>22436</v>
      </c>
      <c r="G9896" t="s">
        <v>22444</v>
      </c>
      <c r="H9896" t="s">
        <v>22454</v>
      </c>
      <c r="I9896" t="s">
        <v>7738</v>
      </c>
      <c r="J9896" t="s">
        <v>28833</v>
      </c>
      <c r="K9896" t="s">
        <v>29338</v>
      </c>
      <c r="M9896" t="s">
        <v>30918</v>
      </c>
      <c r="N9896" t="s">
        <v>32524</v>
      </c>
      <c r="O9896" t="s">
        <v>32525</v>
      </c>
      <c r="P9896">
        <v>0</v>
      </c>
      <c r="Q9896">
        <v>1</v>
      </c>
      <c r="R9896" t="s">
        <v>32539</v>
      </c>
      <c r="S9896" t="s">
        <v>33010</v>
      </c>
      <c r="T9896" t="s">
        <v>33171</v>
      </c>
      <c r="U9896" t="s">
        <v>41751</v>
      </c>
      <c r="W9896" t="s">
        <v>30918</v>
      </c>
      <c r="X9896" t="s">
        <v>43779</v>
      </c>
    </row>
    <row r="9897" spans="1:24">
      <c r="A9897">
        <f>HYPERLINK("https://www.philgeps.gov.ph/GEPSNONPILOT/Tender/SplashBidNoticeAbstractUI.aspx?menuIndex=3&amp;refID=7020752&amp;Result=3","7020752")</f>
        <v>0</v>
      </c>
      <c r="B9897" t="s">
        <v>667</v>
      </c>
      <c r="C9897" t="s">
        <v>12156</v>
      </c>
      <c r="E9897" t="s">
        <v>21690</v>
      </c>
      <c r="F9897" t="s">
        <v>22436</v>
      </c>
      <c r="G9897" t="s">
        <v>22444</v>
      </c>
      <c r="H9897" t="s">
        <v>22452</v>
      </c>
      <c r="I9897" t="s">
        <v>22456</v>
      </c>
      <c r="J9897" t="s">
        <v>24887</v>
      </c>
      <c r="K9897" t="s">
        <v>29333</v>
      </c>
      <c r="M9897" t="s">
        <v>31565</v>
      </c>
      <c r="N9897" t="s">
        <v>32524</v>
      </c>
      <c r="O9897" t="s">
        <v>32525</v>
      </c>
      <c r="P9897">
        <v>0</v>
      </c>
      <c r="Q9897">
        <v>29</v>
      </c>
      <c r="R9897" t="s">
        <v>32539</v>
      </c>
      <c r="S9897" t="s">
        <v>33010</v>
      </c>
      <c r="T9897" t="s">
        <v>33184</v>
      </c>
      <c r="U9897" t="s">
        <v>41752</v>
      </c>
      <c r="W9897" t="s">
        <v>31565</v>
      </c>
      <c r="X9897" t="s">
        <v>43779</v>
      </c>
    </row>
    <row r="9898" spans="1:24">
      <c r="A9898">
        <f>HYPERLINK("https://www.philgeps.gov.ph/GEPSNONPILOT/Tender/SplashBidNoticeAbstractUI.aspx?menuIndex=3&amp;refID=7019205&amp;Result=3","7019205")</f>
        <v>0</v>
      </c>
      <c r="B9898" t="s">
        <v>46</v>
      </c>
      <c r="C9898" t="s">
        <v>12157</v>
      </c>
      <c r="D9898" t="s">
        <v>13006</v>
      </c>
      <c r="E9898" t="s">
        <v>21691</v>
      </c>
      <c r="F9898" t="s">
        <v>22436</v>
      </c>
      <c r="G9898" t="s">
        <v>22444</v>
      </c>
      <c r="H9898" t="s">
        <v>22452</v>
      </c>
      <c r="I9898" t="s">
        <v>22479</v>
      </c>
      <c r="J9898" t="s">
        <v>28834</v>
      </c>
      <c r="K9898" t="s">
        <v>29336</v>
      </c>
      <c r="M9898" t="s">
        <v>29617</v>
      </c>
      <c r="N9898" t="s">
        <v>32524</v>
      </c>
      <c r="O9898" t="s">
        <v>32525</v>
      </c>
      <c r="Q9898">
        <v>0</v>
      </c>
      <c r="R9898" t="s">
        <v>32539</v>
      </c>
      <c r="S9898" t="s">
        <v>33022</v>
      </c>
      <c r="T9898" t="s">
        <v>33175</v>
      </c>
      <c r="U9898" t="s">
        <v>41753</v>
      </c>
      <c r="V9898" t="s">
        <v>42654</v>
      </c>
      <c r="W9898" t="s">
        <v>29617</v>
      </c>
      <c r="X9898" t="s">
        <v>43779</v>
      </c>
    </row>
    <row r="9899" spans="1:24">
      <c r="A9899">
        <f>HYPERLINK("https://www.philgeps.gov.ph/GEPSNONPILOT/Tender/SplashBidNoticeAbstractUI.aspx?menuIndex=3&amp;refID=7020690&amp;Result=3","7020690")</f>
        <v>0</v>
      </c>
      <c r="B9899" t="s">
        <v>2582</v>
      </c>
      <c r="C9899" t="s">
        <v>12158</v>
      </c>
      <c r="D9899" t="s">
        <v>13033</v>
      </c>
      <c r="E9899" t="s">
        <v>21692</v>
      </c>
      <c r="F9899" t="s">
        <v>22436</v>
      </c>
      <c r="G9899" t="s">
        <v>22444</v>
      </c>
      <c r="H9899" t="s">
        <v>22454</v>
      </c>
      <c r="I9899" t="s">
        <v>7738</v>
      </c>
      <c r="J9899" t="s">
        <v>28835</v>
      </c>
      <c r="K9899" t="s">
        <v>29334</v>
      </c>
      <c r="M9899" t="s">
        <v>32405</v>
      </c>
      <c r="N9899" t="s">
        <v>32524</v>
      </c>
      <c r="O9899" t="s">
        <v>32525</v>
      </c>
      <c r="P9899">
        <v>0</v>
      </c>
      <c r="Q9899">
        <v>1</v>
      </c>
      <c r="R9899" t="s">
        <v>32539</v>
      </c>
      <c r="S9899" t="s">
        <v>33010</v>
      </c>
      <c r="T9899" t="s">
        <v>33233</v>
      </c>
      <c r="U9899" t="s">
        <v>41754</v>
      </c>
      <c r="W9899" t="s">
        <v>32405</v>
      </c>
      <c r="X9899" t="s">
        <v>43779</v>
      </c>
    </row>
    <row r="9900" spans="1:24">
      <c r="A9900">
        <f>HYPERLINK("https://www.philgeps.gov.ph/GEPSNONPILOT/Tender/SplashBidNoticeAbstractUI.aspx?menuIndex=3&amp;refID=7020667&amp;Result=3","7020667")</f>
        <v>0</v>
      </c>
      <c r="B9900" t="s">
        <v>2582</v>
      </c>
      <c r="C9900" t="s">
        <v>12159</v>
      </c>
      <c r="D9900" t="s">
        <v>13033</v>
      </c>
      <c r="E9900" t="s">
        <v>21693</v>
      </c>
      <c r="F9900" t="s">
        <v>22436</v>
      </c>
      <c r="G9900" t="s">
        <v>22444</v>
      </c>
      <c r="H9900" t="s">
        <v>22454</v>
      </c>
      <c r="I9900" t="s">
        <v>7738</v>
      </c>
      <c r="J9900" t="s">
        <v>28836</v>
      </c>
      <c r="K9900" t="s">
        <v>29347</v>
      </c>
      <c r="M9900" t="s">
        <v>32405</v>
      </c>
      <c r="N9900" t="s">
        <v>32524</v>
      </c>
      <c r="O9900" t="s">
        <v>32525</v>
      </c>
      <c r="P9900">
        <v>0</v>
      </c>
      <c r="Q9900">
        <v>1</v>
      </c>
      <c r="R9900" t="s">
        <v>32539</v>
      </c>
      <c r="S9900" t="s">
        <v>33010</v>
      </c>
      <c r="T9900" t="s">
        <v>33600</v>
      </c>
      <c r="U9900" t="s">
        <v>41755</v>
      </c>
      <c r="W9900" t="s">
        <v>32405</v>
      </c>
      <c r="X9900" t="s">
        <v>43779</v>
      </c>
    </row>
    <row r="9901" spans="1:24">
      <c r="A9901">
        <f>HYPERLINK("https://www.philgeps.gov.ph/GEPSNONPILOT/Tender/SplashBidNoticeAbstractUI.aspx?menuIndex=3&amp;refID=7020655&amp;Result=3","7020655")</f>
        <v>0</v>
      </c>
      <c r="B9901" t="s">
        <v>1265</v>
      </c>
      <c r="C9901" t="s">
        <v>12160</v>
      </c>
      <c r="D9901" t="s">
        <v>13000</v>
      </c>
      <c r="E9901" t="s">
        <v>21694</v>
      </c>
      <c r="F9901" t="s">
        <v>22436</v>
      </c>
      <c r="G9901" t="s">
        <v>22444</v>
      </c>
      <c r="H9901" t="s">
        <v>22454</v>
      </c>
      <c r="I9901" t="s">
        <v>7738</v>
      </c>
      <c r="J9901" t="s">
        <v>28837</v>
      </c>
      <c r="K9901" t="s">
        <v>29338</v>
      </c>
      <c r="M9901" t="s">
        <v>30918</v>
      </c>
      <c r="N9901" t="s">
        <v>32524</v>
      </c>
      <c r="O9901" t="s">
        <v>32525</v>
      </c>
      <c r="P9901">
        <v>0</v>
      </c>
      <c r="Q9901">
        <v>1</v>
      </c>
      <c r="R9901" t="s">
        <v>32539</v>
      </c>
      <c r="S9901" t="s">
        <v>33010</v>
      </c>
      <c r="T9901" t="s">
        <v>33171</v>
      </c>
      <c r="U9901" t="s">
        <v>41756</v>
      </c>
      <c r="W9901" t="s">
        <v>30918</v>
      </c>
      <c r="X9901" t="s">
        <v>43779</v>
      </c>
    </row>
    <row r="9902" spans="1:24">
      <c r="A9902">
        <f>HYPERLINK("https://www.philgeps.gov.ph/GEPSNONPILOT/Tender/SplashBidNoticeAbstractUI.aspx?menuIndex=3&amp;refID=7020628&amp;Result=3","7020628")</f>
        <v>0</v>
      </c>
      <c r="B9902" t="s">
        <v>2582</v>
      </c>
      <c r="C9902" t="s">
        <v>12161</v>
      </c>
      <c r="D9902" t="s">
        <v>13033</v>
      </c>
      <c r="E9902" t="s">
        <v>21695</v>
      </c>
      <c r="F9902" t="s">
        <v>22436</v>
      </c>
      <c r="G9902" t="s">
        <v>22444</v>
      </c>
      <c r="H9902" t="s">
        <v>22454</v>
      </c>
      <c r="I9902" t="s">
        <v>7738</v>
      </c>
      <c r="J9902" t="s">
        <v>28838</v>
      </c>
      <c r="K9902" t="s">
        <v>29329</v>
      </c>
      <c r="M9902" t="s">
        <v>32405</v>
      </c>
      <c r="N9902" t="s">
        <v>32524</v>
      </c>
      <c r="O9902" t="s">
        <v>32525</v>
      </c>
      <c r="P9902">
        <v>0</v>
      </c>
      <c r="Q9902">
        <v>0</v>
      </c>
      <c r="R9902" t="s">
        <v>32539</v>
      </c>
      <c r="S9902" t="s">
        <v>33010</v>
      </c>
      <c r="T9902" t="s">
        <v>33233</v>
      </c>
      <c r="U9902" t="s">
        <v>41757</v>
      </c>
      <c r="W9902" t="s">
        <v>32405</v>
      </c>
      <c r="X9902" t="s">
        <v>43779</v>
      </c>
    </row>
    <row r="9903" spans="1:24">
      <c r="A9903">
        <f>HYPERLINK("https://www.philgeps.gov.ph/GEPSNONPILOT/Tender/SplashBidNoticeAbstractUI.aspx?menuIndex=3&amp;refID=7020585&amp;Result=3","7020585")</f>
        <v>0</v>
      </c>
      <c r="B9903" t="s">
        <v>1265</v>
      </c>
      <c r="C9903" t="s">
        <v>12162</v>
      </c>
      <c r="D9903" t="s">
        <v>13000</v>
      </c>
      <c r="E9903" t="s">
        <v>21696</v>
      </c>
      <c r="F9903" t="s">
        <v>22436</v>
      </c>
      <c r="G9903" t="s">
        <v>22444</v>
      </c>
      <c r="H9903" t="s">
        <v>22454</v>
      </c>
      <c r="I9903" t="s">
        <v>7738</v>
      </c>
      <c r="J9903" t="s">
        <v>28839</v>
      </c>
      <c r="K9903" t="s">
        <v>29338</v>
      </c>
      <c r="M9903" t="s">
        <v>30918</v>
      </c>
      <c r="N9903" t="s">
        <v>32524</v>
      </c>
      <c r="O9903" t="s">
        <v>32525</v>
      </c>
      <c r="P9903">
        <v>0</v>
      </c>
      <c r="Q9903">
        <v>1</v>
      </c>
      <c r="R9903" t="s">
        <v>32539</v>
      </c>
      <c r="S9903" t="s">
        <v>33010</v>
      </c>
      <c r="T9903" t="s">
        <v>33171</v>
      </c>
      <c r="U9903" t="s">
        <v>41758</v>
      </c>
      <c r="W9903" t="s">
        <v>30918</v>
      </c>
      <c r="X9903" t="s">
        <v>43779</v>
      </c>
    </row>
    <row r="9904" spans="1:24">
      <c r="A9904">
        <f>HYPERLINK("https://www.philgeps.gov.ph/GEPSNONPILOT/Tender/SplashBidNoticeAbstractUI.aspx?menuIndex=3&amp;refID=7020652&amp;Result=3","7020652")</f>
        <v>0</v>
      </c>
      <c r="B9904" t="s">
        <v>2582</v>
      </c>
      <c r="C9904" t="s">
        <v>12163</v>
      </c>
      <c r="D9904" t="s">
        <v>13033</v>
      </c>
      <c r="E9904" t="s">
        <v>21697</v>
      </c>
      <c r="F9904" t="s">
        <v>22436</v>
      </c>
      <c r="G9904" t="s">
        <v>22444</v>
      </c>
      <c r="H9904" t="s">
        <v>22454</v>
      </c>
      <c r="I9904" t="s">
        <v>7738</v>
      </c>
      <c r="J9904" t="s">
        <v>28838</v>
      </c>
      <c r="K9904" t="s">
        <v>29329</v>
      </c>
      <c r="M9904" t="s">
        <v>32405</v>
      </c>
      <c r="N9904" t="s">
        <v>32524</v>
      </c>
      <c r="O9904" t="s">
        <v>32525</v>
      </c>
      <c r="P9904">
        <v>0</v>
      </c>
      <c r="Q9904">
        <v>1</v>
      </c>
      <c r="R9904" t="s">
        <v>32539</v>
      </c>
      <c r="S9904" t="s">
        <v>33010</v>
      </c>
      <c r="T9904" t="s">
        <v>33233</v>
      </c>
      <c r="U9904" t="s">
        <v>41759</v>
      </c>
      <c r="W9904" t="s">
        <v>32405</v>
      </c>
      <c r="X9904" t="s">
        <v>43779</v>
      </c>
    </row>
    <row r="9905" spans="1:24">
      <c r="A9905">
        <f>HYPERLINK("https://www.philgeps.gov.ph/GEPSNONPILOT/Tender/SplashBidNoticeAbstractUI.aspx?menuIndex=3&amp;refID=7020725&amp;Result=3","7020725")</f>
        <v>0</v>
      </c>
      <c r="B9905" t="s">
        <v>2582</v>
      </c>
      <c r="C9905" t="s">
        <v>12164</v>
      </c>
      <c r="D9905" t="s">
        <v>13033</v>
      </c>
      <c r="E9905" t="s">
        <v>21698</v>
      </c>
      <c r="F9905" t="s">
        <v>22436</v>
      </c>
      <c r="G9905" t="s">
        <v>22444</v>
      </c>
      <c r="H9905" t="s">
        <v>22454</v>
      </c>
      <c r="I9905" t="s">
        <v>7738</v>
      </c>
      <c r="J9905" t="s">
        <v>28840</v>
      </c>
      <c r="K9905" t="s">
        <v>29334</v>
      </c>
      <c r="M9905" t="s">
        <v>32405</v>
      </c>
      <c r="N9905" t="s">
        <v>32524</v>
      </c>
      <c r="O9905" t="s">
        <v>32525</v>
      </c>
      <c r="P9905">
        <v>0</v>
      </c>
      <c r="Q9905">
        <v>1</v>
      </c>
      <c r="R9905" t="s">
        <v>32539</v>
      </c>
      <c r="S9905" t="s">
        <v>33010</v>
      </c>
      <c r="T9905" t="s">
        <v>33233</v>
      </c>
      <c r="U9905" t="s">
        <v>41760</v>
      </c>
      <c r="W9905" t="s">
        <v>32405</v>
      </c>
      <c r="X9905" t="s">
        <v>43779</v>
      </c>
    </row>
    <row r="9906" spans="1:24">
      <c r="A9906">
        <f>HYPERLINK("https://www.philgeps.gov.ph/GEPSNONPILOT/Tender/SplashBidNoticeAbstractUI.aspx?menuIndex=3&amp;refID=7020807&amp;Result=3","7020807")</f>
        <v>0</v>
      </c>
      <c r="B9906" t="s">
        <v>2188</v>
      </c>
      <c r="C9906" t="s">
        <v>12165</v>
      </c>
      <c r="D9906" t="s">
        <v>13057</v>
      </c>
      <c r="E9906" t="s">
        <v>20339</v>
      </c>
      <c r="F9906" t="s">
        <v>22436</v>
      </c>
      <c r="G9906" t="s">
        <v>22444</v>
      </c>
      <c r="H9906" t="s">
        <v>22452</v>
      </c>
      <c r="I9906" t="s">
        <v>3827</v>
      </c>
      <c r="J9906" t="s">
        <v>28841</v>
      </c>
      <c r="K9906" t="s">
        <v>29329</v>
      </c>
      <c r="M9906" t="s">
        <v>31952</v>
      </c>
      <c r="N9906" t="s">
        <v>32524</v>
      </c>
      <c r="O9906" t="s">
        <v>32525</v>
      </c>
      <c r="P9906">
        <v>0</v>
      </c>
      <c r="Q9906">
        <v>12</v>
      </c>
      <c r="R9906" t="s">
        <v>32539</v>
      </c>
      <c r="S9906" t="s">
        <v>33010</v>
      </c>
      <c r="T9906" t="s">
        <v>33187</v>
      </c>
      <c r="U9906" t="s">
        <v>39778</v>
      </c>
      <c r="W9906" t="s">
        <v>31952</v>
      </c>
      <c r="X9906" t="s">
        <v>43779</v>
      </c>
    </row>
    <row r="9907" spans="1:24">
      <c r="A9907">
        <f>HYPERLINK("https://www.philgeps.gov.ph/GEPSNONPILOT/Tender/SplashBidNoticeAbstractUI.aspx?menuIndex=3&amp;refID=7021049&amp;Result=3","7021049")</f>
        <v>0</v>
      </c>
      <c r="B9907" t="s">
        <v>2583</v>
      </c>
      <c r="C9907" t="s">
        <v>12166</v>
      </c>
      <c r="E9907" t="s">
        <v>21699</v>
      </c>
      <c r="F9907" t="s">
        <v>22436</v>
      </c>
      <c r="G9907" t="s">
        <v>22444</v>
      </c>
      <c r="H9907" t="s">
        <v>22452</v>
      </c>
      <c r="I9907" t="s">
        <v>22474</v>
      </c>
      <c r="J9907" t="s">
        <v>23306</v>
      </c>
      <c r="K9907" t="s">
        <v>29341</v>
      </c>
      <c r="M9907" t="s">
        <v>32406</v>
      </c>
      <c r="N9907" t="s">
        <v>32524</v>
      </c>
      <c r="O9907" t="s">
        <v>32525</v>
      </c>
      <c r="P9907">
        <v>0</v>
      </c>
      <c r="Q9907">
        <v>5</v>
      </c>
      <c r="R9907" t="s">
        <v>32539</v>
      </c>
      <c r="S9907" t="s">
        <v>33010</v>
      </c>
      <c r="T9907" t="s">
        <v>33181</v>
      </c>
      <c r="U9907" t="s">
        <v>41761</v>
      </c>
      <c r="W9907" t="s">
        <v>32406</v>
      </c>
      <c r="X9907" t="s">
        <v>43779</v>
      </c>
    </row>
    <row r="9908" spans="1:24">
      <c r="A9908">
        <f>HYPERLINK("https://www.philgeps.gov.ph/GEPSNONPILOT/Tender/SplashBidNoticeAbstractUI.aspx?menuIndex=3&amp;refID=7020744&amp;Result=3","7020744")</f>
        <v>0</v>
      </c>
      <c r="B9908" t="s">
        <v>44</v>
      </c>
      <c r="C9908" t="s">
        <v>12167</v>
      </c>
      <c r="D9908" t="s">
        <v>13004</v>
      </c>
      <c r="E9908" t="s">
        <v>21700</v>
      </c>
      <c r="F9908" t="s">
        <v>22436</v>
      </c>
      <c r="G9908" t="s">
        <v>22443</v>
      </c>
      <c r="H9908" t="s">
        <v>22452</v>
      </c>
      <c r="I9908" t="s">
        <v>22475</v>
      </c>
      <c r="J9908" t="s">
        <v>25583</v>
      </c>
      <c r="K9908" t="s">
        <v>29331</v>
      </c>
      <c r="M9908" t="s">
        <v>29615</v>
      </c>
      <c r="N9908" t="s">
        <v>32524</v>
      </c>
      <c r="O9908" t="s">
        <v>32525</v>
      </c>
      <c r="Q9908">
        <v>0</v>
      </c>
      <c r="R9908" t="s">
        <v>32539</v>
      </c>
      <c r="S9908" t="s">
        <v>33023</v>
      </c>
      <c r="T9908" t="s">
        <v>33220</v>
      </c>
      <c r="U9908" t="s">
        <v>41762</v>
      </c>
      <c r="W9908" t="s">
        <v>29615</v>
      </c>
      <c r="X9908" t="s">
        <v>43779</v>
      </c>
    </row>
    <row r="9909" spans="1:24">
      <c r="A9909">
        <f>HYPERLINK("https://www.philgeps.gov.ph/GEPSNONPILOT/Tender/SplashBidNoticeAbstractUI.aspx?menuIndex=3&amp;refID=7020615&amp;Result=3","7020615")</f>
        <v>0</v>
      </c>
      <c r="B9909" t="s">
        <v>1265</v>
      </c>
      <c r="C9909" t="s">
        <v>12168</v>
      </c>
      <c r="D9909" t="s">
        <v>13000</v>
      </c>
      <c r="E9909" t="s">
        <v>21701</v>
      </c>
      <c r="F9909" t="s">
        <v>22436</v>
      </c>
      <c r="G9909" t="s">
        <v>22444</v>
      </c>
      <c r="H9909" t="s">
        <v>22454</v>
      </c>
      <c r="I9909" t="s">
        <v>7738</v>
      </c>
      <c r="J9909" t="s">
        <v>28842</v>
      </c>
      <c r="K9909" t="s">
        <v>29338</v>
      </c>
      <c r="M9909" t="s">
        <v>30918</v>
      </c>
      <c r="N9909" t="s">
        <v>32524</v>
      </c>
      <c r="O9909" t="s">
        <v>32525</v>
      </c>
      <c r="P9909">
        <v>0</v>
      </c>
      <c r="Q9909">
        <v>1</v>
      </c>
      <c r="R9909" t="s">
        <v>32539</v>
      </c>
      <c r="S9909" t="s">
        <v>33010</v>
      </c>
      <c r="T9909" t="s">
        <v>33171</v>
      </c>
      <c r="U9909" t="s">
        <v>41763</v>
      </c>
      <c r="W9909" t="s">
        <v>30918</v>
      </c>
      <c r="X9909" t="s">
        <v>43779</v>
      </c>
    </row>
    <row r="9910" spans="1:24">
      <c r="A9910">
        <f>HYPERLINK("https://www.philgeps.gov.ph/GEPSNONPILOT/Tender/SplashBidNoticeAbstractUI.aspx?menuIndex=3&amp;refID=7021004&amp;Result=3","7021004")</f>
        <v>0</v>
      </c>
      <c r="B9910" t="s">
        <v>1574</v>
      </c>
      <c r="C9910" t="s">
        <v>12169</v>
      </c>
      <c r="D9910" t="s">
        <v>13008</v>
      </c>
      <c r="E9910" t="s">
        <v>21702</v>
      </c>
      <c r="F9910" t="s">
        <v>22436</v>
      </c>
      <c r="G9910" t="s">
        <v>22444</v>
      </c>
      <c r="H9910" t="s">
        <v>22454</v>
      </c>
      <c r="I9910" t="s">
        <v>7738</v>
      </c>
      <c r="J9910" t="s">
        <v>28843</v>
      </c>
      <c r="K9910" t="s">
        <v>29338</v>
      </c>
      <c r="M9910" t="s">
        <v>31256</v>
      </c>
      <c r="N9910" t="s">
        <v>32524</v>
      </c>
      <c r="O9910" t="s">
        <v>32525</v>
      </c>
      <c r="P9910">
        <v>0</v>
      </c>
      <c r="Q9910">
        <v>1</v>
      </c>
      <c r="R9910" t="s">
        <v>32539</v>
      </c>
      <c r="S9910" t="s">
        <v>33010</v>
      </c>
      <c r="T9910" t="s">
        <v>33181</v>
      </c>
      <c r="U9910" t="s">
        <v>41764</v>
      </c>
      <c r="W9910" t="s">
        <v>31256</v>
      </c>
      <c r="X9910" t="s">
        <v>43779</v>
      </c>
    </row>
    <row r="9911" spans="1:24">
      <c r="A9911">
        <f>HYPERLINK("https://www.philgeps.gov.ph/GEPSNONPILOT/Tender/SplashBidNoticeAbstractUI.aspx?menuIndex=3&amp;refID=7020919&amp;Result=3","7020919")</f>
        <v>0</v>
      </c>
      <c r="B9911" t="s">
        <v>597</v>
      </c>
      <c r="C9911" t="s">
        <v>12170</v>
      </c>
      <c r="D9911" t="s">
        <v>13006</v>
      </c>
      <c r="E9911" t="s">
        <v>17008</v>
      </c>
      <c r="F9911" t="s">
        <v>22436</v>
      </c>
      <c r="G9911" t="s">
        <v>22444</v>
      </c>
      <c r="H9911" t="s">
        <v>22454</v>
      </c>
      <c r="I9911" t="s">
        <v>7738</v>
      </c>
      <c r="J9911" t="s">
        <v>28844</v>
      </c>
      <c r="K9911" t="s">
        <v>29512</v>
      </c>
      <c r="M9911" t="s">
        <v>30187</v>
      </c>
      <c r="N9911" t="s">
        <v>32524</v>
      </c>
      <c r="O9911" t="s">
        <v>32525</v>
      </c>
      <c r="P9911">
        <v>0</v>
      </c>
      <c r="Q9911">
        <v>3</v>
      </c>
      <c r="R9911" t="s">
        <v>32539</v>
      </c>
      <c r="S9911" t="s">
        <v>33010</v>
      </c>
      <c r="T9911" t="s">
        <v>33181</v>
      </c>
      <c r="U9911" t="s">
        <v>41765</v>
      </c>
      <c r="V9911" t="s">
        <v>43574</v>
      </c>
      <c r="W9911" t="s">
        <v>30187</v>
      </c>
      <c r="X9911" t="s">
        <v>43779</v>
      </c>
    </row>
    <row r="9912" spans="1:24">
      <c r="A9912">
        <f>HYPERLINK("https://www.philgeps.gov.ph/GEPSNONPILOT/Tender/SplashBidNoticeAbstractUI.aspx?menuIndex=3&amp;refID=7021001&amp;Result=3","7021001")</f>
        <v>0</v>
      </c>
      <c r="B9912" t="s">
        <v>48</v>
      </c>
      <c r="C9912" t="s">
        <v>12171</v>
      </c>
      <c r="D9912" t="s">
        <v>13007</v>
      </c>
      <c r="E9912" t="s">
        <v>21703</v>
      </c>
      <c r="F9912" t="s">
        <v>22436</v>
      </c>
      <c r="G9912" t="s">
        <v>22444</v>
      </c>
      <c r="H9912" t="s">
        <v>22452</v>
      </c>
      <c r="I9912" t="s">
        <v>2981</v>
      </c>
      <c r="J9912" t="s">
        <v>28845</v>
      </c>
      <c r="K9912" t="s">
        <v>29335</v>
      </c>
      <c r="M9912" t="s">
        <v>31634</v>
      </c>
      <c r="N9912" t="s">
        <v>32524</v>
      </c>
      <c r="O9912" t="s">
        <v>32525</v>
      </c>
      <c r="P9912">
        <v>0</v>
      </c>
      <c r="Q9912">
        <v>3</v>
      </c>
      <c r="R9912" t="s">
        <v>32539</v>
      </c>
      <c r="S9912" t="s">
        <v>33010</v>
      </c>
      <c r="T9912" t="s">
        <v>33180</v>
      </c>
      <c r="U9912" t="s">
        <v>41766</v>
      </c>
      <c r="W9912" t="s">
        <v>31634</v>
      </c>
      <c r="X9912" t="s">
        <v>43779</v>
      </c>
    </row>
    <row r="9913" spans="1:24">
      <c r="A9913">
        <f>HYPERLINK("https://www.philgeps.gov.ph/GEPSNONPILOT/Tender/SplashBidNoticeAbstractUI.aspx?menuIndex=3&amp;refID=7021043&amp;Result=3","7021043")</f>
        <v>0</v>
      </c>
      <c r="B9913" t="s">
        <v>597</v>
      </c>
      <c r="C9913" t="s">
        <v>12172</v>
      </c>
      <c r="D9913" t="s">
        <v>13006</v>
      </c>
      <c r="E9913" t="s">
        <v>21704</v>
      </c>
      <c r="F9913" t="s">
        <v>22436</v>
      </c>
      <c r="G9913" t="s">
        <v>22444</v>
      </c>
      <c r="H9913" t="s">
        <v>22452</v>
      </c>
      <c r="I9913" t="s">
        <v>22474</v>
      </c>
      <c r="J9913" t="s">
        <v>23278</v>
      </c>
      <c r="K9913" t="s">
        <v>29335</v>
      </c>
      <c r="M9913" t="s">
        <v>30187</v>
      </c>
      <c r="N9913" t="s">
        <v>32524</v>
      </c>
      <c r="O9913" t="s">
        <v>32525</v>
      </c>
      <c r="P9913">
        <v>0</v>
      </c>
      <c r="Q9913">
        <v>3</v>
      </c>
      <c r="R9913" t="s">
        <v>32539</v>
      </c>
      <c r="S9913" t="s">
        <v>33010</v>
      </c>
      <c r="T9913" t="s">
        <v>33168</v>
      </c>
      <c r="U9913" t="s">
        <v>41767</v>
      </c>
      <c r="V9913" t="s">
        <v>43574</v>
      </c>
      <c r="W9913" t="s">
        <v>30187</v>
      </c>
      <c r="X9913" t="s">
        <v>43779</v>
      </c>
    </row>
    <row r="9914" spans="1:24">
      <c r="A9914">
        <f>HYPERLINK("https://www.philgeps.gov.ph/GEPSNONPILOT/Tender/SplashBidNoticeAbstractUI.aspx?menuIndex=3&amp;refID=7021367&amp;Result=3","7021367")</f>
        <v>0</v>
      </c>
      <c r="B9914" t="s">
        <v>2584</v>
      </c>
      <c r="C9914" t="s">
        <v>12173</v>
      </c>
      <c r="D9914" t="s">
        <v>13007</v>
      </c>
      <c r="E9914" t="s">
        <v>13368</v>
      </c>
      <c r="F9914" t="s">
        <v>22436</v>
      </c>
      <c r="G9914" t="s">
        <v>22444</v>
      </c>
      <c r="H9914" t="s">
        <v>22452</v>
      </c>
      <c r="I9914" t="s">
        <v>22474</v>
      </c>
      <c r="J9914" t="s">
        <v>23627</v>
      </c>
      <c r="K9914" t="s">
        <v>29335</v>
      </c>
      <c r="M9914" t="s">
        <v>32407</v>
      </c>
      <c r="N9914" t="s">
        <v>32524</v>
      </c>
      <c r="O9914" t="s">
        <v>32525</v>
      </c>
      <c r="P9914">
        <v>0</v>
      </c>
      <c r="Q9914">
        <v>5</v>
      </c>
      <c r="R9914" t="s">
        <v>32539</v>
      </c>
      <c r="S9914" t="s">
        <v>33010</v>
      </c>
      <c r="T9914" t="s">
        <v>33167</v>
      </c>
      <c r="U9914" t="s">
        <v>41768</v>
      </c>
      <c r="W9914" t="s">
        <v>32407</v>
      </c>
      <c r="X9914" t="s">
        <v>43779</v>
      </c>
    </row>
    <row r="9915" spans="1:24">
      <c r="A9915">
        <f>HYPERLINK("https://www.philgeps.gov.ph/GEPSNONPILOT/Tender/SplashBidNoticeAbstractUI.aspx?menuIndex=3&amp;refID=7020563&amp;Result=3","7020563")</f>
        <v>0</v>
      </c>
      <c r="B9915" t="s">
        <v>1265</v>
      </c>
      <c r="C9915" t="s">
        <v>12174</v>
      </c>
      <c r="D9915" t="s">
        <v>13000</v>
      </c>
      <c r="E9915" t="s">
        <v>21705</v>
      </c>
      <c r="F9915" t="s">
        <v>22436</v>
      </c>
      <c r="G9915" t="s">
        <v>22444</v>
      </c>
      <c r="H9915" t="s">
        <v>22454</v>
      </c>
      <c r="I9915" t="s">
        <v>7738</v>
      </c>
      <c r="J9915" t="s">
        <v>28846</v>
      </c>
      <c r="K9915" t="s">
        <v>29338</v>
      </c>
      <c r="M9915" t="s">
        <v>30918</v>
      </c>
      <c r="N9915" t="s">
        <v>32524</v>
      </c>
      <c r="O9915" t="s">
        <v>32525</v>
      </c>
      <c r="P9915">
        <v>0</v>
      </c>
      <c r="Q9915">
        <v>1</v>
      </c>
      <c r="R9915" t="s">
        <v>32539</v>
      </c>
      <c r="S9915" t="s">
        <v>33010</v>
      </c>
      <c r="T9915" t="s">
        <v>33171</v>
      </c>
      <c r="U9915" t="s">
        <v>41769</v>
      </c>
      <c r="W9915" t="s">
        <v>30918</v>
      </c>
      <c r="X9915" t="s">
        <v>43779</v>
      </c>
    </row>
    <row r="9916" spans="1:24">
      <c r="A9916">
        <f>HYPERLINK("https://www.philgeps.gov.ph/GEPSNONPILOT/Tender/SplashBidNoticeAbstractUI.aspx?menuIndex=3&amp;refID=7020917&amp;Result=3","7020917")</f>
        <v>0</v>
      </c>
      <c r="B9916" t="s">
        <v>48</v>
      </c>
      <c r="C9916" t="s">
        <v>12175</v>
      </c>
      <c r="D9916" t="s">
        <v>13007</v>
      </c>
      <c r="E9916" t="s">
        <v>21706</v>
      </c>
      <c r="F9916" t="s">
        <v>22436</v>
      </c>
      <c r="G9916" t="s">
        <v>22444</v>
      </c>
      <c r="H9916" t="s">
        <v>22452</v>
      </c>
      <c r="I9916" t="s">
        <v>22474</v>
      </c>
      <c r="J9916" t="s">
        <v>28847</v>
      </c>
      <c r="K9916" t="s">
        <v>29335</v>
      </c>
      <c r="M9916" t="s">
        <v>31634</v>
      </c>
      <c r="N9916" t="s">
        <v>32524</v>
      </c>
      <c r="O9916" t="s">
        <v>32525</v>
      </c>
      <c r="P9916">
        <v>0</v>
      </c>
      <c r="Q9916">
        <v>7</v>
      </c>
      <c r="R9916" t="s">
        <v>32539</v>
      </c>
      <c r="S9916" t="s">
        <v>33010</v>
      </c>
      <c r="T9916" t="s">
        <v>33180</v>
      </c>
      <c r="U9916" t="s">
        <v>41770</v>
      </c>
      <c r="W9916" t="s">
        <v>31634</v>
      </c>
      <c r="X9916" t="s">
        <v>43779</v>
      </c>
    </row>
    <row r="9917" spans="1:24">
      <c r="A9917">
        <f>HYPERLINK("https://www.philgeps.gov.ph/GEPSNONPILOT/Tender/SplashBidNoticeAbstractUI.aspx?menuIndex=3&amp;refID=7021665&amp;Result=3","7021665")</f>
        <v>0</v>
      </c>
      <c r="B9917" t="s">
        <v>2316</v>
      </c>
      <c r="C9917" t="s">
        <v>12176</v>
      </c>
      <c r="D9917" t="s">
        <v>12995</v>
      </c>
      <c r="E9917" t="s">
        <v>21707</v>
      </c>
      <c r="F9917" t="s">
        <v>22436</v>
      </c>
      <c r="G9917" t="s">
        <v>22450</v>
      </c>
      <c r="H9917" t="s">
        <v>22454</v>
      </c>
      <c r="I9917" t="s">
        <v>7738</v>
      </c>
      <c r="J9917" t="s">
        <v>28848</v>
      </c>
      <c r="K9917" t="s">
        <v>29329</v>
      </c>
      <c r="M9917" t="s">
        <v>32092</v>
      </c>
      <c r="N9917" t="s">
        <v>32524</v>
      </c>
      <c r="O9917" t="s">
        <v>32525</v>
      </c>
      <c r="P9917">
        <v>0</v>
      </c>
      <c r="Q9917">
        <v>17</v>
      </c>
      <c r="R9917" t="s">
        <v>32539</v>
      </c>
      <c r="S9917" t="s">
        <v>33010</v>
      </c>
      <c r="T9917" t="s">
        <v>33181</v>
      </c>
      <c r="U9917" t="s">
        <v>41771</v>
      </c>
      <c r="V9917" t="s">
        <v>43575</v>
      </c>
      <c r="W9917" t="s">
        <v>32092</v>
      </c>
      <c r="X9917" t="s">
        <v>32540</v>
      </c>
    </row>
    <row r="9918" spans="1:24">
      <c r="A9918">
        <f>HYPERLINK("https://www.philgeps.gov.ph/GEPSNONPILOT/Tender/SplashBidNoticeAbstractUI.aspx?menuIndex=3&amp;refID=7021663&amp;Result=3","7021663")</f>
        <v>0</v>
      </c>
      <c r="B9918" t="s">
        <v>2316</v>
      </c>
      <c r="C9918" t="s">
        <v>12177</v>
      </c>
      <c r="D9918" t="s">
        <v>12995</v>
      </c>
      <c r="E9918" t="s">
        <v>21708</v>
      </c>
      <c r="F9918" t="s">
        <v>22436</v>
      </c>
      <c r="G9918" t="s">
        <v>22450</v>
      </c>
      <c r="H9918" t="s">
        <v>22454</v>
      </c>
      <c r="I9918" t="s">
        <v>7738</v>
      </c>
      <c r="J9918" t="s">
        <v>28849</v>
      </c>
      <c r="K9918" t="s">
        <v>29388</v>
      </c>
      <c r="M9918" t="s">
        <v>32092</v>
      </c>
      <c r="N9918" t="s">
        <v>32524</v>
      </c>
      <c r="O9918" t="s">
        <v>32525</v>
      </c>
      <c r="Q9918">
        <v>28</v>
      </c>
      <c r="R9918" t="s">
        <v>32539</v>
      </c>
      <c r="S9918" t="s">
        <v>33024</v>
      </c>
      <c r="T9918" t="s">
        <v>33181</v>
      </c>
      <c r="U9918" t="s">
        <v>41772</v>
      </c>
      <c r="V9918" t="s">
        <v>43576</v>
      </c>
      <c r="W9918" t="s">
        <v>32092</v>
      </c>
      <c r="X9918" t="s">
        <v>32540</v>
      </c>
    </row>
    <row r="9919" spans="1:24">
      <c r="A9919">
        <f>HYPERLINK("https://www.philgeps.gov.ph/GEPSNONPILOT/Tender/SplashBidNoticeAbstractUI.aspx?menuIndex=3&amp;refID=7021000&amp;Result=3","7021000")</f>
        <v>0</v>
      </c>
      <c r="B9919" t="s">
        <v>995</v>
      </c>
      <c r="C9919" t="s">
        <v>6606</v>
      </c>
      <c r="D9919" t="s">
        <v>13069</v>
      </c>
      <c r="E9919" t="s">
        <v>21709</v>
      </c>
      <c r="F9919" t="s">
        <v>22436</v>
      </c>
      <c r="G9919" t="s">
        <v>22444</v>
      </c>
      <c r="H9919" t="s">
        <v>22452</v>
      </c>
      <c r="I9919" t="s">
        <v>6421</v>
      </c>
      <c r="J9919" t="s">
        <v>22779</v>
      </c>
      <c r="K9919" t="s">
        <v>29331</v>
      </c>
      <c r="L9919" t="s">
        <v>995</v>
      </c>
      <c r="M9919" t="s">
        <v>30620</v>
      </c>
      <c r="N9919" t="s">
        <v>32524</v>
      </c>
      <c r="O9919" t="s">
        <v>32525</v>
      </c>
      <c r="Q9919">
        <v>5</v>
      </c>
      <c r="R9919" t="s">
        <v>32539</v>
      </c>
      <c r="S9919" t="s">
        <v>33025</v>
      </c>
      <c r="T9919" t="s">
        <v>33155</v>
      </c>
      <c r="U9919" t="s">
        <v>41773</v>
      </c>
      <c r="V9919" t="s">
        <v>43577</v>
      </c>
      <c r="W9919" t="s">
        <v>30620</v>
      </c>
      <c r="X9919" t="s">
        <v>43779</v>
      </c>
    </row>
    <row r="9920" spans="1:24">
      <c r="A9920">
        <f>HYPERLINK("https://www.philgeps.gov.ph/GEPSNONPILOT/Tender/SplashBidNoticeAbstractUI.aspx?menuIndex=3&amp;refID=7021660&amp;Result=3","7021660")</f>
        <v>0</v>
      </c>
      <c r="B9920" t="s">
        <v>2316</v>
      </c>
      <c r="C9920" t="s">
        <v>12178</v>
      </c>
      <c r="D9920" t="s">
        <v>12995</v>
      </c>
      <c r="E9920" t="s">
        <v>21710</v>
      </c>
      <c r="F9920" t="s">
        <v>22436</v>
      </c>
      <c r="G9920" t="s">
        <v>22450</v>
      </c>
      <c r="H9920" t="s">
        <v>22454</v>
      </c>
      <c r="I9920" t="s">
        <v>7738</v>
      </c>
      <c r="J9920" t="s">
        <v>28850</v>
      </c>
      <c r="K9920" t="s">
        <v>29345</v>
      </c>
      <c r="M9920" t="s">
        <v>32092</v>
      </c>
      <c r="N9920" t="s">
        <v>32524</v>
      </c>
      <c r="O9920" t="s">
        <v>32525</v>
      </c>
      <c r="P9920">
        <v>0</v>
      </c>
      <c r="Q9920">
        <v>31</v>
      </c>
      <c r="R9920" t="s">
        <v>32539</v>
      </c>
      <c r="S9920" t="s">
        <v>33010</v>
      </c>
      <c r="T9920" t="s">
        <v>33181</v>
      </c>
      <c r="U9920" t="s">
        <v>41774</v>
      </c>
      <c r="V9920" t="s">
        <v>43578</v>
      </c>
      <c r="W9920" t="s">
        <v>32092</v>
      </c>
      <c r="X9920" t="s">
        <v>32540</v>
      </c>
    </row>
    <row r="9921" spans="1:24">
      <c r="A9921">
        <f>HYPERLINK("https://www.philgeps.gov.ph/GEPSNONPILOT/Tender/SplashBidNoticeAbstractUI.aspx?menuIndex=3&amp;refID=7021659&amp;Result=3","7021659")</f>
        <v>0</v>
      </c>
      <c r="B9921" t="s">
        <v>2316</v>
      </c>
      <c r="C9921" t="s">
        <v>12179</v>
      </c>
      <c r="D9921" t="s">
        <v>12995</v>
      </c>
      <c r="E9921" t="s">
        <v>21711</v>
      </c>
      <c r="F9921" t="s">
        <v>22436</v>
      </c>
      <c r="G9921" t="s">
        <v>22450</v>
      </c>
      <c r="H9921" t="s">
        <v>22454</v>
      </c>
      <c r="I9921" t="s">
        <v>7738</v>
      </c>
      <c r="J9921" t="s">
        <v>28851</v>
      </c>
      <c r="K9921" t="s">
        <v>29345</v>
      </c>
      <c r="M9921" t="s">
        <v>32092</v>
      </c>
      <c r="N9921" t="s">
        <v>32524</v>
      </c>
      <c r="O9921" t="s">
        <v>32525</v>
      </c>
      <c r="P9921">
        <v>0</v>
      </c>
      <c r="Q9921">
        <v>34</v>
      </c>
      <c r="R9921" t="s">
        <v>32539</v>
      </c>
      <c r="S9921" t="s">
        <v>33010</v>
      </c>
      <c r="T9921" t="s">
        <v>33182</v>
      </c>
      <c r="U9921" t="s">
        <v>41775</v>
      </c>
      <c r="V9921" t="s">
        <v>43579</v>
      </c>
      <c r="W9921" t="s">
        <v>32092</v>
      </c>
      <c r="X9921" t="s">
        <v>32540</v>
      </c>
    </row>
    <row r="9922" spans="1:24">
      <c r="A9922">
        <f>HYPERLINK("https://www.philgeps.gov.ph/GEPSNONPILOT/Tender/SplashBidNoticeAbstractUI.aspx?menuIndex=3&amp;refID=7021664&amp;Result=3","7021664")</f>
        <v>0</v>
      </c>
      <c r="B9922" t="s">
        <v>2316</v>
      </c>
      <c r="C9922" t="s">
        <v>12180</v>
      </c>
      <c r="D9922" t="s">
        <v>12995</v>
      </c>
      <c r="E9922" t="s">
        <v>21712</v>
      </c>
      <c r="F9922" t="s">
        <v>22436</v>
      </c>
      <c r="G9922" t="s">
        <v>22450</v>
      </c>
      <c r="H9922" t="s">
        <v>22454</v>
      </c>
      <c r="I9922" t="s">
        <v>7738</v>
      </c>
      <c r="J9922" t="s">
        <v>28852</v>
      </c>
      <c r="K9922" t="s">
        <v>29334</v>
      </c>
      <c r="M9922" t="s">
        <v>32092</v>
      </c>
      <c r="N9922" t="s">
        <v>32524</v>
      </c>
      <c r="O9922" t="s">
        <v>32525</v>
      </c>
      <c r="P9922">
        <v>0</v>
      </c>
      <c r="Q9922">
        <v>18</v>
      </c>
      <c r="R9922" t="s">
        <v>32539</v>
      </c>
      <c r="S9922" t="s">
        <v>33010</v>
      </c>
      <c r="T9922" t="s">
        <v>33181</v>
      </c>
      <c r="U9922" t="s">
        <v>41776</v>
      </c>
      <c r="V9922" t="s">
        <v>43580</v>
      </c>
      <c r="W9922" t="s">
        <v>32092</v>
      </c>
      <c r="X9922" t="s">
        <v>32540</v>
      </c>
    </row>
    <row r="9923" spans="1:24">
      <c r="A9923">
        <f>HYPERLINK("https://www.philgeps.gov.ph/GEPSNONPILOT/Tender/SplashBidNoticeAbstractUI.aspx?menuIndex=3&amp;refID=7021661&amp;Result=3","7021661")</f>
        <v>0</v>
      </c>
      <c r="B9923" t="s">
        <v>2316</v>
      </c>
      <c r="C9923" t="s">
        <v>12181</v>
      </c>
      <c r="D9923" t="s">
        <v>12995</v>
      </c>
      <c r="E9923" t="s">
        <v>21713</v>
      </c>
      <c r="F9923" t="s">
        <v>22436</v>
      </c>
      <c r="G9923" t="s">
        <v>22450</v>
      </c>
      <c r="H9923" t="s">
        <v>22454</v>
      </c>
      <c r="I9923" t="s">
        <v>7738</v>
      </c>
      <c r="J9923" t="s">
        <v>28853</v>
      </c>
      <c r="K9923" t="s">
        <v>29345</v>
      </c>
      <c r="M9923" t="s">
        <v>32092</v>
      </c>
      <c r="N9923" t="s">
        <v>32524</v>
      </c>
      <c r="O9923" t="s">
        <v>32525</v>
      </c>
      <c r="P9923">
        <v>0</v>
      </c>
      <c r="Q9923">
        <v>31</v>
      </c>
      <c r="R9923" t="s">
        <v>32539</v>
      </c>
      <c r="S9923" t="s">
        <v>33010</v>
      </c>
      <c r="T9923" t="s">
        <v>33181</v>
      </c>
      <c r="U9923" t="s">
        <v>41777</v>
      </c>
      <c r="V9923" t="s">
        <v>43581</v>
      </c>
      <c r="W9923" t="s">
        <v>32092</v>
      </c>
      <c r="X9923" t="s">
        <v>32540</v>
      </c>
    </row>
    <row r="9924" spans="1:24">
      <c r="A9924">
        <f>HYPERLINK("https://www.philgeps.gov.ph/GEPSNONPILOT/Tender/SplashBidNoticeAbstractUI.aspx?menuIndex=3&amp;refID=7021669&amp;Result=3","7021669")</f>
        <v>0</v>
      </c>
      <c r="B9924" t="s">
        <v>2316</v>
      </c>
      <c r="C9924" t="s">
        <v>12182</v>
      </c>
      <c r="D9924" t="s">
        <v>12995</v>
      </c>
      <c r="E9924" t="s">
        <v>21714</v>
      </c>
      <c r="F9924" t="s">
        <v>22436</v>
      </c>
      <c r="G9924" t="s">
        <v>22450</v>
      </c>
      <c r="H9924" t="s">
        <v>22454</v>
      </c>
      <c r="I9924" t="s">
        <v>7738</v>
      </c>
      <c r="J9924" t="s">
        <v>28854</v>
      </c>
      <c r="K9924" t="s">
        <v>29334</v>
      </c>
      <c r="M9924" t="s">
        <v>32092</v>
      </c>
      <c r="N9924" t="s">
        <v>32524</v>
      </c>
      <c r="O9924" t="s">
        <v>32525</v>
      </c>
      <c r="P9924">
        <v>0</v>
      </c>
      <c r="Q9924">
        <v>15</v>
      </c>
      <c r="R9924" t="s">
        <v>32539</v>
      </c>
      <c r="S9924" t="s">
        <v>33010</v>
      </c>
      <c r="T9924" t="s">
        <v>33181</v>
      </c>
      <c r="U9924" t="s">
        <v>41778</v>
      </c>
      <c r="V9924" t="s">
        <v>43582</v>
      </c>
      <c r="W9924" t="s">
        <v>32092</v>
      </c>
      <c r="X9924" t="s">
        <v>32540</v>
      </c>
    </row>
    <row r="9925" spans="1:24">
      <c r="A9925">
        <f>HYPERLINK("https://www.philgeps.gov.ph/GEPSNONPILOT/Tender/SplashBidNoticeAbstractUI.aspx?menuIndex=3&amp;refID=7021662&amp;Result=3","7021662")</f>
        <v>0</v>
      </c>
      <c r="B9925" t="s">
        <v>2316</v>
      </c>
      <c r="C9925" t="s">
        <v>12183</v>
      </c>
      <c r="D9925" t="s">
        <v>12995</v>
      </c>
      <c r="E9925" t="s">
        <v>21715</v>
      </c>
      <c r="F9925" t="s">
        <v>22436</v>
      </c>
      <c r="G9925" t="s">
        <v>22450</v>
      </c>
      <c r="H9925" t="s">
        <v>22454</v>
      </c>
      <c r="I9925" t="s">
        <v>7738</v>
      </c>
      <c r="J9925" t="s">
        <v>28855</v>
      </c>
      <c r="K9925" t="s">
        <v>29345</v>
      </c>
      <c r="M9925" t="s">
        <v>32092</v>
      </c>
      <c r="N9925" t="s">
        <v>32524</v>
      </c>
      <c r="O9925" t="s">
        <v>32525</v>
      </c>
      <c r="Q9925">
        <v>28</v>
      </c>
      <c r="R9925" t="s">
        <v>32539</v>
      </c>
      <c r="S9925" t="s">
        <v>33026</v>
      </c>
      <c r="T9925" t="s">
        <v>33181</v>
      </c>
      <c r="U9925" t="s">
        <v>41779</v>
      </c>
      <c r="V9925" t="s">
        <v>43583</v>
      </c>
      <c r="W9925" t="s">
        <v>32092</v>
      </c>
      <c r="X9925" t="s">
        <v>32540</v>
      </c>
    </row>
    <row r="9926" spans="1:24">
      <c r="A9926">
        <f>HYPERLINK("https://www.philgeps.gov.ph/GEPSNONPILOT/Tender/SplashBidNoticeAbstractUI.aspx?menuIndex=3&amp;refID=7021666&amp;Result=3","7021666")</f>
        <v>0</v>
      </c>
      <c r="B9926" t="s">
        <v>2316</v>
      </c>
      <c r="C9926" t="s">
        <v>12184</v>
      </c>
      <c r="D9926" t="s">
        <v>12995</v>
      </c>
      <c r="E9926" t="s">
        <v>21716</v>
      </c>
      <c r="F9926" t="s">
        <v>22436</v>
      </c>
      <c r="G9926" t="s">
        <v>22450</v>
      </c>
      <c r="H9926" t="s">
        <v>22454</v>
      </c>
      <c r="I9926" t="s">
        <v>7738</v>
      </c>
      <c r="J9926" t="s">
        <v>28856</v>
      </c>
      <c r="K9926" t="s">
        <v>29329</v>
      </c>
      <c r="M9926" t="s">
        <v>32092</v>
      </c>
      <c r="N9926" t="s">
        <v>32524</v>
      </c>
      <c r="O9926" t="s">
        <v>32525</v>
      </c>
      <c r="P9926">
        <v>0</v>
      </c>
      <c r="Q9926">
        <v>17</v>
      </c>
      <c r="R9926" t="s">
        <v>32539</v>
      </c>
      <c r="S9926" t="s">
        <v>33010</v>
      </c>
      <c r="T9926" t="s">
        <v>33181</v>
      </c>
      <c r="U9926" t="s">
        <v>41780</v>
      </c>
      <c r="V9926" t="s">
        <v>43584</v>
      </c>
      <c r="W9926" t="s">
        <v>32092</v>
      </c>
      <c r="X9926" t="s">
        <v>32540</v>
      </c>
    </row>
    <row r="9927" spans="1:24">
      <c r="A9927">
        <f>HYPERLINK("https://www.philgeps.gov.ph/GEPSNONPILOT/Tender/SplashBidNoticeAbstractUI.aspx?menuIndex=3&amp;refID=7021677&amp;Result=3","7021677")</f>
        <v>0</v>
      </c>
      <c r="B9927" t="s">
        <v>511</v>
      </c>
      <c r="C9927" t="s">
        <v>12185</v>
      </c>
      <c r="D9927" t="s">
        <v>13060</v>
      </c>
      <c r="E9927" t="s">
        <v>21717</v>
      </c>
      <c r="F9927" t="s">
        <v>22436</v>
      </c>
      <c r="G9927" t="s">
        <v>22444</v>
      </c>
      <c r="H9927" t="s">
        <v>22452</v>
      </c>
      <c r="I9927" t="s">
        <v>3827</v>
      </c>
      <c r="J9927" t="s">
        <v>28857</v>
      </c>
      <c r="K9927" t="s">
        <v>29335</v>
      </c>
      <c r="M9927" t="s">
        <v>31794</v>
      </c>
      <c r="N9927" t="s">
        <v>32524</v>
      </c>
      <c r="O9927" t="s">
        <v>32525</v>
      </c>
      <c r="P9927">
        <v>0</v>
      </c>
      <c r="Q9927">
        <v>5</v>
      </c>
      <c r="R9927" t="s">
        <v>32539</v>
      </c>
      <c r="S9927" t="s">
        <v>33010</v>
      </c>
      <c r="T9927" t="s">
        <v>33230</v>
      </c>
      <c r="U9927" t="s">
        <v>39177</v>
      </c>
      <c r="W9927" t="s">
        <v>31794</v>
      </c>
      <c r="X9927" t="s">
        <v>32540</v>
      </c>
    </row>
    <row r="9928" spans="1:24">
      <c r="A9928">
        <f>HYPERLINK("https://www.philgeps.gov.ph/GEPSNONPILOT/Tender/SplashBidNoticeAbstractUI.aspx?menuIndex=3&amp;refID=7021673&amp;Result=3","7021673")</f>
        <v>0</v>
      </c>
      <c r="B9928" t="s">
        <v>511</v>
      </c>
      <c r="C9928" t="s">
        <v>12186</v>
      </c>
      <c r="D9928" t="s">
        <v>13060</v>
      </c>
      <c r="E9928" t="s">
        <v>21718</v>
      </c>
      <c r="F9928" t="s">
        <v>22436</v>
      </c>
      <c r="G9928" t="s">
        <v>22444</v>
      </c>
      <c r="H9928" t="s">
        <v>22452</v>
      </c>
      <c r="I9928" t="s">
        <v>22508</v>
      </c>
      <c r="J9928" t="s">
        <v>27252</v>
      </c>
      <c r="K9928" t="s">
        <v>29335</v>
      </c>
      <c r="M9928" t="s">
        <v>31794</v>
      </c>
      <c r="N9928" t="s">
        <v>32524</v>
      </c>
      <c r="O9928" t="s">
        <v>32525</v>
      </c>
      <c r="P9928">
        <v>0</v>
      </c>
      <c r="Q9928">
        <v>9</v>
      </c>
      <c r="R9928" t="s">
        <v>32539</v>
      </c>
      <c r="S9928" t="s">
        <v>33010</v>
      </c>
      <c r="T9928" t="s">
        <v>33230</v>
      </c>
      <c r="U9928" t="s">
        <v>41781</v>
      </c>
      <c r="W9928" t="s">
        <v>31794</v>
      </c>
      <c r="X9928" t="s">
        <v>32540</v>
      </c>
    </row>
    <row r="9929" spans="1:24">
      <c r="A9929">
        <f>HYPERLINK("https://www.philgeps.gov.ph/GEPSNONPILOT/Tender/SplashBidNoticeAbstractUI.aspx?menuIndex=3&amp;refID=7021657&amp;Result=3","7021657")</f>
        <v>0</v>
      </c>
      <c r="B9929" t="s">
        <v>2585</v>
      </c>
      <c r="C9929" t="s">
        <v>12187</v>
      </c>
      <c r="D9929" t="s">
        <v>13033</v>
      </c>
      <c r="E9929" t="s">
        <v>21719</v>
      </c>
      <c r="F9929" t="s">
        <v>22436</v>
      </c>
      <c r="G9929" t="s">
        <v>22444</v>
      </c>
      <c r="H9929" t="s">
        <v>22452</v>
      </c>
      <c r="I9929" t="s">
        <v>22474</v>
      </c>
      <c r="J9929" t="s">
        <v>22943</v>
      </c>
      <c r="K9929" t="s">
        <v>29329</v>
      </c>
      <c r="M9929" t="s">
        <v>32408</v>
      </c>
      <c r="N9929" t="s">
        <v>32524</v>
      </c>
      <c r="O9929" t="s">
        <v>32525</v>
      </c>
      <c r="P9929">
        <v>0</v>
      </c>
      <c r="Q9929">
        <v>7</v>
      </c>
      <c r="R9929" t="s">
        <v>32539</v>
      </c>
      <c r="S9929" t="s">
        <v>33010</v>
      </c>
      <c r="T9929" t="s">
        <v>33187</v>
      </c>
      <c r="U9929" t="s">
        <v>41782</v>
      </c>
      <c r="W9929" t="s">
        <v>32408</v>
      </c>
      <c r="X9929" t="s">
        <v>32540</v>
      </c>
    </row>
    <row r="9930" spans="1:24">
      <c r="A9930">
        <f>HYPERLINK("https://www.philgeps.gov.ph/GEPSNONPILOT/Tender/SplashBidNoticeAbstractUI.aspx?menuIndex=3&amp;refID=7020936&amp;Result=3","7020936")</f>
        <v>0</v>
      </c>
      <c r="B9930" t="s">
        <v>1760</v>
      </c>
      <c r="C9930" t="s">
        <v>12188</v>
      </c>
      <c r="D9930" t="s">
        <v>13012</v>
      </c>
      <c r="E9930" t="s">
        <v>21720</v>
      </c>
      <c r="F9930" t="s">
        <v>22436</v>
      </c>
      <c r="G9930" t="s">
        <v>22447</v>
      </c>
      <c r="H9930" t="s">
        <v>22452</v>
      </c>
      <c r="I9930" t="s">
        <v>12358</v>
      </c>
      <c r="J9930" t="s">
        <v>28858</v>
      </c>
      <c r="K9930" t="s">
        <v>29341</v>
      </c>
      <c r="M9930" t="s">
        <v>31466</v>
      </c>
      <c r="N9930" t="s">
        <v>32524</v>
      </c>
      <c r="O9930" t="s">
        <v>32525</v>
      </c>
      <c r="P9930">
        <v>0</v>
      </c>
      <c r="Q9930">
        <v>2</v>
      </c>
      <c r="R9930" t="s">
        <v>32539</v>
      </c>
      <c r="S9930" t="s">
        <v>33010</v>
      </c>
      <c r="T9930" t="s">
        <v>33180</v>
      </c>
      <c r="U9930" t="s">
        <v>41783</v>
      </c>
      <c r="W9930" t="s">
        <v>31466</v>
      </c>
      <c r="X9930" t="s">
        <v>43779</v>
      </c>
    </row>
    <row r="9931" spans="1:24">
      <c r="A9931">
        <f>HYPERLINK("https://www.philgeps.gov.ph/GEPSNONPILOT/Tender/SplashBidNoticeAbstractUI.aspx?menuIndex=3&amp;refID=7021668&amp;Result=3","7021668")</f>
        <v>0</v>
      </c>
      <c r="B9931" t="s">
        <v>2316</v>
      </c>
      <c r="C9931" t="s">
        <v>12189</v>
      </c>
      <c r="D9931" t="s">
        <v>12995</v>
      </c>
      <c r="E9931" t="s">
        <v>21721</v>
      </c>
      <c r="F9931" t="s">
        <v>22436</v>
      </c>
      <c r="G9931" t="s">
        <v>22450</v>
      </c>
      <c r="H9931" t="s">
        <v>22454</v>
      </c>
      <c r="I9931" t="s">
        <v>7738</v>
      </c>
      <c r="J9931" t="s">
        <v>28859</v>
      </c>
      <c r="K9931" t="s">
        <v>29334</v>
      </c>
      <c r="M9931" t="s">
        <v>32092</v>
      </c>
      <c r="N9931" t="s">
        <v>32524</v>
      </c>
      <c r="O9931" t="s">
        <v>32525</v>
      </c>
      <c r="P9931">
        <v>0</v>
      </c>
      <c r="Q9931">
        <v>18</v>
      </c>
      <c r="R9931" t="s">
        <v>32539</v>
      </c>
      <c r="S9931" t="s">
        <v>33010</v>
      </c>
      <c r="T9931" t="s">
        <v>33181</v>
      </c>
      <c r="U9931" t="s">
        <v>41784</v>
      </c>
      <c r="V9931" t="s">
        <v>43585</v>
      </c>
      <c r="W9931" t="s">
        <v>32092</v>
      </c>
      <c r="X9931" t="s">
        <v>32540</v>
      </c>
    </row>
    <row r="9932" spans="1:24">
      <c r="A9932">
        <f>HYPERLINK("https://www.philgeps.gov.ph/GEPSNONPILOT/Tender/SplashBidNoticeAbstractUI.aspx?menuIndex=3&amp;refID=7021652&amp;Result=3","7021652")</f>
        <v>0</v>
      </c>
      <c r="B9932" t="s">
        <v>222</v>
      </c>
      <c r="C9932" t="s">
        <v>12190</v>
      </c>
      <c r="D9932" t="s">
        <v>12989</v>
      </c>
      <c r="E9932" t="s">
        <v>21722</v>
      </c>
      <c r="F9932" t="s">
        <v>22436</v>
      </c>
      <c r="G9932" t="s">
        <v>22444</v>
      </c>
      <c r="H9932" t="s">
        <v>22453</v>
      </c>
      <c r="I9932" t="s">
        <v>22529</v>
      </c>
      <c r="J9932" t="s">
        <v>24189</v>
      </c>
      <c r="K9932" t="s">
        <v>29335</v>
      </c>
      <c r="M9932" t="s">
        <v>29795</v>
      </c>
      <c r="N9932" t="s">
        <v>32524</v>
      </c>
      <c r="O9932" t="s">
        <v>32525</v>
      </c>
      <c r="P9932">
        <v>0</v>
      </c>
      <c r="Q9932">
        <v>3</v>
      </c>
      <c r="R9932" t="s">
        <v>32539</v>
      </c>
      <c r="S9932" t="s">
        <v>33010</v>
      </c>
      <c r="T9932" t="s">
        <v>33601</v>
      </c>
      <c r="U9932" t="s">
        <v>41785</v>
      </c>
      <c r="W9932" t="s">
        <v>29795</v>
      </c>
      <c r="X9932" t="s">
        <v>32540</v>
      </c>
    </row>
    <row r="9933" spans="1:24">
      <c r="A9933">
        <f>HYPERLINK("https://www.philgeps.gov.ph/GEPSNONPILOT/Tender/SplashBidNoticeAbstractUI.aspx?menuIndex=3&amp;refID=7021617&amp;Result=3","7021617")</f>
        <v>0</v>
      </c>
      <c r="B9933" t="s">
        <v>1111</v>
      </c>
      <c r="C9933" t="s">
        <v>12191</v>
      </c>
      <c r="D9933" t="s">
        <v>12996</v>
      </c>
      <c r="E9933" t="s">
        <v>21723</v>
      </c>
      <c r="F9933" t="s">
        <v>22436</v>
      </c>
      <c r="G9933" t="s">
        <v>22444</v>
      </c>
      <c r="H9933" t="s">
        <v>22452</v>
      </c>
      <c r="I9933" t="s">
        <v>22518</v>
      </c>
      <c r="J9933" t="s">
        <v>23202</v>
      </c>
      <c r="K9933" t="s">
        <v>29335</v>
      </c>
      <c r="M9933" t="s">
        <v>30749</v>
      </c>
      <c r="N9933" t="s">
        <v>32524</v>
      </c>
      <c r="O9933" t="s">
        <v>32525</v>
      </c>
      <c r="P9933">
        <v>0</v>
      </c>
      <c r="Q9933">
        <v>10</v>
      </c>
      <c r="R9933" t="s">
        <v>32539</v>
      </c>
      <c r="S9933" t="s">
        <v>33010</v>
      </c>
      <c r="T9933" t="s">
        <v>33206</v>
      </c>
      <c r="U9933" t="s">
        <v>41786</v>
      </c>
      <c r="W9933" t="s">
        <v>30749</v>
      </c>
      <c r="X9933" t="s">
        <v>43779</v>
      </c>
    </row>
    <row r="9934" spans="1:24">
      <c r="A9934">
        <f>HYPERLINK("https://www.philgeps.gov.ph/GEPSNONPILOT/Tender/SplashBidNoticeAbstractUI.aspx?menuIndex=3&amp;refID=7021670&amp;Result=3","7021670")</f>
        <v>0</v>
      </c>
      <c r="B9934" t="s">
        <v>2382</v>
      </c>
      <c r="C9934" t="s">
        <v>12192</v>
      </c>
      <c r="D9934" t="s">
        <v>13022</v>
      </c>
      <c r="E9934" t="s">
        <v>21724</v>
      </c>
      <c r="F9934" t="s">
        <v>22437</v>
      </c>
      <c r="G9934" t="s">
        <v>22444</v>
      </c>
      <c r="H9934" t="s">
        <v>22452</v>
      </c>
      <c r="I9934" t="s">
        <v>3529</v>
      </c>
      <c r="J9934" t="s">
        <v>28860</v>
      </c>
      <c r="K9934" t="s">
        <v>29331</v>
      </c>
      <c r="M9934" t="s">
        <v>32409</v>
      </c>
      <c r="N9934" t="s">
        <v>32524</v>
      </c>
      <c r="O9934" t="s">
        <v>32525</v>
      </c>
      <c r="P9934">
        <v>0</v>
      </c>
      <c r="Q9934">
        <v>0</v>
      </c>
      <c r="R9934" t="s">
        <v>32539</v>
      </c>
      <c r="S9934" t="s">
        <v>33010</v>
      </c>
      <c r="T9934" t="s">
        <v>33296</v>
      </c>
      <c r="U9934" t="s">
        <v>41787</v>
      </c>
      <c r="V9934" t="s">
        <v>43586</v>
      </c>
      <c r="W9934" t="s">
        <v>32409</v>
      </c>
      <c r="X9934" t="s">
        <v>32540</v>
      </c>
    </row>
    <row r="9935" spans="1:24">
      <c r="A9935">
        <f>HYPERLINK("https://www.philgeps.gov.ph/GEPSNONPILOT/Tender/SplashBidNoticeAbstractUI.aspx?menuIndex=3&amp;refID=7021675&amp;Result=3","7021675")</f>
        <v>0</v>
      </c>
      <c r="B9935" t="s">
        <v>511</v>
      </c>
      <c r="C9935" t="s">
        <v>12193</v>
      </c>
      <c r="D9935" t="s">
        <v>13060</v>
      </c>
      <c r="E9935" t="s">
        <v>21725</v>
      </c>
      <c r="F9935" t="s">
        <v>22436</v>
      </c>
      <c r="G9935" t="s">
        <v>22444</v>
      </c>
      <c r="H9935" t="s">
        <v>22452</v>
      </c>
      <c r="I9935" t="s">
        <v>22474</v>
      </c>
      <c r="J9935" t="s">
        <v>22669</v>
      </c>
      <c r="K9935" t="s">
        <v>29334</v>
      </c>
      <c r="M9935" t="s">
        <v>31794</v>
      </c>
      <c r="N9935" t="s">
        <v>32524</v>
      </c>
      <c r="O9935" t="s">
        <v>32525</v>
      </c>
      <c r="P9935">
        <v>0</v>
      </c>
      <c r="Q9935">
        <v>6</v>
      </c>
      <c r="R9935" t="s">
        <v>32539</v>
      </c>
      <c r="S9935" t="s">
        <v>33010</v>
      </c>
      <c r="T9935" t="s">
        <v>33602</v>
      </c>
      <c r="U9935" t="s">
        <v>41781</v>
      </c>
      <c r="W9935" t="s">
        <v>31794</v>
      </c>
      <c r="X9935" t="s">
        <v>32540</v>
      </c>
    </row>
    <row r="9936" spans="1:24">
      <c r="A9936">
        <f>HYPERLINK("https://www.philgeps.gov.ph/GEPSNONPILOT/Tender/SplashBidNoticeAbstractUI.aspx?menuIndex=3&amp;refID=7021373&amp;Result=3","7021373")</f>
        <v>0</v>
      </c>
      <c r="B9936" t="s">
        <v>931</v>
      </c>
      <c r="C9936" t="s">
        <v>12194</v>
      </c>
      <c r="D9936" t="s">
        <v>13002</v>
      </c>
      <c r="E9936" t="s">
        <v>21726</v>
      </c>
      <c r="F9936" t="s">
        <v>22436</v>
      </c>
      <c r="G9936" t="s">
        <v>22444</v>
      </c>
      <c r="H9936" t="s">
        <v>22452</v>
      </c>
      <c r="I9936" t="s">
        <v>22474</v>
      </c>
      <c r="J9936" t="s">
        <v>23505</v>
      </c>
      <c r="K9936" t="s">
        <v>29333</v>
      </c>
      <c r="M9936" t="s">
        <v>30545</v>
      </c>
      <c r="N9936" t="s">
        <v>32524</v>
      </c>
      <c r="O9936" t="s">
        <v>32525</v>
      </c>
      <c r="Q9936">
        <v>6</v>
      </c>
      <c r="R9936" t="s">
        <v>32539</v>
      </c>
      <c r="S9936" t="s">
        <v>33027</v>
      </c>
      <c r="T9936" t="s">
        <v>33177</v>
      </c>
      <c r="U9936" t="s">
        <v>41788</v>
      </c>
      <c r="V9936" t="s">
        <v>43587</v>
      </c>
      <c r="W9936" t="s">
        <v>30545</v>
      </c>
      <c r="X9936" t="s">
        <v>43779</v>
      </c>
    </row>
    <row r="9937" spans="1:24">
      <c r="A9937">
        <f>HYPERLINK("https://www.philgeps.gov.ph/GEPSNONPILOT/Tender/SplashBidNoticeAbstractUI.aspx?menuIndex=3&amp;refID=7021757&amp;Result=3","7021757")</f>
        <v>0</v>
      </c>
      <c r="B9937" t="s">
        <v>2586</v>
      </c>
      <c r="C9937" t="s">
        <v>12195</v>
      </c>
      <c r="D9937" t="s">
        <v>13056</v>
      </c>
      <c r="E9937" t="s">
        <v>21727</v>
      </c>
      <c r="F9937" t="s">
        <v>22436</v>
      </c>
      <c r="G9937" t="s">
        <v>22444</v>
      </c>
      <c r="H9937" t="s">
        <v>22452</v>
      </c>
      <c r="I9937" t="s">
        <v>6387</v>
      </c>
      <c r="J9937" t="s">
        <v>22634</v>
      </c>
      <c r="K9937" t="s">
        <v>29336</v>
      </c>
      <c r="M9937" t="s">
        <v>32410</v>
      </c>
      <c r="N9937" t="s">
        <v>32524</v>
      </c>
      <c r="O9937" t="s">
        <v>32525</v>
      </c>
      <c r="P9937">
        <v>0</v>
      </c>
      <c r="Q9937">
        <v>4</v>
      </c>
      <c r="R9937" t="s">
        <v>32539</v>
      </c>
      <c r="S9937" t="s">
        <v>33010</v>
      </c>
      <c r="T9937" t="s">
        <v>33593</v>
      </c>
      <c r="U9937" t="s">
        <v>41789</v>
      </c>
      <c r="V9937" t="s">
        <v>43588</v>
      </c>
      <c r="W9937" t="s">
        <v>32410</v>
      </c>
      <c r="X9937" t="s">
        <v>32540</v>
      </c>
    </row>
    <row r="9938" spans="1:24">
      <c r="A9938">
        <f>HYPERLINK("https://www.philgeps.gov.ph/GEPSNONPILOT/Tender/SplashBidNoticeAbstractUI.aspx?menuIndex=3&amp;refID=7021674&amp;Result=3","7021674")</f>
        <v>0</v>
      </c>
      <c r="B9938" t="s">
        <v>511</v>
      </c>
      <c r="C9938" t="s">
        <v>12196</v>
      </c>
      <c r="D9938" t="s">
        <v>13060</v>
      </c>
      <c r="E9938" t="s">
        <v>21728</v>
      </c>
      <c r="F9938" t="s">
        <v>22436</v>
      </c>
      <c r="G9938" t="s">
        <v>22444</v>
      </c>
      <c r="H9938" t="s">
        <v>22452</v>
      </c>
      <c r="I9938" t="s">
        <v>22508</v>
      </c>
      <c r="J9938" t="s">
        <v>28861</v>
      </c>
      <c r="K9938" t="s">
        <v>29335</v>
      </c>
      <c r="M9938" t="s">
        <v>31794</v>
      </c>
      <c r="N9938" t="s">
        <v>32524</v>
      </c>
      <c r="O9938" t="s">
        <v>32525</v>
      </c>
      <c r="P9938">
        <v>0</v>
      </c>
      <c r="Q9938">
        <v>6</v>
      </c>
      <c r="R9938" t="s">
        <v>32539</v>
      </c>
      <c r="S9938" t="s">
        <v>33010</v>
      </c>
      <c r="T9938" t="s">
        <v>33230</v>
      </c>
      <c r="U9938" t="s">
        <v>41781</v>
      </c>
      <c r="W9938" t="s">
        <v>31794</v>
      </c>
      <c r="X9938" t="s">
        <v>32540</v>
      </c>
    </row>
    <row r="9939" spans="1:24">
      <c r="A9939">
        <f>HYPERLINK("https://www.philgeps.gov.ph/GEPSNONPILOT/Tender/SplashBidNoticeAbstractUI.aspx?menuIndex=3&amp;refID=7021743&amp;Result=3","7021743")</f>
        <v>0</v>
      </c>
      <c r="B9939" t="s">
        <v>2587</v>
      </c>
      <c r="C9939" t="s">
        <v>12197</v>
      </c>
      <c r="D9939" t="s">
        <v>13025</v>
      </c>
      <c r="E9939" t="s">
        <v>21729</v>
      </c>
      <c r="F9939" t="s">
        <v>22436</v>
      </c>
      <c r="G9939" t="s">
        <v>22444</v>
      </c>
      <c r="H9939" t="s">
        <v>22454</v>
      </c>
      <c r="I9939" t="s">
        <v>7738</v>
      </c>
      <c r="J9939" t="s">
        <v>28862</v>
      </c>
      <c r="K9939" t="s">
        <v>29433</v>
      </c>
      <c r="M9939" t="s">
        <v>32411</v>
      </c>
      <c r="N9939" t="s">
        <v>32524</v>
      </c>
      <c r="O9939" t="s">
        <v>32525</v>
      </c>
      <c r="P9939">
        <v>0</v>
      </c>
      <c r="Q9939">
        <v>0</v>
      </c>
      <c r="R9939" t="s">
        <v>32539</v>
      </c>
      <c r="S9939" t="s">
        <v>33010</v>
      </c>
      <c r="T9939" t="s">
        <v>33155</v>
      </c>
      <c r="U9939" t="s">
        <v>41790</v>
      </c>
      <c r="W9939" t="s">
        <v>32411</v>
      </c>
      <c r="X9939" t="s">
        <v>32540</v>
      </c>
    </row>
    <row r="9940" spans="1:24">
      <c r="A9940">
        <f>HYPERLINK("https://www.philgeps.gov.ph/GEPSNONPILOT/Tender/SplashBidNoticeAbstractUI.aspx?menuIndex=3&amp;refID=7021749&amp;Result=3","7021749")</f>
        <v>0</v>
      </c>
      <c r="B9940" t="s">
        <v>392</v>
      </c>
      <c r="C9940" t="s">
        <v>12198</v>
      </c>
      <c r="E9940" t="s">
        <v>21730</v>
      </c>
      <c r="F9940" t="s">
        <v>22436</v>
      </c>
      <c r="G9940" t="s">
        <v>22444</v>
      </c>
      <c r="H9940" t="s">
        <v>22452</v>
      </c>
      <c r="I9940" t="s">
        <v>7738</v>
      </c>
      <c r="J9940" t="s">
        <v>22587</v>
      </c>
      <c r="K9940" t="s">
        <v>29338</v>
      </c>
      <c r="M9940" t="s">
        <v>29971</v>
      </c>
      <c r="N9940" t="s">
        <v>32524</v>
      </c>
      <c r="O9940" t="s">
        <v>32525</v>
      </c>
      <c r="P9940">
        <v>0</v>
      </c>
      <c r="Q9940">
        <v>0</v>
      </c>
      <c r="R9940" t="s">
        <v>32539</v>
      </c>
      <c r="S9940" t="s">
        <v>33010</v>
      </c>
      <c r="T9940" t="s">
        <v>33187</v>
      </c>
      <c r="U9940" t="s">
        <v>34407</v>
      </c>
      <c r="W9940" t="s">
        <v>29971</v>
      </c>
      <c r="X9940" t="s">
        <v>32540</v>
      </c>
    </row>
    <row r="9941" spans="1:24">
      <c r="A9941">
        <f>HYPERLINK("https://www.philgeps.gov.ph/GEPSNONPILOT/Tender/SplashBidNoticeAbstractUI.aspx?menuIndex=3&amp;refID=7021748&amp;Result=3","7021748")</f>
        <v>0</v>
      </c>
      <c r="B9941" t="s">
        <v>1334</v>
      </c>
      <c r="C9941" t="s">
        <v>12199</v>
      </c>
      <c r="D9941" t="s">
        <v>13056</v>
      </c>
      <c r="E9941" t="s">
        <v>21731</v>
      </c>
      <c r="F9941" t="s">
        <v>22436</v>
      </c>
      <c r="G9941" t="s">
        <v>22444</v>
      </c>
      <c r="H9941" t="s">
        <v>22452</v>
      </c>
      <c r="I9941" t="s">
        <v>22474</v>
      </c>
      <c r="J9941" t="s">
        <v>23610</v>
      </c>
      <c r="K9941" t="s">
        <v>29341</v>
      </c>
      <c r="M9941" t="s">
        <v>30989</v>
      </c>
      <c r="N9941" t="s">
        <v>32524</v>
      </c>
      <c r="O9941" t="s">
        <v>32525</v>
      </c>
      <c r="P9941">
        <v>0</v>
      </c>
      <c r="Q9941">
        <v>4</v>
      </c>
      <c r="R9941" t="s">
        <v>32539</v>
      </c>
      <c r="S9941" t="s">
        <v>33010</v>
      </c>
      <c r="T9941" t="s">
        <v>33230</v>
      </c>
      <c r="U9941" t="s">
        <v>41791</v>
      </c>
      <c r="V9941" t="s">
        <v>42803</v>
      </c>
      <c r="W9941" t="s">
        <v>30989</v>
      </c>
      <c r="X9941" t="s">
        <v>32540</v>
      </c>
    </row>
    <row r="9942" spans="1:24">
      <c r="A9942">
        <f>HYPERLINK("https://www.philgeps.gov.ph/GEPSNONPILOT/Tender/SplashBidNoticeAbstractUI.aspx?menuIndex=3&amp;refID=7021720&amp;Result=3","7021720")</f>
        <v>0</v>
      </c>
      <c r="B9942" t="s">
        <v>2588</v>
      </c>
      <c r="C9942" t="s">
        <v>12200</v>
      </c>
      <c r="D9942" t="s">
        <v>13042</v>
      </c>
      <c r="E9942" t="s">
        <v>21732</v>
      </c>
      <c r="F9942" t="s">
        <v>22436</v>
      </c>
      <c r="G9942" t="s">
        <v>22444</v>
      </c>
      <c r="H9942" t="s">
        <v>22452</v>
      </c>
      <c r="I9942" t="s">
        <v>3529</v>
      </c>
      <c r="J9942" t="s">
        <v>22640</v>
      </c>
      <c r="K9942" t="s">
        <v>29341</v>
      </c>
      <c r="M9942" t="s">
        <v>32412</v>
      </c>
      <c r="N9942" t="s">
        <v>32524</v>
      </c>
      <c r="O9942" t="s">
        <v>32525</v>
      </c>
      <c r="P9942">
        <v>0</v>
      </c>
      <c r="Q9942">
        <v>1</v>
      </c>
      <c r="R9942" t="s">
        <v>32539</v>
      </c>
      <c r="S9942" t="s">
        <v>33010</v>
      </c>
      <c r="T9942" t="s">
        <v>33230</v>
      </c>
      <c r="U9942" t="s">
        <v>41792</v>
      </c>
      <c r="V9942" t="s">
        <v>43589</v>
      </c>
      <c r="W9942" t="s">
        <v>43769</v>
      </c>
      <c r="X9942" t="s">
        <v>32540</v>
      </c>
    </row>
    <row r="9943" spans="1:24">
      <c r="A9943">
        <f>HYPERLINK("https://www.philgeps.gov.ph/GEPSNONPILOT/Tender/SplashBidNoticeAbstractUI.aspx?menuIndex=3&amp;refID=7021742&amp;Result=3","7021742")</f>
        <v>0</v>
      </c>
      <c r="B9943" t="s">
        <v>2589</v>
      </c>
      <c r="C9943" t="s">
        <v>12201</v>
      </c>
      <c r="D9943" t="s">
        <v>13015</v>
      </c>
      <c r="E9943" t="s">
        <v>21733</v>
      </c>
      <c r="F9943" t="s">
        <v>22437</v>
      </c>
      <c r="G9943" t="s">
        <v>22444</v>
      </c>
      <c r="H9943" t="s">
        <v>22454</v>
      </c>
      <c r="I9943" t="s">
        <v>7738</v>
      </c>
      <c r="J9943" t="s">
        <v>26195</v>
      </c>
      <c r="K9943" t="s">
        <v>29432</v>
      </c>
      <c r="M9943" t="s">
        <v>32413</v>
      </c>
      <c r="N9943" t="s">
        <v>32524</v>
      </c>
      <c r="O9943" t="s">
        <v>32525</v>
      </c>
      <c r="P9943">
        <v>0</v>
      </c>
      <c r="Q9943">
        <v>1</v>
      </c>
      <c r="R9943" t="s">
        <v>32539</v>
      </c>
      <c r="S9943" t="s">
        <v>33010</v>
      </c>
      <c r="T9943" t="s">
        <v>33191</v>
      </c>
      <c r="U9943" t="s">
        <v>41793</v>
      </c>
      <c r="V9943" t="s">
        <v>43590</v>
      </c>
      <c r="W9943" t="s">
        <v>32413</v>
      </c>
      <c r="X9943" t="s">
        <v>32540</v>
      </c>
    </row>
    <row r="9944" spans="1:24">
      <c r="A9944">
        <f>HYPERLINK("https://www.philgeps.gov.ph/GEPSNONPILOT/Tender/SplashBidNoticeAbstractUI.aspx?menuIndex=3&amp;refID=7021679&amp;Result=3","7021679")</f>
        <v>0</v>
      </c>
      <c r="B9944" t="s">
        <v>2590</v>
      </c>
      <c r="C9944" t="s">
        <v>12202</v>
      </c>
      <c r="E9944" t="s">
        <v>21734</v>
      </c>
      <c r="F9944" t="s">
        <v>22436</v>
      </c>
      <c r="G9944" t="s">
        <v>22444</v>
      </c>
      <c r="H9944" t="s">
        <v>22452</v>
      </c>
      <c r="I9944" t="s">
        <v>22465</v>
      </c>
      <c r="J9944" t="s">
        <v>22788</v>
      </c>
      <c r="K9944" t="s">
        <v>29341</v>
      </c>
      <c r="M9944" t="s">
        <v>32414</v>
      </c>
      <c r="N9944" t="s">
        <v>32524</v>
      </c>
      <c r="O9944" t="s">
        <v>32525</v>
      </c>
      <c r="P9944">
        <v>0</v>
      </c>
      <c r="Q9944">
        <v>0</v>
      </c>
      <c r="R9944" t="s">
        <v>32539</v>
      </c>
      <c r="S9944" t="s">
        <v>33010</v>
      </c>
      <c r="T9944" t="s">
        <v>33173</v>
      </c>
      <c r="U9944" t="s">
        <v>41794</v>
      </c>
      <c r="W9944" t="s">
        <v>32414</v>
      </c>
      <c r="X9944" t="s">
        <v>32540</v>
      </c>
    </row>
    <row r="9945" spans="1:24">
      <c r="A9945">
        <f>HYPERLINK("https://www.philgeps.gov.ph/GEPSNONPILOT/Tender/SplashBidNoticeAbstractUI.aspx?menuIndex=3&amp;refID=7021828&amp;Result=3","7021828")</f>
        <v>0</v>
      </c>
      <c r="B9945" t="s">
        <v>2591</v>
      </c>
      <c r="C9945" t="s">
        <v>12203</v>
      </c>
      <c r="D9945" t="s">
        <v>13029</v>
      </c>
      <c r="E9945" t="s">
        <v>21735</v>
      </c>
      <c r="F9945" t="s">
        <v>22436</v>
      </c>
      <c r="G9945" t="s">
        <v>22444</v>
      </c>
      <c r="H9945" t="s">
        <v>22454</v>
      </c>
      <c r="I9945" t="s">
        <v>7738</v>
      </c>
      <c r="J9945" t="s">
        <v>23350</v>
      </c>
      <c r="K9945" t="s">
        <v>29333</v>
      </c>
      <c r="M9945" t="s">
        <v>32415</v>
      </c>
      <c r="N9945" t="s">
        <v>32524</v>
      </c>
      <c r="O9945" t="s">
        <v>32525</v>
      </c>
      <c r="P9945">
        <v>0</v>
      </c>
      <c r="Q9945">
        <v>0</v>
      </c>
      <c r="R9945" t="s">
        <v>32539</v>
      </c>
      <c r="S9945" t="s">
        <v>33010</v>
      </c>
      <c r="T9945" t="s">
        <v>33212</v>
      </c>
      <c r="U9945" t="s">
        <v>41795</v>
      </c>
      <c r="W9945" t="s">
        <v>32415</v>
      </c>
      <c r="X9945" t="s">
        <v>32540</v>
      </c>
    </row>
    <row r="9946" spans="1:24">
      <c r="A9946">
        <f>HYPERLINK("https://www.philgeps.gov.ph/GEPSNONPILOT/Tender/SplashBidNoticeAbstractUI.aspx?menuIndex=3&amp;refID=7021731&amp;Result=3","7021731")</f>
        <v>0</v>
      </c>
      <c r="B9946" t="s">
        <v>2592</v>
      </c>
      <c r="C9946" t="s">
        <v>12204</v>
      </c>
      <c r="E9946" t="s">
        <v>21736</v>
      </c>
      <c r="F9946" t="s">
        <v>22436</v>
      </c>
      <c r="G9946" t="s">
        <v>22444</v>
      </c>
      <c r="H9946" t="s">
        <v>22452</v>
      </c>
      <c r="I9946" t="s">
        <v>7738</v>
      </c>
      <c r="J9946" t="s">
        <v>28863</v>
      </c>
      <c r="K9946" t="s">
        <v>29338</v>
      </c>
      <c r="M9946" t="s">
        <v>32416</v>
      </c>
      <c r="N9946" t="s">
        <v>32524</v>
      </c>
      <c r="O9946" t="s">
        <v>32525</v>
      </c>
      <c r="P9946">
        <v>0</v>
      </c>
      <c r="Q9946">
        <v>0</v>
      </c>
      <c r="R9946" t="s">
        <v>32539</v>
      </c>
      <c r="S9946" t="s">
        <v>33010</v>
      </c>
      <c r="T9946" t="s">
        <v>33296</v>
      </c>
      <c r="U9946" t="s">
        <v>41796</v>
      </c>
      <c r="W9946" t="s">
        <v>32416</v>
      </c>
      <c r="X9946" t="s">
        <v>32540</v>
      </c>
    </row>
    <row r="9947" spans="1:24">
      <c r="A9947">
        <f>HYPERLINK("https://www.philgeps.gov.ph/GEPSNONPILOT/Tender/SplashBidNoticeAbstractUI.aspx?menuIndex=3&amp;refID=7021746&amp;Result=3","7021746")</f>
        <v>0</v>
      </c>
      <c r="B9947" t="s">
        <v>2593</v>
      </c>
      <c r="C9947" t="s">
        <v>12205</v>
      </c>
      <c r="D9947" t="s">
        <v>13006</v>
      </c>
      <c r="E9947" t="s">
        <v>14970</v>
      </c>
      <c r="F9947" t="s">
        <v>22436</v>
      </c>
      <c r="G9947" t="s">
        <v>22444</v>
      </c>
      <c r="H9947" t="s">
        <v>22452</v>
      </c>
      <c r="I9947" t="s">
        <v>22474</v>
      </c>
      <c r="J9947" t="s">
        <v>27474</v>
      </c>
      <c r="K9947" t="s">
        <v>29335</v>
      </c>
      <c r="M9947" t="s">
        <v>32417</v>
      </c>
      <c r="N9947" t="s">
        <v>32524</v>
      </c>
      <c r="O9947" t="s">
        <v>32525</v>
      </c>
      <c r="P9947">
        <v>0</v>
      </c>
      <c r="Q9947">
        <v>6</v>
      </c>
      <c r="R9947" t="s">
        <v>32539</v>
      </c>
      <c r="S9947" t="s">
        <v>33010</v>
      </c>
      <c r="T9947" t="s">
        <v>33344</v>
      </c>
      <c r="U9947" t="s">
        <v>41797</v>
      </c>
      <c r="W9947" t="s">
        <v>32417</v>
      </c>
      <c r="X9947" t="s">
        <v>32540</v>
      </c>
    </row>
    <row r="9948" spans="1:24">
      <c r="A9948">
        <f>HYPERLINK("https://www.philgeps.gov.ph/GEPSNONPILOT/Tender/SplashBidNoticeAbstractUI.aspx?menuIndex=3&amp;refID=7021823&amp;Result=3","7021823")</f>
        <v>0</v>
      </c>
      <c r="B9948" t="s">
        <v>2594</v>
      </c>
      <c r="C9948" t="s">
        <v>12206</v>
      </c>
      <c r="D9948" t="s">
        <v>12992</v>
      </c>
      <c r="E9948" t="s">
        <v>14074</v>
      </c>
      <c r="F9948" t="s">
        <v>22436</v>
      </c>
      <c r="G9948" t="s">
        <v>22444</v>
      </c>
      <c r="H9948" t="s">
        <v>22454</v>
      </c>
      <c r="I9948" t="s">
        <v>7738</v>
      </c>
      <c r="J9948" t="s">
        <v>28864</v>
      </c>
      <c r="K9948" t="s">
        <v>29338</v>
      </c>
      <c r="M9948" t="s">
        <v>32418</v>
      </c>
      <c r="N9948" t="s">
        <v>32524</v>
      </c>
      <c r="O9948" t="s">
        <v>32525</v>
      </c>
      <c r="P9948">
        <v>0</v>
      </c>
      <c r="Q9948">
        <v>0</v>
      </c>
      <c r="R9948" t="s">
        <v>32539</v>
      </c>
      <c r="S9948" t="s">
        <v>33010</v>
      </c>
      <c r="T9948" t="s">
        <v>33351</v>
      </c>
      <c r="U9948" t="s">
        <v>41798</v>
      </c>
      <c r="W9948" t="s">
        <v>32418</v>
      </c>
      <c r="X9948" t="s">
        <v>32540</v>
      </c>
    </row>
    <row r="9949" spans="1:24">
      <c r="A9949">
        <f>HYPERLINK("https://www.philgeps.gov.ph/GEPSNONPILOT/Tender/SplashBidNoticeAbstractUI.aspx?menuIndex=3&amp;refID=7021773&amp;Result=3","7021773")</f>
        <v>0</v>
      </c>
      <c r="B9949" t="s">
        <v>1366</v>
      </c>
      <c r="C9949" t="s">
        <v>12207</v>
      </c>
      <c r="D9949" t="s">
        <v>13039</v>
      </c>
      <c r="E9949" t="s">
        <v>21737</v>
      </c>
      <c r="F9949" t="s">
        <v>22436</v>
      </c>
      <c r="G9949" t="s">
        <v>22447</v>
      </c>
      <c r="H9949" t="s">
        <v>22452</v>
      </c>
      <c r="I9949" t="s">
        <v>22513</v>
      </c>
      <c r="J9949" t="s">
        <v>28734</v>
      </c>
      <c r="K9949" t="s">
        <v>29335</v>
      </c>
      <c r="M9949" t="s">
        <v>31022</v>
      </c>
      <c r="N9949" t="s">
        <v>32524</v>
      </c>
      <c r="O9949" t="s">
        <v>32525</v>
      </c>
      <c r="P9949">
        <v>0</v>
      </c>
      <c r="Q9949">
        <v>2</v>
      </c>
      <c r="R9949" t="s">
        <v>32539</v>
      </c>
      <c r="S9949" t="s">
        <v>33010</v>
      </c>
      <c r="T9949" t="s">
        <v>33371</v>
      </c>
      <c r="U9949" t="s">
        <v>41799</v>
      </c>
      <c r="W9949" t="s">
        <v>31022</v>
      </c>
      <c r="X9949" t="s">
        <v>32540</v>
      </c>
    </row>
    <row r="9950" spans="1:24">
      <c r="A9950">
        <f>HYPERLINK("https://www.philgeps.gov.ph/GEPSNONPILOT/Tender/SplashBidNoticeAbstractUI.aspx?menuIndex=3&amp;refID=7021701&amp;Result=3","7021701")</f>
        <v>0</v>
      </c>
      <c r="B9950" t="s">
        <v>1366</v>
      </c>
      <c r="C9950" t="s">
        <v>12208</v>
      </c>
      <c r="D9950" t="s">
        <v>13039</v>
      </c>
      <c r="E9950" t="s">
        <v>21738</v>
      </c>
      <c r="F9950" t="s">
        <v>22436</v>
      </c>
      <c r="G9950" t="s">
        <v>22444</v>
      </c>
      <c r="H9950" t="s">
        <v>22452</v>
      </c>
      <c r="I9950" t="s">
        <v>22478</v>
      </c>
      <c r="J9950" t="s">
        <v>28865</v>
      </c>
      <c r="K9950" t="s">
        <v>29335</v>
      </c>
      <c r="M9950" t="s">
        <v>31022</v>
      </c>
      <c r="N9950" t="s">
        <v>32524</v>
      </c>
      <c r="O9950" t="s">
        <v>32525</v>
      </c>
      <c r="P9950">
        <v>0</v>
      </c>
      <c r="Q9950">
        <v>8</v>
      </c>
      <c r="R9950" t="s">
        <v>32539</v>
      </c>
      <c r="S9950" t="s">
        <v>33010</v>
      </c>
      <c r="T9950" t="s">
        <v>33593</v>
      </c>
      <c r="U9950" t="s">
        <v>41800</v>
      </c>
      <c r="V9950" t="s">
        <v>43591</v>
      </c>
      <c r="W9950" t="s">
        <v>31022</v>
      </c>
      <c r="X9950" t="s">
        <v>32540</v>
      </c>
    </row>
    <row r="9951" spans="1:24">
      <c r="A9951">
        <f>HYPERLINK("https://www.philgeps.gov.ph/GEPSNONPILOT/Tender/SplashBidNoticeAbstractUI.aspx?menuIndex=3&amp;refID=7021793&amp;Result=3","7021793")</f>
        <v>0</v>
      </c>
      <c r="B9951" t="s">
        <v>1366</v>
      </c>
      <c r="C9951" t="s">
        <v>12209</v>
      </c>
      <c r="D9951" t="s">
        <v>13039</v>
      </c>
      <c r="E9951" t="s">
        <v>21739</v>
      </c>
      <c r="F9951" t="s">
        <v>22436</v>
      </c>
      <c r="G9951" t="s">
        <v>22447</v>
      </c>
      <c r="H9951" t="s">
        <v>22452</v>
      </c>
      <c r="I9951" t="s">
        <v>2981</v>
      </c>
      <c r="J9951" t="s">
        <v>28866</v>
      </c>
      <c r="K9951" t="s">
        <v>29335</v>
      </c>
      <c r="M9951" t="s">
        <v>31022</v>
      </c>
      <c r="N9951" t="s">
        <v>32524</v>
      </c>
      <c r="O9951" t="s">
        <v>32525</v>
      </c>
      <c r="P9951">
        <v>0</v>
      </c>
      <c r="Q9951">
        <v>1</v>
      </c>
      <c r="R9951" t="s">
        <v>32539</v>
      </c>
      <c r="S9951" t="s">
        <v>33010</v>
      </c>
      <c r="T9951" t="s">
        <v>33406</v>
      </c>
      <c r="U9951" t="s">
        <v>41799</v>
      </c>
      <c r="W9951" t="s">
        <v>31022</v>
      </c>
      <c r="X9951" t="s">
        <v>32540</v>
      </c>
    </row>
    <row r="9952" spans="1:24">
      <c r="A9952">
        <f>HYPERLINK("https://www.philgeps.gov.ph/GEPSNONPILOT/Tender/SplashBidNoticeAbstractUI.aspx?menuIndex=3&amp;refID=7021691&amp;Result=3","7021691")</f>
        <v>0</v>
      </c>
      <c r="B9952" t="s">
        <v>1366</v>
      </c>
      <c r="C9952" t="s">
        <v>12210</v>
      </c>
      <c r="D9952" t="s">
        <v>13039</v>
      </c>
      <c r="E9952" t="s">
        <v>21740</v>
      </c>
      <c r="F9952" t="s">
        <v>22436</v>
      </c>
      <c r="G9952" t="s">
        <v>22444</v>
      </c>
      <c r="H9952" t="s">
        <v>22452</v>
      </c>
      <c r="I9952" t="s">
        <v>3827</v>
      </c>
      <c r="J9952" t="s">
        <v>28867</v>
      </c>
      <c r="K9952" t="s">
        <v>29335</v>
      </c>
      <c r="M9952" t="s">
        <v>31022</v>
      </c>
      <c r="N9952" t="s">
        <v>32524</v>
      </c>
      <c r="O9952" t="s">
        <v>32525</v>
      </c>
      <c r="P9952">
        <v>0</v>
      </c>
      <c r="Q9952">
        <v>8</v>
      </c>
      <c r="R9952" t="s">
        <v>32539</v>
      </c>
      <c r="S9952" t="s">
        <v>33010</v>
      </c>
      <c r="T9952" t="s">
        <v>33175</v>
      </c>
      <c r="U9952" t="s">
        <v>41801</v>
      </c>
      <c r="V9952" t="s">
        <v>43592</v>
      </c>
      <c r="W9952" t="s">
        <v>31022</v>
      </c>
      <c r="X9952" t="s">
        <v>32540</v>
      </c>
    </row>
    <row r="9953" spans="1:24">
      <c r="A9953">
        <f>HYPERLINK("https://www.philgeps.gov.ph/GEPSNONPILOT/Tender/SplashBidNoticeAbstractUI.aspx?menuIndex=3&amp;refID=7021833&amp;Result=3","7021833")</f>
        <v>0</v>
      </c>
      <c r="B9953" t="s">
        <v>1366</v>
      </c>
      <c r="C9953" t="s">
        <v>12211</v>
      </c>
      <c r="D9953" t="s">
        <v>13039</v>
      </c>
      <c r="E9953" t="s">
        <v>21741</v>
      </c>
      <c r="F9953" t="s">
        <v>22436</v>
      </c>
      <c r="G9953" t="s">
        <v>22447</v>
      </c>
      <c r="H9953" t="s">
        <v>22452</v>
      </c>
      <c r="I9953" t="s">
        <v>22502</v>
      </c>
      <c r="J9953" t="s">
        <v>28868</v>
      </c>
      <c r="K9953" t="s">
        <v>29335</v>
      </c>
      <c r="M9953" t="s">
        <v>31022</v>
      </c>
      <c r="N9953" t="s">
        <v>32524</v>
      </c>
      <c r="O9953" t="s">
        <v>32525</v>
      </c>
      <c r="P9953">
        <v>0</v>
      </c>
      <c r="Q9953">
        <v>3</v>
      </c>
      <c r="R9953" t="s">
        <v>32539</v>
      </c>
      <c r="S9953" t="s">
        <v>33010</v>
      </c>
      <c r="T9953" t="s">
        <v>33323</v>
      </c>
      <c r="U9953" t="s">
        <v>41799</v>
      </c>
      <c r="W9953" t="s">
        <v>31022</v>
      </c>
      <c r="X9953" t="s">
        <v>32540</v>
      </c>
    </row>
    <row r="9954" spans="1:24">
      <c r="A9954">
        <f>HYPERLINK("https://www.philgeps.gov.ph/GEPSNONPILOT/Tender/SplashBidNoticeAbstractUI.aspx?menuIndex=3&amp;refID=7021687&amp;Result=3","7021687")</f>
        <v>0</v>
      </c>
      <c r="B9954" t="s">
        <v>2590</v>
      </c>
      <c r="C9954" t="s">
        <v>12212</v>
      </c>
      <c r="D9954" t="s">
        <v>13017</v>
      </c>
      <c r="E9954" t="s">
        <v>21742</v>
      </c>
      <c r="F9954" t="s">
        <v>22436</v>
      </c>
      <c r="G9954" t="s">
        <v>22444</v>
      </c>
      <c r="H9954" t="s">
        <v>22452</v>
      </c>
      <c r="I9954" t="s">
        <v>22467</v>
      </c>
      <c r="J9954" t="s">
        <v>23599</v>
      </c>
      <c r="K9954" t="s">
        <v>29341</v>
      </c>
      <c r="M9954" t="s">
        <v>32414</v>
      </c>
      <c r="N9954" t="s">
        <v>32524</v>
      </c>
      <c r="O9954" t="s">
        <v>32525</v>
      </c>
      <c r="P9954">
        <v>0</v>
      </c>
      <c r="Q9954">
        <v>0</v>
      </c>
      <c r="R9954" t="s">
        <v>32539</v>
      </c>
      <c r="S9954" t="s">
        <v>33010</v>
      </c>
      <c r="T9954" t="s">
        <v>33173</v>
      </c>
      <c r="U9954" t="s">
        <v>41802</v>
      </c>
      <c r="W9954" t="s">
        <v>32414</v>
      </c>
      <c r="X9954" t="s">
        <v>32540</v>
      </c>
    </row>
    <row r="9955" spans="1:24">
      <c r="A9955">
        <f>HYPERLINK("https://www.philgeps.gov.ph/GEPSNONPILOT/Tender/SplashBidNoticeAbstractUI.aspx?menuIndex=3&amp;refID=7021715&amp;Result=3","7021715")</f>
        <v>0</v>
      </c>
      <c r="B9955" t="s">
        <v>2595</v>
      </c>
      <c r="C9955" t="s">
        <v>12213</v>
      </c>
      <c r="D9955" t="s">
        <v>12988</v>
      </c>
      <c r="E9955" t="s">
        <v>21743</v>
      </c>
      <c r="F9955" t="s">
        <v>22437</v>
      </c>
      <c r="G9955" t="s">
        <v>22444</v>
      </c>
      <c r="H9955" t="s">
        <v>22452</v>
      </c>
      <c r="I9955" t="s">
        <v>22547</v>
      </c>
      <c r="J9955" t="s">
        <v>28869</v>
      </c>
      <c r="K9955" t="s">
        <v>29338</v>
      </c>
      <c r="M9955" t="s">
        <v>32419</v>
      </c>
      <c r="N9955" t="s">
        <v>32524</v>
      </c>
      <c r="O9955" t="s">
        <v>32525</v>
      </c>
      <c r="P9955">
        <v>0</v>
      </c>
      <c r="Q9955">
        <v>0</v>
      </c>
      <c r="R9955" t="s">
        <v>32539</v>
      </c>
      <c r="S9955" t="s">
        <v>33010</v>
      </c>
      <c r="T9955" t="s">
        <v>33323</v>
      </c>
      <c r="U9955" t="s">
        <v>41803</v>
      </c>
      <c r="W9955" t="s">
        <v>32419</v>
      </c>
      <c r="X9955" t="s">
        <v>32540</v>
      </c>
    </row>
    <row r="9956" spans="1:24">
      <c r="A9956">
        <f>HYPERLINK("https://www.philgeps.gov.ph/GEPSNONPILOT/Tender/SplashBidNoticeAbstractUI.aspx?menuIndex=3&amp;refID=7021689&amp;Result=3","7021689")</f>
        <v>0</v>
      </c>
      <c r="B9956" t="s">
        <v>511</v>
      </c>
      <c r="C9956" t="s">
        <v>5960</v>
      </c>
      <c r="D9956" t="s">
        <v>13060</v>
      </c>
      <c r="E9956" t="s">
        <v>21744</v>
      </c>
      <c r="F9956" t="s">
        <v>22436</v>
      </c>
      <c r="G9956" t="s">
        <v>22444</v>
      </c>
      <c r="H9956" t="s">
        <v>22452</v>
      </c>
      <c r="I9956" t="s">
        <v>5194</v>
      </c>
      <c r="J9956" t="s">
        <v>28870</v>
      </c>
      <c r="K9956" t="s">
        <v>29335</v>
      </c>
      <c r="M9956" t="s">
        <v>31794</v>
      </c>
      <c r="N9956" t="s">
        <v>32524</v>
      </c>
      <c r="O9956" t="s">
        <v>32525</v>
      </c>
      <c r="P9956">
        <v>0</v>
      </c>
      <c r="Q9956">
        <v>3</v>
      </c>
      <c r="R9956" t="s">
        <v>32539</v>
      </c>
      <c r="S9956" t="s">
        <v>33010</v>
      </c>
      <c r="T9956" t="s">
        <v>33230</v>
      </c>
      <c r="U9956" t="s">
        <v>39177</v>
      </c>
      <c r="W9956" t="s">
        <v>31794</v>
      </c>
      <c r="X9956" t="s">
        <v>32540</v>
      </c>
    </row>
    <row r="9957" spans="1:24">
      <c r="A9957">
        <f>HYPERLINK("https://www.philgeps.gov.ph/GEPSNONPILOT/Tender/SplashBidNoticeAbstractUI.aspx?menuIndex=3&amp;refID=7021684&amp;Result=3","7021684")</f>
        <v>0</v>
      </c>
      <c r="B9957" t="s">
        <v>1366</v>
      </c>
      <c r="C9957" t="s">
        <v>12214</v>
      </c>
      <c r="D9957" t="s">
        <v>13039</v>
      </c>
      <c r="E9957" t="s">
        <v>21745</v>
      </c>
      <c r="F9957" t="s">
        <v>22436</v>
      </c>
      <c r="G9957" t="s">
        <v>22444</v>
      </c>
      <c r="H9957" t="s">
        <v>22452</v>
      </c>
      <c r="I9957" t="s">
        <v>3827</v>
      </c>
      <c r="J9957" t="s">
        <v>28871</v>
      </c>
      <c r="K9957" t="s">
        <v>29335</v>
      </c>
      <c r="M9957" t="s">
        <v>31022</v>
      </c>
      <c r="N9957" t="s">
        <v>32524</v>
      </c>
      <c r="O9957" t="s">
        <v>32525</v>
      </c>
      <c r="P9957">
        <v>0</v>
      </c>
      <c r="Q9957">
        <v>0</v>
      </c>
      <c r="R9957" t="s">
        <v>32539</v>
      </c>
      <c r="S9957" t="s">
        <v>33010</v>
      </c>
      <c r="T9957" t="s">
        <v>33411</v>
      </c>
      <c r="U9957" t="s">
        <v>41804</v>
      </c>
      <c r="V9957" t="s">
        <v>43593</v>
      </c>
      <c r="W9957" t="s">
        <v>31022</v>
      </c>
      <c r="X9957" t="s">
        <v>32540</v>
      </c>
    </row>
    <row r="9958" spans="1:24">
      <c r="A9958">
        <f>HYPERLINK("https://www.philgeps.gov.ph/GEPSNONPILOT/Tender/SplashBidNoticeAbstractUI.aspx?menuIndex=3&amp;refID=7021702&amp;Result=3","7021702")</f>
        <v>0</v>
      </c>
      <c r="B9958" t="s">
        <v>2511</v>
      </c>
      <c r="C9958" t="s">
        <v>12215</v>
      </c>
      <c r="E9958" t="s">
        <v>20644</v>
      </c>
      <c r="F9958" t="s">
        <v>22436</v>
      </c>
      <c r="G9958" t="s">
        <v>22444</v>
      </c>
      <c r="H9958" t="s">
        <v>22452</v>
      </c>
      <c r="I9958" t="s">
        <v>22455</v>
      </c>
      <c r="J9958" t="s">
        <v>22788</v>
      </c>
      <c r="K9958" t="s">
        <v>29426</v>
      </c>
      <c r="M9958" t="s">
        <v>32318</v>
      </c>
      <c r="N9958" t="s">
        <v>32524</v>
      </c>
      <c r="O9958" t="s">
        <v>32525</v>
      </c>
      <c r="P9958">
        <v>0</v>
      </c>
      <c r="Q9958">
        <v>3</v>
      </c>
      <c r="R9958" t="s">
        <v>32539</v>
      </c>
      <c r="S9958" t="s">
        <v>33010</v>
      </c>
      <c r="T9958" t="s">
        <v>33245</v>
      </c>
      <c r="U9958" t="s">
        <v>41805</v>
      </c>
      <c r="W9958" t="s">
        <v>32318</v>
      </c>
      <c r="X9958" t="s">
        <v>32540</v>
      </c>
    </row>
    <row r="9959" spans="1:24">
      <c r="A9959">
        <f>HYPERLINK("https://www.philgeps.gov.ph/GEPSNONPILOT/Tender/SplashBidNoticeAbstractUI.aspx?menuIndex=3&amp;refID=7021881&amp;Result=3","7021881")</f>
        <v>0</v>
      </c>
      <c r="B9959" t="s">
        <v>2596</v>
      </c>
      <c r="C9959" t="s">
        <v>12216</v>
      </c>
      <c r="D9959" t="s">
        <v>12988</v>
      </c>
      <c r="E9959" t="s">
        <v>21746</v>
      </c>
      <c r="F9959" t="s">
        <v>22437</v>
      </c>
      <c r="G9959" t="s">
        <v>22444</v>
      </c>
      <c r="H9959" t="s">
        <v>22452</v>
      </c>
      <c r="I9959" t="s">
        <v>22504</v>
      </c>
      <c r="J9959" t="s">
        <v>28872</v>
      </c>
      <c r="K9959" t="s">
        <v>29330</v>
      </c>
      <c r="M9959" t="s">
        <v>32420</v>
      </c>
      <c r="N9959" t="s">
        <v>32524</v>
      </c>
      <c r="O9959" t="s">
        <v>32525</v>
      </c>
      <c r="P9959">
        <v>0</v>
      </c>
      <c r="Q9959">
        <v>3</v>
      </c>
      <c r="R9959" t="s">
        <v>32539</v>
      </c>
      <c r="S9959" t="s">
        <v>33010</v>
      </c>
      <c r="T9959" t="s">
        <v>33328</v>
      </c>
      <c r="U9959" t="s">
        <v>41806</v>
      </c>
      <c r="W9959" t="s">
        <v>32420</v>
      </c>
      <c r="X9959" t="s">
        <v>32540</v>
      </c>
    </row>
    <row r="9960" spans="1:24">
      <c r="A9960">
        <f>HYPERLINK("https://www.philgeps.gov.ph/GEPSNONPILOT/Tender/SplashBidNoticeAbstractUI.aspx?menuIndex=3&amp;refID=7021888&amp;Result=3","7021888")</f>
        <v>0</v>
      </c>
      <c r="B9960" t="s">
        <v>1244</v>
      </c>
      <c r="C9960" t="s">
        <v>12217</v>
      </c>
      <c r="E9960" t="s">
        <v>21747</v>
      </c>
      <c r="F9960" t="s">
        <v>22436</v>
      </c>
      <c r="G9960" t="s">
        <v>22444</v>
      </c>
      <c r="H9960" t="s">
        <v>22452</v>
      </c>
      <c r="I9960" t="s">
        <v>22518</v>
      </c>
      <c r="J9960" t="s">
        <v>28873</v>
      </c>
      <c r="K9960" t="s">
        <v>29338</v>
      </c>
      <c r="M9960" t="s">
        <v>30896</v>
      </c>
      <c r="N9960" t="s">
        <v>32524</v>
      </c>
      <c r="O9960" t="s">
        <v>32525</v>
      </c>
      <c r="P9960">
        <v>0</v>
      </c>
      <c r="Q9960">
        <v>11</v>
      </c>
      <c r="R9960" t="s">
        <v>32539</v>
      </c>
      <c r="S9960" t="s">
        <v>33010</v>
      </c>
      <c r="T9960" t="s">
        <v>33181</v>
      </c>
      <c r="U9960" t="s">
        <v>41807</v>
      </c>
      <c r="V9960" t="s">
        <v>43594</v>
      </c>
      <c r="W9960" t="s">
        <v>30896</v>
      </c>
      <c r="X9960" t="s">
        <v>32540</v>
      </c>
    </row>
    <row r="9961" spans="1:24">
      <c r="A9961">
        <f>HYPERLINK("https://www.philgeps.gov.ph/GEPSNONPILOT/Tender/SplashBidNoticeAbstractUI.aspx?menuIndex=3&amp;refID=7021836&amp;Result=3","7021836")</f>
        <v>0</v>
      </c>
      <c r="B9961" t="s">
        <v>2591</v>
      </c>
      <c r="C9961" t="s">
        <v>12218</v>
      </c>
      <c r="D9961" t="s">
        <v>13029</v>
      </c>
      <c r="E9961" t="s">
        <v>21748</v>
      </c>
      <c r="F9961" t="s">
        <v>22436</v>
      </c>
      <c r="G9961" t="s">
        <v>22444</v>
      </c>
      <c r="H9961" t="s">
        <v>22454</v>
      </c>
      <c r="I9961" t="s">
        <v>7738</v>
      </c>
      <c r="J9961" t="s">
        <v>23202</v>
      </c>
      <c r="K9961" t="s">
        <v>29333</v>
      </c>
      <c r="M9961" t="s">
        <v>32415</v>
      </c>
      <c r="N9961" t="s">
        <v>32524</v>
      </c>
      <c r="O9961" t="s">
        <v>32525</v>
      </c>
      <c r="P9961">
        <v>0</v>
      </c>
      <c r="Q9961">
        <v>0</v>
      </c>
      <c r="R9961" t="s">
        <v>32539</v>
      </c>
      <c r="S9961" t="s">
        <v>33010</v>
      </c>
      <c r="T9961" t="s">
        <v>33212</v>
      </c>
      <c r="U9961" t="s">
        <v>41808</v>
      </c>
      <c r="W9961" t="s">
        <v>32415</v>
      </c>
      <c r="X9961" t="s">
        <v>32540</v>
      </c>
    </row>
    <row r="9962" spans="1:24">
      <c r="A9962">
        <f>HYPERLINK("https://www.philgeps.gov.ph/GEPSNONPILOT/Tender/SplashBidNoticeAbstractUI.aspx?menuIndex=3&amp;refID=7021844&amp;Result=3","7021844")</f>
        <v>0</v>
      </c>
      <c r="B9962" t="s">
        <v>2597</v>
      </c>
      <c r="C9962" t="s">
        <v>12219</v>
      </c>
      <c r="E9962" t="s">
        <v>21749</v>
      </c>
      <c r="F9962" t="s">
        <v>22436</v>
      </c>
      <c r="G9962" t="s">
        <v>22444</v>
      </c>
      <c r="H9962" t="s">
        <v>22452</v>
      </c>
      <c r="I9962" t="s">
        <v>7738</v>
      </c>
      <c r="J9962" t="s">
        <v>28874</v>
      </c>
      <c r="K9962" t="s">
        <v>29338</v>
      </c>
      <c r="M9962" t="s">
        <v>32421</v>
      </c>
      <c r="N9962" t="s">
        <v>32524</v>
      </c>
      <c r="O9962" t="s">
        <v>32525</v>
      </c>
      <c r="P9962">
        <v>0</v>
      </c>
      <c r="Q9962">
        <v>0</v>
      </c>
      <c r="R9962" t="s">
        <v>32539</v>
      </c>
      <c r="S9962" t="s">
        <v>33010</v>
      </c>
      <c r="T9962" t="s">
        <v>33296</v>
      </c>
      <c r="U9962" t="s">
        <v>36676</v>
      </c>
      <c r="W9962" t="s">
        <v>32421</v>
      </c>
      <c r="X9962" t="s">
        <v>32540</v>
      </c>
    </row>
    <row r="9963" spans="1:24">
      <c r="A9963">
        <f>HYPERLINK("https://www.philgeps.gov.ph/GEPSNONPILOT/Tender/SplashBidNoticeAbstractUI.aspx?menuIndex=3&amp;refID=7021846&amp;Result=3","7021846")</f>
        <v>0</v>
      </c>
      <c r="B9963" t="s">
        <v>2591</v>
      </c>
      <c r="C9963" t="s">
        <v>12220</v>
      </c>
      <c r="D9963" t="s">
        <v>13029</v>
      </c>
      <c r="E9963" t="s">
        <v>21750</v>
      </c>
      <c r="F9963" t="s">
        <v>22436</v>
      </c>
      <c r="G9963" t="s">
        <v>22444</v>
      </c>
      <c r="H9963" t="s">
        <v>22454</v>
      </c>
      <c r="I9963" t="s">
        <v>7738</v>
      </c>
      <c r="J9963" t="s">
        <v>24049</v>
      </c>
      <c r="K9963" t="s">
        <v>29401</v>
      </c>
      <c r="M9963" t="s">
        <v>32415</v>
      </c>
      <c r="N9963" t="s">
        <v>32524</v>
      </c>
      <c r="O9963" t="s">
        <v>32525</v>
      </c>
      <c r="P9963">
        <v>0</v>
      </c>
      <c r="Q9963">
        <v>0</v>
      </c>
      <c r="R9963" t="s">
        <v>32539</v>
      </c>
      <c r="S9963" t="s">
        <v>33010</v>
      </c>
      <c r="T9963" t="s">
        <v>33212</v>
      </c>
      <c r="U9963" t="s">
        <v>41809</v>
      </c>
      <c r="W9963" t="s">
        <v>32415</v>
      </c>
      <c r="X9963" t="s">
        <v>32540</v>
      </c>
    </row>
    <row r="9964" spans="1:24">
      <c r="A9964">
        <f>HYPERLINK("https://www.philgeps.gov.ph/GEPSNONPILOT/Tender/SplashBidNoticeAbstractUI.aspx?menuIndex=3&amp;refID=7021928&amp;Result=3","7021928")</f>
        <v>0</v>
      </c>
      <c r="B9964" t="s">
        <v>2596</v>
      </c>
      <c r="C9964" t="s">
        <v>12221</v>
      </c>
      <c r="D9964" t="s">
        <v>12988</v>
      </c>
      <c r="E9964" t="s">
        <v>21751</v>
      </c>
      <c r="F9964" t="s">
        <v>22437</v>
      </c>
      <c r="G9964" t="s">
        <v>22444</v>
      </c>
      <c r="H9964" t="s">
        <v>22452</v>
      </c>
      <c r="I9964" t="s">
        <v>22504</v>
      </c>
      <c r="J9964" t="s">
        <v>28875</v>
      </c>
      <c r="K9964" t="s">
        <v>29330</v>
      </c>
      <c r="M9964" t="s">
        <v>32420</v>
      </c>
      <c r="N9964" t="s">
        <v>32524</v>
      </c>
      <c r="O9964" t="s">
        <v>32525</v>
      </c>
      <c r="P9964">
        <v>0</v>
      </c>
      <c r="Q9964">
        <v>3</v>
      </c>
      <c r="R9964" t="s">
        <v>32539</v>
      </c>
      <c r="S9964" t="s">
        <v>33010</v>
      </c>
      <c r="T9964" t="s">
        <v>33328</v>
      </c>
      <c r="U9964" t="s">
        <v>41810</v>
      </c>
      <c r="W9964" t="s">
        <v>32420</v>
      </c>
      <c r="X9964" t="s">
        <v>32540</v>
      </c>
    </row>
    <row r="9965" spans="1:24">
      <c r="A9965">
        <f>HYPERLINK("https://www.philgeps.gov.ph/GEPSNONPILOT/Tender/SplashBidNoticeAbstractUI.aspx?menuIndex=3&amp;refID=7021921&amp;Result=3","7021921")</f>
        <v>0</v>
      </c>
      <c r="B9965" t="s">
        <v>2598</v>
      </c>
      <c r="C9965" t="s">
        <v>12222</v>
      </c>
      <c r="D9965" t="s">
        <v>13022</v>
      </c>
      <c r="E9965" t="s">
        <v>21752</v>
      </c>
      <c r="F9965" t="s">
        <v>22436</v>
      </c>
      <c r="G9965" t="s">
        <v>22444</v>
      </c>
      <c r="H9965" t="s">
        <v>22454</v>
      </c>
      <c r="I9965" t="s">
        <v>7738</v>
      </c>
      <c r="J9965" t="s">
        <v>28876</v>
      </c>
      <c r="K9965" t="s">
        <v>29344</v>
      </c>
      <c r="M9965" t="s">
        <v>32422</v>
      </c>
      <c r="N9965" t="s">
        <v>32524</v>
      </c>
      <c r="O9965" t="s">
        <v>32525</v>
      </c>
      <c r="Q9965">
        <v>22</v>
      </c>
      <c r="R9965" t="s">
        <v>32539</v>
      </c>
      <c r="S9965" t="s">
        <v>33028</v>
      </c>
      <c r="T9965" t="s">
        <v>33168</v>
      </c>
      <c r="U9965" t="s">
        <v>41811</v>
      </c>
      <c r="W9965" t="s">
        <v>32422</v>
      </c>
      <c r="X9965" t="s">
        <v>32540</v>
      </c>
    </row>
    <row r="9966" spans="1:24">
      <c r="A9966">
        <f>HYPERLINK("https://www.philgeps.gov.ph/GEPSNONPILOT/Tender/SplashBidNoticeAbstractUI.aspx?menuIndex=3&amp;refID=7021841&amp;Result=3","7021841")</f>
        <v>0</v>
      </c>
      <c r="B9966" t="s">
        <v>464</v>
      </c>
      <c r="C9966" t="s">
        <v>12223</v>
      </c>
      <c r="D9966" t="s">
        <v>12994</v>
      </c>
      <c r="E9966" t="s">
        <v>21753</v>
      </c>
      <c r="F9966" t="s">
        <v>22436</v>
      </c>
      <c r="G9966" t="s">
        <v>22444</v>
      </c>
      <c r="H9966" t="s">
        <v>22452</v>
      </c>
      <c r="I9966" t="s">
        <v>22469</v>
      </c>
      <c r="J9966" t="s">
        <v>24887</v>
      </c>
      <c r="K9966" t="s">
        <v>29337</v>
      </c>
      <c r="M9966" t="s">
        <v>30046</v>
      </c>
      <c r="N9966" t="s">
        <v>32524</v>
      </c>
      <c r="O9966" t="s">
        <v>32525</v>
      </c>
      <c r="Q9966">
        <v>24</v>
      </c>
      <c r="R9966" t="s">
        <v>32539</v>
      </c>
      <c r="S9966" t="s">
        <v>33029</v>
      </c>
      <c r="T9966" t="s">
        <v>33252</v>
      </c>
      <c r="U9966" t="s">
        <v>41812</v>
      </c>
      <c r="W9966" t="s">
        <v>30046</v>
      </c>
      <c r="X9966" t="s">
        <v>32540</v>
      </c>
    </row>
    <row r="9967" spans="1:24">
      <c r="A9967">
        <f>HYPERLINK("https://www.philgeps.gov.ph/GEPSNONPILOT/Tender/SplashBidNoticeAbstractUI.aspx?menuIndex=3&amp;refID=7021845&amp;Result=3","7021845")</f>
        <v>0</v>
      </c>
      <c r="B9967" t="s">
        <v>351</v>
      </c>
      <c r="C9967" t="s">
        <v>12224</v>
      </c>
      <c r="D9967" t="s">
        <v>12996</v>
      </c>
      <c r="E9967" t="s">
        <v>21754</v>
      </c>
      <c r="F9967" t="s">
        <v>22436</v>
      </c>
      <c r="G9967" t="s">
        <v>22444</v>
      </c>
      <c r="H9967" t="s">
        <v>22454</v>
      </c>
      <c r="I9967" t="s">
        <v>7738</v>
      </c>
      <c r="J9967" t="s">
        <v>28877</v>
      </c>
      <c r="K9967" t="s">
        <v>29391</v>
      </c>
      <c r="M9967" t="s">
        <v>29928</v>
      </c>
      <c r="N9967" t="s">
        <v>32524</v>
      </c>
      <c r="O9967" t="s">
        <v>32525</v>
      </c>
      <c r="P9967">
        <v>0</v>
      </c>
      <c r="Q9967">
        <v>1</v>
      </c>
      <c r="R9967" t="s">
        <v>32539</v>
      </c>
      <c r="S9967" t="s">
        <v>33010</v>
      </c>
      <c r="T9967" t="s">
        <v>33173</v>
      </c>
      <c r="U9967" t="s">
        <v>41813</v>
      </c>
      <c r="W9967" t="s">
        <v>29928</v>
      </c>
      <c r="X9967" t="s">
        <v>32540</v>
      </c>
    </row>
    <row r="9968" spans="1:24">
      <c r="A9968">
        <f>HYPERLINK("https://www.philgeps.gov.ph/GEPSNONPILOT/Tender/SplashBidNoticeAbstractUI.aspx?menuIndex=3&amp;refID=7021906&amp;Result=3","7021906")</f>
        <v>0</v>
      </c>
      <c r="B9968" t="s">
        <v>2599</v>
      </c>
      <c r="C9968" t="s">
        <v>12225</v>
      </c>
      <c r="D9968" t="s">
        <v>13039</v>
      </c>
      <c r="E9968" t="s">
        <v>21755</v>
      </c>
      <c r="F9968" t="s">
        <v>22436</v>
      </c>
      <c r="G9968" t="s">
        <v>22444</v>
      </c>
      <c r="H9968" t="s">
        <v>22452</v>
      </c>
      <c r="I9968" t="s">
        <v>22488</v>
      </c>
      <c r="J9968" t="s">
        <v>23278</v>
      </c>
      <c r="K9968" t="s">
        <v>29338</v>
      </c>
      <c r="M9968" t="s">
        <v>32423</v>
      </c>
      <c r="N9968" t="s">
        <v>32524</v>
      </c>
      <c r="O9968" t="s">
        <v>32525</v>
      </c>
      <c r="P9968">
        <v>0</v>
      </c>
      <c r="Q9968">
        <v>0</v>
      </c>
      <c r="R9968" t="s">
        <v>32539</v>
      </c>
      <c r="S9968" t="s">
        <v>33010</v>
      </c>
      <c r="T9968" t="s">
        <v>33242</v>
      </c>
      <c r="U9968" t="s">
        <v>41814</v>
      </c>
      <c r="W9968" t="s">
        <v>32423</v>
      </c>
      <c r="X9968" t="s">
        <v>32540</v>
      </c>
    </row>
    <row r="9969" spans="1:24">
      <c r="A9969">
        <f>HYPERLINK("https://www.philgeps.gov.ph/GEPSNONPILOT/Tender/SplashBidNoticeAbstractUI.aspx?menuIndex=3&amp;refID=7021904&amp;Result=3","7021904")</f>
        <v>0</v>
      </c>
      <c r="B9969" t="s">
        <v>2271</v>
      </c>
      <c r="C9969" t="s">
        <v>12226</v>
      </c>
      <c r="D9969" t="s">
        <v>13022</v>
      </c>
      <c r="E9969" t="s">
        <v>21756</v>
      </c>
      <c r="F9969" t="s">
        <v>22436</v>
      </c>
      <c r="G9969" t="s">
        <v>22444</v>
      </c>
      <c r="H9969" t="s">
        <v>22454</v>
      </c>
      <c r="I9969" t="s">
        <v>7738</v>
      </c>
      <c r="J9969" t="s">
        <v>28878</v>
      </c>
      <c r="K9969" t="s">
        <v>29438</v>
      </c>
      <c r="M9969" t="s">
        <v>32042</v>
      </c>
      <c r="N9969" t="s">
        <v>32524</v>
      </c>
      <c r="O9969" t="s">
        <v>32525</v>
      </c>
      <c r="P9969">
        <v>0</v>
      </c>
      <c r="Q9969">
        <v>1</v>
      </c>
      <c r="R9969" t="s">
        <v>32539</v>
      </c>
      <c r="S9969" t="s">
        <v>33010</v>
      </c>
      <c r="T9969" t="s">
        <v>33379</v>
      </c>
      <c r="U9969" t="s">
        <v>41815</v>
      </c>
      <c r="V9969" t="s">
        <v>43595</v>
      </c>
      <c r="W9969" t="s">
        <v>32042</v>
      </c>
      <c r="X9969" t="s">
        <v>32540</v>
      </c>
    </row>
    <row r="9970" spans="1:24">
      <c r="A9970">
        <f>HYPERLINK("https://www.philgeps.gov.ph/GEPSNONPILOT/Tender/SplashBidNoticeAbstractUI.aspx?menuIndex=3&amp;refID=7021914&amp;Result=3","7021914")</f>
        <v>0</v>
      </c>
      <c r="B9970" t="s">
        <v>2600</v>
      </c>
      <c r="C9970" t="s">
        <v>9920</v>
      </c>
      <c r="D9970" t="s">
        <v>13068</v>
      </c>
      <c r="E9970" t="s">
        <v>21757</v>
      </c>
      <c r="F9970" t="s">
        <v>22436</v>
      </c>
      <c r="G9970" t="s">
        <v>22444</v>
      </c>
      <c r="H9970" t="s">
        <v>22454</v>
      </c>
      <c r="I9970" t="s">
        <v>3529</v>
      </c>
      <c r="J9970" t="s">
        <v>28879</v>
      </c>
      <c r="K9970" t="s">
        <v>29335</v>
      </c>
      <c r="M9970" t="s">
        <v>32424</v>
      </c>
      <c r="N9970" t="s">
        <v>32524</v>
      </c>
      <c r="O9970" t="s">
        <v>32525</v>
      </c>
      <c r="P9970">
        <v>0</v>
      </c>
      <c r="Q9970">
        <v>0</v>
      </c>
      <c r="R9970" t="s">
        <v>32539</v>
      </c>
      <c r="S9970" t="s">
        <v>33010</v>
      </c>
      <c r="T9970" t="s">
        <v>33235</v>
      </c>
      <c r="U9970" t="s">
        <v>41816</v>
      </c>
      <c r="V9970" t="s">
        <v>43358</v>
      </c>
      <c r="W9970" t="s">
        <v>32424</v>
      </c>
      <c r="X9970" t="s">
        <v>32540</v>
      </c>
    </row>
    <row r="9971" spans="1:24">
      <c r="A9971">
        <f>HYPERLINK("https://www.philgeps.gov.ph/GEPSNONPILOT/Tender/SplashBidNoticeAbstractUI.aspx?menuIndex=3&amp;refID=7021932&amp;Result=3","7021932")</f>
        <v>0</v>
      </c>
      <c r="B9971" t="s">
        <v>1379</v>
      </c>
      <c r="C9971" t="s">
        <v>12227</v>
      </c>
      <c r="D9971" t="s">
        <v>13010</v>
      </c>
      <c r="E9971" t="s">
        <v>21758</v>
      </c>
      <c r="F9971" t="s">
        <v>22436</v>
      </c>
      <c r="G9971" t="s">
        <v>22444</v>
      </c>
      <c r="H9971" t="s">
        <v>22454</v>
      </c>
      <c r="I9971" t="s">
        <v>7738</v>
      </c>
      <c r="J9971" t="s">
        <v>22779</v>
      </c>
      <c r="K9971" t="s">
        <v>29430</v>
      </c>
      <c r="M9971" t="s">
        <v>31035</v>
      </c>
      <c r="N9971" t="s">
        <v>32524</v>
      </c>
      <c r="O9971" t="s">
        <v>32525</v>
      </c>
      <c r="P9971">
        <v>0</v>
      </c>
      <c r="Q9971">
        <v>1</v>
      </c>
      <c r="R9971" t="s">
        <v>32539</v>
      </c>
      <c r="S9971" t="s">
        <v>33010</v>
      </c>
      <c r="T9971" t="s">
        <v>33230</v>
      </c>
      <c r="U9971" t="s">
        <v>41817</v>
      </c>
      <c r="W9971" t="s">
        <v>31035</v>
      </c>
      <c r="X9971" t="s">
        <v>32540</v>
      </c>
    </row>
    <row r="9972" spans="1:24">
      <c r="A9972">
        <f>HYPERLINK("https://www.philgeps.gov.ph/GEPSNONPILOT/Tender/SplashBidNoticeAbstractUI.aspx?menuIndex=3&amp;refID=7021899&amp;Result=3","7021899")</f>
        <v>0</v>
      </c>
      <c r="B9972" t="s">
        <v>1366</v>
      </c>
      <c r="C9972" t="s">
        <v>12228</v>
      </c>
      <c r="D9972" t="s">
        <v>13039</v>
      </c>
      <c r="E9972" t="s">
        <v>21759</v>
      </c>
      <c r="F9972" t="s">
        <v>22436</v>
      </c>
      <c r="G9972" t="s">
        <v>22447</v>
      </c>
      <c r="H9972" t="s">
        <v>22452</v>
      </c>
      <c r="I9972" t="s">
        <v>22502</v>
      </c>
      <c r="J9972" t="s">
        <v>28880</v>
      </c>
      <c r="K9972" t="s">
        <v>29335</v>
      </c>
      <c r="M9972" t="s">
        <v>31022</v>
      </c>
      <c r="N9972" t="s">
        <v>32524</v>
      </c>
      <c r="O9972" t="s">
        <v>32525</v>
      </c>
      <c r="P9972">
        <v>0</v>
      </c>
      <c r="Q9972">
        <v>4</v>
      </c>
      <c r="R9972" t="s">
        <v>32539</v>
      </c>
      <c r="S9972" t="s">
        <v>33010</v>
      </c>
      <c r="T9972" t="s">
        <v>33492</v>
      </c>
      <c r="U9972" t="s">
        <v>41799</v>
      </c>
      <c r="W9972" t="s">
        <v>31022</v>
      </c>
      <c r="X9972" t="s">
        <v>32540</v>
      </c>
    </row>
    <row r="9973" spans="1:24">
      <c r="A9973">
        <f>HYPERLINK("https://www.philgeps.gov.ph/GEPSNONPILOT/Tender/SplashBidNoticeAbstractUI.aspx?menuIndex=3&amp;refID=7021875&amp;Result=3","7021875")</f>
        <v>0</v>
      </c>
      <c r="B9973" t="s">
        <v>1379</v>
      </c>
      <c r="C9973" t="s">
        <v>12229</v>
      </c>
      <c r="D9973" t="s">
        <v>13010</v>
      </c>
      <c r="E9973" t="s">
        <v>21760</v>
      </c>
      <c r="F9973" t="s">
        <v>22436</v>
      </c>
      <c r="G9973" t="s">
        <v>22444</v>
      </c>
      <c r="H9973" t="s">
        <v>22454</v>
      </c>
      <c r="I9973" t="s">
        <v>7738</v>
      </c>
      <c r="J9973" t="s">
        <v>23347</v>
      </c>
      <c r="K9973" t="s">
        <v>29423</v>
      </c>
      <c r="M9973" t="s">
        <v>31035</v>
      </c>
      <c r="N9973" t="s">
        <v>32524</v>
      </c>
      <c r="O9973" t="s">
        <v>32525</v>
      </c>
      <c r="P9973">
        <v>0</v>
      </c>
      <c r="Q9973">
        <v>2</v>
      </c>
      <c r="R9973" t="s">
        <v>32539</v>
      </c>
      <c r="S9973" t="s">
        <v>33010</v>
      </c>
      <c r="T9973" t="s">
        <v>33230</v>
      </c>
      <c r="U9973" t="s">
        <v>41818</v>
      </c>
      <c r="W9973" t="s">
        <v>31035</v>
      </c>
      <c r="X9973" t="s">
        <v>32540</v>
      </c>
    </row>
    <row r="9974" spans="1:24">
      <c r="A9974">
        <f>HYPERLINK("https://www.philgeps.gov.ph/GEPSNONPILOT/Tender/SplashBidNoticeAbstractUI.aspx?menuIndex=3&amp;refID=7021898&amp;Result=3","7021898")</f>
        <v>0</v>
      </c>
      <c r="B9974" t="s">
        <v>1379</v>
      </c>
      <c r="C9974" t="s">
        <v>12230</v>
      </c>
      <c r="D9974" t="s">
        <v>13010</v>
      </c>
      <c r="E9974" t="s">
        <v>21761</v>
      </c>
      <c r="F9974" t="s">
        <v>22436</v>
      </c>
      <c r="G9974" t="s">
        <v>22444</v>
      </c>
      <c r="H9974" t="s">
        <v>22454</v>
      </c>
      <c r="I9974" t="s">
        <v>7738</v>
      </c>
      <c r="J9974" t="s">
        <v>23384</v>
      </c>
      <c r="K9974" t="s">
        <v>29423</v>
      </c>
      <c r="M9974" t="s">
        <v>31035</v>
      </c>
      <c r="N9974" t="s">
        <v>32524</v>
      </c>
      <c r="O9974" t="s">
        <v>32525</v>
      </c>
      <c r="Q9974">
        <v>1</v>
      </c>
      <c r="R9974" t="s">
        <v>32539</v>
      </c>
      <c r="S9974" t="s">
        <v>32909</v>
      </c>
      <c r="T9974" t="s">
        <v>33230</v>
      </c>
      <c r="U9974" t="s">
        <v>41817</v>
      </c>
      <c r="W9974" t="s">
        <v>31035</v>
      </c>
      <c r="X9974" t="s">
        <v>32540</v>
      </c>
    </row>
    <row r="9975" spans="1:24">
      <c r="A9975">
        <f>HYPERLINK("https://www.philgeps.gov.ph/GEPSNONPILOT/Tender/SplashBidNoticeAbstractUI.aspx?menuIndex=3&amp;refID=7021933&amp;Result=3","7021933")</f>
        <v>0</v>
      </c>
      <c r="B9975" t="s">
        <v>1366</v>
      </c>
      <c r="C9975" t="s">
        <v>12231</v>
      </c>
      <c r="D9975" t="s">
        <v>13039</v>
      </c>
      <c r="E9975" t="s">
        <v>21762</v>
      </c>
      <c r="F9975" t="s">
        <v>22436</v>
      </c>
      <c r="G9975" t="s">
        <v>22447</v>
      </c>
      <c r="H9975" t="s">
        <v>22452</v>
      </c>
      <c r="I9975" t="s">
        <v>3840</v>
      </c>
      <c r="J9975" t="s">
        <v>28881</v>
      </c>
      <c r="K9975" t="s">
        <v>29335</v>
      </c>
      <c r="M9975" t="s">
        <v>31022</v>
      </c>
      <c r="N9975" t="s">
        <v>32524</v>
      </c>
      <c r="O9975" t="s">
        <v>32525</v>
      </c>
      <c r="P9975">
        <v>0</v>
      </c>
      <c r="Q9975">
        <v>0</v>
      </c>
      <c r="R9975" t="s">
        <v>32539</v>
      </c>
      <c r="S9975" t="s">
        <v>33010</v>
      </c>
      <c r="T9975" t="s">
        <v>33328</v>
      </c>
      <c r="U9975" t="s">
        <v>41799</v>
      </c>
      <c r="W9975" t="s">
        <v>31022</v>
      </c>
      <c r="X9975" t="s">
        <v>32540</v>
      </c>
    </row>
    <row r="9976" spans="1:24">
      <c r="A9976">
        <f>HYPERLINK("https://www.philgeps.gov.ph/GEPSNONPILOT/Tender/SplashBidNoticeAbstractUI.aspx?menuIndex=3&amp;refID=7021867&amp;Result=3","7021867")</f>
        <v>0</v>
      </c>
      <c r="B9976" t="s">
        <v>351</v>
      </c>
      <c r="C9976" t="s">
        <v>12232</v>
      </c>
      <c r="D9976" t="s">
        <v>12996</v>
      </c>
      <c r="E9976" t="s">
        <v>21763</v>
      </c>
      <c r="F9976" t="s">
        <v>22436</v>
      </c>
      <c r="G9976" t="s">
        <v>22444</v>
      </c>
      <c r="H9976" t="s">
        <v>22454</v>
      </c>
      <c r="I9976" t="s">
        <v>7738</v>
      </c>
      <c r="J9976" t="s">
        <v>22634</v>
      </c>
      <c r="K9976" t="s">
        <v>29391</v>
      </c>
      <c r="M9976" t="s">
        <v>29928</v>
      </c>
      <c r="N9976" t="s">
        <v>32524</v>
      </c>
      <c r="O9976" t="s">
        <v>32525</v>
      </c>
      <c r="P9976">
        <v>0</v>
      </c>
      <c r="Q9976">
        <v>1</v>
      </c>
      <c r="R9976" t="s">
        <v>32539</v>
      </c>
      <c r="S9976" t="s">
        <v>33010</v>
      </c>
      <c r="T9976" t="s">
        <v>33173</v>
      </c>
      <c r="U9976" t="s">
        <v>41819</v>
      </c>
      <c r="W9976" t="s">
        <v>29928</v>
      </c>
      <c r="X9976" t="s">
        <v>32540</v>
      </c>
    </row>
    <row r="9977" spans="1:24">
      <c r="A9977">
        <f>HYPERLINK("https://www.philgeps.gov.ph/GEPSNONPILOT/Tender/SplashBidNoticeAbstractUI.aspx?menuIndex=3&amp;refID=7021941&amp;Result=3","7021941")</f>
        <v>0</v>
      </c>
      <c r="B9977" t="s">
        <v>1826</v>
      </c>
      <c r="C9977" t="s">
        <v>12233</v>
      </c>
      <c r="D9977" t="s">
        <v>13046</v>
      </c>
      <c r="E9977" t="s">
        <v>21764</v>
      </c>
      <c r="F9977" t="s">
        <v>22437</v>
      </c>
      <c r="G9977" t="s">
        <v>22444</v>
      </c>
      <c r="H9977" t="s">
        <v>22452</v>
      </c>
      <c r="I9977" t="s">
        <v>3529</v>
      </c>
      <c r="J9977" t="s">
        <v>28882</v>
      </c>
      <c r="K9977" t="s">
        <v>29341</v>
      </c>
      <c r="M9977" t="s">
        <v>31541</v>
      </c>
      <c r="N9977" t="s">
        <v>32524</v>
      </c>
      <c r="O9977" t="s">
        <v>32525</v>
      </c>
      <c r="P9977">
        <v>0</v>
      </c>
      <c r="Q9977">
        <v>0</v>
      </c>
      <c r="R9977" t="s">
        <v>32539</v>
      </c>
      <c r="S9977" t="s">
        <v>33010</v>
      </c>
      <c r="T9977" t="s">
        <v>33323</v>
      </c>
      <c r="U9977" t="s">
        <v>41820</v>
      </c>
      <c r="W9977" t="s">
        <v>31541</v>
      </c>
      <c r="X9977" t="s">
        <v>32540</v>
      </c>
    </row>
    <row r="9978" spans="1:24">
      <c r="A9978">
        <f>HYPERLINK("https://www.philgeps.gov.ph/GEPSNONPILOT/Tender/SplashBidNoticeAbstractUI.aspx?menuIndex=3&amp;refID=7021997&amp;Result=3","7021997")</f>
        <v>0</v>
      </c>
      <c r="B9978" t="s">
        <v>1182</v>
      </c>
      <c r="C9978" t="s">
        <v>12234</v>
      </c>
      <c r="D9978" t="s">
        <v>12993</v>
      </c>
      <c r="E9978" t="s">
        <v>21765</v>
      </c>
      <c r="F9978" t="s">
        <v>22436</v>
      </c>
      <c r="G9978" t="s">
        <v>22444</v>
      </c>
      <c r="H9978" t="s">
        <v>22454</v>
      </c>
      <c r="I9978" t="s">
        <v>7738</v>
      </c>
      <c r="J9978" t="s">
        <v>28883</v>
      </c>
      <c r="K9978" t="s">
        <v>29463</v>
      </c>
      <c r="M9978" t="s">
        <v>31415</v>
      </c>
      <c r="N9978" t="s">
        <v>32524</v>
      </c>
      <c r="O9978" t="s">
        <v>32525</v>
      </c>
      <c r="P9978">
        <v>0</v>
      </c>
      <c r="Q9978">
        <v>3</v>
      </c>
      <c r="R9978" t="s">
        <v>32539</v>
      </c>
      <c r="S9978" t="s">
        <v>33010</v>
      </c>
      <c r="T9978" t="s">
        <v>33234</v>
      </c>
      <c r="U9978" t="s">
        <v>41821</v>
      </c>
      <c r="V9978" t="s">
        <v>43144</v>
      </c>
      <c r="W9978" t="s">
        <v>43731</v>
      </c>
      <c r="X9978" t="s">
        <v>32540</v>
      </c>
    </row>
    <row r="9979" spans="1:24">
      <c r="A9979">
        <f>HYPERLINK("https://www.philgeps.gov.ph/GEPSNONPILOT/Tender/SplashBidNoticeAbstractUI.aspx?menuIndex=3&amp;refID=7021985&amp;Result=3","7021985")</f>
        <v>0</v>
      </c>
      <c r="B9979" t="s">
        <v>1891</v>
      </c>
      <c r="C9979" t="s">
        <v>12235</v>
      </c>
      <c r="E9979" t="s">
        <v>21766</v>
      </c>
      <c r="F9979" t="s">
        <v>22436</v>
      </c>
      <c r="G9979" t="s">
        <v>22444</v>
      </c>
      <c r="H9979" t="s">
        <v>22452</v>
      </c>
      <c r="I9979" t="s">
        <v>22469</v>
      </c>
      <c r="J9979" t="s">
        <v>28884</v>
      </c>
      <c r="K9979" t="s">
        <v>29338</v>
      </c>
      <c r="M9979" t="s">
        <v>32425</v>
      </c>
      <c r="N9979" t="s">
        <v>32524</v>
      </c>
      <c r="O9979" t="s">
        <v>32525</v>
      </c>
      <c r="Q9979">
        <v>12</v>
      </c>
      <c r="R9979" t="s">
        <v>32539</v>
      </c>
      <c r="S9979" t="s">
        <v>33030</v>
      </c>
      <c r="T9979" t="s">
        <v>33243</v>
      </c>
      <c r="U9979" t="s">
        <v>41822</v>
      </c>
      <c r="W9979" t="s">
        <v>32425</v>
      </c>
      <c r="X9979" t="s">
        <v>32540</v>
      </c>
    </row>
    <row r="9980" spans="1:24">
      <c r="A9980">
        <f>HYPERLINK("https://www.philgeps.gov.ph/GEPSNONPILOT/Tender/SplashBidNoticeAbstractUI.aspx?menuIndex=3&amp;refID=7021987&amp;Result=3","7021987")</f>
        <v>0</v>
      </c>
      <c r="B9980" t="s">
        <v>1481</v>
      </c>
      <c r="C9980" t="s">
        <v>12236</v>
      </c>
      <c r="D9980" t="s">
        <v>13023</v>
      </c>
      <c r="E9980" t="s">
        <v>21767</v>
      </c>
      <c r="F9980" t="s">
        <v>22436</v>
      </c>
      <c r="G9980" t="s">
        <v>22444</v>
      </c>
      <c r="H9980" t="s">
        <v>22454</v>
      </c>
      <c r="I9980" t="s">
        <v>7738</v>
      </c>
      <c r="J9980" t="s">
        <v>22634</v>
      </c>
      <c r="K9980" t="s">
        <v>29333</v>
      </c>
      <c r="M9980" t="s">
        <v>31151</v>
      </c>
      <c r="N9980" t="s">
        <v>32524</v>
      </c>
      <c r="O9980" t="s">
        <v>32525</v>
      </c>
      <c r="P9980">
        <v>0</v>
      </c>
      <c r="Q9980">
        <v>1</v>
      </c>
      <c r="R9980" t="s">
        <v>32539</v>
      </c>
      <c r="S9980" t="s">
        <v>33010</v>
      </c>
      <c r="T9980" t="s">
        <v>33241</v>
      </c>
      <c r="U9980" t="s">
        <v>41823</v>
      </c>
      <c r="W9980" t="s">
        <v>43722</v>
      </c>
      <c r="X9980" t="s">
        <v>32540</v>
      </c>
    </row>
    <row r="9981" spans="1:24">
      <c r="A9981">
        <f>HYPERLINK("https://www.philgeps.gov.ph/GEPSNONPILOT/Tender/SplashBidNoticeAbstractUI.aspx?menuIndex=3&amp;refID=7021979&amp;Result=3","7021979")</f>
        <v>0</v>
      </c>
      <c r="B9981" t="s">
        <v>2598</v>
      </c>
      <c r="C9981" t="s">
        <v>12237</v>
      </c>
      <c r="D9981" t="s">
        <v>13022</v>
      </c>
      <c r="E9981" t="s">
        <v>21768</v>
      </c>
      <c r="F9981" t="s">
        <v>22436</v>
      </c>
      <c r="G9981" t="s">
        <v>22444</v>
      </c>
      <c r="H9981" t="s">
        <v>22454</v>
      </c>
      <c r="I9981" t="s">
        <v>7738</v>
      </c>
      <c r="J9981" t="s">
        <v>28885</v>
      </c>
      <c r="K9981" t="s">
        <v>29373</v>
      </c>
      <c r="M9981" t="s">
        <v>32422</v>
      </c>
      <c r="N9981" t="s">
        <v>32524</v>
      </c>
      <c r="O9981" t="s">
        <v>32525</v>
      </c>
      <c r="Q9981">
        <v>25</v>
      </c>
      <c r="R9981" t="s">
        <v>32539</v>
      </c>
      <c r="S9981" t="s">
        <v>33031</v>
      </c>
      <c r="T9981" t="s">
        <v>33181</v>
      </c>
      <c r="U9981" t="s">
        <v>41811</v>
      </c>
      <c r="W9981" t="s">
        <v>32422</v>
      </c>
      <c r="X9981" t="s">
        <v>32540</v>
      </c>
    </row>
    <row r="9982" spans="1:24">
      <c r="A9982">
        <f>HYPERLINK("https://www.philgeps.gov.ph/GEPSNONPILOT/Tender/SplashBidNoticeAbstractUI.aspx?menuIndex=3&amp;refID=7021983&amp;Result=3","7021983")</f>
        <v>0</v>
      </c>
      <c r="B9982" t="s">
        <v>1182</v>
      </c>
      <c r="C9982" t="s">
        <v>12238</v>
      </c>
      <c r="D9982" t="s">
        <v>12993</v>
      </c>
      <c r="E9982" t="s">
        <v>21769</v>
      </c>
      <c r="F9982" t="s">
        <v>22436</v>
      </c>
      <c r="G9982" t="s">
        <v>22444</v>
      </c>
      <c r="H9982" t="s">
        <v>22454</v>
      </c>
      <c r="I9982" t="s">
        <v>7738</v>
      </c>
      <c r="J9982" t="s">
        <v>28886</v>
      </c>
      <c r="K9982" t="s">
        <v>29337</v>
      </c>
      <c r="M9982" t="s">
        <v>31415</v>
      </c>
      <c r="N9982" t="s">
        <v>32524</v>
      </c>
      <c r="O9982" t="s">
        <v>32525</v>
      </c>
      <c r="P9982">
        <v>0</v>
      </c>
      <c r="Q9982">
        <v>1</v>
      </c>
      <c r="R9982" t="s">
        <v>32539</v>
      </c>
      <c r="S9982" t="s">
        <v>33010</v>
      </c>
      <c r="T9982" t="s">
        <v>33234</v>
      </c>
      <c r="U9982" t="s">
        <v>41821</v>
      </c>
      <c r="V9982" t="s">
        <v>43144</v>
      </c>
      <c r="W9982" t="s">
        <v>43731</v>
      </c>
      <c r="X9982" t="s">
        <v>32540</v>
      </c>
    </row>
    <row r="9983" spans="1:24">
      <c r="A9983">
        <f>HYPERLINK("https://www.philgeps.gov.ph/GEPSNONPILOT/Tender/SplashBidNoticeAbstractUI.aspx?menuIndex=3&amp;refID=7021896&amp;Result=3","7021896")</f>
        <v>0</v>
      </c>
      <c r="B9983" t="s">
        <v>2591</v>
      </c>
      <c r="C9983" t="s">
        <v>12239</v>
      </c>
      <c r="D9983" t="s">
        <v>13029</v>
      </c>
      <c r="E9983" t="s">
        <v>21770</v>
      </c>
      <c r="F9983" t="s">
        <v>22436</v>
      </c>
      <c r="G9983" t="s">
        <v>22444</v>
      </c>
      <c r="H9983" t="s">
        <v>22454</v>
      </c>
      <c r="I9983" t="s">
        <v>7738</v>
      </c>
      <c r="J9983" t="s">
        <v>24049</v>
      </c>
      <c r="K9983" t="s">
        <v>29401</v>
      </c>
      <c r="M9983" t="s">
        <v>32415</v>
      </c>
      <c r="N9983" t="s">
        <v>32524</v>
      </c>
      <c r="O9983" t="s">
        <v>32525</v>
      </c>
      <c r="P9983">
        <v>0</v>
      </c>
      <c r="Q9983">
        <v>1</v>
      </c>
      <c r="R9983" t="s">
        <v>32539</v>
      </c>
      <c r="S9983" t="s">
        <v>33010</v>
      </c>
      <c r="T9983" t="s">
        <v>33212</v>
      </c>
      <c r="U9983" t="s">
        <v>41824</v>
      </c>
      <c r="W9983" t="s">
        <v>32415</v>
      </c>
      <c r="X9983" t="s">
        <v>32540</v>
      </c>
    </row>
    <row r="9984" spans="1:24">
      <c r="A9984">
        <f>HYPERLINK("https://www.philgeps.gov.ph/GEPSNONPILOT/Tender/SplashBidNoticeAbstractUI.aspx?menuIndex=3&amp;refID=7021990&amp;Result=3","7021990")</f>
        <v>0</v>
      </c>
      <c r="B9984" t="s">
        <v>2596</v>
      </c>
      <c r="C9984" t="s">
        <v>3827</v>
      </c>
      <c r="D9984" t="s">
        <v>12988</v>
      </c>
      <c r="E9984" t="s">
        <v>21771</v>
      </c>
      <c r="F9984" t="s">
        <v>22437</v>
      </c>
      <c r="G9984" t="s">
        <v>22444</v>
      </c>
      <c r="H9984" t="s">
        <v>22452</v>
      </c>
      <c r="I9984" t="s">
        <v>5194</v>
      </c>
      <c r="J9984" t="s">
        <v>28887</v>
      </c>
      <c r="K9984" t="s">
        <v>29330</v>
      </c>
      <c r="M9984" t="s">
        <v>32420</v>
      </c>
      <c r="N9984" t="s">
        <v>32524</v>
      </c>
      <c r="O9984" t="s">
        <v>32525</v>
      </c>
      <c r="P9984">
        <v>0</v>
      </c>
      <c r="Q9984">
        <v>2</v>
      </c>
      <c r="R9984" t="s">
        <v>32539</v>
      </c>
      <c r="S9984" t="s">
        <v>33010</v>
      </c>
      <c r="T9984" t="s">
        <v>33328</v>
      </c>
      <c r="U9984" t="s">
        <v>41825</v>
      </c>
      <c r="W9984" t="s">
        <v>32420</v>
      </c>
      <c r="X9984" t="s">
        <v>32540</v>
      </c>
    </row>
    <row r="9985" spans="1:24">
      <c r="A9985">
        <f>HYPERLINK("https://www.philgeps.gov.ph/GEPSNONPILOT/Tender/SplashBidNoticeAbstractUI.aspx?menuIndex=3&amp;refID=7021982&amp;Result=3","7021982")</f>
        <v>0</v>
      </c>
      <c r="B9985" t="s">
        <v>2149</v>
      </c>
      <c r="C9985" t="s">
        <v>12240</v>
      </c>
      <c r="D9985" t="s">
        <v>13033</v>
      </c>
      <c r="E9985" t="s">
        <v>16969</v>
      </c>
      <c r="F9985" t="s">
        <v>22436</v>
      </c>
      <c r="G9985" t="s">
        <v>22450</v>
      </c>
      <c r="H9985" t="s">
        <v>22454</v>
      </c>
      <c r="I9985" t="s">
        <v>7738</v>
      </c>
      <c r="J9985" t="s">
        <v>28888</v>
      </c>
      <c r="K9985" t="s">
        <v>29334</v>
      </c>
      <c r="M9985" t="s">
        <v>31901</v>
      </c>
      <c r="N9985" t="s">
        <v>32524</v>
      </c>
      <c r="O9985" t="s">
        <v>32525</v>
      </c>
      <c r="P9985">
        <v>0</v>
      </c>
      <c r="Q9985">
        <v>1</v>
      </c>
      <c r="R9985" t="s">
        <v>32539</v>
      </c>
      <c r="S9985" t="s">
        <v>33010</v>
      </c>
      <c r="T9985" t="s">
        <v>33517</v>
      </c>
      <c r="U9985" t="s">
        <v>41826</v>
      </c>
      <c r="W9985" t="s">
        <v>31901</v>
      </c>
      <c r="X9985" t="s">
        <v>32540</v>
      </c>
    </row>
    <row r="9986" spans="1:24">
      <c r="A9986">
        <f>HYPERLINK("https://www.philgeps.gov.ph/GEPSNONPILOT/Tender/SplashBidNoticeAbstractUI.aspx?menuIndex=3&amp;refID=7022022&amp;Result=3","7022022")</f>
        <v>0</v>
      </c>
      <c r="B9986" t="s">
        <v>1182</v>
      </c>
      <c r="C9986" t="s">
        <v>12241</v>
      </c>
      <c r="D9986" t="s">
        <v>12993</v>
      </c>
      <c r="E9986" t="s">
        <v>21772</v>
      </c>
      <c r="F9986" t="s">
        <v>22436</v>
      </c>
      <c r="G9986" t="s">
        <v>22444</v>
      </c>
      <c r="H9986" t="s">
        <v>22454</v>
      </c>
      <c r="I9986" t="s">
        <v>7738</v>
      </c>
      <c r="J9986" t="s">
        <v>28889</v>
      </c>
      <c r="K9986" t="s">
        <v>29337</v>
      </c>
      <c r="M9986" t="s">
        <v>31415</v>
      </c>
      <c r="N9986" t="s">
        <v>32524</v>
      </c>
      <c r="O9986" t="s">
        <v>32525</v>
      </c>
      <c r="P9986">
        <v>0</v>
      </c>
      <c r="Q9986">
        <v>1</v>
      </c>
      <c r="R9986" t="s">
        <v>32539</v>
      </c>
      <c r="S9986" t="s">
        <v>33010</v>
      </c>
      <c r="T9986" t="s">
        <v>33234</v>
      </c>
      <c r="U9986" t="s">
        <v>41821</v>
      </c>
      <c r="V9986" t="s">
        <v>43144</v>
      </c>
      <c r="W9986" t="s">
        <v>43731</v>
      </c>
      <c r="X9986" t="s">
        <v>32540</v>
      </c>
    </row>
    <row r="9987" spans="1:24">
      <c r="A9987">
        <f>HYPERLINK("https://www.philgeps.gov.ph/GEPSNONPILOT/Tender/SplashBidNoticeAbstractUI.aspx?menuIndex=3&amp;refID=7022013&amp;Result=3","7022013")</f>
        <v>0</v>
      </c>
      <c r="B9987" t="s">
        <v>2596</v>
      </c>
      <c r="C9987" t="s">
        <v>12242</v>
      </c>
      <c r="D9987" t="s">
        <v>12988</v>
      </c>
      <c r="E9987" t="s">
        <v>21773</v>
      </c>
      <c r="F9987" t="s">
        <v>22437</v>
      </c>
      <c r="G9987" t="s">
        <v>22444</v>
      </c>
      <c r="H9987" t="s">
        <v>22452</v>
      </c>
      <c r="I9987" t="s">
        <v>22460</v>
      </c>
      <c r="J9987" t="s">
        <v>22806</v>
      </c>
      <c r="K9987" t="s">
        <v>29330</v>
      </c>
      <c r="M9987" t="s">
        <v>32420</v>
      </c>
      <c r="N9987" t="s">
        <v>32524</v>
      </c>
      <c r="O9987" t="s">
        <v>32525</v>
      </c>
      <c r="P9987">
        <v>0</v>
      </c>
      <c r="Q9987">
        <v>0</v>
      </c>
      <c r="R9987" t="s">
        <v>32539</v>
      </c>
      <c r="S9987" t="s">
        <v>33010</v>
      </c>
      <c r="T9987" t="s">
        <v>33328</v>
      </c>
      <c r="U9987" t="s">
        <v>40663</v>
      </c>
      <c r="W9987" t="s">
        <v>32420</v>
      </c>
      <c r="X9987" t="s">
        <v>32540</v>
      </c>
    </row>
    <row r="9988" spans="1:24">
      <c r="A9988">
        <f>HYPERLINK("https://www.philgeps.gov.ph/GEPSNONPILOT/Tender/SplashBidNoticeAbstractUI.aspx?menuIndex=3&amp;refID=7021939&amp;Result=3","7021939")</f>
        <v>0</v>
      </c>
      <c r="B9988" t="s">
        <v>169</v>
      </c>
      <c r="C9988" t="s">
        <v>12243</v>
      </c>
      <c r="D9988" t="s">
        <v>13044</v>
      </c>
      <c r="E9988" t="s">
        <v>21774</v>
      </c>
      <c r="F9988" t="s">
        <v>22436</v>
      </c>
      <c r="G9988" t="s">
        <v>22444</v>
      </c>
      <c r="H9988" t="s">
        <v>22452</v>
      </c>
      <c r="I9988" t="s">
        <v>22460</v>
      </c>
      <c r="J9988" t="s">
        <v>28890</v>
      </c>
      <c r="K9988" t="s">
        <v>29335</v>
      </c>
      <c r="M9988" t="s">
        <v>29741</v>
      </c>
      <c r="N9988" t="s">
        <v>32524</v>
      </c>
      <c r="O9988" t="s">
        <v>32525</v>
      </c>
      <c r="P9988">
        <v>0</v>
      </c>
      <c r="Q9988">
        <v>6</v>
      </c>
      <c r="R9988" t="s">
        <v>32539</v>
      </c>
      <c r="S9988" t="s">
        <v>33010</v>
      </c>
      <c r="T9988" t="s">
        <v>33168</v>
      </c>
      <c r="U9988" t="s">
        <v>41827</v>
      </c>
      <c r="V9988" t="s">
        <v>43149</v>
      </c>
      <c r="W9988" t="s">
        <v>29741</v>
      </c>
      <c r="X9988" t="s">
        <v>32540</v>
      </c>
    </row>
    <row r="9989" spans="1:24">
      <c r="A9989">
        <f>HYPERLINK("https://www.philgeps.gov.ph/GEPSNONPILOT/Tender/SplashBidNoticeAbstractUI.aspx?menuIndex=3&amp;refID=7021900&amp;Result=3","7021900")</f>
        <v>0</v>
      </c>
      <c r="B9989" t="s">
        <v>2149</v>
      </c>
      <c r="C9989" t="s">
        <v>12244</v>
      </c>
      <c r="D9989" t="s">
        <v>13033</v>
      </c>
      <c r="E9989" t="s">
        <v>21775</v>
      </c>
      <c r="F9989" t="s">
        <v>22436</v>
      </c>
      <c r="G9989" t="s">
        <v>22450</v>
      </c>
      <c r="H9989" t="s">
        <v>22454</v>
      </c>
      <c r="I9989" t="s">
        <v>7738</v>
      </c>
      <c r="J9989" t="s">
        <v>28891</v>
      </c>
      <c r="K9989" t="s">
        <v>29344</v>
      </c>
      <c r="M9989" t="s">
        <v>31901</v>
      </c>
      <c r="N9989" t="s">
        <v>32524</v>
      </c>
      <c r="O9989" t="s">
        <v>32525</v>
      </c>
      <c r="P9989">
        <v>0</v>
      </c>
      <c r="Q9989">
        <v>4</v>
      </c>
      <c r="R9989" t="s">
        <v>32539</v>
      </c>
      <c r="S9989" t="s">
        <v>33010</v>
      </c>
      <c r="T9989" t="s">
        <v>33547</v>
      </c>
      <c r="U9989" t="s">
        <v>41828</v>
      </c>
      <c r="W9989" t="s">
        <v>31901</v>
      </c>
      <c r="X9989" t="s">
        <v>32540</v>
      </c>
    </row>
    <row r="9990" spans="1:24">
      <c r="A9990">
        <f>HYPERLINK("https://www.philgeps.gov.ph/GEPSNONPILOT/Tender/SplashBidNoticeAbstractUI.aspx?menuIndex=3&amp;refID=7021962&amp;Result=3","7021962")</f>
        <v>0</v>
      </c>
      <c r="B9990" t="s">
        <v>2596</v>
      </c>
      <c r="C9990" t="s">
        <v>12245</v>
      </c>
      <c r="D9990" t="s">
        <v>12988</v>
      </c>
      <c r="E9990" t="s">
        <v>21776</v>
      </c>
      <c r="F9990" t="s">
        <v>22437</v>
      </c>
      <c r="G9990" t="s">
        <v>22444</v>
      </c>
      <c r="H9990" t="s">
        <v>22452</v>
      </c>
      <c r="I9990" t="s">
        <v>22553</v>
      </c>
      <c r="J9990" t="s">
        <v>28892</v>
      </c>
      <c r="K9990" t="s">
        <v>29330</v>
      </c>
      <c r="M9990" t="s">
        <v>32420</v>
      </c>
      <c r="N9990" t="s">
        <v>32524</v>
      </c>
      <c r="O9990" t="s">
        <v>32525</v>
      </c>
      <c r="P9990">
        <v>0</v>
      </c>
      <c r="Q9990">
        <v>2</v>
      </c>
      <c r="R9990" t="s">
        <v>32539</v>
      </c>
      <c r="S9990" t="s">
        <v>33010</v>
      </c>
      <c r="T9990" t="s">
        <v>33328</v>
      </c>
      <c r="U9990" t="s">
        <v>41829</v>
      </c>
      <c r="W9990" t="s">
        <v>32420</v>
      </c>
      <c r="X9990" t="s">
        <v>32540</v>
      </c>
    </row>
    <row r="9991" spans="1:24">
      <c r="A9991">
        <f>HYPERLINK("https://www.philgeps.gov.ph/GEPSNONPILOT/Tender/SplashBidNoticeAbstractUI.aspx?menuIndex=3&amp;refID=7022002&amp;Result=3","7022002")</f>
        <v>0</v>
      </c>
      <c r="B9991" t="s">
        <v>2601</v>
      </c>
      <c r="C9991" t="s">
        <v>12246</v>
      </c>
      <c r="D9991" t="s">
        <v>13033</v>
      </c>
      <c r="E9991" t="s">
        <v>21777</v>
      </c>
      <c r="F9991" t="s">
        <v>22436</v>
      </c>
      <c r="G9991" t="s">
        <v>22444</v>
      </c>
      <c r="H9991" t="s">
        <v>22454</v>
      </c>
      <c r="I9991" t="s">
        <v>7738</v>
      </c>
      <c r="J9991" t="s">
        <v>28893</v>
      </c>
      <c r="K9991" t="s">
        <v>29388</v>
      </c>
      <c r="M9991" t="s">
        <v>32426</v>
      </c>
      <c r="N9991" t="s">
        <v>32524</v>
      </c>
      <c r="O9991" t="s">
        <v>32525</v>
      </c>
      <c r="P9991">
        <v>0</v>
      </c>
      <c r="Q9991">
        <v>1</v>
      </c>
      <c r="R9991" t="s">
        <v>32539</v>
      </c>
      <c r="S9991" t="s">
        <v>33010</v>
      </c>
      <c r="T9991" t="s">
        <v>33203</v>
      </c>
      <c r="U9991" t="s">
        <v>41830</v>
      </c>
      <c r="W9991" t="s">
        <v>32426</v>
      </c>
      <c r="X9991" t="s">
        <v>32540</v>
      </c>
    </row>
    <row r="9992" spans="1:24">
      <c r="A9992">
        <f>HYPERLINK("https://www.philgeps.gov.ph/GEPSNONPILOT/Tender/SplashBidNoticeAbstractUI.aspx?menuIndex=3&amp;refID=7022018&amp;Result=3","7022018")</f>
        <v>0</v>
      </c>
      <c r="B9992" t="s">
        <v>464</v>
      </c>
      <c r="C9992" t="s">
        <v>12247</v>
      </c>
      <c r="D9992" t="s">
        <v>12994</v>
      </c>
      <c r="E9992" t="s">
        <v>21778</v>
      </c>
      <c r="F9992" t="s">
        <v>22436</v>
      </c>
      <c r="G9992" t="s">
        <v>22444</v>
      </c>
      <c r="H9992" t="s">
        <v>22452</v>
      </c>
      <c r="I9992" t="s">
        <v>22469</v>
      </c>
      <c r="J9992" t="s">
        <v>28894</v>
      </c>
      <c r="K9992" t="s">
        <v>29357</v>
      </c>
      <c r="M9992" t="s">
        <v>30046</v>
      </c>
      <c r="N9992" t="s">
        <v>32524</v>
      </c>
      <c r="O9992" t="s">
        <v>32525</v>
      </c>
      <c r="Q9992">
        <v>19</v>
      </c>
      <c r="R9992" t="s">
        <v>32539</v>
      </c>
      <c r="S9992" t="s">
        <v>33032</v>
      </c>
      <c r="T9992" t="s">
        <v>33252</v>
      </c>
      <c r="U9992" t="s">
        <v>41831</v>
      </c>
      <c r="W9992" t="s">
        <v>30046</v>
      </c>
      <c r="X9992" t="s">
        <v>32540</v>
      </c>
    </row>
    <row r="9993" spans="1:24">
      <c r="A9993">
        <f>HYPERLINK("https://www.philgeps.gov.ph/GEPSNONPILOT/Tender/SplashBidNoticeAbstractUI.aspx?menuIndex=3&amp;refID=7021977&amp;Result=3","7021977")</f>
        <v>0</v>
      </c>
      <c r="B9993" t="s">
        <v>2589</v>
      </c>
      <c r="C9993" t="s">
        <v>12248</v>
      </c>
      <c r="D9993" t="s">
        <v>13015</v>
      </c>
      <c r="E9993" t="s">
        <v>21779</v>
      </c>
      <c r="F9993" t="s">
        <v>22437</v>
      </c>
      <c r="G9993" t="s">
        <v>22444</v>
      </c>
      <c r="H9993" t="s">
        <v>22454</v>
      </c>
      <c r="I9993" t="s">
        <v>7738</v>
      </c>
      <c r="J9993" t="s">
        <v>23278</v>
      </c>
      <c r="K9993" t="s">
        <v>29389</v>
      </c>
      <c r="M9993" t="s">
        <v>32413</v>
      </c>
      <c r="N9993" t="s">
        <v>32524</v>
      </c>
      <c r="O9993" t="s">
        <v>32525</v>
      </c>
      <c r="P9993">
        <v>0</v>
      </c>
      <c r="Q9993">
        <v>1</v>
      </c>
      <c r="R9993" t="s">
        <v>32539</v>
      </c>
      <c r="S9993" t="s">
        <v>33010</v>
      </c>
      <c r="T9993" t="s">
        <v>33191</v>
      </c>
      <c r="U9993" t="s">
        <v>41832</v>
      </c>
      <c r="V9993" t="s">
        <v>43596</v>
      </c>
      <c r="W9993" t="s">
        <v>32413</v>
      </c>
      <c r="X9993" t="s">
        <v>32540</v>
      </c>
    </row>
    <row r="9994" spans="1:24">
      <c r="A9994">
        <f>HYPERLINK("https://www.philgeps.gov.ph/GEPSNONPILOT/Tender/SplashBidNoticeAbstractUI.aspx?menuIndex=3&amp;refID=7021966&amp;Result=3","7021966")</f>
        <v>0</v>
      </c>
      <c r="B9994" t="s">
        <v>1379</v>
      </c>
      <c r="C9994" t="s">
        <v>12249</v>
      </c>
      <c r="D9994" t="s">
        <v>13010</v>
      </c>
      <c r="E9994" t="s">
        <v>21780</v>
      </c>
      <c r="F9994" t="s">
        <v>22436</v>
      </c>
      <c r="G9994" t="s">
        <v>22444</v>
      </c>
      <c r="H9994" t="s">
        <v>22454</v>
      </c>
      <c r="I9994" t="s">
        <v>7738</v>
      </c>
      <c r="J9994" t="s">
        <v>28895</v>
      </c>
      <c r="K9994" t="s">
        <v>29334</v>
      </c>
      <c r="M9994" t="s">
        <v>31035</v>
      </c>
      <c r="N9994" t="s">
        <v>32524</v>
      </c>
      <c r="O9994" t="s">
        <v>32525</v>
      </c>
      <c r="Q9994">
        <v>1</v>
      </c>
      <c r="R9994" t="s">
        <v>32539</v>
      </c>
      <c r="S9994" t="s">
        <v>33033</v>
      </c>
      <c r="T9994" t="s">
        <v>33230</v>
      </c>
      <c r="U9994" t="s">
        <v>41817</v>
      </c>
      <c r="W9994" t="s">
        <v>31035</v>
      </c>
      <c r="X9994" t="s">
        <v>32540</v>
      </c>
    </row>
    <row r="9995" spans="1:24">
      <c r="A9995">
        <f>HYPERLINK("https://www.philgeps.gov.ph/GEPSNONPILOT/Tender/SplashBidNoticeAbstractUI.aspx?menuIndex=3&amp;refID=7021953&amp;Result=3","7021953")</f>
        <v>0</v>
      </c>
      <c r="B9995" t="s">
        <v>2047</v>
      </c>
      <c r="C9995" t="s">
        <v>12250</v>
      </c>
      <c r="D9995" t="s">
        <v>13043</v>
      </c>
      <c r="E9995" t="s">
        <v>21781</v>
      </c>
      <c r="F9995" t="s">
        <v>22436</v>
      </c>
      <c r="G9995" t="s">
        <v>22444</v>
      </c>
      <c r="H9995" t="s">
        <v>22452</v>
      </c>
      <c r="I9995" t="s">
        <v>22457</v>
      </c>
      <c r="J9995" t="s">
        <v>23097</v>
      </c>
      <c r="K9995" t="s">
        <v>29371</v>
      </c>
      <c r="M9995" t="s">
        <v>31787</v>
      </c>
      <c r="N9995" t="s">
        <v>32524</v>
      </c>
      <c r="O9995" t="s">
        <v>32525</v>
      </c>
      <c r="P9995">
        <v>0</v>
      </c>
      <c r="Q9995">
        <v>0</v>
      </c>
      <c r="R9995" t="s">
        <v>32539</v>
      </c>
      <c r="S9995" t="s">
        <v>33010</v>
      </c>
      <c r="T9995" t="s">
        <v>33406</v>
      </c>
      <c r="U9995" t="s">
        <v>41833</v>
      </c>
      <c r="W9995" t="s">
        <v>31787</v>
      </c>
      <c r="X9995" t="s">
        <v>32540</v>
      </c>
    </row>
    <row r="9996" spans="1:24">
      <c r="A9996">
        <f>HYPERLINK("https://www.philgeps.gov.ph/GEPSNONPILOT/Tender/SplashBidNoticeAbstractUI.aspx?menuIndex=3&amp;refID=7022036&amp;Result=3","7022036")</f>
        <v>0</v>
      </c>
      <c r="B9996" t="s">
        <v>1760</v>
      </c>
      <c r="C9996" t="s">
        <v>12251</v>
      </c>
      <c r="E9996" t="s">
        <v>12251</v>
      </c>
      <c r="F9996" t="s">
        <v>22436</v>
      </c>
      <c r="G9996" t="s">
        <v>22447</v>
      </c>
      <c r="H9996" t="s">
        <v>22452</v>
      </c>
      <c r="I9996" t="s">
        <v>22474</v>
      </c>
      <c r="J9996" t="s">
        <v>22669</v>
      </c>
      <c r="K9996" t="s">
        <v>29341</v>
      </c>
      <c r="M9996" t="s">
        <v>31466</v>
      </c>
      <c r="N9996" t="s">
        <v>32524</v>
      </c>
      <c r="O9996" t="s">
        <v>32525</v>
      </c>
      <c r="P9996">
        <v>0</v>
      </c>
      <c r="Q9996">
        <v>8</v>
      </c>
      <c r="R9996" t="s">
        <v>32539</v>
      </c>
      <c r="S9996" t="s">
        <v>33010</v>
      </c>
      <c r="T9996" t="s">
        <v>33180</v>
      </c>
      <c r="U9996" t="s">
        <v>41834</v>
      </c>
      <c r="W9996" t="s">
        <v>31466</v>
      </c>
      <c r="X9996" t="s">
        <v>32540</v>
      </c>
    </row>
    <row r="9997" spans="1:24">
      <c r="A9997">
        <f>HYPERLINK("https://www.philgeps.gov.ph/GEPSNONPILOT/Tender/SplashBidNoticeAbstractUI.aspx?menuIndex=3&amp;refID=7021956&amp;Result=3","7021956")</f>
        <v>0</v>
      </c>
      <c r="B9997" t="s">
        <v>1182</v>
      </c>
      <c r="C9997" t="s">
        <v>12252</v>
      </c>
      <c r="D9997" t="s">
        <v>12993</v>
      </c>
      <c r="E9997" t="s">
        <v>21782</v>
      </c>
      <c r="F9997" t="s">
        <v>22436</v>
      </c>
      <c r="G9997" t="s">
        <v>22444</v>
      </c>
      <c r="H9997" t="s">
        <v>22454</v>
      </c>
      <c r="I9997" t="s">
        <v>7738</v>
      </c>
      <c r="J9997" t="s">
        <v>28896</v>
      </c>
      <c r="K9997" t="s">
        <v>29433</v>
      </c>
      <c r="M9997" t="s">
        <v>31415</v>
      </c>
      <c r="N9997" t="s">
        <v>32524</v>
      </c>
      <c r="O9997" t="s">
        <v>32525</v>
      </c>
      <c r="P9997">
        <v>0</v>
      </c>
      <c r="Q9997">
        <v>1</v>
      </c>
      <c r="R9997" t="s">
        <v>32539</v>
      </c>
      <c r="S9997" t="s">
        <v>33010</v>
      </c>
      <c r="T9997" t="s">
        <v>33234</v>
      </c>
      <c r="U9997" t="s">
        <v>41821</v>
      </c>
      <c r="V9997" t="s">
        <v>43144</v>
      </c>
      <c r="W9997" t="s">
        <v>43731</v>
      </c>
      <c r="X9997" t="s">
        <v>32540</v>
      </c>
    </row>
    <row r="9998" spans="1:24">
      <c r="A9998">
        <f>HYPERLINK("https://www.philgeps.gov.ph/GEPSNONPILOT/Tender/SplashBidNoticeAbstractUI.aspx?menuIndex=3&amp;refID=7021948&amp;Result=3","7021948")</f>
        <v>0</v>
      </c>
      <c r="B9998" t="s">
        <v>351</v>
      </c>
      <c r="C9998" t="s">
        <v>12253</v>
      </c>
      <c r="D9998" t="s">
        <v>12996</v>
      </c>
      <c r="E9998" t="s">
        <v>21783</v>
      </c>
      <c r="F9998" t="s">
        <v>22436</v>
      </c>
      <c r="G9998" t="s">
        <v>22444</v>
      </c>
      <c r="H9998" t="s">
        <v>22454</v>
      </c>
      <c r="I9998" t="s">
        <v>7738</v>
      </c>
      <c r="J9998" t="s">
        <v>22779</v>
      </c>
      <c r="K9998" t="s">
        <v>29391</v>
      </c>
      <c r="M9998" t="s">
        <v>29928</v>
      </c>
      <c r="N9998" t="s">
        <v>32524</v>
      </c>
      <c r="O9998" t="s">
        <v>32525</v>
      </c>
      <c r="P9998">
        <v>0</v>
      </c>
      <c r="Q9998">
        <v>0</v>
      </c>
      <c r="R9998" t="s">
        <v>32539</v>
      </c>
      <c r="S9998" t="s">
        <v>33010</v>
      </c>
      <c r="T9998" t="s">
        <v>33173</v>
      </c>
      <c r="U9998" t="s">
        <v>41835</v>
      </c>
      <c r="W9998" t="s">
        <v>29928</v>
      </c>
      <c r="X9998" t="s">
        <v>32540</v>
      </c>
    </row>
    <row r="9999" spans="1:24">
      <c r="A9999">
        <f>HYPERLINK("https://www.philgeps.gov.ph/GEPSNONPILOT/Tender/SplashBidNoticeAbstractUI.aspx?menuIndex=3&amp;refID=7022087&amp;Result=3","7022087")</f>
        <v>0</v>
      </c>
      <c r="B9999" t="s">
        <v>2601</v>
      </c>
      <c r="C9999" t="s">
        <v>12254</v>
      </c>
      <c r="D9999" t="s">
        <v>13033</v>
      </c>
      <c r="E9999" t="s">
        <v>21784</v>
      </c>
      <c r="F9999" t="s">
        <v>22436</v>
      </c>
      <c r="G9999" t="s">
        <v>22444</v>
      </c>
      <c r="H9999" t="s">
        <v>22454</v>
      </c>
      <c r="I9999" t="s">
        <v>7738</v>
      </c>
      <c r="J9999" t="s">
        <v>23700</v>
      </c>
      <c r="K9999" t="s">
        <v>29344</v>
      </c>
      <c r="M9999" t="s">
        <v>32426</v>
      </c>
      <c r="N9999" t="s">
        <v>32524</v>
      </c>
      <c r="O9999" t="s">
        <v>32525</v>
      </c>
      <c r="P9999">
        <v>0</v>
      </c>
      <c r="Q9999">
        <v>0</v>
      </c>
      <c r="R9999" t="s">
        <v>32539</v>
      </c>
      <c r="S9999" t="s">
        <v>33010</v>
      </c>
      <c r="T9999" t="s">
        <v>33603</v>
      </c>
      <c r="U9999" t="s">
        <v>41836</v>
      </c>
      <c r="W9999" t="s">
        <v>32426</v>
      </c>
      <c r="X9999" t="s">
        <v>32540</v>
      </c>
    </row>
    <row r="10000" spans="1:24">
      <c r="A10000">
        <f>HYPERLINK("https://www.philgeps.gov.ph/GEPSNONPILOT/Tender/SplashBidNoticeAbstractUI.aspx?menuIndex=3&amp;refID=7022058&amp;Result=3","7022058")</f>
        <v>0</v>
      </c>
      <c r="B10000" t="s">
        <v>2601</v>
      </c>
      <c r="C10000" t="s">
        <v>12255</v>
      </c>
      <c r="D10000" t="s">
        <v>13033</v>
      </c>
      <c r="E10000" t="s">
        <v>21785</v>
      </c>
      <c r="F10000" t="s">
        <v>22436</v>
      </c>
      <c r="G10000" t="s">
        <v>22444</v>
      </c>
      <c r="H10000" t="s">
        <v>22454</v>
      </c>
      <c r="I10000" t="s">
        <v>7738</v>
      </c>
      <c r="J10000" t="s">
        <v>23700</v>
      </c>
      <c r="K10000" t="s">
        <v>29344</v>
      </c>
      <c r="M10000" t="s">
        <v>32426</v>
      </c>
      <c r="N10000" t="s">
        <v>32524</v>
      </c>
      <c r="O10000" t="s">
        <v>32525</v>
      </c>
      <c r="P10000">
        <v>0</v>
      </c>
      <c r="Q10000">
        <v>1</v>
      </c>
      <c r="R10000" t="s">
        <v>32539</v>
      </c>
      <c r="S10000" t="s">
        <v>33010</v>
      </c>
      <c r="T10000" t="s">
        <v>33230</v>
      </c>
      <c r="U10000" t="s">
        <v>41837</v>
      </c>
      <c r="W10000" t="s">
        <v>32426</v>
      </c>
      <c r="X10000" t="s">
        <v>32540</v>
      </c>
    </row>
    <row r="10001" spans="1:24">
      <c r="A10001">
        <f>HYPERLINK("https://www.philgeps.gov.ph/GEPSNONPILOT/Tender/SplashBidNoticeAbstractUI.aspx?menuIndex=3&amp;refID=7022134&amp;Result=3","7022134")</f>
        <v>0</v>
      </c>
      <c r="B10001" t="s">
        <v>1262</v>
      </c>
      <c r="C10001" t="s">
        <v>12256</v>
      </c>
      <c r="D10001" t="s">
        <v>13032</v>
      </c>
      <c r="E10001" t="s">
        <v>21786</v>
      </c>
      <c r="F10001" t="s">
        <v>22436</v>
      </c>
      <c r="G10001" t="s">
        <v>22444</v>
      </c>
      <c r="H10001" t="s">
        <v>22454</v>
      </c>
      <c r="I10001" t="s">
        <v>7738</v>
      </c>
      <c r="J10001" t="s">
        <v>28897</v>
      </c>
      <c r="K10001" t="s">
        <v>29333</v>
      </c>
      <c r="M10001" t="s">
        <v>30915</v>
      </c>
      <c r="N10001" t="s">
        <v>32524</v>
      </c>
      <c r="O10001" t="s">
        <v>32525</v>
      </c>
      <c r="P10001">
        <v>0</v>
      </c>
      <c r="Q10001">
        <v>0</v>
      </c>
      <c r="R10001" t="s">
        <v>32539</v>
      </c>
      <c r="S10001" t="s">
        <v>33010</v>
      </c>
      <c r="T10001" t="s">
        <v>33155</v>
      </c>
      <c r="U10001" t="s">
        <v>41838</v>
      </c>
      <c r="W10001" t="s">
        <v>30915</v>
      </c>
      <c r="X10001" t="s">
        <v>32540</v>
      </c>
    </row>
    <row r="10002" spans="1:24">
      <c r="A10002">
        <f>HYPERLINK("https://www.philgeps.gov.ph/GEPSNONPILOT/Tender/SplashBidNoticeAbstractUI.aspx?menuIndex=3&amp;refID=7022125&amp;Result=3","7022125")</f>
        <v>0</v>
      </c>
      <c r="B10002" t="s">
        <v>200</v>
      </c>
      <c r="C10002" t="s">
        <v>12257</v>
      </c>
      <c r="D10002" t="s">
        <v>13037</v>
      </c>
      <c r="E10002" t="s">
        <v>21787</v>
      </c>
      <c r="F10002" t="s">
        <v>22436</v>
      </c>
      <c r="G10002" t="s">
        <v>22444</v>
      </c>
      <c r="H10002" t="s">
        <v>22452</v>
      </c>
      <c r="I10002" t="s">
        <v>22460</v>
      </c>
      <c r="J10002" t="s">
        <v>28898</v>
      </c>
      <c r="K10002" t="s">
        <v>29335</v>
      </c>
      <c r="M10002" t="s">
        <v>29773</v>
      </c>
      <c r="N10002" t="s">
        <v>32524</v>
      </c>
      <c r="O10002" t="s">
        <v>32525</v>
      </c>
      <c r="P10002">
        <v>0</v>
      </c>
      <c r="Q10002">
        <v>4</v>
      </c>
      <c r="R10002" t="s">
        <v>32539</v>
      </c>
      <c r="S10002" t="s">
        <v>33010</v>
      </c>
      <c r="T10002" t="s">
        <v>33168</v>
      </c>
      <c r="U10002" t="s">
        <v>41839</v>
      </c>
      <c r="W10002" t="s">
        <v>29773</v>
      </c>
      <c r="X10002" t="s">
        <v>32540</v>
      </c>
    </row>
    <row r="10003" spans="1:24">
      <c r="A10003">
        <f>HYPERLINK("https://www.philgeps.gov.ph/GEPSNONPILOT/Tender/SplashBidNoticeAbstractUI.aspx?menuIndex=3&amp;refID=7022053&amp;Result=3","7022053")</f>
        <v>0</v>
      </c>
      <c r="B10003" t="s">
        <v>1452</v>
      </c>
      <c r="C10003" t="s">
        <v>12258</v>
      </c>
      <c r="D10003" t="s">
        <v>13018</v>
      </c>
      <c r="E10003" t="s">
        <v>21788</v>
      </c>
      <c r="F10003" t="s">
        <v>22436</v>
      </c>
      <c r="G10003" t="s">
        <v>22444</v>
      </c>
      <c r="H10003" t="s">
        <v>22454</v>
      </c>
      <c r="I10003" t="s">
        <v>7738</v>
      </c>
      <c r="J10003" t="s">
        <v>28899</v>
      </c>
      <c r="K10003" t="s">
        <v>29333</v>
      </c>
      <c r="L10003" t="s">
        <v>1452</v>
      </c>
      <c r="M10003" t="s">
        <v>31116</v>
      </c>
      <c r="N10003" t="s">
        <v>32524</v>
      </c>
      <c r="O10003" t="s">
        <v>32525</v>
      </c>
      <c r="P10003">
        <v>0</v>
      </c>
      <c r="Q10003">
        <v>1</v>
      </c>
      <c r="R10003" t="s">
        <v>32539</v>
      </c>
      <c r="S10003" t="s">
        <v>33010</v>
      </c>
      <c r="T10003" t="s">
        <v>33293</v>
      </c>
      <c r="U10003" t="s">
        <v>41840</v>
      </c>
      <c r="V10003" t="s">
        <v>43597</v>
      </c>
      <c r="W10003" t="s">
        <v>31116</v>
      </c>
      <c r="X10003" t="s">
        <v>32540</v>
      </c>
    </row>
    <row r="10004" spans="1:24">
      <c r="A10004">
        <f>HYPERLINK("https://www.philgeps.gov.ph/GEPSNONPILOT/Tender/SplashBidNoticeAbstractUI.aspx?menuIndex=3&amp;refID=7022130&amp;Result=3","7022130")</f>
        <v>0</v>
      </c>
      <c r="B10004" t="s">
        <v>1452</v>
      </c>
      <c r="C10004" t="s">
        <v>12259</v>
      </c>
      <c r="D10004" t="s">
        <v>13018</v>
      </c>
      <c r="E10004" t="s">
        <v>21788</v>
      </c>
      <c r="F10004" t="s">
        <v>22436</v>
      </c>
      <c r="G10004" t="s">
        <v>22444</v>
      </c>
      <c r="H10004" t="s">
        <v>22454</v>
      </c>
      <c r="I10004" t="s">
        <v>7738</v>
      </c>
      <c r="J10004" t="s">
        <v>28900</v>
      </c>
      <c r="K10004" t="s">
        <v>29334</v>
      </c>
      <c r="L10004" t="s">
        <v>1452</v>
      </c>
      <c r="M10004" t="s">
        <v>31116</v>
      </c>
      <c r="N10004" t="s">
        <v>32524</v>
      </c>
      <c r="O10004" t="s">
        <v>32525</v>
      </c>
      <c r="P10004">
        <v>0</v>
      </c>
      <c r="Q10004">
        <v>1</v>
      </c>
      <c r="R10004" t="s">
        <v>32539</v>
      </c>
      <c r="S10004" t="s">
        <v>33010</v>
      </c>
      <c r="T10004" t="s">
        <v>33293</v>
      </c>
      <c r="U10004" t="s">
        <v>41841</v>
      </c>
      <c r="V10004" t="s">
        <v>42867</v>
      </c>
      <c r="W10004" t="s">
        <v>31116</v>
      </c>
      <c r="X10004" t="s">
        <v>32540</v>
      </c>
    </row>
    <row r="10005" spans="1:24">
      <c r="A10005">
        <f>HYPERLINK("https://www.philgeps.gov.ph/GEPSNONPILOT/Tender/SplashBidNoticeAbstractUI.aspx?menuIndex=3&amp;refID=7022092&amp;Result=3","7022092")</f>
        <v>0</v>
      </c>
      <c r="B10005" t="s">
        <v>1338</v>
      </c>
      <c r="C10005" t="s">
        <v>12260</v>
      </c>
      <c r="D10005" t="s">
        <v>13046</v>
      </c>
      <c r="E10005" t="s">
        <v>21789</v>
      </c>
      <c r="F10005" t="s">
        <v>22436</v>
      </c>
      <c r="G10005" t="s">
        <v>22444</v>
      </c>
      <c r="H10005" t="s">
        <v>22452</v>
      </c>
      <c r="I10005" t="s">
        <v>3529</v>
      </c>
      <c r="J10005" t="s">
        <v>28901</v>
      </c>
      <c r="K10005" t="s">
        <v>29335</v>
      </c>
      <c r="M10005" t="s">
        <v>31153</v>
      </c>
      <c r="N10005" t="s">
        <v>32524</v>
      </c>
      <c r="O10005" t="s">
        <v>32525</v>
      </c>
      <c r="Q10005">
        <v>5</v>
      </c>
      <c r="R10005" t="s">
        <v>32539</v>
      </c>
      <c r="S10005" t="s">
        <v>33034</v>
      </c>
      <c r="T10005" t="s">
        <v>33230</v>
      </c>
      <c r="U10005" t="s">
        <v>41842</v>
      </c>
      <c r="W10005" t="s">
        <v>31153</v>
      </c>
      <c r="X10005" t="s">
        <v>32540</v>
      </c>
    </row>
    <row r="10006" spans="1:24">
      <c r="A10006">
        <f>HYPERLINK("https://www.philgeps.gov.ph/GEPSNONPILOT/Tender/SplashBidNoticeAbstractUI.aspx?menuIndex=3&amp;refID=7022051&amp;Result=3","7022051")</f>
        <v>0</v>
      </c>
      <c r="B10006" t="s">
        <v>2596</v>
      </c>
      <c r="C10006" t="s">
        <v>12261</v>
      </c>
      <c r="D10006" t="s">
        <v>12988</v>
      </c>
      <c r="E10006" t="s">
        <v>21790</v>
      </c>
      <c r="F10006" t="s">
        <v>22437</v>
      </c>
      <c r="G10006" t="s">
        <v>22444</v>
      </c>
      <c r="H10006" t="s">
        <v>22452</v>
      </c>
      <c r="I10006" t="s">
        <v>3840</v>
      </c>
      <c r="J10006" t="s">
        <v>22674</v>
      </c>
      <c r="K10006" t="s">
        <v>29330</v>
      </c>
      <c r="M10006" t="s">
        <v>32420</v>
      </c>
      <c r="N10006" t="s">
        <v>32524</v>
      </c>
      <c r="O10006" t="s">
        <v>32525</v>
      </c>
      <c r="P10006">
        <v>0</v>
      </c>
      <c r="Q10006">
        <v>3</v>
      </c>
      <c r="R10006" t="s">
        <v>32539</v>
      </c>
      <c r="S10006" t="s">
        <v>33010</v>
      </c>
      <c r="T10006" t="s">
        <v>33328</v>
      </c>
      <c r="U10006" t="s">
        <v>41843</v>
      </c>
      <c r="W10006" t="s">
        <v>32420</v>
      </c>
      <c r="X10006" t="s">
        <v>32540</v>
      </c>
    </row>
    <row r="10007" spans="1:24">
      <c r="A10007">
        <f>HYPERLINK("https://www.philgeps.gov.ph/GEPSNONPILOT/Tender/SplashBidNoticeAbstractUI.aspx?menuIndex=3&amp;refID=7022133&amp;Result=3","7022133")</f>
        <v>0</v>
      </c>
      <c r="B10007" t="s">
        <v>1337</v>
      </c>
      <c r="C10007" t="s">
        <v>12262</v>
      </c>
      <c r="D10007" t="s">
        <v>13042</v>
      </c>
      <c r="E10007" t="s">
        <v>21791</v>
      </c>
      <c r="F10007" t="s">
        <v>22436</v>
      </c>
      <c r="G10007" t="s">
        <v>22444</v>
      </c>
      <c r="H10007" t="s">
        <v>22454</v>
      </c>
      <c r="I10007" t="s">
        <v>7738</v>
      </c>
      <c r="J10007" t="s">
        <v>23399</v>
      </c>
      <c r="K10007" t="s">
        <v>29388</v>
      </c>
      <c r="M10007" t="s">
        <v>30992</v>
      </c>
      <c r="N10007" t="s">
        <v>32524</v>
      </c>
      <c r="O10007" t="s">
        <v>32525</v>
      </c>
      <c r="P10007">
        <v>0</v>
      </c>
      <c r="Q10007">
        <v>0</v>
      </c>
      <c r="R10007" t="s">
        <v>32539</v>
      </c>
      <c r="S10007" t="s">
        <v>33010</v>
      </c>
      <c r="T10007" t="s">
        <v>33230</v>
      </c>
      <c r="U10007" t="s">
        <v>41844</v>
      </c>
      <c r="W10007" t="s">
        <v>30992</v>
      </c>
      <c r="X10007" t="s">
        <v>32540</v>
      </c>
    </row>
    <row r="10008" spans="1:24">
      <c r="A10008">
        <f>HYPERLINK("https://www.philgeps.gov.ph/GEPSNONPILOT/Tender/SplashBidNoticeAbstractUI.aspx?menuIndex=3&amp;refID=7022173&amp;Result=3","7022173")</f>
        <v>0</v>
      </c>
      <c r="B10008" t="s">
        <v>200</v>
      </c>
      <c r="C10008" t="s">
        <v>12263</v>
      </c>
      <c r="D10008" t="s">
        <v>13037</v>
      </c>
      <c r="E10008" t="s">
        <v>21792</v>
      </c>
      <c r="F10008" t="s">
        <v>22436</v>
      </c>
      <c r="G10008" t="s">
        <v>22444</v>
      </c>
      <c r="H10008" t="s">
        <v>22452</v>
      </c>
      <c r="I10008" t="s">
        <v>22460</v>
      </c>
      <c r="J10008" t="s">
        <v>28902</v>
      </c>
      <c r="K10008" t="s">
        <v>29335</v>
      </c>
      <c r="M10008" t="s">
        <v>29773</v>
      </c>
      <c r="N10008" t="s">
        <v>32524</v>
      </c>
      <c r="O10008" t="s">
        <v>32525</v>
      </c>
      <c r="P10008">
        <v>0</v>
      </c>
      <c r="Q10008">
        <v>4</v>
      </c>
      <c r="R10008" t="s">
        <v>32539</v>
      </c>
      <c r="S10008" t="s">
        <v>33010</v>
      </c>
      <c r="T10008" t="s">
        <v>33168</v>
      </c>
      <c r="U10008" t="s">
        <v>41845</v>
      </c>
      <c r="W10008" t="s">
        <v>29773</v>
      </c>
      <c r="X10008" t="s">
        <v>32540</v>
      </c>
    </row>
    <row r="10009" spans="1:24">
      <c r="A10009">
        <f>HYPERLINK("https://www.philgeps.gov.ph/GEPSNONPILOT/Tender/SplashBidNoticeAbstractUI.aspx?menuIndex=3&amp;refID=7022054&amp;Result=3","7022054")</f>
        <v>0</v>
      </c>
      <c r="B10009" t="s">
        <v>1182</v>
      </c>
      <c r="C10009" t="s">
        <v>12264</v>
      </c>
      <c r="D10009" t="s">
        <v>12993</v>
      </c>
      <c r="E10009" t="s">
        <v>21793</v>
      </c>
      <c r="F10009" t="s">
        <v>22436</v>
      </c>
      <c r="G10009" t="s">
        <v>22444</v>
      </c>
      <c r="H10009" t="s">
        <v>22454</v>
      </c>
      <c r="I10009" t="s">
        <v>7738</v>
      </c>
      <c r="J10009" t="s">
        <v>28903</v>
      </c>
      <c r="K10009" t="s">
        <v>29344</v>
      </c>
      <c r="M10009" t="s">
        <v>31415</v>
      </c>
      <c r="N10009" t="s">
        <v>32524</v>
      </c>
      <c r="O10009" t="s">
        <v>32525</v>
      </c>
      <c r="P10009">
        <v>0</v>
      </c>
      <c r="Q10009">
        <v>1</v>
      </c>
      <c r="R10009" t="s">
        <v>32539</v>
      </c>
      <c r="S10009" t="s">
        <v>33010</v>
      </c>
      <c r="T10009" t="s">
        <v>33234</v>
      </c>
      <c r="U10009" t="s">
        <v>41821</v>
      </c>
      <c r="V10009" t="s">
        <v>43144</v>
      </c>
      <c r="W10009" t="s">
        <v>43731</v>
      </c>
      <c r="X10009" t="s">
        <v>32540</v>
      </c>
    </row>
    <row r="10010" spans="1:24">
      <c r="A10010">
        <f>HYPERLINK("https://www.philgeps.gov.ph/GEPSNONPILOT/Tender/SplashBidNoticeAbstractUI.aspx?menuIndex=3&amp;refID=7022165&amp;Result=3","7022165")</f>
        <v>0</v>
      </c>
      <c r="B10010" t="s">
        <v>2602</v>
      </c>
      <c r="C10010" t="s">
        <v>12265</v>
      </c>
      <c r="D10010" t="s">
        <v>13006</v>
      </c>
      <c r="E10010" t="s">
        <v>19672</v>
      </c>
      <c r="F10010" t="s">
        <v>22436</v>
      </c>
      <c r="G10010" t="s">
        <v>22444</v>
      </c>
      <c r="H10010" t="s">
        <v>22452</v>
      </c>
      <c r="I10010" t="s">
        <v>3529</v>
      </c>
      <c r="J10010" t="s">
        <v>28904</v>
      </c>
      <c r="K10010" t="s">
        <v>29335</v>
      </c>
      <c r="M10010" t="s">
        <v>32427</v>
      </c>
      <c r="N10010" t="s">
        <v>32524</v>
      </c>
      <c r="O10010" t="s">
        <v>32525</v>
      </c>
      <c r="P10010">
        <v>0</v>
      </c>
      <c r="Q10010">
        <v>0</v>
      </c>
      <c r="R10010" t="s">
        <v>32539</v>
      </c>
      <c r="S10010" t="s">
        <v>33010</v>
      </c>
      <c r="T10010" t="s">
        <v>33534</v>
      </c>
      <c r="U10010" t="s">
        <v>41846</v>
      </c>
      <c r="V10010" t="s">
        <v>42882</v>
      </c>
      <c r="W10010" t="s">
        <v>32427</v>
      </c>
      <c r="X10010" t="s">
        <v>32540</v>
      </c>
    </row>
    <row r="10011" spans="1:24">
      <c r="A10011">
        <f>HYPERLINK("https://www.philgeps.gov.ph/GEPSNONPILOT/Tender/SplashBidNoticeAbstractUI.aspx?menuIndex=3&amp;refID=7022120&amp;Result=3","7022120")</f>
        <v>0</v>
      </c>
      <c r="B10011" t="s">
        <v>110</v>
      </c>
      <c r="C10011" t="s">
        <v>12266</v>
      </c>
      <c r="D10011" t="s">
        <v>13028</v>
      </c>
      <c r="E10011" t="s">
        <v>21794</v>
      </c>
      <c r="F10011" t="s">
        <v>22436</v>
      </c>
      <c r="G10011" t="s">
        <v>22444</v>
      </c>
      <c r="H10011" t="s">
        <v>22452</v>
      </c>
      <c r="I10011" t="s">
        <v>22479</v>
      </c>
      <c r="J10011" t="s">
        <v>28905</v>
      </c>
      <c r="K10011" t="s">
        <v>29337</v>
      </c>
      <c r="M10011" t="s">
        <v>29682</v>
      </c>
      <c r="N10011" t="s">
        <v>32524</v>
      </c>
      <c r="O10011" t="s">
        <v>32525</v>
      </c>
      <c r="P10011">
        <v>0</v>
      </c>
      <c r="Q10011">
        <v>2</v>
      </c>
      <c r="R10011" t="s">
        <v>32539</v>
      </c>
      <c r="S10011" t="s">
        <v>33010</v>
      </c>
      <c r="T10011" t="s">
        <v>33155</v>
      </c>
      <c r="U10011" t="s">
        <v>41847</v>
      </c>
      <c r="W10011" t="s">
        <v>29682</v>
      </c>
      <c r="X10011" t="s">
        <v>32540</v>
      </c>
    </row>
    <row r="10012" spans="1:24">
      <c r="A10012">
        <f>HYPERLINK("https://www.philgeps.gov.ph/GEPSNONPILOT/Tender/SplashBidNoticeAbstractUI.aspx?menuIndex=3&amp;refID=7022154&amp;Result=3","7022154")</f>
        <v>0</v>
      </c>
      <c r="B10012" t="s">
        <v>275</v>
      </c>
      <c r="C10012" t="s">
        <v>12267</v>
      </c>
      <c r="E10012" t="s">
        <v>21795</v>
      </c>
      <c r="F10012" t="s">
        <v>22436</v>
      </c>
      <c r="G10012" t="s">
        <v>22444</v>
      </c>
      <c r="H10012" t="s">
        <v>22452</v>
      </c>
      <c r="I10012" t="s">
        <v>22461</v>
      </c>
      <c r="J10012" t="s">
        <v>23350</v>
      </c>
      <c r="K10012" t="s">
        <v>29338</v>
      </c>
      <c r="M10012" t="s">
        <v>29849</v>
      </c>
      <c r="N10012" t="s">
        <v>32524</v>
      </c>
      <c r="O10012" t="s">
        <v>32525</v>
      </c>
      <c r="P10012">
        <v>0</v>
      </c>
      <c r="Q10012">
        <v>1</v>
      </c>
      <c r="R10012" t="s">
        <v>32539</v>
      </c>
      <c r="S10012" t="s">
        <v>33010</v>
      </c>
      <c r="T10012" t="s">
        <v>33194</v>
      </c>
      <c r="U10012" t="s">
        <v>41848</v>
      </c>
      <c r="V10012" t="s">
        <v>43357</v>
      </c>
      <c r="W10012" t="s">
        <v>29849</v>
      </c>
      <c r="X10012" t="s">
        <v>32540</v>
      </c>
    </row>
    <row r="10013" spans="1:24">
      <c r="A10013">
        <f>HYPERLINK("https://www.philgeps.gov.ph/GEPSNONPILOT/Tender/SplashBidNoticeAbstractUI.aspx?menuIndex=3&amp;refID=7022142&amp;Result=3","7022142")</f>
        <v>0</v>
      </c>
      <c r="B10013" t="s">
        <v>1664</v>
      </c>
      <c r="C10013" t="s">
        <v>12268</v>
      </c>
      <c r="D10013" t="s">
        <v>12999</v>
      </c>
      <c r="E10013" t="s">
        <v>21796</v>
      </c>
      <c r="F10013" t="s">
        <v>22436</v>
      </c>
      <c r="G10013" t="s">
        <v>22444</v>
      </c>
      <c r="H10013" t="s">
        <v>22454</v>
      </c>
      <c r="I10013" t="s">
        <v>7738</v>
      </c>
      <c r="J10013" t="s">
        <v>28906</v>
      </c>
      <c r="K10013" t="s">
        <v>29338</v>
      </c>
      <c r="M10013" t="s">
        <v>31361</v>
      </c>
      <c r="N10013" t="s">
        <v>32524</v>
      </c>
      <c r="O10013" t="s">
        <v>32525</v>
      </c>
      <c r="P10013">
        <v>0</v>
      </c>
      <c r="Q10013">
        <v>0</v>
      </c>
      <c r="R10013" t="s">
        <v>32539</v>
      </c>
      <c r="S10013" t="s">
        <v>33010</v>
      </c>
      <c r="T10013" t="s">
        <v>33175</v>
      </c>
      <c r="U10013" t="s">
        <v>41849</v>
      </c>
      <c r="W10013" t="s">
        <v>31361</v>
      </c>
      <c r="X10013" t="s">
        <v>32540</v>
      </c>
    </row>
    <row r="10014" spans="1:24">
      <c r="A10014">
        <f>HYPERLINK("https://www.philgeps.gov.ph/GEPSNONPILOT/Tender/SplashBidNoticeAbstractUI.aspx?menuIndex=3&amp;refID=7022182&amp;Result=3","7022182")</f>
        <v>0</v>
      </c>
      <c r="B10014" t="s">
        <v>2601</v>
      </c>
      <c r="C10014" t="s">
        <v>12269</v>
      </c>
      <c r="D10014" t="s">
        <v>13033</v>
      </c>
      <c r="E10014" t="s">
        <v>21797</v>
      </c>
      <c r="F10014" t="s">
        <v>22436</v>
      </c>
      <c r="G10014" t="s">
        <v>22444</v>
      </c>
      <c r="H10014" t="s">
        <v>22454</v>
      </c>
      <c r="I10014" t="s">
        <v>7738</v>
      </c>
      <c r="J10014" t="s">
        <v>28907</v>
      </c>
      <c r="K10014" t="s">
        <v>29388</v>
      </c>
      <c r="M10014" t="s">
        <v>32426</v>
      </c>
      <c r="N10014" t="s">
        <v>32524</v>
      </c>
      <c r="O10014" t="s">
        <v>32525</v>
      </c>
      <c r="P10014">
        <v>0</v>
      </c>
      <c r="Q10014">
        <v>0</v>
      </c>
      <c r="R10014" t="s">
        <v>32539</v>
      </c>
      <c r="S10014" t="s">
        <v>33010</v>
      </c>
      <c r="T10014" t="s">
        <v>33604</v>
      </c>
      <c r="U10014" t="s">
        <v>41850</v>
      </c>
      <c r="W10014" t="s">
        <v>32426</v>
      </c>
      <c r="X10014" t="s">
        <v>32540</v>
      </c>
    </row>
    <row r="10015" spans="1:24">
      <c r="A10015">
        <f>HYPERLINK("https://www.philgeps.gov.ph/GEPSNONPILOT/Tender/SplashBidNoticeAbstractUI.aspx?menuIndex=3&amp;refID=7022171&amp;Result=3","7022171")</f>
        <v>0</v>
      </c>
      <c r="B10015" t="s">
        <v>1664</v>
      </c>
      <c r="C10015" t="s">
        <v>12270</v>
      </c>
      <c r="D10015" t="s">
        <v>12999</v>
      </c>
      <c r="E10015" t="s">
        <v>21798</v>
      </c>
      <c r="F10015" t="s">
        <v>22436</v>
      </c>
      <c r="G10015" t="s">
        <v>22444</v>
      </c>
      <c r="H10015" t="s">
        <v>22454</v>
      </c>
      <c r="I10015" t="s">
        <v>7738</v>
      </c>
      <c r="J10015" t="s">
        <v>28908</v>
      </c>
      <c r="K10015" t="s">
        <v>29338</v>
      </c>
      <c r="M10015" t="s">
        <v>31361</v>
      </c>
      <c r="N10015" t="s">
        <v>32524</v>
      </c>
      <c r="O10015" t="s">
        <v>32525</v>
      </c>
      <c r="P10015">
        <v>0</v>
      </c>
      <c r="Q10015">
        <v>0</v>
      </c>
      <c r="R10015" t="s">
        <v>32539</v>
      </c>
      <c r="S10015" t="s">
        <v>33010</v>
      </c>
      <c r="T10015" t="s">
        <v>33175</v>
      </c>
      <c r="U10015" t="s">
        <v>41851</v>
      </c>
      <c r="W10015" t="s">
        <v>31361</v>
      </c>
      <c r="X10015" t="s">
        <v>32540</v>
      </c>
    </row>
    <row r="10016" spans="1:24">
      <c r="A10016">
        <f>HYPERLINK("https://www.philgeps.gov.ph/GEPSNONPILOT/Tender/SplashBidNoticeAbstractUI.aspx?menuIndex=3&amp;refID=7022169&amp;Result=3","7022169")</f>
        <v>0</v>
      </c>
      <c r="B10016" t="s">
        <v>2589</v>
      </c>
      <c r="C10016" t="s">
        <v>12271</v>
      </c>
      <c r="D10016" t="s">
        <v>13015</v>
      </c>
      <c r="E10016" t="s">
        <v>21799</v>
      </c>
      <c r="F10016" t="s">
        <v>22437</v>
      </c>
      <c r="G10016" t="s">
        <v>22444</v>
      </c>
      <c r="H10016" t="s">
        <v>22454</v>
      </c>
      <c r="I10016" t="s">
        <v>7738</v>
      </c>
      <c r="J10016" t="s">
        <v>22971</v>
      </c>
      <c r="K10016" t="s">
        <v>29342</v>
      </c>
      <c r="M10016" t="s">
        <v>32413</v>
      </c>
      <c r="N10016" t="s">
        <v>32524</v>
      </c>
      <c r="O10016" t="s">
        <v>32525</v>
      </c>
      <c r="P10016">
        <v>0</v>
      </c>
      <c r="Q10016">
        <v>1</v>
      </c>
      <c r="R10016" t="s">
        <v>32539</v>
      </c>
      <c r="S10016" t="s">
        <v>33010</v>
      </c>
      <c r="T10016" t="s">
        <v>33191</v>
      </c>
      <c r="U10016" t="s">
        <v>41852</v>
      </c>
      <c r="V10016" t="s">
        <v>43596</v>
      </c>
      <c r="W10016" t="s">
        <v>32413</v>
      </c>
      <c r="X10016" t="s">
        <v>32540</v>
      </c>
    </row>
    <row r="10017" spans="1:24">
      <c r="A10017">
        <f>HYPERLINK("https://www.philgeps.gov.ph/GEPSNONPILOT/Tender/SplashBidNoticeAbstractUI.aspx?menuIndex=3&amp;refID=7022211&amp;Result=3","7022211")</f>
        <v>0</v>
      </c>
      <c r="B10017" t="s">
        <v>200</v>
      </c>
      <c r="C10017" t="s">
        <v>12272</v>
      </c>
      <c r="D10017" t="s">
        <v>13037</v>
      </c>
      <c r="E10017" t="s">
        <v>21800</v>
      </c>
      <c r="F10017" t="s">
        <v>22436</v>
      </c>
      <c r="G10017" t="s">
        <v>22444</v>
      </c>
      <c r="H10017" t="s">
        <v>22452</v>
      </c>
      <c r="I10017" t="s">
        <v>22494</v>
      </c>
      <c r="J10017" t="s">
        <v>28909</v>
      </c>
      <c r="K10017" t="s">
        <v>29335</v>
      </c>
      <c r="M10017" t="s">
        <v>29773</v>
      </c>
      <c r="N10017" t="s">
        <v>32524</v>
      </c>
      <c r="O10017" t="s">
        <v>32525</v>
      </c>
      <c r="P10017">
        <v>0</v>
      </c>
      <c r="Q10017">
        <v>0</v>
      </c>
      <c r="R10017" t="s">
        <v>32539</v>
      </c>
      <c r="S10017" t="s">
        <v>33010</v>
      </c>
      <c r="T10017" t="s">
        <v>33168</v>
      </c>
      <c r="U10017" t="s">
        <v>41853</v>
      </c>
      <c r="W10017" t="s">
        <v>29773</v>
      </c>
      <c r="X10017" t="s">
        <v>32540</v>
      </c>
    </row>
    <row r="10018" spans="1:24">
      <c r="A10018">
        <f>HYPERLINK("https://www.philgeps.gov.ph/GEPSNONPILOT/Tender/SplashBidNoticeAbstractUI.aspx?menuIndex=3&amp;refID=7022183&amp;Result=3","7022183")</f>
        <v>0</v>
      </c>
      <c r="B10018" t="s">
        <v>796</v>
      </c>
      <c r="C10018" t="s">
        <v>12273</v>
      </c>
      <c r="D10018" t="s">
        <v>13069</v>
      </c>
      <c r="E10018" t="s">
        <v>21801</v>
      </c>
      <c r="F10018" t="s">
        <v>22436</v>
      </c>
      <c r="G10018" t="s">
        <v>22444</v>
      </c>
      <c r="H10018" t="s">
        <v>22454</v>
      </c>
      <c r="I10018" t="s">
        <v>7738</v>
      </c>
      <c r="J10018" t="s">
        <v>28910</v>
      </c>
      <c r="K10018" t="s">
        <v>29338</v>
      </c>
      <c r="M10018" t="s">
        <v>30397</v>
      </c>
      <c r="N10018" t="s">
        <v>32524</v>
      </c>
      <c r="O10018" t="s">
        <v>32525</v>
      </c>
      <c r="P10018">
        <v>0</v>
      </c>
      <c r="Q10018">
        <v>3</v>
      </c>
      <c r="R10018" t="s">
        <v>32539</v>
      </c>
      <c r="S10018" t="s">
        <v>33010</v>
      </c>
      <c r="T10018" t="s">
        <v>33230</v>
      </c>
      <c r="U10018" t="s">
        <v>41854</v>
      </c>
      <c r="W10018" t="s">
        <v>43695</v>
      </c>
      <c r="X10018" t="s">
        <v>32540</v>
      </c>
    </row>
    <row r="10019" spans="1:24">
      <c r="A10019">
        <f>HYPERLINK("https://www.philgeps.gov.ph/GEPSNONPILOT/Tender/SplashBidNoticeAbstractUI.aspx?menuIndex=3&amp;refID=7022194&amp;Result=3","7022194")</f>
        <v>0</v>
      </c>
      <c r="B10019" t="s">
        <v>275</v>
      </c>
      <c r="C10019" t="s">
        <v>12274</v>
      </c>
      <c r="E10019" t="s">
        <v>21802</v>
      </c>
      <c r="F10019" t="s">
        <v>22436</v>
      </c>
      <c r="G10019" t="s">
        <v>22444</v>
      </c>
      <c r="H10019" t="s">
        <v>22452</v>
      </c>
      <c r="I10019" t="s">
        <v>22461</v>
      </c>
      <c r="J10019" t="s">
        <v>22960</v>
      </c>
      <c r="K10019" t="s">
        <v>29338</v>
      </c>
      <c r="M10019" t="s">
        <v>29849</v>
      </c>
      <c r="N10019" t="s">
        <v>32524</v>
      </c>
      <c r="O10019" t="s">
        <v>32525</v>
      </c>
      <c r="P10019">
        <v>0</v>
      </c>
      <c r="Q10019">
        <v>1</v>
      </c>
      <c r="R10019" t="s">
        <v>32539</v>
      </c>
      <c r="S10019" t="s">
        <v>33010</v>
      </c>
      <c r="T10019" t="s">
        <v>33194</v>
      </c>
      <c r="U10019" t="s">
        <v>41855</v>
      </c>
      <c r="V10019" t="s">
        <v>43357</v>
      </c>
      <c r="W10019" t="s">
        <v>29849</v>
      </c>
      <c r="X10019" t="s">
        <v>32540</v>
      </c>
    </row>
    <row r="10020" spans="1:24">
      <c r="A10020">
        <f>HYPERLINK("https://www.philgeps.gov.ph/GEPSNONPILOT/Tender/SplashBidNoticeAbstractUI.aspx?menuIndex=3&amp;refID=7022227&amp;Result=3","7022227")</f>
        <v>0</v>
      </c>
      <c r="B10020" t="s">
        <v>110</v>
      </c>
      <c r="C10020" t="s">
        <v>12275</v>
      </c>
      <c r="D10020" t="s">
        <v>13028</v>
      </c>
      <c r="E10020" t="s">
        <v>21803</v>
      </c>
      <c r="F10020" t="s">
        <v>22436</v>
      </c>
      <c r="G10020" t="s">
        <v>22444</v>
      </c>
      <c r="H10020" t="s">
        <v>22452</v>
      </c>
      <c r="I10020" t="s">
        <v>22463</v>
      </c>
      <c r="J10020" t="s">
        <v>28911</v>
      </c>
      <c r="K10020" t="s">
        <v>29337</v>
      </c>
      <c r="M10020" t="s">
        <v>29682</v>
      </c>
      <c r="N10020" t="s">
        <v>32524</v>
      </c>
      <c r="O10020" t="s">
        <v>32525</v>
      </c>
      <c r="P10020">
        <v>0</v>
      </c>
      <c r="Q10020">
        <v>6</v>
      </c>
      <c r="R10020" t="s">
        <v>32539</v>
      </c>
      <c r="S10020" t="s">
        <v>33010</v>
      </c>
      <c r="T10020" t="s">
        <v>33155</v>
      </c>
      <c r="U10020" t="s">
        <v>41856</v>
      </c>
      <c r="W10020" t="s">
        <v>29682</v>
      </c>
      <c r="X10020" t="s">
        <v>32540</v>
      </c>
    </row>
    <row r="10021" spans="1:24">
      <c r="A10021">
        <f>HYPERLINK("https://www.philgeps.gov.ph/GEPSNONPILOT/Tender/SplashBidNoticeAbstractUI.aspx?menuIndex=3&amp;refID=7022300&amp;Result=3","7022300")</f>
        <v>0</v>
      </c>
      <c r="B10021" t="s">
        <v>2601</v>
      </c>
      <c r="C10021" t="s">
        <v>12276</v>
      </c>
      <c r="D10021" t="s">
        <v>13033</v>
      </c>
      <c r="E10021" t="s">
        <v>21804</v>
      </c>
      <c r="F10021" t="s">
        <v>22436</v>
      </c>
      <c r="G10021" t="s">
        <v>22444</v>
      </c>
      <c r="H10021" t="s">
        <v>22454</v>
      </c>
      <c r="I10021" t="s">
        <v>7738</v>
      </c>
      <c r="J10021" t="s">
        <v>28912</v>
      </c>
      <c r="K10021" t="s">
        <v>29345</v>
      </c>
      <c r="M10021" t="s">
        <v>32426</v>
      </c>
      <c r="N10021" t="s">
        <v>32524</v>
      </c>
      <c r="O10021" t="s">
        <v>32525</v>
      </c>
      <c r="P10021">
        <v>0</v>
      </c>
      <c r="Q10021">
        <v>1</v>
      </c>
      <c r="R10021" t="s">
        <v>32539</v>
      </c>
      <c r="S10021" t="s">
        <v>33010</v>
      </c>
      <c r="T10021" t="s">
        <v>33162</v>
      </c>
      <c r="U10021" t="s">
        <v>41857</v>
      </c>
      <c r="W10021" t="s">
        <v>32426</v>
      </c>
      <c r="X10021" t="s">
        <v>32540</v>
      </c>
    </row>
    <row r="10022" spans="1:24">
      <c r="A10022">
        <f>HYPERLINK("https://www.philgeps.gov.ph/GEPSNONPILOT/Tender/SplashBidNoticeAbstractUI.aspx?menuIndex=3&amp;refID=7022187&amp;Result=3","7022187")</f>
        <v>0</v>
      </c>
      <c r="B10022" t="s">
        <v>1192</v>
      </c>
      <c r="C10022" t="s">
        <v>12277</v>
      </c>
      <c r="D10022" t="s">
        <v>13007</v>
      </c>
      <c r="E10022" t="s">
        <v>21805</v>
      </c>
      <c r="F10022" t="s">
        <v>22436</v>
      </c>
      <c r="G10022" t="s">
        <v>22444</v>
      </c>
      <c r="H10022" t="s">
        <v>22454</v>
      </c>
      <c r="I10022" t="s">
        <v>7738</v>
      </c>
      <c r="J10022" t="s">
        <v>22743</v>
      </c>
      <c r="K10022" t="s">
        <v>29334</v>
      </c>
      <c r="M10022" t="s">
        <v>30839</v>
      </c>
      <c r="N10022" t="s">
        <v>32524</v>
      </c>
      <c r="O10022" t="s">
        <v>32525</v>
      </c>
      <c r="P10022">
        <v>0</v>
      </c>
      <c r="Q10022">
        <v>8</v>
      </c>
      <c r="R10022" t="s">
        <v>32539</v>
      </c>
      <c r="S10022" t="s">
        <v>33010</v>
      </c>
      <c r="T10022" t="s">
        <v>33187</v>
      </c>
      <c r="U10022" t="s">
        <v>41858</v>
      </c>
      <c r="W10022" t="s">
        <v>43758</v>
      </c>
      <c r="X10022" t="s">
        <v>32540</v>
      </c>
    </row>
    <row r="10023" spans="1:24">
      <c r="A10023">
        <f>HYPERLINK("https://www.philgeps.gov.ph/GEPSNONPILOT/Tender/SplashBidNoticeAbstractUI.aspx?menuIndex=3&amp;refID=7022281&amp;Result=3","7022281")</f>
        <v>0</v>
      </c>
      <c r="B10023" t="s">
        <v>796</v>
      </c>
      <c r="C10023" t="s">
        <v>12278</v>
      </c>
      <c r="D10023" t="s">
        <v>13069</v>
      </c>
      <c r="E10023" t="s">
        <v>21806</v>
      </c>
      <c r="F10023" t="s">
        <v>22436</v>
      </c>
      <c r="G10023" t="s">
        <v>22444</v>
      </c>
      <c r="H10023" t="s">
        <v>22454</v>
      </c>
      <c r="I10023" t="s">
        <v>7738</v>
      </c>
      <c r="J10023" t="s">
        <v>28913</v>
      </c>
      <c r="K10023" t="s">
        <v>29338</v>
      </c>
      <c r="M10023" t="s">
        <v>30397</v>
      </c>
      <c r="N10023" t="s">
        <v>32524</v>
      </c>
      <c r="O10023" t="s">
        <v>32525</v>
      </c>
      <c r="P10023">
        <v>0</v>
      </c>
      <c r="Q10023">
        <v>3</v>
      </c>
      <c r="R10023" t="s">
        <v>32539</v>
      </c>
      <c r="S10023" t="s">
        <v>33010</v>
      </c>
      <c r="T10023" t="s">
        <v>33230</v>
      </c>
      <c r="U10023" t="s">
        <v>41859</v>
      </c>
      <c r="W10023" t="s">
        <v>43695</v>
      </c>
      <c r="X10023" t="s">
        <v>32540</v>
      </c>
    </row>
    <row r="10024" spans="1:24">
      <c r="A10024">
        <f>HYPERLINK("https://www.philgeps.gov.ph/GEPSNONPILOT/Tender/SplashBidNoticeAbstractUI.aspx?menuIndex=3&amp;refID=7022265&amp;Result=3","7022265")</f>
        <v>0</v>
      </c>
      <c r="B10024" t="s">
        <v>2044</v>
      </c>
      <c r="C10024" t="s">
        <v>12279</v>
      </c>
      <c r="D10024" t="s">
        <v>13006</v>
      </c>
      <c r="E10024" t="s">
        <v>14850</v>
      </c>
      <c r="F10024" t="s">
        <v>22436</v>
      </c>
      <c r="G10024" t="s">
        <v>22444</v>
      </c>
      <c r="H10024" t="s">
        <v>22452</v>
      </c>
      <c r="I10024" t="s">
        <v>5194</v>
      </c>
      <c r="J10024" t="s">
        <v>28914</v>
      </c>
      <c r="K10024" t="s">
        <v>29338</v>
      </c>
      <c r="M10024" t="s">
        <v>31781</v>
      </c>
      <c r="N10024" t="s">
        <v>32524</v>
      </c>
      <c r="O10024" t="s">
        <v>32525</v>
      </c>
      <c r="P10024">
        <v>0</v>
      </c>
      <c r="Q10024">
        <v>7</v>
      </c>
      <c r="R10024" t="s">
        <v>32539</v>
      </c>
      <c r="S10024" t="s">
        <v>33010</v>
      </c>
      <c r="T10024" t="s">
        <v>33242</v>
      </c>
      <c r="U10024" t="s">
        <v>41860</v>
      </c>
      <c r="W10024" t="s">
        <v>31781</v>
      </c>
      <c r="X10024" t="s">
        <v>32540</v>
      </c>
    </row>
    <row r="10025" spans="1:24">
      <c r="A10025">
        <f>HYPERLINK("https://www.philgeps.gov.ph/GEPSNONPILOT/Tender/SplashBidNoticeAbstractUI.aspx?menuIndex=3&amp;refID=7022268&amp;Result=3","7022268")</f>
        <v>0</v>
      </c>
      <c r="B10025" t="s">
        <v>1262</v>
      </c>
      <c r="C10025" t="s">
        <v>12280</v>
      </c>
      <c r="D10025" t="s">
        <v>13032</v>
      </c>
      <c r="E10025" t="s">
        <v>21807</v>
      </c>
      <c r="F10025" t="s">
        <v>22436</v>
      </c>
      <c r="G10025" t="s">
        <v>22444</v>
      </c>
      <c r="H10025" t="s">
        <v>22454</v>
      </c>
      <c r="I10025" t="s">
        <v>7738</v>
      </c>
      <c r="J10025" t="s">
        <v>22634</v>
      </c>
      <c r="K10025" t="s">
        <v>29333</v>
      </c>
      <c r="M10025" t="s">
        <v>30915</v>
      </c>
      <c r="N10025" t="s">
        <v>32524</v>
      </c>
      <c r="O10025" t="s">
        <v>32525</v>
      </c>
      <c r="P10025">
        <v>0</v>
      </c>
      <c r="Q10025">
        <v>0</v>
      </c>
      <c r="R10025" t="s">
        <v>32539</v>
      </c>
      <c r="S10025" t="s">
        <v>33010</v>
      </c>
      <c r="T10025" t="s">
        <v>33155</v>
      </c>
      <c r="U10025" t="s">
        <v>41861</v>
      </c>
      <c r="W10025" t="s">
        <v>30915</v>
      </c>
      <c r="X10025" t="s">
        <v>32540</v>
      </c>
    </row>
    <row r="10026" spans="1:24">
      <c r="A10026">
        <f>HYPERLINK("https://www.philgeps.gov.ph/GEPSNONPILOT/Tender/SplashBidNoticeAbstractUI.aspx?menuIndex=3&amp;refID=7022306&amp;Result=3","7022306")</f>
        <v>0</v>
      </c>
      <c r="B10026" t="s">
        <v>2603</v>
      </c>
      <c r="C10026" t="s">
        <v>12281</v>
      </c>
      <c r="D10026" t="s">
        <v>12988</v>
      </c>
      <c r="E10026" t="s">
        <v>21808</v>
      </c>
      <c r="F10026" t="s">
        <v>22436</v>
      </c>
      <c r="G10026" t="s">
        <v>22444</v>
      </c>
      <c r="H10026" t="s">
        <v>22452</v>
      </c>
      <c r="I10026" t="s">
        <v>22474</v>
      </c>
      <c r="J10026" t="s">
        <v>28890</v>
      </c>
      <c r="K10026" t="s">
        <v>29329</v>
      </c>
      <c r="M10026" t="s">
        <v>32428</v>
      </c>
      <c r="N10026" t="s">
        <v>32524</v>
      </c>
      <c r="O10026" t="s">
        <v>32525</v>
      </c>
      <c r="Q10026">
        <v>9</v>
      </c>
      <c r="R10026" t="s">
        <v>32539</v>
      </c>
      <c r="S10026" t="s">
        <v>33035</v>
      </c>
      <c r="T10026" t="s">
        <v>33168</v>
      </c>
      <c r="U10026" t="s">
        <v>41862</v>
      </c>
      <c r="W10026" t="s">
        <v>32428</v>
      </c>
      <c r="X10026" t="s">
        <v>32540</v>
      </c>
    </row>
    <row r="10027" spans="1:24">
      <c r="A10027">
        <f>HYPERLINK("https://www.philgeps.gov.ph/GEPSNONPILOT/Tender/SplashBidNoticeAbstractUI.aspx?menuIndex=3&amp;refID=7022153&amp;Result=3","7022153")</f>
        <v>0</v>
      </c>
      <c r="B10027" t="s">
        <v>978</v>
      </c>
      <c r="C10027" t="s">
        <v>12282</v>
      </c>
      <c r="D10027" t="s">
        <v>13032</v>
      </c>
      <c r="E10027" t="s">
        <v>21809</v>
      </c>
      <c r="F10027" t="s">
        <v>22436</v>
      </c>
      <c r="G10027" t="s">
        <v>22444</v>
      </c>
      <c r="H10027" t="s">
        <v>22454</v>
      </c>
      <c r="I10027" t="s">
        <v>7738</v>
      </c>
      <c r="J10027" t="s">
        <v>28915</v>
      </c>
      <c r="K10027" t="s">
        <v>29333</v>
      </c>
      <c r="M10027" t="s">
        <v>30599</v>
      </c>
      <c r="N10027" t="s">
        <v>32524</v>
      </c>
      <c r="O10027" t="s">
        <v>32525</v>
      </c>
      <c r="P10027">
        <v>0</v>
      </c>
      <c r="Q10027">
        <v>0</v>
      </c>
      <c r="R10027" t="s">
        <v>32539</v>
      </c>
      <c r="S10027" t="s">
        <v>33010</v>
      </c>
      <c r="T10027" t="s">
        <v>33181</v>
      </c>
      <c r="U10027" t="s">
        <v>41863</v>
      </c>
      <c r="V10027" t="s">
        <v>42462</v>
      </c>
      <c r="W10027" t="s">
        <v>30599</v>
      </c>
      <c r="X10027" t="s">
        <v>32540</v>
      </c>
    </row>
    <row r="10028" spans="1:24">
      <c r="A10028">
        <f>HYPERLINK("https://www.philgeps.gov.ph/GEPSNONPILOT/Tender/SplashBidNoticeAbstractUI.aspx?menuIndex=3&amp;refID=7022260&amp;Result=3","7022260")</f>
        <v>0</v>
      </c>
      <c r="B10028" t="s">
        <v>1452</v>
      </c>
      <c r="C10028" t="s">
        <v>12283</v>
      </c>
      <c r="D10028" t="s">
        <v>13018</v>
      </c>
      <c r="E10028" t="s">
        <v>21810</v>
      </c>
      <c r="F10028" t="s">
        <v>22436</v>
      </c>
      <c r="G10028" t="s">
        <v>22444</v>
      </c>
      <c r="H10028" t="s">
        <v>22454</v>
      </c>
      <c r="I10028" t="s">
        <v>7738</v>
      </c>
      <c r="J10028" t="s">
        <v>22911</v>
      </c>
      <c r="K10028" t="s">
        <v>29333</v>
      </c>
      <c r="L10028" t="s">
        <v>1452</v>
      </c>
      <c r="M10028" t="s">
        <v>31116</v>
      </c>
      <c r="N10028" t="s">
        <v>32524</v>
      </c>
      <c r="O10028" t="s">
        <v>32525</v>
      </c>
      <c r="P10028">
        <v>0</v>
      </c>
      <c r="Q10028">
        <v>1</v>
      </c>
      <c r="R10028" t="s">
        <v>32539</v>
      </c>
      <c r="S10028" t="s">
        <v>33010</v>
      </c>
      <c r="T10028" t="s">
        <v>33293</v>
      </c>
      <c r="U10028" t="s">
        <v>41864</v>
      </c>
      <c r="V10028" t="s">
        <v>42867</v>
      </c>
      <c r="W10028" t="s">
        <v>31116</v>
      </c>
      <c r="X10028" t="s">
        <v>32540</v>
      </c>
    </row>
    <row r="10029" spans="1:24">
      <c r="A10029">
        <f>HYPERLINK("https://www.philgeps.gov.ph/GEPSNONPILOT/Tender/SplashBidNoticeAbstractUI.aspx?menuIndex=3&amp;refID=7022135&amp;Result=3","7022135")</f>
        <v>0</v>
      </c>
      <c r="B10029" t="s">
        <v>2604</v>
      </c>
      <c r="C10029" t="s">
        <v>12284</v>
      </c>
      <c r="D10029" t="s">
        <v>13015</v>
      </c>
      <c r="E10029" t="s">
        <v>13881</v>
      </c>
      <c r="F10029" t="s">
        <v>22436</v>
      </c>
      <c r="G10029" t="s">
        <v>22444</v>
      </c>
      <c r="H10029" t="s">
        <v>22452</v>
      </c>
      <c r="I10029" t="s">
        <v>22525</v>
      </c>
      <c r="J10029" t="s">
        <v>28916</v>
      </c>
      <c r="K10029" t="s">
        <v>29357</v>
      </c>
      <c r="M10029" t="s">
        <v>32429</v>
      </c>
      <c r="N10029" t="s">
        <v>32524</v>
      </c>
      <c r="O10029" t="s">
        <v>32525</v>
      </c>
      <c r="P10029">
        <v>0</v>
      </c>
      <c r="Q10029">
        <v>3</v>
      </c>
      <c r="R10029" t="s">
        <v>32539</v>
      </c>
      <c r="S10029" t="s">
        <v>33010</v>
      </c>
      <c r="T10029" t="s">
        <v>33216</v>
      </c>
      <c r="U10029" t="s">
        <v>41865</v>
      </c>
      <c r="W10029" t="s">
        <v>32429</v>
      </c>
      <c r="X10029" t="s">
        <v>32540</v>
      </c>
    </row>
    <row r="10030" spans="1:24">
      <c r="A10030">
        <f>HYPERLINK("https://www.philgeps.gov.ph/GEPSNONPILOT/Tender/SplashBidNoticeAbstractUI.aspx?menuIndex=3&amp;refID=7022264&amp;Result=3","7022264")</f>
        <v>0</v>
      </c>
      <c r="B10030" t="s">
        <v>200</v>
      </c>
      <c r="C10030" t="s">
        <v>12285</v>
      </c>
      <c r="D10030" t="s">
        <v>13037</v>
      </c>
      <c r="E10030" t="s">
        <v>21811</v>
      </c>
      <c r="F10030" t="s">
        <v>22436</v>
      </c>
      <c r="G10030" t="s">
        <v>22444</v>
      </c>
      <c r="H10030" t="s">
        <v>22452</v>
      </c>
      <c r="I10030" t="s">
        <v>6421</v>
      </c>
      <c r="J10030" t="s">
        <v>28917</v>
      </c>
      <c r="K10030" t="s">
        <v>29335</v>
      </c>
      <c r="M10030" t="s">
        <v>29773</v>
      </c>
      <c r="N10030" t="s">
        <v>32524</v>
      </c>
      <c r="O10030" t="s">
        <v>32525</v>
      </c>
      <c r="P10030">
        <v>0</v>
      </c>
      <c r="Q10030">
        <v>6</v>
      </c>
      <c r="R10030" t="s">
        <v>32539</v>
      </c>
      <c r="S10030" t="s">
        <v>33010</v>
      </c>
      <c r="T10030" t="s">
        <v>33168</v>
      </c>
      <c r="U10030" t="s">
        <v>41866</v>
      </c>
      <c r="W10030" t="s">
        <v>29773</v>
      </c>
      <c r="X10030" t="s">
        <v>32540</v>
      </c>
    </row>
    <row r="10031" spans="1:24">
      <c r="A10031">
        <f>HYPERLINK("https://www.philgeps.gov.ph/GEPSNONPILOT/Tender/SplashBidNoticeAbstractUI.aspx?menuIndex=3&amp;refID=7022246&amp;Result=3","7022246")</f>
        <v>0</v>
      </c>
      <c r="B10031" t="s">
        <v>986</v>
      </c>
      <c r="C10031" t="s">
        <v>12286</v>
      </c>
      <c r="D10031" t="s">
        <v>13016</v>
      </c>
      <c r="E10031" t="s">
        <v>17278</v>
      </c>
      <c r="F10031" t="s">
        <v>22436</v>
      </c>
      <c r="G10031" t="s">
        <v>22444</v>
      </c>
      <c r="H10031" t="s">
        <v>22452</v>
      </c>
      <c r="I10031" t="s">
        <v>3529</v>
      </c>
      <c r="J10031" t="s">
        <v>28918</v>
      </c>
      <c r="K10031" t="s">
        <v>29334</v>
      </c>
      <c r="L10031" t="s">
        <v>986</v>
      </c>
      <c r="M10031" t="s">
        <v>30608</v>
      </c>
      <c r="N10031" t="s">
        <v>32524</v>
      </c>
      <c r="O10031" t="s">
        <v>32525</v>
      </c>
      <c r="P10031">
        <v>0</v>
      </c>
      <c r="Q10031">
        <v>0</v>
      </c>
      <c r="R10031" t="s">
        <v>32539</v>
      </c>
      <c r="S10031" t="s">
        <v>33010</v>
      </c>
      <c r="T10031" t="s">
        <v>33180</v>
      </c>
      <c r="U10031" t="s">
        <v>41867</v>
      </c>
      <c r="V10031" t="s">
        <v>42676</v>
      </c>
      <c r="W10031" t="s">
        <v>30608</v>
      </c>
      <c r="X10031" t="s">
        <v>32540</v>
      </c>
    </row>
    <row r="10032" spans="1:24">
      <c r="A10032">
        <f>HYPERLINK("https://www.philgeps.gov.ph/GEPSNONPILOT/Tender/SplashBidNoticeAbstractUI.aspx?menuIndex=3&amp;refID=7022250&amp;Result=3","7022250")</f>
        <v>0</v>
      </c>
      <c r="B10032" t="s">
        <v>2605</v>
      </c>
      <c r="C10032" t="s">
        <v>12287</v>
      </c>
      <c r="D10032" t="s">
        <v>13015</v>
      </c>
      <c r="E10032" t="s">
        <v>21812</v>
      </c>
      <c r="F10032" t="s">
        <v>22436</v>
      </c>
      <c r="G10032" t="s">
        <v>22444</v>
      </c>
      <c r="H10032" t="s">
        <v>22452</v>
      </c>
      <c r="I10032" t="s">
        <v>22474</v>
      </c>
      <c r="J10032" t="s">
        <v>22624</v>
      </c>
      <c r="K10032" t="s">
        <v>29347</v>
      </c>
      <c r="L10032" t="s">
        <v>2605</v>
      </c>
      <c r="M10032" t="s">
        <v>32430</v>
      </c>
      <c r="N10032" t="s">
        <v>32524</v>
      </c>
      <c r="O10032" t="s">
        <v>32525</v>
      </c>
      <c r="P10032">
        <v>0</v>
      </c>
      <c r="Q10032">
        <v>6</v>
      </c>
      <c r="R10032" t="s">
        <v>32539</v>
      </c>
      <c r="S10032" t="s">
        <v>33010</v>
      </c>
      <c r="T10032" t="s">
        <v>33181</v>
      </c>
      <c r="U10032" t="s">
        <v>41868</v>
      </c>
      <c r="V10032" t="s">
        <v>43598</v>
      </c>
      <c r="W10032" t="s">
        <v>32430</v>
      </c>
      <c r="X10032" t="s">
        <v>32540</v>
      </c>
    </row>
    <row r="10033" spans="1:24">
      <c r="A10033">
        <f>HYPERLINK("https://www.philgeps.gov.ph/GEPSNONPILOT/Tender/SplashBidNoticeAbstractUI.aspx?menuIndex=3&amp;refID=7022235&amp;Result=3","7022235")</f>
        <v>0</v>
      </c>
      <c r="B10033" t="s">
        <v>796</v>
      </c>
      <c r="C10033" t="s">
        <v>12288</v>
      </c>
      <c r="D10033" t="s">
        <v>13069</v>
      </c>
      <c r="E10033" t="s">
        <v>21813</v>
      </c>
      <c r="F10033" t="s">
        <v>22436</v>
      </c>
      <c r="G10033" t="s">
        <v>22444</v>
      </c>
      <c r="H10033" t="s">
        <v>22454</v>
      </c>
      <c r="I10033" t="s">
        <v>7738</v>
      </c>
      <c r="J10033" t="s">
        <v>28919</v>
      </c>
      <c r="K10033" t="s">
        <v>29338</v>
      </c>
      <c r="M10033" t="s">
        <v>30397</v>
      </c>
      <c r="N10033" t="s">
        <v>32524</v>
      </c>
      <c r="O10033" t="s">
        <v>32525</v>
      </c>
      <c r="P10033">
        <v>0</v>
      </c>
      <c r="Q10033">
        <v>3</v>
      </c>
      <c r="R10033" t="s">
        <v>32539</v>
      </c>
      <c r="S10033" t="s">
        <v>33010</v>
      </c>
      <c r="T10033" t="s">
        <v>33230</v>
      </c>
      <c r="U10033" t="s">
        <v>41869</v>
      </c>
      <c r="W10033" t="s">
        <v>43695</v>
      </c>
      <c r="X10033" t="s">
        <v>32540</v>
      </c>
    </row>
    <row r="10034" spans="1:24">
      <c r="A10034">
        <f>HYPERLINK("https://www.philgeps.gov.ph/GEPSNONPILOT/Tender/SplashBidNoticeAbstractUI.aspx?menuIndex=3&amp;refID=7022320&amp;Result=3","7022320")</f>
        <v>0</v>
      </c>
      <c r="B10034" t="s">
        <v>2606</v>
      </c>
      <c r="C10034" t="s">
        <v>12289</v>
      </c>
      <c r="D10034" t="s">
        <v>13038</v>
      </c>
      <c r="E10034" t="s">
        <v>21814</v>
      </c>
      <c r="F10034" t="s">
        <v>22436</v>
      </c>
      <c r="G10034" t="s">
        <v>22444</v>
      </c>
      <c r="H10034" t="s">
        <v>22452</v>
      </c>
      <c r="I10034" t="s">
        <v>22482</v>
      </c>
      <c r="J10034" t="s">
        <v>28920</v>
      </c>
      <c r="K10034" t="s">
        <v>29335</v>
      </c>
      <c r="M10034" t="s">
        <v>32431</v>
      </c>
      <c r="N10034" t="s">
        <v>32524</v>
      </c>
      <c r="O10034" t="s">
        <v>32525</v>
      </c>
      <c r="P10034">
        <v>0</v>
      </c>
      <c r="Q10034">
        <v>12</v>
      </c>
      <c r="R10034" t="s">
        <v>32539</v>
      </c>
      <c r="S10034" t="s">
        <v>33010</v>
      </c>
      <c r="T10034" t="s">
        <v>33181</v>
      </c>
      <c r="U10034" t="s">
        <v>41870</v>
      </c>
      <c r="W10034" t="s">
        <v>32431</v>
      </c>
      <c r="X10034" t="s">
        <v>32540</v>
      </c>
    </row>
    <row r="10035" spans="1:24">
      <c r="A10035">
        <f>HYPERLINK("https://www.philgeps.gov.ph/GEPSNONPILOT/Tender/SplashBidNoticeAbstractUI.aspx?menuIndex=3&amp;refID=7022322&amp;Result=3","7022322")</f>
        <v>0</v>
      </c>
      <c r="B10035" t="s">
        <v>2602</v>
      </c>
      <c r="C10035" t="s">
        <v>12290</v>
      </c>
      <c r="D10035" t="s">
        <v>13006</v>
      </c>
      <c r="E10035" t="s">
        <v>21815</v>
      </c>
      <c r="F10035" t="s">
        <v>22436</v>
      </c>
      <c r="G10035" t="s">
        <v>22444</v>
      </c>
      <c r="H10035" t="s">
        <v>22452</v>
      </c>
      <c r="I10035" t="s">
        <v>3529</v>
      </c>
      <c r="J10035" t="s">
        <v>28921</v>
      </c>
      <c r="K10035" t="s">
        <v>29335</v>
      </c>
      <c r="M10035" t="s">
        <v>32427</v>
      </c>
      <c r="N10035" t="s">
        <v>32524</v>
      </c>
      <c r="O10035" t="s">
        <v>32525</v>
      </c>
      <c r="P10035">
        <v>0</v>
      </c>
      <c r="Q10035">
        <v>0</v>
      </c>
      <c r="R10035" t="s">
        <v>32539</v>
      </c>
      <c r="S10035" t="s">
        <v>33010</v>
      </c>
      <c r="T10035" t="s">
        <v>33534</v>
      </c>
      <c r="U10035" t="s">
        <v>41871</v>
      </c>
      <c r="V10035" t="s">
        <v>42882</v>
      </c>
      <c r="W10035" t="s">
        <v>32427</v>
      </c>
      <c r="X10035" t="s">
        <v>32540</v>
      </c>
    </row>
    <row r="10036" spans="1:24">
      <c r="A10036">
        <f>HYPERLINK("https://www.philgeps.gov.ph/GEPSNONPILOT/Tender/SplashBidNoticeAbstractUI.aspx?menuIndex=3&amp;refID=7022326&amp;Result=3","7022326")</f>
        <v>0</v>
      </c>
      <c r="B10036" t="s">
        <v>796</v>
      </c>
      <c r="C10036" t="s">
        <v>12291</v>
      </c>
      <c r="D10036" t="s">
        <v>13069</v>
      </c>
      <c r="E10036" t="s">
        <v>21816</v>
      </c>
      <c r="F10036" t="s">
        <v>22436</v>
      </c>
      <c r="G10036" t="s">
        <v>22444</v>
      </c>
      <c r="H10036" t="s">
        <v>22454</v>
      </c>
      <c r="I10036" t="s">
        <v>7738</v>
      </c>
      <c r="J10036" t="s">
        <v>28922</v>
      </c>
      <c r="K10036" t="s">
        <v>29338</v>
      </c>
      <c r="M10036" t="s">
        <v>30397</v>
      </c>
      <c r="N10036" t="s">
        <v>32524</v>
      </c>
      <c r="O10036" t="s">
        <v>32525</v>
      </c>
      <c r="P10036">
        <v>0</v>
      </c>
      <c r="Q10036">
        <v>2</v>
      </c>
      <c r="R10036" t="s">
        <v>32539</v>
      </c>
      <c r="S10036" t="s">
        <v>33010</v>
      </c>
      <c r="T10036" t="s">
        <v>33230</v>
      </c>
      <c r="U10036" t="s">
        <v>41872</v>
      </c>
      <c r="W10036" t="s">
        <v>43695</v>
      </c>
      <c r="X10036" t="s">
        <v>32540</v>
      </c>
    </row>
    <row r="10037" spans="1:24">
      <c r="A10037">
        <f>HYPERLINK("https://www.philgeps.gov.ph/GEPSNONPILOT/Tender/SplashBidNoticeAbstractUI.aspx?menuIndex=3&amp;refID=7022311&amp;Result=3","7022311")</f>
        <v>0</v>
      </c>
      <c r="B10037" t="s">
        <v>2010</v>
      </c>
      <c r="C10037" t="s">
        <v>12292</v>
      </c>
      <c r="D10037" t="s">
        <v>13022</v>
      </c>
      <c r="E10037" t="s">
        <v>21817</v>
      </c>
      <c r="F10037" t="s">
        <v>22436</v>
      </c>
      <c r="G10037" t="s">
        <v>22444</v>
      </c>
      <c r="H10037" t="s">
        <v>22454</v>
      </c>
      <c r="I10037" t="s">
        <v>7738</v>
      </c>
      <c r="J10037" t="s">
        <v>22893</v>
      </c>
      <c r="K10037" t="s">
        <v>29338</v>
      </c>
      <c r="M10037" t="s">
        <v>31744</v>
      </c>
      <c r="N10037" t="s">
        <v>32524</v>
      </c>
      <c r="O10037" t="s">
        <v>32525</v>
      </c>
      <c r="Q10037">
        <v>1</v>
      </c>
      <c r="R10037" t="s">
        <v>32539</v>
      </c>
      <c r="S10037" t="s">
        <v>33036</v>
      </c>
      <c r="T10037" t="s">
        <v>33203</v>
      </c>
      <c r="U10037" t="s">
        <v>41873</v>
      </c>
      <c r="W10037" t="s">
        <v>31744</v>
      </c>
      <c r="X10037" t="s">
        <v>32540</v>
      </c>
    </row>
    <row r="10038" spans="1:24">
      <c r="A10038">
        <f>HYPERLINK("https://www.philgeps.gov.ph/GEPSNONPILOT/Tender/SplashBidNoticeAbstractUI.aspx?menuIndex=3&amp;refID=7022321&amp;Result=3","7022321")</f>
        <v>0</v>
      </c>
      <c r="B10038" t="s">
        <v>1262</v>
      </c>
      <c r="C10038" t="s">
        <v>12293</v>
      </c>
      <c r="D10038" t="s">
        <v>13032</v>
      </c>
      <c r="E10038" t="s">
        <v>21818</v>
      </c>
      <c r="F10038" t="s">
        <v>22436</v>
      </c>
      <c r="G10038" t="s">
        <v>22444</v>
      </c>
      <c r="H10038" t="s">
        <v>22454</v>
      </c>
      <c r="I10038" t="s">
        <v>7738</v>
      </c>
      <c r="J10038" t="s">
        <v>28923</v>
      </c>
      <c r="K10038" t="s">
        <v>29388</v>
      </c>
      <c r="M10038" t="s">
        <v>30915</v>
      </c>
      <c r="N10038" t="s">
        <v>32524</v>
      </c>
      <c r="O10038" t="s">
        <v>32525</v>
      </c>
      <c r="P10038">
        <v>0</v>
      </c>
      <c r="Q10038">
        <v>0</v>
      </c>
      <c r="R10038" t="s">
        <v>32539</v>
      </c>
      <c r="S10038" t="s">
        <v>33010</v>
      </c>
      <c r="T10038" t="s">
        <v>33155</v>
      </c>
      <c r="U10038" t="s">
        <v>41874</v>
      </c>
      <c r="W10038" t="s">
        <v>30915</v>
      </c>
      <c r="X10038" t="s">
        <v>32540</v>
      </c>
    </row>
    <row r="10039" spans="1:24">
      <c r="A10039">
        <f>HYPERLINK("https://www.philgeps.gov.ph/GEPSNONPILOT/Tender/SplashBidNoticeAbstractUI.aspx?menuIndex=3&amp;refID=7022399&amp;Result=3","7022399")</f>
        <v>0</v>
      </c>
      <c r="B10039" t="s">
        <v>796</v>
      </c>
      <c r="C10039" t="s">
        <v>12294</v>
      </c>
      <c r="D10039" t="s">
        <v>13069</v>
      </c>
      <c r="E10039" t="s">
        <v>21819</v>
      </c>
      <c r="F10039" t="s">
        <v>22436</v>
      </c>
      <c r="G10039" t="s">
        <v>22444</v>
      </c>
      <c r="H10039" t="s">
        <v>22454</v>
      </c>
      <c r="I10039" t="s">
        <v>7738</v>
      </c>
      <c r="J10039" t="s">
        <v>28924</v>
      </c>
      <c r="K10039" t="s">
        <v>29338</v>
      </c>
      <c r="M10039" t="s">
        <v>30397</v>
      </c>
      <c r="N10039" t="s">
        <v>32524</v>
      </c>
      <c r="O10039" t="s">
        <v>32525</v>
      </c>
      <c r="P10039">
        <v>0</v>
      </c>
      <c r="Q10039">
        <v>3</v>
      </c>
      <c r="R10039" t="s">
        <v>32539</v>
      </c>
      <c r="S10039" t="s">
        <v>33010</v>
      </c>
      <c r="T10039" t="s">
        <v>33230</v>
      </c>
      <c r="U10039" t="s">
        <v>41875</v>
      </c>
      <c r="W10039" t="s">
        <v>43695</v>
      </c>
      <c r="X10039" t="s">
        <v>32540</v>
      </c>
    </row>
    <row r="10040" spans="1:24">
      <c r="A10040">
        <f>HYPERLINK("https://www.philgeps.gov.ph/GEPSNONPILOT/Tender/SplashBidNoticeAbstractUI.aspx?menuIndex=3&amp;refID=7022418&amp;Result=3","7022418")</f>
        <v>0</v>
      </c>
      <c r="B10040" t="s">
        <v>2595</v>
      </c>
      <c r="C10040" t="s">
        <v>12295</v>
      </c>
      <c r="D10040" t="s">
        <v>12988</v>
      </c>
      <c r="E10040" t="s">
        <v>21820</v>
      </c>
      <c r="F10040" t="s">
        <v>22437</v>
      </c>
      <c r="G10040" t="s">
        <v>22444</v>
      </c>
      <c r="H10040" t="s">
        <v>22452</v>
      </c>
      <c r="I10040" t="s">
        <v>22547</v>
      </c>
      <c r="J10040" t="s">
        <v>22654</v>
      </c>
      <c r="K10040" t="s">
        <v>29338</v>
      </c>
      <c r="M10040" t="s">
        <v>32419</v>
      </c>
      <c r="N10040" t="s">
        <v>32524</v>
      </c>
      <c r="O10040" t="s">
        <v>32525</v>
      </c>
      <c r="P10040">
        <v>0</v>
      </c>
      <c r="Q10040">
        <v>3</v>
      </c>
      <c r="R10040" t="s">
        <v>32539</v>
      </c>
      <c r="S10040" t="s">
        <v>33010</v>
      </c>
      <c r="T10040" t="s">
        <v>33323</v>
      </c>
      <c r="U10040" t="s">
        <v>41876</v>
      </c>
      <c r="W10040" t="s">
        <v>32419</v>
      </c>
      <c r="X10040" t="s">
        <v>32540</v>
      </c>
    </row>
    <row r="10041" spans="1:24">
      <c r="A10041">
        <f>HYPERLINK("https://www.philgeps.gov.ph/GEPSNONPILOT/Tender/SplashBidNoticeAbstractUI.aspx?menuIndex=3&amp;refID=7022410&amp;Result=3","7022410")</f>
        <v>0</v>
      </c>
      <c r="B10041" t="s">
        <v>2595</v>
      </c>
      <c r="C10041" t="s">
        <v>12296</v>
      </c>
      <c r="D10041" t="s">
        <v>12988</v>
      </c>
      <c r="E10041" t="s">
        <v>21821</v>
      </c>
      <c r="F10041" t="s">
        <v>22437</v>
      </c>
      <c r="G10041" t="s">
        <v>22444</v>
      </c>
      <c r="H10041" t="s">
        <v>22452</v>
      </c>
      <c r="I10041" t="s">
        <v>22547</v>
      </c>
      <c r="J10041" t="s">
        <v>28925</v>
      </c>
      <c r="K10041" t="s">
        <v>29338</v>
      </c>
      <c r="M10041" t="s">
        <v>32419</v>
      </c>
      <c r="N10041" t="s">
        <v>32524</v>
      </c>
      <c r="O10041" t="s">
        <v>32525</v>
      </c>
      <c r="P10041">
        <v>0</v>
      </c>
      <c r="Q10041">
        <v>0</v>
      </c>
      <c r="R10041" t="s">
        <v>32539</v>
      </c>
      <c r="S10041" t="s">
        <v>33010</v>
      </c>
      <c r="T10041" t="s">
        <v>33323</v>
      </c>
      <c r="U10041" t="s">
        <v>41877</v>
      </c>
      <c r="W10041" t="s">
        <v>32419</v>
      </c>
      <c r="X10041" t="s">
        <v>32540</v>
      </c>
    </row>
    <row r="10042" spans="1:24">
      <c r="A10042">
        <f>HYPERLINK("https://www.philgeps.gov.ph/GEPSNONPILOT/Tender/SplashBidNoticeAbstractUI.aspx?menuIndex=3&amp;refID=7022409&amp;Result=3","7022409")</f>
        <v>0</v>
      </c>
      <c r="B10042" t="s">
        <v>2607</v>
      </c>
      <c r="C10042" t="s">
        <v>12297</v>
      </c>
      <c r="D10042" t="s">
        <v>13054</v>
      </c>
      <c r="E10042" t="s">
        <v>21822</v>
      </c>
      <c r="F10042" t="s">
        <v>22436</v>
      </c>
      <c r="G10042" t="s">
        <v>22444</v>
      </c>
      <c r="H10042" t="s">
        <v>22454</v>
      </c>
      <c r="I10042" t="s">
        <v>7738</v>
      </c>
      <c r="J10042" t="s">
        <v>28926</v>
      </c>
      <c r="K10042" t="s">
        <v>29463</v>
      </c>
      <c r="M10042" t="s">
        <v>32432</v>
      </c>
      <c r="N10042" t="s">
        <v>32524</v>
      </c>
      <c r="O10042" t="s">
        <v>32525</v>
      </c>
      <c r="P10042">
        <v>0</v>
      </c>
      <c r="Q10042">
        <v>0</v>
      </c>
      <c r="R10042" t="s">
        <v>32539</v>
      </c>
      <c r="S10042" t="s">
        <v>33010</v>
      </c>
      <c r="T10042" t="s">
        <v>33181</v>
      </c>
      <c r="U10042" t="s">
        <v>41878</v>
      </c>
      <c r="W10042" t="s">
        <v>32432</v>
      </c>
      <c r="X10042" t="s">
        <v>32540</v>
      </c>
    </row>
    <row r="10043" spans="1:24">
      <c r="A10043">
        <f>HYPERLINK("https://www.philgeps.gov.ph/GEPSNONPILOT/Tender/SplashBidNoticeAbstractUI.aspx?menuIndex=3&amp;refID=7022391&amp;Result=3","7022391")</f>
        <v>0</v>
      </c>
      <c r="B10043" t="s">
        <v>195</v>
      </c>
      <c r="C10043" t="s">
        <v>12298</v>
      </c>
      <c r="D10043" t="s">
        <v>13031</v>
      </c>
      <c r="E10043" t="s">
        <v>21823</v>
      </c>
      <c r="F10043" t="s">
        <v>22436</v>
      </c>
      <c r="G10043" t="s">
        <v>22444</v>
      </c>
      <c r="H10043" t="s">
        <v>22452</v>
      </c>
      <c r="I10043" t="s">
        <v>22467</v>
      </c>
      <c r="J10043" t="s">
        <v>28927</v>
      </c>
      <c r="K10043" t="s">
        <v>29335</v>
      </c>
      <c r="M10043" t="s">
        <v>29768</v>
      </c>
      <c r="N10043" t="s">
        <v>32524</v>
      </c>
      <c r="O10043" t="s">
        <v>32525</v>
      </c>
      <c r="P10043">
        <v>0</v>
      </c>
      <c r="Q10043">
        <v>0</v>
      </c>
      <c r="R10043" t="s">
        <v>32539</v>
      </c>
      <c r="S10043" t="s">
        <v>33010</v>
      </c>
      <c r="T10043" t="s">
        <v>33171</v>
      </c>
      <c r="U10043" t="s">
        <v>41879</v>
      </c>
      <c r="W10043" t="s">
        <v>29768</v>
      </c>
      <c r="X10043" t="s">
        <v>32540</v>
      </c>
    </row>
    <row r="10044" spans="1:24">
      <c r="A10044">
        <f>HYPERLINK("https://www.philgeps.gov.ph/GEPSNONPILOT/Tender/SplashBidNoticeAbstractUI.aspx?menuIndex=3&amp;refID=7022384&amp;Result=3","7022384")</f>
        <v>0</v>
      </c>
      <c r="B10044" t="s">
        <v>2595</v>
      </c>
      <c r="C10044" t="s">
        <v>12299</v>
      </c>
      <c r="D10044" t="s">
        <v>12988</v>
      </c>
      <c r="E10044" t="s">
        <v>21824</v>
      </c>
      <c r="F10044" t="s">
        <v>22437</v>
      </c>
      <c r="G10044" t="s">
        <v>22444</v>
      </c>
      <c r="H10044" t="s">
        <v>22452</v>
      </c>
      <c r="I10044" t="s">
        <v>22547</v>
      </c>
      <c r="J10044" t="s">
        <v>28928</v>
      </c>
      <c r="K10044" t="s">
        <v>29338</v>
      </c>
      <c r="M10044" t="s">
        <v>32419</v>
      </c>
      <c r="N10044" t="s">
        <v>32524</v>
      </c>
      <c r="O10044" t="s">
        <v>32525</v>
      </c>
      <c r="P10044">
        <v>0</v>
      </c>
      <c r="Q10044">
        <v>2</v>
      </c>
      <c r="R10044" t="s">
        <v>32539</v>
      </c>
      <c r="S10044" t="s">
        <v>33010</v>
      </c>
      <c r="T10044" t="s">
        <v>33323</v>
      </c>
      <c r="U10044" t="s">
        <v>41880</v>
      </c>
      <c r="W10044" t="s">
        <v>32419</v>
      </c>
      <c r="X10044" t="s">
        <v>32540</v>
      </c>
    </row>
    <row r="10045" spans="1:24">
      <c r="A10045">
        <f>HYPERLINK("https://www.philgeps.gov.ph/GEPSNONPILOT/Tender/SplashBidNoticeAbstractUI.aspx?menuIndex=3&amp;refID=7022431&amp;Result=3","7022431")</f>
        <v>0</v>
      </c>
      <c r="B10045" t="s">
        <v>1480</v>
      </c>
      <c r="C10045" t="s">
        <v>12300</v>
      </c>
      <c r="E10045" t="s">
        <v>21825</v>
      </c>
      <c r="F10045" t="s">
        <v>22436</v>
      </c>
      <c r="G10045" t="s">
        <v>22443</v>
      </c>
      <c r="H10045" t="s">
        <v>22452</v>
      </c>
      <c r="I10045" t="s">
        <v>12358</v>
      </c>
      <c r="J10045" t="s">
        <v>27607</v>
      </c>
      <c r="K10045" t="s">
        <v>29338</v>
      </c>
      <c r="M10045" t="s">
        <v>31150</v>
      </c>
      <c r="N10045" t="s">
        <v>32524</v>
      </c>
      <c r="O10045" t="s">
        <v>32525</v>
      </c>
      <c r="P10045">
        <v>0</v>
      </c>
      <c r="Q10045">
        <v>1</v>
      </c>
      <c r="R10045" t="s">
        <v>32539</v>
      </c>
      <c r="S10045" t="s">
        <v>33010</v>
      </c>
      <c r="T10045" t="s">
        <v>33189</v>
      </c>
      <c r="U10045" t="s">
        <v>41881</v>
      </c>
      <c r="W10045" t="s">
        <v>31150</v>
      </c>
      <c r="X10045" t="s">
        <v>32540</v>
      </c>
    </row>
    <row r="10046" spans="1:24">
      <c r="A10046">
        <f>HYPERLINK("https://www.philgeps.gov.ph/GEPSNONPILOT/Tender/SplashBidNoticeAbstractUI.aspx?menuIndex=3&amp;refID=7022331&amp;Result=3","7022331")</f>
        <v>0</v>
      </c>
      <c r="B10046" t="s">
        <v>200</v>
      </c>
      <c r="C10046" t="s">
        <v>12301</v>
      </c>
      <c r="D10046" t="s">
        <v>13037</v>
      </c>
      <c r="E10046" t="s">
        <v>21826</v>
      </c>
      <c r="F10046" t="s">
        <v>22436</v>
      </c>
      <c r="G10046" t="s">
        <v>22444</v>
      </c>
      <c r="H10046" t="s">
        <v>22452</v>
      </c>
      <c r="I10046" t="s">
        <v>22474</v>
      </c>
      <c r="J10046" t="s">
        <v>23610</v>
      </c>
      <c r="K10046" t="s">
        <v>29335</v>
      </c>
      <c r="M10046" t="s">
        <v>29773</v>
      </c>
      <c r="N10046" t="s">
        <v>32524</v>
      </c>
      <c r="O10046" t="s">
        <v>32525</v>
      </c>
      <c r="P10046">
        <v>0</v>
      </c>
      <c r="Q10046">
        <v>4</v>
      </c>
      <c r="R10046" t="s">
        <v>32539</v>
      </c>
      <c r="S10046" t="s">
        <v>33010</v>
      </c>
      <c r="T10046" t="s">
        <v>33168</v>
      </c>
      <c r="U10046" t="s">
        <v>41882</v>
      </c>
      <c r="W10046" t="s">
        <v>29773</v>
      </c>
      <c r="X10046" t="s">
        <v>32540</v>
      </c>
    </row>
    <row r="10047" spans="1:24">
      <c r="A10047">
        <f>HYPERLINK("https://www.philgeps.gov.ph/GEPSNONPILOT/Tender/SplashBidNoticeAbstractUI.aspx?menuIndex=3&amp;refID=7022344&amp;Result=3","7022344")</f>
        <v>0</v>
      </c>
      <c r="B10047" t="s">
        <v>1452</v>
      </c>
      <c r="C10047" t="s">
        <v>3472</v>
      </c>
      <c r="D10047" t="s">
        <v>13018</v>
      </c>
      <c r="E10047" t="s">
        <v>21827</v>
      </c>
      <c r="F10047" t="s">
        <v>22436</v>
      </c>
      <c r="G10047" t="s">
        <v>22444</v>
      </c>
      <c r="H10047" t="s">
        <v>22452</v>
      </c>
      <c r="I10047" t="s">
        <v>22460</v>
      </c>
      <c r="J10047" t="s">
        <v>28929</v>
      </c>
      <c r="K10047" t="s">
        <v>29335</v>
      </c>
      <c r="L10047" t="s">
        <v>1452</v>
      </c>
      <c r="M10047" t="s">
        <v>31116</v>
      </c>
      <c r="N10047" t="s">
        <v>32524</v>
      </c>
      <c r="O10047" t="s">
        <v>32525</v>
      </c>
      <c r="P10047">
        <v>0</v>
      </c>
      <c r="Q10047">
        <v>3</v>
      </c>
      <c r="R10047" t="s">
        <v>32539</v>
      </c>
      <c r="S10047" t="s">
        <v>33010</v>
      </c>
      <c r="T10047" t="s">
        <v>33293</v>
      </c>
      <c r="U10047" t="s">
        <v>41883</v>
      </c>
      <c r="V10047" t="s">
        <v>42867</v>
      </c>
      <c r="W10047" t="s">
        <v>31116</v>
      </c>
      <c r="X10047" t="s">
        <v>32540</v>
      </c>
    </row>
    <row r="10048" spans="1:24">
      <c r="A10048">
        <f>HYPERLINK("https://www.philgeps.gov.ph/GEPSNONPILOT/Tender/SplashBidNoticeAbstractUI.aspx?menuIndex=3&amp;refID=7022426&amp;Result=3","7022426")</f>
        <v>0</v>
      </c>
      <c r="B10048" t="s">
        <v>1452</v>
      </c>
      <c r="C10048" t="s">
        <v>12302</v>
      </c>
      <c r="D10048" t="s">
        <v>13018</v>
      </c>
      <c r="E10048" t="s">
        <v>21828</v>
      </c>
      <c r="F10048" t="s">
        <v>22436</v>
      </c>
      <c r="G10048" t="s">
        <v>22444</v>
      </c>
      <c r="H10048" t="s">
        <v>22452</v>
      </c>
      <c r="I10048" t="s">
        <v>22517</v>
      </c>
      <c r="J10048" t="s">
        <v>28930</v>
      </c>
      <c r="K10048" t="s">
        <v>29335</v>
      </c>
      <c r="L10048" t="s">
        <v>1452</v>
      </c>
      <c r="M10048" t="s">
        <v>31116</v>
      </c>
      <c r="N10048" t="s">
        <v>32524</v>
      </c>
      <c r="O10048" t="s">
        <v>32525</v>
      </c>
      <c r="P10048">
        <v>0</v>
      </c>
      <c r="Q10048">
        <v>2</v>
      </c>
      <c r="R10048" t="s">
        <v>32539</v>
      </c>
      <c r="S10048" t="s">
        <v>33010</v>
      </c>
      <c r="T10048" t="s">
        <v>33293</v>
      </c>
      <c r="U10048" t="s">
        <v>41884</v>
      </c>
      <c r="V10048" t="s">
        <v>43597</v>
      </c>
      <c r="W10048" t="s">
        <v>31116</v>
      </c>
      <c r="X10048" t="s">
        <v>32540</v>
      </c>
    </row>
    <row r="10049" spans="1:24">
      <c r="A10049">
        <f>HYPERLINK("https://www.philgeps.gov.ph/GEPSNONPILOT/Tender/SplashBidNoticeAbstractUI.aspx?menuIndex=3&amp;refID=7022421&amp;Result=3","7022421")</f>
        <v>0</v>
      </c>
      <c r="B10049" t="s">
        <v>1021</v>
      </c>
      <c r="C10049" t="s">
        <v>12303</v>
      </c>
      <c r="D10049" t="s">
        <v>13020</v>
      </c>
      <c r="E10049" t="s">
        <v>21829</v>
      </c>
      <c r="F10049" t="s">
        <v>22436</v>
      </c>
      <c r="G10049" t="s">
        <v>22444</v>
      </c>
      <c r="H10049" t="s">
        <v>22452</v>
      </c>
      <c r="I10049" t="s">
        <v>3529</v>
      </c>
      <c r="J10049" t="s">
        <v>24887</v>
      </c>
      <c r="K10049" t="s">
        <v>29335</v>
      </c>
      <c r="M10049" t="s">
        <v>30649</v>
      </c>
      <c r="N10049" t="s">
        <v>32524</v>
      </c>
      <c r="O10049" t="s">
        <v>32525</v>
      </c>
      <c r="P10049">
        <v>0</v>
      </c>
      <c r="Q10049">
        <v>15</v>
      </c>
      <c r="R10049" t="s">
        <v>32539</v>
      </c>
      <c r="S10049" t="s">
        <v>33010</v>
      </c>
      <c r="T10049" t="s">
        <v>33605</v>
      </c>
      <c r="U10049" t="s">
        <v>40830</v>
      </c>
      <c r="W10049" t="s">
        <v>43703</v>
      </c>
      <c r="X10049" t="s">
        <v>32540</v>
      </c>
    </row>
    <row r="10050" spans="1:24">
      <c r="A10050">
        <f>HYPERLINK("https://www.philgeps.gov.ph/GEPSNONPILOT/Tender/SplashBidNoticeAbstractUI.aspx?menuIndex=3&amp;refID=7022457&amp;Result=3","7022457")</f>
        <v>0</v>
      </c>
      <c r="B10050" t="s">
        <v>1156</v>
      </c>
      <c r="C10050" t="s">
        <v>12304</v>
      </c>
      <c r="D10050" t="s">
        <v>13011</v>
      </c>
      <c r="E10050" t="s">
        <v>21830</v>
      </c>
      <c r="F10050" t="s">
        <v>22436</v>
      </c>
      <c r="G10050" t="s">
        <v>22444</v>
      </c>
      <c r="H10050" t="s">
        <v>22452</v>
      </c>
      <c r="I10050" t="s">
        <v>6421</v>
      </c>
      <c r="J10050" t="s">
        <v>28931</v>
      </c>
      <c r="K10050" t="s">
        <v>29336</v>
      </c>
      <c r="M10050" t="s">
        <v>30801</v>
      </c>
      <c r="N10050" t="s">
        <v>32524</v>
      </c>
      <c r="O10050" t="s">
        <v>32525</v>
      </c>
      <c r="P10050">
        <v>0</v>
      </c>
      <c r="Q10050">
        <v>12</v>
      </c>
      <c r="R10050" t="s">
        <v>32539</v>
      </c>
      <c r="S10050" t="s">
        <v>33010</v>
      </c>
      <c r="T10050" t="s">
        <v>33340</v>
      </c>
      <c r="U10050" t="s">
        <v>41885</v>
      </c>
      <c r="W10050" t="s">
        <v>30801</v>
      </c>
      <c r="X10050" t="s">
        <v>32540</v>
      </c>
    </row>
    <row r="10051" spans="1:24">
      <c r="A10051">
        <f>HYPERLINK("https://www.philgeps.gov.ph/GEPSNONPILOT/Tender/SplashBidNoticeAbstractUI.aspx?menuIndex=3&amp;refID=7022500&amp;Result=3","7022500")</f>
        <v>0</v>
      </c>
      <c r="B10051" t="s">
        <v>2608</v>
      </c>
      <c r="C10051" t="s">
        <v>12305</v>
      </c>
      <c r="D10051" t="s">
        <v>12992</v>
      </c>
      <c r="E10051" t="s">
        <v>13106</v>
      </c>
      <c r="F10051" t="s">
        <v>22436</v>
      </c>
      <c r="G10051" t="s">
        <v>22444</v>
      </c>
      <c r="H10051" t="s">
        <v>22454</v>
      </c>
      <c r="I10051" t="s">
        <v>7738</v>
      </c>
      <c r="J10051" t="s">
        <v>28932</v>
      </c>
      <c r="K10051" t="s">
        <v>29338</v>
      </c>
      <c r="M10051" t="s">
        <v>32433</v>
      </c>
      <c r="N10051" t="s">
        <v>32524</v>
      </c>
      <c r="O10051" t="s">
        <v>32525</v>
      </c>
      <c r="P10051">
        <v>0</v>
      </c>
      <c r="Q10051">
        <v>0</v>
      </c>
      <c r="R10051" t="s">
        <v>32539</v>
      </c>
      <c r="S10051" t="s">
        <v>33010</v>
      </c>
      <c r="T10051" t="s">
        <v>33351</v>
      </c>
      <c r="U10051" t="s">
        <v>41886</v>
      </c>
      <c r="W10051" t="s">
        <v>32433</v>
      </c>
      <c r="X10051" t="s">
        <v>32540</v>
      </c>
    </row>
    <row r="10052" spans="1:24">
      <c r="A10052">
        <f>HYPERLINK("https://www.philgeps.gov.ph/GEPSNONPILOT/Tender/SplashBidNoticeAbstractUI.aspx?menuIndex=3&amp;refID=7022459&amp;Result=3","7022459")</f>
        <v>0</v>
      </c>
      <c r="B10052" t="s">
        <v>2607</v>
      </c>
      <c r="C10052" t="s">
        <v>12306</v>
      </c>
      <c r="D10052" t="s">
        <v>13054</v>
      </c>
      <c r="E10052" t="s">
        <v>21831</v>
      </c>
      <c r="F10052" t="s">
        <v>22436</v>
      </c>
      <c r="G10052" t="s">
        <v>22444</v>
      </c>
      <c r="H10052" t="s">
        <v>22454</v>
      </c>
      <c r="I10052" t="s">
        <v>7738</v>
      </c>
      <c r="J10052" t="s">
        <v>22624</v>
      </c>
      <c r="K10052" t="s">
        <v>29440</v>
      </c>
      <c r="M10052" t="s">
        <v>32432</v>
      </c>
      <c r="N10052" t="s">
        <v>32524</v>
      </c>
      <c r="O10052" t="s">
        <v>32525</v>
      </c>
      <c r="P10052">
        <v>0</v>
      </c>
      <c r="Q10052">
        <v>0</v>
      </c>
      <c r="R10052" t="s">
        <v>32539</v>
      </c>
      <c r="S10052" t="s">
        <v>33010</v>
      </c>
      <c r="T10052" t="s">
        <v>33181</v>
      </c>
      <c r="U10052" t="s">
        <v>41887</v>
      </c>
      <c r="W10052" t="s">
        <v>32432</v>
      </c>
      <c r="X10052" t="s">
        <v>32540</v>
      </c>
    </row>
    <row r="10053" spans="1:24">
      <c r="A10053">
        <f>HYPERLINK("https://www.philgeps.gov.ph/GEPSNONPILOT/Tender/SplashBidNoticeAbstractUI.aspx?menuIndex=3&amp;refID=7022461&amp;Result=3","7022461")</f>
        <v>0</v>
      </c>
      <c r="B10053" t="s">
        <v>796</v>
      </c>
      <c r="C10053" t="s">
        <v>12307</v>
      </c>
      <c r="D10053" t="s">
        <v>13069</v>
      </c>
      <c r="E10053" t="s">
        <v>21832</v>
      </c>
      <c r="F10053" t="s">
        <v>22436</v>
      </c>
      <c r="G10053" t="s">
        <v>22444</v>
      </c>
      <c r="H10053" t="s">
        <v>22454</v>
      </c>
      <c r="I10053" t="s">
        <v>7738</v>
      </c>
      <c r="J10053" t="s">
        <v>28933</v>
      </c>
      <c r="K10053" t="s">
        <v>29338</v>
      </c>
      <c r="M10053" t="s">
        <v>30397</v>
      </c>
      <c r="N10053" t="s">
        <v>32524</v>
      </c>
      <c r="O10053" t="s">
        <v>32525</v>
      </c>
      <c r="P10053">
        <v>0</v>
      </c>
      <c r="Q10053">
        <v>4</v>
      </c>
      <c r="R10053" t="s">
        <v>32539</v>
      </c>
      <c r="S10053" t="s">
        <v>33010</v>
      </c>
      <c r="T10053" t="s">
        <v>33230</v>
      </c>
      <c r="U10053" t="s">
        <v>41888</v>
      </c>
      <c r="W10053" t="s">
        <v>43695</v>
      </c>
      <c r="X10053" t="s">
        <v>32540</v>
      </c>
    </row>
    <row r="10054" spans="1:24">
      <c r="A10054">
        <f>HYPERLINK("https://www.philgeps.gov.ph/GEPSNONPILOT/Tender/SplashBidNoticeAbstractUI.aspx?menuIndex=3&amp;refID=7022437&amp;Result=3","7022437")</f>
        <v>0</v>
      </c>
      <c r="B10054" t="s">
        <v>2607</v>
      </c>
      <c r="C10054" t="s">
        <v>12308</v>
      </c>
      <c r="D10054" t="s">
        <v>13054</v>
      </c>
      <c r="E10054" t="s">
        <v>21833</v>
      </c>
      <c r="F10054" t="s">
        <v>22436</v>
      </c>
      <c r="G10054" t="s">
        <v>22444</v>
      </c>
      <c r="H10054" t="s">
        <v>22454</v>
      </c>
      <c r="I10054" t="s">
        <v>7738</v>
      </c>
      <c r="J10054" t="s">
        <v>28934</v>
      </c>
      <c r="K10054" t="s">
        <v>29537</v>
      </c>
      <c r="M10054" t="s">
        <v>32432</v>
      </c>
      <c r="N10054" t="s">
        <v>32524</v>
      </c>
      <c r="O10054" t="s">
        <v>32525</v>
      </c>
      <c r="P10054">
        <v>0</v>
      </c>
      <c r="Q10054">
        <v>0</v>
      </c>
      <c r="R10054" t="s">
        <v>32539</v>
      </c>
      <c r="S10054" t="s">
        <v>33010</v>
      </c>
      <c r="T10054" t="s">
        <v>33181</v>
      </c>
      <c r="U10054" t="s">
        <v>41889</v>
      </c>
      <c r="W10054" t="s">
        <v>32432</v>
      </c>
      <c r="X10054" t="s">
        <v>32540</v>
      </c>
    </row>
    <row r="10055" spans="1:24">
      <c r="A10055">
        <f>HYPERLINK("https://www.philgeps.gov.ph/GEPSNONPILOT/Tender/SplashBidNoticeAbstractUI.aspx?menuIndex=3&amp;refID=7022466&amp;Result=3","7022466")</f>
        <v>0</v>
      </c>
      <c r="B10055" t="s">
        <v>153</v>
      </c>
      <c r="C10055" t="s">
        <v>12309</v>
      </c>
      <c r="E10055" t="s">
        <v>18742</v>
      </c>
      <c r="F10055" t="s">
        <v>22436</v>
      </c>
      <c r="G10055" t="s">
        <v>22444</v>
      </c>
      <c r="H10055" t="s">
        <v>22454</v>
      </c>
      <c r="I10055" t="s">
        <v>7738</v>
      </c>
      <c r="J10055" t="s">
        <v>28935</v>
      </c>
      <c r="K10055" t="s">
        <v>29338</v>
      </c>
      <c r="M10055" t="s">
        <v>29725</v>
      </c>
      <c r="N10055" t="s">
        <v>32524</v>
      </c>
      <c r="O10055" t="s">
        <v>32525</v>
      </c>
      <c r="P10055">
        <v>0</v>
      </c>
      <c r="Q10055">
        <v>4</v>
      </c>
      <c r="R10055" t="s">
        <v>32539</v>
      </c>
      <c r="S10055" t="s">
        <v>33010</v>
      </c>
      <c r="T10055" t="s">
        <v>33206</v>
      </c>
      <c r="U10055" t="s">
        <v>39021</v>
      </c>
      <c r="W10055" t="s">
        <v>29725</v>
      </c>
      <c r="X10055" t="s">
        <v>32540</v>
      </c>
    </row>
    <row r="10056" spans="1:24">
      <c r="A10056">
        <f>HYPERLINK("https://www.philgeps.gov.ph/GEPSNONPILOT/Tender/SplashBidNoticeAbstractUI.aspx?menuIndex=3&amp;refID=7022503&amp;Result=3","7022503")</f>
        <v>0</v>
      </c>
      <c r="B10056" t="s">
        <v>244</v>
      </c>
      <c r="C10056" t="s">
        <v>12310</v>
      </c>
      <c r="D10056" t="s">
        <v>13019</v>
      </c>
      <c r="E10056" t="s">
        <v>21834</v>
      </c>
      <c r="F10056" t="s">
        <v>22436</v>
      </c>
      <c r="G10056" t="s">
        <v>22444</v>
      </c>
      <c r="H10056" t="s">
        <v>22454</v>
      </c>
      <c r="I10056" t="s">
        <v>7738</v>
      </c>
      <c r="J10056" t="s">
        <v>28936</v>
      </c>
      <c r="K10056" t="s">
        <v>29334</v>
      </c>
      <c r="M10056" t="s">
        <v>29818</v>
      </c>
      <c r="N10056" t="s">
        <v>32524</v>
      </c>
      <c r="O10056" t="s">
        <v>32525</v>
      </c>
      <c r="P10056">
        <v>0</v>
      </c>
      <c r="Q10056">
        <v>1</v>
      </c>
      <c r="R10056" t="s">
        <v>32539</v>
      </c>
      <c r="S10056" t="s">
        <v>33010</v>
      </c>
      <c r="T10056" t="s">
        <v>33181</v>
      </c>
      <c r="U10056" t="s">
        <v>41890</v>
      </c>
      <c r="W10056" t="s">
        <v>29818</v>
      </c>
      <c r="X10056" t="s">
        <v>32540</v>
      </c>
    </row>
    <row r="10057" spans="1:24">
      <c r="A10057">
        <f>HYPERLINK("https://www.philgeps.gov.ph/GEPSNONPILOT/Tender/SplashBidNoticeAbstractUI.aspx?menuIndex=3&amp;refID=7022433&amp;Result=3","7022433")</f>
        <v>0</v>
      </c>
      <c r="B10057" t="s">
        <v>1264</v>
      </c>
      <c r="C10057" t="s">
        <v>12311</v>
      </c>
      <c r="D10057" t="s">
        <v>12991</v>
      </c>
      <c r="E10057" t="s">
        <v>21835</v>
      </c>
      <c r="F10057" t="s">
        <v>22436</v>
      </c>
      <c r="G10057" t="s">
        <v>22444</v>
      </c>
      <c r="H10057" t="s">
        <v>22452</v>
      </c>
      <c r="I10057" t="s">
        <v>7738</v>
      </c>
      <c r="J10057" t="s">
        <v>28937</v>
      </c>
      <c r="K10057" t="s">
        <v>29341</v>
      </c>
      <c r="M10057" t="s">
        <v>30917</v>
      </c>
      <c r="N10057" t="s">
        <v>32524</v>
      </c>
      <c r="O10057" t="s">
        <v>32525</v>
      </c>
      <c r="P10057">
        <v>0</v>
      </c>
      <c r="Q10057">
        <v>1</v>
      </c>
      <c r="R10057" t="s">
        <v>32539</v>
      </c>
      <c r="S10057" t="s">
        <v>33010</v>
      </c>
      <c r="T10057" t="s">
        <v>33230</v>
      </c>
      <c r="U10057" t="s">
        <v>41891</v>
      </c>
      <c r="W10057" t="s">
        <v>43712</v>
      </c>
      <c r="X10057" t="s">
        <v>32540</v>
      </c>
    </row>
    <row r="10058" spans="1:24">
      <c r="A10058">
        <f>HYPERLINK("https://www.philgeps.gov.ph/GEPSNONPILOT/Tender/SplashBidNoticeAbstractUI.aspx?menuIndex=3&amp;refID=7022630&amp;Result=3","7022630")</f>
        <v>0</v>
      </c>
      <c r="B10058" t="s">
        <v>2609</v>
      </c>
      <c r="C10058" t="s">
        <v>12312</v>
      </c>
      <c r="D10058" t="s">
        <v>13056</v>
      </c>
      <c r="E10058" t="s">
        <v>21836</v>
      </c>
      <c r="F10058" t="s">
        <v>22436</v>
      </c>
      <c r="G10058" t="s">
        <v>22444</v>
      </c>
      <c r="H10058" t="s">
        <v>22454</v>
      </c>
      <c r="I10058" t="s">
        <v>7738</v>
      </c>
      <c r="J10058" t="s">
        <v>28938</v>
      </c>
      <c r="K10058" t="s">
        <v>29354</v>
      </c>
      <c r="M10058" t="s">
        <v>32434</v>
      </c>
      <c r="N10058" t="s">
        <v>32524</v>
      </c>
      <c r="O10058" t="s">
        <v>32525</v>
      </c>
      <c r="P10058">
        <v>0</v>
      </c>
      <c r="Q10058">
        <v>0</v>
      </c>
      <c r="R10058" t="s">
        <v>32539</v>
      </c>
      <c r="S10058" t="s">
        <v>33010</v>
      </c>
      <c r="T10058" t="s">
        <v>33181</v>
      </c>
      <c r="U10058" t="s">
        <v>41892</v>
      </c>
      <c r="W10058" t="s">
        <v>32434</v>
      </c>
      <c r="X10058" t="s">
        <v>32540</v>
      </c>
    </row>
    <row r="10059" spans="1:24">
      <c r="A10059">
        <f>HYPERLINK("https://www.philgeps.gov.ph/GEPSNONPILOT/Tender/SplashBidNoticeAbstractUI.aspx?menuIndex=3&amp;refID=7022441&amp;Result=3","7022441")</f>
        <v>0</v>
      </c>
      <c r="B10059" t="s">
        <v>2595</v>
      </c>
      <c r="C10059" t="s">
        <v>12313</v>
      </c>
      <c r="D10059" t="s">
        <v>12988</v>
      </c>
      <c r="E10059" t="s">
        <v>21837</v>
      </c>
      <c r="F10059" t="s">
        <v>22437</v>
      </c>
      <c r="G10059" t="s">
        <v>22444</v>
      </c>
      <c r="H10059" t="s">
        <v>22452</v>
      </c>
      <c r="I10059" t="s">
        <v>22547</v>
      </c>
      <c r="J10059" t="s">
        <v>23465</v>
      </c>
      <c r="K10059" t="s">
        <v>29338</v>
      </c>
      <c r="M10059" t="s">
        <v>32419</v>
      </c>
      <c r="N10059" t="s">
        <v>32524</v>
      </c>
      <c r="O10059" t="s">
        <v>32525</v>
      </c>
      <c r="P10059">
        <v>0</v>
      </c>
      <c r="Q10059">
        <v>0</v>
      </c>
      <c r="R10059" t="s">
        <v>32539</v>
      </c>
      <c r="S10059" t="s">
        <v>33010</v>
      </c>
      <c r="T10059" t="s">
        <v>33323</v>
      </c>
      <c r="U10059" t="s">
        <v>41893</v>
      </c>
      <c r="W10059" t="s">
        <v>32419</v>
      </c>
      <c r="X10059" t="s">
        <v>32540</v>
      </c>
    </row>
    <row r="10060" spans="1:24">
      <c r="A10060">
        <f>HYPERLINK("https://www.philgeps.gov.ph/GEPSNONPILOT/Tender/SplashBidNoticeAbstractUI.aspx?menuIndex=3&amp;refID=7022597&amp;Result=3","7022597")</f>
        <v>0</v>
      </c>
      <c r="B10060" t="s">
        <v>453</v>
      </c>
      <c r="C10060" t="s">
        <v>12314</v>
      </c>
      <c r="D10060" t="s">
        <v>13006</v>
      </c>
      <c r="E10060" t="s">
        <v>21838</v>
      </c>
      <c r="F10060" t="s">
        <v>22436</v>
      </c>
      <c r="G10060" t="s">
        <v>22444</v>
      </c>
      <c r="H10060" t="s">
        <v>22452</v>
      </c>
      <c r="I10060" t="s">
        <v>2962</v>
      </c>
      <c r="J10060" t="s">
        <v>23627</v>
      </c>
      <c r="K10060" t="s">
        <v>29341</v>
      </c>
      <c r="M10060" t="s">
        <v>30035</v>
      </c>
      <c r="N10060" t="s">
        <v>32524</v>
      </c>
      <c r="O10060" t="s">
        <v>32525</v>
      </c>
      <c r="P10060">
        <v>0</v>
      </c>
      <c r="Q10060">
        <v>0</v>
      </c>
      <c r="R10060" t="s">
        <v>32539</v>
      </c>
      <c r="S10060" t="s">
        <v>33010</v>
      </c>
      <c r="T10060" t="s">
        <v>33402</v>
      </c>
      <c r="U10060" t="s">
        <v>34531</v>
      </c>
      <c r="W10060" t="s">
        <v>30035</v>
      </c>
      <c r="X10060" t="s">
        <v>32540</v>
      </c>
    </row>
    <row r="10061" spans="1:24">
      <c r="A10061">
        <f>HYPERLINK("https://www.philgeps.gov.ph/GEPSNONPILOT/Tender/SplashBidNoticeAbstractUI.aspx?menuIndex=3&amp;refID=7022570&amp;Result=3","7022570")</f>
        <v>0</v>
      </c>
      <c r="B10061" t="s">
        <v>2610</v>
      </c>
      <c r="C10061" t="s">
        <v>12315</v>
      </c>
      <c r="D10061" t="s">
        <v>13045</v>
      </c>
      <c r="E10061" t="s">
        <v>13182</v>
      </c>
      <c r="F10061" t="s">
        <v>22436</v>
      </c>
      <c r="G10061" t="s">
        <v>22444</v>
      </c>
      <c r="H10061" t="s">
        <v>22452</v>
      </c>
      <c r="I10061" t="s">
        <v>3529</v>
      </c>
      <c r="J10061" t="s">
        <v>28939</v>
      </c>
      <c r="K10061" t="s">
        <v>29338</v>
      </c>
      <c r="M10061" t="s">
        <v>32435</v>
      </c>
      <c r="N10061" t="s">
        <v>32524</v>
      </c>
      <c r="O10061" t="s">
        <v>32525</v>
      </c>
      <c r="P10061">
        <v>0</v>
      </c>
      <c r="Q10061">
        <v>0</v>
      </c>
      <c r="R10061" t="s">
        <v>32539</v>
      </c>
      <c r="S10061" t="s">
        <v>33010</v>
      </c>
      <c r="T10061" t="s">
        <v>33371</v>
      </c>
      <c r="U10061" t="s">
        <v>41894</v>
      </c>
      <c r="W10061" t="s">
        <v>32435</v>
      </c>
      <c r="X10061" t="s">
        <v>32540</v>
      </c>
    </row>
    <row r="10062" spans="1:24">
      <c r="A10062">
        <f>HYPERLINK("https://www.philgeps.gov.ph/GEPSNONPILOT/Tender/SplashBidNoticeAbstractUI.aspx?menuIndex=3&amp;refID=7022607&amp;Result=3","7022607")</f>
        <v>0</v>
      </c>
      <c r="B10062" t="s">
        <v>2607</v>
      </c>
      <c r="C10062" t="s">
        <v>12316</v>
      </c>
      <c r="D10062" t="s">
        <v>13054</v>
      </c>
      <c r="E10062" t="s">
        <v>21839</v>
      </c>
      <c r="F10062" t="s">
        <v>22436</v>
      </c>
      <c r="G10062" t="s">
        <v>22444</v>
      </c>
      <c r="H10062" t="s">
        <v>22452</v>
      </c>
      <c r="I10062" t="s">
        <v>5194</v>
      </c>
      <c r="J10062" t="s">
        <v>28940</v>
      </c>
      <c r="K10062" t="s">
        <v>29337</v>
      </c>
      <c r="M10062" t="s">
        <v>32432</v>
      </c>
      <c r="N10062" t="s">
        <v>32524</v>
      </c>
      <c r="O10062" t="s">
        <v>32525</v>
      </c>
      <c r="P10062">
        <v>0</v>
      </c>
      <c r="Q10062">
        <v>3</v>
      </c>
      <c r="R10062" t="s">
        <v>32539</v>
      </c>
      <c r="S10062" t="s">
        <v>33010</v>
      </c>
      <c r="T10062" t="s">
        <v>33181</v>
      </c>
      <c r="U10062" t="s">
        <v>41895</v>
      </c>
      <c r="W10062" t="s">
        <v>32432</v>
      </c>
      <c r="X10062" t="s">
        <v>32540</v>
      </c>
    </row>
    <row r="10063" spans="1:24">
      <c r="A10063">
        <f>HYPERLINK("https://www.philgeps.gov.ph/GEPSNONPILOT/Tender/SplashBidNoticeAbstractUI.aspx?menuIndex=3&amp;refID=7022580&amp;Result=3","7022580")</f>
        <v>0</v>
      </c>
      <c r="B10063" t="s">
        <v>2609</v>
      </c>
      <c r="C10063" t="s">
        <v>12317</v>
      </c>
      <c r="D10063" t="s">
        <v>13056</v>
      </c>
      <c r="E10063" t="s">
        <v>21840</v>
      </c>
      <c r="F10063" t="s">
        <v>22436</v>
      </c>
      <c r="G10063" t="s">
        <v>22444</v>
      </c>
      <c r="H10063" t="s">
        <v>22454</v>
      </c>
      <c r="I10063" t="s">
        <v>7738</v>
      </c>
      <c r="J10063" t="s">
        <v>28941</v>
      </c>
      <c r="K10063" t="s">
        <v>29471</v>
      </c>
      <c r="M10063" t="s">
        <v>32434</v>
      </c>
      <c r="N10063" t="s">
        <v>32524</v>
      </c>
      <c r="O10063" t="s">
        <v>32525</v>
      </c>
      <c r="Q10063">
        <v>0</v>
      </c>
      <c r="R10063" t="s">
        <v>32539</v>
      </c>
      <c r="S10063" t="s">
        <v>33037</v>
      </c>
      <c r="T10063" t="s">
        <v>33181</v>
      </c>
      <c r="U10063" t="s">
        <v>41892</v>
      </c>
      <c r="W10063" t="s">
        <v>32434</v>
      </c>
      <c r="X10063" t="s">
        <v>32540</v>
      </c>
    </row>
    <row r="10064" spans="1:24">
      <c r="A10064">
        <f>HYPERLINK("https://www.philgeps.gov.ph/GEPSNONPILOT/Tender/SplashBidNoticeAbstractUI.aspx?menuIndex=3&amp;refID=7022619&amp;Result=3","7022619")</f>
        <v>0</v>
      </c>
      <c r="B10064" t="s">
        <v>2611</v>
      </c>
      <c r="C10064" t="s">
        <v>12318</v>
      </c>
      <c r="D10064" t="s">
        <v>13018</v>
      </c>
      <c r="E10064" t="s">
        <v>21841</v>
      </c>
      <c r="F10064" t="s">
        <v>22436</v>
      </c>
      <c r="G10064" t="s">
        <v>22444</v>
      </c>
      <c r="H10064" t="s">
        <v>22452</v>
      </c>
      <c r="I10064" t="s">
        <v>22474</v>
      </c>
      <c r="J10064" t="s">
        <v>24169</v>
      </c>
      <c r="K10064" t="s">
        <v>29337</v>
      </c>
      <c r="M10064" t="s">
        <v>32436</v>
      </c>
      <c r="N10064" t="s">
        <v>32524</v>
      </c>
      <c r="O10064" t="s">
        <v>32525</v>
      </c>
      <c r="P10064">
        <v>0</v>
      </c>
      <c r="Q10064">
        <v>7</v>
      </c>
      <c r="R10064" t="s">
        <v>32539</v>
      </c>
      <c r="S10064" t="s">
        <v>33010</v>
      </c>
      <c r="T10064" t="s">
        <v>33181</v>
      </c>
      <c r="U10064" t="s">
        <v>41896</v>
      </c>
      <c r="V10064" t="s">
        <v>43599</v>
      </c>
      <c r="W10064" t="s">
        <v>32436</v>
      </c>
      <c r="X10064" t="s">
        <v>32540</v>
      </c>
    </row>
    <row r="10065" spans="1:24">
      <c r="A10065">
        <f>HYPERLINK("https://www.philgeps.gov.ph/GEPSNONPILOT/Tender/SplashBidNoticeAbstractUI.aspx?menuIndex=3&amp;refID=7022599&amp;Result=3","7022599")</f>
        <v>0</v>
      </c>
      <c r="B10065" t="s">
        <v>2612</v>
      </c>
      <c r="C10065" t="s">
        <v>12319</v>
      </c>
      <c r="D10065" t="s">
        <v>13013</v>
      </c>
      <c r="E10065" t="s">
        <v>18742</v>
      </c>
      <c r="F10065" t="s">
        <v>22437</v>
      </c>
      <c r="G10065" t="s">
        <v>22444</v>
      </c>
      <c r="H10065" t="s">
        <v>22454</v>
      </c>
      <c r="I10065" t="s">
        <v>3529</v>
      </c>
      <c r="J10065" t="s">
        <v>28942</v>
      </c>
      <c r="K10065" t="s">
        <v>29335</v>
      </c>
      <c r="M10065" t="s">
        <v>32437</v>
      </c>
      <c r="N10065" t="s">
        <v>32524</v>
      </c>
      <c r="O10065" t="s">
        <v>32525</v>
      </c>
      <c r="P10065">
        <v>0</v>
      </c>
      <c r="Q10065">
        <v>1</v>
      </c>
      <c r="R10065" t="s">
        <v>32539</v>
      </c>
      <c r="S10065" t="s">
        <v>33010</v>
      </c>
      <c r="T10065" t="s">
        <v>33238</v>
      </c>
      <c r="U10065" t="s">
        <v>41897</v>
      </c>
      <c r="W10065" t="s">
        <v>32437</v>
      </c>
      <c r="X10065" t="s">
        <v>32540</v>
      </c>
    </row>
    <row r="10066" spans="1:24">
      <c r="A10066">
        <f>HYPERLINK("https://www.philgeps.gov.ph/GEPSNONPILOT/Tender/SplashBidNoticeAbstractUI.aspx?menuIndex=3&amp;refID=7022524&amp;Result=3","7022524")</f>
        <v>0</v>
      </c>
      <c r="B10066" t="s">
        <v>2613</v>
      </c>
      <c r="C10066" t="s">
        <v>12320</v>
      </c>
      <c r="D10066" t="s">
        <v>12988</v>
      </c>
      <c r="E10066" t="s">
        <v>21842</v>
      </c>
      <c r="F10066" t="s">
        <v>22441</v>
      </c>
      <c r="G10066" t="s">
        <v>22444</v>
      </c>
      <c r="H10066" t="s">
        <v>22452</v>
      </c>
      <c r="I10066" t="s">
        <v>2981</v>
      </c>
      <c r="J10066" t="s">
        <v>22758</v>
      </c>
      <c r="K10066" t="s">
        <v>29336</v>
      </c>
      <c r="M10066" t="s">
        <v>32438</v>
      </c>
      <c r="N10066" t="s">
        <v>32524</v>
      </c>
      <c r="O10066" t="s">
        <v>32525</v>
      </c>
      <c r="P10066">
        <v>0</v>
      </c>
      <c r="Q10066">
        <v>1</v>
      </c>
      <c r="R10066" t="s">
        <v>32539</v>
      </c>
      <c r="S10066" t="s">
        <v>33010</v>
      </c>
      <c r="T10066" t="s">
        <v>33296</v>
      </c>
      <c r="U10066" t="s">
        <v>41898</v>
      </c>
      <c r="W10066" t="s">
        <v>32438</v>
      </c>
      <c r="X10066" t="s">
        <v>32540</v>
      </c>
    </row>
    <row r="10067" spans="1:24">
      <c r="A10067">
        <f>HYPERLINK("https://www.philgeps.gov.ph/GEPSNONPILOT/Tender/SplashBidNoticeAbstractUI.aspx?menuIndex=3&amp;refID=7022609&amp;Result=3","7022609")</f>
        <v>0</v>
      </c>
      <c r="B10067" t="s">
        <v>2609</v>
      </c>
      <c r="C10067" t="s">
        <v>12321</v>
      </c>
      <c r="D10067" t="s">
        <v>13056</v>
      </c>
      <c r="E10067" t="s">
        <v>21843</v>
      </c>
      <c r="F10067" t="s">
        <v>22436</v>
      </c>
      <c r="G10067" t="s">
        <v>22444</v>
      </c>
      <c r="H10067" t="s">
        <v>22454</v>
      </c>
      <c r="I10067" t="s">
        <v>7738</v>
      </c>
      <c r="J10067" t="s">
        <v>28943</v>
      </c>
      <c r="K10067" t="s">
        <v>29388</v>
      </c>
      <c r="M10067" t="s">
        <v>32434</v>
      </c>
      <c r="N10067" t="s">
        <v>32524</v>
      </c>
      <c r="O10067" t="s">
        <v>32525</v>
      </c>
      <c r="Q10067">
        <v>0</v>
      </c>
      <c r="R10067" t="s">
        <v>32539</v>
      </c>
      <c r="S10067" t="s">
        <v>33038</v>
      </c>
      <c r="T10067" t="s">
        <v>33181</v>
      </c>
      <c r="U10067" t="s">
        <v>41892</v>
      </c>
      <c r="W10067" t="s">
        <v>32434</v>
      </c>
      <c r="X10067" t="s">
        <v>32540</v>
      </c>
    </row>
    <row r="10068" spans="1:24">
      <c r="A10068">
        <f>HYPERLINK("https://www.philgeps.gov.ph/GEPSNONPILOT/Tender/SplashBidNoticeAbstractUI.aspx?menuIndex=3&amp;refID=7022642&amp;Result=3","7022642")</f>
        <v>0</v>
      </c>
      <c r="B10068" t="s">
        <v>2611</v>
      </c>
      <c r="C10068" t="s">
        <v>12322</v>
      </c>
      <c r="D10068" t="s">
        <v>13018</v>
      </c>
      <c r="E10068" t="s">
        <v>21844</v>
      </c>
      <c r="F10068" t="s">
        <v>22436</v>
      </c>
      <c r="G10068" t="s">
        <v>22444</v>
      </c>
      <c r="H10068" t="s">
        <v>22454</v>
      </c>
      <c r="I10068" t="s">
        <v>7738</v>
      </c>
      <c r="J10068" t="s">
        <v>22960</v>
      </c>
      <c r="K10068" t="s">
        <v>29510</v>
      </c>
      <c r="M10068" t="s">
        <v>32439</v>
      </c>
      <c r="N10068" t="s">
        <v>32524</v>
      </c>
      <c r="O10068" t="s">
        <v>32525</v>
      </c>
      <c r="P10068">
        <v>0</v>
      </c>
      <c r="Q10068">
        <v>1</v>
      </c>
      <c r="R10068" t="s">
        <v>32539</v>
      </c>
      <c r="S10068" t="s">
        <v>33010</v>
      </c>
      <c r="T10068" t="s">
        <v>33181</v>
      </c>
      <c r="U10068" t="s">
        <v>41899</v>
      </c>
      <c r="W10068" t="s">
        <v>32439</v>
      </c>
      <c r="X10068" t="s">
        <v>32540</v>
      </c>
    </row>
    <row r="10069" spans="1:24">
      <c r="A10069">
        <f>HYPERLINK("https://www.philgeps.gov.ph/GEPSNONPILOT/Tender/SplashBidNoticeAbstractUI.aspx?menuIndex=3&amp;refID=7022651&amp;Result=3","7022651")</f>
        <v>0</v>
      </c>
      <c r="B10069" t="s">
        <v>2609</v>
      </c>
      <c r="C10069" t="s">
        <v>12323</v>
      </c>
      <c r="D10069" t="s">
        <v>13056</v>
      </c>
      <c r="E10069" t="s">
        <v>21845</v>
      </c>
      <c r="F10069" t="s">
        <v>22436</v>
      </c>
      <c r="G10069" t="s">
        <v>22444</v>
      </c>
      <c r="H10069" t="s">
        <v>22454</v>
      </c>
      <c r="I10069" t="s">
        <v>7738</v>
      </c>
      <c r="J10069" t="s">
        <v>28944</v>
      </c>
      <c r="K10069" t="s">
        <v>29511</v>
      </c>
      <c r="M10069" t="s">
        <v>32434</v>
      </c>
      <c r="N10069" t="s">
        <v>32524</v>
      </c>
      <c r="O10069" t="s">
        <v>32525</v>
      </c>
      <c r="P10069">
        <v>0</v>
      </c>
      <c r="Q10069">
        <v>0</v>
      </c>
      <c r="R10069" t="s">
        <v>32539</v>
      </c>
      <c r="S10069" t="s">
        <v>33010</v>
      </c>
      <c r="T10069" t="s">
        <v>33181</v>
      </c>
      <c r="U10069" t="s">
        <v>41892</v>
      </c>
      <c r="W10069" t="s">
        <v>32434</v>
      </c>
      <c r="X10069" t="s">
        <v>32540</v>
      </c>
    </row>
    <row r="10070" spans="1:24">
      <c r="A10070">
        <f>HYPERLINK("https://www.philgeps.gov.ph/GEPSNONPILOT/Tender/SplashBidNoticeAbstractUI.aspx?menuIndex=3&amp;refID=7022521&amp;Result=3","7022521")</f>
        <v>0</v>
      </c>
      <c r="B10070" t="s">
        <v>244</v>
      </c>
      <c r="C10070" t="s">
        <v>12324</v>
      </c>
      <c r="D10070" t="s">
        <v>13019</v>
      </c>
      <c r="E10070" t="s">
        <v>21846</v>
      </c>
      <c r="F10070" t="s">
        <v>22436</v>
      </c>
      <c r="G10070" t="s">
        <v>22444</v>
      </c>
      <c r="H10070" t="s">
        <v>22454</v>
      </c>
      <c r="I10070" t="s">
        <v>7738</v>
      </c>
      <c r="J10070" t="s">
        <v>28945</v>
      </c>
      <c r="K10070" t="s">
        <v>29342</v>
      </c>
      <c r="M10070" t="s">
        <v>29818</v>
      </c>
      <c r="N10070" t="s">
        <v>32524</v>
      </c>
      <c r="O10070" t="s">
        <v>32525</v>
      </c>
      <c r="P10070">
        <v>0</v>
      </c>
      <c r="Q10070">
        <v>1</v>
      </c>
      <c r="R10070" t="s">
        <v>32539</v>
      </c>
      <c r="S10070" t="s">
        <v>33010</v>
      </c>
      <c r="T10070" t="s">
        <v>33181</v>
      </c>
      <c r="U10070" t="s">
        <v>41900</v>
      </c>
      <c r="W10070" t="s">
        <v>29818</v>
      </c>
      <c r="X10070" t="s">
        <v>32540</v>
      </c>
    </row>
    <row r="10071" spans="1:24">
      <c r="A10071">
        <f>HYPERLINK("https://www.philgeps.gov.ph/GEPSNONPILOT/Tender/SplashBidNoticeAbstractUI.aspx?menuIndex=3&amp;refID=7022655&amp;Result=3","7022655")</f>
        <v>0</v>
      </c>
      <c r="B10071" t="s">
        <v>2611</v>
      </c>
      <c r="C10071" t="s">
        <v>12325</v>
      </c>
      <c r="D10071" t="s">
        <v>13018</v>
      </c>
      <c r="E10071" t="s">
        <v>21847</v>
      </c>
      <c r="F10071" t="s">
        <v>22436</v>
      </c>
      <c r="G10071" t="s">
        <v>22444</v>
      </c>
      <c r="H10071" t="s">
        <v>22452</v>
      </c>
      <c r="I10071" t="s">
        <v>3381</v>
      </c>
      <c r="J10071" t="s">
        <v>24189</v>
      </c>
      <c r="K10071" t="s">
        <v>29333</v>
      </c>
      <c r="M10071" t="s">
        <v>32436</v>
      </c>
      <c r="N10071" t="s">
        <v>32524</v>
      </c>
      <c r="O10071" t="s">
        <v>32525</v>
      </c>
      <c r="P10071">
        <v>0</v>
      </c>
      <c r="Q10071">
        <v>5</v>
      </c>
      <c r="R10071" t="s">
        <v>32539</v>
      </c>
      <c r="S10071" t="s">
        <v>33010</v>
      </c>
      <c r="T10071" t="s">
        <v>33181</v>
      </c>
      <c r="U10071" t="s">
        <v>41901</v>
      </c>
      <c r="V10071" t="s">
        <v>43599</v>
      </c>
      <c r="W10071" t="s">
        <v>32436</v>
      </c>
      <c r="X10071" t="s">
        <v>32540</v>
      </c>
    </row>
    <row r="10072" spans="1:24">
      <c r="A10072">
        <f>HYPERLINK("https://www.philgeps.gov.ph/GEPSNONPILOT/Tender/SplashBidNoticeAbstractUI.aspx?menuIndex=3&amp;refID=7022652&amp;Result=3","7022652")</f>
        <v>0</v>
      </c>
      <c r="B10072" t="s">
        <v>2611</v>
      </c>
      <c r="C10072" t="s">
        <v>12326</v>
      </c>
      <c r="D10072" t="s">
        <v>13018</v>
      </c>
      <c r="E10072" t="s">
        <v>21848</v>
      </c>
      <c r="F10072" t="s">
        <v>22436</v>
      </c>
      <c r="G10072" t="s">
        <v>22444</v>
      </c>
      <c r="H10072" t="s">
        <v>22452</v>
      </c>
      <c r="I10072" t="s">
        <v>22464</v>
      </c>
      <c r="J10072" t="s">
        <v>23202</v>
      </c>
      <c r="K10072" t="s">
        <v>29335</v>
      </c>
      <c r="M10072" t="s">
        <v>32436</v>
      </c>
      <c r="N10072" t="s">
        <v>32524</v>
      </c>
      <c r="O10072" t="s">
        <v>32525</v>
      </c>
      <c r="Q10072">
        <v>6</v>
      </c>
      <c r="R10072" t="s">
        <v>32539</v>
      </c>
      <c r="S10072" t="s">
        <v>33039</v>
      </c>
      <c r="T10072" t="s">
        <v>33181</v>
      </c>
      <c r="U10072" t="s">
        <v>41902</v>
      </c>
      <c r="V10072" t="s">
        <v>43599</v>
      </c>
      <c r="W10072" t="s">
        <v>32436</v>
      </c>
      <c r="X10072" t="s">
        <v>32540</v>
      </c>
    </row>
    <row r="10073" spans="1:24">
      <c r="A10073">
        <f>HYPERLINK("https://www.philgeps.gov.ph/GEPSNONPILOT/Tender/SplashBidNoticeAbstractUI.aspx?menuIndex=3&amp;refID=7022634&amp;Result=3","7022634")</f>
        <v>0</v>
      </c>
      <c r="B10073" t="s">
        <v>2611</v>
      </c>
      <c r="C10073" t="s">
        <v>12327</v>
      </c>
      <c r="D10073" t="s">
        <v>13018</v>
      </c>
      <c r="E10073" t="s">
        <v>21849</v>
      </c>
      <c r="F10073" t="s">
        <v>22436</v>
      </c>
      <c r="G10073" t="s">
        <v>22444</v>
      </c>
      <c r="H10073" t="s">
        <v>22452</v>
      </c>
      <c r="I10073" t="s">
        <v>3381</v>
      </c>
      <c r="J10073" t="s">
        <v>23316</v>
      </c>
      <c r="K10073" t="s">
        <v>29335</v>
      </c>
      <c r="M10073" t="s">
        <v>32436</v>
      </c>
      <c r="N10073" t="s">
        <v>32524</v>
      </c>
      <c r="O10073" t="s">
        <v>32525</v>
      </c>
      <c r="P10073">
        <v>0</v>
      </c>
      <c r="Q10073">
        <v>6</v>
      </c>
      <c r="R10073" t="s">
        <v>32539</v>
      </c>
      <c r="S10073" t="s">
        <v>33010</v>
      </c>
      <c r="T10073" t="s">
        <v>33181</v>
      </c>
      <c r="U10073" t="s">
        <v>41903</v>
      </c>
      <c r="V10073" t="s">
        <v>43599</v>
      </c>
      <c r="W10073" t="s">
        <v>32436</v>
      </c>
      <c r="X10073" t="s">
        <v>32540</v>
      </c>
    </row>
    <row r="10074" spans="1:24">
      <c r="A10074">
        <f>HYPERLINK("https://www.philgeps.gov.ph/GEPSNONPILOT/Tender/SplashBidNoticeAbstractUI.aspx?menuIndex=3&amp;refID=7022505&amp;Result=3","7022505")</f>
        <v>0</v>
      </c>
      <c r="B10074" t="s">
        <v>289</v>
      </c>
      <c r="C10074" t="s">
        <v>12328</v>
      </c>
      <c r="D10074" t="s">
        <v>13057</v>
      </c>
      <c r="E10074" t="s">
        <v>15628</v>
      </c>
      <c r="F10074" t="s">
        <v>22436</v>
      </c>
      <c r="G10074" t="s">
        <v>22444</v>
      </c>
      <c r="H10074" t="s">
        <v>22454</v>
      </c>
      <c r="I10074" t="s">
        <v>7738</v>
      </c>
      <c r="J10074" t="s">
        <v>23350</v>
      </c>
      <c r="K10074" t="s">
        <v>29334</v>
      </c>
      <c r="M10074" t="s">
        <v>29863</v>
      </c>
      <c r="N10074" t="s">
        <v>32524</v>
      </c>
      <c r="O10074" t="s">
        <v>32525</v>
      </c>
      <c r="P10074">
        <v>0</v>
      </c>
      <c r="Q10074">
        <v>0</v>
      </c>
      <c r="R10074" t="s">
        <v>32539</v>
      </c>
      <c r="S10074" t="s">
        <v>33010</v>
      </c>
      <c r="T10074" t="s">
        <v>33171</v>
      </c>
      <c r="U10074" t="s">
        <v>41904</v>
      </c>
      <c r="V10074" t="s">
        <v>43600</v>
      </c>
      <c r="W10074" t="s">
        <v>29863</v>
      </c>
      <c r="X10074" t="s">
        <v>32540</v>
      </c>
    </row>
    <row r="10075" spans="1:24">
      <c r="A10075">
        <f>HYPERLINK("https://www.philgeps.gov.ph/GEPSNONPILOT/Tender/SplashBidNoticeAbstractUI.aspx?menuIndex=3&amp;refID=7022641&amp;Result=3","7022641")</f>
        <v>0</v>
      </c>
      <c r="B10075" t="s">
        <v>2609</v>
      </c>
      <c r="C10075" t="s">
        <v>12329</v>
      </c>
      <c r="D10075" t="s">
        <v>13056</v>
      </c>
      <c r="E10075" t="s">
        <v>21850</v>
      </c>
      <c r="F10075" t="s">
        <v>22436</v>
      </c>
      <c r="G10075" t="s">
        <v>22444</v>
      </c>
      <c r="H10075" t="s">
        <v>22454</v>
      </c>
      <c r="I10075" t="s">
        <v>7738</v>
      </c>
      <c r="J10075" t="s">
        <v>28152</v>
      </c>
      <c r="K10075" t="s">
        <v>29344</v>
      </c>
      <c r="M10075" t="s">
        <v>32434</v>
      </c>
      <c r="N10075" t="s">
        <v>32524</v>
      </c>
      <c r="O10075" t="s">
        <v>32525</v>
      </c>
      <c r="P10075">
        <v>0</v>
      </c>
      <c r="Q10075">
        <v>0</v>
      </c>
      <c r="R10075" t="s">
        <v>32539</v>
      </c>
      <c r="S10075" t="s">
        <v>33010</v>
      </c>
      <c r="T10075" t="s">
        <v>33181</v>
      </c>
      <c r="U10075" t="s">
        <v>41892</v>
      </c>
      <c r="W10075" t="s">
        <v>32434</v>
      </c>
      <c r="X10075" t="s">
        <v>32540</v>
      </c>
    </row>
    <row r="10076" spans="1:24">
      <c r="A10076">
        <f>HYPERLINK("https://www.philgeps.gov.ph/GEPSNONPILOT/Tender/SplashBidNoticeAbstractUI.aspx?menuIndex=3&amp;refID=7022563&amp;Result=3","7022563")</f>
        <v>0</v>
      </c>
      <c r="B10076" t="s">
        <v>2614</v>
      </c>
      <c r="C10076" t="s">
        <v>12330</v>
      </c>
      <c r="D10076" t="s">
        <v>12988</v>
      </c>
      <c r="E10076" t="s">
        <v>21851</v>
      </c>
      <c r="F10076" t="s">
        <v>22441</v>
      </c>
      <c r="G10076" t="s">
        <v>22444</v>
      </c>
      <c r="H10076" t="s">
        <v>22452</v>
      </c>
      <c r="I10076" t="s">
        <v>2981</v>
      </c>
      <c r="J10076" t="s">
        <v>22657</v>
      </c>
      <c r="K10076" t="s">
        <v>29336</v>
      </c>
      <c r="M10076" t="s">
        <v>32440</v>
      </c>
      <c r="N10076" t="s">
        <v>32524</v>
      </c>
      <c r="O10076" t="s">
        <v>32525</v>
      </c>
      <c r="P10076">
        <v>0</v>
      </c>
      <c r="Q10076">
        <v>0</v>
      </c>
      <c r="R10076" t="s">
        <v>32539</v>
      </c>
      <c r="S10076" t="s">
        <v>33010</v>
      </c>
      <c r="T10076" t="s">
        <v>33401</v>
      </c>
      <c r="U10076" t="s">
        <v>41905</v>
      </c>
      <c r="W10076" t="s">
        <v>32440</v>
      </c>
      <c r="X10076" t="s">
        <v>32540</v>
      </c>
    </row>
    <row r="10077" spans="1:24">
      <c r="A10077">
        <f>HYPERLINK("https://www.philgeps.gov.ph/GEPSNONPILOT/Tender/SplashBidNoticeAbstractUI.aspx?menuIndex=3&amp;refID=7022653&amp;Result=3","7022653")</f>
        <v>0</v>
      </c>
      <c r="B10077" t="s">
        <v>2611</v>
      </c>
      <c r="C10077" t="s">
        <v>12331</v>
      </c>
      <c r="D10077" t="s">
        <v>13018</v>
      </c>
      <c r="E10077" t="s">
        <v>21852</v>
      </c>
      <c r="F10077" t="s">
        <v>22436</v>
      </c>
      <c r="G10077" t="s">
        <v>22444</v>
      </c>
      <c r="H10077" t="s">
        <v>22454</v>
      </c>
      <c r="I10077" t="s">
        <v>7738</v>
      </c>
      <c r="J10077" t="s">
        <v>28946</v>
      </c>
      <c r="K10077" t="s">
        <v>29442</v>
      </c>
      <c r="M10077" t="s">
        <v>32439</v>
      </c>
      <c r="N10077" t="s">
        <v>32524</v>
      </c>
      <c r="O10077" t="s">
        <v>32525</v>
      </c>
      <c r="P10077">
        <v>0</v>
      </c>
      <c r="Q10077">
        <v>1</v>
      </c>
      <c r="R10077" t="s">
        <v>32539</v>
      </c>
      <c r="S10077" t="s">
        <v>33010</v>
      </c>
      <c r="T10077" t="s">
        <v>33181</v>
      </c>
      <c r="U10077" t="s">
        <v>41906</v>
      </c>
      <c r="W10077" t="s">
        <v>32439</v>
      </c>
      <c r="X10077" t="s">
        <v>32540</v>
      </c>
    </row>
    <row r="10078" spans="1:24">
      <c r="A10078">
        <f>HYPERLINK("https://www.philgeps.gov.ph/GEPSNONPILOT/Tender/SplashBidNoticeAbstractUI.aspx?menuIndex=3&amp;refID=7022657&amp;Result=3","7022657")</f>
        <v>0</v>
      </c>
      <c r="B10078" t="s">
        <v>2611</v>
      </c>
      <c r="C10078" t="s">
        <v>12332</v>
      </c>
      <c r="D10078" t="s">
        <v>13018</v>
      </c>
      <c r="E10078" t="s">
        <v>21853</v>
      </c>
      <c r="F10078" t="s">
        <v>22436</v>
      </c>
      <c r="G10078" t="s">
        <v>22444</v>
      </c>
      <c r="H10078" t="s">
        <v>22454</v>
      </c>
      <c r="I10078" t="s">
        <v>7738</v>
      </c>
      <c r="J10078" t="s">
        <v>28947</v>
      </c>
      <c r="K10078" t="s">
        <v>29413</v>
      </c>
      <c r="M10078" t="s">
        <v>32439</v>
      </c>
      <c r="N10078" t="s">
        <v>32524</v>
      </c>
      <c r="O10078" t="s">
        <v>32525</v>
      </c>
      <c r="P10078">
        <v>0</v>
      </c>
      <c r="Q10078">
        <v>2</v>
      </c>
      <c r="R10078" t="s">
        <v>32539</v>
      </c>
      <c r="S10078" t="s">
        <v>33010</v>
      </c>
      <c r="T10078" t="s">
        <v>33181</v>
      </c>
      <c r="U10078" t="s">
        <v>41907</v>
      </c>
      <c r="W10078" t="s">
        <v>32439</v>
      </c>
      <c r="X10078" t="s">
        <v>32540</v>
      </c>
    </row>
    <row r="10079" spans="1:24">
      <c r="A10079">
        <f>HYPERLINK("https://www.philgeps.gov.ph/GEPSNONPILOT/Tender/SplashBidNoticeAbstractUI.aspx?menuIndex=3&amp;refID=7022683&amp;Result=3","7022683")</f>
        <v>0</v>
      </c>
      <c r="B10079" t="s">
        <v>2611</v>
      </c>
      <c r="C10079" t="s">
        <v>12333</v>
      </c>
      <c r="D10079" t="s">
        <v>13018</v>
      </c>
      <c r="E10079" t="s">
        <v>21854</v>
      </c>
      <c r="F10079" t="s">
        <v>22436</v>
      </c>
      <c r="G10079" t="s">
        <v>22444</v>
      </c>
      <c r="H10079" t="s">
        <v>22454</v>
      </c>
      <c r="I10079" t="s">
        <v>7738</v>
      </c>
      <c r="J10079" t="s">
        <v>28948</v>
      </c>
      <c r="K10079" t="s">
        <v>29532</v>
      </c>
      <c r="M10079" t="s">
        <v>32439</v>
      </c>
      <c r="N10079" t="s">
        <v>32524</v>
      </c>
      <c r="O10079" t="s">
        <v>32525</v>
      </c>
      <c r="P10079">
        <v>0</v>
      </c>
      <c r="Q10079">
        <v>4</v>
      </c>
      <c r="R10079" t="s">
        <v>32539</v>
      </c>
      <c r="S10079" t="s">
        <v>33010</v>
      </c>
      <c r="T10079" t="s">
        <v>33181</v>
      </c>
      <c r="U10079" t="s">
        <v>41908</v>
      </c>
      <c r="W10079" t="s">
        <v>32439</v>
      </c>
      <c r="X10079" t="s">
        <v>32540</v>
      </c>
    </row>
    <row r="10080" spans="1:24">
      <c r="A10080">
        <f>HYPERLINK("https://www.philgeps.gov.ph/GEPSNONPILOT/Tender/SplashBidNoticeAbstractUI.aspx?menuIndex=3&amp;refID=7022672&amp;Result=3","7022672")</f>
        <v>0</v>
      </c>
      <c r="B10080" t="s">
        <v>2611</v>
      </c>
      <c r="C10080" t="s">
        <v>12334</v>
      </c>
      <c r="D10080" t="s">
        <v>13018</v>
      </c>
      <c r="E10080" t="s">
        <v>21855</v>
      </c>
      <c r="F10080" t="s">
        <v>22436</v>
      </c>
      <c r="G10080" t="s">
        <v>22444</v>
      </c>
      <c r="H10080" t="s">
        <v>22452</v>
      </c>
      <c r="I10080" t="s">
        <v>22467</v>
      </c>
      <c r="J10080" t="s">
        <v>28949</v>
      </c>
      <c r="K10080" t="s">
        <v>29337</v>
      </c>
      <c r="M10080" t="s">
        <v>32436</v>
      </c>
      <c r="N10080" t="s">
        <v>32524</v>
      </c>
      <c r="O10080" t="s">
        <v>32525</v>
      </c>
      <c r="P10080">
        <v>0</v>
      </c>
      <c r="Q10080">
        <v>1</v>
      </c>
      <c r="R10080" t="s">
        <v>32539</v>
      </c>
      <c r="S10080" t="s">
        <v>33010</v>
      </c>
      <c r="T10080" t="s">
        <v>33181</v>
      </c>
      <c r="U10080" t="s">
        <v>41909</v>
      </c>
      <c r="V10080" t="s">
        <v>43599</v>
      </c>
      <c r="W10080" t="s">
        <v>32436</v>
      </c>
      <c r="X10080" t="s">
        <v>32540</v>
      </c>
    </row>
    <row r="10081" spans="1:24">
      <c r="A10081">
        <f>HYPERLINK("https://www.philgeps.gov.ph/GEPSNONPILOT/Tender/SplashBidNoticeAbstractUI.aspx?menuIndex=3&amp;refID=7022676&amp;Result=3","7022676")</f>
        <v>0</v>
      </c>
      <c r="B10081" t="s">
        <v>2611</v>
      </c>
      <c r="C10081" t="s">
        <v>12335</v>
      </c>
      <c r="D10081" t="s">
        <v>13018</v>
      </c>
      <c r="E10081" t="s">
        <v>21856</v>
      </c>
      <c r="F10081" t="s">
        <v>22436</v>
      </c>
      <c r="G10081" t="s">
        <v>22444</v>
      </c>
      <c r="H10081" t="s">
        <v>22454</v>
      </c>
      <c r="I10081" t="s">
        <v>7738</v>
      </c>
      <c r="J10081" t="s">
        <v>28950</v>
      </c>
      <c r="K10081" t="s">
        <v>29579</v>
      </c>
      <c r="M10081" t="s">
        <v>32439</v>
      </c>
      <c r="N10081" t="s">
        <v>32524</v>
      </c>
      <c r="O10081" t="s">
        <v>32525</v>
      </c>
      <c r="P10081">
        <v>0</v>
      </c>
      <c r="Q10081">
        <v>2</v>
      </c>
      <c r="R10081" t="s">
        <v>32539</v>
      </c>
      <c r="S10081" t="s">
        <v>33010</v>
      </c>
      <c r="T10081" t="s">
        <v>33181</v>
      </c>
      <c r="U10081" t="s">
        <v>41910</v>
      </c>
      <c r="W10081" t="s">
        <v>32439</v>
      </c>
      <c r="X10081" t="s">
        <v>32540</v>
      </c>
    </row>
    <row r="10082" spans="1:24">
      <c r="A10082">
        <f>HYPERLINK("https://www.philgeps.gov.ph/GEPSNONPILOT/Tender/SplashBidNoticeAbstractUI.aspx?menuIndex=3&amp;refID=7022669&amp;Result=3","7022669")</f>
        <v>0</v>
      </c>
      <c r="B10082" t="s">
        <v>2611</v>
      </c>
      <c r="C10082" t="s">
        <v>12336</v>
      </c>
      <c r="D10082" t="s">
        <v>13018</v>
      </c>
      <c r="E10082" t="s">
        <v>21857</v>
      </c>
      <c r="F10082" t="s">
        <v>22436</v>
      </c>
      <c r="G10082" t="s">
        <v>22444</v>
      </c>
      <c r="H10082" t="s">
        <v>22454</v>
      </c>
      <c r="I10082" t="s">
        <v>7738</v>
      </c>
      <c r="J10082" t="s">
        <v>22936</v>
      </c>
      <c r="K10082" t="s">
        <v>29571</v>
      </c>
      <c r="M10082" t="s">
        <v>32439</v>
      </c>
      <c r="N10082" t="s">
        <v>32524</v>
      </c>
      <c r="O10082" t="s">
        <v>32525</v>
      </c>
      <c r="P10082">
        <v>0</v>
      </c>
      <c r="Q10082">
        <v>1</v>
      </c>
      <c r="R10082" t="s">
        <v>32539</v>
      </c>
      <c r="S10082" t="s">
        <v>33010</v>
      </c>
      <c r="T10082" t="s">
        <v>33181</v>
      </c>
      <c r="U10082" t="s">
        <v>41911</v>
      </c>
      <c r="W10082" t="s">
        <v>32439</v>
      </c>
      <c r="X10082" t="s">
        <v>32540</v>
      </c>
    </row>
    <row r="10083" spans="1:24">
      <c r="A10083">
        <f>HYPERLINK("https://www.philgeps.gov.ph/GEPSNONPILOT/Tender/SplashBidNoticeAbstractUI.aspx?menuIndex=3&amp;refID=7022668&amp;Result=3","7022668")</f>
        <v>0</v>
      </c>
      <c r="B10083" t="s">
        <v>2611</v>
      </c>
      <c r="C10083" t="s">
        <v>12337</v>
      </c>
      <c r="D10083" t="s">
        <v>13018</v>
      </c>
      <c r="E10083" t="s">
        <v>21858</v>
      </c>
      <c r="F10083" t="s">
        <v>22436</v>
      </c>
      <c r="G10083" t="s">
        <v>22444</v>
      </c>
      <c r="H10083" t="s">
        <v>22452</v>
      </c>
      <c r="I10083" t="s">
        <v>3122</v>
      </c>
      <c r="J10083" t="s">
        <v>28951</v>
      </c>
      <c r="K10083" t="s">
        <v>29337</v>
      </c>
      <c r="M10083" t="s">
        <v>32436</v>
      </c>
      <c r="N10083" t="s">
        <v>32524</v>
      </c>
      <c r="O10083" t="s">
        <v>32525</v>
      </c>
      <c r="P10083">
        <v>0</v>
      </c>
      <c r="Q10083">
        <v>0</v>
      </c>
      <c r="R10083" t="s">
        <v>32539</v>
      </c>
      <c r="S10083" t="s">
        <v>33010</v>
      </c>
      <c r="T10083" t="s">
        <v>33181</v>
      </c>
      <c r="U10083" t="s">
        <v>41912</v>
      </c>
      <c r="V10083" t="s">
        <v>43599</v>
      </c>
      <c r="W10083" t="s">
        <v>32436</v>
      </c>
      <c r="X10083" t="s">
        <v>32540</v>
      </c>
    </row>
    <row r="10084" spans="1:24">
      <c r="A10084">
        <f>HYPERLINK("https://www.philgeps.gov.ph/GEPSNONPILOT/Tender/SplashBidNoticeAbstractUI.aspx?menuIndex=3&amp;refID=7022661&amp;Result=3","7022661")</f>
        <v>0</v>
      </c>
      <c r="B10084" t="s">
        <v>2611</v>
      </c>
      <c r="C10084" t="s">
        <v>12338</v>
      </c>
      <c r="D10084" t="s">
        <v>13018</v>
      </c>
      <c r="E10084" t="s">
        <v>21859</v>
      </c>
      <c r="F10084" t="s">
        <v>22436</v>
      </c>
      <c r="G10084" t="s">
        <v>22444</v>
      </c>
      <c r="H10084" t="s">
        <v>22454</v>
      </c>
      <c r="I10084" t="s">
        <v>7738</v>
      </c>
      <c r="J10084" t="s">
        <v>28952</v>
      </c>
      <c r="K10084" t="s">
        <v>29465</v>
      </c>
      <c r="M10084" t="s">
        <v>32439</v>
      </c>
      <c r="N10084" t="s">
        <v>32524</v>
      </c>
      <c r="O10084" t="s">
        <v>32525</v>
      </c>
      <c r="P10084">
        <v>0</v>
      </c>
      <c r="Q10084">
        <v>3</v>
      </c>
      <c r="R10084" t="s">
        <v>32539</v>
      </c>
      <c r="S10084" t="s">
        <v>33010</v>
      </c>
      <c r="T10084" t="s">
        <v>33181</v>
      </c>
      <c r="U10084" t="s">
        <v>41913</v>
      </c>
      <c r="W10084" t="s">
        <v>32439</v>
      </c>
      <c r="X10084" t="s">
        <v>32540</v>
      </c>
    </row>
    <row r="10085" spans="1:24">
      <c r="A10085">
        <f>HYPERLINK("https://www.philgeps.gov.ph/GEPSNONPILOT/Tender/SplashBidNoticeAbstractUI.aspx?menuIndex=3&amp;refID=7022680&amp;Result=3","7022680")</f>
        <v>0</v>
      </c>
      <c r="B10085" t="s">
        <v>2611</v>
      </c>
      <c r="C10085" t="s">
        <v>12339</v>
      </c>
      <c r="D10085" t="s">
        <v>13018</v>
      </c>
      <c r="E10085" t="s">
        <v>21860</v>
      </c>
      <c r="F10085" t="s">
        <v>22436</v>
      </c>
      <c r="G10085" t="s">
        <v>22444</v>
      </c>
      <c r="H10085" t="s">
        <v>22454</v>
      </c>
      <c r="I10085" t="s">
        <v>7738</v>
      </c>
      <c r="J10085" t="s">
        <v>28953</v>
      </c>
      <c r="K10085" t="s">
        <v>29580</v>
      </c>
      <c r="M10085" t="s">
        <v>32439</v>
      </c>
      <c r="N10085" t="s">
        <v>32524</v>
      </c>
      <c r="O10085" t="s">
        <v>32525</v>
      </c>
      <c r="Q10085">
        <v>2</v>
      </c>
      <c r="R10085" t="s">
        <v>32539</v>
      </c>
      <c r="S10085" t="s">
        <v>33040</v>
      </c>
      <c r="T10085" t="s">
        <v>33181</v>
      </c>
      <c r="U10085" t="s">
        <v>41914</v>
      </c>
      <c r="W10085" t="s">
        <v>32439</v>
      </c>
      <c r="X10085" t="s">
        <v>32540</v>
      </c>
    </row>
    <row r="10086" spans="1:24">
      <c r="A10086">
        <f>HYPERLINK("https://www.philgeps.gov.ph/GEPSNONPILOT/Tender/SplashBidNoticeAbstractUI.aspx?menuIndex=3&amp;refID=7022747&amp;Result=3","7022747")</f>
        <v>0</v>
      </c>
      <c r="B10086" t="s">
        <v>2526</v>
      </c>
      <c r="C10086" t="s">
        <v>12340</v>
      </c>
      <c r="D10086" t="s">
        <v>13007</v>
      </c>
      <c r="E10086" t="s">
        <v>21861</v>
      </c>
      <c r="F10086" t="s">
        <v>22436</v>
      </c>
      <c r="G10086" t="s">
        <v>22444</v>
      </c>
      <c r="H10086" t="s">
        <v>22452</v>
      </c>
      <c r="I10086" t="s">
        <v>11896</v>
      </c>
      <c r="J10086" t="s">
        <v>22740</v>
      </c>
      <c r="K10086" t="s">
        <v>29340</v>
      </c>
      <c r="M10086" t="s">
        <v>32333</v>
      </c>
      <c r="N10086" t="s">
        <v>32524</v>
      </c>
      <c r="O10086" t="s">
        <v>32525</v>
      </c>
      <c r="P10086">
        <v>0</v>
      </c>
      <c r="Q10086">
        <v>0</v>
      </c>
      <c r="R10086" t="s">
        <v>32539</v>
      </c>
      <c r="S10086" t="s">
        <v>33010</v>
      </c>
      <c r="T10086" t="s">
        <v>33410</v>
      </c>
      <c r="U10086" t="s">
        <v>41915</v>
      </c>
      <c r="W10086" t="s">
        <v>32333</v>
      </c>
      <c r="X10086" t="s">
        <v>32540</v>
      </c>
    </row>
    <row r="10087" spans="1:24">
      <c r="A10087">
        <f>HYPERLINK("https://www.philgeps.gov.ph/GEPSNONPILOT/Tender/SplashBidNoticeAbstractUI.aspx?menuIndex=3&amp;refID=7022662&amp;Result=3","7022662")</f>
        <v>0</v>
      </c>
      <c r="B10087" t="s">
        <v>1796</v>
      </c>
      <c r="C10087" t="s">
        <v>12341</v>
      </c>
      <c r="D10087" t="s">
        <v>12997</v>
      </c>
      <c r="E10087" t="s">
        <v>21862</v>
      </c>
      <c r="F10087" t="s">
        <v>22436</v>
      </c>
      <c r="G10087" t="s">
        <v>22443</v>
      </c>
      <c r="H10087" t="s">
        <v>22452</v>
      </c>
      <c r="I10087" t="s">
        <v>22494</v>
      </c>
      <c r="J10087" t="s">
        <v>28954</v>
      </c>
      <c r="K10087" t="s">
        <v>29341</v>
      </c>
      <c r="M10087" t="s">
        <v>31507</v>
      </c>
      <c r="N10087" t="s">
        <v>32524</v>
      </c>
      <c r="O10087" t="s">
        <v>32525</v>
      </c>
      <c r="P10087">
        <v>0</v>
      </c>
      <c r="Q10087">
        <v>0</v>
      </c>
      <c r="R10087" t="s">
        <v>32539</v>
      </c>
      <c r="S10087" t="s">
        <v>33010</v>
      </c>
      <c r="T10087" t="s">
        <v>33238</v>
      </c>
      <c r="U10087" t="s">
        <v>41916</v>
      </c>
      <c r="W10087" t="s">
        <v>31507</v>
      </c>
      <c r="X10087" t="s">
        <v>32540</v>
      </c>
    </row>
    <row r="10088" spans="1:24">
      <c r="A10088">
        <f>HYPERLINK("https://www.philgeps.gov.ph/GEPSNONPILOT/Tender/SplashBidNoticeAbstractUI.aspx?menuIndex=3&amp;refID=7022675&amp;Result=3","7022675")</f>
        <v>0</v>
      </c>
      <c r="B10088" t="s">
        <v>2611</v>
      </c>
      <c r="C10088" t="s">
        <v>12342</v>
      </c>
      <c r="D10088" t="s">
        <v>13018</v>
      </c>
      <c r="E10088" t="s">
        <v>21863</v>
      </c>
      <c r="F10088" t="s">
        <v>22436</v>
      </c>
      <c r="G10088" t="s">
        <v>22444</v>
      </c>
      <c r="H10088" t="s">
        <v>22452</v>
      </c>
      <c r="I10088" t="s">
        <v>22468</v>
      </c>
      <c r="J10088" t="s">
        <v>28955</v>
      </c>
      <c r="K10088" t="s">
        <v>29337</v>
      </c>
      <c r="M10088" t="s">
        <v>32436</v>
      </c>
      <c r="N10088" t="s">
        <v>32524</v>
      </c>
      <c r="O10088" t="s">
        <v>32525</v>
      </c>
      <c r="P10088">
        <v>0</v>
      </c>
      <c r="Q10088">
        <v>6</v>
      </c>
      <c r="R10088" t="s">
        <v>32539</v>
      </c>
      <c r="S10088" t="s">
        <v>33010</v>
      </c>
      <c r="T10088" t="s">
        <v>33181</v>
      </c>
      <c r="U10088" t="s">
        <v>41917</v>
      </c>
      <c r="V10088" t="s">
        <v>43599</v>
      </c>
      <c r="W10088" t="s">
        <v>32436</v>
      </c>
      <c r="X10088" t="s">
        <v>32540</v>
      </c>
    </row>
    <row r="10089" spans="1:24">
      <c r="A10089">
        <f>HYPERLINK("https://www.philgeps.gov.ph/GEPSNONPILOT/Tender/SplashBidNoticeAbstractUI.aspx?menuIndex=3&amp;refID=7022744&amp;Result=3","7022744")</f>
        <v>0</v>
      </c>
      <c r="B10089" t="s">
        <v>1027</v>
      </c>
      <c r="C10089" t="s">
        <v>12343</v>
      </c>
      <c r="D10089" t="s">
        <v>13039</v>
      </c>
      <c r="E10089" t="s">
        <v>13739</v>
      </c>
      <c r="F10089" t="s">
        <v>22436</v>
      </c>
      <c r="G10089" t="s">
        <v>22444</v>
      </c>
      <c r="H10089" t="s">
        <v>22452</v>
      </c>
      <c r="I10089" t="s">
        <v>22560</v>
      </c>
      <c r="J10089" t="s">
        <v>28956</v>
      </c>
      <c r="K10089" t="s">
        <v>29333</v>
      </c>
      <c r="M10089" t="s">
        <v>30656</v>
      </c>
      <c r="N10089" t="s">
        <v>32524</v>
      </c>
      <c r="O10089" t="s">
        <v>32525</v>
      </c>
      <c r="P10089">
        <v>0</v>
      </c>
      <c r="Q10089">
        <v>1</v>
      </c>
      <c r="R10089" t="s">
        <v>32539</v>
      </c>
      <c r="S10089" t="s">
        <v>33010</v>
      </c>
      <c r="T10089" t="s">
        <v>33241</v>
      </c>
      <c r="U10089" t="s">
        <v>41918</v>
      </c>
      <c r="W10089" t="s">
        <v>30656</v>
      </c>
      <c r="X10089" t="s">
        <v>32540</v>
      </c>
    </row>
    <row r="10090" spans="1:24">
      <c r="A10090">
        <f>HYPERLINK("https://www.philgeps.gov.ph/GEPSNONPILOT/Tender/SplashBidNoticeAbstractUI.aspx?menuIndex=3&amp;refID=7022750&amp;Result=3","7022750")</f>
        <v>0</v>
      </c>
      <c r="B10090" t="s">
        <v>2084</v>
      </c>
      <c r="C10090" t="s">
        <v>12344</v>
      </c>
      <c r="D10090" t="s">
        <v>13045</v>
      </c>
      <c r="E10090" t="s">
        <v>21864</v>
      </c>
      <c r="F10090" t="s">
        <v>22436</v>
      </c>
      <c r="G10090" t="s">
        <v>22444</v>
      </c>
      <c r="H10090" t="s">
        <v>22452</v>
      </c>
      <c r="I10090" t="s">
        <v>12358</v>
      </c>
      <c r="J10090" t="s">
        <v>24823</v>
      </c>
      <c r="K10090" t="s">
        <v>29341</v>
      </c>
      <c r="M10090" t="s">
        <v>31828</v>
      </c>
      <c r="N10090" t="s">
        <v>32524</v>
      </c>
      <c r="O10090" t="s">
        <v>32525</v>
      </c>
      <c r="P10090">
        <v>0</v>
      </c>
      <c r="Q10090">
        <v>2</v>
      </c>
      <c r="R10090" t="s">
        <v>32539</v>
      </c>
      <c r="S10090" t="s">
        <v>33010</v>
      </c>
      <c r="T10090" t="s">
        <v>33180</v>
      </c>
      <c r="U10090" t="s">
        <v>41919</v>
      </c>
      <c r="W10090" t="s">
        <v>31828</v>
      </c>
      <c r="X10090" t="s">
        <v>32540</v>
      </c>
    </row>
    <row r="10091" spans="1:24">
      <c r="A10091">
        <f>HYPERLINK("https://www.philgeps.gov.ph/GEPSNONPILOT/Tender/SplashBidNoticeAbstractUI.aspx?menuIndex=3&amp;refID=7022727&amp;Result=3","7022727")</f>
        <v>0</v>
      </c>
      <c r="B10091" t="s">
        <v>2615</v>
      </c>
      <c r="C10091" t="s">
        <v>12345</v>
      </c>
      <c r="D10091" t="s">
        <v>13013</v>
      </c>
      <c r="E10091" t="s">
        <v>21865</v>
      </c>
      <c r="F10091" t="s">
        <v>22441</v>
      </c>
      <c r="G10091" t="s">
        <v>22444</v>
      </c>
      <c r="H10091" t="s">
        <v>22452</v>
      </c>
      <c r="I10091" t="s">
        <v>3529</v>
      </c>
      <c r="J10091" t="s">
        <v>28957</v>
      </c>
      <c r="K10091" t="s">
        <v>29341</v>
      </c>
      <c r="M10091" t="s">
        <v>32441</v>
      </c>
      <c r="N10091" t="s">
        <v>32524</v>
      </c>
      <c r="O10091" t="s">
        <v>32525</v>
      </c>
      <c r="P10091">
        <v>0</v>
      </c>
      <c r="Q10091">
        <v>2</v>
      </c>
      <c r="R10091" t="s">
        <v>32539</v>
      </c>
      <c r="S10091" t="s">
        <v>33010</v>
      </c>
      <c r="T10091" t="s">
        <v>33220</v>
      </c>
      <c r="U10091" t="s">
        <v>41920</v>
      </c>
      <c r="W10091" t="s">
        <v>32441</v>
      </c>
      <c r="X10091" t="s">
        <v>32540</v>
      </c>
    </row>
    <row r="10092" spans="1:24">
      <c r="A10092">
        <f>HYPERLINK("https://www.philgeps.gov.ph/GEPSNONPILOT/Tender/SplashBidNoticeAbstractUI.aspx?menuIndex=3&amp;refID=7022687&amp;Result=3","7022687")</f>
        <v>0</v>
      </c>
      <c r="B10092" t="s">
        <v>2611</v>
      </c>
      <c r="C10092" t="s">
        <v>12346</v>
      </c>
      <c r="D10092" t="s">
        <v>13018</v>
      </c>
      <c r="E10092" t="s">
        <v>21866</v>
      </c>
      <c r="F10092" t="s">
        <v>22436</v>
      </c>
      <c r="G10092" t="s">
        <v>22444</v>
      </c>
      <c r="H10092" t="s">
        <v>22454</v>
      </c>
      <c r="I10092" t="s">
        <v>7738</v>
      </c>
      <c r="J10092" t="s">
        <v>22960</v>
      </c>
      <c r="K10092" t="s">
        <v>29473</v>
      </c>
      <c r="M10092" t="s">
        <v>32439</v>
      </c>
      <c r="N10092" t="s">
        <v>32524</v>
      </c>
      <c r="O10092" t="s">
        <v>32525</v>
      </c>
      <c r="P10092">
        <v>0</v>
      </c>
      <c r="Q10092">
        <v>1</v>
      </c>
      <c r="R10092" t="s">
        <v>32539</v>
      </c>
      <c r="S10092" t="s">
        <v>33010</v>
      </c>
      <c r="T10092" t="s">
        <v>33181</v>
      </c>
      <c r="U10092" t="s">
        <v>41921</v>
      </c>
      <c r="W10092" t="s">
        <v>32439</v>
      </c>
      <c r="X10092" t="s">
        <v>32540</v>
      </c>
    </row>
    <row r="10093" spans="1:24">
      <c r="A10093">
        <f>HYPERLINK("https://www.philgeps.gov.ph/GEPSNONPILOT/Tender/SplashBidNoticeAbstractUI.aspx?menuIndex=3&amp;refID=7022690&amp;Result=3","7022690")</f>
        <v>0</v>
      </c>
      <c r="B10093" t="s">
        <v>2611</v>
      </c>
      <c r="C10093" t="s">
        <v>12347</v>
      </c>
      <c r="D10093" t="s">
        <v>13018</v>
      </c>
      <c r="E10093" t="s">
        <v>21867</v>
      </c>
      <c r="F10093" t="s">
        <v>22436</v>
      </c>
      <c r="G10093" t="s">
        <v>22444</v>
      </c>
      <c r="H10093" t="s">
        <v>22454</v>
      </c>
      <c r="I10093" t="s">
        <v>7738</v>
      </c>
      <c r="J10093" t="s">
        <v>28958</v>
      </c>
      <c r="K10093" t="s">
        <v>29540</v>
      </c>
      <c r="M10093" t="s">
        <v>32439</v>
      </c>
      <c r="N10093" t="s">
        <v>32524</v>
      </c>
      <c r="O10093" t="s">
        <v>32525</v>
      </c>
      <c r="P10093">
        <v>0</v>
      </c>
      <c r="Q10093">
        <v>1</v>
      </c>
      <c r="R10093" t="s">
        <v>32539</v>
      </c>
      <c r="S10093" t="s">
        <v>33010</v>
      </c>
      <c r="T10093" t="s">
        <v>33181</v>
      </c>
      <c r="U10093" t="s">
        <v>41922</v>
      </c>
      <c r="W10093" t="s">
        <v>32439</v>
      </c>
      <c r="X10093" t="s">
        <v>32540</v>
      </c>
    </row>
    <row r="10094" spans="1:24">
      <c r="A10094">
        <f>HYPERLINK("https://www.philgeps.gov.ph/GEPSNONPILOT/Tender/SplashBidNoticeAbstractUI.aspx?menuIndex=3&amp;refID=7022713&amp;Result=3","7022713")</f>
        <v>0</v>
      </c>
      <c r="B10094" t="s">
        <v>68</v>
      </c>
      <c r="C10094" t="s">
        <v>12348</v>
      </c>
      <c r="D10094" t="s">
        <v>13013</v>
      </c>
      <c r="E10094" t="s">
        <v>21868</v>
      </c>
      <c r="F10094" t="s">
        <v>22436</v>
      </c>
      <c r="G10094" t="s">
        <v>22444</v>
      </c>
      <c r="H10094" t="s">
        <v>22454</v>
      </c>
      <c r="I10094" t="s">
        <v>7738</v>
      </c>
      <c r="J10094" t="s">
        <v>23505</v>
      </c>
      <c r="K10094" t="s">
        <v>29581</v>
      </c>
      <c r="L10094" t="s">
        <v>68</v>
      </c>
      <c r="M10094" t="s">
        <v>29640</v>
      </c>
      <c r="N10094" t="s">
        <v>32524</v>
      </c>
      <c r="O10094" t="s">
        <v>32525</v>
      </c>
      <c r="P10094">
        <v>0</v>
      </c>
      <c r="Q10094">
        <v>4</v>
      </c>
      <c r="R10094" t="s">
        <v>32539</v>
      </c>
      <c r="S10094" t="s">
        <v>33010</v>
      </c>
      <c r="T10094" t="s">
        <v>33184</v>
      </c>
      <c r="U10094" t="s">
        <v>41923</v>
      </c>
      <c r="V10094" t="s">
        <v>42437</v>
      </c>
      <c r="W10094" t="s">
        <v>29640</v>
      </c>
      <c r="X10094" t="s">
        <v>32540</v>
      </c>
    </row>
    <row r="10095" spans="1:24">
      <c r="A10095">
        <f>HYPERLINK("https://www.philgeps.gov.ph/GEPSNONPILOT/Tender/SplashBidNoticeAbstractUI.aspx?menuIndex=3&amp;refID=7022673&amp;Result=3","7022673")</f>
        <v>0</v>
      </c>
      <c r="B10095" t="s">
        <v>2611</v>
      </c>
      <c r="C10095" t="s">
        <v>12349</v>
      </c>
      <c r="D10095" t="s">
        <v>13018</v>
      </c>
      <c r="E10095" t="s">
        <v>21869</v>
      </c>
      <c r="F10095" t="s">
        <v>22436</v>
      </c>
      <c r="G10095" t="s">
        <v>22444</v>
      </c>
      <c r="H10095" t="s">
        <v>22454</v>
      </c>
      <c r="I10095" t="s">
        <v>7738</v>
      </c>
      <c r="J10095" t="s">
        <v>28753</v>
      </c>
      <c r="K10095" t="s">
        <v>29582</v>
      </c>
      <c r="M10095" t="s">
        <v>32439</v>
      </c>
      <c r="N10095" t="s">
        <v>32524</v>
      </c>
      <c r="O10095" t="s">
        <v>32525</v>
      </c>
      <c r="P10095">
        <v>0</v>
      </c>
      <c r="Q10095">
        <v>1</v>
      </c>
      <c r="R10095" t="s">
        <v>32539</v>
      </c>
      <c r="S10095" t="s">
        <v>33010</v>
      </c>
      <c r="T10095" t="s">
        <v>33181</v>
      </c>
      <c r="U10095" t="s">
        <v>41924</v>
      </c>
      <c r="W10095" t="s">
        <v>32439</v>
      </c>
      <c r="X10095" t="s">
        <v>32540</v>
      </c>
    </row>
    <row r="10096" spans="1:24">
      <c r="A10096">
        <f>HYPERLINK("https://www.philgeps.gov.ph/GEPSNONPILOT/Tender/SplashBidNoticeAbstractUI.aspx?menuIndex=3&amp;refID=7022689&amp;Result=3","7022689")</f>
        <v>0</v>
      </c>
      <c r="B10096" t="s">
        <v>317</v>
      </c>
      <c r="C10096" t="s">
        <v>8572</v>
      </c>
      <c r="D10096" t="s">
        <v>13031</v>
      </c>
      <c r="E10096" t="s">
        <v>21870</v>
      </c>
      <c r="F10096" t="s">
        <v>22436</v>
      </c>
      <c r="G10096" t="s">
        <v>22444</v>
      </c>
      <c r="H10096" t="s">
        <v>22452</v>
      </c>
      <c r="I10096" t="s">
        <v>6421</v>
      </c>
      <c r="J10096" t="s">
        <v>28959</v>
      </c>
      <c r="K10096" t="s">
        <v>29336</v>
      </c>
      <c r="M10096" t="s">
        <v>29893</v>
      </c>
      <c r="N10096" t="s">
        <v>32524</v>
      </c>
      <c r="O10096" t="s">
        <v>32525</v>
      </c>
      <c r="Q10096">
        <v>9</v>
      </c>
      <c r="R10096" t="s">
        <v>32539</v>
      </c>
      <c r="S10096" t="s">
        <v>33041</v>
      </c>
      <c r="T10096" t="s">
        <v>33171</v>
      </c>
      <c r="U10096" t="s">
        <v>41925</v>
      </c>
      <c r="W10096" t="s">
        <v>43677</v>
      </c>
      <c r="X10096" t="s">
        <v>32540</v>
      </c>
    </row>
    <row r="10097" spans="1:24">
      <c r="A10097">
        <f>HYPERLINK("https://www.philgeps.gov.ph/GEPSNONPILOT/Tender/SplashBidNoticeAbstractUI.aspx?menuIndex=3&amp;refID=7022751&amp;Result=3","7022751")</f>
        <v>0</v>
      </c>
      <c r="B10097" t="s">
        <v>2616</v>
      </c>
      <c r="C10097" t="s">
        <v>12350</v>
      </c>
      <c r="D10097" t="s">
        <v>13038</v>
      </c>
      <c r="E10097" t="s">
        <v>21871</v>
      </c>
      <c r="F10097" t="s">
        <v>22436</v>
      </c>
      <c r="G10097" t="s">
        <v>22444</v>
      </c>
      <c r="H10097" t="s">
        <v>22454</v>
      </c>
      <c r="I10097" t="s">
        <v>7738</v>
      </c>
      <c r="J10097" t="s">
        <v>28282</v>
      </c>
      <c r="K10097" t="s">
        <v>29333</v>
      </c>
      <c r="L10097" t="s">
        <v>2616</v>
      </c>
      <c r="M10097" t="s">
        <v>32442</v>
      </c>
      <c r="N10097" t="s">
        <v>32524</v>
      </c>
      <c r="O10097" t="s">
        <v>32525</v>
      </c>
      <c r="Q10097">
        <v>0</v>
      </c>
      <c r="R10097" t="s">
        <v>32539</v>
      </c>
      <c r="S10097" t="s">
        <v>32850</v>
      </c>
      <c r="T10097" t="s">
        <v>33181</v>
      </c>
      <c r="U10097" t="s">
        <v>41926</v>
      </c>
      <c r="W10097" t="s">
        <v>32442</v>
      </c>
      <c r="X10097" t="s">
        <v>32540</v>
      </c>
    </row>
    <row r="10098" spans="1:24">
      <c r="A10098">
        <f>HYPERLINK("https://www.philgeps.gov.ph/GEPSNONPILOT/Tender/SplashBidNoticeAbstractUI.aspx?menuIndex=3&amp;refID=7022736&amp;Result=3","7022736")</f>
        <v>0</v>
      </c>
      <c r="B10098" t="s">
        <v>2617</v>
      </c>
      <c r="C10098" t="s">
        <v>12351</v>
      </c>
      <c r="E10098" t="s">
        <v>13368</v>
      </c>
      <c r="F10098" t="s">
        <v>22436</v>
      </c>
      <c r="G10098" t="s">
        <v>22444</v>
      </c>
      <c r="H10098" t="s">
        <v>22452</v>
      </c>
      <c r="I10098" t="s">
        <v>7738</v>
      </c>
      <c r="J10098" t="s">
        <v>28960</v>
      </c>
      <c r="K10098" t="s">
        <v>29341</v>
      </c>
      <c r="M10098" t="s">
        <v>32443</v>
      </c>
      <c r="N10098" t="s">
        <v>32524</v>
      </c>
      <c r="O10098" t="s">
        <v>32525</v>
      </c>
      <c r="P10098">
        <v>0</v>
      </c>
      <c r="Q10098">
        <v>1</v>
      </c>
      <c r="R10098" t="s">
        <v>32539</v>
      </c>
      <c r="S10098" t="s">
        <v>33010</v>
      </c>
      <c r="T10098" t="s">
        <v>33322</v>
      </c>
      <c r="U10098" t="s">
        <v>41927</v>
      </c>
      <c r="V10098" t="s">
        <v>43601</v>
      </c>
      <c r="W10098" t="s">
        <v>32443</v>
      </c>
      <c r="X10098" t="s">
        <v>32540</v>
      </c>
    </row>
    <row r="10099" spans="1:24">
      <c r="A10099">
        <f>HYPERLINK("https://www.philgeps.gov.ph/GEPSNONPILOT/Tender/SplashBidNoticeAbstractUI.aspx?menuIndex=3&amp;refID=7022764&amp;Result=3","7022764")</f>
        <v>0</v>
      </c>
      <c r="B10099" t="s">
        <v>465</v>
      </c>
      <c r="C10099" t="s">
        <v>12352</v>
      </c>
      <c r="D10099" t="s">
        <v>13049</v>
      </c>
      <c r="E10099" t="s">
        <v>21872</v>
      </c>
      <c r="F10099" t="s">
        <v>22436</v>
      </c>
      <c r="G10099" t="s">
        <v>22444</v>
      </c>
      <c r="H10099" t="s">
        <v>22454</v>
      </c>
      <c r="I10099" t="s">
        <v>7738</v>
      </c>
      <c r="J10099" t="s">
        <v>22779</v>
      </c>
      <c r="K10099" t="s">
        <v>29355</v>
      </c>
      <c r="M10099" t="s">
        <v>30047</v>
      </c>
      <c r="N10099" t="s">
        <v>32524</v>
      </c>
      <c r="O10099" t="s">
        <v>32525</v>
      </c>
      <c r="P10099">
        <v>0</v>
      </c>
      <c r="Q10099">
        <v>0</v>
      </c>
      <c r="R10099" t="s">
        <v>32539</v>
      </c>
      <c r="S10099" t="s">
        <v>33010</v>
      </c>
      <c r="T10099" t="s">
        <v>33180</v>
      </c>
      <c r="U10099" t="s">
        <v>41928</v>
      </c>
      <c r="W10099" t="s">
        <v>30047</v>
      </c>
      <c r="X10099" t="s">
        <v>32540</v>
      </c>
    </row>
    <row r="10100" spans="1:24">
      <c r="A10100">
        <f>HYPERLINK("https://www.philgeps.gov.ph/GEPSNONPILOT/Tender/SplashBidNoticeAbstractUI.aspx?menuIndex=3&amp;refID=7022866&amp;Result=3","7022866")</f>
        <v>0</v>
      </c>
      <c r="B10100" t="s">
        <v>279</v>
      </c>
      <c r="C10100" t="s">
        <v>12353</v>
      </c>
      <c r="D10100" t="s">
        <v>13010</v>
      </c>
      <c r="E10100" t="s">
        <v>21873</v>
      </c>
      <c r="F10100" t="s">
        <v>22436</v>
      </c>
      <c r="G10100" t="s">
        <v>22444</v>
      </c>
      <c r="H10100" t="s">
        <v>22452</v>
      </c>
      <c r="I10100" t="s">
        <v>22476</v>
      </c>
      <c r="J10100" t="s">
        <v>28961</v>
      </c>
      <c r="K10100" t="s">
        <v>29333</v>
      </c>
      <c r="M10100" t="s">
        <v>30132</v>
      </c>
      <c r="N10100" t="s">
        <v>32524</v>
      </c>
      <c r="O10100" t="s">
        <v>32525</v>
      </c>
      <c r="Q10100">
        <v>5</v>
      </c>
      <c r="R10100" t="s">
        <v>32539</v>
      </c>
      <c r="S10100" t="s">
        <v>33042</v>
      </c>
      <c r="T10100" t="s">
        <v>33181</v>
      </c>
      <c r="U10100" t="s">
        <v>34736</v>
      </c>
      <c r="W10100" t="s">
        <v>30132</v>
      </c>
      <c r="X10100" t="s">
        <v>32540</v>
      </c>
    </row>
    <row r="10101" spans="1:24">
      <c r="A10101">
        <f>HYPERLINK("https://www.philgeps.gov.ph/GEPSNONPILOT/Tender/SplashBidNoticeAbstractUI.aspx?menuIndex=3&amp;refID=7022776&amp;Result=3","7022776")</f>
        <v>0</v>
      </c>
      <c r="B10101" t="s">
        <v>1027</v>
      </c>
      <c r="C10101" t="s">
        <v>12354</v>
      </c>
      <c r="D10101" t="s">
        <v>13039</v>
      </c>
      <c r="E10101" t="s">
        <v>17988</v>
      </c>
      <c r="F10101" t="s">
        <v>22436</v>
      </c>
      <c r="G10101" t="s">
        <v>22444</v>
      </c>
      <c r="H10101" t="s">
        <v>22452</v>
      </c>
      <c r="I10101" t="s">
        <v>6421</v>
      </c>
      <c r="J10101" t="s">
        <v>28962</v>
      </c>
      <c r="K10101" t="s">
        <v>29335</v>
      </c>
      <c r="M10101" t="s">
        <v>30656</v>
      </c>
      <c r="N10101" t="s">
        <v>32524</v>
      </c>
      <c r="O10101" t="s">
        <v>32525</v>
      </c>
      <c r="P10101">
        <v>0</v>
      </c>
      <c r="Q10101">
        <v>5</v>
      </c>
      <c r="R10101" t="s">
        <v>32539</v>
      </c>
      <c r="S10101" t="s">
        <v>33010</v>
      </c>
      <c r="T10101" t="s">
        <v>33241</v>
      </c>
      <c r="U10101" t="s">
        <v>41929</v>
      </c>
      <c r="W10101" t="s">
        <v>30656</v>
      </c>
      <c r="X10101" t="s">
        <v>32540</v>
      </c>
    </row>
    <row r="10102" spans="1:24">
      <c r="A10102">
        <f>HYPERLINK("https://www.philgeps.gov.ph/GEPSNONPILOT/Tender/SplashBidNoticeAbstractUI.aspx?menuIndex=3&amp;refID=7022864&amp;Result=3","7022864")</f>
        <v>0</v>
      </c>
      <c r="B10102" t="s">
        <v>1494</v>
      </c>
      <c r="C10102" t="s">
        <v>12355</v>
      </c>
      <c r="E10102" t="s">
        <v>21874</v>
      </c>
      <c r="F10102" t="s">
        <v>22436</v>
      </c>
      <c r="G10102" t="s">
        <v>22444</v>
      </c>
      <c r="H10102" t="s">
        <v>22452</v>
      </c>
      <c r="I10102" t="s">
        <v>22482</v>
      </c>
      <c r="J10102" t="s">
        <v>28963</v>
      </c>
      <c r="K10102" t="s">
        <v>29338</v>
      </c>
      <c r="M10102" t="s">
        <v>31168</v>
      </c>
      <c r="N10102" t="s">
        <v>32524</v>
      </c>
      <c r="O10102" t="s">
        <v>32525</v>
      </c>
      <c r="P10102">
        <v>0</v>
      </c>
      <c r="Q10102">
        <v>15</v>
      </c>
      <c r="R10102" t="s">
        <v>32539</v>
      </c>
      <c r="S10102" t="s">
        <v>33010</v>
      </c>
      <c r="T10102" t="s">
        <v>33445</v>
      </c>
      <c r="U10102" t="s">
        <v>41930</v>
      </c>
      <c r="V10102" t="s">
        <v>43602</v>
      </c>
      <c r="W10102" t="s">
        <v>43770</v>
      </c>
      <c r="X10102" t="s">
        <v>32540</v>
      </c>
    </row>
    <row r="10103" spans="1:24">
      <c r="A10103">
        <f>HYPERLINK("https://www.philgeps.gov.ph/GEPSNONPILOT/Tender/SplashBidNoticeAbstractUI.aspx?menuIndex=3&amp;refID=7022835&amp;Result=3","7022835")</f>
        <v>0</v>
      </c>
      <c r="B10103" t="s">
        <v>2618</v>
      </c>
      <c r="C10103" t="s">
        <v>12356</v>
      </c>
      <c r="D10103" t="s">
        <v>13006</v>
      </c>
      <c r="E10103" t="s">
        <v>14646</v>
      </c>
      <c r="F10103" t="s">
        <v>22436</v>
      </c>
      <c r="G10103" t="s">
        <v>22444</v>
      </c>
      <c r="H10103" t="s">
        <v>22454</v>
      </c>
      <c r="I10103" t="s">
        <v>7738</v>
      </c>
      <c r="J10103" t="s">
        <v>28964</v>
      </c>
      <c r="K10103" t="s">
        <v>29333</v>
      </c>
      <c r="M10103" t="s">
        <v>32444</v>
      </c>
      <c r="N10103" t="s">
        <v>32524</v>
      </c>
      <c r="O10103" t="s">
        <v>32525</v>
      </c>
      <c r="P10103">
        <v>0</v>
      </c>
      <c r="Q10103">
        <v>0</v>
      </c>
      <c r="R10103" t="s">
        <v>32539</v>
      </c>
      <c r="S10103" t="s">
        <v>33010</v>
      </c>
      <c r="T10103" t="s">
        <v>33153</v>
      </c>
      <c r="U10103" t="s">
        <v>41931</v>
      </c>
      <c r="W10103" t="s">
        <v>32444</v>
      </c>
      <c r="X10103" t="s">
        <v>32540</v>
      </c>
    </row>
    <row r="10104" spans="1:24">
      <c r="A10104">
        <f>HYPERLINK("https://www.philgeps.gov.ph/GEPSNONPILOT/Tender/SplashBidNoticeAbstractUI.aspx?menuIndex=3&amp;refID=7022836&amp;Result=3","7022836")</f>
        <v>0</v>
      </c>
      <c r="B10104" t="s">
        <v>2234</v>
      </c>
      <c r="C10104" t="s">
        <v>12357</v>
      </c>
      <c r="D10104" t="s">
        <v>13067</v>
      </c>
      <c r="E10104" t="s">
        <v>21875</v>
      </c>
      <c r="F10104" t="s">
        <v>22436</v>
      </c>
      <c r="G10104" t="s">
        <v>22444</v>
      </c>
      <c r="H10104" t="s">
        <v>22454</v>
      </c>
      <c r="I10104" t="s">
        <v>7738</v>
      </c>
      <c r="J10104" t="s">
        <v>22960</v>
      </c>
      <c r="K10104" t="s">
        <v>29449</v>
      </c>
      <c r="M10104" t="s">
        <v>32000</v>
      </c>
      <c r="N10104" t="s">
        <v>32524</v>
      </c>
      <c r="O10104" t="s">
        <v>32525</v>
      </c>
      <c r="P10104">
        <v>0</v>
      </c>
      <c r="Q10104">
        <v>0</v>
      </c>
      <c r="R10104" t="s">
        <v>32539</v>
      </c>
      <c r="S10104" t="s">
        <v>33010</v>
      </c>
      <c r="T10104" t="s">
        <v>33228</v>
      </c>
      <c r="U10104" t="s">
        <v>41932</v>
      </c>
      <c r="W10104" t="s">
        <v>32000</v>
      </c>
      <c r="X10104" t="s">
        <v>32540</v>
      </c>
    </row>
    <row r="10105" spans="1:24">
      <c r="A10105">
        <f>HYPERLINK("https://www.philgeps.gov.ph/GEPSNONPILOT/Tender/SplashBidNoticeAbstractUI.aspx?menuIndex=3&amp;refID=7022766&amp;Result=3","7022766")</f>
        <v>0</v>
      </c>
      <c r="B10105" t="s">
        <v>1634</v>
      </c>
      <c r="C10105" t="s">
        <v>12358</v>
      </c>
      <c r="E10105" t="s">
        <v>21876</v>
      </c>
      <c r="F10105" t="s">
        <v>22436</v>
      </c>
      <c r="G10105" t="s">
        <v>22444</v>
      </c>
      <c r="H10105" t="s">
        <v>22452</v>
      </c>
      <c r="I10105" t="s">
        <v>12358</v>
      </c>
      <c r="J10105" t="s">
        <v>28965</v>
      </c>
      <c r="K10105" t="s">
        <v>29338</v>
      </c>
      <c r="M10105" t="s">
        <v>31324</v>
      </c>
      <c r="N10105" t="s">
        <v>32524</v>
      </c>
      <c r="O10105" t="s">
        <v>32525</v>
      </c>
      <c r="P10105">
        <v>0</v>
      </c>
      <c r="Q10105">
        <v>0</v>
      </c>
      <c r="R10105" t="s">
        <v>32539</v>
      </c>
      <c r="S10105" t="s">
        <v>33010</v>
      </c>
      <c r="T10105" t="s">
        <v>33435</v>
      </c>
      <c r="U10105" t="s">
        <v>41933</v>
      </c>
      <c r="W10105" t="s">
        <v>31324</v>
      </c>
      <c r="X10105" t="s">
        <v>32540</v>
      </c>
    </row>
    <row r="10106" spans="1:24">
      <c r="A10106">
        <f>HYPERLINK("https://www.philgeps.gov.ph/GEPSNONPILOT/Tender/SplashBidNoticeAbstractUI.aspx?menuIndex=3&amp;refID=7022818&amp;Result=3","7022818")</f>
        <v>0</v>
      </c>
      <c r="B10106" t="s">
        <v>2234</v>
      </c>
      <c r="C10106" t="s">
        <v>12359</v>
      </c>
      <c r="D10106" t="s">
        <v>13067</v>
      </c>
      <c r="E10106" t="s">
        <v>21877</v>
      </c>
      <c r="F10106" t="s">
        <v>22436</v>
      </c>
      <c r="G10106" t="s">
        <v>22444</v>
      </c>
      <c r="H10106" t="s">
        <v>22454</v>
      </c>
      <c r="I10106" t="s">
        <v>7738</v>
      </c>
      <c r="J10106" t="s">
        <v>22669</v>
      </c>
      <c r="K10106" t="s">
        <v>29388</v>
      </c>
      <c r="M10106" t="s">
        <v>32000</v>
      </c>
      <c r="N10106" t="s">
        <v>32524</v>
      </c>
      <c r="O10106" t="s">
        <v>32525</v>
      </c>
      <c r="P10106">
        <v>0</v>
      </c>
      <c r="Q10106">
        <v>0</v>
      </c>
      <c r="R10106" t="s">
        <v>32539</v>
      </c>
      <c r="S10106" t="s">
        <v>33010</v>
      </c>
      <c r="T10106" t="s">
        <v>33228</v>
      </c>
      <c r="U10106" t="s">
        <v>41934</v>
      </c>
      <c r="W10106" t="s">
        <v>32000</v>
      </c>
      <c r="X10106" t="s">
        <v>32540</v>
      </c>
    </row>
    <row r="10107" spans="1:24">
      <c r="A10107">
        <f>HYPERLINK("https://www.philgeps.gov.ph/GEPSNONPILOT/Tender/SplashBidNoticeAbstractUI.aspx?menuIndex=3&amp;refID=7022882&amp;Result=3","7022882")</f>
        <v>0</v>
      </c>
      <c r="B10107" t="s">
        <v>1762</v>
      </c>
      <c r="C10107" t="s">
        <v>12360</v>
      </c>
      <c r="D10107" t="s">
        <v>13022</v>
      </c>
      <c r="E10107" t="s">
        <v>21878</v>
      </c>
      <c r="F10107" t="s">
        <v>22436</v>
      </c>
      <c r="G10107" t="s">
        <v>22444</v>
      </c>
      <c r="H10107" t="s">
        <v>22452</v>
      </c>
      <c r="I10107" t="s">
        <v>22460</v>
      </c>
      <c r="J10107" t="s">
        <v>28966</v>
      </c>
      <c r="K10107" t="s">
        <v>29337</v>
      </c>
      <c r="L10107" t="s">
        <v>1762</v>
      </c>
      <c r="M10107" t="s">
        <v>31468</v>
      </c>
      <c r="N10107" t="s">
        <v>32524</v>
      </c>
      <c r="O10107" t="s">
        <v>32525</v>
      </c>
      <c r="P10107">
        <v>0</v>
      </c>
      <c r="Q10107">
        <v>2</v>
      </c>
      <c r="R10107" t="s">
        <v>32539</v>
      </c>
      <c r="S10107" t="s">
        <v>33010</v>
      </c>
      <c r="T10107" t="s">
        <v>33175</v>
      </c>
      <c r="U10107" t="s">
        <v>41935</v>
      </c>
      <c r="W10107" t="s">
        <v>31468</v>
      </c>
      <c r="X10107" t="s">
        <v>32540</v>
      </c>
    </row>
    <row r="10108" spans="1:24">
      <c r="A10108">
        <f>HYPERLINK("https://www.philgeps.gov.ph/GEPSNONPILOT/Tender/SplashBidNoticeAbstractUI.aspx?menuIndex=3&amp;refID=7022773&amp;Result=3","7022773")</f>
        <v>0</v>
      </c>
      <c r="B10108" t="s">
        <v>2221</v>
      </c>
      <c r="C10108" t="s">
        <v>12361</v>
      </c>
      <c r="D10108" t="s">
        <v>13037</v>
      </c>
      <c r="E10108" t="s">
        <v>13927</v>
      </c>
      <c r="F10108" t="s">
        <v>22436</v>
      </c>
      <c r="G10108" t="s">
        <v>22444</v>
      </c>
      <c r="H10108" t="s">
        <v>22454</v>
      </c>
      <c r="I10108" t="s">
        <v>7738</v>
      </c>
      <c r="J10108" t="s">
        <v>22587</v>
      </c>
      <c r="K10108" t="s">
        <v>29334</v>
      </c>
      <c r="M10108" t="s">
        <v>31987</v>
      </c>
      <c r="N10108" t="s">
        <v>32524</v>
      </c>
      <c r="O10108" t="s">
        <v>32525</v>
      </c>
      <c r="P10108">
        <v>0</v>
      </c>
      <c r="Q10108">
        <v>0</v>
      </c>
      <c r="R10108" t="s">
        <v>32539</v>
      </c>
      <c r="S10108" t="s">
        <v>33010</v>
      </c>
      <c r="T10108" t="s">
        <v>33155</v>
      </c>
      <c r="U10108" t="s">
        <v>41936</v>
      </c>
      <c r="V10108" t="s">
        <v>43603</v>
      </c>
      <c r="W10108" t="s">
        <v>31987</v>
      </c>
      <c r="X10108" t="s">
        <v>32540</v>
      </c>
    </row>
    <row r="10109" spans="1:24">
      <c r="A10109">
        <f>HYPERLINK("https://www.philgeps.gov.ph/GEPSNONPILOT/Tender/SplashBidNoticeAbstractUI.aspx?menuIndex=3&amp;refID=7022794&amp;Result=3","7022794")</f>
        <v>0</v>
      </c>
      <c r="B10109" t="s">
        <v>1796</v>
      </c>
      <c r="C10109" t="s">
        <v>12362</v>
      </c>
      <c r="D10109" t="s">
        <v>12997</v>
      </c>
      <c r="E10109" t="s">
        <v>21879</v>
      </c>
      <c r="F10109" t="s">
        <v>22436</v>
      </c>
      <c r="G10109" t="s">
        <v>22443</v>
      </c>
      <c r="H10109" t="s">
        <v>22452</v>
      </c>
      <c r="I10109" t="s">
        <v>22494</v>
      </c>
      <c r="J10109" t="s">
        <v>24874</v>
      </c>
      <c r="K10109" t="s">
        <v>29357</v>
      </c>
      <c r="M10109" t="s">
        <v>31507</v>
      </c>
      <c r="N10109" t="s">
        <v>32524</v>
      </c>
      <c r="O10109" t="s">
        <v>32525</v>
      </c>
      <c r="P10109">
        <v>0</v>
      </c>
      <c r="Q10109">
        <v>0</v>
      </c>
      <c r="R10109" t="s">
        <v>32539</v>
      </c>
      <c r="S10109" t="s">
        <v>33010</v>
      </c>
      <c r="T10109" t="s">
        <v>33371</v>
      </c>
      <c r="U10109" t="s">
        <v>41937</v>
      </c>
      <c r="W10109" t="s">
        <v>31507</v>
      </c>
      <c r="X10109" t="s">
        <v>32540</v>
      </c>
    </row>
    <row r="10110" spans="1:24">
      <c r="A10110">
        <f>HYPERLINK("https://www.philgeps.gov.ph/GEPSNONPILOT/Tender/SplashBidNoticeAbstractUI.aspx?menuIndex=3&amp;refID=7022893&amp;Result=3","7022893")</f>
        <v>0</v>
      </c>
      <c r="B10110" t="s">
        <v>1762</v>
      </c>
      <c r="C10110" t="s">
        <v>12363</v>
      </c>
      <c r="D10110" t="s">
        <v>13022</v>
      </c>
      <c r="E10110" t="s">
        <v>21880</v>
      </c>
      <c r="F10110" t="s">
        <v>22436</v>
      </c>
      <c r="G10110" t="s">
        <v>22444</v>
      </c>
      <c r="H10110" t="s">
        <v>22452</v>
      </c>
      <c r="I10110" t="s">
        <v>22469</v>
      </c>
      <c r="J10110" t="s">
        <v>28967</v>
      </c>
      <c r="K10110" t="s">
        <v>29337</v>
      </c>
      <c r="L10110" t="s">
        <v>1762</v>
      </c>
      <c r="M10110" t="s">
        <v>31468</v>
      </c>
      <c r="N10110" t="s">
        <v>32524</v>
      </c>
      <c r="O10110" t="s">
        <v>32525</v>
      </c>
      <c r="Q10110">
        <v>4</v>
      </c>
      <c r="R10110" t="s">
        <v>32539</v>
      </c>
      <c r="S10110" t="s">
        <v>33043</v>
      </c>
      <c r="T10110" t="s">
        <v>33175</v>
      </c>
      <c r="U10110" t="s">
        <v>41938</v>
      </c>
      <c r="W10110" t="s">
        <v>31468</v>
      </c>
      <c r="X10110" t="s">
        <v>32540</v>
      </c>
    </row>
    <row r="10111" spans="1:24">
      <c r="A10111">
        <f>HYPERLINK("https://www.philgeps.gov.ph/GEPSNONPILOT/Tender/SplashBidNoticeAbstractUI.aspx?menuIndex=3&amp;refID=7022774&amp;Result=3","7022774")</f>
        <v>0</v>
      </c>
      <c r="B10111" t="s">
        <v>2616</v>
      </c>
      <c r="C10111" t="s">
        <v>12364</v>
      </c>
      <c r="D10111" t="s">
        <v>13038</v>
      </c>
      <c r="E10111" t="s">
        <v>21881</v>
      </c>
      <c r="F10111" t="s">
        <v>22436</v>
      </c>
      <c r="G10111" t="s">
        <v>22444</v>
      </c>
      <c r="H10111" t="s">
        <v>22454</v>
      </c>
      <c r="I10111" t="s">
        <v>7738</v>
      </c>
      <c r="J10111" t="s">
        <v>28968</v>
      </c>
      <c r="K10111" t="s">
        <v>29388</v>
      </c>
      <c r="L10111" t="s">
        <v>2616</v>
      </c>
      <c r="M10111" t="s">
        <v>32442</v>
      </c>
      <c r="N10111" t="s">
        <v>32524</v>
      </c>
      <c r="O10111" t="s">
        <v>32525</v>
      </c>
      <c r="Q10111">
        <v>0</v>
      </c>
      <c r="R10111" t="s">
        <v>32539</v>
      </c>
      <c r="S10111" t="s">
        <v>33044</v>
      </c>
      <c r="T10111" t="s">
        <v>33181</v>
      </c>
      <c r="U10111" t="s">
        <v>41939</v>
      </c>
      <c r="W10111" t="s">
        <v>32442</v>
      </c>
      <c r="X10111" t="s">
        <v>32540</v>
      </c>
    </row>
    <row r="10112" spans="1:24">
      <c r="A10112">
        <f>HYPERLINK("https://www.philgeps.gov.ph/GEPSNONPILOT/Tender/SplashBidNoticeAbstractUI.aspx?menuIndex=3&amp;refID=7022896&amp;Result=3","7022896")</f>
        <v>0</v>
      </c>
      <c r="B10112" t="s">
        <v>279</v>
      </c>
      <c r="C10112" t="s">
        <v>12365</v>
      </c>
      <c r="D10112" t="s">
        <v>13010</v>
      </c>
      <c r="E10112" t="s">
        <v>21882</v>
      </c>
      <c r="F10112" t="s">
        <v>22436</v>
      </c>
      <c r="G10112" t="s">
        <v>22444</v>
      </c>
      <c r="H10112" t="s">
        <v>22452</v>
      </c>
      <c r="I10112" t="s">
        <v>22476</v>
      </c>
      <c r="J10112" t="s">
        <v>28969</v>
      </c>
      <c r="K10112" t="s">
        <v>29333</v>
      </c>
      <c r="M10112" t="s">
        <v>30132</v>
      </c>
      <c r="N10112" t="s">
        <v>32524</v>
      </c>
      <c r="O10112" t="s">
        <v>32525</v>
      </c>
      <c r="Q10112">
        <v>6</v>
      </c>
      <c r="R10112" t="s">
        <v>32539</v>
      </c>
      <c r="S10112" t="s">
        <v>33045</v>
      </c>
      <c r="T10112" t="s">
        <v>33181</v>
      </c>
      <c r="U10112" t="s">
        <v>34736</v>
      </c>
      <c r="W10112" t="s">
        <v>30132</v>
      </c>
      <c r="X10112" t="s">
        <v>32540</v>
      </c>
    </row>
    <row r="10113" spans="1:24">
      <c r="A10113">
        <f>HYPERLINK("https://www.philgeps.gov.ph/GEPSNONPILOT/Tender/SplashBidNoticeAbstractUI.aspx?menuIndex=3&amp;refID=7022783&amp;Result=3","7022783")</f>
        <v>0</v>
      </c>
      <c r="B10113" t="s">
        <v>465</v>
      </c>
      <c r="C10113" t="s">
        <v>12366</v>
      </c>
      <c r="D10113" t="s">
        <v>13049</v>
      </c>
      <c r="E10113" t="s">
        <v>21883</v>
      </c>
      <c r="F10113" t="s">
        <v>22436</v>
      </c>
      <c r="G10113" t="s">
        <v>22444</v>
      </c>
      <c r="H10113" t="s">
        <v>22454</v>
      </c>
      <c r="I10113" t="s">
        <v>7738</v>
      </c>
      <c r="J10113" t="s">
        <v>22634</v>
      </c>
      <c r="K10113" t="s">
        <v>29334</v>
      </c>
      <c r="M10113" t="s">
        <v>30047</v>
      </c>
      <c r="N10113" t="s">
        <v>32524</v>
      </c>
      <c r="O10113" t="s">
        <v>32525</v>
      </c>
      <c r="P10113">
        <v>0</v>
      </c>
      <c r="Q10113">
        <v>0</v>
      </c>
      <c r="R10113" t="s">
        <v>32539</v>
      </c>
      <c r="S10113" t="s">
        <v>33010</v>
      </c>
      <c r="T10113" t="s">
        <v>33180</v>
      </c>
      <c r="U10113" t="s">
        <v>41940</v>
      </c>
      <c r="W10113" t="s">
        <v>30047</v>
      </c>
      <c r="X10113" t="s">
        <v>32540</v>
      </c>
    </row>
    <row r="10114" spans="1:24">
      <c r="A10114">
        <f>HYPERLINK("https://www.philgeps.gov.ph/GEPSNONPILOT/Tender/SplashBidNoticeAbstractUI.aspx?menuIndex=3&amp;refID=7022792&amp;Result=3","7022792")</f>
        <v>0</v>
      </c>
      <c r="B10114" t="s">
        <v>666</v>
      </c>
      <c r="C10114" t="s">
        <v>12367</v>
      </c>
      <c r="D10114" t="s">
        <v>13051</v>
      </c>
      <c r="E10114" t="s">
        <v>21884</v>
      </c>
      <c r="F10114" t="s">
        <v>22436</v>
      </c>
      <c r="G10114" t="s">
        <v>22444</v>
      </c>
      <c r="H10114" t="s">
        <v>22452</v>
      </c>
      <c r="I10114" t="s">
        <v>3027</v>
      </c>
      <c r="J10114" t="s">
        <v>22893</v>
      </c>
      <c r="K10114" t="s">
        <v>29331</v>
      </c>
      <c r="M10114" t="s">
        <v>30258</v>
      </c>
      <c r="N10114" t="s">
        <v>32524</v>
      </c>
      <c r="O10114" t="s">
        <v>32525</v>
      </c>
      <c r="P10114">
        <v>0</v>
      </c>
      <c r="Q10114">
        <v>0</v>
      </c>
      <c r="R10114" t="s">
        <v>32539</v>
      </c>
      <c r="S10114" t="s">
        <v>33010</v>
      </c>
      <c r="T10114" t="s">
        <v>33180</v>
      </c>
      <c r="U10114" t="s">
        <v>41941</v>
      </c>
      <c r="W10114" t="s">
        <v>30258</v>
      </c>
      <c r="X10114" t="s">
        <v>32540</v>
      </c>
    </row>
    <row r="10115" spans="1:24">
      <c r="A10115">
        <f>HYPERLINK("https://www.philgeps.gov.ph/GEPSNONPILOT/Tender/SplashBidNoticeAbstractUI.aspx?menuIndex=3&amp;refID=7022782&amp;Result=3","7022782")</f>
        <v>0</v>
      </c>
      <c r="B10115" t="s">
        <v>1634</v>
      </c>
      <c r="C10115" t="s">
        <v>3219</v>
      </c>
      <c r="E10115" t="s">
        <v>21885</v>
      </c>
      <c r="F10115" t="s">
        <v>22436</v>
      </c>
      <c r="G10115" t="s">
        <v>22444</v>
      </c>
      <c r="H10115" t="s">
        <v>22452</v>
      </c>
      <c r="I10115" t="s">
        <v>3529</v>
      </c>
      <c r="J10115" t="s">
        <v>28970</v>
      </c>
      <c r="K10115" t="s">
        <v>29338</v>
      </c>
      <c r="M10115" t="s">
        <v>31324</v>
      </c>
      <c r="N10115" t="s">
        <v>32524</v>
      </c>
      <c r="O10115" t="s">
        <v>32525</v>
      </c>
      <c r="P10115">
        <v>0</v>
      </c>
      <c r="Q10115">
        <v>0</v>
      </c>
      <c r="R10115" t="s">
        <v>32539</v>
      </c>
      <c r="S10115" t="s">
        <v>33010</v>
      </c>
      <c r="T10115" t="s">
        <v>33435</v>
      </c>
      <c r="U10115" t="s">
        <v>41942</v>
      </c>
      <c r="W10115" t="s">
        <v>31324</v>
      </c>
      <c r="X10115" t="s">
        <v>32540</v>
      </c>
    </row>
    <row r="10116" spans="1:24">
      <c r="A10116">
        <f>HYPERLINK("https://www.philgeps.gov.ph/GEPSNONPILOT/Tender/SplashBidNoticeAbstractUI.aspx?menuIndex=3&amp;refID=7022900&amp;Result=3","7022900")</f>
        <v>0</v>
      </c>
      <c r="B10116" t="s">
        <v>623</v>
      </c>
      <c r="C10116" t="s">
        <v>12368</v>
      </c>
      <c r="E10116" t="s">
        <v>21886</v>
      </c>
      <c r="F10116" t="s">
        <v>22436</v>
      </c>
      <c r="G10116" t="s">
        <v>22444</v>
      </c>
      <c r="H10116" t="s">
        <v>22454</v>
      </c>
      <c r="I10116" t="s">
        <v>7738</v>
      </c>
      <c r="J10116" t="s">
        <v>28971</v>
      </c>
      <c r="K10116" t="s">
        <v>29338</v>
      </c>
      <c r="M10116" t="s">
        <v>31091</v>
      </c>
      <c r="N10116" t="s">
        <v>32524</v>
      </c>
      <c r="O10116" t="s">
        <v>32525</v>
      </c>
      <c r="P10116">
        <v>0</v>
      </c>
      <c r="Q10116">
        <v>3</v>
      </c>
      <c r="R10116" t="s">
        <v>32539</v>
      </c>
      <c r="S10116" t="s">
        <v>33010</v>
      </c>
      <c r="T10116" t="s">
        <v>33180</v>
      </c>
      <c r="U10116" t="s">
        <v>41943</v>
      </c>
      <c r="W10116" t="s">
        <v>30214</v>
      </c>
      <c r="X10116" t="s">
        <v>32540</v>
      </c>
    </row>
    <row r="10117" spans="1:24">
      <c r="A10117">
        <f>HYPERLINK("https://www.philgeps.gov.ph/GEPSNONPILOT/Tender/SplashBidNoticeAbstractUI.aspx?menuIndex=3&amp;refID=7022812&amp;Result=3","7022812")</f>
        <v>0</v>
      </c>
      <c r="B10117" t="s">
        <v>1757</v>
      </c>
      <c r="C10117" t="s">
        <v>12369</v>
      </c>
      <c r="D10117" t="s">
        <v>12988</v>
      </c>
      <c r="E10117" t="s">
        <v>21887</v>
      </c>
      <c r="F10117" t="s">
        <v>22436</v>
      </c>
      <c r="G10117" t="s">
        <v>22445</v>
      </c>
      <c r="H10117" t="s">
        <v>22452</v>
      </c>
      <c r="I10117" t="s">
        <v>22465</v>
      </c>
      <c r="J10117" t="s">
        <v>28972</v>
      </c>
      <c r="K10117" t="s">
        <v>29341</v>
      </c>
      <c r="M10117" t="s">
        <v>31740</v>
      </c>
      <c r="N10117" t="s">
        <v>32524</v>
      </c>
      <c r="O10117" t="s">
        <v>32525</v>
      </c>
      <c r="Q10117">
        <v>5</v>
      </c>
      <c r="R10117" t="s">
        <v>32539</v>
      </c>
      <c r="S10117" t="s">
        <v>32600</v>
      </c>
      <c r="T10117" t="s">
        <v>33372</v>
      </c>
      <c r="U10117" t="s">
        <v>41944</v>
      </c>
      <c r="W10117" t="s">
        <v>31740</v>
      </c>
      <c r="X10117" t="s">
        <v>32540</v>
      </c>
    </row>
    <row r="10118" spans="1:24">
      <c r="A10118">
        <f>HYPERLINK("https://www.philgeps.gov.ph/GEPSNONPILOT/Tender/SplashBidNoticeAbstractUI.aspx?menuIndex=3&amp;refID=7023000&amp;Result=3","7023000")</f>
        <v>0</v>
      </c>
      <c r="B10118" t="s">
        <v>2619</v>
      </c>
      <c r="C10118" t="s">
        <v>12370</v>
      </c>
      <c r="E10118" t="s">
        <v>21888</v>
      </c>
      <c r="F10118" t="s">
        <v>22436</v>
      </c>
      <c r="G10118" t="s">
        <v>22444</v>
      </c>
      <c r="H10118" t="s">
        <v>22452</v>
      </c>
      <c r="I10118" t="s">
        <v>22467</v>
      </c>
      <c r="J10118" t="s">
        <v>28973</v>
      </c>
      <c r="K10118" t="s">
        <v>29338</v>
      </c>
      <c r="M10118" t="s">
        <v>32445</v>
      </c>
      <c r="N10118" t="s">
        <v>32524</v>
      </c>
      <c r="O10118" t="s">
        <v>32525</v>
      </c>
      <c r="P10118">
        <v>0</v>
      </c>
      <c r="Q10118">
        <v>2</v>
      </c>
      <c r="R10118" t="s">
        <v>32539</v>
      </c>
      <c r="S10118" t="s">
        <v>33010</v>
      </c>
      <c r="T10118" t="s">
        <v>33171</v>
      </c>
      <c r="U10118" t="s">
        <v>41945</v>
      </c>
      <c r="W10118" t="s">
        <v>32445</v>
      </c>
      <c r="X10118" t="s">
        <v>32540</v>
      </c>
    </row>
    <row r="10119" spans="1:24">
      <c r="A10119">
        <f>HYPERLINK("https://www.philgeps.gov.ph/GEPSNONPILOT/Tender/SplashBidNoticeAbstractUI.aspx?menuIndex=3&amp;refID=7022962&amp;Result=3","7022962")</f>
        <v>0</v>
      </c>
      <c r="B10119" t="s">
        <v>2517</v>
      </c>
      <c r="C10119" t="s">
        <v>12371</v>
      </c>
      <c r="D10119" t="s">
        <v>12991</v>
      </c>
      <c r="E10119" t="s">
        <v>21889</v>
      </c>
      <c r="F10119" t="s">
        <v>22436</v>
      </c>
      <c r="G10119" t="s">
        <v>22444</v>
      </c>
      <c r="H10119" t="s">
        <v>22452</v>
      </c>
      <c r="I10119" t="s">
        <v>22467</v>
      </c>
      <c r="J10119" t="s">
        <v>22893</v>
      </c>
      <c r="K10119" t="s">
        <v>29336</v>
      </c>
      <c r="M10119" t="s">
        <v>32324</v>
      </c>
      <c r="N10119" t="s">
        <v>32524</v>
      </c>
      <c r="O10119" t="s">
        <v>32525</v>
      </c>
      <c r="P10119">
        <v>0</v>
      </c>
      <c r="Q10119">
        <v>0</v>
      </c>
      <c r="R10119" t="s">
        <v>32539</v>
      </c>
      <c r="S10119" t="s">
        <v>33010</v>
      </c>
      <c r="T10119" t="s">
        <v>33487</v>
      </c>
      <c r="U10119" t="s">
        <v>41946</v>
      </c>
      <c r="W10119" t="s">
        <v>32324</v>
      </c>
      <c r="X10119" t="s">
        <v>32540</v>
      </c>
    </row>
    <row r="10120" spans="1:24">
      <c r="A10120">
        <f>HYPERLINK("https://www.philgeps.gov.ph/GEPSNONPILOT/Tender/SplashBidNoticeAbstractUI.aspx?menuIndex=3&amp;refID=7022802&amp;Result=3","7022802")</f>
        <v>0</v>
      </c>
      <c r="B10120" t="s">
        <v>700</v>
      </c>
      <c r="C10120" t="s">
        <v>12372</v>
      </c>
      <c r="D10120" t="s">
        <v>12988</v>
      </c>
      <c r="E10120" t="s">
        <v>21890</v>
      </c>
      <c r="F10120" t="s">
        <v>22436</v>
      </c>
      <c r="G10120" t="s">
        <v>22443</v>
      </c>
      <c r="H10120" t="s">
        <v>22452</v>
      </c>
      <c r="I10120" t="s">
        <v>22469</v>
      </c>
      <c r="J10120" t="s">
        <v>23786</v>
      </c>
      <c r="K10120" t="s">
        <v>29335</v>
      </c>
      <c r="M10120" t="s">
        <v>30296</v>
      </c>
      <c r="N10120" t="s">
        <v>32524</v>
      </c>
      <c r="O10120" t="s">
        <v>32525</v>
      </c>
      <c r="Q10120">
        <v>40</v>
      </c>
      <c r="R10120" t="s">
        <v>32539</v>
      </c>
      <c r="S10120" t="s">
        <v>33046</v>
      </c>
      <c r="T10120" t="s">
        <v>33220</v>
      </c>
      <c r="U10120" t="s">
        <v>41947</v>
      </c>
      <c r="V10120" t="s">
        <v>43604</v>
      </c>
      <c r="W10120" t="s">
        <v>30296</v>
      </c>
      <c r="X10120" t="s">
        <v>32540</v>
      </c>
    </row>
    <row r="10121" spans="1:24">
      <c r="A10121">
        <f>HYPERLINK("https://www.philgeps.gov.ph/GEPSNONPILOT/Tender/SplashBidNoticeAbstractUI.aspx?menuIndex=3&amp;refID=7022960&amp;Result=3","7022960")</f>
        <v>0</v>
      </c>
      <c r="B10121" t="s">
        <v>2327</v>
      </c>
      <c r="C10121" t="s">
        <v>12373</v>
      </c>
      <c r="D10121" t="s">
        <v>13054</v>
      </c>
      <c r="E10121" t="s">
        <v>20778</v>
      </c>
      <c r="F10121" t="s">
        <v>22436</v>
      </c>
      <c r="G10121" t="s">
        <v>22444</v>
      </c>
      <c r="H10121" t="s">
        <v>22454</v>
      </c>
      <c r="I10121" t="s">
        <v>7738</v>
      </c>
      <c r="J10121" t="s">
        <v>23356</v>
      </c>
      <c r="K10121" t="s">
        <v>29338</v>
      </c>
      <c r="M10121" t="s">
        <v>32104</v>
      </c>
      <c r="N10121" t="s">
        <v>32524</v>
      </c>
      <c r="O10121" t="s">
        <v>32525</v>
      </c>
      <c r="P10121">
        <v>0</v>
      </c>
      <c r="Q10121">
        <v>0</v>
      </c>
      <c r="R10121" t="s">
        <v>32539</v>
      </c>
      <c r="S10121" t="s">
        <v>33010</v>
      </c>
      <c r="T10121" t="s">
        <v>33181</v>
      </c>
      <c r="U10121" t="s">
        <v>41948</v>
      </c>
      <c r="V10121" t="s">
        <v>43605</v>
      </c>
      <c r="W10121" t="s">
        <v>32104</v>
      </c>
      <c r="X10121" t="s">
        <v>32540</v>
      </c>
    </row>
    <row r="10122" spans="1:24">
      <c r="A10122">
        <f>HYPERLINK("https://www.philgeps.gov.ph/GEPSNONPILOT/Tender/SplashBidNoticeAbstractUI.aspx?menuIndex=3&amp;refID=7022986&amp;Result=3","7022986")</f>
        <v>0</v>
      </c>
      <c r="B10122" t="s">
        <v>1192</v>
      </c>
      <c r="C10122" t="s">
        <v>12374</v>
      </c>
      <c r="D10122" t="s">
        <v>13007</v>
      </c>
      <c r="E10122" t="s">
        <v>21891</v>
      </c>
      <c r="F10122" t="s">
        <v>22436</v>
      </c>
      <c r="G10122" t="s">
        <v>22444</v>
      </c>
      <c r="H10122" t="s">
        <v>22454</v>
      </c>
      <c r="I10122" t="s">
        <v>7738</v>
      </c>
      <c r="J10122" t="s">
        <v>23835</v>
      </c>
      <c r="K10122" t="s">
        <v>29501</v>
      </c>
      <c r="M10122" t="s">
        <v>30839</v>
      </c>
      <c r="N10122" t="s">
        <v>32524</v>
      </c>
      <c r="O10122" t="s">
        <v>32525</v>
      </c>
      <c r="P10122">
        <v>0</v>
      </c>
      <c r="Q10122">
        <v>16</v>
      </c>
      <c r="R10122" t="s">
        <v>32539</v>
      </c>
      <c r="S10122" t="s">
        <v>33010</v>
      </c>
      <c r="T10122" t="s">
        <v>33187</v>
      </c>
      <c r="U10122" t="s">
        <v>41949</v>
      </c>
      <c r="W10122" t="s">
        <v>43758</v>
      </c>
      <c r="X10122" t="s">
        <v>32540</v>
      </c>
    </row>
    <row r="10123" spans="1:24">
      <c r="A10123">
        <f>HYPERLINK("https://www.philgeps.gov.ph/GEPSNONPILOT/Tender/SplashBidNoticeAbstractUI.aspx?menuIndex=3&amp;refID=7022952&amp;Result=3","7022952")</f>
        <v>0</v>
      </c>
      <c r="B10123" t="s">
        <v>279</v>
      </c>
      <c r="C10123" t="s">
        <v>12375</v>
      </c>
      <c r="D10123" t="s">
        <v>13010</v>
      </c>
      <c r="E10123" t="s">
        <v>21892</v>
      </c>
      <c r="F10123" t="s">
        <v>22436</v>
      </c>
      <c r="G10123" t="s">
        <v>22444</v>
      </c>
      <c r="H10123" t="s">
        <v>22452</v>
      </c>
      <c r="I10123" t="s">
        <v>22499</v>
      </c>
      <c r="J10123" t="s">
        <v>28974</v>
      </c>
      <c r="K10123" t="s">
        <v>29335</v>
      </c>
      <c r="M10123" t="s">
        <v>30132</v>
      </c>
      <c r="N10123" t="s">
        <v>32524</v>
      </c>
      <c r="O10123" t="s">
        <v>32525</v>
      </c>
      <c r="Q10123">
        <v>12</v>
      </c>
      <c r="R10123" t="s">
        <v>32539</v>
      </c>
      <c r="S10123" t="s">
        <v>33047</v>
      </c>
      <c r="T10123" t="s">
        <v>33181</v>
      </c>
      <c r="U10123" t="s">
        <v>34736</v>
      </c>
      <c r="W10123" t="s">
        <v>30132</v>
      </c>
      <c r="X10123" t="s">
        <v>32540</v>
      </c>
    </row>
    <row r="10124" spans="1:24">
      <c r="A10124">
        <f>HYPERLINK("https://www.philgeps.gov.ph/GEPSNONPILOT/Tender/SplashBidNoticeAbstractUI.aspx?menuIndex=3&amp;refID=7022903&amp;Result=3","7022903")</f>
        <v>0</v>
      </c>
      <c r="B10124" t="s">
        <v>380</v>
      </c>
      <c r="C10124" t="s">
        <v>12376</v>
      </c>
      <c r="D10124" t="s">
        <v>12996</v>
      </c>
      <c r="E10124" t="s">
        <v>13182</v>
      </c>
      <c r="F10124" t="s">
        <v>22436</v>
      </c>
      <c r="G10124" t="s">
        <v>22444</v>
      </c>
      <c r="H10124" t="s">
        <v>22452</v>
      </c>
      <c r="I10124" t="s">
        <v>22486</v>
      </c>
      <c r="J10124" t="s">
        <v>28975</v>
      </c>
      <c r="K10124" t="s">
        <v>29338</v>
      </c>
      <c r="M10124" t="s">
        <v>29958</v>
      </c>
      <c r="N10124" t="s">
        <v>32524</v>
      </c>
      <c r="O10124" t="s">
        <v>32525</v>
      </c>
      <c r="Q10124">
        <v>8</v>
      </c>
      <c r="R10124" t="s">
        <v>32539</v>
      </c>
      <c r="S10124" t="s">
        <v>33048</v>
      </c>
      <c r="T10124" t="s">
        <v>33169</v>
      </c>
      <c r="U10124" t="s">
        <v>41950</v>
      </c>
      <c r="W10124" t="s">
        <v>29958</v>
      </c>
      <c r="X10124" t="s">
        <v>32540</v>
      </c>
    </row>
    <row r="10125" spans="1:24">
      <c r="A10125">
        <f>HYPERLINK("https://www.philgeps.gov.ph/GEPSNONPILOT/Tender/SplashBidNoticeAbstractUI.aspx?menuIndex=3&amp;refID=7022944&amp;Result=3","7022944")</f>
        <v>0</v>
      </c>
      <c r="B10125" t="s">
        <v>398</v>
      </c>
      <c r="C10125" t="s">
        <v>12377</v>
      </c>
      <c r="D10125" t="s">
        <v>13018</v>
      </c>
      <c r="E10125" t="s">
        <v>21893</v>
      </c>
      <c r="F10125" t="s">
        <v>22436</v>
      </c>
      <c r="G10125" t="s">
        <v>22444</v>
      </c>
      <c r="H10125" t="s">
        <v>22454</v>
      </c>
      <c r="I10125" t="s">
        <v>7738</v>
      </c>
      <c r="J10125" t="s">
        <v>28976</v>
      </c>
      <c r="K10125" t="s">
        <v>29334</v>
      </c>
      <c r="M10125" t="s">
        <v>29977</v>
      </c>
      <c r="N10125" t="s">
        <v>32524</v>
      </c>
      <c r="O10125" t="s">
        <v>32525</v>
      </c>
      <c r="P10125">
        <v>0</v>
      </c>
      <c r="Q10125">
        <v>1</v>
      </c>
      <c r="R10125" t="s">
        <v>32539</v>
      </c>
      <c r="S10125" t="s">
        <v>33010</v>
      </c>
      <c r="T10125" t="s">
        <v>33241</v>
      </c>
      <c r="U10125" t="s">
        <v>41951</v>
      </c>
      <c r="W10125" t="s">
        <v>29977</v>
      </c>
      <c r="X10125" t="s">
        <v>32540</v>
      </c>
    </row>
    <row r="10126" spans="1:24">
      <c r="A10126">
        <f>HYPERLINK("https://www.philgeps.gov.ph/GEPSNONPILOT/Tender/SplashBidNoticeAbstractUI.aspx?menuIndex=3&amp;refID=7022993&amp;Result=3","7022993")</f>
        <v>0</v>
      </c>
      <c r="B10126" t="s">
        <v>1796</v>
      </c>
      <c r="C10126" t="s">
        <v>12378</v>
      </c>
      <c r="D10126" t="s">
        <v>12997</v>
      </c>
      <c r="E10126" t="s">
        <v>21894</v>
      </c>
      <c r="F10126" t="s">
        <v>22436</v>
      </c>
      <c r="G10126" t="s">
        <v>22443</v>
      </c>
      <c r="H10126" t="s">
        <v>22452</v>
      </c>
      <c r="I10126" t="s">
        <v>22494</v>
      </c>
      <c r="J10126" t="s">
        <v>28977</v>
      </c>
      <c r="K10126" t="s">
        <v>29357</v>
      </c>
      <c r="M10126" t="s">
        <v>31507</v>
      </c>
      <c r="N10126" t="s">
        <v>32524</v>
      </c>
      <c r="O10126" t="s">
        <v>32525</v>
      </c>
      <c r="P10126">
        <v>0</v>
      </c>
      <c r="Q10126">
        <v>0</v>
      </c>
      <c r="R10126" t="s">
        <v>32539</v>
      </c>
      <c r="S10126" t="s">
        <v>33010</v>
      </c>
      <c r="T10126" t="s">
        <v>33304</v>
      </c>
      <c r="U10126" t="s">
        <v>41952</v>
      </c>
      <c r="W10126" t="s">
        <v>31507</v>
      </c>
      <c r="X10126" t="s">
        <v>32540</v>
      </c>
    </row>
    <row r="10127" spans="1:24">
      <c r="A10127">
        <f>HYPERLINK("https://www.philgeps.gov.ph/GEPSNONPILOT/Tender/SplashBidNoticeAbstractUI.aspx?menuIndex=3&amp;refID=7023048&amp;Result=3","7023048")</f>
        <v>0</v>
      </c>
      <c r="B10127" t="s">
        <v>2031</v>
      </c>
      <c r="C10127" t="s">
        <v>12379</v>
      </c>
      <c r="D10127" t="s">
        <v>13041</v>
      </c>
      <c r="E10127" t="s">
        <v>21895</v>
      </c>
      <c r="F10127" t="s">
        <v>22436</v>
      </c>
      <c r="G10127" t="s">
        <v>22444</v>
      </c>
      <c r="H10127" t="s">
        <v>22454</v>
      </c>
      <c r="I10127" t="s">
        <v>7738</v>
      </c>
      <c r="J10127" t="s">
        <v>28978</v>
      </c>
      <c r="K10127" t="s">
        <v>29335</v>
      </c>
      <c r="M10127" t="s">
        <v>31765</v>
      </c>
      <c r="N10127" t="s">
        <v>32524</v>
      </c>
      <c r="O10127" t="s">
        <v>32525</v>
      </c>
      <c r="P10127">
        <v>0</v>
      </c>
      <c r="Q10127">
        <v>2</v>
      </c>
      <c r="R10127" t="s">
        <v>32539</v>
      </c>
      <c r="S10127" t="s">
        <v>33010</v>
      </c>
      <c r="T10127" t="s">
        <v>33181</v>
      </c>
      <c r="U10127" t="s">
        <v>41953</v>
      </c>
      <c r="W10127" t="s">
        <v>31765</v>
      </c>
      <c r="X10127" t="s">
        <v>32540</v>
      </c>
    </row>
    <row r="10128" spans="1:24">
      <c r="A10128">
        <f>HYPERLINK("https://www.philgeps.gov.ph/GEPSNONPILOT/Tender/SplashBidNoticeAbstractUI.aspx?menuIndex=3&amp;refID=7023001&amp;Result=3","7023001")</f>
        <v>0</v>
      </c>
      <c r="B10128" t="s">
        <v>1807</v>
      </c>
      <c r="C10128" t="s">
        <v>12380</v>
      </c>
      <c r="D10128" t="s">
        <v>13018</v>
      </c>
      <c r="E10128" t="s">
        <v>21896</v>
      </c>
      <c r="F10128" t="s">
        <v>22436</v>
      </c>
      <c r="G10128" t="s">
        <v>22444</v>
      </c>
      <c r="H10128" t="s">
        <v>22454</v>
      </c>
      <c r="I10128" t="s">
        <v>7738</v>
      </c>
      <c r="J10128" t="s">
        <v>28979</v>
      </c>
      <c r="K10128" t="s">
        <v>29432</v>
      </c>
      <c r="M10128" t="s">
        <v>31520</v>
      </c>
      <c r="N10128" t="s">
        <v>32524</v>
      </c>
      <c r="O10128" t="s">
        <v>32525</v>
      </c>
      <c r="P10128">
        <v>0</v>
      </c>
      <c r="Q10128">
        <v>0</v>
      </c>
      <c r="R10128" t="s">
        <v>32539</v>
      </c>
      <c r="S10128" t="s">
        <v>33010</v>
      </c>
      <c r="T10128" t="s">
        <v>33314</v>
      </c>
      <c r="U10128" t="s">
        <v>38299</v>
      </c>
      <c r="W10128" t="s">
        <v>31520</v>
      </c>
      <c r="X10128" t="s">
        <v>32540</v>
      </c>
    </row>
    <row r="10129" spans="1:24">
      <c r="A10129">
        <f>HYPERLINK("https://www.philgeps.gov.ph/GEPSNONPILOT/Tender/SplashBidNoticeAbstractUI.aspx?menuIndex=3&amp;refID=7022932&amp;Result=3","7022932")</f>
        <v>0</v>
      </c>
      <c r="B10129" t="s">
        <v>1192</v>
      </c>
      <c r="C10129" t="s">
        <v>12381</v>
      </c>
      <c r="D10129" t="s">
        <v>13007</v>
      </c>
      <c r="E10129" t="s">
        <v>21897</v>
      </c>
      <c r="F10129" t="s">
        <v>22436</v>
      </c>
      <c r="G10129" t="s">
        <v>22444</v>
      </c>
      <c r="H10129" t="s">
        <v>22454</v>
      </c>
      <c r="I10129" t="s">
        <v>6387</v>
      </c>
      <c r="J10129" t="s">
        <v>22587</v>
      </c>
      <c r="K10129" t="s">
        <v>29345</v>
      </c>
      <c r="M10129" t="s">
        <v>30839</v>
      </c>
      <c r="N10129" t="s">
        <v>32524</v>
      </c>
      <c r="O10129" t="s">
        <v>32525</v>
      </c>
      <c r="P10129">
        <v>0</v>
      </c>
      <c r="Q10129">
        <v>13</v>
      </c>
      <c r="R10129" t="s">
        <v>32539</v>
      </c>
      <c r="S10129" t="s">
        <v>33010</v>
      </c>
      <c r="T10129" t="s">
        <v>33187</v>
      </c>
      <c r="U10129" t="s">
        <v>41954</v>
      </c>
      <c r="W10129" t="s">
        <v>43758</v>
      </c>
      <c r="X10129" t="s">
        <v>32540</v>
      </c>
    </row>
    <row r="10130" spans="1:24">
      <c r="A10130">
        <f>HYPERLINK("https://www.philgeps.gov.ph/GEPSNONPILOT/Tender/SplashBidNoticeAbstractUI.aspx?menuIndex=3&amp;refID=7023024&amp;Result=3","7023024")</f>
        <v>0</v>
      </c>
      <c r="B10130" t="s">
        <v>2327</v>
      </c>
      <c r="C10130" t="s">
        <v>12382</v>
      </c>
      <c r="D10130" t="s">
        <v>13054</v>
      </c>
      <c r="E10130" t="s">
        <v>20778</v>
      </c>
      <c r="F10130" t="s">
        <v>22436</v>
      </c>
      <c r="G10130" t="s">
        <v>22444</v>
      </c>
      <c r="H10130" t="s">
        <v>22454</v>
      </c>
      <c r="I10130" t="s">
        <v>7738</v>
      </c>
      <c r="J10130" t="s">
        <v>28980</v>
      </c>
      <c r="K10130" t="s">
        <v>29338</v>
      </c>
      <c r="M10130" t="s">
        <v>32104</v>
      </c>
      <c r="N10130" t="s">
        <v>32524</v>
      </c>
      <c r="O10130" t="s">
        <v>32525</v>
      </c>
      <c r="P10130">
        <v>0</v>
      </c>
      <c r="Q10130">
        <v>0</v>
      </c>
      <c r="R10130" t="s">
        <v>32539</v>
      </c>
      <c r="S10130" t="s">
        <v>33010</v>
      </c>
      <c r="T10130" t="s">
        <v>33181</v>
      </c>
      <c r="U10130" t="s">
        <v>41955</v>
      </c>
      <c r="V10130" t="s">
        <v>43605</v>
      </c>
      <c r="W10130" t="s">
        <v>32104</v>
      </c>
      <c r="X10130" t="s">
        <v>32540</v>
      </c>
    </row>
    <row r="10131" spans="1:24">
      <c r="A10131">
        <f>HYPERLINK("https://www.philgeps.gov.ph/GEPSNONPILOT/Tender/SplashBidNoticeAbstractUI.aspx?menuIndex=3&amp;refID=7023042&amp;Result=3","7023042")</f>
        <v>0</v>
      </c>
      <c r="B10131" t="s">
        <v>2619</v>
      </c>
      <c r="C10131" t="s">
        <v>12383</v>
      </c>
      <c r="E10131" t="s">
        <v>21888</v>
      </c>
      <c r="F10131" t="s">
        <v>22436</v>
      </c>
      <c r="G10131" t="s">
        <v>22443</v>
      </c>
      <c r="H10131" t="s">
        <v>22452</v>
      </c>
      <c r="I10131" t="s">
        <v>22467</v>
      </c>
      <c r="J10131" t="s">
        <v>28981</v>
      </c>
      <c r="K10131" t="s">
        <v>29338</v>
      </c>
      <c r="M10131" t="s">
        <v>32445</v>
      </c>
      <c r="N10131" t="s">
        <v>32524</v>
      </c>
      <c r="O10131" t="s">
        <v>32525</v>
      </c>
      <c r="P10131">
        <v>0</v>
      </c>
      <c r="Q10131">
        <v>1</v>
      </c>
      <c r="R10131" t="s">
        <v>32539</v>
      </c>
      <c r="S10131" t="s">
        <v>33010</v>
      </c>
      <c r="T10131" t="s">
        <v>33171</v>
      </c>
      <c r="U10131" t="s">
        <v>41956</v>
      </c>
      <c r="W10131" t="s">
        <v>32445</v>
      </c>
      <c r="X10131" t="s">
        <v>32540</v>
      </c>
    </row>
    <row r="10132" spans="1:24">
      <c r="A10132">
        <f>HYPERLINK("https://www.philgeps.gov.ph/GEPSNONPILOT/Tender/SplashBidNoticeAbstractUI.aspx?menuIndex=3&amp;refID=7022950&amp;Result=3","7022950")</f>
        <v>0</v>
      </c>
      <c r="B10132" t="s">
        <v>1518</v>
      </c>
      <c r="C10132" t="s">
        <v>12384</v>
      </c>
      <c r="E10132" t="s">
        <v>21898</v>
      </c>
      <c r="F10132" t="s">
        <v>22436</v>
      </c>
      <c r="G10132" t="s">
        <v>22444</v>
      </c>
      <c r="H10132" t="s">
        <v>22452</v>
      </c>
      <c r="I10132" t="s">
        <v>22493</v>
      </c>
      <c r="J10132" t="s">
        <v>27367</v>
      </c>
      <c r="K10132" t="s">
        <v>29338</v>
      </c>
      <c r="M10132" t="s">
        <v>31193</v>
      </c>
      <c r="N10132" t="s">
        <v>32524</v>
      </c>
      <c r="O10132" t="s">
        <v>32525</v>
      </c>
      <c r="Q10132">
        <v>17</v>
      </c>
      <c r="R10132" t="s">
        <v>32539</v>
      </c>
      <c r="S10132" t="s">
        <v>33049</v>
      </c>
      <c r="T10132" t="s">
        <v>33400</v>
      </c>
      <c r="U10132" t="s">
        <v>35810</v>
      </c>
      <c r="W10132" t="s">
        <v>31193</v>
      </c>
      <c r="X10132" t="s">
        <v>32540</v>
      </c>
    </row>
    <row r="10133" spans="1:24">
      <c r="A10133">
        <f>HYPERLINK("https://www.philgeps.gov.ph/GEPSNONPILOT/Tender/SplashBidNoticeAbstractUI.aspx?menuIndex=3&amp;refID=7023026&amp;Result=3","7023026")</f>
        <v>0</v>
      </c>
      <c r="B10133" t="s">
        <v>1601</v>
      </c>
      <c r="C10133" t="s">
        <v>12385</v>
      </c>
      <c r="D10133" t="s">
        <v>13001</v>
      </c>
      <c r="E10133" t="s">
        <v>21899</v>
      </c>
      <c r="F10133" t="s">
        <v>22436</v>
      </c>
      <c r="G10133" t="s">
        <v>22444</v>
      </c>
      <c r="H10133" t="s">
        <v>22454</v>
      </c>
      <c r="I10133" t="s">
        <v>7738</v>
      </c>
      <c r="J10133" t="s">
        <v>28982</v>
      </c>
      <c r="K10133" t="s">
        <v>29583</v>
      </c>
      <c r="M10133" t="s">
        <v>31285</v>
      </c>
      <c r="N10133" t="s">
        <v>32524</v>
      </c>
      <c r="O10133" t="s">
        <v>32525</v>
      </c>
      <c r="Q10133">
        <v>16</v>
      </c>
      <c r="R10133" t="s">
        <v>32539</v>
      </c>
      <c r="S10133" t="s">
        <v>33050</v>
      </c>
      <c r="T10133" t="s">
        <v>33230</v>
      </c>
      <c r="U10133" t="s">
        <v>41957</v>
      </c>
      <c r="V10133" t="s">
        <v>43606</v>
      </c>
      <c r="W10133" t="s">
        <v>31285</v>
      </c>
      <c r="X10133" t="s">
        <v>32540</v>
      </c>
    </row>
    <row r="10134" spans="1:24">
      <c r="A10134">
        <f>HYPERLINK("https://www.philgeps.gov.ph/GEPSNONPILOT/Tender/SplashBidNoticeAbstractUI.aspx?menuIndex=3&amp;refID=7023008&amp;Result=3","7023008")</f>
        <v>0</v>
      </c>
      <c r="B10134" t="s">
        <v>2620</v>
      </c>
      <c r="C10134" t="s">
        <v>12386</v>
      </c>
      <c r="D10134" t="s">
        <v>13068</v>
      </c>
      <c r="E10134" t="s">
        <v>21900</v>
      </c>
      <c r="F10134" t="s">
        <v>22436</v>
      </c>
      <c r="G10134" t="s">
        <v>22444</v>
      </c>
      <c r="H10134" t="s">
        <v>22454</v>
      </c>
      <c r="I10134" t="s">
        <v>7738</v>
      </c>
      <c r="J10134" t="s">
        <v>28983</v>
      </c>
      <c r="K10134" t="s">
        <v>29386</v>
      </c>
      <c r="M10134" t="s">
        <v>32446</v>
      </c>
      <c r="N10134" t="s">
        <v>32524</v>
      </c>
      <c r="O10134" t="s">
        <v>32525</v>
      </c>
      <c r="P10134">
        <v>0</v>
      </c>
      <c r="Q10134">
        <v>6</v>
      </c>
      <c r="R10134" t="s">
        <v>32539</v>
      </c>
      <c r="S10134" t="s">
        <v>33010</v>
      </c>
      <c r="T10134" t="s">
        <v>33181</v>
      </c>
      <c r="U10134" t="s">
        <v>41958</v>
      </c>
      <c r="W10134" t="s">
        <v>32446</v>
      </c>
      <c r="X10134" t="s">
        <v>32540</v>
      </c>
    </row>
    <row r="10135" spans="1:24">
      <c r="A10135">
        <f>HYPERLINK("https://www.philgeps.gov.ph/GEPSNONPILOT/Tender/SplashBidNoticeAbstractUI.aspx?menuIndex=3&amp;refID=7023010&amp;Result=3","7023010")</f>
        <v>0</v>
      </c>
      <c r="B10135" t="s">
        <v>2621</v>
      </c>
      <c r="C10135" t="s">
        <v>12387</v>
      </c>
      <c r="D10135" t="s">
        <v>13016</v>
      </c>
      <c r="E10135" t="s">
        <v>21901</v>
      </c>
      <c r="F10135" t="s">
        <v>22436</v>
      </c>
      <c r="G10135" t="s">
        <v>22444</v>
      </c>
      <c r="H10135" t="s">
        <v>22452</v>
      </c>
      <c r="I10135" t="s">
        <v>2981</v>
      </c>
      <c r="J10135" t="s">
        <v>22758</v>
      </c>
      <c r="K10135" t="s">
        <v>29335</v>
      </c>
      <c r="M10135" t="s">
        <v>32447</v>
      </c>
      <c r="N10135" t="s">
        <v>32524</v>
      </c>
      <c r="O10135" t="s">
        <v>32525</v>
      </c>
      <c r="P10135">
        <v>0</v>
      </c>
      <c r="Q10135">
        <v>2</v>
      </c>
      <c r="R10135" t="s">
        <v>32539</v>
      </c>
      <c r="S10135" t="s">
        <v>33010</v>
      </c>
      <c r="T10135" t="s">
        <v>33180</v>
      </c>
      <c r="U10135" t="s">
        <v>41959</v>
      </c>
      <c r="W10135" t="s">
        <v>32447</v>
      </c>
      <c r="X10135" t="s">
        <v>32540</v>
      </c>
    </row>
    <row r="10136" spans="1:24">
      <c r="A10136">
        <f>HYPERLINK("https://www.philgeps.gov.ph/GEPSNONPILOT/Tender/SplashBidNoticeAbstractUI.aspx?menuIndex=3&amp;refID=7023037&amp;Result=3","7023037")</f>
        <v>0</v>
      </c>
      <c r="B10136" t="s">
        <v>2620</v>
      </c>
      <c r="C10136" t="s">
        <v>12388</v>
      </c>
      <c r="D10136" t="s">
        <v>13068</v>
      </c>
      <c r="E10136" t="s">
        <v>21902</v>
      </c>
      <c r="F10136" t="s">
        <v>22436</v>
      </c>
      <c r="G10136" t="s">
        <v>22444</v>
      </c>
      <c r="H10136" t="s">
        <v>22454</v>
      </c>
      <c r="I10136" t="s">
        <v>7738</v>
      </c>
      <c r="J10136" t="s">
        <v>28984</v>
      </c>
      <c r="K10136" t="s">
        <v>29333</v>
      </c>
      <c r="M10136" t="s">
        <v>32446</v>
      </c>
      <c r="N10136" t="s">
        <v>32524</v>
      </c>
      <c r="O10136" t="s">
        <v>32525</v>
      </c>
      <c r="P10136">
        <v>0</v>
      </c>
      <c r="Q10136">
        <v>8</v>
      </c>
      <c r="R10136" t="s">
        <v>32539</v>
      </c>
      <c r="S10136" t="s">
        <v>33010</v>
      </c>
      <c r="T10136" t="s">
        <v>33181</v>
      </c>
      <c r="U10136" t="s">
        <v>41960</v>
      </c>
      <c r="W10136" t="s">
        <v>32446</v>
      </c>
      <c r="X10136" t="s">
        <v>32540</v>
      </c>
    </row>
    <row r="10137" spans="1:24">
      <c r="A10137">
        <f>HYPERLINK("https://www.philgeps.gov.ph/GEPSNONPILOT/Tender/SplashBidNoticeAbstractUI.aspx?menuIndex=3&amp;refID=7023005&amp;Result=3","7023005")</f>
        <v>0</v>
      </c>
      <c r="B10137" t="s">
        <v>2176</v>
      </c>
      <c r="C10137" t="s">
        <v>12389</v>
      </c>
      <c r="D10137" t="s">
        <v>13044</v>
      </c>
      <c r="E10137" t="s">
        <v>21903</v>
      </c>
      <c r="F10137" t="s">
        <v>22436</v>
      </c>
      <c r="G10137" t="s">
        <v>22444</v>
      </c>
      <c r="H10137" t="s">
        <v>22454</v>
      </c>
      <c r="I10137" t="s">
        <v>7738</v>
      </c>
      <c r="J10137" t="s">
        <v>28985</v>
      </c>
      <c r="K10137" t="s">
        <v>29455</v>
      </c>
      <c r="M10137" t="s">
        <v>31936</v>
      </c>
      <c r="N10137" t="s">
        <v>32524</v>
      </c>
      <c r="O10137" t="s">
        <v>32525</v>
      </c>
      <c r="P10137">
        <v>0</v>
      </c>
      <c r="Q10137">
        <v>2</v>
      </c>
      <c r="R10137" t="s">
        <v>32539</v>
      </c>
      <c r="S10137" t="s">
        <v>33010</v>
      </c>
      <c r="T10137" t="s">
        <v>33203</v>
      </c>
      <c r="U10137" t="s">
        <v>41961</v>
      </c>
      <c r="W10137" t="s">
        <v>31936</v>
      </c>
      <c r="X10137" t="s">
        <v>32540</v>
      </c>
    </row>
    <row r="10138" spans="1:24">
      <c r="A10138">
        <f>HYPERLINK("https://www.philgeps.gov.ph/GEPSNONPILOT/Tender/SplashBidNoticeAbstractUI.aspx?menuIndex=3&amp;refID=7023055&amp;Result=3","7023055")</f>
        <v>0</v>
      </c>
      <c r="B10138" t="s">
        <v>1501</v>
      </c>
      <c r="C10138" t="s">
        <v>12390</v>
      </c>
      <c r="D10138" t="s">
        <v>13039</v>
      </c>
      <c r="E10138" t="s">
        <v>21904</v>
      </c>
      <c r="F10138" t="s">
        <v>22436</v>
      </c>
      <c r="G10138" t="s">
        <v>22444</v>
      </c>
      <c r="H10138" t="s">
        <v>22454</v>
      </c>
      <c r="I10138" t="s">
        <v>7738</v>
      </c>
      <c r="J10138" t="s">
        <v>28585</v>
      </c>
      <c r="K10138" t="s">
        <v>29486</v>
      </c>
      <c r="M10138" t="s">
        <v>31175</v>
      </c>
      <c r="N10138" t="s">
        <v>32524</v>
      </c>
      <c r="O10138" t="s">
        <v>32525</v>
      </c>
      <c r="P10138">
        <v>0</v>
      </c>
      <c r="Q10138">
        <v>1</v>
      </c>
      <c r="R10138" t="s">
        <v>32539</v>
      </c>
      <c r="S10138" t="s">
        <v>33010</v>
      </c>
      <c r="T10138" t="s">
        <v>33180</v>
      </c>
      <c r="U10138" t="s">
        <v>37277</v>
      </c>
      <c r="W10138" t="s">
        <v>31175</v>
      </c>
      <c r="X10138" t="s">
        <v>32540</v>
      </c>
    </row>
    <row r="10139" spans="1:24">
      <c r="A10139">
        <f>HYPERLINK("https://www.philgeps.gov.ph/GEPSNONPILOT/Tender/SplashBidNoticeAbstractUI.aspx?menuIndex=3&amp;refID=7023076&amp;Result=3","7023076")</f>
        <v>0</v>
      </c>
      <c r="B10139" t="s">
        <v>398</v>
      </c>
      <c r="C10139" t="s">
        <v>12391</v>
      </c>
      <c r="D10139" t="s">
        <v>13018</v>
      </c>
      <c r="E10139" t="s">
        <v>21905</v>
      </c>
      <c r="F10139" t="s">
        <v>22436</v>
      </c>
      <c r="G10139" t="s">
        <v>22444</v>
      </c>
      <c r="H10139" t="s">
        <v>22454</v>
      </c>
      <c r="I10139" t="s">
        <v>7738</v>
      </c>
      <c r="J10139" t="s">
        <v>28986</v>
      </c>
      <c r="K10139" t="s">
        <v>29329</v>
      </c>
      <c r="M10139" t="s">
        <v>29977</v>
      </c>
      <c r="N10139" t="s">
        <v>32524</v>
      </c>
      <c r="O10139" t="s">
        <v>32525</v>
      </c>
      <c r="P10139">
        <v>0</v>
      </c>
      <c r="Q10139">
        <v>0</v>
      </c>
      <c r="R10139" t="s">
        <v>32539</v>
      </c>
      <c r="S10139" t="s">
        <v>33010</v>
      </c>
      <c r="T10139" t="s">
        <v>33241</v>
      </c>
      <c r="U10139" t="s">
        <v>41962</v>
      </c>
      <c r="W10139" t="s">
        <v>29977</v>
      </c>
      <c r="X10139" t="s">
        <v>32540</v>
      </c>
    </row>
    <row r="10140" spans="1:24">
      <c r="A10140">
        <f>HYPERLINK("https://www.philgeps.gov.ph/GEPSNONPILOT/Tender/SplashBidNoticeAbstractUI.aspx?menuIndex=3&amp;refID=7023180&amp;Result=3","7023180")</f>
        <v>0</v>
      </c>
      <c r="B10140" t="s">
        <v>428</v>
      </c>
      <c r="C10140" t="s">
        <v>12392</v>
      </c>
      <c r="D10140" t="s">
        <v>13062</v>
      </c>
      <c r="E10140" t="s">
        <v>21906</v>
      </c>
      <c r="F10140" t="s">
        <v>22436</v>
      </c>
      <c r="G10140" t="s">
        <v>22444</v>
      </c>
      <c r="H10140" t="s">
        <v>22452</v>
      </c>
      <c r="I10140" t="s">
        <v>22474</v>
      </c>
      <c r="J10140" t="s">
        <v>22877</v>
      </c>
      <c r="K10140" t="s">
        <v>29331</v>
      </c>
      <c r="M10140" t="s">
        <v>30009</v>
      </c>
      <c r="N10140" t="s">
        <v>32524</v>
      </c>
      <c r="O10140" t="s">
        <v>32525</v>
      </c>
      <c r="Q10140">
        <v>5</v>
      </c>
      <c r="R10140" t="s">
        <v>32539</v>
      </c>
      <c r="S10140" t="s">
        <v>33051</v>
      </c>
      <c r="T10140" t="s">
        <v>33162</v>
      </c>
      <c r="U10140" t="s">
        <v>41963</v>
      </c>
      <c r="W10140" t="s">
        <v>30009</v>
      </c>
      <c r="X10140" t="s">
        <v>32540</v>
      </c>
    </row>
    <row r="10141" spans="1:24">
      <c r="A10141">
        <f>HYPERLINK("https://www.philgeps.gov.ph/GEPSNONPILOT/Tender/SplashBidNoticeAbstractUI.aspx?menuIndex=3&amp;refID=7023105&amp;Result=3","7023105")</f>
        <v>0</v>
      </c>
      <c r="B10141" t="s">
        <v>520</v>
      </c>
      <c r="C10141" t="s">
        <v>12393</v>
      </c>
      <c r="D10141" t="s">
        <v>13051</v>
      </c>
      <c r="E10141" t="s">
        <v>13668</v>
      </c>
      <c r="F10141" t="s">
        <v>22436</v>
      </c>
      <c r="G10141" t="s">
        <v>22444</v>
      </c>
      <c r="H10141" t="s">
        <v>22454</v>
      </c>
      <c r="I10141" t="s">
        <v>7738</v>
      </c>
      <c r="J10141" t="s">
        <v>22779</v>
      </c>
      <c r="K10141" t="s">
        <v>29334</v>
      </c>
      <c r="M10141" t="s">
        <v>30104</v>
      </c>
      <c r="N10141" t="s">
        <v>32524</v>
      </c>
      <c r="O10141" t="s">
        <v>32525</v>
      </c>
      <c r="P10141">
        <v>0</v>
      </c>
      <c r="Q10141">
        <v>0</v>
      </c>
      <c r="R10141" t="s">
        <v>32539</v>
      </c>
      <c r="S10141" t="s">
        <v>33010</v>
      </c>
      <c r="T10141" t="s">
        <v>33203</v>
      </c>
      <c r="U10141" t="s">
        <v>41964</v>
      </c>
      <c r="W10141" t="s">
        <v>30104</v>
      </c>
      <c r="X10141" t="s">
        <v>32540</v>
      </c>
    </row>
    <row r="10142" spans="1:24">
      <c r="A10142">
        <f>HYPERLINK("https://www.philgeps.gov.ph/GEPSNONPILOT/Tender/SplashBidNoticeAbstractUI.aspx?menuIndex=3&amp;refID=7023168&amp;Result=3","7023168")</f>
        <v>0</v>
      </c>
      <c r="B10142" t="s">
        <v>2513</v>
      </c>
      <c r="C10142" t="s">
        <v>12394</v>
      </c>
      <c r="D10142" t="s">
        <v>13049</v>
      </c>
      <c r="E10142" t="s">
        <v>21907</v>
      </c>
      <c r="F10142" t="s">
        <v>22437</v>
      </c>
      <c r="G10142" t="s">
        <v>22444</v>
      </c>
      <c r="H10142" t="s">
        <v>22454</v>
      </c>
      <c r="I10142" t="s">
        <v>7738</v>
      </c>
      <c r="J10142" t="s">
        <v>28464</v>
      </c>
      <c r="K10142" t="s">
        <v>29436</v>
      </c>
      <c r="M10142" t="s">
        <v>32320</v>
      </c>
      <c r="N10142" t="s">
        <v>32524</v>
      </c>
      <c r="O10142" t="s">
        <v>32525</v>
      </c>
      <c r="P10142">
        <v>0</v>
      </c>
      <c r="Q10142">
        <v>0</v>
      </c>
      <c r="R10142" t="s">
        <v>32539</v>
      </c>
      <c r="S10142" t="s">
        <v>33010</v>
      </c>
      <c r="T10142" t="s">
        <v>33238</v>
      </c>
      <c r="U10142" t="s">
        <v>41309</v>
      </c>
      <c r="W10142" t="s">
        <v>32320</v>
      </c>
      <c r="X10142" t="s">
        <v>32540</v>
      </c>
    </row>
    <row r="10143" spans="1:24">
      <c r="A10143">
        <f>HYPERLINK("https://www.philgeps.gov.ph/GEPSNONPILOT/Tender/SplashBidNoticeAbstractUI.aspx?menuIndex=3&amp;refID=7023057&amp;Result=3","7023057")</f>
        <v>0</v>
      </c>
      <c r="B10143" t="s">
        <v>1380</v>
      </c>
      <c r="C10143" t="s">
        <v>12395</v>
      </c>
      <c r="D10143" t="s">
        <v>12994</v>
      </c>
      <c r="E10143" t="s">
        <v>21908</v>
      </c>
      <c r="F10143" t="s">
        <v>22436</v>
      </c>
      <c r="G10143" t="s">
        <v>22444</v>
      </c>
      <c r="H10143" t="s">
        <v>22452</v>
      </c>
      <c r="I10143" t="s">
        <v>3529</v>
      </c>
      <c r="J10143" t="s">
        <v>28987</v>
      </c>
      <c r="K10143" t="s">
        <v>29335</v>
      </c>
      <c r="L10143" t="s">
        <v>1380</v>
      </c>
      <c r="M10143" t="s">
        <v>31036</v>
      </c>
      <c r="N10143" t="s">
        <v>32524</v>
      </c>
      <c r="O10143" t="s">
        <v>32525</v>
      </c>
      <c r="P10143">
        <v>0</v>
      </c>
      <c r="Q10143">
        <v>2</v>
      </c>
      <c r="R10143" t="s">
        <v>32539</v>
      </c>
      <c r="S10143" t="s">
        <v>33010</v>
      </c>
      <c r="T10143" t="s">
        <v>33206</v>
      </c>
      <c r="U10143" t="s">
        <v>41965</v>
      </c>
      <c r="W10143" t="s">
        <v>31036</v>
      </c>
      <c r="X10143" t="s">
        <v>32540</v>
      </c>
    </row>
    <row r="10144" spans="1:24">
      <c r="A10144">
        <f>HYPERLINK("https://www.philgeps.gov.ph/GEPSNONPILOT/Tender/SplashBidNoticeAbstractUI.aspx?menuIndex=3&amp;refID=7023160&amp;Result=3","7023160")</f>
        <v>0</v>
      </c>
      <c r="B10144" t="s">
        <v>1796</v>
      </c>
      <c r="C10144" t="s">
        <v>12396</v>
      </c>
      <c r="D10144" t="s">
        <v>12997</v>
      </c>
      <c r="E10144" t="s">
        <v>21909</v>
      </c>
      <c r="F10144" t="s">
        <v>22436</v>
      </c>
      <c r="G10144" t="s">
        <v>22443</v>
      </c>
      <c r="H10144" t="s">
        <v>22452</v>
      </c>
      <c r="I10144" t="s">
        <v>22494</v>
      </c>
      <c r="J10144" t="s">
        <v>25106</v>
      </c>
      <c r="K10144" t="s">
        <v>29357</v>
      </c>
      <c r="M10144" t="s">
        <v>31507</v>
      </c>
      <c r="N10144" t="s">
        <v>32524</v>
      </c>
      <c r="O10144" t="s">
        <v>32525</v>
      </c>
      <c r="P10144">
        <v>0</v>
      </c>
      <c r="Q10144">
        <v>0</v>
      </c>
      <c r="R10144" t="s">
        <v>32539</v>
      </c>
      <c r="S10144" t="s">
        <v>33010</v>
      </c>
      <c r="T10144" t="s">
        <v>33296</v>
      </c>
      <c r="U10144" t="s">
        <v>41966</v>
      </c>
      <c r="W10144" t="s">
        <v>31507</v>
      </c>
      <c r="X10144" t="s">
        <v>32540</v>
      </c>
    </row>
    <row r="10145" spans="1:24">
      <c r="A10145">
        <f>HYPERLINK("https://www.philgeps.gov.ph/GEPSNONPILOT/Tender/SplashBidNoticeAbstractUI.aspx?menuIndex=3&amp;refID=7023100&amp;Result=3","7023100")</f>
        <v>0</v>
      </c>
      <c r="B10145" t="s">
        <v>449</v>
      </c>
      <c r="C10145" t="s">
        <v>12397</v>
      </c>
      <c r="D10145" t="s">
        <v>12999</v>
      </c>
      <c r="E10145" t="s">
        <v>21910</v>
      </c>
      <c r="F10145" t="s">
        <v>22436</v>
      </c>
      <c r="G10145" t="s">
        <v>22444</v>
      </c>
      <c r="H10145" t="s">
        <v>22454</v>
      </c>
      <c r="I10145" t="s">
        <v>7738</v>
      </c>
      <c r="J10145" t="s">
        <v>28988</v>
      </c>
      <c r="K10145" t="s">
        <v>29565</v>
      </c>
      <c r="M10145" t="s">
        <v>30031</v>
      </c>
      <c r="N10145" t="s">
        <v>32524</v>
      </c>
      <c r="O10145" t="s">
        <v>32525</v>
      </c>
      <c r="P10145">
        <v>0</v>
      </c>
      <c r="Q10145">
        <v>0</v>
      </c>
      <c r="R10145" t="s">
        <v>32539</v>
      </c>
      <c r="S10145" t="s">
        <v>33010</v>
      </c>
      <c r="T10145" t="s">
        <v>33230</v>
      </c>
      <c r="U10145" t="s">
        <v>41967</v>
      </c>
      <c r="W10145" t="s">
        <v>30031</v>
      </c>
      <c r="X10145" t="s">
        <v>32540</v>
      </c>
    </row>
    <row r="10146" spans="1:24">
      <c r="A10146">
        <f>HYPERLINK("https://www.philgeps.gov.ph/GEPSNONPILOT/Tender/SplashBidNoticeAbstractUI.aspx?menuIndex=3&amp;refID=7023146&amp;Result=3","7023146")</f>
        <v>0</v>
      </c>
      <c r="B10146" t="s">
        <v>2619</v>
      </c>
      <c r="C10146" t="s">
        <v>12398</v>
      </c>
      <c r="E10146" t="s">
        <v>21911</v>
      </c>
      <c r="F10146" t="s">
        <v>22436</v>
      </c>
      <c r="G10146" t="s">
        <v>22443</v>
      </c>
      <c r="H10146" t="s">
        <v>22452</v>
      </c>
      <c r="I10146" t="s">
        <v>22467</v>
      </c>
      <c r="J10146" t="s">
        <v>28989</v>
      </c>
      <c r="K10146" t="s">
        <v>29338</v>
      </c>
      <c r="M10146" t="s">
        <v>32445</v>
      </c>
      <c r="N10146" t="s">
        <v>32524</v>
      </c>
      <c r="O10146" t="s">
        <v>32525</v>
      </c>
      <c r="P10146">
        <v>0</v>
      </c>
      <c r="Q10146">
        <v>1</v>
      </c>
      <c r="R10146" t="s">
        <v>32539</v>
      </c>
      <c r="S10146" t="s">
        <v>33010</v>
      </c>
      <c r="T10146" t="s">
        <v>33171</v>
      </c>
      <c r="U10146" t="s">
        <v>41956</v>
      </c>
      <c r="W10146" t="s">
        <v>32445</v>
      </c>
      <c r="X10146" t="s">
        <v>32540</v>
      </c>
    </row>
    <row r="10147" spans="1:24">
      <c r="A10147">
        <f>HYPERLINK("https://www.philgeps.gov.ph/GEPSNONPILOT/Tender/SplashBidNoticeAbstractUI.aspx?menuIndex=3&amp;refID=7023142&amp;Result=3","7023142")</f>
        <v>0</v>
      </c>
      <c r="B10147" t="s">
        <v>2622</v>
      </c>
      <c r="C10147" t="s">
        <v>12399</v>
      </c>
      <c r="D10147" t="s">
        <v>13058</v>
      </c>
      <c r="E10147" t="s">
        <v>21912</v>
      </c>
      <c r="F10147" t="s">
        <v>22436</v>
      </c>
      <c r="G10147" t="s">
        <v>22444</v>
      </c>
      <c r="H10147" t="s">
        <v>22452</v>
      </c>
      <c r="I10147" t="s">
        <v>22474</v>
      </c>
      <c r="J10147" t="s">
        <v>28990</v>
      </c>
      <c r="K10147" t="s">
        <v>29335</v>
      </c>
      <c r="M10147" t="s">
        <v>32448</v>
      </c>
      <c r="N10147" t="s">
        <v>32524</v>
      </c>
      <c r="O10147" t="s">
        <v>32525</v>
      </c>
      <c r="P10147">
        <v>0</v>
      </c>
      <c r="Q10147">
        <v>3</v>
      </c>
      <c r="R10147" t="s">
        <v>32539</v>
      </c>
      <c r="S10147" t="s">
        <v>33010</v>
      </c>
      <c r="T10147" t="s">
        <v>33206</v>
      </c>
      <c r="U10147" t="s">
        <v>41968</v>
      </c>
      <c r="W10147" t="s">
        <v>32448</v>
      </c>
      <c r="X10147" t="s">
        <v>32540</v>
      </c>
    </row>
    <row r="10148" spans="1:24">
      <c r="A10148">
        <f>HYPERLINK("https://www.philgeps.gov.ph/GEPSNONPILOT/Tender/SplashBidNoticeAbstractUI.aspx?menuIndex=3&amp;refID=7023156&amp;Result=3","7023156")</f>
        <v>0</v>
      </c>
      <c r="B10148" t="s">
        <v>68</v>
      </c>
      <c r="C10148" t="s">
        <v>12400</v>
      </c>
      <c r="D10148" t="s">
        <v>13013</v>
      </c>
      <c r="E10148" t="s">
        <v>21913</v>
      </c>
      <c r="F10148" t="s">
        <v>22436</v>
      </c>
      <c r="G10148" t="s">
        <v>22444</v>
      </c>
      <c r="H10148" t="s">
        <v>22454</v>
      </c>
      <c r="I10148" t="s">
        <v>7738</v>
      </c>
      <c r="J10148" t="s">
        <v>28991</v>
      </c>
      <c r="K10148" t="s">
        <v>29396</v>
      </c>
      <c r="L10148" t="s">
        <v>68</v>
      </c>
      <c r="M10148" t="s">
        <v>29640</v>
      </c>
      <c r="N10148" t="s">
        <v>32524</v>
      </c>
      <c r="O10148" t="s">
        <v>32525</v>
      </c>
      <c r="P10148">
        <v>0</v>
      </c>
      <c r="Q10148">
        <v>2</v>
      </c>
      <c r="R10148" t="s">
        <v>32539</v>
      </c>
      <c r="S10148" t="s">
        <v>33010</v>
      </c>
      <c r="T10148" t="s">
        <v>33184</v>
      </c>
      <c r="U10148" t="s">
        <v>41969</v>
      </c>
      <c r="V10148" t="s">
        <v>42437</v>
      </c>
      <c r="W10148" t="s">
        <v>29640</v>
      </c>
      <c r="X10148" t="s">
        <v>32540</v>
      </c>
    </row>
    <row r="10149" spans="1:24">
      <c r="A10149">
        <f>HYPERLINK("https://www.philgeps.gov.ph/GEPSNONPILOT/Tender/SplashBidNoticeAbstractUI.aspx?menuIndex=3&amp;refID=7023164&amp;Result=3","7023164")</f>
        <v>0</v>
      </c>
      <c r="B10149" t="s">
        <v>1501</v>
      </c>
      <c r="C10149" t="s">
        <v>12401</v>
      </c>
      <c r="D10149" t="s">
        <v>13039</v>
      </c>
      <c r="E10149" t="s">
        <v>21914</v>
      </c>
      <c r="F10149" t="s">
        <v>22436</v>
      </c>
      <c r="G10149" t="s">
        <v>22444</v>
      </c>
      <c r="H10149" t="s">
        <v>22454</v>
      </c>
      <c r="I10149" t="s">
        <v>7738</v>
      </c>
      <c r="J10149" t="s">
        <v>28585</v>
      </c>
      <c r="K10149" t="s">
        <v>29486</v>
      </c>
      <c r="M10149" t="s">
        <v>31175</v>
      </c>
      <c r="N10149" t="s">
        <v>32524</v>
      </c>
      <c r="O10149" t="s">
        <v>32525</v>
      </c>
      <c r="P10149">
        <v>0</v>
      </c>
      <c r="Q10149">
        <v>0</v>
      </c>
      <c r="R10149" t="s">
        <v>32539</v>
      </c>
      <c r="S10149" t="s">
        <v>33010</v>
      </c>
      <c r="T10149" t="s">
        <v>33180</v>
      </c>
      <c r="U10149" t="s">
        <v>37277</v>
      </c>
      <c r="W10149" t="s">
        <v>31175</v>
      </c>
      <c r="X10149" t="s">
        <v>32540</v>
      </c>
    </row>
    <row r="10150" spans="1:24">
      <c r="A10150">
        <f>HYPERLINK("https://www.philgeps.gov.ph/GEPSNONPILOT/Tender/SplashBidNoticeAbstractUI.aspx?menuIndex=3&amp;refID=7023171&amp;Result=3","7023171")</f>
        <v>0</v>
      </c>
      <c r="B10150" t="s">
        <v>2327</v>
      </c>
      <c r="C10150" t="s">
        <v>12402</v>
      </c>
      <c r="D10150" t="s">
        <v>13054</v>
      </c>
      <c r="E10150" t="s">
        <v>20778</v>
      </c>
      <c r="F10150" t="s">
        <v>22436</v>
      </c>
      <c r="G10150" t="s">
        <v>22444</v>
      </c>
      <c r="H10150" t="s">
        <v>22454</v>
      </c>
      <c r="I10150" t="s">
        <v>7738</v>
      </c>
      <c r="J10150" t="s">
        <v>22634</v>
      </c>
      <c r="K10150" t="s">
        <v>29338</v>
      </c>
      <c r="M10150" t="s">
        <v>32104</v>
      </c>
      <c r="N10150" t="s">
        <v>32524</v>
      </c>
      <c r="O10150" t="s">
        <v>32525</v>
      </c>
      <c r="P10150">
        <v>0</v>
      </c>
      <c r="Q10150">
        <v>0</v>
      </c>
      <c r="R10150" t="s">
        <v>32539</v>
      </c>
      <c r="S10150" t="s">
        <v>33010</v>
      </c>
      <c r="T10150" t="s">
        <v>33181</v>
      </c>
      <c r="U10150" t="s">
        <v>41970</v>
      </c>
      <c r="V10150" t="s">
        <v>43607</v>
      </c>
      <c r="W10150" t="s">
        <v>32104</v>
      </c>
      <c r="X10150" t="s">
        <v>32540</v>
      </c>
    </row>
    <row r="10151" spans="1:24">
      <c r="A10151">
        <f>HYPERLINK("https://www.philgeps.gov.ph/GEPSNONPILOT/Tender/SplashBidNoticeAbstractUI.aspx?menuIndex=3&amp;refID=7023121&amp;Result=3","7023121")</f>
        <v>0</v>
      </c>
      <c r="B10151" t="s">
        <v>2619</v>
      </c>
      <c r="C10151" t="s">
        <v>12403</v>
      </c>
      <c r="E10151" t="s">
        <v>21915</v>
      </c>
      <c r="F10151" t="s">
        <v>22436</v>
      </c>
      <c r="G10151" t="s">
        <v>22443</v>
      </c>
      <c r="H10151" t="s">
        <v>22452</v>
      </c>
      <c r="I10151" t="s">
        <v>22467</v>
      </c>
      <c r="J10151" t="s">
        <v>28992</v>
      </c>
      <c r="K10151" t="s">
        <v>29338</v>
      </c>
      <c r="M10151" t="s">
        <v>32445</v>
      </c>
      <c r="N10151" t="s">
        <v>32524</v>
      </c>
      <c r="O10151" t="s">
        <v>32525</v>
      </c>
      <c r="P10151">
        <v>0</v>
      </c>
      <c r="Q10151">
        <v>1</v>
      </c>
      <c r="R10151" t="s">
        <v>32539</v>
      </c>
      <c r="S10151" t="s">
        <v>33010</v>
      </c>
      <c r="T10151" t="s">
        <v>33171</v>
      </c>
      <c r="U10151" t="s">
        <v>41956</v>
      </c>
      <c r="W10151" t="s">
        <v>32445</v>
      </c>
      <c r="X10151" t="s">
        <v>32540</v>
      </c>
    </row>
    <row r="10152" spans="1:24">
      <c r="A10152">
        <f>HYPERLINK("https://www.philgeps.gov.ph/GEPSNONPILOT/Tender/SplashBidNoticeAbstractUI.aspx?menuIndex=3&amp;refID=7023191&amp;Result=3","7023191")</f>
        <v>0</v>
      </c>
      <c r="B10152" t="s">
        <v>128</v>
      </c>
      <c r="C10152" t="s">
        <v>12404</v>
      </c>
      <c r="D10152" t="s">
        <v>13025</v>
      </c>
      <c r="E10152" t="s">
        <v>21916</v>
      </c>
      <c r="F10152" t="s">
        <v>22436</v>
      </c>
      <c r="G10152" t="s">
        <v>22444</v>
      </c>
      <c r="H10152" t="s">
        <v>22452</v>
      </c>
      <c r="I10152" t="s">
        <v>22474</v>
      </c>
      <c r="J10152" t="s">
        <v>23085</v>
      </c>
      <c r="K10152" t="s">
        <v>29331</v>
      </c>
      <c r="M10152" t="s">
        <v>29700</v>
      </c>
      <c r="N10152" t="s">
        <v>32524</v>
      </c>
      <c r="O10152" t="s">
        <v>32525</v>
      </c>
      <c r="Q10152">
        <v>0</v>
      </c>
      <c r="R10152" t="s">
        <v>32539</v>
      </c>
      <c r="S10152" t="s">
        <v>33052</v>
      </c>
      <c r="T10152" t="s">
        <v>33181</v>
      </c>
      <c r="U10152" t="s">
        <v>41971</v>
      </c>
      <c r="W10152" t="s">
        <v>29700</v>
      </c>
      <c r="X10152" t="s">
        <v>32540</v>
      </c>
    </row>
    <row r="10153" spans="1:24">
      <c r="A10153">
        <f>HYPERLINK("https://www.philgeps.gov.ph/GEPSNONPILOT/Tender/SplashBidNoticeAbstractUI.aspx?menuIndex=3&amp;refID=7023062&amp;Result=3","7023062")</f>
        <v>0</v>
      </c>
      <c r="B10153" t="s">
        <v>520</v>
      </c>
      <c r="C10153" t="s">
        <v>12405</v>
      </c>
      <c r="D10153" t="s">
        <v>13051</v>
      </c>
      <c r="E10153" t="s">
        <v>14018</v>
      </c>
      <c r="F10153" t="s">
        <v>22436</v>
      </c>
      <c r="G10153" t="s">
        <v>22444</v>
      </c>
      <c r="H10153" t="s">
        <v>22454</v>
      </c>
      <c r="I10153" t="s">
        <v>7738</v>
      </c>
      <c r="J10153" t="s">
        <v>22779</v>
      </c>
      <c r="K10153" t="s">
        <v>29334</v>
      </c>
      <c r="M10153" t="s">
        <v>30104</v>
      </c>
      <c r="N10153" t="s">
        <v>32524</v>
      </c>
      <c r="O10153" t="s">
        <v>32525</v>
      </c>
      <c r="P10153">
        <v>0</v>
      </c>
      <c r="Q10153">
        <v>1</v>
      </c>
      <c r="R10153" t="s">
        <v>32539</v>
      </c>
      <c r="S10153" t="s">
        <v>33010</v>
      </c>
      <c r="T10153" t="s">
        <v>33203</v>
      </c>
      <c r="U10153" t="s">
        <v>41972</v>
      </c>
      <c r="W10153" t="s">
        <v>30104</v>
      </c>
      <c r="X10153" t="s">
        <v>32540</v>
      </c>
    </row>
    <row r="10154" spans="1:24">
      <c r="A10154">
        <f>HYPERLINK("https://www.philgeps.gov.ph/GEPSNONPILOT/Tender/SplashBidNoticeAbstractUI.aspx?menuIndex=3&amp;refID=7023183&amp;Result=3","7023183")</f>
        <v>0</v>
      </c>
      <c r="B10154" t="s">
        <v>1518</v>
      </c>
      <c r="C10154" t="s">
        <v>12406</v>
      </c>
      <c r="E10154" t="s">
        <v>21917</v>
      </c>
      <c r="F10154" t="s">
        <v>22436</v>
      </c>
      <c r="G10154" t="s">
        <v>22444</v>
      </c>
      <c r="H10154" t="s">
        <v>22452</v>
      </c>
      <c r="I10154" t="s">
        <v>22459</v>
      </c>
      <c r="J10154" t="s">
        <v>28993</v>
      </c>
      <c r="K10154" t="s">
        <v>29338</v>
      </c>
      <c r="M10154" t="s">
        <v>31193</v>
      </c>
      <c r="N10154" t="s">
        <v>32524</v>
      </c>
      <c r="O10154" t="s">
        <v>32525</v>
      </c>
      <c r="Q10154">
        <v>6</v>
      </c>
      <c r="R10154" t="s">
        <v>32539</v>
      </c>
      <c r="S10154" t="s">
        <v>33053</v>
      </c>
      <c r="T10154" t="s">
        <v>33400</v>
      </c>
      <c r="U10154" t="s">
        <v>35810</v>
      </c>
      <c r="W10154" t="s">
        <v>31193</v>
      </c>
      <c r="X10154" t="s">
        <v>32540</v>
      </c>
    </row>
    <row r="10155" spans="1:24">
      <c r="A10155">
        <f>HYPERLINK("https://www.philgeps.gov.ph/GEPSNONPILOT/Tender/SplashBidNoticeAbstractUI.aspx?menuIndex=3&amp;refID=7023176&amp;Result=3","7023176")</f>
        <v>0</v>
      </c>
      <c r="B10155" t="s">
        <v>2623</v>
      </c>
      <c r="C10155" t="s">
        <v>12407</v>
      </c>
      <c r="D10155" t="s">
        <v>12994</v>
      </c>
      <c r="E10155" t="s">
        <v>21918</v>
      </c>
      <c r="F10155" t="s">
        <v>22436</v>
      </c>
      <c r="G10155" t="s">
        <v>22444</v>
      </c>
      <c r="H10155" t="s">
        <v>22454</v>
      </c>
      <c r="I10155" t="s">
        <v>7738</v>
      </c>
      <c r="J10155" t="s">
        <v>22624</v>
      </c>
      <c r="K10155" t="s">
        <v>29333</v>
      </c>
      <c r="M10155" t="s">
        <v>32449</v>
      </c>
      <c r="N10155" t="s">
        <v>32524</v>
      </c>
      <c r="O10155" t="s">
        <v>32525</v>
      </c>
      <c r="P10155">
        <v>0</v>
      </c>
      <c r="Q10155">
        <v>27</v>
      </c>
      <c r="R10155" t="s">
        <v>32539</v>
      </c>
      <c r="S10155" t="s">
        <v>33010</v>
      </c>
      <c r="T10155" t="s">
        <v>33167</v>
      </c>
      <c r="U10155" t="s">
        <v>41973</v>
      </c>
      <c r="V10155" t="s">
        <v>43608</v>
      </c>
      <c r="W10155" t="s">
        <v>32449</v>
      </c>
      <c r="X10155" t="s">
        <v>32540</v>
      </c>
    </row>
    <row r="10156" spans="1:24">
      <c r="A10156">
        <f>HYPERLINK("https://www.philgeps.gov.ph/GEPSNONPILOT/Tender/SplashBidNoticeAbstractUI.aspx?menuIndex=3&amp;refID=7023109&amp;Result=3","7023109")</f>
        <v>0</v>
      </c>
      <c r="B10156" t="s">
        <v>2327</v>
      </c>
      <c r="C10156" t="s">
        <v>12408</v>
      </c>
      <c r="D10156" t="s">
        <v>13054</v>
      </c>
      <c r="E10156" t="s">
        <v>20778</v>
      </c>
      <c r="F10156" t="s">
        <v>22436</v>
      </c>
      <c r="G10156" t="s">
        <v>22444</v>
      </c>
      <c r="H10156" t="s">
        <v>22454</v>
      </c>
      <c r="I10156" t="s">
        <v>7738</v>
      </c>
      <c r="J10156" t="s">
        <v>22779</v>
      </c>
      <c r="K10156" t="s">
        <v>29338</v>
      </c>
      <c r="M10156" t="s">
        <v>32104</v>
      </c>
      <c r="N10156" t="s">
        <v>32524</v>
      </c>
      <c r="O10156" t="s">
        <v>32525</v>
      </c>
      <c r="P10156">
        <v>0</v>
      </c>
      <c r="Q10156">
        <v>0</v>
      </c>
      <c r="R10156" t="s">
        <v>32539</v>
      </c>
      <c r="S10156" t="s">
        <v>33010</v>
      </c>
      <c r="T10156" t="s">
        <v>33181</v>
      </c>
      <c r="U10156" t="s">
        <v>41974</v>
      </c>
      <c r="V10156" t="s">
        <v>43607</v>
      </c>
      <c r="W10156" t="s">
        <v>32104</v>
      </c>
      <c r="X10156" t="s">
        <v>32540</v>
      </c>
    </row>
    <row r="10157" spans="1:24">
      <c r="A10157">
        <f>HYPERLINK("https://www.philgeps.gov.ph/GEPSNONPILOT/Tender/SplashBidNoticeAbstractUI.aspx?menuIndex=3&amp;refID=7023192&amp;Result=3","7023192")</f>
        <v>0</v>
      </c>
      <c r="B10157" t="s">
        <v>398</v>
      </c>
      <c r="C10157" t="s">
        <v>12409</v>
      </c>
      <c r="D10157" t="s">
        <v>13018</v>
      </c>
      <c r="E10157" t="s">
        <v>21919</v>
      </c>
      <c r="F10157" t="s">
        <v>22436</v>
      </c>
      <c r="G10157" t="s">
        <v>22444</v>
      </c>
      <c r="H10157" t="s">
        <v>22454</v>
      </c>
      <c r="I10157" t="s">
        <v>7738</v>
      </c>
      <c r="J10157" t="s">
        <v>28994</v>
      </c>
      <c r="K10157" t="s">
        <v>29347</v>
      </c>
      <c r="M10157" t="s">
        <v>29977</v>
      </c>
      <c r="N10157" t="s">
        <v>32524</v>
      </c>
      <c r="O10157" t="s">
        <v>32525</v>
      </c>
      <c r="P10157">
        <v>0</v>
      </c>
      <c r="Q10157">
        <v>0</v>
      </c>
      <c r="R10157" t="s">
        <v>32539</v>
      </c>
      <c r="S10157" t="s">
        <v>33010</v>
      </c>
      <c r="T10157" t="s">
        <v>33241</v>
      </c>
      <c r="U10157" t="s">
        <v>41975</v>
      </c>
      <c r="W10157" t="s">
        <v>29977</v>
      </c>
      <c r="X10157" t="s">
        <v>32540</v>
      </c>
    </row>
    <row r="10158" spans="1:24">
      <c r="A10158">
        <f>HYPERLINK("https://www.philgeps.gov.ph/GEPSNONPILOT/Tender/SplashBidNoticeAbstractUI.aspx?menuIndex=3&amp;refID=7023200&amp;Result=3","7023200")</f>
        <v>0</v>
      </c>
      <c r="B10158" t="s">
        <v>2284</v>
      </c>
      <c r="C10158" t="s">
        <v>12410</v>
      </c>
      <c r="D10158" t="s">
        <v>12988</v>
      </c>
      <c r="E10158" t="s">
        <v>21920</v>
      </c>
      <c r="F10158" t="s">
        <v>22436</v>
      </c>
      <c r="G10158" t="s">
        <v>22444</v>
      </c>
      <c r="H10158" t="s">
        <v>22452</v>
      </c>
      <c r="I10158" t="s">
        <v>22463</v>
      </c>
      <c r="J10158" t="s">
        <v>28995</v>
      </c>
      <c r="K10158" t="s">
        <v>29338</v>
      </c>
      <c r="M10158" t="s">
        <v>32055</v>
      </c>
      <c r="N10158" t="s">
        <v>32524</v>
      </c>
      <c r="O10158" t="s">
        <v>32525</v>
      </c>
      <c r="P10158">
        <v>0</v>
      </c>
      <c r="Q10158">
        <v>8</v>
      </c>
      <c r="R10158" t="s">
        <v>32539</v>
      </c>
      <c r="S10158" t="s">
        <v>33010</v>
      </c>
      <c r="T10158" t="s">
        <v>33252</v>
      </c>
      <c r="U10158" t="s">
        <v>41976</v>
      </c>
      <c r="W10158" t="s">
        <v>32055</v>
      </c>
      <c r="X10158" t="s">
        <v>32540</v>
      </c>
    </row>
    <row r="10159" spans="1:24">
      <c r="A10159">
        <f>HYPERLINK("https://www.philgeps.gov.ph/GEPSNONPILOT/Tender/SplashBidNoticeAbstractUI.aspx?menuIndex=3&amp;refID=7023260&amp;Result=3","7023260")</f>
        <v>0</v>
      </c>
      <c r="B10159" t="s">
        <v>1168</v>
      </c>
      <c r="C10159" t="s">
        <v>12411</v>
      </c>
      <c r="D10159" t="s">
        <v>13065</v>
      </c>
      <c r="E10159" t="s">
        <v>21921</v>
      </c>
      <c r="F10159" t="s">
        <v>22436</v>
      </c>
      <c r="G10159" t="s">
        <v>22444</v>
      </c>
      <c r="H10159" t="s">
        <v>22454</v>
      </c>
      <c r="I10159" t="s">
        <v>7738</v>
      </c>
      <c r="J10159" t="s">
        <v>28996</v>
      </c>
      <c r="K10159" t="s">
        <v>29401</v>
      </c>
      <c r="M10159" t="s">
        <v>30814</v>
      </c>
      <c r="N10159" t="s">
        <v>32524</v>
      </c>
      <c r="O10159" t="s">
        <v>32525</v>
      </c>
      <c r="Q10159">
        <v>3</v>
      </c>
      <c r="R10159" t="s">
        <v>32539</v>
      </c>
      <c r="S10159" t="s">
        <v>33054</v>
      </c>
      <c r="T10159" t="s">
        <v>33230</v>
      </c>
      <c r="U10159" t="s">
        <v>41977</v>
      </c>
      <c r="W10159" t="s">
        <v>30814</v>
      </c>
      <c r="X10159" t="s">
        <v>32540</v>
      </c>
    </row>
    <row r="10160" spans="1:24">
      <c r="A10160">
        <f>HYPERLINK("https://www.philgeps.gov.ph/GEPSNONPILOT/Tender/SplashBidNoticeAbstractUI.aspx?menuIndex=3&amp;refID=7023281&amp;Result=3","7023281")</f>
        <v>0</v>
      </c>
      <c r="B10160" t="s">
        <v>128</v>
      </c>
      <c r="C10160" t="s">
        <v>12412</v>
      </c>
      <c r="D10160" t="s">
        <v>13025</v>
      </c>
      <c r="E10160" t="s">
        <v>21922</v>
      </c>
      <c r="F10160" t="s">
        <v>22436</v>
      </c>
      <c r="G10160" t="s">
        <v>22444</v>
      </c>
      <c r="H10160" t="s">
        <v>22452</v>
      </c>
      <c r="I10160" t="s">
        <v>22540</v>
      </c>
      <c r="J10160" t="s">
        <v>22877</v>
      </c>
      <c r="K10160" t="s">
        <v>29338</v>
      </c>
      <c r="M10160" t="s">
        <v>31346</v>
      </c>
      <c r="N10160" t="s">
        <v>32524</v>
      </c>
      <c r="O10160" t="s">
        <v>32525</v>
      </c>
      <c r="Q10160">
        <v>6</v>
      </c>
      <c r="R10160" t="s">
        <v>32539</v>
      </c>
      <c r="S10160" t="s">
        <v>33055</v>
      </c>
      <c r="T10160" t="s">
        <v>33181</v>
      </c>
      <c r="U10160" t="s">
        <v>41978</v>
      </c>
      <c r="W10160" t="s">
        <v>31346</v>
      </c>
      <c r="X10160" t="s">
        <v>32540</v>
      </c>
    </row>
    <row r="10161" spans="1:24">
      <c r="A10161">
        <f>HYPERLINK("https://www.philgeps.gov.ph/GEPSNONPILOT/Tender/SplashBidNoticeAbstractUI.aspx?menuIndex=3&amp;refID=7023226&amp;Result=3","7023226")</f>
        <v>0</v>
      </c>
      <c r="B10161" t="s">
        <v>520</v>
      </c>
      <c r="C10161" t="s">
        <v>12413</v>
      </c>
      <c r="D10161" t="s">
        <v>13051</v>
      </c>
      <c r="E10161" t="s">
        <v>13320</v>
      </c>
      <c r="F10161" t="s">
        <v>22436</v>
      </c>
      <c r="G10161" t="s">
        <v>22444</v>
      </c>
      <c r="H10161" t="s">
        <v>22454</v>
      </c>
      <c r="I10161" t="s">
        <v>7738</v>
      </c>
      <c r="J10161" t="s">
        <v>22634</v>
      </c>
      <c r="K10161" t="s">
        <v>29388</v>
      </c>
      <c r="M10161" t="s">
        <v>30104</v>
      </c>
      <c r="N10161" t="s">
        <v>32524</v>
      </c>
      <c r="O10161" t="s">
        <v>32525</v>
      </c>
      <c r="P10161">
        <v>0</v>
      </c>
      <c r="Q10161">
        <v>1</v>
      </c>
      <c r="R10161" t="s">
        <v>32539</v>
      </c>
      <c r="S10161" t="s">
        <v>33010</v>
      </c>
      <c r="T10161" t="s">
        <v>33203</v>
      </c>
      <c r="U10161" t="s">
        <v>41979</v>
      </c>
      <c r="W10161" t="s">
        <v>30104</v>
      </c>
      <c r="X10161" t="s">
        <v>32540</v>
      </c>
    </row>
    <row r="10162" spans="1:24">
      <c r="A10162">
        <f>HYPERLINK("https://www.philgeps.gov.ph/GEPSNONPILOT/Tender/SplashBidNoticeAbstractUI.aspx?menuIndex=3&amp;refID=7023252&amp;Result=3","7023252")</f>
        <v>0</v>
      </c>
      <c r="B10162" t="s">
        <v>520</v>
      </c>
      <c r="C10162" t="s">
        <v>12414</v>
      </c>
      <c r="D10162" t="s">
        <v>13051</v>
      </c>
      <c r="E10162" t="s">
        <v>14329</v>
      </c>
      <c r="F10162" t="s">
        <v>22436</v>
      </c>
      <c r="G10162" t="s">
        <v>22444</v>
      </c>
      <c r="H10162" t="s">
        <v>22454</v>
      </c>
      <c r="I10162" t="s">
        <v>7738</v>
      </c>
      <c r="J10162" t="s">
        <v>22779</v>
      </c>
      <c r="K10162" t="s">
        <v>29334</v>
      </c>
      <c r="M10162" t="s">
        <v>30104</v>
      </c>
      <c r="N10162" t="s">
        <v>32524</v>
      </c>
      <c r="O10162" t="s">
        <v>32525</v>
      </c>
      <c r="P10162">
        <v>0</v>
      </c>
      <c r="Q10162">
        <v>1</v>
      </c>
      <c r="R10162" t="s">
        <v>32539</v>
      </c>
      <c r="S10162" t="s">
        <v>33010</v>
      </c>
      <c r="T10162" t="s">
        <v>33203</v>
      </c>
      <c r="U10162" t="s">
        <v>41980</v>
      </c>
      <c r="W10162" t="s">
        <v>30104</v>
      </c>
      <c r="X10162" t="s">
        <v>32540</v>
      </c>
    </row>
    <row r="10163" spans="1:24">
      <c r="A10163">
        <f>HYPERLINK("https://www.philgeps.gov.ph/GEPSNONPILOT/Tender/SplashBidNoticeAbstractUI.aspx?menuIndex=3&amp;refID=7023284&amp;Result=3","7023284")</f>
        <v>0</v>
      </c>
      <c r="B10163" t="s">
        <v>520</v>
      </c>
      <c r="C10163" t="s">
        <v>12415</v>
      </c>
      <c r="D10163" t="s">
        <v>13051</v>
      </c>
      <c r="E10163" t="s">
        <v>13092</v>
      </c>
      <c r="F10163" t="s">
        <v>22436</v>
      </c>
      <c r="G10163" t="s">
        <v>22444</v>
      </c>
      <c r="H10163" t="s">
        <v>22454</v>
      </c>
      <c r="I10163" t="s">
        <v>7738</v>
      </c>
      <c r="J10163" t="s">
        <v>22877</v>
      </c>
      <c r="K10163" t="s">
        <v>29344</v>
      </c>
      <c r="M10163" t="s">
        <v>30104</v>
      </c>
      <c r="N10163" t="s">
        <v>32524</v>
      </c>
      <c r="O10163" t="s">
        <v>32525</v>
      </c>
      <c r="P10163">
        <v>0</v>
      </c>
      <c r="Q10163">
        <v>2</v>
      </c>
      <c r="R10163" t="s">
        <v>32539</v>
      </c>
      <c r="S10163" t="s">
        <v>33010</v>
      </c>
      <c r="T10163" t="s">
        <v>33203</v>
      </c>
      <c r="U10163" t="s">
        <v>41981</v>
      </c>
      <c r="W10163" t="s">
        <v>30104</v>
      </c>
      <c r="X10163" t="s">
        <v>32540</v>
      </c>
    </row>
    <row r="10164" spans="1:24">
      <c r="A10164">
        <f>HYPERLINK("https://www.philgeps.gov.ph/GEPSNONPILOT/Tender/SplashBidNoticeAbstractUI.aspx?menuIndex=3&amp;refID=7023209&amp;Result=3","7023209")</f>
        <v>0</v>
      </c>
      <c r="B10164" t="s">
        <v>1471</v>
      </c>
      <c r="C10164" t="s">
        <v>12416</v>
      </c>
      <c r="D10164" t="s">
        <v>13039</v>
      </c>
      <c r="E10164" t="s">
        <v>21923</v>
      </c>
      <c r="F10164" t="s">
        <v>22436</v>
      </c>
      <c r="G10164" t="s">
        <v>22444</v>
      </c>
      <c r="H10164" t="s">
        <v>22452</v>
      </c>
      <c r="I10164" t="s">
        <v>3529</v>
      </c>
      <c r="J10164" t="s">
        <v>28997</v>
      </c>
      <c r="K10164" t="s">
        <v>29335</v>
      </c>
      <c r="M10164" t="s">
        <v>31140</v>
      </c>
      <c r="N10164" t="s">
        <v>32524</v>
      </c>
      <c r="O10164" t="s">
        <v>32525</v>
      </c>
      <c r="P10164">
        <v>0</v>
      </c>
      <c r="Q10164">
        <v>0</v>
      </c>
      <c r="R10164" t="s">
        <v>32539</v>
      </c>
      <c r="S10164" t="s">
        <v>33010</v>
      </c>
      <c r="T10164" t="s">
        <v>33302</v>
      </c>
      <c r="U10164" t="s">
        <v>41982</v>
      </c>
      <c r="W10164" t="s">
        <v>31140</v>
      </c>
      <c r="X10164" t="s">
        <v>32540</v>
      </c>
    </row>
    <row r="10165" spans="1:24">
      <c r="A10165">
        <f>HYPERLINK("https://www.philgeps.gov.ph/GEPSNONPILOT/Tender/SplashBidNoticeAbstractUI.aspx?menuIndex=3&amp;refID=7023217&amp;Result=3","7023217")</f>
        <v>0</v>
      </c>
      <c r="B10165" t="s">
        <v>128</v>
      </c>
      <c r="C10165" t="s">
        <v>12417</v>
      </c>
      <c r="D10165" t="s">
        <v>13025</v>
      </c>
      <c r="E10165" t="s">
        <v>21924</v>
      </c>
      <c r="F10165" t="s">
        <v>22436</v>
      </c>
      <c r="G10165" t="s">
        <v>22444</v>
      </c>
      <c r="H10165" t="s">
        <v>22452</v>
      </c>
      <c r="I10165" t="s">
        <v>22474</v>
      </c>
      <c r="J10165" t="s">
        <v>22747</v>
      </c>
      <c r="K10165" t="s">
        <v>29331</v>
      </c>
      <c r="M10165" t="s">
        <v>29700</v>
      </c>
      <c r="N10165" t="s">
        <v>32524</v>
      </c>
      <c r="O10165" t="s">
        <v>32525</v>
      </c>
      <c r="Q10165">
        <v>0</v>
      </c>
      <c r="R10165" t="s">
        <v>32539</v>
      </c>
      <c r="S10165" t="s">
        <v>33056</v>
      </c>
      <c r="T10165" t="s">
        <v>33181</v>
      </c>
      <c r="U10165" t="s">
        <v>41983</v>
      </c>
      <c r="W10165" t="s">
        <v>29700</v>
      </c>
      <c r="X10165" t="s">
        <v>32540</v>
      </c>
    </row>
    <row r="10166" spans="1:24">
      <c r="A10166">
        <f>HYPERLINK("https://www.philgeps.gov.ph/GEPSNONPILOT/Tender/SplashBidNoticeAbstractUI.aspx?menuIndex=3&amp;refID=7023264&amp;Result=3","7023264")</f>
        <v>0</v>
      </c>
      <c r="B10166" t="s">
        <v>2517</v>
      </c>
      <c r="C10166" t="s">
        <v>12418</v>
      </c>
      <c r="D10166" t="s">
        <v>12991</v>
      </c>
      <c r="E10166" t="s">
        <v>21889</v>
      </c>
      <c r="F10166" t="s">
        <v>22436</v>
      </c>
      <c r="G10166" t="s">
        <v>22444</v>
      </c>
      <c r="H10166" t="s">
        <v>22452</v>
      </c>
      <c r="I10166" t="s">
        <v>3358</v>
      </c>
      <c r="J10166" t="s">
        <v>25635</v>
      </c>
      <c r="K10166" t="s">
        <v>29336</v>
      </c>
      <c r="M10166" t="s">
        <v>32324</v>
      </c>
      <c r="N10166" t="s">
        <v>32524</v>
      </c>
      <c r="O10166" t="s">
        <v>32525</v>
      </c>
      <c r="P10166">
        <v>0</v>
      </c>
      <c r="Q10166">
        <v>1</v>
      </c>
      <c r="R10166" t="s">
        <v>32539</v>
      </c>
      <c r="S10166" t="s">
        <v>33010</v>
      </c>
      <c r="T10166" t="s">
        <v>33487</v>
      </c>
      <c r="U10166" t="s">
        <v>41946</v>
      </c>
      <c r="W10166" t="s">
        <v>32324</v>
      </c>
      <c r="X10166" t="s">
        <v>32540</v>
      </c>
    </row>
    <row r="10167" spans="1:24">
      <c r="A10167">
        <f>HYPERLINK("https://www.philgeps.gov.ph/GEPSNONPILOT/Tender/SplashBidNoticeAbstractUI.aspx?menuIndex=3&amp;refID=7023265&amp;Result=3","7023265")</f>
        <v>0</v>
      </c>
      <c r="B10167" t="s">
        <v>180</v>
      </c>
      <c r="C10167" t="s">
        <v>12419</v>
      </c>
      <c r="D10167" t="s">
        <v>13026</v>
      </c>
      <c r="E10167" t="s">
        <v>21925</v>
      </c>
      <c r="F10167" t="s">
        <v>22436</v>
      </c>
      <c r="G10167" t="s">
        <v>22444</v>
      </c>
      <c r="H10167" t="s">
        <v>22454</v>
      </c>
      <c r="I10167" t="s">
        <v>7738</v>
      </c>
      <c r="J10167" t="s">
        <v>22960</v>
      </c>
      <c r="K10167" t="s">
        <v>29329</v>
      </c>
      <c r="M10167" t="s">
        <v>32450</v>
      </c>
      <c r="N10167" t="s">
        <v>32524</v>
      </c>
      <c r="O10167" t="s">
        <v>32525</v>
      </c>
      <c r="P10167">
        <v>0</v>
      </c>
      <c r="Q10167">
        <v>0</v>
      </c>
      <c r="R10167" t="s">
        <v>32539</v>
      </c>
      <c r="S10167" t="s">
        <v>33010</v>
      </c>
      <c r="T10167" t="s">
        <v>33211</v>
      </c>
      <c r="U10167" t="s">
        <v>41984</v>
      </c>
      <c r="W10167" t="s">
        <v>32450</v>
      </c>
      <c r="X10167" t="s">
        <v>32540</v>
      </c>
    </row>
    <row r="10168" spans="1:24">
      <c r="A10168">
        <f>HYPERLINK("https://www.philgeps.gov.ph/GEPSNONPILOT/Tender/SplashBidNoticeAbstractUI.aspx?menuIndex=3&amp;refID=7023210&amp;Result=3","7023210")</f>
        <v>0</v>
      </c>
      <c r="B10168" t="s">
        <v>121</v>
      </c>
      <c r="C10168" t="s">
        <v>12420</v>
      </c>
      <c r="D10168" t="s">
        <v>13034</v>
      </c>
      <c r="E10168" t="s">
        <v>21926</v>
      </c>
      <c r="F10168" t="s">
        <v>22436</v>
      </c>
      <c r="G10168" t="s">
        <v>22444</v>
      </c>
      <c r="H10168" t="s">
        <v>22452</v>
      </c>
      <c r="I10168" t="s">
        <v>22554</v>
      </c>
      <c r="J10168" t="s">
        <v>28998</v>
      </c>
      <c r="K10168" t="s">
        <v>29341</v>
      </c>
      <c r="M10168" t="s">
        <v>32216</v>
      </c>
      <c r="N10168" t="s">
        <v>32524</v>
      </c>
      <c r="O10168" t="s">
        <v>32525</v>
      </c>
      <c r="P10168">
        <v>0</v>
      </c>
      <c r="Q10168">
        <v>1</v>
      </c>
      <c r="R10168" t="s">
        <v>32539</v>
      </c>
      <c r="S10168" t="s">
        <v>33010</v>
      </c>
      <c r="T10168" t="s">
        <v>33302</v>
      </c>
      <c r="U10168" t="s">
        <v>41985</v>
      </c>
      <c r="W10168" t="s">
        <v>32216</v>
      </c>
      <c r="X10168" t="s">
        <v>32540</v>
      </c>
    </row>
    <row r="10169" spans="1:24">
      <c r="A10169">
        <f>HYPERLINK("https://www.philgeps.gov.ph/GEPSNONPILOT/Tender/SplashBidNoticeAbstractUI.aspx?menuIndex=3&amp;refID=7023313&amp;Result=3","7023313")</f>
        <v>0</v>
      </c>
      <c r="B10169" t="s">
        <v>1791</v>
      </c>
      <c r="C10169" t="s">
        <v>12421</v>
      </c>
      <c r="D10169" t="s">
        <v>13065</v>
      </c>
      <c r="E10169" t="s">
        <v>21927</v>
      </c>
      <c r="F10169" t="s">
        <v>22436</v>
      </c>
      <c r="G10169" t="s">
        <v>22444</v>
      </c>
      <c r="H10169" t="s">
        <v>22454</v>
      </c>
      <c r="I10169" t="s">
        <v>7738</v>
      </c>
      <c r="J10169" t="s">
        <v>28999</v>
      </c>
      <c r="K10169" t="s">
        <v>29335</v>
      </c>
      <c r="M10169" t="s">
        <v>31502</v>
      </c>
      <c r="N10169" t="s">
        <v>32524</v>
      </c>
      <c r="O10169" t="s">
        <v>32525</v>
      </c>
      <c r="P10169">
        <v>0</v>
      </c>
      <c r="Q10169">
        <v>0</v>
      </c>
      <c r="R10169" t="s">
        <v>32539</v>
      </c>
      <c r="S10169" t="s">
        <v>33010</v>
      </c>
      <c r="T10169" t="s">
        <v>33181</v>
      </c>
      <c r="U10169" t="s">
        <v>41986</v>
      </c>
      <c r="V10169" t="s">
        <v>43018</v>
      </c>
      <c r="W10169" t="s">
        <v>31502</v>
      </c>
      <c r="X10169" t="s">
        <v>32540</v>
      </c>
    </row>
    <row r="10170" spans="1:24">
      <c r="A10170">
        <f>HYPERLINK("https://www.philgeps.gov.ph/GEPSNONPILOT/Tender/SplashBidNoticeAbstractUI.aspx?menuIndex=3&amp;refID=7023285&amp;Result=3","7023285")</f>
        <v>0</v>
      </c>
      <c r="B10170" t="s">
        <v>1027</v>
      </c>
      <c r="C10170" t="s">
        <v>12422</v>
      </c>
      <c r="D10170" t="s">
        <v>13039</v>
      </c>
      <c r="E10170" t="s">
        <v>21928</v>
      </c>
      <c r="F10170" t="s">
        <v>22436</v>
      </c>
      <c r="G10170" t="s">
        <v>22444</v>
      </c>
      <c r="H10170" t="s">
        <v>22452</v>
      </c>
      <c r="I10170" t="s">
        <v>22457</v>
      </c>
      <c r="J10170" t="s">
        <v>29000</v>
      </c>
      <c r="K10170" t="s">
        <v>29338</v>
      </c>
      <c r="M10170" t="s">
        <v>30656</v>
      </c>
      <c r="N10170" t="s">
        <v>32524</v>
      </c>
      <c r="O10170" t="s">
        <v>32525</v>
      </c>
      <c r="Q10170">
        <v>3</v>
      </c>
      <c r="R10170" t="s">
        <v>32539</v>
      </c>
      <c r="S10170" t="s">
        <v>33057</v>
      </c>
      <c r="T10170" t="s">
        <v>33241</v>
      </c>
      <c r="U10170" t="s">
        <v>41987</v>
      </c>
      <c r="W10170" t="s">
        <v>30656</v>
      </c>
      <c r="X10170" t="s">
        <v>32540</v>
      </c>
    </row>
    <row r="10171" spans="1:24">
      <c r="A10171">
        <f>HYPERLINK("https://www.philgeps.gov.ph/GEPSNONPILOT/Tender/SplashBidNoticeAbstractUI.aspx?menuIndex=3&amp;refID=7023195&amp;Result=3","7023195")</f>
        <v>0</v>
      </c>
      <c r="B10171" t="s">
        <v>2420</v>
      </c>
      <c r="C10171" t="s">
        <v>12423</v>
      </c>
      <c r="E10171" t="s">
        <v>21929</v>
      </c>
      <c r="F10171" t="s">
        <v>22436</v>
      </c>
      <c r="G10171" t="s">
        <v>22444</v>
      </c>
      <c r="H10171" t="s">
        <v>22454</v>
      </c>
      <c r="I10171" t="s">
        <v>7738</v>
      </c>
      <c r="J10171" t="s">
        <v>29001</v>
      </c>
      <c r="K10171" t="s">
        <v>29334</v>
      </c>
      <c r="M10171" t="s">
        <v>32451</v>
      </c>
      <c r="N10171" t="s">
        <v>32524</v>
      </c>
      <c r="O10171" t="s">
        <v>32525</v>
      </c>
      <c r="P10171">
        <v>0</v>
      </c>
      <c r="Q10171">
        <v>0</v>
      </c>
      <c r="R10171" t="s">
        <v>32539</v>
      </c>
      <c r="S10171" t="s">
        <v>33010</v>
      </c>
      <c r="T10171" t="s">
        <v>33181</v>
      </c>
      <c r="U10171" t="s">
        <v>41988</v>
      </c>
      <c r="V10171" t="s">
        <v>43609</v>
      </c>
      <c r="W10171" t="s">
        <v>32451</v>
      </c>
      <c r="X10171" t="s">
        <v>32540</v>
      </c>
    </row>
    <row r="10172" spans="1:24">
      <c r="A10172">
        <f>HYPERLINK("https://www.philgeps.gov.ph/GEPSNONPILOT/Tender/SplashBidNoticeAbstractUI.aspx?menuIndex=3&amp;refID=7023298&amp;Result=3","7023298")</f>
        <v>0</v>
      </c>
      <c r="B10172" t="s">
        <v>2624</v>
      </c>
      <c r="C10172" t="s">
        <v>12424</v>
      </c>
      <c r="E10172" t="s">
        <v>13137</v>
      </c>
      <c r="F10172" t="s">
        <v>22436</v>
      </c>
      <c r="G10172" t="s">
        <v>22444</v>
      </c>
      <c r="H10172" t="s">
        <v>22454</v>
      </c>
      <c r="I10172" t="s">
        <v>6387</v>
      </c>
      <c r="J10172" t="s">
        <v>22957</v>
      </c>
      <c r="K10172" t="s">
        <v>29338</v>
      </c>
      <c r="M10172" t="s">
        <v>32452</v>
      </c>
      <c r="N10172" t="s">
        <v>32524</v>
      </c>
      <c r="O10172" t="s">
        <v>32525</v>
      </c>
      <c r="P10172">
        <v>0</v>
      </c>
      <c r="Q10172">
        <v>0</v>
      </c>
      <c r="R10172" t="s">
        <v>32539</v>
      </c>
      <c r="S10172" t="s">
        <v>33010</v>
      </c>
      <c r="T10172" t="s">
        <v>33310</v>
      </c>
      <c r="U10172" t="s">
        <v>41989</v>
      </c>
      <c r="W10172" t="s">
        <v>32452</v>
      </c>
      <c r="X10172" t="s">
        <v>32540</v>
      </c>
    </row>
    <row r="10173" spans="1:24">
      <c r="A10173">
        <f>HYPERLINK("https://www.philgeps.gov.ph/GEPSNONPILOT/Tender/SplashBidNoticeAbstractUI.aspx?menuIndex=3&amp;refID=7023289&amp;Result=3","7023289")</f>
        <v>0</v>
      </c>
      <c r="B10173" t="s">
        <v>121</v>
      </c>
      <c r="C10173" t="s">
        <v>12425</v>
      </c>
      <c r="D10173" t="s">
        <v>13034</v>
      </c>
      <c r="E10173" t="s">
        <v>21930</v>
      </c>
      <c r="F10173" t="s">
        <v>22436</v>
      </c>
      <c r="G10173" t="s">
        <v>22444</v>
      </c>
      <c r="H10173" t="s">
        <v>22452</v>
      </c>
      <c r="I10173" t="s">
        <v>22479</v>
      </c>
      <c r="J10173" t="s">
        <v>29002</v>
      </c>
      <c r="K10173" t="s">
        <v>29341</v>
      </c>
      <c r="M10173" t="s">
        <v>32216</v>
      </c>
      <c r="N10173" t="s">
        <v>32524</v>
      </c>
      <c r="O10173" t="s">
        <v>32525</v>
      </c>
      <c r="P10173">
        <v>0</v>
      </c>
      <c r="Q10173">
        <v>1</v>
      </c>
      <c r="R10173" t="s">
        <v>32539</v>
      </c>
      <c r="S10173" t="s">
        <v>33010</v>
      </c>
      <c r="T10173" t="s">
        <v>33302</v>
      </c>
      <c r="U10173" t="s">
        <v>41990</v>
      </c>
      <c r="W10173" t="s">
        <v>32216</v>
      </c>
      <c r="X10173" t="s">
        <v>32540</v>
      </c>
    </row>
    <row r="10174" spans="1:24">
      <c r="A10174">
        <f>HYPERLINK("https://www.philgeps.gov.ph/GEPSNONPILOT/Tender/SplashBidNoticeAbstractUI.aspx?menuIndex=3&amp;refID=7023292&amp;Result=3","7023292")</f>
        <v>0</v>
      </c>
      <c r="B10174" t="s">
        <v>2517</v>
      </c>
      <c r="C10174" t="s">
        <v>12426</v>
      </c>
      <c r="D10174" t="s">
        <v>12991</v>
      </c>
      <c r="E10174" t="s">
        <v>21889</v>
      </c>
      <c r="F10174" t="s">
        <v>22436</v>
      </c>
      <c r="G10174" t="s">
        <v>22444</v>
      </c>
      <c r="H10174" t="s">
        <v>22454</v>
      </c>
      <c r="I10174" t="s">
        <v>7738</v>
      </c>
      <c r="J10174" t="s">
        <v>22674</v>
      </c>
      <c r="K10174" t="s">
        <v>29336</v>
      </c>
      <c r="M10174" t="s">
        <v>32324</v>
      </c>
      <c r="N10174" t="s">
        <v>32524</v>
      </c>
      <c r="O10174" t="s">
        <v>32525</v>
      </c>
      <c r="P10174">
        <v>0</v>
      </c>
      <c r="Q10174">
        <v>1</v>
      </c>
      <c r="R10174" t="s">
        <v>32539</v>
      </c>
      <c r="S10174" t="s">
        <v>33010</v>
      </c>
      <c r="T10174" t="s">
        <v>33487</v>
      </c>
      <c r="U10174" t="s">
        <v>41946</v>
      </c>
      <c r="W10174" t="s">
        <v>32324</v>
      </c>
      <c r="X10174" t="s">
        <v>32540</v>
      </c>
    </row>
    <row r="10175" spans="1:24">
      <c r="A10175">
        <f>HYPERLINK("https://www.philgeps.gov.ph/GEPSNONPILOT/Tender/SplashBidNoticeAbstractUI.aspx?menuIndex=3&amp;refID=7023309&amp;Result=3","7023309")</f>
        <v>0</v>
      </c>
      <c r="B10175" t="s">
        <v>2625</v>
      </c>
      <c r="C10175" t="s">
        <v>12427</v>
      </c>
      <c r="D10175" t="s">
        <v>13040</v>
      </c>
      <c r="E10175" t="s">
        <v>21931</v>
      </c>
      <c r="F10175" t="s">
        <v>22436</v>
      </c>
      <c r="G10175" t="s">
        <v>22444</v>
      </c>
      <c r="H10175" t="s">
        <v>22454</v>
      </c>
      <c r="I10175" t="s">
        <v>7738</v>
      </c>
      <c r="J10175" t="s">
        <v>23387</v>
      </c>
      <c r="K10175" t="s">
        <v>29549</v>
      </c>
      <c r="M10175" t="s">
        <v>32453</v>
      </c>
      <c r="N10175" t="s">
        <v>32524</v>
      </c>
      <c r="O10175" t="s">
        <v>32525</v>
      </c>
      <c r="P10175">
        <v>0</v>
      </c>
      <c r="Q10175">
        <v>0</v>
      </c>
      <c r="R10175" t="s">
        <v>32539</v>
      </c>
      <c r="S10175" t="s">
        <v>33010</v>
      </c>
      <c r="T10175" t="s">
        <v>33288</v>
      </c>
      <c r="U10175" t="s">
        <v>41991</v>
      </c>
      <c r="W10175" t="s">
        <v>32453</v>
      </c>
      <c r="X10175" t="s">
        <v>32540</v>
      </c>
    </row>
    <row r="10176" spans="1:24">
      <c r="A10176">
        <f>HYPERLINK("https://www.philgeps.gov.ph/GEPSNONPILOT/Tender/SplashBidNoticeAbstractUI.aspx?menuIndex=3&amp;refID=7023288&amp;Result=3","7023288")</f>
        <v>0</v>
      </c>
      <c r="B10176" t="s">
        <v>2084</v>
      </c>
      <c r="C10176" t="s">
        <v>4853</v>
      </c>
      <c r="D10176" t="s">
        <v>13045</v>
      </c>
      <c r="E10176" t="s">
        <v>21932</v>
      </c>
      <c r="F10176" t="s">
        <v>22436</v>
      </c>
      <c r="G10176" t="s">
        <v>22444</v>
      </c>
      <c r="H10176" t="s">
        <v>22452</v>
      </c>
      <c r="I10176" t="s">
        <v>22456</v>
      </c>
      <c r="J10176" t="s">
        <v>22605</v>
      </c>
      <c r="K10176" t="s">
        <v>29341</v>
      </c>
      <c r="M10176" t="s">
        <v>31828</v>
      </c>
      <c r="N10176" t="s">
        <v>32524</v>
      </c>
      <c r="O10176" t="s">
        <v>32525</v>
      </c>
      <c r="P10176">
        <v>0</v>
      </c>
      <c r="Q10176">
        <v>3</v>
      </c>
      <c r="R10176" t="s">
        <v>32539</v>
      </c>
      <c r="S10176" t="s">
        <v>33010</v>
      </c>
      <c r="T10176" t="s">
        <v>33180</v>
      </c>
      <c r="U10176" t="s">
        <v>41992</v>
      </c>
      <c r="W10176" t="s">
        <v>31828</v>
      </c>
      <c r="X10176" t="s">
        <v>32540</v>
      </c>
    </row>
    <row r="10177" spans="1:24">
      <c r="A10177">
        <f>HYPERLINK("https://www.philgeps.gov.ph/GEPSNONPILOT/Tender/SplashBidNoticeAbstractUI.aspx?menuIndex=3&amp;refID=7023319&amp;Result=3","7023319")</f>
        <v>0</v>
      </c>
      <c r="B10177" t="s">
        <v>511</v>
      </c>
      <c r="C10177" t="s">
        <v>12428</v>
      </c>
      <c r="D10177" t="s">
        <v>13060</v>
      </c>
      <c r="E10177" t="s">
        <v>21933</v>
      </c>
      <c r="F10177" t="s">
        <v>22436</v>
      </c>
      <c r="G10177" t="s">
        <v>22444</v>
      </c>
      <c r="H10177" t="s">
        <v>22454</v>
      </c>
      <c r="I10177" t="s">
        <v>7738</v>
      </c>
      <c r="J10177" t="s">
        <v>29003</v>
      </c>
      <c r="K10177" t="s">
        <v>29511</v>
      </c>
      <c r="M10177" t="s">
        <v>31794</v>
      </c>
      <c r="N10177" t="s">
        <v>32524</v>
      </c>
      <c r="O10177" t="s">
        <v>32525</v>
      </c>
      <c r="P10177">
        <v>0</v>
      </c>
      <c r="Q10177">
        <v>4</v>
      </c>
      <c r="R10177" t="s">
        <v>32539</v>
      </c>
      <c r="S10177" t="s">
        <v>33010</v>
      </c>
      <c r="T10177" t="s">
        <v>33171</v>
      </c>
      <c r="U10177" t="s">
        <v>41993</v>
      </c>
      <c r="W10177" t="s">
        <v>31794</v>
      </c>
      <c r="X10177" t="s">
        <v>32540</v>
      </c>
    </row>
    <row r="10178" spans="1:24">
      <c r="A10178">
        <f>HYPERLINK("https://www.philgeps.gov.ph/GEPSNONPILOT/Tender/SplashBidNoticeAbstractUI.aspx?menuIndex=3&amp;refID=7023293&amp;Result=3","7023293")</f>
        <v>0</v>
      </c>
      <c r="B10178" t="s">
        <v>2507</v>
      </c>
      <c r="C10178" t="s">
        <v>12429</v>
      </c>
      <c r="D10178" t="s">
        <v>13024</v>
      </c>
      <c r="E10178" t="s">
        <v>21934</v>
      </c>
      <c r="F10178" t="s">
        <v>22436</v>
      </c>
      <c r="G10178" t="s">
        <v>22444</v>
      </c>
      <c r="H10178" t="s">
        <v>22452</v>
      </c>
      <c r="I10178" t="s">
        <v>22474</v>
      </c>
      <c r="J10178" t="s">
        <v>22587</v>
      </c>
      <c r="K10178" t="s">
        <v>29341</v>
      </c>
      <c r="M10178" t="s">
        <v>32314</v>
      </c>
      <c r="N10178" t="s">
        <v>32524</v>
      </c>
      <c r="O10178" t="s">
        <v>32525</v>
      </c>
      <c r="P10178">
        <v>0</v>
      </c>
      <c r="Q10178">
        <v>12</v>
      </c>
      <c r="R10178" t="s">
        <v>32539</v>
      </c>
      <c r="S10178" t="s">
        <v>33010</v>
      </c>
      <c r="T10178" t="s">
        <v>33155</v>
      </c>
      <c r="U10178" t="s">
        <v>41994</v>
      </c>
      <c r="W10178" t="s">
        <v>32314</v>
      </c>
      <c r="X10178" t="s">
        <v>32540</v>
      </c>
    </row>
    <row r="10179" spans="1:24">
      <c r="A10179">
        <f>HYPERLINK("https://www.philgeps.gov.ph/GEPSNONPILOT/Tender/SplashBidNoticeAbstractUI.aspx?menuIndex=3&amp;refID=7023346&amp;Result=3","7023346")</f>
        <v>0</v>
      </c>
      <c r="B10179" t="s">
        <v>514</v>
      </c>
      <c r="C10179" t="s">
        <v>12430</v>
      </c>
      <c r="D10179" t="s">
        <v>13002</v>
      </c>
      <c r="E10179" t="s">
        <v>21935</v>
      </c>
      <c r="F10179" t="s">
        <v>22436</v>
      </c>
      <c r="G10179" t="s">
        <v>22444</v>
      </c>
      <c r="H10179" t="s">
        <v>22454</v>
      </c>
      <c r="I10179" t="s">
        <v>3529</v>
      </c>
      <c r="J10179" t="s">
        <v>29004</v>
      </c>
      <c r="K10179" t="s">
        <v>29584</v>
      </c>
      <c r="M10179" t="s">
        <v>30098</v>
      </c>
      <c r="N10179" t="s">
        <v>32524</v>
      </c>
      <c r="O10179" t="s">
        <v>32525</v>
      </c>
      <c r="P10179">
        <v>0</v>
      </c>
      <c r="Q10179">
        <v>4</v>
      </c>
      <c r="R10179" t="s">
        <v>32539</v>
      </c>
      <c r="S10179" t="s">
        <v>33010</v>
      </c>
      <c r="T10179" t="s">
        <v>33423</v>
      </c>
      <c r="U10179" t="s">
        <v>41995</v>
      </c>
      <c r="W10179" t="s">
        <v>30098</v>
      </c>
      <c r="X10179" t="s">
        <v>32540</v>
      </c>
    </row>
    <row r="10180" spans="1:24">
      <c r="A10180">
        <f>HYPERLINK("https://www.philgeps.gov.ph/GEPSNONPILOT/Tender/SplashBidNoticeAbstractUI.aspx?menuIndex=3&amp;refID=7023402&amp;Result=3","7023402")</f>
        <v>0</v>
      </c>
      <c r="B10180" t="s">
        <v>449</v>
      </c>
      <c r="C10180" t="s">
        <v>12431</v>
      </c>
      <c r="D10180" t="s">
        <v>12999</v>
      </c>
      <c r="E10180" t="s">
        <v>21936</v>
      </c>
      <c r="F10180" t="s">
        <v>22436</v>
      </c>
      <c r="G10180" t="s">
        <v>22444</v>
      </c>
      <c r="H10180" t="s">
        <v>22454</v>
      </c>
      <c r="I10180" t="s">
        <v>7738</v>
      </c>
      <c r="J10180" t="s">
        <v>29005</v>
      </c>
      <c r="K10180" t="s">
        <v>29554</v>
      </c>
      <c r="M10180" t="s">
        <v>30031</v>
      </c>
      <c r="N10180" t="s">
        <v>32524</v>
      </c>
      <c r="O10180" t="s">
        <v>32525</v>
      </c>
      <c r="P10180">
        <v>0</v>
      </c>
      <c r="Q10180">
        <v>0</v>
      </c>
      <c r="R10180" t="s">
        <v>32539</v>
      </c>
      <c r="S10180" t="s">
        <v>33010</v>
      </c>
      <c r="T10180" t="s">
        <v>33230</v>
      </c>
      <c r="U10180" t="s">
        <v>41967</v>
      </c>
      <c r="W10180" t="s">
        <v>30031</v>
      </c>
      <c r="X10180" t="s">
        <v>32540</v>
      </c>
    </row>
    <row r="10181" spans="1:24">
      <c r="A10181">
        <f>HYPERLINK("https://www.philgeps.gov.ph/GEPSNONPILOT/Tender/SplashBidNoticeAbstractUI.aspx?menuIndex=3&amp;refID=7023368&amp;Result=3","7023368")</f>
        <v>0</v>
      </c>
      <c r="B10181" t="s">
        <v>2284</v>
      </c>
      <c r="C10181" t="s">
        <v>12432</v>
      </c>
      <c r="D10181" t="s">
        <v>12988</v>
      </c>
      <c r="E10181" t="s">
        <v>21937</v>
      </c>
      <c r="F10181" t="s">
        <v>22436</v>
      </c>
      <c r="G10181" t="s">
        <v>22444</v>
      </c>
      <c r="H10181" t="s">
        <v>22452</v>
      </c>
      <c r="I10181" t="s">
        <v>22474</v>
      </c>
      <c r="J10181" t="s">
        <v>25144</v>
      </c>
      <c r="K10181" t="s">
        <v>29338</v>
      </c>
      <c r="M10181" t="s">
        <v>32055</v>
      </c>
      <c r="N10181" t="s">
        <v>32524</v>
      </c>
      <c r="O10181" t="s">
        <v>32525</v>
      </c>
      <c r="P10181">
        <v>0</v>
      </c>
      <c r="Q10181">
        <v>11</v>
      </c>
      <c r="R10181" t="s">
        <v>32539</v>
      </c>
      <c r="S10181" t="s">
        <v>33010</v>
      </c>
      <c r="T10181" t="s">
        <v>33252</v>
      </c>
      <c r="U10181" t="s">
        <v>41996</v>
      </c>
      <c r="W10181" t="s">
        <v>32055</v>
      </c>
      <c r="X10181" t="s">
        <v>32540</v>
      </c>
    </row>
    <row r="10182" spans="1:24">
      <c r="A10182">
        <f>HYPERLINK("https://www.philgeps.gov.ph/GEPSNONPILOT/Tender/SplashBidNoticeAbstractUI.aspx?menuIndex=3&amp;refID=7023391&amp;Result=3","7023391")</f>
        <v>0</v>
      </c>
      <c r="B10182" t="s">
        <v>121</v>
      </c>
      <c r="C10182" t="s">
        <v>12433</v>
      </c>
      <c r="D10182" t="s">
        <v>13034</v>
      </c>
      <c r="E10182" t="s">
        <v>21938</v>
      </c>
      <c r="F10182" t="s">
        <v>22436</v>
      </c>
      <c r="G10182" t="s">
        <v>22444</v>
      </c>
      <c r="H10182" t="s">
        <v>22452</v>
      </c>
      <c r="I10182" t="s">
        <v>22474</v>
      </c>
      <c r="J10182" t="s">
        <v>22657</v>
      </c>
      <c r="K10182" t="s">
        <v>29341</v>
      </c>
      <c r="M10182" t="s">
        <v>32216</v>
      </c>
      <c r="N10182" t="s">
        <v>32524</v>
      </c>
      <c r="O10182" t="s">
        <v>32525</v>
      </c>
      <c r="P10182">
        <v>0</v>
      </c>
      <c r="Q10182">
        <v>0</v>
      </c>
      <c r="R10182" t="s">
        <v>32539</v>
      </c>
      <c r="S10182" t="s">
        <v>33010</v>
      </c>
      <c r="T10182" t="s">
        <v>33302</v>
      </c>
      <c r="U10182" t="s">
        <v>41997</v>
      </c>
      <c r="W10182" t="s">
        <v>32216</v>
      </c>
      <c r="X10182" t="s">
        <v>32540</v>
      </c>
    </row>
    <row r="10183" spans="1:24">
      <c r="A10183">
        <f>HYPERLINK("https://www.philgeps.gov.ph/GEPSNONPILOT/Tender/SplashBidNoticeAbstractUI.aspx?menuIndex=3&amp;refID=7023336&amp;Result=3","7023336")</f>
        <v>0</v>
      </c>
      <c r="B10183" t="s">
        <v>2625</v>
      </c>
      <c r="C10183" t="s">
        <v>12434</v>
      </c>
      <c r="D10183" t="s">
        <v>13040</v>
      </c>
      <c r="E10183" t="s">
        <v>21939</v>
      </c>
      <c r="F10183" t="s">
        <v>22436</v>
      </c>
      <c r="G10183" t="s">
        <v>22444</v>
      </c>
      <c r="H10183" t="s">
        <v>22454</v>
      </c>
      <c r="I10183" t="s">
        <v>7738</v>
      </c>
      <c r="J10183" t="s">
        <v>23387</v>
      </c>
      <c r="K10183" t="s">
        <v>29549</v>
      </c>
      <c r="M10183" t="s">
        <v>32453</v>
      </c>
      <c r="N10183" t="s">
        <v>32524</v>
      </c>
      <c r="O10183" t="s">
        <v>32525</v>
      </c>
      <c r="P10183">
        <v>0</v>
      </c>
      <c r="Q10183">
        <v>0</v>
      </c>
      <c r="R10183" t="s">
        <v>32539</v>
      </c>
      <c r="S10183" t="s">
        <v>33010</v>
      </c>
      <c r="T10183" t="s">
        <v>33288</v>
      </c>
      <c r="U10183" t="s">
        <v>41991</v>
      </c>
      <c r="W10183" t="s">
        <v>32453</v>
      </c>
      <c r="X10183" t="s">
        <v>32540</v>
      </c>
    </row>
    <row r="10184" spans="1:24">
      <c r="A10184">
        <f>HYPERLINK("https://www.philgeps.gov.ph/GEPSNONPILOT/Tender/SplashBidNoticeAbstractUI.aspx?menuIndex=3&amp;refID=7023398&amp;Result=3","7023398")</f>
        <v>0</v>
      </c>
      <c r="B10184" t="s">
        <v>1027</v>
      </c>
      <c r="C10184" t="s">
        <v>12435</v>
      </c>
      <c r="D10184" t="s">
        <v>13039</v>
      </c>
      <c r="E10184" t="s">
        <v>21940</v>
      </c>
      <c r="F10184" t="s">
        <v>22436</v>
      </c>
      <c r="G10184" t="s">
        <v>22444</v>
      </c>
      <c r="H10184" t="s">
        <v>22452</v>
      </c>
      <c r="I10184" t="s">
        <v>22467</v>
      </c>
      <c r="J10184" t="s">
        <v>22634</v>
      </c>
      <c r="K10184" t="s">
        <v>29338</v>
      </c>
      <c r="M10184" t="s">
        <v>30656</v>
      </c>
      <c r="N10184" t="s">
        <v>32524</v>
      </c>
      <c r="O10184" t="s">
        <v>32525</v>
      </c>
      <c r="P10184">
        <v>0</v>
      </c>
      <c r="Q10184">
        <v>0</v>
      </c>
      <c r="R10184" t="s">
        <v>32539</v>
      </c>
      <c r="S10184" t="s">
        <v>33010</v>
      </c>
      <c r="T10184" t="s">
        <v>33241</v>
      </c>
      <c r="U10184" t="s">
        <v>41998</v>
      </c>
      <c r="W10184" t="s">
        <v>30656</v>
      </c>
      <c r="X10184" t="s">
        <v>32540</v>
      </c>
    </row>
    <row r="10185" spans="1:24">
      <c r="A10185">
        <f>HYPERLINK("https://www.philgeps.gov.ph/GEPSNONPILOT/Tender/SplashBidNoticeAbstractUI.aspx?menuIndex=3&amp;refID=7023388&amp;Result=3","7023388")</f>
        <v>0</v>
      </c>
      <c r="B10185" t="s">
        <v>46</v>
      </c>
      <c r="C10185" t="s">
        <v>12436</v>
      </c>
      <c r="D10185" t="s">
        <v>13006</v>
      </c>
      <c r="E10185" t="s">
        <v>21941</v>
      </c>
      <c r="F10185" t="s">
        <v>22436</v>
      </c>
      <c r="G10185" t="s">
        <v>22444</v>
      </c>
      <c r="H10185" t="s">
        <v>22452</v>
      </c>
      <c r="I10185" t="s">
        <v>22467</v>
      </c>
      <c r="J10185" t="s">
        <v>24939</v>
      </c>
      <c r="K10185" t="s">
        <v>29330</v>
      </c>
      <c r="M10185" t="s">
        <v>29760</v>
      </c>
      <c r="N10185" t="s">
        <v>32524</v>
      </c>
      <c r="O10185" t="s">
        <v>32525</v>
      </c>
      <c r="P10185">
        <v>0</v>
      </c>
      <c r="Q10185">
        <v>0</v>
      </c>
      <c r="R10185" t="s">
        <v>32539</v>
      </c>
      <c r="S10185" t="s">
        <v>33010</v>
      </c>
      <c r="T10185" t="s">
        <v>33238</v>
      </c>
      <c r="U10185" t="s">
        <v>41999</v>
      </c>
      <c r="V10185" t="s">
        <v>42461</v>
      </c>
      <c r="W10185" t="s">
        <v>29760</v>
      </c>
      <c r="X10185" t="s">
        <v>32540</v>
      </c>
    </row>
    <row r="10186" spans="1:24">
      <c r="A10186">
        <f>HYPERLINK("https://www.philgeps.gov.ph/GEPSNONPILOT/Tender/SplashBidNoticeAbstractUI.aspx?menuIndex=3&amp;refID=7023370&amp;Result=3","7023370")</f>
        <v>0</v>
      </c>
      <c r="B10186" t="s">
        <v>2625</v>
      </c>
      <c r="C10186" t="s">
        <v>12437</v>
      </c>
      <c r="D10186" t="s">
        <v>13040</v>
      </c>
      <c r="E10186" t="s">
        <v>21939</v>
      </c>
      <c r="F10186" t="s">
        <v>22436</v>
      </c>
      <c r="G10186" t="s">
        <v>22444</v>
      </c>
      <c r="H10186" t="s">
        <v>22454</v>
      </c>
      <c r="I10186" t="s">
        <v>7738</v>
      </c>
      <c r="J10186" t="s">
        <v>23350</v>
      </c>
      <c r="K10186" t="s">
        <v>29365</v>
      </c>
      <c r="M10186" t="s">
        <v>32453</v>
      </c>
      <c r="N10186" t="s">
        <v>32524</v>
      </c>
      <c r="O10186" t="s">
        <v>32525</v>
      </c>
      <c r="P10186">
        <v>0</v>
      </c>
      <c r="Q10186">
        <v>0</v>
      </c>
      <c r="R10186" t="s">
        <v>32539</v>
      </c>
      <c r="S10186" t="s">
        <v>33010</v>
      </c>
      <c r="T10186" t="s">
        <v>33288</v>
      </c>
      <c r="U10186" t="s">
        <v>42000</v>
      </c>
      <c r="W10186" t="s">
        <v>32453</v>
      </c>
      <c r="X10186" t="s">
        <v>32540</v>
      </c>
    </row>
    <row r="10187" spans="1:24">
      <c r="A10187">
        <f>HYPERLINK("https://www.philgeps.gov.ph/GEPSNONPILOT/Tender/SplashBidNoticeAbstractUI.aspx?menuIndex=3&amp;refID=7023380&amp;Result=3","7023380")</f>
        <v>0</v>
      </c>
      <c r="B10187" t="s">
        <v>613</v>
      </c>
      <c r="C10187" t="s">
        <v>12438</v>
      </c>
      <c r="D10187" t="s">
        <v>13039</v>
      </c>
      <c r="E10187" t="s">
        <v>21942</v>
      </c>
      <c r="F10187" t="s">
        <v>22436</v>
      </c>
      <c r="G10187" t="s">
        <v>22444</v>
      </c>
      <c r="H10187" t="s">
        <v>22454</v>
      </c>
      <c r="I10187" t="s">
        <v>7738</v>
      </c>
      <c r="J10187" t="s">
        <v>22779</v>
      </c>
      <c r="K10187" t="s">
        <v>29334</v>
      </c>
      <c r="M10187" t="s">
        <v>32454</v>
      </c>
      <c r="N10187" t="s">
        <v>32524</v>
      </c>
      <c r="O10187" t="s">
        <v>32525</v>
      </c>
      <c r="P10187">
        <v>0</v>
      </c>
      <c r="Q10187">
        <v>0</v>
      </c>
      <c r="R10187" t="s">
        <v>32539</v>
      </c>
      <c r="S10187" t="s">
        <v>33010</v>
      </c>
      <c r="T10187" t="s">
        <v>33389</v>
      </c>
      <c r="U10187" t="s">
        <v>42001</v>
      </c>
      <c r="W10187" t="s">
        <v>32454</v>
      </c>
      <c r="X10187" t="s">
        <v>32540</v>
      </c>
    </row>
    <row r="10188" spans="1:24">
      <c r="A10188">
        <f>HYPERLINK("https://www.philgeps.gov.ph/GEPSNONPILOT/Tender/SplashBidNoticeAbstractUI.aspx?menuIndex=3&amp;refID=7023354&amp;Result=3","7023354")</f>
        <v>0</v>
      </c>
      <c r="B10188" t="s">
        <v>46</v>
      </c>
      <c r="C10188" t="s">
        <v>12439</v>
      </c>
      <c r="D10188" t="s">
        <v>13006</v>
      </c>
      <c r="E10188" t="s">
        <v>21943</v>
      </c>
      <c r="F10188" t="s">
        <v>22436</v>
      </c>
      <c r="G10188" t="s">
        <v>22444</v>
      </c>
      <c r="H10188" t="s">
        <v>22452</v>
      </c>
      <c r="I10188" t="s">
        <v>22467</v>
      </c>
      <c r="J10188" t="s">
        <v>29006</v>
      </c>
      <c r="K10188" t="s">
        <v>29330</v>
      </c>
      <c r="M10188" t="s">
        <v>29760</v>
      </c>
      <c r="N10188" t="s">
        <v>32524</v>
      </c>
      <c r="O10188" t="s">
        <v>32525</v>
      </c>
      <c r="P10188">
        <v>0</v>
      </c>
      <c r="Q10188">
        <v>0</v>
      </c>
      <c r="R10188" t="s">
        <v>32539</v>
      </c>
      <c r="S10188" t="s">
        <v>33010</v>
      </c>
      <c r="T10188" t="s">
        <v>33238</v>
      </c>
      <c r="U10188" t="s">
        <v>42002</v>
      </c>
      <c r="V10188" t="s">
        <v>42461</v>
      </c>
      <c r="W10188" t="s">
        <v>29760</v>
      </c>
      <c r="X10188" t="s">
        <v>32540</v>
      </c>
    </row>
    <row r="10189" spans="1:24">
      <c r="A10189">
        <f>HYPERLINK("https://www.philgeps.gov.ph/GEPSNONPILOT/Tender/SplashBidNoticeAbstractUI.aspx?menuIndex=3&amp;refID=7023386&amp;Result=3","7023386")</f>
        <v>0</v>
      </c>
      <c r="B10189" t="s">
        <v>2327</v>
      </c>
      <c r="C10189" t="s">
        <v>12440</v>
      </c>
      <c r="D10189" t="s">
        <v>13054</v>
      </c>
      <c r="E10189" t="s">
        <v>20778</v>
      </c>
      <c r="F10189" t="s">
        <v>22436</v>
      </c>
      <c r="G10189" t="s">
        <v>22444</v>
      </c>
      <c r="H10189" t="s">
        <v>22454</v>
      </c>
      <c r="I10189" t="s">
        <v>7738</v>
      </c>
      <c r="J10189" t="s">
        <v>22634</v>
      </c>
      <c r="K10189" t="s">
        <v>29338</v>
      </c>
      <c r="M10189" t="s">
        <v>32104</v>
      </c>
      <c r="N10189" t="s">
        <v>32524</v>
      </c>
      <c r="O10189" t="s">
        <v>32525</v>
      </c>
      <c r="P10189">
        <v>0</v>
      </c>
      <c r="Q10189">
        <v>0</v>
      </c>
      <c r="R10189" t="s">
        <v>32539</v>
      </c>
      <c r="S10189" t="s">
        <v>33010</v>
      </c>
      <c r="T10189" t="s">
        <v>33181</v>
      </c>
      <c r="U10189" t="s">
        <v>42003</v>
      </c>
      <c r="V10189" t="s">
        <v>43607</v>
      </c>
      <c r="W10189" t="s">
        <v>32104</v>
      </c>
      <c r="X10189" t="s">
        <v>32540</v>
      </c>
    </row>
    <row r="10190" spans="1:24">
      <c r="A10190">
        <f>HYPERLINK("https://www.philgeps.gov.ph/GEPSNONPILOT/Tender/SplashBidNoticeAbstractUI.aspx?menuIndex=3&amp;refID=7023387&amp;Result=3","7023387")</f>
        <v>0</v>
      </c>
      <c r="B10190" t="s">
        <v>1791</v>
      </c>
      <c r="C10190" t="s">
        <v>12441</v>
      </c>
      <c r="D10190" t="s">
        <v>13065</v>
      </c>
      <c r="E10190" t="s">
        <v>21944</v>
      </c>
      <c r="F10190" t="s">
        <v>22436</v>
      </c>
      <c r="G10190" t="s">
        <v>22444</v>
      </c>
      <c r="H10190" t="s">
        <v>22452</v>
      </c>
      <c r="I10190" t="s">
        <v>7738</v>
      </c>
      <c r="J10190" t="s">
        <v>29007</v>
      </c>
      <c r="K10190" t="s">
        <v>29333</v>
      </c>
      <c r="M10190" t="s">
        <v>31502</v>
      </c>
      <c r="N10190" t="s">
        <v>32524</v>
      </c>
      <c r="O10190" t="s">
        <v>32525</v>
      </c>
      <c r="P10190">
        <v>0</v>
      </c>
      <c r="Q10190">
        <v>0</v>
      </c>
      <c r="R10190" t="s">
        <v>32539</v>
      </c>
      <c r="S10190" t="s">
        <v>33010</v>
      </c>
      <c r="T10190" t="s">
        <v>33181</v>
      </c>
      <c r="U10190" t="s">
        <v>42004</v>
      </c>
      <c r="V10190" t="s">
        <v>43018</v>
      </c>
      <c r="W10190" t="s">
        <v>31502</v>
      </c>
      <c r="X10190" t="s">
        <v>32540</v>
      </c>
    </row>
    <row r="10191" spans="1:24">
      <c r="A10191">
        <f>HYPERLINK("https://www.philgeps.gov.ph/GEPSNONPILOT/Tender/SplashBidNoticeAbstractUI.aspx?menuIndex=3&amp;refID=7023414&amp;Result=3","7023414")</f>
        <v>0</v>
      </c>
      <c r="B10191" t="s">
        <v>613</v>
      </c>
      <c r="C10191" t="s">
        <v>12442</v>
      </c>
      <c r="D10191" t="s">
        <v>13039</v>
      </c>
      <c r="E10191" t="s">
        <v>21945</v>
      </c>
      <c r="F10191" t="s">
        <v>22436</v>
      </c>
      <c r="G10191" t="s">
        <v>22444</v>
      </c>
      <c r="H10191" t="s">
        <v>22452</v>
      </c>
      <c r="I10191" t="s">
        <v>3529</v>
      </c>
      <c r="J10191" t="s">
        <v>29008</v>
      </c>
      <c r="K10191" t="s">
        <v>29331</v>
      </c>
      <c r="M10191" t="s">
        <v>32454</v>
      </c>
      <c r="N10191" t="s">
        <v>32524</v>
      </c>
      <c r="O10191" t="s">
        <v>32525</v>
      </c>
      <c r="P10191">
        <v>0</v>
      </c>
      <c r="Q10191">
        <v>0</v>
      </c>
      <c r="R10191" t="s">
        <v>32539</v>
      </c>
      <c r="S10191" t="s">
        <v>33010</v>
      </c>
      <c r="T10191" t="s">
        <v>33389</v>
      </c>
      <c r="U10191" t="s">
        <v>35981</v>
      </c>
      <c r="W10191" t="s">
        <v>32454</v>
      </c>
      <c r="X10191" t="s">
        <v>32540</v>
      </c>
    </row>
    <row r="10192" spans="1:24">
      <c r="A10192">
        <f>HYPERLINK("https://www.philgeps.gov.ph/GEPSNONPILOT/Tender/SplashBidNoticeAbstractUI.aspx?menuIndex=3&amp;refID=7023411&amp;Result=3","7023411")</f>
        <v>0</v>
      </c>
      <c r="B10192" t="s">
        <v>68</v>
      </c>
      <c r="C10192" t="s">
        <v>12443</v>
      </c>
      <c r="D10192" t="s">
        <v>13013</v>
      </c>
      <c r="E10192" t="s">
        <v>21946</v>
      </c>
      <c r="F10192" t="s">
        <v>22436</v>
      </c>
      <c r="G10192" t="s">
        <v>22444</v>
      </c>
      <c r="H10192" t="s">
        <v>22452</v>
      </c>
      <c r="I10192" t="s">
        <v>22463</v>
      </c>
      <c r="J10192" t="s">
        <v>29009</v>
      </c>
      <c r="K10192" t="s">
        <v>29331</v>
      </c>
      <c r="L10192" t="s">
        <v>68</v>
      </c>
      <c r="M10192" t="s">
        <v>29640</v>
      </c>
      <c r="N10192" t="s">
        <v>32524</v>
      </c>
      <c r="O10192" t="s">
        <v>32525</v>
      </c>
      <c r="Q10192">
        <v>15</v>
      </c>
      <c r="R10192" t="s">
        <v>32539</v>
      </c>
      <c r="S10192" t="s">
        <v>33058</v>
      </c>
      <c r="T10192" t="s">
        <v>33184</v>
      </c>
      <c r="U10192" t="s">
        <v>33706</v>
      </c>
      <c r="V10192" t="s">
        <v>42437</v>
      </c>
      <c r="W10192" t="s">
        <v>29640</v>
      </c>
      <c r="X10192" t="s">
        <v>32540</v>
      </c>
    </row>
    <row r="10193" spans="1:24">
      <c r="A10193">
        <f>HYPERLINK("https://www.philgeps.gov.ph/GEPSNONPILOT/Tender/SplashBidNoticeAbstractUI.aspx?menuIndex=3&amp;refID=7023365&amp;Result=3","7023365")</f>
        <v>0</v>
      </c>
      <c r="B10193" t="s">
        <v>1261</v>
      </c>
      <c r="C10193" t="s">
        <v>12444</v>
      </c>
      <c r="D10193" t="s">
        <v>13042</v>
      </c>
      <c r="E10193" t="s">
        <v>21947</v>
      </c>
      <c r="F10193" t="s">
        <v>22436</v>
      </c>
      <c r="G10193" t="s">
        <v>22444</v>
      </c>
      <c r="H10193" t="s">
        <v>22452</v>
      </c>
      <c r="I10193" t="s">
        <v>22474</v>
      </c>
      <c r="J10193" t="s">
        <v>23387</v>
      </c>
      <c r="K10193" t="s">
        <v>29333</v>
      </c>
      <c r="M10193" t="s">
        <v>30914</v>
      </c>
      <c r="N10193" t="s">
        <v>32524</v>
      </c>
      <c r="O10193" t="s">
        <v>32525</v>
      </c>
      <c r="P10193">
        <v>0</v>
      </c>
      <c r="Q10193">
        <v>8</v>
      </c>
      <c r="R10193" t="s">
        <v>32539</v>
      </c>
      <c r="S10193" t="s">
        <v>33010</v>
      </c>
      <c r="T10193" t="s">
        <v>33530</v>
      </c>
      <c r="U10193" t="s">
        <v>42005</v>
      </c>
      <c r="W10193" t="s">
        <v>30914</v>
      </c>
      <c r="X10193" t="s">
        <v>32540</v>
      </c>
    </row>
    <row r="10194" spans="1:24">
      <c r="A10194">
        <f>HYPERLINK("https://www.philgeps.gov.ph/GEPSNONPILOT/Tender/SplashBidNoticeAbstractUI.aspx?menuIndex=3&amp;refID=7023413&amp;Result=3","7023413")</f>
        <v>0</v>
      </c>
      <c r="B10194" t="s">
        <v>398</v>
      </c>
      <c r="C10194" t="s">
        <v>12445</v>
      </c>
      <c r="D10194" t="s">
        <v>13018</v>
      </c>
      <c r="E10194" t="s">
        <v>21948</v>
      </c>
      <c r="F10194" t="s">
        <v>22436</v>
      </c>
      <c r="G10194" t="s">
        <v>22444</v>
      </c>
      <c r="H10194" t="s">
        <v>22454</v>
      </c>
      <c r="I10194" t="s">
        <v>7738</v>
      </c>
      <c r="J10194" t="s">
        <v>29010</v>
      </c>
      <c r="K10194" t="s">
        <v>29362</v>
      </c>
      <c r="M10194" t="s">
        <v>29977</v>
      </c>
      <c r="N10194" t="s">
        <v>32524</v>
      </c>
      <c r="O10194" t="s">
        <v>32525</v>
      </c>
      <c r="P10194">
        <v>0</v>
      </c>
      <c r="Q10194">
        <v>2</v>
      </c>
      <c r="R10194" t="s">
        <v>32539</v>
      </c>
      <c r="S10194" t="s">
        <v>33010</v>
      </c>
      <c r="T10194" t="s">
        <v>33241</v>
      </c>
      <c r="U10194" t="s">
        <v>42006</v>
      </c>
      <c r="W10194" t="s">
        <v>29977</v>
      </c>
      <c r="X10194" t="s">
        <v>32540</v>
      </c>
    </row>
    <row r="10195" spans="1:24">
      <c r="A10195">
        <f>HYPERLINK("https://www.philgeps.gov.ph/GEPSNONPILOT/Tender/SplashBidNoticeAbstractUI.aspx?menuIndex=3&amp;refID=7023329&amp;Result=3","7023329")</f>
        <v>0</v>
      </c>
      <c r="B10195" t="s">
        <v>834</v>
      </c>
      <c r="C10195" t="s">
        <v>12446</v>
      </c>
      <c r="E10195" t="s">
        <v>21949</v>
      </c>
      <c r="F10195" t="s">
        <v>22436</v>
      </c>
      <c r="G10195" t="s">
        <v>22444</v>
      </c>
      <c r="H10195" t="s">
        <v>22453</v>
      </c>
      <c r="I10195" t="s">
        <v>4170</v>
      </c>
      <c r="J10195" t="s">
        <v>29011</v>
      </c>
      <c r="K10195" t="s">
        <v>29585</v>
      </c>
      <c r="M10195" t="s">
        <v>32455</v>
      </c>
      <c r="N10195" t="s">
        <v>32524</v>
      </c>
      <c r="O10195" t="s">
        <v>32525</v>
      </c>
      <c r="P10195">
        <v>0</v>
      </c>
      <c r="Q10195">
        <v>7</v>
      </c>
      <c r="R10195" t="s">
        <v>32539</v>
      </c>
      <c r="S10195" t="s">
        <v>33010</v>
      </c>
      <c r="T10195" t="s">
        <v>33168</v>
      </c>
      <c r="U10195" t="s">
        <v>42007</v>
      </c>
      <c r="W10195" t="s">
        <v>32455</v>
      </c>
      <c r="X10195" t="s">
        <v>32540</v>
      </c>
    </row>
    <row r="10196" spans="1:24">
      <c r="A10196">
        <f>HYPERLINK("https://www.philgeps.gov.ph/GEPSNONPILOT/Tender/SplashBidNoticeAbstractUI.aspx?menuIndex=3&amp;refID=7023448&amp;Result=3","7023448")</f>
        <v>0</v>
      </c>
      <c r="B10196" t="s">
        <v>2626</v>
      </c>
      <c r="C10196" t="s">
        <v>12447</v>
      </c>
      <c r="D10196" t="s">
        <v>13026</v>
      </c>
      <c r="E10196" t="s">
        <v>21950</v>
      </c>
      <c r="F10196" t="s">
        <v>22436</v>
      </c>
      <c r="G10196" t="s">
        <v>22444</v>
      </c>
      <c r="H10196" t="s">
        <v>22452</v>
      </c>
      <c r="I10196" t="s">
        <v>22523</v>
      </c>
      <c r="J10196" t="s">
        <v>29012</v>
      </c>
      <c r="K10196" t="s">
        <v>29334</v>
      </c>
      <c r="M10196" t="s">
        <v>32456</v>
      </c>
      <c r="N10196" t="s">
        <v>32524</v>
      </c>
      <c r="O10196" t="s">
        <v>32525</v>
      </c>
      <c r="Q10196">
        <v>4</v>
      </c>
      <c r="R10196" t="s">
        <v>32539</v>
      </c>
      <c r="S10196" t="s">
        <v>33059</v>
      </c>
      <c r="T10196" t="s">
        <v>33606</v>
      </c>
      <c r="U10196" t="s">
        <v>42008</v>
      </c>
      <c r="W10196" t="s">
        <v>43771</v>
      </c>
      <c r="X10196" t="s">
        <v>32540</v>
      </c>
    </row>
    <row r="10197" spans="1:24">
      <c r="A10197">
        <f>HYPERLINK("https://www.philgeps.gov.ph/GEPSNONPILOT/Tender/SplashBidNoticeAbstractUI.aspx?menuIndex=3&amp;refID=7023407&amp;Result=3","7023407")</f>
        <v>0</v>
      </c>
      <c r="B10197" t="s">
        <v>46</v>
      </c>
      <c r="C10197" t="s">
        <v>12448</v>
      </c>
      <c r="D10197" t="s">
        <v>13006</v>
      </c>
      <c r="E10197" t="s">
        <v>21951</v>
      </c>
      <c r="F10197" t="s">
        <v>22436</v>
      </c>
      <c r="G10197" t="s">
        <v>22444</v>
      </c>
      <c r="H10197" t="s">
        <v>22452</v>
      </c>
      <c r="I10197" t="s">
        <v>22460</v>
      </c>
      <c r="J10197" t="s">
        <v>29013</v>
      </c>
      <c r="K10197" t="s">
        <v>29330</v>
      </c>
      <c r="M10197" t="s">
        <v>29760</v>
      </c>
      <c r="N10197" t="s">
        <v>32524</v>
      </c>
      <c r="O10197" t="s">
        <v>32525</v>
      </c>
      <c r="P10197">
        <v>0</v>
      </c>
      <c r="Q10197">
        <v>1</v>
      </c>
      <c r="R10197" t="s">
        <v>32539</v>
      </c>
      <c r="S10197" t="s">
        <v>33010</v>
      </c>
      <c r="T10197" t="s">
        <v>33238</v>
      </c>
      <c r="U10197" t="s">
        <v>42009</v>
      </c>
      <c r="V10197" t="s">
        <v>42461</v>
      </c>
      <c r="W10197" t="s">
        <v>29760</v>
      </c>
      <c r="X10197" t="s">
        <v>32540</v>
      </c>
    </row>
    <row r="10198" spans="1:24">
      <c r="A10198">
        <f>HYPERLINK("https://www.philgeps.gov.ph/GEPSNONPILOT/Tender/SplashBidNoticeAbstractUI.aspx?menuIndex=3&amp;refID=7023417&amp;Result=3","7023417")</f>
        <v>0</v>
      </c>
      <c r="B10198" t="s">
        <v>2627</v>
      </c>
      <c r="C10198" t="s">
        <v>12449</v>
      </c>
      <c r="D10198" t="s">
        <v>13002</v>
      </c>
      <c r="E10198" t="s">
        <v>21952</v>
      </c>
      <c r="F10198" t="s">
        <v>22436</v>
      </c>
      <c r="G10198" t="s">
        <v>22444</v>
      </c>
      <c r="H10198" t="s">
        <v>22452</v>
      </c>
      <c r="I10198" t="s">
        <v>7738</v>
      </c>
      <c r="J10198" t="s">
        <v>22779</v>
      </c>
      <c r="K10198" t="s">
        <v>29433</v>
      </c>
      <c r="M10198" t="s">
        <v>32457</v>
      </c>
      <c r="N10198" t="s">
        <v>32524</v>
      </c>
      <c r="O10198" t="s">
        <v>32525</v>
      </c>
      <c r="Q10198">
        <v>0</v>
      </c>
      <c r="R10198" t="s">
        <v>32539</v>
      </c>
      <c r="S10198" t="s">
        <v>33060</v>
      </c>
      <c r="T10198" t="s">
        <v>33155</v>
      </c>
      <c r="U10198" t="s">
        <v>42010</v>
      </c>
      <c r="W10198" t="s">
        <v>32457</v>
      </c>
      <c r="X10198" t="s">
        <v>32540</v>
      </c>
    </row>
    <row r="10199" spans="1:24">
      <c r="A10199">
        <f>HYPERLINK("https://www.philgeps.gov.ph/GEPSNONPILOT/Tender/SplashBidNoticeAbstractUI.aspx?menuIndex=3&amp;refID=7023423&amp;Result=3","7023423")</f>
        <v>0</v>
      </c>
      <c r="B10199" t="s">
        <v>40</v>
      </c>
      <c r="C10199" t="s">
        <v>12450</v>
      </c>
      <c r="D10199" t="s">
        <v>13001</v>
      </c>
      <c r="E10199" t="s">
        <v>21953</v>
      </c>
      <c r="F10199" t="s">
        <v>22436</v>
      </c>
      <c r="G10199" t="s">
        <v>22444</v>
      </c>
      <c r="H10199" t="s">
        <v>22454</v>
      </c>
      <c r="I10199" t="s">
        <v>7738</v>
      </c>
      <c r="J10199" t="s">
        <v>29014</v>
      </c>
      <c r="K10199" t="s">
        <v>29412</v>
      </c>
      <c r="M10199" t="s">
        <v>29611</v>
      </c>
      <c r="N10199" t="s">
        <v>32524</v>
      </c>
      <c r="O10199" t="s">
        <v>32525</v>
      </c>
      <c r="P10199">
        <v>0</v>
      </c>
      <c r="Q10199">
        <v>18</v>
      </c>
      <c r="R10199" t="s">
        <v>32539</v>
      </c>
      <c r="S10199" t="s">
        <v>33010</v>
      </c>
      <c r="T10199" t="s">
        <v>33171</v>
      </c>
      <c r="U10199" t="s">
        <v>40060</v>
      </c>
      <c r="V10199" t="s">
        <v>42423</v>
      </c>
      <c r="W10199" t="s">
        <v>29611</v>
      </c>
      <c r="X10199" t="s">
        <v>32540</v>
      </c>
    </row>
    <row r="10200" spans="1:24">
      <c r="A10200">
        <f>HYPERLINK("https://www.philgeps.gov.ph/GEPSNONPILOT/Tender/SplashBidNoticeAbstractUI.aspx?menuIndex=3&amp;refID=7023451&amp;Result=3","7023451")</f>
        <v>0</v>
      </c>
      <c r="B10200" t="s">
        <v>1219</v>
      </c>
      <c r="C10200" t="s">
        <v>12451</v>
      </c>
      <c r="D10200" t="s">
        <v>13050</v>
      </c>
      <c r="E10200" t="s">
        <v>21954</v>
      </c>
      <c r="F10200" t="s">
        <v>22436</v>
      </c>
      <c r="G10200" t="s">
        <v>22444</v>
      </c>
      <c r="H10200" t="s">
        <v>22452</v>
      </c>
      <c r="I10200" t="s">
        <v>22456</v>
      </c>
      <c r="J10200" t="s">
        <v>29015</v>
      </c>
      <c r="K10200" t="s">
        <v>29329</v>
      </c>
      <c r="M10200" t="s">
        <v>32458</v>
      </c>
      <c r="N10200" t="s">
        <v>32524</v>
      </c>
      <c r="O10200" t="s">
        <v>32525</v>
      </c>
      <c r="Q10200">
        <v>4</v>
      </c>
      <c r="R10200" t="s">
        <v>32539</v>
      </c>
      <c r="S10200" t="s">
        <v>33061</v>
      </c>
      <c r="T10200" t="s">
        <v>33155</v>
      </c>
      <c r="U10200" t="s">
        <v>42011</v>
      </c>
      <c r="V10200" t="s">
        <v>43610</v>
      </c>
      <c r="W10200" t="s">
        <v>32458</v>
      </c>
      <c r="X10200" t="s">
        <v>32540</v>
      </c>
    </row>
    <row r="10201" spans="1:24">
      <c r="A10201">
        <f>HYPERLINK("https://www.philgeps.gov.ph/GEPSNONPILOT/Tender/SplashBidNoticeAbstractUI.aspx?menuIndex=3&amp;refID=7023428&amp;Result=3","7023428")</f>
        <v>0</v>
      </c>
      <c r="B10201" t="s">
        <v>1192</v>
      </c>
      <c r="C10201" t="s">
        <v>12452</v>
      </c>
      <c r="D10201" t="s">
        <v>13007</v>
      </c>
      <c r="E10201" t="s">
        <v>21955</v>
      </c>
      <c r="F10201" t="s">
        <v>22436</v>
      </c>
      <c r="G10201" t="s">
        <v>22444</v>
      </c>
      <c r="H10201" t="s">
        <v>22454</v>
      </c>
      <c r="I10201" t="s">
        <v>7738</v>
      </c>
      <c r="J10201" t="s">
        <v>23130</v>
      </c>
      <c r="K10201" t="s">
        <v>29401</v>
      </c>
      <c r="M10201" t="s">
        <v>30839</v>
      </c>
      <c r="N10201" t="s">
        <v>32524</v>
      </c>
      <c r="O10201" t="s">
        <v>32525</v>
      </c>
      <c r="P10201">
        <v>0</v>
      </c>
      <c r="Q10201">
        <v>15</v>
      </c>
      <c r="R10201" t="s">
        <v>32539</v>
      </c>
      <c r="S10201" t="s">
        <v>33010</v>
      </c>
      <c r="T10201" t="s">
        <v>33187</v>
      </c>
      <c r="U10201" t="s">
        <v>42012</v>
      </c>
      <c r="W10201" t="s">
        <v>43758</v>
      </c>
      <c r="X10201" t="s">
        <v>32540</v>
      </c>
    </row>
    <row r="10202" spans="1:24">
      <c r="A10202">
        <f>HYPERLINK("https://www.philgeps.gov.ph/GEPSNONPILOT/Tender/SplashBidNoticeAbstractUI.aspx?menuIndex=3&amp;refID=7023434&amp;Result=3","7023434")</f>
        <v>0</v>
      </c>
      <c r="B10202" t="s">
        <v>121</v>
      </c>
      <c r="C10202" t="s">
        <v>12453</v>
      </c>
      <c r="D10202" t="s">
        <v>13034</v>
      </c>
      <c r="E10202" t="s">
        <v>21956</v>
      </c>
      <c r="F10202" t="s">
        <v>22436</v>
      </c>
      <c r="G10202" t="s">
        <v>22444</v>
      </c>
      <c r="H10202" t="s">
        <v>22452</v>
      </c>
      <c r="I10202" t="s">
        <v>22461</v>
      </c>
      <c r="J10202" t="s">
        <v>29016</v>
      </c>
      <c r="K10202" t="s">
        <v>29341</v>
      </c>
      <c r="M10202" t="s">
        <v>32216</v>
      </c>
      <c r="N10202" t="s">
        <v>32524</v>
      </c>
      <c r="O10202" t="s">
        <v>32525</v>
      </c>
      <c r="P10202">
        <v>0</v>
      </c>
      <c r="Q10202">
        <v>2</v>
      </c>
      <c r="R10202" t="s">
        <v>32539</v>
      </c>
      <c r="S10202" t="s">
        <v>33010</v>
      </c>
      <c r="T10202" t="s">
        <v>33302</v>
      </c>
      <c r="U10202" t="s">
        <v>42013</v>
      </c>
      <c r="W10202" t="s">
        <v>32216</v>
      </c>
      <c r="X10202" t="s">
        <v>32540</v>
      </c>
    </row>
    <row r="10203" spans="1:24">
      <c r="A10203">
        <f>HYPERLINK("https://www.philgeps.gov.ph/GEPSNONPILOT/Tender/SplashBidNoticeAbstractUI.aspx?menuIndex=3&amp;refID=7023439&amp;Result=3","7023439")</f>
        <v>0</v>
      </c>
      <c r="B10203" t="s">
        <v>46</v>
      </c>
      <c r="C10203" t="s">
        <v>12454</v>
      </c>
      <c r="D10203" t="s">
        <v>13006</v>
      </c>
      <c r="E10203" t="s">
        <v>21957</v>
      </c>
      <c r="F10203" t="s">
        <v>22436</v>
      </c>
      <c r="G10203" t="s">
        <v>22444</v>
      </c>
      <c r="H10203" t="s">
        <v>22452</v>
      </c>
      <c r="I10203" t="s">
        <v>2981</v>
      </c>
      <c r="J10203" t="s">
        <v>29017</v>
      </c>
      <c r="K10203" t="s">
        <v>29330</v>
      </c>
      <c r="M10203" t="s">
        <v>29760</v>
      </c>
      <c r="N10203" t="s">
        <v>32524</v>
      </c>
      <c r="O10203" t="s">
        <v>32525</v>
      </c>
      <c r="P10203">
        <v>0</v>
      </c>
      <c r="Q10203">
        <v>0</v>
      </c>
      <c r="R10203" t="s">
        <v>32539</v>
      </c>
      <c r="S10203" t="s">
        <v>33010</v>
      </c>
      <c r="T10203" t="s">
        <v>33238</v>
      </c>
      <c r="U10203" t="s">
        <v>42014</v>
      </c>
      <c r="V10203" t="s">
        <v>42461</v>
      </c>
      <c r="W10203" t="s">
        <v>29760</v>
      </c>
      <c r="X10203" t="s">
        <v>32540</v>
      </c>
    </row>
    <row r="10204" spans="1:24">
      <c r="A10204">
        <f>HYPERLINK("https://www.philgeps.gov.ph/GEPSNONPILOT/Tender/SplashBidNoticeAbstractUI.aspx?menuIndex=3&amp;refID=7023421&amp;Result=3","7023421")</f>
        <v>0</v>
      </c>
      <c r="B10204" t="s">
        <v>180</v>
      </c>
      <c r="C10204" t="s">
        <v>12455</v>
      </c>
      <c r="D10204" t="s">
        <v>13026</v>
      </c>
      <c r="E10204" t="s">
        <v>21958</v>
      </c>
      <c r="F10204" t="s">
        <v>22436</v>
      </c>
      <c r="G10204" t="s">
        <v>22444</v>
      </c>
      <c r="H10204" t="s">
        <v>22454</v>
      </c>
      <c r="I10204" t="s">
        <v>7738</v>
      </c>
      <c r="J10204" t="s">
        <v>22669</v>
      </c>
      <c r="K10204" t="s">
        <v>29329</v>
      </c>
      <c r="M10204" t="s">
        <v>32450</v>
      </c>
      <c r="N10204" t="s">
        <v>32524</v>
      </c>
      <c r="O10204" t="s">
        <v>32525</v>
      </c>
      <c r="P10204">
        <v>0</v>
      </c>
      <c r="Q10204">
        <v>1</v>
      </c>
      <c r="R10204" t="s">
        <v>32539</v>
      </c>
      <c r="S10204" t="s">
        <v>33010</v>
      </c>
      <c r="T10204" t="s">
        <v>33181</v>
      </c>
      <c r="U10204" t="s">
        <v>42015</v>
      </c>
      <c r="W10204" t="s">
        <v>32450</v>
      </c>
      <c r="X10204" t="s">
        <v>32540</v>
      </c>
    </row>
    <row r="10205" spans="1:24">
      <c r="A10205">
        <f>HYPERLINK("https://www.philgeps.gov.ph/GEPSNONPILOT/Tender/SplashBidNoticeAbstractUI.aspx?menuIndex=3&amp;refID=7023467&amp;Result=3","7023467")</f>
        <v>0</v>
      </c>
      <c r="B10205" t="s">
        <v>1791</v>
      </c>
      <c r="C10205" t="s">
        <v>12456</v>
      </c>
      <c r="D10205" t="s">
        <v>13065</v>
      </c>
      <c r="E10205" t="s">
        <v>21959</v>
      </c>
      <c r="F10205" t="s">
        <v>22436</v>
      </c>
      <c r="G10205" t="s">
        <v>22444</v>
      </c>
      <c r="H10205" t="s">
        <v>22454</v>
      </c>
      <c r="I10205" t="s">
        <v>7738</v>
      </c>
      <c r="J10205" t="s">
        <v>29018</v>
      </c>
      <c r="K10205" t="s">
        <v>29333</v>
      </c>
      <c r="M10205" t="s">
        <v>31502</v>
      </c>
      <c r="N10205" t="s">
        <v>32524</v>
      </c>
      <c r="O10205" t="s">
        <v>32525</v>
      </c>
      <c r="P10205">
        <v>0</v>
      </c>
      <c r="Q10205">
        <v>0</v>
      </c>
      <c r="R10205" t="s">
        <v>32539</v>
      </c>
      <c r="S10205" t="s">
        <v>33010</v>
      </c>
      <c r="T10205" t="s">
        <v>33181</v>
      </c>
      <c r="U10205" t="s">
        <v>42016</v>
      </c>
      <c r="V10205" t="s">
        <v>43023</v>
      </c>
      <c r="W10205" t="s">
        <v>31502</v>
      </c>
      <c r="X10205" t="s">
        <v>32540</v>
      </c>
    </row>
    <row r="10206" spans="1:24">
      <c r="A10206">
        <f>HYPERLINK("https://www.philgeps.gov.ph/GEPSNONPILOT/Tender/SplashBidNoticeAbstractUI.aspx?menuIndex=3&amp;refID=7023433&amp;Result=3","7023433")</f>
        <v>0</v>
      </c>
      <c r="B10206" t="s">
        <v>2628</v>
      </c>
      <c r="C10206" t="s">
        <v>12457</v>
      </c>
      <c r="D10206" t="s">
        <v>12988</v>
      </c>
      <c r="E10206" t="s">
        <v>21960</v>
      </c>
      <c r="F10206" t="s">
        <v>22436</v>
      </c>
      <c r="G10206" t="s">
        <v>22444</v>
      </c>
      <c r="H10206" t="s">
        <v>22453</v>
      </c>
      <c r="I10206" t="s">
        <v>22469</v>
      </c>
      <c r="J10206" t="s">
        <v>29019</v>
      </c>
      <c r="K10206" t="s">
        <v>29586</v>
      </c>
      <c r="M10206" t="s">
        <v>32459</v>
      </c>
      <c r="N10206" t="s">
        <v>32524</v>
      </c>
      <c r="O10206" t="s">
        <v>32525</v>
      </c>
      <c r="P10206">
        <v>0</v>
      </c>
      <c r="Q10206">
        <v>21</v>
      </c>
      <c r="R10206" t="s">
        <v>32539</v>
      </c>
      <c r="S10206" t="s">
        <v>33010</v>
      </c>
      <c r="T10206" t="s">
        <v>33466</v>
      </c>
      <c r="U10206" t="s">
        <v>42017</v>
      </c>
      <c r="W10206" t="s">
        <v>43772</v>
      </c>
      <c r="X10206" t="s">
        <v>32540</v>
      </c>
    </row>
    <row r="10207" spans="1:24">
      <c r="A10207">
        <f>HYPERLINK("https://www.philgeps.gov.ph/GEPSNONPILOT/Tender/SplashBidNoticeAbstractUI.aspx?menuIndex=3&amp;refID=7023429&amp;Result=3","7023429")</f>
        <v>0</v>
      </c>
      <c r="B10207" t="s">
        <v>2101</v>
      </c>
      <c r="C10207" t="s">
        <v>12458</v>
      </c>
      <c r="D10207" t="s">
        <v>12990</v>
      </c>
      <c r="E10207" t="s">
        <v>21961</v>
      </c>
      <c r="F10207" t="s">
        <v>22436</v>
      </c>
      <c r="G10207" t="s">
        <v>22444</v>
      </c>
      <c r="H10207" t="s">
        <v>22454</v>
      </c>
      <c r="I10207" t="s">
        <v>7738</v>
      </c>
      <c r="J10207" t="s">
        <v>29020</v>
      </c>
      <c r="K10207" t="s">
        <v>29345</v>
      </c>
      <c r="M10207" t="s">
        <v>31850</v>
      </c>
      <c r="N10207" t="s">
        <v>32524</v>
      </c>
      <c r="O10207" t="s">
        <v>32525</v>
      </c>
      <c r="P10207">
        <v>0</v>
      </c>
      <c r="Q10207">
        <v>0</v>
      </c>
      <c r="R10207" t="s">
        <v>32539</v>
      </c>
      <c r="S10207" t="s">
        <v>33010</v>
      </c>
      <c r="T10207" t="s">
        <v>33181</v>
      </c>
      <c r="U10207" t="s">
        <v>42018</v>
      </c>
      <c r="W10207" t="s">
        <v>31850</v>
      </c>
      <c r="X10207" t="s">
        <v>32540</v>
      </c>
    </row>
    <row r="10208" spans="1:24">
      <c r="A10208">
        <f>HYPERLINK("https://www.philgeps.gov.ph/GEPSNONPILOT/Tender/SplashBidNoticeAbstractUI.aspx?menuIndex=3&amp;refID=7023460&amp;Result=3","7023460")</f>
        <v>0</v>
      </c>
      <c r="B10208" t="s">
        <v>1964</v>
      </c>
      <c r="C10208" t="s">
        <v>12459</v>
      </c>
      <c r="D10208" t="s">
        <v>13039</v>
      </c>
      <c r="E10208" t="s">
        <v>21962</v>
      </c>
      <c r="F10208" t="s">
        <v>22436</v>
      </c>
      <c r="G10208" t="s">
        <v>22444</v>
      </c>
      <c r="H10208" t="s">
        <v>22454</v>
      </c>
      <c r="I10208" t="s">
        <v>7738</v>
      </c>
      <c r="J10208" t="s">
        <v>29021</v>
      </c>
      <c r="K10208" t="s">
        <v>29334</v>
      </c>
      <c r="M10208" t="s">
        <v>31695</v>
      </c>
      <c r="N10208" t="s">
        <v>32524</v>
      </c>
      <c r="O10208" t="s">
        <v>32525</v>
      </c>
      <c r="P10208">
        <v>0</v>
      </c>
      <c r="Q10208">
        <v>0</v>
      </c>
      <c r="R10208" t="s">
        <v>32539</v>
      </c>
      <c r="S10208" t="s">
        <v>33010</v>
      </c>
      <c r="T10208" t="s">
        <v>33593</v>
      </c>
      <c r="U10208" t="s">
        <v>42019</v>
      </c>
      <c r="W10208" t="s">
        <v>31695</v>
      </c>
      <c r="X10208" t="s">
        <v>32540</v>
      </c>
    </row>
    <row r="10209" spans="1:24">
      <c r="A10209">
        <f>HYPERLINK("https://www.philgeps.gov.ph/GEPSNONPILOT/Tender/SplashBidNoticeAbstractUI.aspx?menuIndex=3&amp;refID=7023498&amp;Result=3","7023498")</f>
        <v>0</v>
      </c>
      <c r="B10209" t="s">
        <v>2629</v>
      </c>
      <c r="C10209" t="s">
        <v>12460</v>
      </c>
      <c r="D10209" t="s">
        <v>13032</v>
      </c>
      <c r="E10209" t="s">
        <v>17763</v>
      </c>
      <c r="F10209" t="s">
        <v>22436</v>
      </c>
      <c r="G10209" t="s">
        <v>22444</v>
      </c>
      <c r="H10209" t="s">
        <v>22454</v>
      </c>
      <c r="I10209" t="s">
        <v>7738</v>
      </c>
      <c r="J10209" t="s">
        <v>22779</v>
      </c>
      <c r="K10209" t="s">
        <v>29350</v>
      </c>
      <c r="M10209" t="s">
        <v>32460</v>
      </c>
      <c r="N10209" t="s">
        <v>32524</v>
      </c>
      <c r="O10209" t="s">
        <v>32525</v>
      </c>
      <c r="P10209">
        <v>0</v>
      </c>
      <c r="Q10209">
        <v>0</v>
      </c>
      <c r="R10209" t="s">
        <v>32539</v>
      </c>
      <c r="S10209" t="s">
        <v>33010</v>
      </c>
      <c r="T10209" t="s">
        <v>33607</v>
      </c>
      <c r="U10209" t="s">
        <v>42020</v>
      </c>
      <c r="W10209" t="s">
        <v>32460</v>
      </c>
      <c r="X10209" t="s">
        <v>32540</v>
      </c>
    </row>
    <row r="10210" spans="1:24">
      <c r="A10210">
        <f>HYPERLINK("https://www.philgeps.gov.ph/GEPSNONPILOT/Tender/SplashBidNoticeAbstractUI.aspx?menuIndex=3&amp;refID=7023454&amp;Result=3","7023454")</f>
        <v>0</v>
      </c>
      <c r="B10210" t="s">
        <v>40</v>
      </c>
      <c r="C10210" t="s">
        <v>12461</v>
      </c>
      <c r="D10210" t="s">
        <v>13001</v>
      </c>
      <c r="E10210" t="s">
        <v>21963</v>
      </c>
      <c r="F10210" t="s">
        <v>22436</v>
      </c>
      <c r="G10210" t="s">
        <v>22444</v>
      </c>
      <c r="H10210" t="s">
        <v>22454</v>
      </c>
      <c r="I10210" t="s">
        <v>7738</v>
      </c>
      <c r="J10210" t="s">
        <v>25346</v>
      </c>
      <c r="K10210" t="s">
        <v>29344</v>
      </c>
      <c r="M10210" t="s">
        <v>29611</v>
      </c>
      <c r="N10210" t="s">
        <v>32524</v>
      </c>
      <c r="O10210" t="s">
        <v>32525</v>
      </c>
      <c r="P10210">
        <v>0</v>
      </c>
      <c r="Q10210">
        <v>34</v>
      </c>
      <c r="R10210" t="s">
        <v>32539</v>
      </c>
      <c r="S10210" t="s">
        <v>33010</v>
      </c>
      <c r="T10210" t="s">
        <v>33171</v>
      </c>
      <c r="U10210" t="s">
        <v>41466</v>
      </c>
      <c r="V10210" t="s">
        <v>42423</v>
      </c>
      <c r="W10210" t="s">
        <v>29611</v>
      </c>
      <c r="X10210" t="s">
        <v>32540</v>
      </c>
    </row>
    <row r="10211" spans="1:24">
      <c r="A10211">
        <f>HYPERLINK("https://www.philgeps.gov.ph/GEPSNONPILOT/Tender/SplashBidNoticeAbstractUI.aspx?menuIndex=3&amp;refID=7023458&amp;Result=3","7023458")</f>
        <v>0</v>
      </c>
      <c r="B10211" t="s">
        <v>2629</v>
      </c>
      <c r="C10211" t="s">
        <v>12462</v>
      </c>
      <c r="D10211" t="s">
        <v>13032</v>
      </c>
      <c r="E10211" t="s">
        <v>17716</v>
      </c>
      <c r="F10211" t="s">
        <v>22436</v>
      </c>
      <c r="G10211" t="s">
        <v>22444</v>
      </c>
      <c r="H10211" t="s">
        <v>22454</v>
      </c>
      <c r="I10211" t="s">
        <v>7738</v>
      </c>
      <c r="J10211" t="s">
        <v>29022</v>
      </c>
      <c r="K10211" t="s">
        <v>29350</v>
      </c>
      <c r="M10211" t="s">
        <v>32460</v>
      </c>
      <c r="N10211" t="s">
        <v>32524</v>
      </c>
      <c r="O10211" t="s">
        <v>32525</v>
      </c>
      <c r="P10211">
        <v>0</v>
      </c>
      <c r="Q10211">
        <v>0</v>
      </c>
      <c r="R10211" t="s">
        <v>32539</v>
      </c>
      <c r="S10211" t="s">
        <v>33010</v>
      </c>
      <c r="T10211" t="s">
        <v>33607</v>
      </c>
      <c r="U10211" t="s">
        <v>42021</v>
      </c>
      <c r="W10211" t="s">
        <v>32460</v>
      </c>
      <c r="X10211" t="s">
        <v>32540</v>
      </c>
    </row>
    <row r="10212" spans="1:24">
      <c r="A10212">
        <f>HYPERLINK("https://www.philgeps.gov.ph/GEPSNONPILOT/Tender/SplashBidNoticeAbstractUI.aspx?menuIndex=3&amp;refID=7023474&amp;Result=3","7023474")</f>
        <v>0</v>
      </c>
      <c r="B10212" t="s">
        <v>613</v>
      </c>
      <c r="C10212" t="s">
        <v>12463</v>
      </c>
      <c r="D10212" t="s">
        <v>13039</v>
      </c>
      <c r="E10212" t="s">
        <v>21964</v>
      </c>
      <c r="F10212" t="s">
        <v>22436</v>
      </c>
      <c r="G10212" t="s">
        <v>22444</v>
      </c>
      <c r="H10212" t="s">
        <v>22454</v>
      </c>
      <c r="I10212" t="s">
        <v>7738</v>
      </c>
      <c r="J10212" t="s">
        <v>22853</v>
      </c>
      <c r="K10212" t="s">
        <v>29334</v>
      </c>
      <c r="M10212" t="s">
        <v>32454</v>
      </c>
      <c r="N10212" t="s">
        <v>32524</v>
      </c>
      <c r="O10212" t="s">
        <v>32525</v>
      </c>
      <c r="P10212">
        <v>0</v>
      </c>
      <c r="Q10212">
        <v>0</v>
      </c>
      <c r="R10212" t="s">
        <v>32539</v>
      </c>
      <c r="S10212" t="s">
        <v>33010</v>
      </c>
      <c r="T10212" t="s">
        <v>33389</v>
      </c>
      <c r="U10212" t="s">
        <v>42022</v>
      </c>
      <c r="W10212" t="s">
        <v>32454</v>
      </c>
      <c r="X10212" t="s">
        <v>32540</v>
      </c>
    </row>
    <row r="10213" spans="1:24">
      <c r="A10213">
        <f>HYPERLINK("https://www.philgeps.gov.ph/GEPSNONPILOT/Tender/SplashBidNoticeAbstractUI.aspx?menuIndex=3&amp;refID=7023459&amp;Result=3","7023459")</f>
        <v>0</v>
      </c>
      <c r="B10213" t="s">
        <v>2628</v>
      </c>
      <c r="C10213" t="s">
        <v>12464</v>
      </c>
      <c r="D10213" t="s">
        <v>12988</v>
      </c>
      <c r="E10213" t="s">
        <v>21965</v>
      </c>
      <c r="F10213" t="s">
        <v>22436</v>
      </c>
      <c r="G10213" t="s">
        <v>22444</v>
      </c>
      <c r="H10213" t="s">
        <v>22453</v>
      </c>
      <c r="I10213" t="s">
        <v>22469</v>
      </c>
      <c r="J10213" t="s">
        <v>29023</v>
      </c>
      <c r="K10213" t="s">
        <v>29586</v>
      </c>
      <c r="M10213" t="s">
        <v>32459</v>
      </c>
      <c r="N10213" t="s">
        <v>32524</v>
      </c>
      <c r="O10213" t="s">
        <v>32525</v>
      </c>
      <c r="P10213">
        <v>0</v>
      </c>
      <c r="Q10213">
        <v>18</v>
      </c>
      <c r="R10213" t="s">
        <v>32539</v>
      </c>
      <c r="S10213" t="s">
        <v>33010</v>
      </c>
      <c r="T10213" t="s">
        <v>33466</v>
      </c>
      <c r="U10213" t="s">
        <v>42017</v>
      </c>
      <c r="W10213" t="s">
        <v>43772</v>
      </c>
      <c r="X10213" t="s">
        <v>32540</v>
      </c>
    </row>
    <row r="10214" spans="1:24">
      <c r="A10214">
        <f>HYPERLINK("https://www.philgeps.gov.ph/GEPSNONPILOT/Tender/SplashBidNoticeAbstractUI.aspx?menuIndex=3&amp;refID=7023488&amp;Result=3","7023488")</f>
        <v>0</v>
      </c>
      <c r="B10214" t="s">
        <v>2628</v>
      </c>
      <c r="C10214" t="s">
        <v>12465</v>
      </c>
      <c r="D10214" t="s">
        <v>12988</v>
      </c>
      <c r="E10214" t="s">
        <v>21966</v>
      </c>
      <c r="F10214" t="s">
        <v>22436</v>
      </c>
      <c r="G10214" t="s">
        <v>22444</v>
      </c>
      <c r="H10214" t="s">
        <v>22453</v>
      </c>
      <c r="I10214" t="s">
        <v>22469</v>
      </c>
      <c r="J10214" t="s">
        <v>29024</v>
      </c>
      <c r="K10214" t="s">
        <v>29586</v>
      </c>
      <c r="M10214" t="s">
        <v>32459</v>
      </c>
      <c r="N10214" t="s">
        <v>32524</v>
      </c>
      <c r="O10214" t="s">
        <v>32525</v>
      </c>
      <c r="P10214">
        <v>0</v>
      </c>
      <c r="Q10214">
        <v>17</v>
      </c>
      <c r="R10214" t="s">
        <v>32539</v>
      </c>
      <c r="S10214" t="s">
        <v>33010</v>
      </c>
      <c r="T10214" t="s">
        <v>33466</v>
      </c>
      <c r="U10214" t="s">
        <v>42017</v>
      </c>
      <c r="W10214" t="s">
        <v>43772</v>
      </c>
      <c r="X10214" t="s">
        <v>32540</v>
      </c>
    </row>
    <row r="10215" spans="1:24">
      <c r="A10215">
        <f>HYPERLINK("https://www.philgeps.gov.ph/GEPSNONPILOT/Tender/SplashBidNoticeAbstractUI.aspx?menuIndex=3&amp;refID=7023452&amp;Result=3","7023452")</f>
        <v>0</v>
      </c>
      <c r="B10215" t="s">
        <v>2630</v>
      </c>
      <c r="C10215" t="s">
        <v>12466</v>
      </c>
      <c r="D10215" t="s">
        <v>12988</v>
      </c>
      <c r="E10215" t="s">
        <v>21967</v>
      </c>
      <c r="F10215" t="s">
        <v>22436</v>
      </c>
      <c r="G10215" t="s">
        <v>22444</v>
      </c>
      <c r="H10215" t="s">
        <v>22452</v>
      </c>
      <c r="I10215" t="s">
        <v>22474</v>
      </c>
      <c r="J10215" t="s">
        <v>29025</v>
      </c>
      <c r="K10215" t="s">
        <v>29335</v>
      </c>
      <c r="M10215" t="s">
        <v>32461</v>
      </c>
      <c r="N10215" t="s">
        <v>32524</v>
      </c>
      <c r="O10215" t="s">
        <v>32525</v>
      </c>
      <c r="Q10215">
        <v>13</v>
      </c>
      <c r="R10215" t="s">
        <v>32539</v>
      </c>
      <c r="S10215" t="s">
        <v>33062</v>
      </c>
      <c r="T10215" t="s">
        <v>33385</v>
      </c>
      <c r="U10215" t="s">
        <v>42023</v>
      </c>
      <c r="W10215" t="s">
        <v>32461</v>
      </c>
      <c r="X10215" t="s">
        <v>32540</v>
      </c>
    </row>
    <row r="10216" spans="1:24">
      <c r="A10216">
        <f>HYPERLINK("https://www.philgeps.gov.ph/GEPSNONPILOT/Tender/SplashBidNoticeAbstractUI.aspx?menuIndex=3&amp;refID=7023478&amp;Result=3","7023478")</f>
        <v>0</v>
      </c>
      <c r="B10216" t="s">
        <v>180</v>
      </c>
      <c r="C10216" t="s">
        <v>12467</v>
      </c>
      <c r="D10216" t="s">
        <v>13026</v>
      </c>
      <c r="E10216" t="s">
        <v>21968</v>
      </c>
      <c r="F10216" t="s">
        <v>22436</v>
      </c>
      <c r="G10216" t="s">
        <v>22444</v>
      </c>
      <c r="H10216" t="s">
        <v>22454</v>
      </c>
      <c r="I10216" t="s">
        <v>7738</v>
      </c>
      <c r="J10216" t="s">
        <v>24183</v>
      </c>
      <c r="K10216" t="s">
        <v>29329</v>
      </c>
      <c r="M10216" t="s">
        <v>32450</v>
      </c>
      <c r="N10216" t="s">
        <v>32524</v>
      </c>
      <c r="O10216" t="s">
        <v>32525</v>
      </c>
      <c r="P10216">
        <v>0</v>
      </c>
      <c r="Q10216">
        <v>1</v>
      </c>
      <c r="R10216" t="s">
        <v>32539</v>
      </c>
      <c r="S10216" t="s">
        <v>33010</v>
      </c>
      <c r="T10216" t="s">
        <v>33211</v>
      </c>
      <c r="U10216" t="s">
        <v>42024</v>
      </c>
      <c r="W10216" t="s">
        <v>32450</v>
      </c>
      <c r="X10216" t="s">
        <v>32540</v>
      </c>
    </row>
    <row r="10217" spans="1:24">
      <c r="A10217">
        <f>HYPERLINK("https://www.philgeps.gov.ph/GEPSNONPILOT/Tender/SplashBidNoticeAbstractUI.aspx?menuIndex=3&amp;refID=7023499&amp;Result=3","7023499")</f>
        <v>0</v>
      </c>
      <c r="B10217" t="s">
        <v>1661</v>
      </c>
      <c r="C10217" t="s">
        <v>12468</v>
      </c>
      <c r="D10217" t="s">
        <v>13053</v>
      </c>
      <c r="E10217" t="s">
        <v>21969</v>
      </c>
      <c r="F10217" t="s">
        <v>22436</v>
      </c>
      <c r="G10217" t="s">
        <v>22444</v>
      </c>
      <c r="H10217" t="s">
        <v>22454</v>
      </c>
      <c r="I10217" t="s">
        <v>7738</v>
      </c>
      <c r="J10217" t="s">
        <v>22779</v>
      </c>
      <c r="K10217" t="s">
        <v>29333</v>
      </c>
      <c r="M10217" t="s">
        <v>31358</v>
      </c>
      <c r="N10217" t="s">
        <v>32524</v>
      </c>
      <c r="O10217" t="s">
        <v>32525</v>
      </c>
      <c r="P10217">
        <v>0</v>
      </c>
      <c r="Q10217">
        <v>1</v>
      </c>
      <c r="R10217" t="s">
        <v>32539</v>
      </c>
      <c r="S10217" t="s">
        <v>33010</v>
      </c>
      <c r="T10217" t="s">
        <v>33203</v>
      </c>
      <c r="U10217" t="s">
        <v>42025</v>
      </c>
      <c r="W10217" t="s">
        <v>31358</v>
      </c>
      <c r="X10217" t="s">
        <v>32540</v>
      </c>
    </row>
    <row r="10218" spans="1:24">
      <c r="A10218">
        <f>HYPERLINK("https://www.philgeps.gov.ph/GEPSNONPILOT/Tender/SplashBidNoticeAbstractUI.aspx?menuIndex=3&amp;refID=7023472&amp;Result=3","7023472")</f>
        <v>0</v>
      </c>
      <c r="B10218" t="s">
        <v>1661</v>
      </c>
      <c r="C10218" t="s">
        <v>12469</v>
      </c>
      <c r="D10218" t="s">
        <v>13053</v>
      </c>
      <c r="E10218" t="s">
        <v>21970</v>
      </c>
      <c r="F10218" t="s">
        <v>22436</v>
      </c>
      <c r="G10218" t="s">
        <v>22444</v>
      </c>
      <c r="H10218" t="s">
        <v>22454</v>
      </c>
      <c r="I10218" t="s">
        <v>7738</v>
      </c>
      <c r="J10218" t="s">
        <v>29026</v>
      </c>
      <c r="K10218" t="s">
        <v>29583</v>
      </c>
      <c r="M10218" t="s">
        <v>31358</v>
      </c>
      <c r="N10218" t="s">
        <v>32524</v>
      </c>
      <c r="O10218" t="s">
        <v>32525</v>
      </c>
      <c r="P10218">
        <v>0</v>
      </c>
      <c r="Q10218">
        <v>1</v>
      </c>
      <c r="R10218" t="s">
        <v>32539</v>
      </c>
      <c r="S10218" t="s">
        <v>33010</v>
      </c>
      <c r="T10218" t="s">
        <v>33203</v>
      </c>
      <c r="U10218" t="s">
        <v>42026</v>
      </c>
      <c r="W10218" t="s">
        <v>31358</v>
      </c>
      <c r="X10218" t="s">
        <v>32540</v>
      </c>
    </row>
    <row r="10219" spans="1:24">
      <c r="A10219">
        <f>HYPERLINK("https://www.philgeps.gov.ph/GEPSNONPILOT/Tender/SplashBidNoticeAbstractUI.aspx?menuIndex=3&amp;refID=7023532&amp;Result=3","7023532")</f>
        <v>0</v>
      </c>
      <c r="B10219" t="s">
        <v>1791</v>
      </c>
      <c r="C10219" t="s">
        <v>12470</v>
      </c>
      <c r="D10219" t="s">
        <v>13065</v>
      </c>
      <c r="E10219" t="s">
        <v>21971</v>
      </c>
      <c r="F10219" t="s">
        <v>22436</v>
      </c>
      <c r="G10219" t="s">
        <v>22444</v>
      </c>
      <c r="H10219" t="s">
        <v>22454</v>
      </c>
      <c r="I10219" t="s">
        <v>7738</v>
      </c>
      <c r="J10219" t="s">
        <v>29027</v>
      </c>
      <c r="K10219" t="s">
        <v>29335</v>
      </c>
      <c r="M10219" t="s">
        <v>31502</v>
      </c>
      <c r="N10219" t="s">
        <v>32524</v>
      </c>
      <c r="O10219" t="s">
        <v>32525</v>
      </c>
      <c r="P10219">
        <v>0</v>
      </c>
      <c r="Q10219">
        <v>0</v>
      </c>
      <c r="R10219" t="s">
        <v>32539</v>
      </c>
      <c r="S10219" t="s">
        <v>33010</v>
      </c>
      <c r="T10219" t="s">
        <v>33181</v>
      </c>
      <c r="U10219" t="s">
        <v>42027</v>
      </c>
      <c r="V10219" t="s">
        <v>43018</v>
      </c>
      <c r="W10219" t="s">
        <v>31502</v>
      </c>
      <c r="X10219" t="s">
        <v>32540</v>
      </c>
    </row>
    <row r="10220" spans="1:24">
      <c r="A10220">
        <f>HYPERLINK("https://www.philgeps.gov.ph/GEPSNONPILOT/Tender/SplashBidNoticeAbstractUI.aspx?menuIndex=3&amp;refID=7023509&amp;Result=3","7023509")</f>
        <v>0</v>
      </c>
      <c r="B10220" t="s">
        <v>750</v>
      </c>
      <c r="C10220" t="s">
        <v>12471</v>
      </c>
      <c r="D10220" t="s">
        <v>13031</v>
      </c>
      <c r="E10220" t="s">
        <v>21972</v>
      </c>
      <c r="F10220" t="s">
        <v>22436</v>
      </c>
      <c r="G10220" t="s">
        <v>22444</v>
      </c>
      <c r="H10220" t="s">
        <v>22454</v>
      </c>
      <c r="I10220" t="s">
        <v>7738</v>
      </c>
      <c r="J10220" t="s">
        <v>22779</v>
      </c>
      <c r="K10220" t="s">
        <v>29334</v>
      </c>
      <c r="M10220" t="s">
        <v>30351</v>
      </c>
      <c r="N10220" t="s">
        <v>32524</v>
      </c>
      <c r="O10220" t="s">
        <v>32525</v>
      </c>
      <c r="P10220">
        <v>0</v>
      </c>
      <c r="Q10220">
        <v>0</v>
      </c>
      <c r="R10220" t="s">
        <v>32539</v>
      </c>
      <c r="S10220" t="s">
        <v>33010</v>
      </c>
      <c r="T10220" t="s">
        <v>33186</v>
      </c>
      <c r="U10220" t="s">
        <v>42028</v>
      </c>
      <c r="W10220" t="s">
        <v>30351</v>
      </c>
      <c r="X10220" t="s">
        <v>32540</v>
      </c>
    </row>
    <row r="10221" spans="1:24">
      <c r="A10221">
        <f>HYPERLINK("https://www.philgeps.gov.ph/GEPSNONPILOT/Tender/SplashBidNoticeAbstractUI.aspx?menuIndex=3&amp;refID=7023529&amp;Result=3","7023529")</f>
        <v>0</v>
      </c>
      <c r="B10221" t="s">
        <v>2631</v>
      </c>
      <c r="C10221" t="s">
        <v>12472</v>
      </c>
      <c r="D10221" t="s">
        <v>12988</v>
      </c>
      <c r="E10221" t="s">
        <v>13137</v>
      </c>
      <c r="F10221" t="s">
        <v>22437</v>
      </c>
      <c r="G10221" t="s">
        <v>22444</v>
      </c>
      <c r="H10221" t="s">
        <v>22452</v>
      </c>
      <c r="I10221" t="s">
        <v>5194</v>
      </c>
      <c r="J10221" t="s">
        <v>29028</v>
      </c>
      <c r="K10221" t="s">
        <v>29335</v>
      </c>
      <c r="M10221" t="s">
        <v>32462</v>
      </c>
      <c r="N10221" t="s">
        <v>32524</v>
      </c>
      <c r="O10221" t="s">
        <v>32525</v>
      </c>
      <c r="P10221">
        <v>0</v>
      </c>
      <c r="Q10221">
        <v>2</v>
      </c>
      <c r="R10221" t="s">
        <v>32539</v>
      </c>
      <c r="S10221" t="s">
        <v>33010</v>
      </c>
      <c r="T10221" t="s">
        <v>33608</v>
      </c>
      <c r="U10221" t="s">
        <v>42029</v>
      </c>
      <c r="W10221" t="s">
        <v>32462</v>
      </c>
      <c r="X10221" t="s">
        <v>32540</v>
      </c>
    </row>
    <row r="10222" spans="1:24">
      <c r="A10222">
        <f>HYPERLINK("https://www.philgeps.gov.ph/GEPSNONPILOT/Tender/SplashBidNoticeAbstractUI.aspx?menuIndex=3&amp;refID=7023600&amp;Result=3","7023600")</f>
        <v>0</v>
      </c>
      <c r="B10222" t="s">
        <v>512</v>
      </c>
      <c r="C10222" t="s">
        <v>12473</v>
      </c>
      <c r="D10222" t="s">
        <v>12995</v>
      </c>
      <c r="E10222" t="s">
        <v>21973</v>
      </c>
      <c r="F10222" t="s">
        <v>22436</v>
      </c>
      <c r="G10222" t="s">
        <v>22444</v>
      </c>
      <c r="H10222" t="s">
        <v>22454</v>
      </c>
      <c r="I10222" t="s">
        <v>7738</v>
      </c>
      <c r="J10222" t="s">
        <v>22743</v>
      </c>
      <c r="K10222" t="s">
        <v>29390</v>
      </c>
      <c r="M10222" t="s">
        <v>30096</v>
      </c>
      <c r="N10222" t="s">
        <v>32524</v>
      </c>
      <c r="O10222" t="s">
        <v>32525</v>
      </c>
      <c r="P10222">
        <v>0</v>
      </c>
      <c r="Q10222">
        <v>1</v>
      </c>
      <c r="R10222" t="s">
        <v>32539</v>
      </c>
      <c r="S10222" t="s">
        <v>33010</v>
      </c>
      <c r="T10222" t="s">
        <v>33181</v>
      </c>
      <c r="U10222" t="s">
        <v>34661</v>
      </c>
      <c r="W10222" t="s">
        <v>30096</v>
      </c>
      <c r="X10222" t="s">
        <v>32540</v>
      </c>
    </row>
    <row r="10223" spans="1:24">
      <c r="A10223">
        <f>HYPERLINK("https://www.philgeps.gov.ph/GEPSNONPILOT/Tender/SplashBidNoticeAbstractUI.aspx?menuIndex=3&amp;refID=7023505&amp;Result=3","7023505")</f>
        <v>0</v>
      </c>
      <c r="B10223" t="s">
        <v>40</v>
      </c>
      <c r="C10223" t="s">
        <v>12474</v>
      </c>
      <c r="D10223" t="s">
        <v>13001</v>
      </c>
      <c r="E10223" t="s">
        <v>21974</v>
      </c>
      <c r="F10223" t="s">
        <v>22436</v>
      </c>
      <c r="G10223" t="s">
        <v>22444</v>
      </c>
      <c r="H10223" t="s">
        <v>22454</v>
      </c>
      <c r="I10223" t="s">
        <v>7738</v>
      </c>
      <c r="J10223" t="s">
        <v>25346</v>
      </c>
      <c r="K10223" t="s">
        <v>29344</v>
      </c>
      <c r="M10223" t="s">
        <v>29611</v>
      </c>
      <c r="N10223" t="s">
        <v>32524</v>
      </c>
      <c r="O10223" t="s">
        <v>32525</v>
      </c>
      <c r="P10223">
        <v>0</v>
      </c>
      <c r="Q10223">
        <v>31</v>
      </c>
      <c r="R10223" t="s">
        <v>32539</v>
      </c>
      <c r="S10223" t="s">
        <v>33010</v>
      </c>
      <c r="T10223" t="s">
        <v>33171</v>
      </c>
      <c r="U10223" t="s">
        <v>41466</v>
      </c>
      <c r="V10223" t="s">
        <v>42423</v>
      </c>
      <c r="W10223" t="s">
        <v>29611</v>
      </c>
      <c r="X10223" t="s">
        <v>32540</v>
      </c>
    </row>
    <row r="10224" spans="1:24">
      <c r="A10224">
        <f>HYPERLINK("https://www.philgeps.gov.ph/GEPSNONPILOT/Tender/SplashBidNoticeAbstractUI.aspx?menuIndex=3&amp;refID=7023598&amp;Result=3","7023598")</f>
        <v>0</v>
      </c>
      <c r="B10224" t="s">
        <v>986</v>
      </c>
      <c r="C10224" t="s">
        <v>12475</v>
      </c>
      <c r="D10224" t="s">
        <v>13016</v>
      </c>
      <c r="E10224" t="s">
        <v>17278</v>
      </c>
      <c r="F10224" t="s">
        <v>22436</v>
      </c>
      <c r="G10224" t="s">
        <v>22444</v>
      </c>
      <c r="H10224" t="s">
        <v>22452</v>
      </c>
      <c r="I10224" t="s">
        <v>3529</v>
      </c>
      <c r="J10224" t="s">
        <v>29029</v>
      </c>
      <c r="K10224" t="s">
        <v>29373</v>
      </c>
      <c r="L10224" t="s">
        <v>986</v>
      </c>
      <c r="M10224" t="s">
        <v>30608</v>
      </c>
      <c r="N10224" t="s">
        <v>32524</v>
      </c>
      <c r="O10224" t="s">
        <v>32525</v>
      </c>
      <c r="P10224">
        <v>0</v>
      </c>
      <c r="Q10224">
        <v>1</v>
      </c>
      <c r="R10224" t="s">
        <v>32539</v>
      </c>
      <c r="S10224" t="s">
        <v>33010</v>
      </c>
      <c r="T10224" t="s">
        <v>33180</v>
      </c>
      <c r="U10224" t="s">
        <v>42030</v>
      </c>
      <c r="V10224" t="s">
        <v>43611</v>
      </c>
      <c r="W10224" t="s">
        <v>30608</v>
      </c>
      <c r="X10224" t="s">
        <v>32540</v>
      </c>
    </row>
    <row r="10225" spans="1:24">
      <c r="A10225">
        <f>HYPERLINK("https://www.philgeps.gov.ph/GEPSNONPILOT/Tender/SplashBidNoticeAbstractUI.aspx?menuIndex=3&amp;refID=7023557&amp;Result=3","7023557")</f>
        <v>0</v>
      </c>
      <c r="B10225" t="s">
        <v>2632</v>
      </c>
      <c r="C10225" t="s">
        <v>12476</v>
      </c>
      <c r="D10225" t="s">
        <v>12988</v>
      </c>
      <c r="E10225" t="s">
        <v>21975</v>
      </c>
      <c r="F10225" t="s">
        <v>22436</v>
      </c>
      <c r="G10225" t="s">
        <v>22444</v>
      </c>
      <c r="H10225" t="s">
        <v>22452</v>
      </c>
      <c r="I10225" t="s">
        <v>6421</v>
      </c>
      <c r="J10225" t="s">
        <v>29030</v>
      </c>
      <c r="K10225" t="s">
        <v>29341</v>
      </c>
      <c r="M10225" t="s">
        <v>32463</v>
      </c>
      <c r="N10225" t="s">
        <v>32524</v>
      </c>
      <c r="O10225" t="s">
        <v>32525</v>
      </c>
      <c r="P10225">
        <v>0</v>
      </c>
      <c r="Q10225">
        <v>9</v>
      </c>
      <c r="R10225" t="s">
        <v>32539</v>
      </c>
      <c r="S10225" t="s">
        <v>33010</v>
      </c>
      <c r="T10225" t="s">
        <v>33181</v>
      </c>
      <c r="U10225" t="s">
        <v>42031</v>
      </c>
      <c r="W10225" t="s">
        <v>32463</v>
      </c>
      <c r="X10225" t="s">
        <v>32540</v>
      </c>
    </row>
    <row r="10226" spans="1:24">
      <c r="A10226">
        <f>HYPERLINK("https://www.philgeps.gov.ph/GEPSNONPILOT/Tender/SplashBidNoticeAbstractUI.aspx?menuIndex=3&amp;refID=7023588&amp;Result=3","7023588")</f>
        <v>0</v>
      </c>
      <c r="B10226" t="s">
        <v>1964</v>
      </c>
      <c r="C10226" t="s">
        <v>12477</v>
      </c>
      <c r="D10226" t="s">
        <v>13039</v>
      </c>
      <c r="E10226" t="s">
        <v>21976</v>
      </c>
      <c r="F10226" t="s">
        <v>22436</v>
      </c>
      <c r="G10226" t="s">
        <v>22444</v>
      </c>
      <c r="H10226" t="s">
        <v>22454</v>
      </c>
      <c r="I10226" t="s">
        <v>7738</v>
      </c>
      <c r="J10226" t="s">
        <v>29031</v>
      </c>
      <c r="K10226" t="s">
        <v>29344</v>
      </c>
      <c r="M10226" t="s">
        <v>31695</v>
      </c>
      <c r="N10226" t="s">
        <v>32524</v>
      </c>
      <c r="O10226" t="s">
        <v>32525</v>
      </c>
      <c r="P10226">
        <v>0</v>
      </c>
      <c r="Q10226">
        <v>0</v>
      </c>
      <c r="R10226" t="s">
        <v>32539</v>
      </c>
      <c r="S10226" t="s">
        <v>33010</v>
      </c>
      <c r="T10226" t="s">
        <v>33593</v>
      </c>
      <c r="U10226" t="s">
        <v>42032</v>
      </c>
      <c r="W10226" t="s">
        <v>31695</v>
      </c>
      <c r="X10226" t="s">
        <v>32540</v>
      </c>
    </row>
    <row r="10227" spans="1:24">
      <c r="A10227">
        <f>HYPERLINK("https://www.philgeps.gov.ph/GEPSNONPILOT/Tender/SplashBidNoticeAbstractUI.aspx?menuIndex=3&amp;refID=7023526&amp;Result=3","7023526")</f>
        <v>0</v>
      </c>
      <c r="B10227" t="s">
        <v>1964</v>
      </c>
      <c r="C10227" t="s">
        <v>12478</v>
      </c>
      <c r="D10227" t="s">
        <v>13039</v>
      </c>
      <c r="E10227" t="s">
        <v>21977</v>
      </c>
      <c r="F10227" t="s">
        <v>22436</v>
      </c>
      <c r="G10227" t="s">
        <v>22444</v>
      </c>
      <c r="H10227" t="s">
        <v>22454</v>
      </c>
      <c r="I10227" t="s">
        <v>7738</v>
      </c>
      <c r="J10227" t="s">
        <v>29032</v>
      </c>
      <c r="K10227" t="s">
        <v>29344</v>
      </c>
      <c r="M10227" t="s">
        <v>31695</v>
      </c>
      <c r="N10227" t="s">
        <v>32524</v>
      </c>
      <c r="O10227" t="s">
        <v>32525</v>
      </c>
      <c r="P10227">
        <v>0</v>
      </c>
      <c r="Q10227">
        <v>0</v>
      </c>
      <c r="R10227" t="s">
        <v>32539</v>
      </c>
      <c r="S10227" t="s">
        <v>33010</v>
      </c>
      <c r="T10227" t="s">
        <v>33593</v>
      </c>
      <c r="U10227" t="s">
        <v>42033</v>
      </c>
      <c r="W10227" t="s">
        <v>31695</v>
      </c>
      <c r="X10227" t="s">
        <v>32540</v>
      </c>
    </row>
    <row r="10228" spans="1:24">
      <c r="A10228">
        <f>HYPERLINK("https://www.philgeps.gov.ph/GEPSNONPILOT/Tender/SplashBidNoticeAbstractUI.aspx?menuIndex=3&amp;refID=7023546&amp;Result=3","7023546")</f>
        <v>0</v>
      </c>
      <c r="B10228" t="s">
        <v>1913</v>
      </c>
      <c r="C10228" t="s">
        <v>12479</v>
      </c>
      <c r="D10228" t="s">
        <v>13032</v>
      </c>
      <c r="E10228" t="s">
        <v>21978</v>
      </c>
      <c r="F10228" t="s">
        <v>22436</v>
      </c>
      <c r="G10228" t="s">
        <v>22444</v>
      </c>
      <c r="H10228" t="s">
        <v>22454</v>
      </c>
      <c r="I10228" t="s">
        <v>7738</v>
      </c>
      <c r="J10228" t="s">
        <v>29033</v>
      </c>
      <c r="K10228" t="s">
        <v>29571</v>
      </c>
      <c r="M10228" t="s">
        <v>31637</v>
      </c>
      <c r="N10228" t="s">
        <v>32524</v>
      </c>
      <c r="O10228" t="s">
        <v>32525</v>
      </c>
      <c r="P10228">
        <v>0</v>
      </c>
      <c r="Q10228">
        <v>0</v>
      </c>
      <c r="R10228" t="s">
        <v>32539</v>
      </c>
      <c r="S10228" t="s">
        <v>33010</v>
      </c>
      <c r="T10228" t="s">
        <v>33230</v>
      </c>
      <c r="U10228" t="s">
        <v>42034</v>
      </c>
      <c r="V10228" t="s">
        <v>43612</v>
      </c>
      <c r="W10228" t="s">
        <v>31637</v>
      </c>
      <c r="X10228" t="s">
        <v>32540</v>
      </c>
    </row>
    <row r="10229" spans="1:24">
      <c r="A10229">
        <f>HYPERLINK("https://www.philgeps.gov.ph/GEPSNONPILOT/Tender/SplashBidNoticeAbstractUI.aspx?menuIndex=3&amp;refID=7023568&amp;Result=3","7023568")</f>
        <v>0</v>
      </c>
      <c r="B10229" t="s">
        <v>1664</v>
      </c>
      <c r="C10229" t="s">
        <v>12480</v>
      </c>
      <c r="D10229" t="s">
        <v>12999</v>
      </c>
      <c r="E10229" t="s">
        <v>21979</v>
      </c>
      <c r="F10229" t="s">
        <v>22436</v>
      </c>
      <c r="G10229" t="s">
        <v>22444</v>
      </c>
      <c r="H10229" t="s">
        <v>22454</v>
      </c>
      <c r="I10229" t="s">
        <v>7738</v>
      </c>
      <c r="J10229" t="s">
        <v>29034</v>
      </c>
      <c r="K10229" t="s">
        <v>29338</v>
      </c>
      <c r="M10229" t="s">
        <v>31361</v>
      </c>
      <c r="N10229" t="s">
        <v>32524</v>
      </c>
      <c r="O10229" t="s">
        <v>32525</v>
      </c>
      <c r="P10229">
        <v>0</v>
      </c>
      <c r="Q10229">
        <v>0</v>
      </c>
      <c r="R10229" t="s">
        <v>32539</v>
      </c>
      <c r="S10229" t="s">
        <v>33010</v>
      </c>
      <c r="T10229" t="s">
        <v>33593</v>
      </c>
      <c r="U10229" t="s">
        <v>36377</v>
      </c>
      <c r="W10229" t="s">
        <v>31361</v>
      </c>
      <c r="X10229" t="s">
        <v>32540</v>
      </c>
    </row>
    <row r="10230" spans="1:24">
      <c r="A10230">
        <f>HYPERLINK("https://www.philgeps.gov.ph/GEPSNONPILOT/Tender/SplashBidNoticeAbstractUI.aspx?menuIndex=3&amp;refID=7023555&amp;Result=3","7023555")</f>
        <v>0</v>
      </c>
      <c r="B10230" t="s">
        <v>2554</v>
      </c>
      <c r="C10230" t="s">
        <v>12481</v>
      </c>
      <c r="D10230" t="s">
        <v>13032</v>
      </c>
      <c r="E10230" t="s">
        <v>21980</v>
      </c>
      <c r="F10230" t="s">
        <v>22436</v>
      </c>
      <c r="G10230" t="s">
        <v>22444</v>
      </c>
      <c r="H10230" t="s">
        <v>22454</v>
      </c>
      <c r="I10230" t="s">
        <v>22496</v>
      </c>
      <c r="J10230" t="s">
        <v>29035</v>
      </c>
      <c r="K10230" t="s">
        <v>29333</v>
      </c>
      <c r="M10230" t="s">
        <v>32464</v>
      </c>
      <c r="N10230" t="s">
        <v>32524</v>
      </c>
      <c r="O10230" t="s">
        <v>32525</v>
      </c>
      <c r="Q10230">
        <v>1</v>
      </c>
      <c r="R10230" t="s">
        <v>32539</v>
      </c>
      <c r="S10230" t="s">
        <v>33063</v>
      </c>
      <c r="T10230" t="s">
        <v>33609</v>
      </c>
      <c r="U10230" t="s">
        <v>33843</v>
      </c>
      <c r="W10230" t="s">
        <v>32464</v>
      </c>
      <c r="X10230" t="s">
        <v>32540</v>
      </c>
    </row>
    <row r="10231" spans="1:24">
      <c r="A10231">
        <f>HYPERLINK("https://www.philgeps.gov.ph/GEPSNONPILOT/Tender/SplashBidNoticeAbstractUI.aspx?menuIndex=3&amp;refID=7023574&amp;Result=3","7023574")</f>
        <v>0</v>
      </c>
      <c r="B10231" t="s">
        <v>40</v>
      </c>
      <c r="C10231" t="s">
        <v>12482</v>
      </c>
      <c r="D10231" t="s">
        <v>13001</v>
      </c>
      <c r="E10231" t="s">
        <v>21981</v>
      </c>
      <c r="F10231" t="s">
        <v>22436</v>
      </c>
      <c r="G10231" t="s">
        <v>22444</v>
      </c>
      <c r="H10231" t="s">
        <v>22454</v>
      </c>
      <c r="I10231" t="s">
        <v>7738</v>
      </c>
      <c r="J10231" t="s">
        <v>24103</v>
      </c>
      <c r="K10231" t="s">
        <v>29344</v>
      </c>
      <c r="M10231" t="s">
        <v>29611</v>
      </c>
      <c r="N10231" t="s">
        <v>32524</v>
      </c>
      <c r="O10231" t="s">
        <v>32525</v>
      </c>
      <c r="P10231">
        <v>0</v>
      </c>
      <c r="Q10231">
        <v>25</v>
      </c>
      <c r="R10231" t="s">
        <v>32539</v>
      </c>
      <c r="S10231" t="s">
        <v>33010</v>
      </c>
      <c r="T10231" t="s">
        <v>33171</v>
      </c>
      <c r="U10231" t="s">
        <v>33644</v>
      </c>
      <c r="V10231" t="s">
        <v>42423</v>
      </c>
      <c r="W10231" t="s">
        <v>29611</v>
      </c>
      <c r="X10231" t="s">
        <v>32540</v>
      </c>
    </row>
    <row r="10232" spans="1:24">
      <c r="A10232">
        <f>HYPERLINK("https://www.philgeps.gov.ph/GEPSNONPILOT/Tender/SplashBidNoticeAbstractUI.aspx?menuIndex=3&amp;refID=7023581&amp;Result=3","7023581")</f>
        <v>0</v>
      </c>
      <c r="B10232" t="s">
        <v>69</v>
      </c>
      <c r="C10232" t="s">
        <v>12483</v>
      </c>
      <c r="D10232" t="s">
        <v>12988</v>
      </c>
      <c r="E10232" t="s">
        <v>14933</v>
      </c>
      <c r="F10232" t="s">
        <v>22436</v>
      </c>
      <c r="G10232" t="s">
        <v>22444</v>
      </c>
      <c r="H10232" t="s">
        <v>22452</v>
      </c>
      <c r="I10232" t="s">
        <v>22521</v>
      </c>
      <c r="J10232" t="s">
        <v>29036</v>
      </c>
      <c r="K10232" t="s">
        <v>29345</v>
      </c>
      <c r="M10232" t="s">
        <v>29641</v>
      </c>
      <c r="N10232" t="s">
        <v>32524</v>
      </c>
      <c r="O10232" t="s">
        <v>32525</v>
      </c>
      <c r="Q10232">
        <v>8</v>
      </c>
      <c r="R10232" t="s">
        <v>32539</v>
      </c>
      <c r="S10232" t="s">
        <v>33064</v>
      </c>
      <c r="T10232" t="s">
        <v>33168</v>
      </c>
      <c r="U10232" t="s">
        <v>42035</v>
      </c>
      <c r="W10232" t="s">
        <v>29641</v>
      </c>
      <c r="X10232" t="s">
        <v>32540</v>
      </c>
    </row>
    <row r="10233" spans="1:24">
      <c r="A10233">
        <f>HYPERLINK("https://www.philgeps.gov.ph/GEPSNONPILOT/Tender/SplashBidNoticeAbstractUI.aspx?menuIndex=3&amp;refID=7023540&amp;Result=3","7023540")</f>
        <v>0</v>
      </c>
      <c r="B10233" t="s">
        <v>40</v>
      </c>
      <c r="C10233" t="s">
        <v>12484</v>
      </c>
      <c r="D10233" t="s">
        <v>13001</v>
      </c>
      <c r="E10233" t="s">
        <v>21982</v>
      </c>
      <c r="F10233" t="s">
        <v>22436</v>
      </c>
      <c r="G10233" t="s">
        <v>22444</v>
      </c>
      <c r="H10233" t="s">
        <v>22454</v>
      </c>
      <c r="I10233" t="s">
        <v>7738</v>
      </c>
      <c r="J10233" t="s">
        <v>25346</v>
      </c>
      <c r="K10233" t="s">
        <v>29344</v>
      </c>
      <c r="M10233" t="s">
        <v>29611</v>
      </c>
      <c r="N10233" t="s">
        <v>32524</v>
      </c>
      <c r="O10233" t="s">
        <v>32525</v>
      </c>
      <c r="P10233">
        <v>0</v>
      </c>
      <c r="Q10233">
        <v>29</v>
      </c>
      <c r="R10233" t="s">
        <v>32539</v>
      </c>
      <c r="S10233" t="s">
        <v>33010</v>
      </c>
      <c r="T10233" t="s">
        <v>33171</v>
      </c>
      <c r="U10233" t="s">
        <v>40060</v>
      </c>
      <c r="V10233" t="s">
        <v>42423</v>
      </c>
      <c r="W10233" t="s">
        <v>29611</v>
      </c>
      <c r="X10233" t="s">
        <v>32540</v>
      </c>
    </row>
    <row r="10234" spans="1:24">
      <c r="A10234">
        <f>HYPERLINK("https://www.philgeps.gov.ph/GEPSNONPILOT/Tender/SplashBidNoticeAbstractUI.aspx?menuIndex=3&amp;refID=7023594&amp;Result=3","7023594")</f>
        <v>0</v>
      </c>
      <c r="B10234" t="s">
        <v>2631</v>
      </c>
      <c r="C10234" t="s">
        <v>12485</v>
      </c>
      <c r="D10234" t="s">
        <v>12988</v>
      </c>
      <c r="E10234" t="s">
        <v>13127</v>
      </c>
      <c r="F10234" t="s">
        <v>22437</v>
      </c>
      <c r="G10234" t="s">
        <v>22444</v>
      </c>
      <c r="H10234" t="s">
        <v>22452</v>
      </c>
      <c r="I10234" t="s">
        <v>2981</v>
      </c>
      <c r="J10234" t="s">
        <v>22806</v>
      </c>
      <c r="K10234" t="s">
        <v>29335</v>
      </c>
      <c r="M10234" t="s">
        <v>32462</v>
      </c>
      <c r="N10234" t="s">
        <v>32524</v>
      </c>
      <c r="O10234" t="s">
        <v>32525</v>
      </c>
      <c r="P10234">
        <v>0</v>
      </c>
      <c r="Q10234">
        <v>1</v>
      </c>
      <c r="R10234" t="s">
        <v>32539</v>
      </c>
      <c r="S10234" t="s">
        <v>33010</v>
      </c>
      <c r="T10234" t="s">
        <v>33608</v>
      </c>
      <c r="U10234" t="s">
        <v>42036</v>
      </c>
      <c r="W10234" t="s">
        <v>32462</v>
      </c>
      <c r="X10234" t="s">
        <v>32540</v>
      </c>
    </row>
    <row r="10235" spans="1:24">
      <c r="A10235">
        <f>HYPERLINK("https://www.philgeps.gov.ph/GEPSNONPILOT/Tender/SplashBidNoticeAbstractUI.aspx?menuIndex=3&amp;refID=7023610&amp;Result=3","7023610")</f>
        <v>0</v>
      </c>
      <c r="B10235" t="s">
        <v>353</v>
      </c>
      <c r="C10235" t="s">
        <v>12486</v>
      </c>
      <c r="D10235" t="s">
        <v>13034</v>
      </c>
      <c r="E10235" t="s">
        <v>21983</v>
      </c>
      <c r="F10235" t="s">
        <v>22436</v>
      </c>
      <c r="G10235" t="s">
        <v>22444</v>
      </c>
      <c r="H10235" t="s">
        <v>22454</v>
      </c>
      <c r="I10235" t="s">
        <v>7738</v>
      </c>
      <c r="J10235" t="s">
        <v>24470</v>
      </c>
      <c r="K10235" t="s">
        <v>29333</v>
      </c>
      <c r="M10235" t="s">
        <v>29930</v>
      </c>
      <c r="N10235" t="s">
        <v>32524</v>
      </c>
      <c r="O10235" t="s">
        <v>32525</v>
      </c>
      <c r="P10235">
        <v>0</v>
      </c>
      <c r="Q10235">
        <v>0</v>
      </c>
      <c r="R10235" t="s">
        <v>32539</v>
      </c>
      <c r="S10235" t="s">
        <v>33010</v>
      </c>
      <c r="T10235" t="s">
        <v>33230</v>
      </c>
      <c r="U10235" t="s">
        <v>42037</v>
      </c>
      <c r="W10235" t="s">
        <v>29930</v>
      </c>
      <c r="X10235" t="s">
        <v>32540</v>
      </c>
    </row>
    <row r="10236" spans="1:24">
      <c r="A10236">
        <f>HYPERLINK("https://www.philgeps.gov.ph/GEPSNONPILOT/Tender/SplashBidNoticeAbstractUI.aspx?menuIndex=3&amp;refID=7023570&amp;Result=3","7023570")</f>
        <v>0</v>
      </c>
      <c r="B10236" t="s">
        <v>2327</v>
      </c>
      <c r="C10236" t="s">
        <v>12487</v>
      </c>
      <c r="D10236" t="s">
        <v>13054</v>
      </c>
      <c r="E10236" t="s">
        <v>20778</v>
      </c>
      <c r="F10236" t="s">
        <v>22436</v>
      </c>
      <c r="G10236" t="s">
        <v>22444</v>
      </c>
      <c r="H10236" t="s">
        <v>22454</v>
      </c>
      <c r="I10236" t="s">
        <v>7738</v>
      </c>
      <c r="J10236" t="s">
        <v>23610</v>
      </c>
      <c r="K10236" t="s">
        <v>29338</v>
      </c>
      <c r="M10236" t="s">
        <v>32104</v>
      </c>
      <c r="N10236" t="s">
        <v>32524</v>
      </c>
      <c r="O10236" t="s">
        <v>32525</v>
      </c>
      <c r="P10236">
        <v>0</v>
      </c>
      <c r="Q10236">
        <v>0</v>
      </c>
      <c r="R10236" t="s">
        <v>32539</v>
      </c>
      <c r="S10236" t="s">
        <v>33010</v>
      </c>
      <c r="T10236" t="s">
        <v>33181</v>
      </c>
      <c r="U10236" t="s">
        <v>42038</v>
      </c>
      <c r="V10236" t="s">
        <v>43607</v>
      </c>
      <c r="W10236" t="s">
        <v>32104</v>
      </c>
      <c r="X10236" t="s">
        <v>32540</v>
      </c>
    </row>
    <row r="10237" spans="1:24">
      <c r="A10237">
        <f>HYPERLINK("https://www.philgeps.gov.ph/GEPSNONPILOT/Tender/SplashBidNoticeAbstractUI.aspx?menuIndex=3&amp;refID=7023559&amp;Result=3","7023559")</f>
        <v>0</v>
      </c>
      <c r="B10237" t="s">
        <v>2631</v>
      </c>
      <c r="C10237" t="s">
        <v>12488</v>
      </c>
      <c r="D10237" t="s">
        <v>12988</v>
      </c>
      <c r="E10237" t="s">
        <v>13165</v>
      </c>
      <c r="F10237" t="s">
        <v>22437</v>
      </c>
      <c r="G10237" t="s">
        <v>22444</v>
      </c>
      <c r="H10237" t="s">
        <v>22452</v>
      </c>
      <c r="I10237" t="s">
        <v>2981</v>
      </c>
      <c r="J10237" t="s">
        <v>29037</v>
      </c>
      <c r="K10237" t="s">
        <v>29335</v>
      </c>
      <c r="M10237" t="s">
        <v>32462</v>
      </c>
      <c r="N10237" t="s">
        <v>32524</v>
      </c>
      <c r="O10237" t="s">
        <v>32525</v>
      </c>
      <c r="P10237">
        <v>0</v>
      </c>
      <c r="Q10237">
        <v>1</v>
      </c>
      <c r="R10237" t="s">
        <v>32539</v>
      </c>
      <c r="S10237" t="s">
        <v>33010</v>
      </c>
      <c r="T10237" t="s">
        <v>33608</v>
      </c>
      <c r="U10237" t="s">
        <v>42039</v>
      </c>
      <c r="W10237" t="s">
        <v>32462</v>
      </c>
      <c r="X10237" t="s">
        <v>32540</v>
      </c>
    </row>
    <row r="10238" spans="1:24">
      <c r="A10238">
        <f>HYPERLINK("https://www.philgeps.gov.ph/GEPSNONPILOT/Tender/SplashBidNoticeAbstractUI.aspx?menuIndex=3&amp;refID=7023603&amp;Result=3","7023603")</f>
        <v>0</v>
      </c>
      <c r="B10238" t="s">
        <v>676</v>
      </c>
      <c r="C10238" t="s">
        <v>12489</v>
      </c>
      <c r="D10238" t="s">
        <v>13025</v>
      </c>
      <c r="E10238" t="s">
        <v>21984</v>
      </c>
      <c r="F10238" t="s">
        <v>22436</v>
      </c>
      <c r="G10238" t="s">
        <v>22444</v>
      </c>
      <c r="H10238" t="s">
        <v>22452</v>
      </c>
      <c r="I10238" t="s">
        <v>22463</v>
      </c>
      <c r="J10238" t="s">
        <v>29038</v>
      </c>
      <c r="K10238" t="s">
        <v>29338</v>
      </c>
      <c r="M10238" t="s">
        <v>30270</v>
      </c>
      <c r="N10238" t="s">
        <v>32524</v>
      </c>
      <c r="O10238" t="s">
        <v>32525</v>
      </c>
      <c r="P10238">
        <v>0</v>
      </c>
      <c r="Q10238">
        <v>4</v>
      </c>
      <c r="R10238" t="s">
        <v>32539</v>
      </c>
      <c r="S10238" t="s">
        <v>33010</v>
      </c>
      <c r="T10238" t="s">
        <v>33181</v>
      </c>
      <c r="U10238" t="s">
        <v>42040</v>
      </c>
      <c r="W10238" t="s">
        <v>30270</v>
      </c>
      <c r="X10238" t="s">
        <v>32540</v>
      </c>
    </row>
    <row r="10239" spans="1:24">
      <c r="A10239">
        <f>HYPERLINK("https://www.philgeps.gov.ph/GEPSNONPILOT/Tender/SplashBidNoticeAbstractUI.aspx?menuIndex=3&amp;refID=7023624&amp;Result=3","7023624")</f>
        <v>0</v>
      </c>
      <c r="B10239" t="s">
        <v>317</v>
      </c>
      <c r="C10239" t="s">
        <v>12490</v>
      </c>
      <c r="D10239" t="s">
        <v>13031</v>
      </c>
      <c r="E10239" t="s">
        <v>21985</v>
      </c>
      <c r="F10239" t="s">
        <v>22436</v>
      </c>
      <c r="G10239" t="s">
        <v>22444</v>
      </c>
      <c r="H10239" t="s">
        <v>22454</v>
      </c>
      <c r="I10239" t="s">
        <v>7738</v>
      </c>
      <c r="J10239" t="s">
        <v>22779</v>
      </c>
      <c r="K10239" t="s">
        <v>29347</v>
      </c>
      <c r="M10239" t="s">
        <v>31152</v>
      </c>
      <c r="N10239" t="s">
        <v>32524</v>
      </c>
      <c r="O10239" t="s">
        <v>32525</v>
      </c>
      <c r="P10239">
        <v>0</v>
      </c>
      <c r="Q10239">
        <v>0</v>
      </c>
      <c r="R10239" t="s">
        <v>32539</v>
      </c>
      <c r="S10239" t="s">
        <v>33010</v>
      </c>
      <c r="T10239" t="s">
        <v>33181</v>
      </c>
      <c r="U10239" t="s">
        <v>42041</v>
      </c>
      <c r="W10239" t="s">
        <v>31152</v>
      </c>
      <c r="X10239" t="s">
        <v>32540</v>
      </c>
    </row>
    <row r="10240" spans="1:24">
      <c r="A10240">
        <f>HYPERLINK("https://www.philgeps.gov.ph/GEPSNONPILOT/Tender/SplashBidNoticeAbstractUI.aspx?menuIndex=3&amp;refID=7023620&amp;Result=3","7023620")</f>
        <v>0</v>
      </c>
      <c r="B10240" t="s">
        <v>40</v>
      </c>
      <c r="C10240" t="s">
        <v>12491</v>
      </c>
      <c r="D10240" t="s">
        <v>13001</v>
      </c>
      <c r="E10240" t="s">
        <v>21986</v>
      </c>
      <c r="F10240" t="s">
        <v>22436</v>
      </c>
      <c r="G10240" t="s">
        <v>22444</v>
      </c>
      <c r="H10240" t="s">
        <v>22454</v>
      </c>
      <c r="I10240" t="s">
        <v>7738</v>
      </c>
      <c r="J10240" t="s">
        <v>24103</v>
      </c>
      <c r="K10240" t="s">
        <v>29344</v>
      </c>
      <c r="M10240" t="s">
        <v>29611</v>
      </c>
      <c r="N10240" t="s">
        <v>32524</v>
      </c>
      <c r="O10240" t="s">
        <v>32525</v>
      </c>
      <c r="P10240">
        <v>0</v>
      </c>
      <c r="Q10240">
        <v>25</v>
      </c>
      <c r="R10240" t="s">
        <v>32539</v>
      </c>
      <c r="S10240" t="s">
        <v>33010</v>
      </c>
      <c r="T10240" t="s">
        <v>33171</v>
      </c>
      <c r="U10240" t="s">
        <v>33644</v>
      </c>
      <c r="V10240" t="s">
        <v>42423</v>
      </c>
      <c r="W10240" t="s">
        <v>29611</v>
      </c>
      <c r="X10240" t="s">
        <v>32540</v>
      </c>
    </row>
    <row r="10241" spans="1:24">
      <c r="A10241">
        <f>HYPERLINK("https://www.philgeps.gov.ph/GEPSNONPILOT/Tender/SplashBidNoticeAbstractUI.aspx?menuIndex=3&amp;refID=7023565&amp;Result=3","7023565")</f>
        <v>0</v>
      </c>
      <c r="B10241" t="s">
        <v>1791</v>
      </c>
      <c r="C10241" t="s">
        <v>12492</v>
      </c>
      <c r="D10241" t="s">
        <v>13065</v>
      </c>
      <c r="E10241" t="s">
        <v>21987</v>
      </c>
      <c r="F10241" t="s">
        <v>22436</v>
      </c>
      <c r="G10241" t="s">
        <v>22444</v>
      </c>
      <c r="H10241" t="s">
        <v>22454</v>
      </c>
      <c r="I10241" t="s">
        <v>7738</v>
      </c>
      <c r="J10241" t="s">
        <v>29039</v>
      </c>
      <c r="K10241" t="s">
        <v>29334</v>
      </c>
      <c r="M10241" t="s">
        <v>31502</v>
      </c>
      <c r="N10241" t="s">
        <v>32524</v>
      </c>
      <c r="O10241" t="s">
        <v>32525</v>
      </c>
      <c r="P10241">
        <v>0</v>
      </c>
      <c r="Q10241">
        <v>0</v>
      </c>
      <c r="R10241" t="s">
        <v>32539</v>
      </c>
      <c r="S10241" t="s">
        <v>33010</v>
      </c>
      <c r="T10241" t="s">
        <v>33181</v>
      </c>
      <c r="U10241" t="s">
        <v>42042</v>
      </c>
      <c r="V10241" t="s">
        <v>43018</v>
      </c>
      <c r="W10241" t="s">
        <v>31502</v>
      </c>
      <c r="X10241" t="s">
        <v>32540</v>
      </c>
    </row>
    <row r="10242" spans="1:24">
      <c r="A10242">
        <f>HYPERLINK("https://www.philgeps.gov.ph/GEPSNONPILOT/Tender/SplashBidNoticeAbstractUI.aspx?menuIndex=3&amp;refID=7023675&amp;Result=3","7023675")</f>
        <v>0</v>
      </c>
      <c r="B10242" t="s">
        <v>1517</v>
      </c>
      <c r="C10242" t="s">
        <v>12493</v>
      </c>
      <c r="D10242" t="s">
        <v>13024</v>
      </c>
      <c r="E10242" t="s">
        <v>21988</v>
      </c>
      <c r="F10242" t="s">
        <v>22436</v>
      </c>
      <c r="G10242" t="s">
        <v>22443</v>
      </c>
      <c r="H10242" t="s">
        <v>22452</v>
      </c>
      <c r="I10242" t="s">
        <v>22488</v>
      </c>
      <c r="J10242" t="s">
        <v>24046</v>
      </c>
      <c r="K10242" t="s">
        <v>29341</v>
      </c>
      <c r="M10242" t="s">
        <v>31192</v>
      </c>
      <c r="N10242" t="s">
        <v>32524</v>
      </c>
      <c r="O10242" t="s">
        <v>32525</v>
      </c>
      <c r="Q10242">
        <v>1</v>
      </c>
      <c r="R10242" t="s">
        <v>32539</v>
      </c>
      <c r="S10242" t="s">
        <v>33065</v>
      </c>
      <c r="T10242" t="s">
        <v>33181</v>
      </c>
      <c r="U10242" t="s">
        <v>42043</v>
      </c>
      <c r="W10242" t="s">
        <v>31192</v>
      </c>
      <c r="X10242" t="s">
        <v>32540</v>
      </c>
    </row>
    <row r="10243" spans="1:24">
      <c r="A10243">
        <f>HYPERLINK("https://www.philgeps.gov.ph/GEPSNONPILOT/Tender/SplashBidNoticeAbstractUI.aspx?menuIndex=3&amp;refID=7023621&amp;Result=3","7023621")</f>
        <v>0</v>
      </c>
      <c r="B10243" t="s">
        <v>512</v>
      </c>
      <c r="C10243" t="s">
        <v>12494</v>
      </c>
      <c r="D10243" t="s">
        <v>12995</v>
      </c>
      <c r="E10243" t="s">
        <v>21989</v>
      </c>
      <c r="F10243" t="s">
        <v>22436</v>
      </c>
      <c r="G10243" t="s">
        <v>22444</v>
      </c>
      <c r="H10243" t="s">
        <v>22454</v>
      </c>
      <c r="I10243" t="s">
        <v>7738</v>
      </c>
      <c r="J10243" t="s">
        <v>22634</v>
      </c>
      <c r="K10243" t="s">
        <v>29329</v>
      </c>
      <c r="M10243" t="s">
        <v>30096</v>
      </c>
      <c r="N10243" t="s">
        <v>32524</v>
      </c>
      <c r="O10243" t="s">
        <v>32525</v>
      </c>
      <c r="P10243">
        <v>0</v>
      </c>
      <c r="Q10243">
        <v>0</v>
      </c>
      <c r="R10243" t="s">
        <v>32539</v>
      </c>
      <c r="S10243" t="s">
        <v>33010</v>
      </c>
      <c r="T10243" t="s">
        <v>33181</v>
      </c>
      <c r="U10243" t="s">
        <v>34661</v>
      </c>
      <c r="W10243" t="s">
        <v>30096</v>
      </c>
      <c r="X10243" t="s">
        <v>32540</v>
      </c>
    </row>
    <row r="10244" spans="1:24">
      <c r="A10244">
        <f>HYPERLINK("https://www.philgeps.gov.ph/GEPSNONPILOT/Tender/SplashBidNoticeAbstractUI.aspx?menuIndex=3&amp;refID=7023672&amp;Result=3","7023672")</f>
        <v>0</v>
      </c>
      <c r="B10244" t="s">
        <v>317</v>
      </c>
      <c r="C10244" t="s">
        <v>12495</v>
      </c>
      <c r="D10244" t="s">
        <v>13031</v>
      </c>
      <c r="E10244" t="s">
        <v>21990</v>
      </c>
      <c r="F10244" t="s">
        <v>22436</v>
      </c>
      <c r="G10244" t="s">
        <v>22444</v>
      </c>
      <c r="H10244" t="s">
        <v>22454</v>
      </c>
      <c r="I10244" t="s">
        <v>7738</v>
      </c>
      <c r="J10244" t="s">
        <v>22634</v>
      </c>
      <c r="K10244" t="s">
        <v>29362</v>
      </c>
      <c r="M10244" t="s">
        <v>31152</v>
      </c>
      <c r="N10244" t="s">
        <v>32524</v>
      </c>
      <c r="O10244" t="s">
        <v>32525</v>
      </c>
      <c r="P10244">
        <v>0</v>
      </c>
      <c r="Q10244">
        <v>0</v>
      </c>
      <c r="R10244" t="s">
        <v>32539</v>
      </c>
      <c r="S10244" t="s">
        <v>33010</v>
      </c>
      <c r="T10244" t="s">
        <v>33182</v>
      </c>
      <c r="U10244" t="s">
        <v>42041</v>
      </c>
      <c r="W10244" t="s">
        <v>31152</v>
      </c>
      <c r="X10244" t="s">
        <v>32540</v>
      </c>
    </row>
    <row r="10245" spans="1:24">
      <c r="A10245">
        <f>HYPERLINK("https://www.philgeps.gov.ph/GEPSNONPILOT/Tender/SplashBidNoticeAbstractUI.aspx?menuIndex=3&amp;refID=7023625&amp;Result=3","7023625")</f>
        <v>0</v>
      </c>
      <c r="B10245" t="s">
        <v>2511</v>
      </c>
      <c r="C10245" t="s">
        <v>12496</v>
      </c>
      <c r="D10245" t="s">
        <v>13044</v>
      </c>
      <c r="E10245" t="s">
        <v>13278</v>
      </c>
      <c r="F10245" t="s">
        <v>22436</v>
      </c>
      <c r="G10245" t="s">
        <v>22444</v>
      </c>
      <c r="H10245" t="s">
        <v>22454</v>
      </c>
      <c r="I10245" t="s">
        <v>7738</v>
      </c>
      <c r="J10245" t="s">
        <v>29040</v>
      </c>
      <c r="K10245" t="s">
        <v>29329</v>
      </c>
      <c r="M10245" t="s">
        <v>32318</v>
      </c>
      <c r="N10245" t="s">
        <v>32524</v>
      </c>
      <c r="O10245" t="s">
        <v>32525</v>
      </c>
      <c r="P10245">
        <v>0</v>
      </c>
      <c r="Q10245">
        <v>0</v>
      </c>
      <c r="R10245" t="s">
        <v>32539</v>
      </c>
      <c r="S10245" t="s">
        <v>33010</v>
      </c>
      <c r="T10245" t="s">
        <v>33256</v>
      </c>
      <c r="U10245" t="s">
        <v>42044</v>
      </c>
      <c r="V10245" t="s">
        <v>43613</v>
      </c>
      <c r="W10245" t="s">
        <v>32318</v>
      </c>
      <c r="X10245" t="s">
        <v>32540</v>
      </c>
    </row>
    <row r="10246" spans="1:24">
      <c r="A10246">
        <f>HYPERLINK("https://www.philgeps.gov.ph/GEPSNONPILOT/Tender/SplashBidNoticeAbstractUI.aspx?menuIndex=3&amp;refID=7023656&amp;Result=3","7023656")</f>
        <v>0</v>
      </c>
      <c r="B10246" t="s">
        <v>1913</v>
      </c>
      <c r="C10246" t="s">
        <v>12497</v>
      </c>
      <c r="D10246" t="s">
        <v>13032</v>
      </c>
      <c r="E10246" t="s">
        <v>21991</v>
      </c>
      <c r="F10246" t="s">
        <v>22436</v>
      </c>
      <c r="G10246" t="s">
        <v>22444</v>
      </c>
      <c r="H10246" t="s">
        <v>22452</v>
      </c>
      <c r="I10246" t="s">
        <v>6421</v>
      </c>
      <c r="J10246" t="s">
        <v>24703</v>
      </c>
      <c r="K10246" t="s">
        <v>29335</v>
      </c>
      <c r="M10246" t="s">
        <v>31637</v>
      </c>
      <c r="N10246" t="s">
        <v>32524</v>
      </c>
      <c r="O10246" t="s">
        <v>32525</v>
      </c>
      <c r="P10246">
        <v>0</v>
      </c>
      <c r="Q10246">
        <v>5</v>
      </c>
      <c r="R10246" t="s">
        <v>32539</v>
      </c>
      <c r="S10246" t="s">
        <v>33010</v>
      </c>
      <c r="T10246" t="s">
        <v>33230</v>
      </c>
      <c r="U10246" t="s">
        <v>42045</v>
      </c>
      <c r="V10246" t="s">
        <v>43614</v>
      </c>
      <c r="W10246" t="s">
        <v>31637</v>
      </c>
      <c r="X10246" t="s">
        <v>32540</v>
      </c>
    </row>
    <row r="10247" spans="1:24">
      <c r="A10247">
        <f>HYPERLINK("https://www.philgeps.gov.ph/GEPSNONPILOT/Tender/SplashBidNoticeAbstractUI.aspx?menuIndex=3&amp;refID=7023653&amp;Result=3","7023653")</f>
        <v>0</v>
      </c>
      <c r="B10247" t="s">
        <v>317</v>
      </c>
      <c r="C10247" t="s">
        <v>12498</v>
      </c>
      <c r="D10247" t="s">
        <v>13031</v>
      </c>
      <c r="E10247" t="s">
        <v>21992</v>
      </c>
      <c r="F10247" t="s">
        <v>22436</v>
      </c>
      <c r="G10247" t="s">
        <v>22444</v>
      </c>
      <c r="H10247" t="s">
        <v>22454</v>
      </c>
      <c r="I10247" t="s">
        <v>7738</v>
      </c>
      <c r="J10247" t="s">
        <v>29041</v>
      </c>
      <c r="K10247" t="s">
        <v>29347</v>
      </c>
      <c r="M10247" t="s">
        <v>31152</v>
      </c>
      <c r="N10247" t="s">
        <v>32524</v>
      </c>
      <c r="O10247" t="s">
        <v>32525</v>
      </c>
      <c r="P10247">
        <v>0</v>
      </c>
      <c r="Q10247">
        <v>0</v>
      </c>
      <c r="R10247" t="s">
        <v>32539</v>
      </c>
      <c r="S10247" t="s">
        <v>33010</v>
      </c>
      <c r="T10247" t="s">
        <v>33182</v>
      </c>
      <c r="U10247" t="s">
        <v>42041</v>
      </c>
      <c r="W10247" t="s">
        <v>31152</v>
      </c>
      <c r="X10247" t="s">
        <v>32540</v>
      </c>
    </row>
    <row r="10248" spans="1:24">
      <c r="A10248">
        <f>HYPERLINK("https://www.philgeps.gov.ph/GEPSNONPILOT/Tender/SplashBidNoticeAbstractUI.aspx?menuIndex=3&amp;refID=7023668&amp;Result=3","7023668")</f>
        <v>0</v>
      </c>
      <c r="B10248" t="s">
        <v>676</v>
      </c>
      <c r="C10248" t="s">
        <v>12499</v>
      </c>
      <c r="D10248" t="s">
        <v>13025</v>
      </c>
      <c r="E10248" t="s">
        <v>21993</v>
      </c>
      <c r="F10248" t="s">
        <v>22436</v>
      </c>
      <c r="G10248" t="s">
        <v>22444</v>
      </c>
      <c r="H10248" t="s">
        <v>22452</v>
      </c>
      <c r="I10248" t="s">
        <v>22474</v>
      </c>
      <c r="J10248" t="s">
        <v>22587</v>
      </c>
      <c r="K10248" t="s">
        <v>29338</v>
      </c>
      <c r="M10248" t="s">
        <v>30270</v>
      </c>
      <c r="N10248" t="s">
        <v>32524</v>
      </c>
      <c r="O10248" t="s">
        <v>32525</v>
      </c>
      <c r="P10248">
        <v>0</v>
      </c>
      <c r="Q10248">
        <v>8</v>
      </c>
      <c r="R10248" t="s">
        <v>32539</v>
      </c>
      <c r="S10248" t="s">
        <v>33010</v>
      </c>
      <c r="T10248" t="s">
        <v>33181</v>
      </c>
      <c r="U10248" t="s">
        <v>42046</v>
      </c>
      <c r="W10248" t="s">
        <v>30270</v>
      </c>
      <c r="X10248" t="s">
        <v>32540</v>
      </c>
    </row>
    <row r="10249" spans="1:24">
      <c r="A10249">
        <f>HYPERLINK("https://www.philgeps.gov.ph/GEPSNONPILOT/Tender/SplashBidNoticeAbstractUI.aspx?menuIndex=3&amp;refID=7023650&amp;Result=3","7023650")</f>
        <v>0</v>
      </c>
      <c r="B10249" t="s">
        <v>676</v>
      </c>
      <c r="C10249" t="s">
        <v>12500</v>
      </c>
      <c r="D10249" t="s">
        <v>13025</v>
      </c>
      <c r="E10249" t="s">
        <v>21994</v>
      </c>
      <c r="F10249" t="s">
        <v>22436</v>
      </c>
      <c r="G10249" t="s">
        <v>22444</v>
      </c>
      <c r="H10249" t="s">
        <v>22452</v>
      </c>
      <c r="I10249" t="s">
        <v>22464</v>
      </c>
      <c r="J10249" t="s">
        <v>22960</v>
      </c>
      <c r="K10249" t="s">
        <v>29338</v>
      </c>
      <c r="M10249" t="s">
        <v>30270</v>
      </c>
      <c r="N10249" t="s">
        <v>32524</v>
      </c>
      <c r="O10249" t="s">
        <v>32525</v>
      </c>
      <c r="P10249">
        <v>0</v>
      </c>
      <c r="Q10249">
        <v>5</v>
      </c>
      <c r="R10249" t="s">
        <v>32539</v>
      </c>
      <c r="S10249" t="s">
        <v>33010</v>
      </c>
      <c r="T10249" t="s">
        <v>33181</v>
      </c>
      <c r="U10249" t="s">
        <v>42047</v>
      </c>
      <c r="W10249" t="s">
        <v>30270</v>
      </c>
      <c r="X10249" t="s">
        <v>32540</v>
      </c>
    </row>
    <row r="10250" spans="1:24">
      <c r="A10250">
        <f>HYPERLINK("https://www.philgeps.gov.ph/GEPSNONPILOT/Tender/SplashBidNoticeAbstractUI.aspx?menuIndex=3&amp;refID=7023664&amp;Result=3","7023664")</f>
        <v>0</v>
      </c>
      <c r="B10250" t="s">
        <v>512</v>
      </c>
      <c r="C10250" t="s">
        <v>12501</v>
      </c>
      <c r="D10250" t="s">
        <v>12995</v>
      </c>
      <c r="E10250" t="s">
        <v>21995</v>
      </c>
      <c r="F10250" t="s">
        <v>22436</v>
      </c>
      <c r="G10250" t="s">
        <v>22444</v>
      </c>
      <c r="H10250" t="s">
        <v>22454</v>
      </c>
      <c r="I10250" t="s">
        <v>7738</v>
      </c>
      <c r="J10250" t="s">
        <v>23276</v>
      </c>
      <c r="K10250" t="s">
        <v>29347</v>
      </c>
      <c r="M10250" t="s">
        <v>30096</v>
      </c>
      <c r="N10250" t="s">
        <v>32524</v>
      </c>
      <c r="O10250" t="s">
        <v>32525</v>
      </c>
      <c r="P10250">
        <v>0</v>
      </c>
      <c r="Q10250">
        <v>0</v>
      </c>
      <c r="R10250" t="s">
        <v>32539</v>
      </c>
      <c r="S10250" t="s">
        <v>33010</v>
      </c>
      <c r="T10250" t="s">
        <v>33181</v>
      </c>
      <c r="U10250" t="s">
        <v>34661</v>
      </c>
      <c r="W10250" t="s">
        <v>30096</v>
      </c>
      <c r="X10250" t="s">
        <v>32540</v>
      </c>
    </row>
    <row r="10251" spans="1:24">
      <c r="A10251">
        <f>HYPERLINK("https://www.philgeps.gov.ph/GEPSNONPILOT/Tender/SplashBidNoticeAbstractUI.aspx?menuIndex=3&amp;refID=7023626&amp;Result=3","7023626")</f>
        <v>0</v>
      </c>
      <c r="B10251" t="s">
        <v>676</v>
      </c>
      <c r="C10251" t="s">
        <v>12502</v>
      </c>
      <c r="D10251" t="s">
        <v>13025</v>
      </c>
      <c r="E10251" t="s">
        <v>21996</v>
      </c>
      <c r="F10251" t="s">
        <v>22436</v>
      </c>
      <c r="G10251" t="s">
        <v>22444</v>
      </c>
      <c r="H10251" t="s">
        <v>22452</v>
      </c>
      <c r="I10251" t="s">
        <v>22467</v>
      </c>
      <c r="J10251" t="s">
        <v>29042</v>
      </c>
      <c r="K10251" t="s">
        <v>29338</v>
      </c>
      <c r="M10251" t="s">
        <v>30270</v>
      </c>
      <c r="N10251" t="s">
        <v>32524</v>
      </c>
      <c r="O10251" t="s">
        <v>32525</v>
      </c>
      <c r="P10251">
        <v>0</v>
      </c>
      <c r="Q10251">
        <v>0</v>
      </c>
      <c r="R10251" t="s">
        <v>32539</v>
      </c>
      <c r="S10251" t="s">
        <v>33010</v>
      </c>
      <c r="T10251" t="s">
        <v>33181</v>
      </c>
      <c r="U10251" t="s">
        <v>42048</v>
      </c>
      <c r="W10251" t="s">
        <v>30270</v>
      </c>
      <c r="X10251" t="s">
        <v>32540</v>
      </c>
    </row>
    <row r="10252" spans="1:24">
      <c r="A10252">
        <f>HYPERLINK("https://www.philgeps.gov.ph/GEPSNONPILOT/Tender/SplashBidNoticeAbstractUI.aspx?menuIndex=3&amp;refID=7023637&amp;Result=3","7023637")</f>
        <v>0</v>
      </c>
      <c r="B10252" t="s">
        <v>512</v>
      </c>
      <c r="C10252" t="s">
        <v>12503</v>
      </c>
      <c r="D10252" t="s">
        <v>12995</v>
      </c>
      <c r="E10252" t="s">
        <v>21997</v>
      </c>
      <c r="F10252" t="s">
        <v>22436</v>
      </c>
      <c r="G10252" t="s">
        <v>22444</v>
      </c>
      <c r="H10252" t="s">
        <v>22454</v>
      </c>
      <c r="I10252" t="s">
        <v>7738</v>
      </c>
      <c r="J10252" t="s">
        <v>23316</v>
      </c>
      <c r="K10252" t="s">
        <v>29333</v>
      </c>
      <c r="M10252" t="s">
        <v>30096</v>
      </c>
      <c r="N10252" t="s">
        <v>32524</v>
      </c>
      <c r="O10252" t="s">
        <v>32525</v>
      </c>
      <c r="P10252">
        <v>0</v>
      </c>
      <c r="Q10252">
        <v>0</v>
      </c>
      <c r="R10252" t="s">
        <v>32539</v>
      </c>
      <c r="S10252" t="s">
        <v>33010</v>
      </c>
      <c r="T10252" t="s">
        <v>33181</v>
      </c>
      <c r="U10252" t="s">
        <v>34661</v>
      </c>
      <c r="W10252" t="s">
        <v>30096</v>
      </c>
      <c r="X10252" t="s">
        <v>32540</v>
      </c>
    </row>
    <row r="10253" spans="1:24">
      <c r="A10253">
        <f>HYPERLINK("https://www.philgeps.gov.ph/GEPSNONPILOT/Tender/SplashBidNoticeAbstractUI.aspx?menuIndex=3&amp;refID=7023651&amp;Result=3","7023651")</f>
        <v>0</v>
      </c>
      <c r="B10253" t="s">
        <v>1964</v>
      </c>
      <c r="C10253" t="s">
        <v>12504</v>
      </c>
      <c r="D10253" t="s">
        <v>13039</v>
      </c>
      <c r="E10253" t="s">
        <v>21998</v>
      </c>
      <c r="F10253" t="s">
        <v>22436</v>
      </c>
      <c r="G10253" t="s">
        <v>22444</v>
      </c>
      <c r="H10253" t="s">
        <v>22454</v>
      </c>
      <c r="I10253" t="s">
        <v>7738</v>
      </c>
      <c r="J10253" t="s">
        <v>29043</v>
      </c>
      <c r="K10253" t="s">
        <v>29344</v>
      </c>
      <c r="M10253" t="s">
        <v>31695</v>
      </c>
      <c r="N10253" t="s">
        <v>32524</v>
      </c>
      <c r="O10253" t="s">
        <v>32525</v>
      </c>
      <c r="P10253">
        <v>0</v>
      </c>
      <c r="Q10253">
        <v>0</v>
      </c>
      <c r="R10253" t="s">
        <v>32539</v>
      </c>
      <c r="S10253" t="s">
        <v>33010</v>
      </c>
      <c r="T10253" t="s">
        <v>33593</v>
      </c>
      <c r="U10253" t="s">
        <v>42049</v>
      </c>
      <c r="W10253" t="s">
        <v>31695</v>
      </c>
      <c r="X10253" t="s">
        <v>32540</v>
      </c>
    </row>
    <row r="10254" spans="1:24">
      <c r="A10254">
        <f>HYPERLINK("https://www.philgeps.gov.ph/GEPSNONPILOT/Tender/SplashBidNoticeAbstractUI.aspx?menuIndex=3&amp;refID=7023686&amp;Result=3","7023686")</f>
        <v>0</v>
      </c>
      <c r="B10254" t="s">
        <v>512</v>
      </c>
      <c r="C10254" t="s">
        <v>12505</v>
      </c>
      <c r="D10254" t="s">
        <v>12995</v>
      </c>
      <c r="E10254" t="s">
        <v>21999</v>
      </c>
      <c r="F10254" t="s">
        <v>22436</v>
      </c>
      <c r="G10254" t="s">
        <v>22444</v>
      </c>
      <c r="H10254" t="s">
        <v>22454</v>
      </c>
      <c r="I10254" t="s">
        <v>7738</v>
      </c>
      <c r="J10254" t="s">
        <v>26295</v>
      </c>
      <c r="K10254" t="s">
        <v>29335</v>
      </c>
      <c r="M10254" t="s">
        <v>30096</v>
      </c>
      <c r="N10254" t="s">
        <v>32524</v>
      </c>
      <c r="O10254" t="s">
        <v>32525</v>
      </c>
      <c r="P10254">
        <v>0</v>
      </c>
      <c r="Q10254">
        <v>0</v>
      </c>
      <c r="R10254" t="s">
        <v>32539</v>
      </c>
      <c r="S10254" t="s">
        <v>33010</v>
      </c>
      <c r="T10254" t="s">
        <v>33181</v>
      </c>
      <c r="U10254" t="s">
        <v>34661</v>
      </c>
      <c r="W10254" t="s">
        <v>30096</v>
      </c>
      <c r="X10254" t="s">
        <v>32540</v>
      </c>
    </row>
    <row r="10255" spans="1:24">
      <c r="A10255">
        <f>HYPERLINK("https://www.philgeps.gov.ph/GEPSNONPILOT/Tender/SplashBidNoticeAbstractUI.aspx?menuIndex=3&amp;refID=7023647&amp;Result=3","7023647")</f>
        <v>0</v>
      </c>
      <c r="B10255" t="s">
        <v>2633</v>
      </c>
      <c r="C10255" t="s">
        <v>12506</v>
      </c>
      <c r="D10255" t="s">
        <v>13013</v>
      </c>
      <c r="E10255" t="s">
        <v>22000</v>
      </c>
      <c r="F10255" t="s">
        <v>22436</v>
      </c>
      <c r="G10255" t="s">
        <v>22444</v>
      </c>
      <c r="H10255" t="s">
        <v>22452</v>
      </c>
      <c r="I10255" t="s">
        <v>3827</v>
      </c>
      <c r="J10255" t="s">
        <v>22943</v>
      </c>
      <c r="K10255" t="s">
        <v>29333</v>
      </c>
      <c r="M10255" t="s">
        <v>32465</v>
      </c>
      <c r="N10255" t="s">
        <v>32524</v>
      </c>
      <c r="O10255" t="s">
        <v>32525</v>
      </c>
      <c r="Q10255">
        <v>13</v>
      </c>
      <c r="R10255" t="s">
        <v>32539</v>
      </c>
      <c r="S10255" t="s">
        <v>33066</v>
      </c>
      <c r="T10255" t="s">
        <v>33163</v>
      </c>
      <c r="U10255" t="s">
        <v>42050</v>
      </c>
      <c r="W10255" t="s">
        <v>32465</v>
      </c>
      <c r="X10255" t="s">
        <v>32540</v>
      </c>
    </row>
    <row r="10256" spans="1:24">
      <c r="A10256">
        <f>HYPERLINK("https://www.philgeps.gov.ph/GEPSNONPILOT/Tender/SplashBidNoticeAbstractUI.aspx?menuIndex=3&amp;refID=7023680&amp;Result=3","7023680")</f>
        <v>0</v>
      </c>
      <c r="B10256" t="s">
        <v>151</v>
      </c>
      <c r="C10256" t="s">
        <v>12507</v>
      </c>
      <c r="D10256" t="s">
        <v>13039</v>
      </c>
      <c r="E10256" t="s">
        <v>13381</v>
      </c>
      <c r="F10256" t="s">
        <v>22436</v>
      </c>
      <c r="G10256" t="s">
        <v>22444</v>
      </c>
      <c r="H10256" t="s">
        <v>22452</v>
      </c>
      <c r="I10256" t="s">
        <v>3529</v>
      </c>
      <c r="J10256" t="s">
        <v>29044</v>
      </c>
      <c r="K10256" t="s">
        <v>29356</v>
      </c>
      <c r="M10256" t="s">
        <v>29723</v>
      </c>
      <c r="N10256" t="s">
        <v>32524</v>
      </c>
      <c r="O10256" t="s">
        <v>32525</v>
      </c>
      <c r="P10256">
        <v>0</v>
      </c>
      <c r="Q10256">
        <v>0</v>
      </c>
      <c r="R10256" t="s">
        <v>32539</v>
      </c>
      <c r="S10256" t="s">
        <v>33010</v>
      </c>
      <c r="T10256" t="s">
        <v>33296</v>
      </c>
      <c r="U10256" t="s">
        <v>42051</v>
      </c>
      <c r="W10256" t="s">
        <v>29723</v>
      </c>
      <c r="X10256" t="s">
        <v>32540</v>
      </c>
    </row>
    <row r="10257" spans="1:24">
      <c r="A10257">
        <f>HYPERLINK("https://www.philgeps.gov.ph/GEPSNONPILOT/Tender/SplashBidNoticeAbstractUI.aspx?menuIndex=3&amp;refID=7023722&amp;Result=3","7023722")</f>
        <v>0</v>
      </c>
      <c r="B10257" t="s">
        <v>519</v>
      </c>
      <c r="C10257" t="s">
        <v>12508</v>
      </c>
      <c r="D10257" t="s">
        <v>12988</v>
      </c>
      <c r="E10257" t="s">
        <v>22001</v>
      </c>
      <c r="F10257" t="s">
        <v>22436</v>
      </c>
      <c r="G10257" t="s">
        <v>22444</v>
      </c>
      <c r="H10257" t="s">
        <v>22454</v>
      </c>
      <c r="I10257" t="s">
        <v>7738</v>
      </c>
      <c r="J10257" t="s">
        <v>29045</v>
      </c>
      <c r="K10257" t="s">
        <v>29344</v>
      </c>
      <c r="M10257" t="s">
        <v>30103</v>
      </c>
      <c r="N10257" t="s">
        <v>32524</v>
      </c>
      <c r="O10257" t="s">
        <v>32525</v>
      </c>
      <c r="Q10257">
        <v>9</v>
      </c>
      <c r="R10257" t="s">
        <v>32539</v>
      </c>
      <c r="S10257" t="s">
        <v>33067</v>
      </c>
      <c r="T10257" t="s">
        <v>33163</v>
      </c>
      <c r="U10257" t="s">
        <v>42052</v>
      </c>
      <c r="V10257" t="s">
        <v>42538</v>
      </c>
      <c r="W10257" t="s">
        <v>30103</v>
      </c>
      <c r="X10257" t="s">
        <v>32540</v>
      </c>
    </row>
    <row r="10258" spans="1:24">
      <c r="A10258">
        <f>HYPERLINK("https://www.philgeps.gov.ph/GEPSNONPILOT/Tender/SplashBidNoticeAbstractUI.aspx?menuIndex=3&amp;refID=7023705&amp;Result=3","7023705")</f>
        <v>0</v>
      </c>
      <c r="B10258" t="s">
        <v>2634</v>
      </c>
      <c r="C10258" t="s">
        <v>12509</v>
      </c>
      <c r="D10258" t="s">
        <v>12992</v>
      </c>
      <c r="E10258" t="s">
        <v>22002</v>
      </c>
      <c r="F10258" t="s">
        <v>22436</v>
      </c>
      <c r="G10258" t="s">
        <v>22444</v>
      </c>
      <c r="H10258" t="s">
        <v>22454</v>
      </c>
      <c r="I10258" t="s">
        <v>7738</v>
      </c>
      <c r="J10258" t="s">
        <v>29046</v>
      </c>
      <c r="K10258" t="s">
        <v>29334</v>
      </c>
      <c r="M10258" t="s">
        <v>32466</v>
      </c>
      <c r="N10258" t="s">
        <v>32524</v>
      </c>
      <c r="O10258" t="s">
        <v>32525</v>
      </c>
      <c r="P10258">
        <v>0</v>
      </c>
      <c r="Q10258">
        <v>4</v>
      </c>
      <c r="R10258" t="s">
        <v>32539</v>
      </c>
      <c r="S10258" t="s">
        <v>33010</v>
      </c>
      <c r="T10258" t="s">
        <v>33181</v>
      </c>
      <c r="U10258" t="s">
        <v>42053</v>
      </c>
      <c r="W10258" t="s">
        <v>32466</v>
      </c>
      <c r="X10258" t="s">
        <v>32540</v>
      </c>
    </row>
    <row r="10259" spans="1:24">
      <c r="A10259">
        <f>HYPERLINK("https://www.philgeps.gov.ph/GEPSNONPILOT/Tender/SplashBidNoticeAbstractUI.aspx?menuIndex=3&amp;refID=7023703&amp;Result=3","7023703")</f>
        <v>0</v>
      </c>
      <c r="B10259" t="s">
        <v>1121</v>
      </c>
      <c r="C10259" t="s">
        <v>12510</v>
      </c>
      <c r="D10259" t="s">
        <v>13038</v>
      </c>
      <c r="E10259" t="s">
        <v>22003</v>
      </c>
      <c r="F10259" t="s">
        <v>22436</v>
      </c>
      <c r="G10259" t="s">
        <v>22444</v>
      </c>
      <c r="H10259" t="s">
        <v>22452</v>
      </c>
      <c r="I10259" t="s">
        <v>22506</v>
      </c>
      <c r="J10259" t="s">
        <v>29047</v>
      </c>
      <c r="K10259" t="s">
        <v>29335</v>
      </c>
      <c r="M10259" t="s">
        <v>30759</v>
      </c>
      <c r="N10259" t="s">
        <v>32524</v>
      </c>
      <c r="O10259" t="s">
        <v>32525</v>
      </c>
      <c r="P10259">
        <v>0</v>
      </c>
      <c r="Q10259">
        <v>1</v>
      </c>
      <c r="R10259" t="s">
        <v>32539</v>
      </c>
      <c r="S10259" t="s">
        <v>33010</v>
      </c>
      <c r="T10259" t="s">
        <v>33168</v>
      </c>
      <c r="U10259" t="s">
        <v>42054</v>
      </c>
      <c r="W10259" t="s">
        <v>30759</v>
      </c>
      <c r="X10259" t="s">
        <v>32540</v>
      </c>
    </row>
    <row r="10260" spans="1:24">
      <c r="A10260">
        <f>HYPERLINK("https://www.philgeps.gov.ph/GEPSNONPILOT/Tender/SplashBidNoticeAbstractUI.aspx?menuIndex=3&amp;refID=7023723&amp;Result=3","7023723")</f>
        <v>0</v>
      </c>
      <c r="B10260" t="s">
        <v>720</v>
      </c>
      <c r="C10260" t="s">
        <v>12511</v>
      </c>
      <c r="D10260" t="s">
        <v>13058</v>
      </c>
      <c r="E10260" t="s">
        <v>22004</v>
      </c>
      <c r="F10260" t="s">
        <v>22436</v>
      </c>
      <c r="G10260" t="s">
        <v>22444</v>
      </c>
      <c r="H10260" t="s">
        <v>22452</v>
      </c>
      <c r="I10260" t="s">
        <v>6387</v>
      </c>
      <c r="J10260" t="s">
        <v>29048</v>
      </c>
      <c r="K10260" t="s">
        <v>29336</v>
      </c>
      <c r="M10260" t="s">
        <v>30317</v>
      </c>
      <c r="N10260" t="s">
        <v>32524</v>
      </c>
      <c r="O10260" t="s">
        <v>32525</v>
      </c>
      <c r="P10260">
        <v>0</v>
      </c>
      <c r="Q10260">
        <v>1</v>
      </c>
      <c r="R10260" t="s">
        <v>32539</v>
      </c>
      <c r="S10260" t="s">
        <v>33010</v>
      </c>
      <c r="T10260" t="s">
        <v>33227</v>
      </c>
      <c r="U10260" t="s">
        <v>42055</v>
      </c>
      <c r="V10260" t="s">
        <v>43615</v>
      </c>
      <c r="W10260" t="s">
        <v>30317</v>
      </c>
      <c r="X10260" t="s">
        <v>32540</v>
      </c>
    </row>
    <row r="10261" spans="1:24">
      <c r="A10261">
        <f>HYPERLINK("https://www.philgeps.gov.ph/GEPSNONPILOT/Tender/SplashBidNoticeAbstractUI.aspx?menuIndex=3&amp;refID=7023687&amp;Result=3","7023687")</f>
        <v>0</v>
      </c>
      <c r="B10261" t="s">
        <v>1805</v>
      </c>
      <c r="C10261" t="s">
        <v>12512</v>
      </c>
      <c r="D10261" t="s">
        <v>13069</v>
      </c>
      <c r="E10261" t="s">
        <v>22005</v>
      </c>
      <c r="F10261" t="s">
        <v>22436</v>
      </c>
      <c r="G10261" t="s">
        <v>22444</v>
      </c>
      <c r="H10261" t="s">
        <v>22452</v>
      </c>
      <c r="I10261" t="s">
        <v>2981</v>
      </c>
      <c r="J10261" t="s">
        <v>29049</v>
      </c>
      <c r="K10261" t="s">
        <v>29331</v>
      </c>
      <c r="M10261" t="s">
        <v>31518</v>
      </c>
      <c r="N10261" t="s">
        <v>32524</v>
      </c>
      <c r="O10261" t="s">
        <v>32525</v>
      </c>
      <c r="P10261">
        <v>0</v>
      </c>
      <c r="Q10261">
        <v>4</v>
      </c>
      <c r="R10261" t="s">
        <v>32539</v>
      </c>
      <c r="S10261" t="s">
        <v>33010</v>
      </c>
      <c r="T10261" t="s">
        <v>33177</v>
      </c>
      <c r="U10261" t="s">
        <v>42056</v>
      </c>
      <c r="W10261" t="s">
        <v>31518</v>
      </c>
      <c r="X10261" t="s">
        <v>32540</v>
      </c>
    </row>
    <row r="10262" spans="1:24">
      <c r="A10262">
        <f>HYPERLINK("https://www.philgeps.gov.ph/GEPSNONPILOT/Tender/SplashBidNoticeAbstractUI.aspx?menuIndex=3&amp;refID=7023702&amp;Result=3","7023702")</f>
        <v>0</v>
      </c>
      <c r="B10262" t="s">
        <v>1840</v>
      </c>
      <c r="C10262" t="s">
        <v>12513</v>
      </c>
      <c r="D10262" t="s">
        <v>13045</v>
      </c>
      <c r="E10262" t="s">
        <v>22006</v>
      </c>
      <c r="F10262" t="s">
        <v>22436</v>
      </c>
      <c r="G10262" t="s">
        <v>22450</v>
      </c>
      <c r="H10262" t="s">
        <v>22454</v>
      </c>
      <c r="I10262" t="s">
        <v>7738</v>
      </c>
      <c r="J10262" t="s">
        <v>24156</v>
      </c>
      <c r="K10262" t="s">
        <v>29389</v>
      </c>
      <c r="M10262" t="s">
        <v>31555</v>
      </c>
      <c r="N10262" t="s">
        <v>32524</v>
      </c>
      <c r="O10262" t="s">
        <v>32525</v>
      </c>
      <c r="Q10262">
        <v>4</v>
      </c>
      <c r="R10262" t="s">
        <v>32539</v>
      </c>
      <c r="S10262" t="s">
        <v>33068</v>
      </c>
      <c r="T10262" t="s">
        <v>33230</v>
      </c>
      <c r="U10262" t="s">
        <v>35712</v>
      </c>
      <c r="W10262" t="s">
        <v>31555</v>
      </c>
      <c r="X10262" t="s">
        <v>32540</v>
      </c>
    </row>
    <row r="10263" spans="1:24">
      <c r="A10263">
        <f>HYPERLINK("https://www.philgeps.gov.ph/GEPSNONPILOT/Tender/SplashBidNoticeAbstractUI.aspx?menuIndex=3&amp;refID=7023721&amp;Result=3","7023721")</f>
        <v>0</v>
      </c>
      <c r="B10263" t="s">
        <v>1121</v>
      </c>
      <c r="C10263" t="s">
        <v>12514</v>
      </c>
      <c r="D10263" t="s">
        <v>13038</v>
      </c>
      <c r="E10263" t="s">
        <v>22007</v>
      </c>
      <c r="F10263" t="s">
        <v>22436</v>
      </c>
      <c r="G10263" t="s">
        <v>22444</v>
      </c>
      <c r="H10263" t="s">
        <v>22452</v>
      </c>
      <c r="I10263" t="s">
        <v>22522</v>
      </c>
      <c r="J10263" t="s">
        <v>29050</v>
      </c>
      <c r="K10263" t="s">
        <v>29341</v>
      </c>
      <c r="M10263" t="s">
        <v>30759</v>
      </c>
      <c r="N10263" t="s">
        <v>32524</v>
      </c>
      <c r="O10263" t="s">
        <v>32525</v>
      </c>
      <c r="P10263">
        <v>0</v>
      </c>
      <c r="Q10263">
        <v>1</v>
      </c>
      <c r="R10263" t="s">
        <v>32539</v>
      </c>
      <c r="S10263" t="s">
        <v>33010</v>
      </c>
      <c r="T10263" t="s">
        <v>33168</v>
      </c>
      <c r="U10263" t="s">
        <v>42057</v>
      </c>
      <c r="W10263" t="s">
        <v>30759</v>
      </c>
      <c r="X10263" t="s">
        <v>32540</v>
      </c>
    </row>
    <row r="10264" spans="1:24">
      <c r="A10264">
        <f>HYPERLINK("https://www.philgeps.gov.ph/GEPSNONPILOT/Tender/SplashBidNoticeAbstractUI.aspx?menuIndex=3&amp;refID=7023697&amp;Result=3","7023697")</f>
        <v>0</v>
      </c>
      <c r="B10264" t="s">
        <v>449</v>
      </c>
      <c r="C10264" t="s">
        <v>12515</v>
      </c>
      <c r="D10264" t="s">
        <v>12999</v>
      </c>
      <c r="E10264" t="s">
        <v>22008</v>
      </c>
      <c r="F10264" t="s">
        <v>22436</v>
      </c>
      <c r="G10264" t="s">
        <v>22444</v>
      </c>
      <c r="H10264" t="s">
        <v>22454</v>
      </c>
      <c r="I10264" t="s">
        <v>7738</v>
      </c>
      <c r="J10264" t="s">
        <v>28988</v>
      </c>
      <c r="K10264" t="s">
        <v>29345</v>
      </c>
      <c r="M10264" t="s">
        <v>30031</v>
      </c>
      <c r="N10264" t="s">
        <v>32524</v>
      </c>
      <c r="O10264" t="s">
        <v>32525</v>
      </c>
      <c r="P10264">
        <v>0</v>
      </c>
      <c r="Q10264">
        <v>1</v>
      </c>
      <c r="R10264" t="s">
        <v>32539</v>
      </c>
      <c r="S10264" t="s">
        <v>33010</v>
      </c>
      <c r="T10264" t="s">
        <v>33230</v>
      </c>
      <c r="U10264" t="s">
        <v>41967</v>
      </c>
      <c r="W10264" t="s">
        <v>30031</v>
      </c>
      <c r="X10264" t="s">
        <v>32540</v>
      </c>
    </row>
    <row r="10265" spans="1:24">
      <c r="A10265">
        <f>HYPERLINK("https://www.philgeps.gov.ph/GEPSNONPILOT/Tender/SplashBidNoticeAbstractUI.aspx?menuIndex=3&amp;refID=7023689&amp;Result=3","7023689")</f>
        <v>0</v>
      </c>
      <c r="B10265" t="s">
        <v>2632</v>
      </c>
      <c r="C10265" t="s">
        <v>12516</v>
      </c>
      <c r="D10265" t="s">
        <v>12988</v>
      </c>
      <c r="E10265" t="s">
        <v>22009</v>
      </c>
      <c r="F10265" t="s">
        <v>22436</v>
      </c>
      <c r="G10265" t="s">
        <v>22444</v>
      </c>
      <c r="H10265" t="s">
        <v>22452</v>
      </c>
      <c r="I10265" t="s">
        <v>6421</v>
      </c>
      <c r="J10265" t="s">
        <v>29051</v>
      </c>
      <c r="K10265" t="s">
        <v>29341</v>
      </c>
      <c r="M10265" t="s">
        <v>32463</v>
      </c>
      <c r="N10265" t="s">
        <v>32524</v>
      </c>
      <c r="O10265" t="s">
        <v>32525</v>
      </c>
      <c r="P10265">
        <v>0</v>
      </c>
      <c r="Q10265">
        <v>6</v>
      </c>
      <c r="R10265" t="s">
        <v>32539</v>
      </c>
      <c r="S10265" t="s">
        <v>33010</v>
      </c>
      <c r="T10265" t="s">
        <v>33243</v>
      </c>
      <c r="U10265" t="s">
        <v>42031</v>
      </c>
      <c r="W10265" t="s">
        <v>32463</v>
      </c>
      <c r="X10265" t="s">
        <v>32540</v>
      </c>
    </row>
    <row r="10266" spans="1:24">
      <c r="A10266">
        <f>HYPERLINK("https://www.philgeps.gov.ph/GEPSNONPILOT/Tender/SplashBidNoticeAbstractUI.aspx?menuIndex=3&amp;refID=7023695&amp;Result=3","7023695")</f>
        <v>0</v>
      </c>
      <c r="B10266" t="s">
        <v>69</v>
      </c>
      <c r="C10266" t="s">
        <v>12517</v>
      </c>
      <c r="D10266" t="s">
        <v>12988</v>
      </c>
      <c r="E10266" t="s">
        <v>15038</v>
      </c>
      <c r="F10266" t="s">
        <v>22436</v>
      </c>
      <c r="G10266" t="s">
        <v>22444</v>
      </c>
      <c r="H10266" t="s">
        <v>22452</v>
      </c>
      <c r="I10266" t="s">
        <v>22521</v>
      </c>
      <c r="J10266" t="s">
        <v>29036</v>
      </c>
      <c r="K10266" t="s">
        <v>29345</v>
      </c>
      <c r="M10266" t="s">
        <v>29641</v>
      </c>
      <c r="N10266" t="s">
        <v>32524</v>
      </c>
      <c r="O10266" t="s">
        <v>32525</v>
      </c>
      <c r="Q10266">
        <v>9</v>
      </c>
      <c r="R10266" t="s">
        <v>32539</v>
      </c>
      <c r="S10266" t="s">
        <v>33069</v>
      </c>
      <c r="T10266" t="s">
        <v>33174</v>
      </c>
      <c r="U10266" t="s">
        <v>42058</v>
      </c>
      <c r="W10266" t="s">
        <v>29641</v>
      </c>
      <c r="X10266" t="s">
        <v>32540</v>
      </c>
    </row>
    <row r="10267" spans="1:24">
      <c r="A10267">
        <f>HYPERLINK("https://www.philgeps.gov.ph/GEPSNONPILOT/Tender/SplashBidNoticeAbstractUI.aspx?menuIndex=3&amp;refID=7023713&amp;Result=3","7023713")</f>
        <v>0</v>
      </c>
      <c r="B10267" t="s">
        <v>1517</v>
      </c>
      <c r="C10267" t="s">
        <v>12518</v>
      </c>
      <c r="D10267" t="s">
        <v>13024</v>
      </c>
      <c r="E10267" t="s">
        <v>22010</v>
      </c>
      <c r="F10267" t="s">
        <v>22436</v>
      </c>
      <c r="G10267" t="s">
        <v>22443</v>
      </c>
      <c r="H10267" t="s">
        <v>22452</v>
      </c>
      <c r="I10267" t="s">
        <v>22488</v>
      </c>
      <c r="J10267" t="s">
        <v>22853</v>
      </c>
      <c r="K10267" t="s">
        <v>29335</v>
      </c>
      <c r="M10267" t="s">
        <v>31192</v>
      </c>
      <c r="N10267" t="s">
        <v>32524</v>
      </c>
      <c r="O10267" t="s">
        <v>32525</v>
      </c>
      <c r="Q10267">
        <v>1</v>
      </c>
      <c r="R10267" t="s">
        <v>32539</v>
      </c>
      <c r="S10267" t="s">
        <v>33070</v>
      </c>
      <c r="T10267" t="s">
        <v>33181</v>
      </c>
      <c r="U10267" t="s">
        <v>42059</v>
      </c>
      <c r="W10267" t="s">
        <v>31192</v>
      </c>
      <c r="X10267" t="s">
        <v>32540</v>
      </c>
    </row>
    <row r="10268" spans="1:24">
      <c r="A10268">
        <f>HYPERLINK("https://www.philgeps.gov.ph/GEPSNONPILOT/Tender/SplashBidNoticeAbstractUI.aspx?menuIndex=3&amp;refID=7023731&amp;Result=3","7023731")</f>
        <v>0</v>
      </c>
      <c r="B10268" t="s">
        <v>2635</v>
      </c>
      <c r="C10268" t="s">
        <v>12519</v>
      </c>
      <c r="D10268" t="s">
        <v>13040</v>
      </c>
      <c r="E10268" t="s">
        <v>22011</v>
      </c>
      <c r="F10268" t="s">
        <v>22436</v>
      </c>
      <c r="G10268" t="s">
        <v>22444</v>
      </c>
      <c r="H10268" t="s">
        <v>22454</v>
      </c>
      <c r="I10268" t="s">
        <v>7738</v>
      </c>
      <c r="J10268" t="s">
        <v>22614</v>
      </c>
      <c r="K10268" t="s">
        <v>29344</v>
      </c>
      <c r="M10268" t="s">
        <v>32467</v>
      </c>
      <c r="N10268" t="s">
        <v>32524</v>
      </c>
      <c r="O10268" t="s">
        <v>32525</v>
      </c>
      <c r="P10268">
        <v>0</v>
      </c>
      <c r="Q10268">
        <v>0</v>
      </c>
      <c r="R10268" t="s">
        <v>32539</v>
      </c>
      <c r="S10268" t="s">
        <v>33010</v>
      </c>
      <c r="T10268" t="s">
        <v>33171</v>
      </c>
      <c r="U10268" t="s">
        <v>42060</v>
      </c>
      <c r="W10268" t="s">
        <v>32467</v>
      </c>
      <c r="X10268" t="s">
        <v>32540</v>
      </c>
    </row>
    <row r="10269" spans="1:24">
      <c r="A10269">
        <f>HYPERLINK("https://www.philgeps.gov.ph/GEPSNONPILOT/Tender/SplashBidNoticeAbstractUI.aspx?menuIndex=3&amp;refID=7023733&amp;Result=3","7023733")</f>
        <v>0</v>
      </c>
      <c r="B10269" t="s">
        <v>69</v>
      </c>
      <c r="C10269" t="s">
        <v>12520</v>
      </c>
      <c r="D10269" t="s">
        <v>12988</v>
      </c>
      <c r="E10269" t="s">
        <v>15063</v>
      </c>
      <c r="F10269" t="s">
        <v>22436</v>
      </c>
      <c r="G10269" t="s">
        <v>22444</v>
      </c>
      <c r="H10269" t="s">
        <v>22452</v>
      </c>
      <c r="I10269" t="s">
        <v>2981</v>
      </c>
      <c r="J10269" t="s">
        <v>23762</v>
      </c>
      <c r="K10269" t="s">
        <v>29345</v>
      </c>
      <c r="M10269" t="s">
        <v>29641</v>
      </c>
      <c r="N10269" t="s">
        <v>32524</v>
      </c>
      <c r="O10269" t="s">
        <v>32525</v>
      </c>
      <c r="Q10269">
        <v>7</v>
      </c>
      <c r="R10269" t="s">
        <v>32539</v>
      </c>
      <c r="S10269" t="s">
        <v>33071</v>
      </c>
      <c r="T10269" t="s">
        <v>33177</v>
      </c>
      <c r="U10269" t="s">
        <v>42061</v>
      </c>
      <c r="W10269" t="s">
        <v>29641</v>
      </c>
      <c r="X10269" t="s">
        <v>32540</v>
      </c>
    </row>
    <row r="10270" spans="1:24">
      <c r="A10270">
        <f>HYPERLINK("https://www.philgeps.gov.ph/GEPSNONPILOT/Tender/SplashBidNoticeAbstractUI.aspx?menuIndex=3&amp;refID=7023708&amp;Result=3","7023708")</f>
        <v>0</v>
      </c>
      <c r="B10270" t="s">
        <v>512</v>
      </c>
      <c r="C10270" t="s">
        <v>12521</v>
      </c>
      <c r="D10270" t="s">
        <v>12995</v>
      </c>
      <c r="E10270" t="s">
        <v>22012</v>
      </c>
      <c r="F10270" t="s">
        <v>22436</v>
      </c>
      <c r="G10270" t="s">
        <v>22444</v>
      </c>
      <c r="H10270" t="s">
        <v>22452</v>
      </c>
      <c r="I10270" t="s">
        <v>22479</v>
      </c>
      <c r="J10270" t="s">
        <v>29052</v>
      </c>
      <c r="K10270" t="s">
        <v>29336</v>
      </c>
      <c r="M10270" t="s">
        <v>30096</v>
      </c>
      <c r="N10270" t="s">
        <v>32524</v>
      </c>
      <c r="O10270" t="s">
        <v>32525</v>
      </c>
      <c r="P10270">
        <v>0</v>
      </c>
      <c r="Q10270">
        <v>4</v>
      </c>
      <c r="R10270" t="s">
        <v>32539</v>
      </c>
      <c r="S10270" t="s">
        <v>33010</v>
      </c>
      <c r="T10270" t="s">
        <v>33181</v>
      </c>
      <c r="U10270" t="s">
        <v>34661</v>
      </c>
      <c r="W10270" t="s">
        <v>30096</v>
      </c>
      <c r="X10270" t="s">
        <v>32540</v>
      </c>
    </row>
    <row r="10271" spans="1:24">
      <c r="A10271">
        <f>HYPERLINK("https://www.philgeps.gov.ph/GEPSNONPILOT/Tender/SplashBidNoticeAbstractUI.aspx?menuIndex=3&amp;refID=7023691&amp;Result=3","7023691")</f>
        <v>0</v>
      </c>
      <c r="B10271" t="s">
        <v>40</v>
      </c>
      <c r="C10271" t="s">
        <v>12522</v>
      </c>
      <c r="D10271" t="s">
        <v>13001</v>
      </c>
      <c r="E10271" t="s">
        <v>22013</v>
      </c>
      <c r="F10271" t="s">
        <v>22436</v>
      </c>
      <c r="G10271" t="s">
        <v>22444</v>
      </c>
      <c r="H10271" t="s">
        <v>22454</v>
      </c>
      <c r="I10271" t="s">
        <v>7738</v>
      </c>
      <c r="J10271" t="s">
        <v>24103</v>
      </c>
      <c r="K10271" t="s">
        <v>29344</v>
      </c>
      <c r="M10271" t="s">
        <v>29611</v>
      </c>
      <c r="N10271" t="s">
        <v>32524</v>
      </c>
      <c r="O10271" t="s">
        <v>32525</v>
      </c>
      <c r="P10271">
        <v>0</v>
      </c>
      <c r="Q10271">
        <v>23</v>
      </c>
      <c r="R10271" t="s">
        <v>32539</v>
      </c>
      <c r="S10271" t="s">
        <v>33010</v>
      </c>
      <c r="T10271" t="s">
        <v>33171</v>
      </c>
      <c r="U10271" t="s">
        <v>33644</v>
      </c>
      <c r="V10271" t="s">
        <v>42423</v>
      </c>
      <c r="W10271" t="s">
        <v>29611</v>
      </c>
      <c r="X10271" t="s">
        <v>32540</v>
      </c>
    </row>
    <row r="10272" spans="1:24">
      <c r="A10272">
        <f>HYPERLINK("https://www.philgeps.gov.ph/GEPSNONPILOT/Tender/SplashBidNoticeAbstractUI.aspx?menuIndex=3&amp;refID=7023732&amp;Result=3","7023732")</f>
        <v>0</v>
      </c>
      <c r="B10272" t="s">
        <v>2634</v>
      </c>
      <c r="C10272" t="s">
        <v>12523</v>
      </c>
      <c r="D10272" t="s">
        <v>13020</v>
      </c>
      <c r="E10272" t="s">
        <v>22014</v>
      </c>
      <c r="F10272" t="s">
        <v>22436</v>
      </c>
      <c r="G10272" t="s">
        <v>22444</v>
      </c>
      <c r="H10272" t="s">
        <v>22452</v>
      </c>
      <c r="I10272" t="s">
        <v>3529</v>
      </c>
      <c r="J10272" t="s">
        <v>29053</v>
      </c>
      <c r="K10272" t="s">
        <v>29329</v>
      </c>
      <c r="M10272" t="s">
        <v>32466</v>
      </c>
      <c r="N10272" t="s">
        <v>32524</v>
      </c>
      <c r="O10272" t="s">
        <v>32525</v>
      </c>
      <c r="P10272">
        <v>0</v>
      </c>
      <c r="Q10272">
        <v>5</v>
      </c>
      <c r="R10272" t="s">
        <v>32539</v>
      </c>
      <c r="S10272" t="s">
        <v>33010</v>
      </c>
      <c r="T10272" t="s">
        <v>33168</v>
      </c>
      <c r="U10272" t="s">
        <v>42062</v>
      </c>
      <c r="W10272" t="s">
        <v>32466</v>
      </c>
      <c r="X10272" t="s">
        <v>32540</v>
      </c>
    </row>
    <row r="10273" spans="1:24">
      <c r="A10273">
        <f>HYPERLINK("https://www.philgeps.gov.ph/GEPSNONPILOT/Tender/SplashBidNoticeAbstractUI.aspx?menuIndex=3&amp;refID=7023734&amp;Result=3","7023734")</f>
        <v>0</v>
      </c>
      <c r="B10273" t="s">
        <v>2486</v>
      </c>
      <c r="C10273" t="s">
        <v>12524</v>
      </c>
      <c r="D10273" t="s">
        <v>13016</v>
      </c>
      <c r="E10273" t="s">
        <v>22015</v>
      </c>
      <c r="F10273" t="s">
        <v>22436</v>
      </c>
      <c r="G10273" t="s">
        <v>22444</v>
      </c>
      <c r="H10273" t="s">
        <v>22452</v>
      </c>
      <c r="I10273" t="s">
        <v>22474</v>
      </c>
      <c r="J10273" t="s">
        <v>29054</v>
      </c>
      <c r="K10273" t="s">
        <v>29335</v>
      </c>
      <c r="M10273" t="s">
        <v>32291</v>
      </c>
      <c r="N10273" t="s">
        <v>32524</v>
      </c>
      <c r="O10273" t="s">
        <v>32525</v>
      </c>
      <c r="P10273">
        <v>0</v>
      </c>
      <c r="Q10273">
        <v>4</v>
      </c>
      <c r="R10273" t="s">
        <v>32539</v>
      </c>
      <c r="S10273" t="s">
        <v>33010</v>
      </c>
      <c r="T10273" t="s">
        <v>33211</v>
      </c>
      <c r="U10273" t="s">
        <v>42063</v>
      </c>
      <c r="W10273" t="s">
        <v>32291</v>
      </c>
      <c r="X10273" t="s">
        <v>32540</v>
      </c>
    </row>
    <row r="10274" spans="1:24">
      <c r="A10274">
        <f>HYPERLINK("https://www.philgeps.gov.ph/GEPSNONPILOT/Tender/SplashBidNoticeAbstractUI.aspx?menuIndex=3&amp;refID=7023681&amp;Result=3","7023681")</f>
        <v>0</v>
      </c>
      <c r="B10274" t="s">
        <v>1840</v>
      </c>
      <c r="C10274" t="s">
        <v>12525</v>
      </c>
      <c r="D10274" t="s">
        <v>13045</v>
      </c>
      <c r="E10274" t="s">
        <v>22016</v>
      </c>
      <c r="F10274" t="s">
        <v>22436</v>
      </c>
      <c r="G10274" t="s">
        <v>22450</v>
      </c>
      <c r="H10274" t="s">
        <v>22454</v>
      </c>
      <c r="I10274" t="s">
        <v>7738</v>
      </c>
      <c r="J10274" t="s">
        <v>29055</v>
      </c>
      <c r="K10274" t="s">
        <v>29401</v>
      </c>
      <c r="M10274" t="s">
        <v>31555</v>
      </c>
      <c r="N10274" t="s">
        <v>32524</v>
      </c>
      <c r="O10274" t="s">
        <v>32525</v>
      </c>
      <c r="Q10274">
        <v>3</v>
      </c>
      <c r="R10274" t="s">
        <v>32539</v>
      </c>
      <c r="S10274" t="s">
        <v>33072</v>
      </c>
      <c r="T10274" t="s">
        <v>33230</v>
      </c>
      <c r="U10274" t="s">
        <v>35712</v>
      </c>
      <c r="W10274" t="s">
        <v>31555</v>
      </c>
      <c r="X10274" t="s">
        <v>32540</v>
      </c>
    </row>
    <row r="10275" spans="1:24">
      <c r="A10275">
        <f>HYPERLINK("https://www.philgeps.gov.ph/GEPSNONPILOT/Tender/SplashBidNoticeAbstractUI.aspx?menuIndex=3&amp;refID=7023725&amp;Result=3","7023725")</f>
        <v>0</v>
      </c>
      <c r="B10275" t="s">
        <v>953</v>
      </c>
      <c r="C10275" t="s">
        <v>12526</v>
      </c>
      <c r="D10275" t="s">
        <v>12994</v>
      </c>
      <c r="E10275" t="s">
        <v>22017</v>
      </c>
      <c r="F10275" t="s">
        <v>22436</v>
      </c>
      <c r="G10275" t="s">
        <v>22444</v>
      </c>
      <c r="H10275" t="s">
        <v>22452</v>
      </c>
      <c r="I10275" t="s">
        <v>22479</v>
      </c>
      <c r="J10275" t="s">
        <v>23352</v>
      </c>
      <c r="K10275" t="s">
        <v>29329</v>
      </c>
      <c r="M10275" t="s">
        <v>32468</v>
      </c>
      <c r="N10275" t="s">
        <v>32524</v>
      </c>
      <c r="O10275" t="s">
        <v>32525</v>
      </c>
      <c r="P10275">
        <v>0</v>
      </c>
      <c r="Q10275">
        <v>5</v>
      </c>
      <c r="R10275" t="s">
        <v>32539</v>
      </c>
      <c r="S10275" t="s">
        <v>33010</v>
      </c>
      <c r="T10275" t="s">
        <v>33259</v>
      </c>
      <c r="U10275" t="s">
        <v>42064</v>
      </c>
      <c r="W10275" t="s">
        <v>32468</v>
      </c>
      <c r="X10275" t="s">
        <v>32540</v>
      </c>
    </row>
    <row r="10276" spans="1:24">
      <c r="A10276">
        <f>HYPERLINK("https://www.philgeps.gov.ph/GEPSNONPILOT/Tender/SplashBidNoticeAbstractUI.aspx?menuIndex=3&amp;refID=7023729&amp;Result=3","7023729")</f>
        <v>0</v>
      </c>
      <c r="B10276" t="s">
        <v>512</v>
      </c>
      <c r="C10276" t="s">
        <v>12527</v>
      </c>
      <c r="D10276" t="s">
        <v>12995</v>
      </c>
      <c r="E10276" t="s">
        <v>22018</v>
      </c>
      <c r="F10276" t="s">
        <v>22436</v>
      </c>
      <c r="G10276" t="s">
        <v>22444</v>
      </c>
      <c r="H10276" t="s">
        <v>22452</v>
      </c>
      <c r="I10276" t="s">
        <v>22479</v>
      </c>
      <c r="J10276" t="s">
        <v>29056</v>
      </c>
      <c r="K10276" t="s">
        <v>29336</v>
      </c>
      <c r="M10276" t="s">
        <v>30096</v>
      </c>
      <c r="N10276" t="s">
        <v>32524</v>
      </c>
      <c r="O10276" t="s">
        <v>32525</v>
      </c>
      <c r="P10276">
        <v>0</v>
      </c>
      <c r="Q10276">
        <v>2</v>
      </c>
      <c r="R10276" t="s">
        <v>32539</v>
      </c>
      <c r="S10276" t="s">
        <v>33010</v>
      </c>
      <c r="T10276" t="s">
        <v>33181</v>
      </c>
      <c r="U10276" t="s">
        <v>34661</v>
      </c>
      <c r="W10276" t="s">
        <v>30096</v>
      </c>
      <c r="X10276" t="s">
        <v>32540</v>
      </c>
    </row>
    <row r="10277" spans="1:24">
      <c r="A10277">
        <f>HYPERLINK("https://www.philgeps.gov.ph/GEPSNONPILOT/Tender/SplashBidNoticeAbstractUI.aspx?menuIndex=3&amp;refID=7023698&amp;Result=3","7023698")</f>
        <v>0</v>
      </c>
      <c r="B10277" t="s">
        <v>2631</v>
      </c>
      <c r="C10277" t="s">
        <v>12528</v>
      </c>
      <c r="D10277" t="s">
        <v>12988</v>
      </c>
      <c r="E10277" t="s">
        <v>13396</v>
      </c>
      <c r="F10277" t="s">
        <v>22437</v>
      </c>
      <c r="G10277" t="s">
        <v>22444</v>
      </c>
      <c r="H10277" t="s">
        <v>22452</v>
      </c>
      <c r="I10277" t="s">
        <v>2981</v>
      </c>
      <c r="J10277" t="s">
        <v>22585</v>
      </c>
      <c r="K10277" t="s">
        <v>29335</v>
      </c>
      <c r="M10277" t="s">
        <v>32462</v>
      </c>
      <c r="N10277" t="s">
        <v>32524</v>
      </c>
      <c r="O10277" t="s">
        <v>32525</v>
      </c>
      <c r="P10277">
        <v>0</v>
      </c>
      <c r="Q10277">
        <v>0</v>
      </c>
      <c r="R10277" t="s">
        <v>32539</v>
      </c>
      <c r="S10277" t="s">
        <v>33010</v>
      </c>
      <c r="T10277" t="s">
        <v>33608</v>
      </c>
      <c r="U10277" t="s">
        <v>42065</v>
      </c>
      <c r="W10277" t="s">
        <v>32462</v>
      </c>
      <c r="X10277" t="s">
        <v>32540</v>
      </c>
    </row>
    <row r="10278" spans="1:24">
      <c r="A10278">
        <f>HYPERLINK("https://www.philgeps.gov.ph/GEPSNONPILOT/Tender/SplashBidNoticeAbstractUI.aspx?menuIndex=3&amp;refID=7023758&amp;Result=3","7023758")</f>
        <v>0</v>
      </c>
      <c r="B10278" t="s">
        <v>2486</v>
      </c>
      <c r="C10278" t="s">
        <v>12529</v>
      </c>
      <c r="D10278" t="s">
        <v>13016</v>
      </c>
      <c r="E10278" t="s">
        <v>22019</v>
      </c>
      <c r="F10278" t="s">
        <v>22436</v>
      </c>
      <c r="G10278" t="s">
        <v>22444</v>
      </c>
      <c r="H10278" t="s">
        <v>22452</v>
      </c>
      <c r="I10278" t="s">
        <v>22479</v>
      </c>
      <c r="J10278" t="s">
        <v>22943</v>
      </c>
      <c r="K10278" t="s">
        <v>29329</v>
      </c>
      <c r="M10278" t="s">
        <v>32291</v>
      </c>
      <c r="N10278" t="s">
        <v>32524</v>
      </c>
      <c r="O10278" t="s">
        <v>32525</v>
      </c>
      <c r="P10278">
        <v>0</v>
      </c>
      <c r="Q10278">
        <v>2</v>
      </c>
      <c r="R10278" t="s">
        <v>32539</v>
      </c>
      <c r="S10278" t="s">
        <v>33010</v>
      </c>
      <c r="T10278" t="s">
        <v>33211</v>
      </c>
      <c r="U10278" t="s">
        <v>42063</v>
      </c>
      <c r="W10278" t="s">
        <v>32291</v>
      </c>
      <c r="X10278" t="s">
        <v>32540</v>
      </c>
    </row>
    <row r="10279" spans="1:24">
      <c r="A10279">
        <f>HYPERLINK("https://www.philgeps.gov.ph/GEPSNONPILOT/Tender/SplashBidNoticeAbstractUI.aspx?menuIndex=3&amp;refID=7023736&amp;Result=3","7023736")</f>
        <v>0</v>
      </c>
      <c r="B10279" t="s">
        <v>1517</v>
      </c>
      <c r="C10279" t="s">
        <v>12530</v>
      </c>
      <c r="D10279" t="s">
        <v>13024</v>
      </c>
      <c r="E10279" t="s">
        <v>22020</v>
      </c>
      <c r="F10279" t="s">
        <v>22436</v>
      </c>
      <c r="G10279" t="s">
        <v>22443</v>
      </c>
      <c r="H10279" t="s">
        <v>22452</v>
      </c>
      <c r="I10279" t="s">
        <v>3358</v>
      </c>
      <c r="J10279" t="s">
        <v>24852</v>
      </c>
      <c r="K10279" t="s">
        <v>29341</v>
      </c>
      <c r="M10279" t="s">
        <v>31192</v>
      </c>
      <c r="N10279" t="s">
        <v>32524</v>
      </c>
      <c r="O10279" t="s">
        <v>32525</v>
      </c>
      <c r="Q10279">
        <v>0</v>
      </c>
      <c r="R10279" t="s">
        <v>32539</v>
      </c>
      <c r="S10279" t="s">
        <v>33073</v>
      </c>
      <c r="T10279" t="s">
        <v>33181</v>
      </c>
      <c r="U10279" t="s">
        <v>42066</v>
      </c>
      <c r="W10279" t="s">
        <v>31192</v>
      </c>
      <c r="X10279" t="s">
        <v>32540</v>
      </c>
    </row>
    <row r="10280" spans="1:24">
      <c r="A10280">
        <f>HYPERLINK("https://www.philgeps.gov.ph/GEPSNONPILOT/Tender/SplashBidNoticeAbstractUI.aspx?menuIndex=3&amp;refID=7023757&amp;Result=3","7023757")</f>
        <v>0</v>
      </c>
      <c r="B10280" t="s">
        <v>2632</v>
      </c>
      <c r="C10280" t="s">
        <v>12531</v>
      </c>
      <c r="D10280" t="s">
        <v>12988</v>
      </c>
      <c r="E10280" t="s">
        <v>22021</v>
      </c>
      <c r="F10280" t="s">
        <v>22436</v>
      </c>
      <c r="G10280" t="s">
        <v>22444</v>
      </c>
      <c r="H10280" t="s">
        <v>22452</v>
      </c>
      <c r="I10280" t="s">
        <v>6421</v>
      </c>
      <c r="J10280" t="s">
        <v>29057</v>
      </c>
      <c r="K10280" t="s">
        <v>29341</v>
      </c>
      <c r="M10280" t="s">
        <v>32463</v>
      </c>
      <c r="N10280" t="s">
        <v>32524</v>
      </c>
      <c r="O10280" t="s">
        <v>32525</v>
      </c>
      <c r="P10280">
        <v>0</v>
      </c>
      <c r="Q10280">
        <v>5</v>
      </c>
      <c r="R10280" t="s">
        <v>32539</v>
      </c>
      <c r="S10280" t="s">
        <v>33010</v>
      </c>
      <c r="T10280" t="s">
        <v>33247</v>
      </c>
      <c r="U10280" t="s">
        <v>42031</v>
      </c>
      <c r="W10280" t="s">
        <v>32463</v>
      </c>
      <c r="X10280" t="s">
        <v>32540</v>
      </c>
    </row>
    <row r="10281" spans="1:24">
      <c r="A10281">
        <f>HYPERLINK("https://www.philgeps.gov.ph/GEPSNONPILOT/Tender/SplashBidNoticeAbstractUI.aspx?menuIndex=3&amp;refID=7023753&amp;Result=3","7023753")</f>
        <v>0</v>
      </c>
      <c r="B10281" t="s">
        <v>2634</v>
      </c>
      <c r="C10281" t="s">
        <v>12532</v>
      </c>
      <c r="D10281" t="s">
        <v>12992</v>
      </c>
      <c r="E10281" t="s">
        <v>22022</v>
      </c>
      <c r="F10281" t="s">
        <v>22436</v>
      </c>
      <c r="G10281" t="s">
        <v>22444</v>
      </c>
      <c r="H10281" t="s">
        <v>22454</v>
      </c>
      <c r="I10281" t="s">
        <v>7738</v>
      </c>
      <c r="J10281" t="s">
        <v>29058</v>
      </c>
      <c r="K10281" t="s">
        <v>29334</v>
      </c>
      <c r="M10281" t="s">
        <v>32466</v>
      </c>
      <c r="N10281" t="s">
        <v>32524</v>
      </c>
      <c r="O10281" t="s">
        <v>32525</v>
      </c>
      <c r="P10281">
        <v>0</v>
      </c>
      <c r="Q10281">
        <v>6</v>
      </c>
      <c r="R10281" t="s">
        <v>32539</v>
      </c>
      <c r="S10281" t="s">
        <v>33010</v>
      </c>
      <c r="T10281" t="s">
        <v>33243</v>
      </c>
      <c r="U10281" t="s">
        <v>42067</v>
      </c>
      <c r="W10281" t="s">
        <v>32466</v>
      </c>
      <c r="X10281" t="s">
        <v>32540</v>
      </c>
    </row>
    <row r="10282" spans="1:24">
      <c r="A10282">
        <f>HYPERLINK("https://www.philgeps.gov.ph/GEPSNONPILOT/Tender/SplashBidNoticeAbstractUI.aspx?menuIndex=3&amp;refID=7023752&amp;Result=3","7023752")</f>
        <v>0</v>
      </c>
      <c r="B10282" t="s">
        <v>2636</v>
      </c>
      <c r="C10282" t="s">
        <v>12533</v>
      </c>
      <c r="D10282" t="s">
        <v>13039</v>
      </c>
      <c r="E10282" t="s">
        <v>22023</v>
      </c>
      <c r="F10282" t="s">
        <v>22436</v>
      </c>
      <c r="G10282" t="s">
        <v>22444</v>
      </c>
      <c r="H10282" t="s">
        <v>22452</v>
      </c>
      <c r="I10282" t="s">
        <v>22460</v>
      </c>
      <c r="J10282" t="s">
        <v>29059</v>
      </c>
      <c r="K10282" t="s">
        <v>29335</v>
      </c>
      <c r="M10282" t="s">
        <v>32469</v>
      </c>
      <c r="N10282" t="s">
        <v>32524</v>
      </c>
      <c r="O10282" t="s">
        <v>32525</v>
      </c>
      <c r="P10282">
        <v>0</v>
      </c>
      <c r="Q10282">
        <v>0</v>
      </c>
      <c r="R10282" t="s">
        <v>32539</v>
      </c>
      <c r="S10282" t="s">
        <v>33010</v>
      </c>
      <c r="T10282" t="s">
        <v>33610</v>
      </c>
      <c r="U10282" t="s">
        <v>42068</v>
      </c>
      <c r="W10282" t="s">
        <v>32469</v>
      </c>
      <c r="X10282" t="s">
        <v>32540</v>
      </c>
    </row>
    <row r="10283" spans="1:24">
      <c r="A10283">
        <f>HYPERLINK("https://www.philgeps.gov.ph/GEPSNONPILOT/Tender/SplashBidNoticeAbstractUI.aspx?menuIndex=3&amp;refID=7023743&amp;Result=3","7023743")</f>
        <v>0</v>
      </c>
      <c r="B10283" t="s">
        <v>1805</v>
      </c>
      <c r="C10283" t="s">
        <v>12534</v>
      </c>
      <c r="D10283" t="s">
        <v>13069</v>
      </c>
      <c r="E10283" t="s">
        <v>22024</v>
      </c>
      <c r="F10283" t="s">
        <v>22436</v>
      </c>
      <c r="G10283" t="s">
        <v>22444</v>
      </c>
      <c r="H10283" t="s">
        <v>22452</v>
      </c>
      <c r="I10283" t="s">
        <v>2981</v>
      </c>
      <c r="J10283" t="s">
        <v>22779</v>
      </c>
      <c r="K10283" t="s">
        <v>29331</v>
      </c>
      <c r="M10283" t="s">
        <v>31518</v>
      </c>
      <c r="N10283" t="s">
        <v>32524</v>
      </c>
      <c r="O10283" t="s">
        <v>32525</v>
      </c>
      <c r="P10283">
        <v>0</v>
      </c>
      <c r="Q10283">
        <v>7</v>
      </c>
      <c r="R10283" t="s">
        <v>32539</v>
      </c>
      <c r="S10283" t="s">
        <v>33010</v>
      </c>
      <c r="T10283" t="s">
        <v>33177</v>
      </c>
      <c r="U10283" t="s">
        <v>42069</v>
      </c>
      <c r="W10283" t="s">
        <v>31518</v>
      </c>
      <c r="X10283" t="s">
        <v>32540</v>
      </c>
    </row>
    <row r="10284" spans="1:24">
      <c r="A10284">
        <f>HYPERLINK("https://www.philgeps.gov.ph/GEPSNONPILOT/Tender/SplashBidNoticeAbstractUI.aspx?menuIndex=3&amp;refID=7023738&amp;Result=3","7023738")</f>
        <v>0</v>
      </c>
      <c r="B10284" t="s">
        <v>1121</v>
      </c>
      <c r="C10284" t="s">
        <v>12535</v>
      </c>
      <c r="D10284" t="s">
        <v>13038</v>
      </c>
      <c r="E10284" t="s">
        <v>22025</v>
      </c>
      <c r="F10284" t="s">
        <v>22436</v>
      </c>
      <c r="G10284" t="s">
        <v>22444</v>
      </c>
      <c r="H10284" t="s">
        <v>22452</v>
      </c>
      <c r="I10284" t="s">
        <v>22469</v>
      </c>
      <c r="J10284" t="s">
        <v>28031</v>
      </c>
      <c r="K10284" t="s">
        <v>29333</v>
      </c>
      <c r="M10284" t="s">
        <v>30759</v>
      </c>
      <c r="N10284" t="s">
        <v>32524</v>
      </c>
      <c r="O10284" t="s">
        <v>32525</v>
      </c>
      <c r="Q10284">
        <v>8</v>
      </c>
      <c r="R10284" t="s">
        <v>32539</v>
      </c>
      <c r="S10284" t="s">
        <v>33074</v>
      </c>
      <c r="T10284" t="s">
        <v>33168</v>
      </c>
      <c r="U10284" t="s">
        <v>42070</v>
      </c>
      <c r="W10284" t="s">
        <v>30759</v>
      </c>
      <c r="X10284" t="s">
        <v>32540</v>
      </c>
    </row>
    <row r="10285" spans="1:24">
      <c r="A10285">
        <f>HYPERLINK("https://www.philgeps.gov.ph/GEPSNONPILOT/Tender/SplashBidNoticeAbstractUI.aspx?menuIndex=3&amp;refID=7023754&amp;Result=3","7023754")</f>
        <v>0</v>
      </c>
      <c r="B10285" t="s">
        <v>180</v>
      </c>
      <c r="C10285" t="s">
        <v>12536</v>
      </c>
      <c r="D10285" t="s">
        <v>13026</v>
      </c>
      <c r="E10285" t="s">
        <v>22026</v>
      </c>
      <c r="F10285" t="s">
        <v>22436</v>
      </c>
      <c r="G10285" t="s">
        <v>22444</v>
      </c>
      <c r="H10285" t="s">
        <v>22454</v>
      </c>
      <c r="I10285" t="s">
        <v>7738</v>
      </c>
      <c r="J10285" t="s">
        <v>22634</v>
      </c>
      <c r="K10285" t="s">
        <v>29329</v>
      </c>
      <c r="M10285" t="s">
        <v>32450</v>
      </c>
      <c r="N10285" t="s">
        <v>32524</v>
      </c>
      <c r="O10285" t="s">
        <v>32525</v>
      </c>
      <c r="P10285">
        <v>0</v>
      </c>
      <c r="Q10285">
        <v>1</v>
      </c>
      <c r="R10285" t="s">
        <v>32539</v>
      </c>
      <c r="S10285" t="s">
        <v>33010</v>
      </c>
      <c r="T10285" t="s">
        <v>33211</v>
      </c>
      <c r="U10285" t="s">
        <v>42071</v>
      </c>
      <c r="W10285" t="s">
        <v>32450</v>
      </c>
      <c r="X10285" t="s">
        <v>32540</v>
      </c>
    </row>
    <row r="10286" spans="1:24">
      <c r="A10286">
        <f>HYPERLINK("https://www.philgeps.gov.ph/GEPSNONPILOT/Tender/SplashBidNoticeAbstractUI.aspx?menuIndex=3&amp;refID=7023777&amp;Result=3","7023777")</f>
        <v>0</v>
      </c>
      <c r="B10286" t="s">
        <v>106</v>
      </c>
      <c r="C10286" t="s">
        <v>12537</v>
      </c>
      <c r="D10286" t="s">
        <v>13000</v>
      </c>
      <c r="E10286" t="s">
        <v>22027</v>
      </c>
      <c r="F10286" t="s">
        <v>22436</v>
      </c>
      <c r="G10286" t="s">
        <v>22444</v>
      </c>
      <c r="H10286" t="s">
        <v>22452</v>
      </c>
      <c r="I10286" t="s">
        <v>22474</v>
      </c>
      <c r="J10286" t="s">
        <v>24169</v>
      </c>
      <c r="K10286" t="s">
        <v>29335</v>
      </c>
      <c r="M10286" t="s">
        <v>29678</v>
      </c>
      <c r="N10286" t="s">
        <v>32524</v>
      </c>
      <c r="O10286" t="s">
        <v>32525</v>
      </c>
      <c r="P10286">
        <v>0</v>
      </c>
      <c r="Q10286">
        <v>8</v>
      </c>
      <c r="R10286" t="s">
        <v>32539</v>
      </c>
      <c r="S10286" t="s">
        <v>33010</v>
      </c>
      <c r="T10286" t="s">
        <v>33180</v>
      </c>
      <c r="U10286" t="s">
        <v>42072</v>
      </c>
      <c r="V10286" t="s">
        <v>42863</v>
      </c>
      <c r="W10286" t="s">
        <v>29678</v>
      </c>
      <c r="X10286" t="s">
        <v>32540</v>
      </c>
    </row>
    <row r="10287" spans="1:24">
      <c r="A10287">
        <f>HYPERLINK("https://www.philgeps.gov.ph/GEPSNONPILOT/Tender/SplashBidNoticeAbstractUI.aspx?menuIndex=3&amp;refID=7023778&amp;Result=3","7023778")</f>
        <v>0</v>
      </c>
      <c r="B10287" t="s">
        <v>2637</v>
      </c>
      <c r="C10287" t="s">
        <v>12538</v>
      </c>
      <c r="D10287" t="s">
        <v>12999</v>
      </c>
      <c r="E10287" t="s">
        <v>22028</v>
      </c>
      <c r="F10287" t="s">
        <v>22436</v>
      </c>
      <c r="G10287" t="s">
        <v>22444</v>
      </c>
      <c r="H10287" t="s">
        <v>22452</v>
      </c>
      <c r="I10287" t="s">
        <v>6421</v>
      </c>
      <c r="J10287" t="s">
        <v>29060</v>
      </c>
      <c r="K10287" t="s">
        <v>29338</v>
      </c>
      <c r="M10287" t="s">
        <v>32470</v>
      </c>
      <c r="N10287" t="s">
        <v>32524</v>
      </c>
      <c r="O10287" t="s">
        <v>32525</v>
      </c>
      <c r="P10287">
        <v>0</v>
      </c>
      <c r="Q10287">
        <v>5</v>
      </c>
      <c r="R10287" t="s">
        <v>32539</v>
      </c>
      <c r="S10287" t="s">
        <v>33010</v>
      </c>
      <c r="T10287" t="s">
        <v>33324</v>
      </c>
      <c r="U10287" t="s">
        <v>42073</v>
      </c>
      <c r="W10287" t="s">
        <v>32470</v>
      </c>
      <c r="X10287" t="s">
        <v>32540</v>
      </c>
    </row>
    <row r="10288" spans="1:24">
      <c r="A10288">
        <f>HYPERLINK("https://www.philgeps.gov.ph/GEPSNONPILOT/Tender/SplashBidNoticeAbstractUI.aspx?menuIndex=3&amp;refID=7023745&amp;Result=3","7023745")</f>
        <v>0</v>
      </c>
      <c r="B10288" t="s">
        <v>145</v>
      </c>
      <c r="C10288" t="s">
        <v>12539</v>
      </c>
      <c r="D10288" t="s">
        <v>13041</v>
      </c>
      <c r="E10288" t="s">
        <v>22029</v>
      </c>
      <c r="F10288" t="s">
        <v>22436</v>
      </c>
      <c r="G10288" t="s">
        <v>22444</v>
      </c>
      <c r="H10288" t="s">
        <v>22454</v>
      </c>
      <c r="I10288" t="s">
        <v>7738</v>
      </c>
      <c r="J10288" t="s">
        <v>22893</v>
      </c>
      <c r="K10288" t="s">
        <v>29414</v>
      </c>
      <c r="M10288" t="s">
        <v>29717</v>
      </c>
      <c r="N10288" t="s">
        <v>32524</v>
      </c>
      <c r="O10288" t="s">
        <v>32525</v>
      </c>
      <c r="P10288">
        <v>0</v>
      </c>
      <c r="Q10288">
        <v>0</v>
      </c>
      <c r="R10288" t="s">
        <v>32539</v>
      </c>
      <c r="S10288" t="s">
        <v>33010</v>
      </c>
      <c r="T10288" t="s">
        <v>33523</v>
      </c>
      <c r="U10288" t="s">
        <v>42074</v>
      </c>
      <c r="W10288" t="s">
        <v>29717</v>
      </c>
      <c r="X10288" t="s">
        <v>32540</v>
      </c>
    </row>
    <row r="10289" spans="1:24">
      <c r="A10289">
        <f>HYPERLINK("https://www.philgeps.gov.ph/GEPSNONPILOT/Tender/SplashBidNoticeAbstractUI.aspx?menuIndex=3&amp;refID=7023737&amp;Result=3","7023737")</f>
        <v>0</v>
      </c>
      <c r="B10289" t="s">
        <v>2638</v>
      </c>
      <c r="C10289" t="s">
        <v>12540</v>
      </c>
      <c r="D10289" t="s">
        <v>13041</v>
      </c>
      <c r="E10289" t="s">
        <v>13881</v>
      </c>
      <c r="F10289" t="s">
        <v>22436</v>
      </c>
      <c r="G10289" t="s">
        <v>22444</v>
      </c>
      <c r="H10289" t="s">
        <v>22454</v>
      </c>
      <c r="I10289" t="s">
        <v>7738</v>
      </c>
      <c r="J10289" t="s">
        <v>26837</v>
      </c>
      <c r="K10289" t="s">
        <v>29333</v>
      </c>
      <c r="M10289" t="s">
        <v>32471</v>
      </c>
      <c r="N10289" t="s">
        <v>32524</v>
      </c>
      <c r="O10289" t="s">
        <v>32525</v>
      </c>
      <c r="P10289">
        <v>0</v>
      </c>
      <c r="Q10289">
        <v>1</v>
      </c>
      <c r="R10289" t="s">
        <v>32539</v>
      </c>
      <c r="S10289" t="s">
        <v>33010</v>
      </c>
      <c r="T10289" t="s">
        <v>33203</v>
      </c>
      <c r="U10289" t="s">
        <v>42075</v>
      </c>
      <c r="W10289" t="s">
        <v>32471</v>
      </c>
      <c r="X10289" t="s">
        <v>32540</v>
      </c>
    </row>
    <row r="10290" spans="1:24">
      <c r="A10290">
        <f>HYPERLINK("https://www.philgeps.gov.ph/GEPSNONPILOT/Tender/SplashBidNoticeAbstractUI.aspx?menuIndex=3&amp;refID=7023768&amp;Result=3","7023768")</f>
        <v>0</v>
      </c>
      <c r="B10290" t="s">
        <v>145</v>
      </c>
      <c r="C10290" t="s">
        <v>12541</v>
      </c>
      <c r="D10290" t="s">
        <v>13041</v>
      </c>
      <c r="E10290" t="s">
        <v>22030</v>
      </c>
      <c r="F10290" t="s">
        <v>22436</v>
      </c>
      <c r="G10290" t="s">
        <v>22444</v>
      </c>
      <c r="H10290" t="s">
        <v>22454</v>
      </c>
      <c r="I10290" t="s">
        <v>7738</v>
      </c>
      <c r="J10290" t="s">
        <v>23093</v>
      </c>
      <c r="K10290" t="s">
        <v>29421</v>
      </c>
      <c r="M10290" t="s">
        <v>29717</v>
      </c>
      <c r="N10290" t="s">
        <v>32524</v>
      </c>
      <c r="O10290" t="s">
        <v>32525</v>
      </c>
      <c r="P10290">
        <v>0</v>
      </c>
      <c r="Q10290">
        <v>0</v>
      </c>
      <c r="R10290" t="s">
        <v>32539</v>
      </c>
      <c r="S10290" t="s">
        <v>33010</v>
      </c>
      <c r="T10290" t="s">
        <v>33523</v>
      </c>
      <c r="U10290" t="s">
        <v>42076</v>
      </c>
      <c r="W10290" t="s">
        <v>29717</v>
      </c>
      <c r="X10290" t="s">
        <v>32540</v>
      </c>
    </row>
    <row r="10291" spans="1:24">
      <c r="A10291">
        <f>HYPERLINK("https://www.philgeps.gov.ph/GEPSNONPILOT/Tender/SplashBidNoticeAbstractUI.aspx?menuIndex=3&amp;refID=7023767&amp;Result=3","7023767")</f>
        <v>0</v>
      </c>
      <c r="B10291" t="s">
        <v>1964</v>
      </c>
      <c r="C10291" t="s">
        <v>12542</v>
      </c>
      <c r="D10291" t="s">
        <v>13039</v>
      </c>
      <c r="E10291" t="s">
        <v>22031</v>
      </c>
      <c r="F10291" t="s">
        <v>22436</v>
      </c>
      <c r="G10291" t="s">
        <v>22444</v>
      </c>
      <c r="H10291" t="s">
        <v>22454</v>
      </c>
      <c r="I10291" t="s">
        <v>7738</v>
      </c>
      <c r="J10291" t="s">
        <v>29061</v>
      </c>
      <c r="K10291" t="s">
        <v>29334</v>
      </c>
      <c r="M10291" t="s">
        <v>31838</v>
      </c>
      <c r="N10291" t="s">
        <v>32524</v>
      </c>
      <c r="O10291" t="s">
        <v>32525</v>
      </c>
      <c r="Q10291">
        <v>1</v>
      </c>
      <c r="R10291" t="s">
        <v>32539</v>
      </c>
      <c r="S10291" t="s">
        <v>33075</v>
      </c>
      <c r="T10291" t="s">
        <v>33593</v>
      </c>
      <c r="U10291" t="s">
        <v>42077</v>
      </c>
      <c r="W10291" t="s">
        <v>31838</v>
      </c>
      <c r="X10291" t="s">
        <v>32540</v>
      </c>
    </row>
    <row r="10292" spans="1:24">
      <c r="A10292">
        <f>HYPERLINK("https://www.philgeps.gov.ph/GEPSNONPILOT/Tender/SplashBidNoticeAbstractUI.aspx?menuIndex=3&amp;refID=7023775&amp;Result=3","7023775")</f>
        <v>0</v>
      </c>
      <c r="B10292" t="s">
        <v>2634</v>
      </c>
      <c r="C10292" t="s">
        <v>12543</v>
      </c>
      <c r="D10292" t="s">
        <v>12992</v>
      </c>
      <c r="E10292" t="s">
        <v>22032</v>
      </c>
      <c r="F10292" t="s">
        <v>22436</v>
      </c>
      <c r="G10292" t="s">
        <v>22444</v>
      </c>
      <c r="H10292" t="s">
        <v>22454</v>
      </c>
      <c r="I10292" t="s">
        <v>7738</v>
      </c>
      <c r="J10292" t="s">
        <v>29062</v>
      </c>
      <c r="K10292" t="s">
        <v>29344</v>
      </c>
      <c r="M10292" t="s">
        <v>32466</v>
      </c>
      <c r="N10292" t="s">
        <v>32524</v>
      </c>
      <c r="O10292" t="s">
        <v>32525</v>
      </c>
      <c r="P10292">
        <v>0</v>
      </c>
      <c r="Q10292">
        <v>5</v>
      </c>
      <c r="R10292" t="s">
        <v>32539</v>
      </c>
      <c r="S10292" t="s">
        <v>33010</v>
      </c>
      <c r="T10292" t="s">
        <v>33186</v>
      </c>
      <c r="U10292" t="s">
        <v>42078</v>
      </c>
      <c r="W10292" t="s">
        <v>32466</v>
      </c>
      <c r="X10292" t="s">
        <v>32540</v>
      </c>
    </row>
    <row r="10293" spans="1:24">
      <c r="A10293">
        <f>HYPERLINK("https://www.philgeps.gov.ph/GEPSNONPILOT/Tender/SplashBidNoticeAbstractUI.aspx?menuIndex=3&amp;refID=7023749&amp;Result=3","7023749")</f>
        <v>0</v>
      </c>
      <c r="B10293" t="s">
        <v>512</v>
      </c>
      <c r="C10293" t="s">
        <v>12544</v>
      </c>
      <c r="D10293" t="s">
        <v>12995</v>
      </c>
      <c r="E10293" t="s">
        <v>22033</v>
      </c>
      <c r="F10293" t="s">
        <v>22436</v>
      </c>
      <c r="G10293" t="s">
        <v>22444</v>
      </c>
      <c r="H10293" t="s">
        <v>22452</v>
      </c>
      <c r="I10293" t="s">
        <v>7738</v>
      </c>
      <c r="J10293" t="s">
        <v>29063</v>
      </c>
      <c r="K10293" t="s">
        <v>29336</v>
      </c>
      <c r="M10293" t="s">
        <v>30096</v>
      </c>
      <c r="N10293" t="s">
        <v>32524</v>
      </c>
      <c r="O10293" t="s">
        <v>32525</v>
      </c>
      <c r="P10293">
        <v>0</v>
      </c>
      <c r="Q10293">
        <v>0</v>
      </c>
      <c r="R10293" t="s">
        <v>32539</v>
      </c>
      <c r="S10293" t="s">
        <v>33010</v>
      </c>
      <c r="T10293" t="s">
        <v>33181</v>
      </c>
      <c r="U10293" t="s">
        <v>34661</v>
      </c>
      <c r="W10293" t="s">
        <v>30096</v>
      </c>
      <c r="X10293" t="s">
        <v>32540</v>
      </c>
    </row>
    <row r="10294" spans="1:24">
      <c r="A10294">
        <f>HYPERLINK("https://www.philgeps.gov.ph/GEPSNONPILOT/Tender/SplashBidNoticeAbstractUI.aspx?menuIndex=3&amp;refID=7023802&amp;Result=3","7023802")</f>
        <v>0</v>
      </c>
      <c r="B10294" t="s">
        <v>791</v>
      </c>
      <c r="C10294" t="s">
        <v>12545</v>
      </c>
      <c r="D10294" t="s">
        <v>13022</v>
      </c>
      <c r="E10294" t="s">
        <v>22034</v>
      </c>
      <c r="F10294" t="s">
        <v>22436</v>
      </c>
      <c r="G10294" t="s">
        <v>22444</v>
      </c>
      <c r="H10294" t="s">
        <v>22454</v>
      </c>
      <c r="I10294" t="s">
        <v>7738</v>
      </c>
      <c r="J10294" t="s">
        <v>24049</v>
      </c>
      <c r="K10294" t="s">
        <v>29345</v>
      </c>
      <c r="M10294" t="s">
        <v>30420</v>
      </c>
      <c r="N10294" t="s">
        <v>32524</v>
      </c>
      <c r="O10294" t="s">
        <v>32525</v>
      </c>
      <c r="Q10294">
        <v>15</v>
      </c>
      <c r="R10294" t="s">
        <v>32539</v>
      </c>
      <c r="S10294" t="s">
        <v>33076</v>
      </c>
      <c r="T10294" t="s">
        <v>33611</v>
      </c>
      <c r="U10294" t="s">
        <v>42079</v>
      </c>
      <c r="V10294" t="s">
        <v>42622</v>
      </c>
      <c r="W10294" t="s">
        <v>30420</v>
      </c>
      <c r="X10294" t="s">
        <v>32540</v>
      </c>
    </row>
    <row r="10295" spans="1:24">
      <c r="A10295">
        <f>HYPERLINK("https://www.philgeps.gov.ph/GEPSNONPILOT/Tender/SplashBidNoticeAbstractUI.aspx?menuIndex=3&amp;refID=7023762&amp;Result=3","7023762")</f>
        <v>0</v>
      </c>
      <c r="B10295" t="s">
        <v>69</v>
      </c>
      <c r="C10295" t="s">
        <v>12546</v>
      </c>
      <c r="D10295" t="s">
        <v>12988</v>
      </c>
      <c r="E10295" t="s">
        <v>14741</v>
      </c>
      <c r="F10295" t="s">
        <v>22436</v>
      </c>
      <c r="G10295" t="s">
        <v>22444</v>
      </c>
      <c r="H10295" t="s">
        <v>22452</v>
      </c>
      <c r="I10295" t="s">
        <v>22503</v>
      </c>
      <c r="J10295" t="s">
        <v>24130</v>
      </c>
      <c r="K10295" t="s">
        <v>29344</v>
      </c>
      <c r="M10295" t="s">
        <v>29641</v>
      </c>
      <c r="N10295" t="s">
        <v>32524</v>
      </c>
      <c r="O10295" t="s">
        <v>32525</v>
      </c>
      <c r="Q10295">
        <v>16</v>
      </c>
      <c r="R10295" t="s">
        <v>32539</v>
      </c>
      <c r="S10295" t="s">
        <v>32993</v>
      </c>
      <c r="T10295" t="s">
        <v>33370</v>
      </c>
      <c r="U10295" t="s">
        <v>42080</v>
      </c>
      <c r="W10295" t="s">
        <v>29641</v>
      </c>
      <c r="X10295" t="s">
        <v>32540</v>
      </c>
    </row>
    <row r="10296" spans="1:24">
      <c r="A10296">
        <f>HYPERLINK("https://www.philgeps.gov.ph/GEPSNONPILOT/Tender/SplashBidNoticeAbstractUI.aspx?menuIndex=3&amp;refID=7023801&amp;Result=3","7023801")</f>
        <v>0</v>
      </c>
      <c r="B10296" t="s">
        <v>2634</v>
      </c>
      <c r="C10296" t="s">
        <v>12547</v>
      </c>
      <c r="D10296" t="s">
        <v>12992</v>
      </c>
      <c r="E10296" t="s">
        <v>22035</v>
      </c>
      <c r="F10296" t="s">
        <v>22436</v>
      </c>
      <c r="G10296" t="s">
        <v>22444</v>
      </c>
      <c r="H10296" t="s">
        <v>22454</v>
      </c>
      <c r="I10296" t="s">
        <v>7738</v>
      </c>
      <c r="J10296" t="s">
        <v>29064</v>
      </c>
      <c r="K10296" t="s">
        <v>29388</v>
      </c>
      <c r="M10296" t="s">
        <v>32466</v>
      </c>
      <c r="N10296" t="s">
        <v>32524</v>
      </c>
      <c r="O10296" t="s">
        <v>32525</v>
      </c>
      <c r="P10296">
        <v>0</v>
      </c>
      <c r="Q10296">
        <v>6</v>
      </c>
      <c r="R10296" t="s">
        <v>32539</v>
      </c>
      <c r="S10296" t="s">
        <v>33010</v>
      </c>
      <c r="T10296" t="s">
        <v>33612</v>
      </c>
      <c r="U10296" t="s">
        <v>42081</v>
      </c>
      <c r="W10296" t="s">
        <v>32466</v>
      </c>
      <c r="X10296" t="s">
        <v>32540</v>
      </c>
    </row>
    <row r="10297" spans="1:24">
      <c r="A10297">
        <f>HYPERLINK("https://www.philgeps.gov.ph/GEPSNONPILOT/Tender/SplashBidNoticeAbstractUI.aspx?menuIndex=3&amp;refID=7023789&amp;Result=3","7023789")</f>
        <v>0</v>
      </c>
      <c r="B10297" t="s">
        <v>449</v>
      </c>
      <c r="C10297" t="s">
        <v>12548</v>
      </c>
      <c r="D10297" t="s">
        <v>12999</v>
      </c>
      <c r="E10297" t="s">
        <v>22036</v>
      </c>
      <c r="F10297" t="s">
        <v>22436</v>
      </c>
      <c r="G10297" t="s">
        <v>22444</v>
      </c>
      <c r="H10297" t="s">
        <v>22454</v>
      </c>
      <c r="I10297" t="s">
        <v>7738</v>
      </c>
      <c r="J10297" t="s">
        <v>29065</v>
      </c>
      <c r="K10297" t="s">
        <v>29532</v>
      </c>
      <c r="M10297" t="s">
        <v>30031</v>
      </c>
      <c r="N10297" t="s">
        <v>32524</v>
      </c>
      <c r="O10297" t="s">
        <v>32525</v>
      </c>
      <c r="P10297">
        <v>0</v>
      </c>
      <c r="Q10297">
        <v>0</v>
      </c>
      <c r="R10297" t="s">
        <v>32539</v>
      </c>
      <c r="S10297" t="s">
        <v>33010</v>
      </c>
      <c r="T10297" t="s">
        <v>33230</v>
      </c>
      <c r="U10297" t="s">
        <v>41967</v>
      </c>
      <c r="W10297" t="s">
        <v>30031</v>
      </c>
      <c r="X10297" t="s">
        <v>32540</v>
      </c>
    </row>
    <row r="10298" spans="1:24">
      <c r="A10298">
        <f>HYPERLINK("https://www.philgeps.gov.ph/GEPSNONPILOT/Tender/SplashBidNoticeAbstractUI.aspx?menuIndex=3&amp;refID=7023806&amp;Result=3","7023806")</f>
        <v>0</v>
      </c>
      <c r="B10298" t="s">
        <v>145</v>
      </c>
      <c r="C10298" t="s">
        <v>12549</v>
      </c>
      <c r="D10298" t="s">
        <v>13041</v>
      </c>
      <c r="E10298" t="s">
        <v>22037</v>
      </c>
      <c r="F10298" t="s">
        <v>22436</v>
      </c>
      <c r="G10298" t="s">
        <v>22444</v>
      </c>
      <c r="H10298" t="s">
        <v>22454</v>
      </c>
      <c r="I10298" t="s">
        <v>7738</v>
      </c>
      <c r="J10298" t="s">
        <v>29066</v>
      </c>
      <c r="K10298" t="s">
        <v>29342</v>
      </c>
      <c r="M10298" t="s">
        <v>29717</v>
      </c>
      <c r="N10298" t="s">
        <v>32524</v>
      </c>
      <c r="O10298" t="s">
        <v>32525</v>
      </c>
      <c r="P10298">
        <v>0</v>
      </c>
      <c r="Q10298">
        <v>0</v>
      </c>
      <c r="R10298" t="s">
        <v>32539</v>
      </c>
      <c r="S10298" t="s">
        <v>33010</v>
      </c>
      <c r="T10298" t="s">
        <v>33523</v>
      </c>
      <c r="U10298" t="s">
        <v>42082</v>
      </c>
      <c r="W10298" t="s">
        <v>29717</v>
      </c>
      <c r="X10298" t="s">
        <v>32540</v>
      </c>
    </row>
    <row r="10299" spans="1:24">
      <c r="A10299">
        <f>HYPERLINK("https://www.philgeps.gov.ph/GEPSNONPILOT/Tender/SplashBidNoticeAbstractUI.aspx?menuIndex=3&amp;refID=7023805&amp;Result=3","7023805")</f>
        <v>0</v>
      </c>
      <c r="B10299" t="s">
        <v>69</v>
      </c>
      <c r="C10299" t="s">
        <v>12550</v>
      </c>
      <c r="D10299" t="s">
        <v>12988</v>
      </c>
      <c r="E10299" t="s">
        <v>13927</v>
      </c>
      <c r="F10299" t="s">
        <v>22436</v>
      </c>
      <c r="G10299" t="s">
        <v>22444</v>
      </c>
      <c r="H10299" t="s">
        <v>22452</v>
      </c>
      <c r="I10299" t="s">
        <v>22502</v>
      </c>
      <c r="J10299" t="s">
        <v>29067</v>
      </c>
      <c r="K10299" t="s">
        <v>29345</v>
      </c>
      <c r="M10299" t="s">
        <v>29641</v>
      </c>
      <c r="N10299" t="s">
        <v>32524</v>
      </c>
      <c r="O10299" t="s">
        <v>32525</v>
      </c>
      <c r="Q10299">
        <v>26</v>
      </c>
      <c r="R10299" t="s">
        <v>32539</v>
      </c>
      <c r="S10299" t="s">
        <v>32955</v>
      </c>
      <c r="T10299" t="s">
        <v>33181</v>
      </c>
      <c r="U10299" t="s">
        <v>42083</v>
      </c>
      <c r="W10299" t="s">
        <v>29641</v>
      </c>
      <c r="X10299" t="s">
        <v>32540</v>
      </c>
    </row>
    <row r="10300" spans="1:24">
      <c r="A10300">
        <f>HYPERLINK("https://www.philgeps.gov.ph/GEPSNONPILOT/Tender/SplashBidNoticeAbstractUI.aspx?menuIndex=3&amp;refID=7023820&amp;Result=3","7023820")</f>
        <v>0</v>
      </c>
      <c r="B10300" t="s">
        <v>69</v>
      </c>
      <c r="C10300" t="s">
        <v>12551</v>
      </c>
      <c r="D10300" t="s">
        <v>12988</v>
      </c>
      <c r="E10300" t="s">
        <v>14074</v>
      </c>
      <c r="F10300" t="s">
        <v>22436</v>
      </c>
      <c r="G10300" t="s">
        <v>22444</v>
      </c>
      <c r="H10300" t="s">
        <v>22452</v>
      </c>
      <c r="I10300" t="s">
        <v>22566</v>
      </c>
      <c r="J10300" t="s">
        <v>22587</v>
      </c>
      <c r="K10300" t="s">
        <v>29345</v>
      </c>
      <c r="M10300" t="s">
        <v>29641</v>
      </c>
      <c r="N10300" t="s">
        <v>32524</v>
      </c>
      <c r="O10300" t="s">
        <v>32525</v>
      </c>
      <c r="Q10300">
        <v>4</v>
      </c>
      <c r="R10300" t="s">
        <v>32539</v>
      </c>
      <c r="S10300" t="s">
        <v>33077</v>
      </c>
      <c r="T10300" t="s">
        <v>33176</v>
      </c>
      <c r="U10300" t="s">
        <v>42084</v>
      </c>
      <c r="W10300" t="s">
        <v>29641</v>
      </c>
      <c r="X10300" t="s">
        <v>32540</v>
      </c>
    </row>
    <row r="10301" spans="1:24">
      <c r="A10301">
        <f>HYPERLINK("https://www.philgeps.gov.ph/GEPSNONPILOT/Tender/SplashBidNoticeAbstractUI.aspx?menuIndex=3&amp;refID=7023808&amp;Result=3","7023808")</f>
        <v>0</v>
      </c>
      <c r="B10301" t="s">
        <v>953</v>
      </c>
      <c r="C10301" t="s">
        <v>12552</v>
      </c>
      <c r="D10301" t="s">
        <v>12994</v>
      </c>
      <c r="E10301" t="s">
        <v>22038</v>
      </c>
      <c r="F10301" t="s">
        <v>22436</v>
      </c>
      <c r="G10301" t="s">
        <v>22444</v>
      </c>
      <c r="H10301" t="s">
        <v>22452</v>
      </c>
      <c r="I10301" t="s">
        <v>22482</v>
      </c>
      <c r="J10301" t="s">
        <v>29068</v>
      </c>
      <c r="K10301" t="s">
        <v>29329</v>
      </c>
      <c r="M10301" t="s">
        <v>32468</v>
      </c>
      <c r="N10301" t="s">
        <v>32524</v>
      </c>
      <c r="O10301" t="s">
        <v>32525</v>
      </c>
      <c r="P10301">
        <v>0</v>
      </c>
      <c r="Q10301">
        <v>17</v>
      </c>
      <c r="R10301" t="s">
        <v>32539</v>
      </c>
      <c r="S10301" t="s">
        <v>33010</v>
      </c>
      <c r="T10301" t="s">
        <v>33340</v>
      </c>
      <c r="U10301" t="s">
        <v>42085</v>
      </c>
      <c r="W10301" t="s">
        <v>32468</v>
      </c>
      <c r="X10301" t="s">
        <v>32540</v>
      </c>
    </row>
    <row r="10302" spans="1:24">
      <c r="A10302">
        <f>HYPERLINK("https://www.philgeps.gov.ph/GEPSNONPILOT/Tender/SplashBidNoticeAbstractUI.aspx?menuIndex=3&amp;refID=7023828&amp;Result=3","7023828")</f>
        <v>0</v>
      </c>
      <c r="B10302" t="s">
        <v>773</v>
      </c>
      <c r="C10302" t="s">
        <v>12553</v>
      </c>
      <c r="D10302" t="s">
        <v>13003</v>
      </c>
      <c r="E10302" t="s">
        <v>22039</v>
      </c>
      <c r="F10302" t="s">
        <v>22436</v>
      </c>
      <c r="G10302" t="s">
        <v>22444</v>
      </c>
      <c r="H10302" t="s">
        <v>22454</v>
      </c>
      <c r="I10302" t="s">
        <v>7738</v>
      </c>
      <c r="J10302" t="s">
        <v>23281</v>
      </c>
      <c r="K10302" t="s">
        <v>29388</v>
      </c>
      <c r="L10302" t="s">
        <v>773</v>
      </c>
      <c r="M10302" t="s">
        <v>30374</v>
      </c>
      <c r="N10302" t="s">
        <v>32524</v>
      </c>
      <c r="O10302" t="s">
        <v>32525</v>
      </c>
      <c r="P10302">
        <v>0</v>
      </c>
      <c r="Q10302">
        <v>0</v>
      </c>
      <c r="R10302" t="s">
        <v>32539</v>
      </c>
      <c r="S10302" t="s">
        <v>33010</v>
      </c>
      <c r="T10302" t="s">
        <v>33181</v>
      </c>
      <c r="U10302" t="s">
        <v>42086</v>
      </c>
      <c r="V10302" t="s">
        <v>43616</v>
      </c>
      <c r="W10302" t="s">
        <v>30374</v>
      </c>
      <c r="X10302" t="s">
        <v>32540</v>
      </c>
    </row>
    <row r="10303" spans="1:24">
      <c r="A10303">
        <f>HYPERLINK("https://www.philgeps.gov.ph/GEPSNONPILOT/Tender/SplashBidNoticeAbstractUI.aspx?menuIndex=3&amp;refID=7023827&amp;Result=3","7023827")</f>
        <v>0</v>
      </c>
      <c r="B10303" t="s">
        <v>753</v>
      </c>
      <c r="C10303" t="s">
        <v>12554</v>
      </c>
      <c r="D10303" t="s">
        <v>13040</v>
      </c>
      <c r="E10303" t="s">
        <v>22040</v>
      </c>
      <c r="F10303" t="s">
        <v>22436</v>
      </c>
      <c r="G10303" t="s">
        <v>22444</v>
      </c>
      <c r="H10303" t="s">
        <v>22452</v>
      </c>
      <c r="I10303" t="s">
        <v>22492</v>
      </c>
      <c r="J10303" t="s">
        <v>29069</v>
      </c>
      <c r="K10303" t="s">
        <v>29335</v>
      </c>
      <c r="M10303" t="s">
        <v>31938</v>
      </c>
      <c r="N10303" t="s">
        <v>32524</v>
      </c>
      <c r="O10303" t="s">
        <v>32525</v>
      </c>
      <c r="Q10303">
        <v>7</v>
      </c>
      <c r="R10303" t="s">
        <v>32539</v>
      </c>
      <c r="S10303" t="s">
        <v>33078</v>
      </c>
      <c r="T10303" t="s">
        <v>33155</v>
      </c>
      <c r="U10303" t="s">
        <v>42087</v>
      </c>
      <c r="W10303" t="s">
        <v>43746</v>
      </c>
      <c r="X10303" t="s">
        <v>32540</v>
      </c>
    </row>
    <row r="10304" spans="1:24">
      <c r="A10304">
        <f>HYPERLINK("https://www.philgeps.gov.ph/GEPSNONPILOT/Tender/SplashBidNoticeAbstractUI.aspx?menuIndex=3&amp;refID=7023809&amp;Result=3","7023809")</f>
        <v>0</v>
      </c>
      <c r="B10304" t="s">
        <v>1840</v>
      </c>
      <c r="C10304" t="s">
        <v>12555</v>
      </c>
      <c r="D10304" t="s">
        <v>13045</v>
      </c>
      <c r="E10304" t="s">
        <v>22041</v>
      </c>
      <c r="F10304" t="s">
        <v>22436</v>
      </c>
      <c r="G10304" t="s">
        <v>22450</v>
      </c>
      <c r="H10304" t="s">
        <v>22454</v>
      </c>
      <c r="I10304" t="s">
        <v>7738</v>
      </c>
      <c r="J10304" t="s">
        <v>24156</v>
      </c>
      <c r="K10304" t="s">
        <v>29389</v>
      </c>
      <c r="M10304" t="s">
        <v>31555</v>
      </c>
      <c r="N10304" t="s">
        <v>32524</v>
      </c>
      <c r="O10304" t="s">
        <v>32525</v>
      </c>
      <c r="Q10304">
        <v>4</v>
      </c>
      <c r="R10304" t="s">
        <v>32539</v>
      </c>
      <c r="S10304" t="s">
        <v>33079</v>
      </c>
      <c r="T10304" t="s">
        <v>33230</v>
      </c>
      <c r="U10304" t="s">
        <v>35712</v>
      </c>
      <c r="W10304" t="s">
        <v>31555</v>
      </c>
      <c r="X10304" t="s">
        <v>32540</v>
      </c>
    </row>
    <row r="10305" spans="1:24">
      <c r="A10305">
        <f>HYPERLINK("https://www.philgeps.gov.ph/GEPSNONPILOT/Tender/SplashBidNoticeAbstractUI.aspx?menuIndex=3&amp;refID=7023845&amp;Result=3","7023845")</f>
        <v>0</v>
      </c>
      <c r="B10305" t="s">
        <v>145</v>
      </c>
      <c r="C10305" t="s">
        <v>12556</v>
      </c>
      <c r="D10305" t="s">
        <v>13041</v>
      </c>
      <c r="E10305" t="s">
        <v>22042</v>
      </c>
      <c r="F10305" t="s">
        <v>22436</v>
      </c>
      <c r="G10305" t="s">
        <v>22444</v>
      </c>
      <c r="H10305" t="s">
        <v>22454</v>
      </c>
      <c r="I10305" t="s">
        <v>7738</v>
      </c>
      <c r="J10305" t="s">
        <v>22893</v>
      </c>
      <c r="K10305" t="s">
        <v>29414</v>
      </c>
      <c r="M10305" t="s">
        <v>29717</v>
      </c>
      <c r="N10305" t="s">
        <v>32524</v>
      </c>
      <c r="O10305" t="s">
        <v>32525</v>
      </c>
      <c r="P10305">
        <v>0</v>
      </c>
      <c r="Q10305">
        <v>0</v>
      </c>
      <c r="R10305" t="s">
        <v>32539</v>
      </c>
      <c r="S10305" t="s">
        <v>33010</v>
      </c>
      <c r="T10305" t="s">
        <v>33523</v>
      </c>
      <c r="U10305" t="s">
        <v>42088</v>
      </c>
      <c r="W10305" t="s">
        <v>29717</v>
      </c>
      <c r="X10305" t="s">
        <v>32540</v>
      </c>
    </row>
    <row r="10306" spans="1:24">
      <c r="A10306">
        <f>HYPERLINK("https://www.philgeps.gov.ph/GEPSNONPILOT/Tender/SplashBidNoticeAbstractUI.aspx?menuIndex=3&amp;refID=7023838&amp;Result=3","7023838")</f>
        <v>0</v>
      </c>
      <c r="B10306" t="s">
        <v>2636</v>
      </c>
      <c r="C10306" t="s">
        <v>12557</v>
      </c>
      <c r="D10306" t="s">
        <v>13039</v>
      </c>
      <c r="E10306" t="s">
        <v>22043</v>
      </c>
      <c r="F10306" t="s">
        <v>22436</v>
      </c>
      <c r="G10306" t="s">
        <v>22444</v>
      </c>
      <c r="H10306" t="s">
        <v>22452</v>
      </c>
      <c r="I10306" t="s">
        <v>22472</v>
      </c>
      <c r="J10306" t="s">
        <v>29070</v>
      </c>
      <c r="K10306" t="s">
        <v>29335</v>
      </c>
      <c r="M10306" t="s">
        <v>32469</v>
      </c>
      <c r="N10306" t="s">
        <v>32524</v>
      </c>
      <c r="O10306" t="s">
        <v>32525</v>
      </c>
      <c r="P10306">
        <v>0</v>
      </c>
      <c r="Q10306">
        <v>0</v>
      </c>
      <c r="R10306" t="s">
        <v>32539</v>
      </c>
      <c r="S10306" t="s">
        <v>33010</v>
      </c>
      <c r="T10306" t="s">
        <v>33186</v>
      </c>
      <c r="U10306" t="s">
        <v>42089</v>
      </c>
      <c r="W10306" t="s">
        <v>32469</v>
      </c>
      <c r="X10306" t="s">
        <v>32540</v>
      </c>
    </row>
    <row r="10307" spans="1:24">
      <c r="A10307">
        <f>HYPERLINK("https://www.philgeps.gov.ph/GEPSNONPILOT/Tender/SplashBidNoticeAbstractUI.aspx?menuIndex=3&amp;refID=7023819&amp;Result=3","7023819")</f>
        <v>0</v>
      </c>
      <c r="B10307" t="s">
        <v>449</v>
      </c>
      <c r="C10307" t="s">
        <v>12558</v>
      </c>
      <c r="D10307" t="s">
        <v>12999</v>
      </c>
      <c r="E10307" t="s">
        <v>22044</v>
      </c>
      <c r="F10307" t="s">
        <v>22436</v>
      </c>
      <c r="G10307" t="s">
        <v>22444</v>
      </c>
      <c r="H10307" t="s">
        <v>22454</v>
      </c>
      <c r="I10307" t="s">
        <v>7738</v>
      </c>
      <c r="J10307" t="s">
        <v>24431</v>
      </c>
      <c r="K10307" t="s">
        <v>29344</v>
      </c>
      <c r="M10307" t="s">
        <v>30031</v>
      </c>
      <c r="N10307" t="s">
        <v>32524</v>
      </c>
      <c r="O10307" t="s">
        <v>32525</v>
      </c>
      <c r="P10307">
        <v>0</v>
      </c>
      <c r="Q10307">
        <v>0</v>
      </c>
      <c r="R10307" t="s">
        <v>32539</v>
      </c>
      <c r="S10307" t="s">
        <v>33010</v>
      </c>
      <c r="T10307" t="s">
        <v>33230</v>
      </c>
      <c r="U10307" t="s">
        <v>41967</v>
      </c>
      <c r="W10307" t="s">
        <v>30031</v>
      </c>
      <c r="X10307" t="s">
        <v>32540</v>
      </c>
    </row>
    <row r="10308" spans="1:24">
      <c r="A10308">
        <f>HYPERLINK("https://www.philgeps.gov.ph/GEPSNONPILOT/Tender/SplashBidNoticeAbstractUI.aspx?menuIndex=3&amp;refID=7023840&amp;Result=3","7023840")</f>
        <v>0</v>
      </c>
      <c r="B10308" t="s">
        <v>69</v>
      </c>
      <c r="C10308" t="s">
        <v>12559</v>
      </c>
      <c r="D10308" t="s">
        <v>12988</v>
      </c>
      <c r="E10308" t="s">
        <v>13106</v>
      </c>
      <c r="F10308" t="s">
        <v>22436</v>
      </c>
      <c r="G10308" t="s">
        <v>22444</v>
      </c>
      <c r="H10308" t="s">
        <v>22452</v>
      </c>
      <c r="I10308" t="s">
        <v>22476</v>
      </c>
      <c r="J10308" t="s">
        <v>29071</v>
      </c>
      <c r="K10308" t="s">
        <v>29344</v>
      </c>
      <c r="M10308" t="s">
        <v>29641</v>
      </c>
      <c r="N10308" t="s">
        <v>32524</v>
      </c>
      <c r="O10308" t="s">
        <v>32525</v>
      </c>
      <c r="Q10308">
        <v>17</v>
      </c>
      <c r="R10308" t="s">
        <v>32539</v>
      </c>
      <c r="S10308" t="s">
        <v>33080</v>
      </c>
      <c r="T10308" t="s">
        <v>33358</v>
      </c>
      <c r="U10308" t="s">
        <v>42090</v>
      </c>
      <c r="W10308" t="s">
        <v>29641</v>
      </c>
      <c r="X10308" t="s">
        <v>32540</v>
      </c>
    </row>
    <row r="10309" spans="1:24">
      <c r="A10309">
        <f>HYPERLINK("https://www.philgeps.gov.ph/GEPSNONPILOT/Tender/SplashBidNoticeAbstractUI.aspx?menuIndex=3&amp;refID=7023856&amp;Result=3","7023856")</f>
        <v>0</v>
      </c>
      <c r="B10309" t="s">
        <v>773</v>
      </c>
      <c r="C10309" t="s">
        <v>12560</v>
      </c>
      <c r="D10309" t="s">
        <v>13003</v>
      </c>
      <c r="E10309" t="s">
        <v>22045</v>
      </c>
      <c r="F10309" t="s">
        <v>22436</v>
      </c>
      <c r="G10309" t="s">
        <v>22444</v>
      </c>
      <c r="H10309" t="s">
        <v>22454</v>
      </c>
      <c r="I10309" t="s">
        <v>7738</v>
      </c>
      <c r="J10309" t="s">
        <v>29072</v>
      </c>
      <c r="K10309" t="s">
        <v>29347</v>
      </c>
      <c r="L10309" t="s">
        <v>773</v>
      </c>
      <c r="M10309" t="s">
        <v>30374</v>
      </c>
      <c r="N10309" t="s">
        <v>32524</v>
      </c>
      <c r="O10309" t="s">
        <v>32525</v>
      </c>
      <c r="P10309">
        <v>0</v>
      </c>
      <c r="Q10309">
        <v>0</v>
      </c>
      <c r="R10309" t="s">
        <v>32539</v>
      </c>
      <c r="S10309" t="s">
        <v>33010</v>
      </c>
      <c r="T10309" t="s">
        <v>33181</v>
      </c>
      <c r="U10309" t="s">
        <v>42091</v>
      </c>
      <c r="V10309" t="s">
        <v>43617</v>
      </c>
      <c r="W10309" t="s">
        <v>30374</v>
      </c>
      <c r="X10309" t="s">
        <v>32540</v>
      </c>
    </row>
    <row r="10310" spans="1:24">
      <c r="A10310">
        <f>HYPERLINK("https://www.philgeps.gov.ph/GEPSNONPILOT/Tender/SplashBidNoticeAbstractUI.aspx?menuIndex=3&amp;refID=7023841&amp;Result=3","7023841")</f>
        <v>0</v>
      </c>
      <c r="B10310" t="s">
        <v>106</v>
      </c>
      <c r="C10310" t="s">
        <v>12561</v>
      </c>
      <c r="D10310" t="s">
        <v>13000</v>
      </c>
      <c r="E10310" t="s">
        <v>22046</v>
      </c>
      <c r="F10310" t="s">
        <v>22436</v>
      </c>
      <c r="G10310" t="s">
        <v>22444</v>
      </c>
      <c r="H10310" t="s">
        <v>22452</v>
      </c>
      <c r="I10310" t="s">
        <v>22474</v>
      </c>
      <c r="J10310" t="s">
        <v>23276</v>
      </c>
      <c r="K10310" t="s">
        <v>29335</v>
      </c>
      <c r="M10310" t="s">
        <v>29678</v>
      </c>
      <c r="N10310" t="s">
        <v>32524</v>
      </c>
      <c r="O10310" t="s">
        <v>32525</v>
      </c>
      <c r="Q10310">
        <v>10</v>
      </c>
      <c r="R10310" t="s">
        <v>32539</v>
      </c>
      <c r="S10310" t="s">
        <v>33081</v>
      </c>
      <c r="T10310" t="s">
        <v>33180</v>
      </c>
      <c r="U10310" t="s">
        <v>42092</v>
      </c>
      <c r="V10310" t="s">
        <v>42863</v>
      </c>
      <c r="W10310" t="s">
        <v>29678</v>
      </c>
      <c r="X10310" t="s">
        <v>32540</v>
      </c>
    </row>
    <row r="10311" spans="1:24">
      <c r="A10311">
        <f>HYPERLINK("https://www.philgeps.gov.ph/GEPSNONPILOT/Tender/SplashBidNoticeAbstractUI.aspx?menuIndex=3&amp;refID=7023852&amp;Result=3","7023852")</f>
        <v>0</v>
      </c>
      <c r="B10311" t="s">
        <v>2639</v>
      </c>
      <c r="C10311" t="s">
        <v>12562</v>
      </c>
      <c r="D10311" t="s">
        <v>13061</v>
      </c>
      <c r="E10311" t="s">
        <v>22047</v>
      </c>
      <c r="F10311" t="s">
        <v>22436</v>
      </c>
      <c r="G10311" t="s">
        <v>22444</v>
      </c>
      <c r="H10311" t="s">
        <v>22453</v>
      </c>
      <c r="I10311" t="s">
        <v>3122</v>
      </c>
      <c r="J10311" t="s">
        <v>29073</v>
      </c>
      <c r="K10311" t="s">
        <v>29371</v>
      </c>
      <c r="M10311" t="s">
        <v>32472</v>
      </c>
      <c r="N10311" t="s">
        <v>32524</v>
      </c>
      <c r="O10311" t="s">
        <v>32525</v>
      </c>
      <c r="Q10311">
        <v>7</v>
      </c>
      <c r="R10311" t="s">
        <v>32539</v>
      </c>
      <c r="S10311" t="s">
        <v>33082</v>
      </c>
      <c r="T10311" t="s">
        <v>33203</v>
      </c>
      <c r="U10311" t="s">
        <v>42093</v>
      </c>
      <c r="W10311" t="s">
        <v>32472</v>
      </c>
      <c r="X10311" t="s">
        <v>32540</v>
      </c>
    </row>
    <row r="10312" spans="1:24">
      <c r="A10312">
        <f>HYPERLINK("https://www.philgeps.gov.ph/GEPSNONPILOT/Tender/SplashBidNoticeAbstractUI.aspx?menuIndex=3&amp;refID=7023826&amp;Result=3","7023826")</f>
        <v>0</v>
      </c>
      <c r="B10312" t="s">
        <v>1758</v>
      </c>
      <c r="C10312" t="s">
        <v>12563</v>
      </c>
      <c r="D10312" t="s">
        <v>13000</v>
      </c>
      <c r="E10312" t="s">
        <v>12563</v>
      </c>
      <c r="F10312" t="s">
        <v>22436</v>
      </c>
      <c r="G10312" t="s">
        <v>22443</v>
      </c>
      <c r="H10312" t="s">
        <v>22452</v>
      </c>
      <c r="I10312" t="s">
        <v>22460</v>
      </c>
      <c r="J10312" t="s">
        <v>29074</v>
      </c>
      <c r="K10312" t="s">
        <v>29331</v>
      </c>
      <c r="M10312" t="s">
        <v>31464</v>
      </c>
      <c r="N10312" t="s">
        <v>32524</v>
      </c>
      <c r="O10312" t="s">
        <v>32525</v>
      </c>
      <c r="P10312">
        <v>0</v>
      </c>
      <c r="Q10312">
        <v>4</v>
      </c>
      <c r="R10312" t="s">
        <v>32539</v>
      </c>
      <c r="S10312" t="s">
        <v>33010</v>
      </c>
      <c r="T10312" t="s">
        <v>33181</v>
      </c>
      <c r="U10312" t="s">
        <v>42094</v>
      </c>
      <c r="W10312" t="s">
        <v>31464</v>
      </c>
      <c r="X10312" t="s">
        <v>32540</v>
      </c>
    </row>
    <row r="10313" spans="1:24">
      <c r="A10313">
        <f>HYPERLINK("https://www.philgeps.gov.ph/GEPSNONPILOT/Tender/SplashBidNoticeAbstractUI.aspx?menuIndex=3&amp;refID=7023823&amp;Result=3","7023823")</f>
        <v>0</v>
      </c>
      <c r="B10313" t="s">
        <v>1559</v>
      </c>
      <c r="C10313" t="s">
        <v>12564</v>
      </c>
      <c r="E10313" t="s">
        <v>22048</v>
      </c>
      <c r="F10313" t="s">
        <v>22436</v>
      </c>
      <c r="G10313" t="s">
        <v>22444</v>
      </c>
      <c r="H10313" t="s">
        <v>22454</v>
      </c>
      <c r="I10313" t="s">
        <v>7738</v>
      </c>
      <c r="J10313" t="s">
        <v>23643</v>
      </c>
      <c r="K10313" t="s">
        <v>29335</v>
      </c>
      <c r="M10313" t="s">
        <v>31240</v>
      </c>
      <c r="N10313" t="s">
        <v>32524</v>
      </c>
      <c r="O10313" t="s">
        <v>32525</v>
      </c>
      <c r="P10313">
        <v>0</v>
      </c>
      <c r="Q10313">
        <v>2</v>
      </c>
      <c r="R10313" t="s">
        <v>32539</v>
      </c>
      <c r="S10313" t="s">
        <v>33010</v>
      </c>
      <c r="T10313" t="s">
        <v>33181</v>
      </c>
      <c r="U10313" t="s">
        <v>42095</v>
      </c>
      <c r="W10313" t="s">
        <v>31240</v>
      </c>
      <c r="X10313" t="s">
        <v>32540</v>
      </c>
    </row>
    <row r="10314" spans="1:24">
      <c r="A10314">
        <f>HYPERLINK("https://www.philgeps.gov.ph/GEPSNONPILOT/Tender/SplashBidNoticeAbstractUI.aspx?menuIndex=3&amp;refID=7023854&amp;Result=3","7023854")</f>
        <v>0</v>
      </c>
      <c r="B10314" t="s">
        <v>2636</v>
      </c>
      <c r="C10314" t="s">
        <v>12565</v>
      </c>
      <c r="D10314" t="s">
        <v>13039</v>
      </c>
      <c r="E10314" t="s">
        <v>22049</v>
      </c>
      <c r="F10314" t="s">
        <v>22436</v>
      </c>
      <c r="G10314" t="s">
        <v>22444</v>
      </c>
      <c r="H10314" t="s">
        <v>22452</v>
      </c>
      <c r="I10314" t="s">
        <v>22472</v>
      </c>
      <c r="J10314" t="s">
        <v>29075</v>
      </c>
      <c r="K10314" t="s">
        <v>29335</v>
      </c>
      <c r="M10314" t="s">
        <v>32469</v>
      </c>
      <c r="N10314" t="s">
        <v>32524</v>
      </c>
      <c r="O10314" t="s">
        <v>32525</v>
      </c>
      <c r="P10314">
        <v>0</v>
      </c>
      <c r="Q10314">
        <v>0</v>
      </c>
      <c r="R10314" t="s">
        <v>32539</v>
      </c>
      <c r="S10314" t="s">
        <v>33010</v>
      </c>
      <c r="T10314" t="s">
        <v>33337</v>
      </c>
      <c r="U10314" t="s">
        <v>42096</v>
      </c>
      <c r="W10314" t="s">
        <v>32469</v>
      </c>
      <c r="X10314" t="s">
        <v>32540</v>
      </c>
    </row>
    <row r="10315" spans="1:24">
      <c r="A10315">
        <f>HYPERLINK("https://www.philgeps.gov.ph/GEPSNONPILOT/Tender/SplashBidNoticeAbstractUI.aspx?menuIndex=3&amp;refID=7023825&amp;Result=3","7023825")</f>
        <v>0</v>
      </c>
      <c r="B10315" t="s">
        <v>953</v>
      </c>
      <c r="C10315" t="s">
        <v>12566</v>
      </c>
      <c r="D10315" t="s">
        <v>12994</v>
      </c>
      <c r="E10315" t="s">
        <v>22050</v>
      </c>
      <c r="F10315" t="s">
        <v>22436</v>
      </c>
      <c r="G10315" t="s">
        <v>22444</v>
      </c>
      <c r="H10315" t="s">
        <v>22452</v>
      </c>
      <c r="I10315" t="s">
        <v>22474</v>
      </c>
      <c r="J10315" t="s">
        <v>23387</v>
      </c>
      <c r="K10315" t="s">
        <v>29335</v>
      </c>
      <c r="M10315" t="s">
        <v>32468</v>
      </c>
      <c r="N10315" t="s">
        <v>32524</v>
      </c>
      <c r="O10315" t="s">
        <v>32525</v>
      </c>
      <c r="P10315">
        <v>0</v>
      </c>
      <c r="Q10315">
        <v>9</v>
      </c>
      <c r="R10315" t="s">
        <v>32539</v>
      </c>
      <c r="S10315" t="s">
        <v>33010</v>
      </c>
      <c r="T10315" t="s">
        <v>33259</v>
      </c>
      <c r="U10315" t="s">
        <v>42097</v>
      </c>
      <c r="W10315" t="s">
        <v>32468</v>
      </c>
      <c r="X10315" t="s">
        <v>32540</v>
      </c>
    </row>
    <row r="10316" spans="1:24">
      <c r="A10316">
        <f>HYPERLINK("https://www.philgeps.gov.ph/GEPSNONPILOT/Tender/SplashBidNoticeAbstractUI.aspx?menuIndex=3&amp;refID=7023902&amp;Result=3","7023902")</f>
        <v>0</v>
      </c>
      <c r="B10316" t="s">
        <v>1455</v>
      </c>
      <c r="C10316" t="s">
        <v>12567</v>
      </c>
      <c r="D10316" t="s">
        <v>13040</v>
      </c>
      <c r="E10316" t="s">
        <v>22051</v>
      </c>
      <c r="F10316" t="s">
        <v>22436</v>
      </c>
      <c r="G10316" t="s">
        <v>22444</v>
      </c>
      <c r="H10316" t="s">
        <v>22452</v>
      </c>
      <c r="I10316" t="s">
        <v>22505</v>
      </c>
      <c r="J10316" t="s">
        <v>29076</v>
      </c>
      <c r="K10316" t="s">
        <v>29335</v>
      </c>
      <c r="M10316" t="s">
        <v>31119</v>
      </c>
      <c r="N10316" t="s">
        <v>32524</v>
      </c>
      <c r="O10316" t="s">
        <v>32525</v>
      </c>
      <c r="Q10316">
        <v>5</v>
      </c>
      <c r="R10316" t="s">
        <v>32539</v>
      </c>
      <c r="S10316" t="s">
        <v>33083</v>
      </c>
      <c r="T10316" t="s">
        <v>33596</v>
      </c>
      <c r="U10316" t="s">
        <v>42098</v>
      </c>
      <c r="W10316" t="s">
        <v>31119</v>
      </c>
      <c r="X10316" t="s">
        <v>32540</v>
      </c>
    </row>
    <row r="10317" spans="1:24">
      <c r="A10317">
        <f>HYPERLINK("https://www.philgeps.gov.ph/GEPSNONPILOT/Tender/SplashBidNoticeAbstractUI.aspx?menuIndex=3&amp;refID=7023906&amp;Result=3","7023906")</f>
        <v>0</v>
      </c>
      <c r="B10317" t="s">
        <v>736</v>
      </c>
      <c r="C10317" t="s">
        <v>12568</v>
      </c>
      <c r="D10317" t="s">
        <v>13022</v>
      </c>
      <c r="E10317" t="s">
        <v>22052</v>
      </c>
      <c r="F10317" t="s">
        <v>22436</v>
      </c>
      <c r="G10317" t="s">
        <v>22444</v>
      </c>
      <c r="H10317" t="s">
        <v>22452</v>
      </c>
      <c r="I10317" t="s">
        <v>22456</v>
      </c>
      <c r="J10317" t="s">
        <v>29077</v>
      </c>
      <c r="K10317" t="s">
        <v>29335</v>
      </c>
      <c r="M10317" t="s">
        <v>30334</v>
      </c>
      <c r="N10317" t="s">
        <v>32524</v>
      </c>
      <c r="O10317" t="s">
        <v>32525</v>
      </c>
      <c r="P10317">
        <v>0</v>
      </c>
      <c r="Q10317">
        <v>9</v>
      </c>
      <c r="R10317" t="s">
        <v>32539</v>
      </c>
      <c r="S10317" t="s">
        <v>33010</v>
      </c>
      <c r="T10317" t="s">
        <v>33177</v>
      </c>
      <c r="U10317" t="s">
        <v>42099</v>
      </c>
      <c r="W10317" t="s">
        <v>30334</v>
      </c>
      <c r="X10317" t="s">
        <v>32540</v>
      </c>
    </row>
    <row r="10318" spans="1:24">
      <c r="A10318">
        <f>HYPERLINK("https://www.philgeps.gov.ph/GEPSNONPILOT/Tender/SplashBidNoticeAbstractUI.aspx?menuIndex=3&amp;refID=7023865&amp;Result=3","7023865")</f>
        <v>0</v>
      </c>
      <c r="B10318" t="s">
        <v>773</v>
      </c>
      <c r="C10318" t="s">
        <v>12569</v>
      </c>
      <c r="D10318" t="s">
        <v>13003</v>
      </c>
      <c r="E10318" t="s">
        <v>22053</v>
      </c>
      <c r="F10318" t="s">
        <v>22436</v>
      </c>
      <c r="G10318" t="s">
        <v>22444</v>
      </c>
      <c r="H10318" t="s">
        <v>22454</v>
      </c>
      <c r="I10318" t="s">
        <v>7738</v>
      </c>
      <c r="J10318" t="s">
        <v>23604</v>
      </c>
      <c r="K10318" t="s">
        <v>29554</v>
      </c>
      <c r="L10318" t="s">
        <v>773</v>
      </c>
      <c r="M10318" t="s">
        <v>30374</v>
      </c>
      <c r="N10318" t="s">
        <v>32524</v>
      </c>
      <c r="O10318" t="s">
        <v>32525</v>
      </c>
      <c r="P10318">
        <v>0</v>
      </c>
      <c r="Q10318">
        <v>0</v>
      </c>
      <c r="R10318" t="s">
        <v>32539</v>
      </c>
      <c r="S10318" t="s">
        <v>33010</v>
      </c>
      <c r="T10318" t="s">
        <v>33181</v>
      </c>
      <c r="U10318" t="s">
        <v>42100</v>
      </c>
      <c r="V10318" t="s">
        <v>43618</v>
      </c>
      <c r="W10318" t="s">
        <v>30374</v>
      </c>
      <c r="X10318" t="s">
        <v>32540</v>
      </c>
    </row>
    <row r="10319" spans="1:24">
      <c r="A10319">
        <f>HYPERLINK("https://www.philgeps.gov.ph/GEPSNONPILOT/Tender/SplashBidNoticeAbstractUI.aspx?menuIndex=3&amp;refID=7023812&amp;Result=3","7023812")</f>
        <v>0</v>
      </c>
      <c r="B10319" t="s">
        <v>773</v>
      </c>
      <c r="C10319" t="s">
        <v>12570</v>
      </c>
      <c r="D10319" t="s">
        <v>13003</v>
      </c>
      <c r="E10319" t="s">
        <v>22054</v>
      </c>
      <c r="F10319" t="s">
        <v>22436</v>
      </c>
      <c r="G10319" t="s">
        <v>22444</v>
      </c>
      <c r="H10319" t="s">
        <v>22454</v>
      </c>
      <c r="I10319" t="s">
        <v>7738</v>
      </c>
      <c r="J10319" t="s">
        <v>29078</v>
      </c>
      <c r="K10319" t="s">
        <v>29334</v>
      </c>
      <c r="L10319" t="s">
        <v>773</v>
      </c>
      <c r="M10319" t="s">
        <v>30374</v>
      </c>
      <c r="N10319" t="s">
        <v>32524</v>
      </c>
      <c r="O10319" t="s">
        <v>32525</v>
      </c>
      <c r="P10319">
        <v>0</v>
      </c>
      <c r="Q10319">
        <v>0</v>
      </c>
      <c r="R10319" t="s">
        <v>32539</v>
      </c>
      <c r="S10319" t="s">
        <v>33010</v>
      </c>
      <c r="T10319" t="s">
        <v>33181</v>
      </c>
      <c r="U10319" t="s">
        <v>42101</v>
      </c>
      <c r="V10319" t="s">
        <v>43619</v>
      </c>
      <c r="W10319" t="s">
        <v>30374</v>
      </c>
      <c r="X10319" t="s">
        <v>32540</v>
      </c>
    </row>
    <row r="10320" spans="1:24">
      <c r="A10320">
        <f>HYPERLINK("https://www.philgeps.gov.ph/GEPSNONPILOT/Tender/SplashBidNoticeAbstractUI.aspx?menuIndex=3&amp;refID=7023894&amp;Result=3","7023894")</f>
        <v>0</v>
      </c>
      <c r="B10320" t="s">
        <v>1947</v>
      </c>
      <c r="C10320" t="s">
        <v>12571</v>
      </c>
      <c r="D10320" t="s">
        <v>12998</v>
      </c>
      <c r="E10320" t="s">
        <v>22055</v>
      </c>
      <c r="F10320" t="s">
        <v>22436</v>
      </c>
      <c r="G10320" t="s">
        <v>22444</v>
      </c>
      <c r="H10320" t="s">
        <v>22453</v>
      </c>
      <c r="I10320" t="s">
        <v>22550</v>
      </c>
      <c r="J10320" t="s">
        <v>24795</v>
      </c>
      <c r="K10320" t="s">
        <v>29335</v>
      </c>
      <c r="M10320" t="s">
        <v>31783</v>
      </c>
      <c r="N10320" t="s">
        <v>32524</v>
      </c>
      <c r="O10320" t="s">
        <v>32525</v>
      </c>
      <c r="P10320">
        <v>0</v>
      </c>
      <c r="Q10320">
        <v>4</v>
      </c>
      <c r="R10320" t="s">
        <v>32539</v>
      </c>
      <c r="S10320" t="s">
        <v>33010</v>
      </c>
      <c r="T10320" t="s">
        <v>33168</v>
      </c>
      <c r="U10320" t="s">
        <v>38802</v>
      </c>
      <c r="V10320" t="s">
        <v>43114</v>
      </c>
      <c r="W10320" t="s">
        <v>31783</v>
      </c>
      <c r="X10320" t="s">
        <v>32540</v>
      </c>
    </row>
    <row r="10321" spans="1:24">
      <c r="A10321">
        <f>HYPERLINK("https://www.philgeps.gov.ph/GEPSNONPILOT/Tender/SplashBidNoticeAbstractUI.aspx?menuIndex=3&amp;refID=7023866&amp;Result=3","7023866")</f>
        <v>0</v>
      </c>
      <c r="B10321" t="s">
        <v>2636</v>
      </c>
      <c r="C10321" t="s">
        <v>12572</v>
      </c>
      <c r="D10321" t="s">
        <v>13039</v>
      </c>
      <c r="E10321" t="s">
        <v>22056</v>
      </c>
      <c r="F10321" t="s">
        <v>22436</v>
      </c>
      <c r="G10321" t="s">
        <v>22444</v>
      </c>
      <c r="H10321" t="s">
        <v>22452</v>
      </c>
      <c r="I10321" t="s">
        <v>22472</v>
      </c>
      <c r="J10321" t="s">
        <v>29079</v>
      </c>
      <c r="K10321" t="s">
        <v>29335</v>
      </c>
      <c r="M10321" t="s">
        <v>32469</v>
      </c>
      <c r="N10321" t="s">
        <v>32524</v>
      </c>
      <c r="O10321" t="s">
        <v>32525</v>
      </c>
      <c r="P10321">
        <v>0</v>
      </c>
      <c r="Q10321">
        <v>0</v>
      </c>
      <c r="R10321" t="s">
        <v>32539</v>
      </c>
      <c r="S10321" t="s">
        <v>33010</v>
      </c>
      <c r="T10321" t="s">
        <v>33613</v>
      </c>
      <c r="U10321" t="s">
        <v>42102</v>
      </c>
      <c r="W10321" t="s">
        <v>32469</v>
      </c>
      <c r="X10321" t="s">
        <v>32540</v>
      </c>
    </row>
    <row r="10322" spans="1:24">
      <c r="A10322">
        <f>HYPERLINK("https://www.philgeps.gov.ph/GEPSNONPILOT/Tender/SplashBidNoticeAbstractUI.aspx?menuIndex=3&amp;refID=7023889&amp;Result=3","7023889")</f>
        <v>0</v>
      </c>
      <c r="B10322" t="s">
        <v>69</v>
      </c>
      <c r="C10322" t="s">
        <v>12573</v>
      </c>
      <c r="D10322" t="s">
        <v>12988</v>
      </c>
      <c r="E10322" t="s">
        <v>13681</v>
      </c>
      <c r="F10322" t="s">
        <v>22436</v>
      </c>
      <c r="G10322" t="s">
        <v>22444</v>
      </c>
      <c r="H10322" t="s">
        <v>22452</v>
      </c>
      <c r="I10322" t="s">
        <v>2981</v>
      </c>
      <c r="J10322" t="s">
        <v>29080</v>
      </c>
      <c r="K10322" t="s">
        <v>29345</v>
      </c>
      <c r="M10322" t="s">
        <v>29641</v>
      </c>
      <c r="N10322" t="s">
        <v>32524</v>
      </c>
      <c r="O10322" t="s">
        <v>32525</v>
      </c>
      <c r="Q10322">
        <v>10</v>
      </c>
      <c r="R10322" t="s">
        <v>32539</v>
      </c>
      <c r="S10322" t="s">
        <v>33084</v>
      </c>
      <c r="T10322" t="s">
        <v>33275</v>
      </c>
      <c r="U10322" t="s">
        <v>42103</v>
      </c>
      <c r="W10322" t="s">
        <v>29641</v>
      </c>
      <c r="X10322" t="s">
        <v>32540</v>
      </c>
    </row>
    <row r="10323" spans="1:24">
      <c r="A10323">
        <f>HYPERLINK("https://www.philgeps.gov.ph/GEPSNONPILOT/Tender/SplashBidNoticeAbstractUI.aspx?menuIndex=3&amp;refID=7023864&amp;Result=3","7023864")</f>
        <v>0</v>
      </c>
      <c r="B10323" t="s">
        <v>69</v>
      </c>
      <c r="C10323" t="s">
        <v>12574</v>
      </c>
      <c r="D10323" t="s">
        <v>12988</v>
      </c>
      <c r="E10323" t="s">
        <v>13503</v>
      </c>
      <c r="F10323" t="s">
        <v>22436</v>
      </c>
      <c r="G10323" t="s">
        <v>22444</v>
      </c>
      <c r="H10323" t="s">
        <v>22452</v>
      </c>
      <c r="I10323" t="s">
        <v>22472</v>
      </c>
      <c r="J10323" t="s">
        <v>29081</v>
      </c>
      <c r="K10323" t="s">
        <v>29371</v>
      </c>
      <c r="M10323" t="s">
        <v>29641</v>
      </c>
      <c r="N10323" t="s">
        <v>32524</v>
      </c>
      <c r="O10323" t="s">
        <v>32525</v>
      </c>
      <c r="Q10323">
        <v>12</v>
      </c>
      <c r="R10323" t="s">
        <v>32539</v>
      </c>
      <c r="S10323" t="s">
        <v>33085</v>
      </c>
      <c r="T10323" t="s">
        <v>33614</v>
      </c>
      <c r="U10323" t="s">
        <v>42104</v>
      </c>
      <c r="W10323" t="s">
        <v>29641</v>
      </c>
      <c r="X10323" t="s">
        <v>32540</v>
      </c>
    </row>
    <row r="10324" spans="1:24">
      <c r="A10324">
        <f>HYPERLINK("https://www.philgeps.gov.ph/GEPSNONPILOT/Tender/SplashBidNoticeAbstractUI.aspx?menuIndex=3&amp;refID=7023898&amp;Result=3","7023898")</f>
        <v>0</v>
      </c>
      <c r="B10324" t="s">
        <v>145</v>
      </c>
      <c r="C10324" t="s">
        <v>12575</v>
      </c>
      <c r="D10324" t="s">
        <v>13041</v>
      </c>
      <c r="E10324" t="s">
        <v>22057</v>
      </c>
      <c r="F10324" t="s">
        <v>22436</v>
      </c>
      <c r="G10324" t="s">
        <v>22444</v>
      </c>
      <c r="H10324" t="s">
        <v>22454</v>
      </c>
      <c r="I10324" t="s">
        <v>7738</v>
      </c>
      <c r="J10324" t="s">
        <v>22779</v>
      </c>
      <c r="K10324" t="s">
        <v>29415</v>
      </c>
      <c r="M10324" t="s">
        <v>29717</v>
      </c>
      <c r="N10324" t="s">
        <v>32524</v>
      </c>
      <c r="O10324" t="s">
        <v>32525</v>
      </c>
      <c r="P10324">
        <v>0</v>
      </c>
      <c r="Q10324">
        <v>0</v>
      </c>
      <c r="R10324" t="s">
        <v>32539</v>
      </c>
      <c r="S10324" t="s">
        <v>33010</v>
      </c>
      <c r="T10324" t="s">
        <v>33222</v>
      </c>
      <c r="U10324" t="s">
        <v>42105</v>
      </c>
      <c r="W10324" t="s">
        <v>29717</v>
      </c>
      <c r="X10324" t="s">
        <v>32540</v>
      </c>
    </row>
    <row r="10325" spans="1:24">
      <c r="A10325">
        <f>HYPERLINK("https://www.philgeps.gov.ph/GEPSNONPILOT/Tender/SplashBidNoticeAbstractUI.aspx?menuIndex=3&amp;refID=7023883&amp;Result=3","7023883")</f>
        <v>0</v>
      </c>
      <c r="B10325" t="s">
        <v>2636</v>
      </c>
      <c r="C10325" t="s">
        <v>12576</v>
      </c>
      <c r="D10325" t="s">
        <v>13039</v>
      </c>
      <c r="E10325" t="s">
        <v>22058</v>
      </c>
      <c r="F10325" t="s">
        <v>22436</v>
      </c>
      <c r="G10325" t="s">
        <v>22444</v>
      </c>
      <c r="H10325" t="s">
        <v>22452</v>
      </c>
      <c r="I10325" t="s">
        <v>2993</v>
      </c>
      <c r="J10325" t="s">
        <v>29082</v>
      </c>
      <c r="K10325" t="s">
        <v>29335</v>
      </c>
      <c r="M10325" t="s">
        <v>32469</v>
      </c>
      <c r="N10325" t="s">
        <v>32524</v>
      </c>
      <c r="O10325" t="s">
        <v>32525</v>
      </c>
      <c r="P10325">
        <v>0</v>
      </c>
      <c r="Q10325">
        <v>0</v>
      </c>
      <c r="R10325" t="s">
        <v>32539</v>
      </c>
      <c r="S10325" t="s">
        <v>33010</v>
      </c>
      <c r="T10325" t="s">
        <v>33615</v>
      </c>
      <c r="U10325" t="s">
        <v>42106</v>
      </c>
      <c r="W10325" t="s">
        <v>32469</v>
      </c>
      <c r="X10325" t="s">
        <v>32540</v>
      </c>
    </row>
    <row r="10326" spans="1:24">
      <c r="A10326">
        <f>HYPERLINK("https://www.philgeps.gov.ph/GEPSNONPILOT/Tender/SplashBidNoticeAbstractUI.aspx?menuIndex=3&amp;refID=7023882&amp;Result=3","7023882")</f>
        <v>0</v>
      </c>
      <c r="B10326" t="s">
        <v>1840</v>
      </c>
      <c r="C10326" t="s">
        <v>12577</v>
      </c>
      <c r="D10326" t="s">
        <v>13045</v>
      </c>
      <c r="E10326" t="s">
        <v>22059</v>
      </c>
      <c r="F10326" t="s">
        <v>22436</v>
      </c>
      <c r="G10326" t="s">
        <v>22450</v>
      </c>
      <c r="H10326" t="s">
        <v>22454</v>
      </c>
      <c r="I10326" t="s">
        <v>7738</v>
      </c>
      <c r="J10326" t="s">
        <v>24295</v>
      </c>
      <c r="K10326" t="s">
        <v>29417</v>
      </c>
      <c r="M10326" t="s">
        <v>31555</v>
      </c>
      <c r="N10326" t="s">
        <v>32524</v>
      </c>
      <c r="O10326" t="s">
        <v>32525</v>
      </c>
      <c r="Q10326">
        <v>7</v>
      </c>
      <c r="R10326" t="s">
        <v>32539</v>
      </c>
      <c r="S10326" t="s">
        <v>33086</v>
      </c>
      <c r="T10326" t="s">
        <v>33230</v>
      </c>
      <c r="U10326" t="s">
        <v>35712</v>
      </c>
      <c r="W10326" t="s">
        <v>31555</v>
      </c>
      <c r="X10326" t="s">
        <v>32540</v>
      </c>
    </row>
    <row r="10327" spans="1:24">
      <c r="A10327">
        <f>HYPERLINK("https://www.philgeps.gov.ph/GEPSNONPILOT/Tender/SplashBidNoticeAbstractUI.aspx?menuIndex=3&amp;refID=7023890&amp;Result=3","7023890")</f>
        <v>0</v>
      </c>
      <c r="B10327" t="s">
        <v>2616</v>
      </c>
      <c r="C10327" t="s">
        <v>12578</v>
      </c>
      <c r="E10327" t="s">
        <v>22060</v>
      </c>
      <c r="F10327" t="s">
        <v>22436</v>
      </c>
      <c r="G10327" t="s">
        <v>22444</v>
      </c>
      <c r="H10327" t="s">
        <v>22452</v>
      </c>
      <c r="I10327" t="s">
        <v>22467</v>
      </c>
      <c r="J10327" t="s">
        <v>29083</v>
      </c>
      <c r="K10327" t="s">
        <v>29341</v>
      </c>
      <c r="M10327" t="s">
        <v>32473</v>
      </c>
      <c r="N10327" t="s">
        <v>32524</v>
      </c>
      <c r="O10327" t="s">
        <v>32525</v>
      </c>
      <c r="P10327">
        <v>0</v>
      </c>
      <c r="Q10327">
        <v>0</v>
      </c>
      <c r="R10327" t="s">
        <v>32539</v>
      </c>
      <c r="S10327" t="s">
        <v>33010</v>
      </c>
      <c r="T10327" t="s">
        <v>33181</v>
      </c>
      <c r="U10327" t="s">
        <v>42107</v>
      </c>
      <c r="W10327" t="s">
        <v>32473</v>
      </c>
      <c r="X10327" t="s">
        <v>32540</v>
      </c>
    </row>
    <row r="10328" spans="1:24">
      <c r="A10328">
        <f>HYPERLINK("https://www.philgeps.gov.ph/GEPSNONPILOT/Tender/SplashBidNoticeAbstractUI.aspx?menuIndex=3&amp;refID=7023886&amp;Result=3","7023886")</f>
        <v>0</v>
      </c>
      <c r="B10328" t="s">
        <v>145</v>
      </c>
      <c r="C10328" t="s">
        <v>12579</v>
      </c>
      <c r="D10328" t="s">
        <v>13041</v>
      </c>
      <c r="E10328" t="s">
        <v>22061</v>
      </c>
      <c r="F10328" t="s">
        <v>22436</v>
      </c>
      <c r="G10328" t="s">
        <v>22444</v>
      </c>
      <c r="H10328" t="s">
        <v>22454</v>
      </c>
      <c r="I10328" t="s">
        <v>7738</v>
      </c>
      <c r="J10328" t="s">
        <v>29084</v>
      </c>
      <c r="K10328" t="s">
        <v>29363</v>
      </c>
      <c r="M10328" t="s">
        <v>29717</v>
      </c>
      <c r="N10328" t="s">
        <v>32524</v>
      </c>
      <c r="O10328" t="s">
        <v>32525</v>
      </c>
      <c r="P10328">
        <v>0</v>
      </c>
      <c r="Q10328">
        <v>0</v>
      </c>
      <c r="R10328" t="s">
        <v>32539</v>
      </c>
      <c r="S10328" t="s">
        <v>33010</v>
      </c>
      <c r="T10328" t="s">
        <v>33523</v>
      </c>
      <c r="U10328" t="s">
        <v>42108</v>
      </c>
      <c r="W10328" t="s">
        <v>29717</v>
      </c>
      <c r="X10328" t="s">
        <v>32540</v>
      </c>
    </row>
    <row r="10329" spans="1:24">
      <c r="A10329">
        <f>HYPERLINK("https://www.philgeps.gov.ph/GEPSNONPILOT/Tender/SplashBidNoticeAbstractUI.aspx?menuIndex=3&amp;refID=7023919&amp;Result=3","7023919")</f>
        <v>0</v>
      </c>
      <c r="B10329" t="s">
        <v>1840</v>
      </c>
      <c r="C10329" t="s">
        <v>12580</v>
      </c>
      <c r="D10329" t="s">
        <v>13045</v>
      </c>
      <c r="E10329" t="s">
        <v>22062</v>
      </c>
      <c r="F10329" t="s">
        <v>22436</v>
      </c>
      <c r="G10329" t="s">
        <v>22450</v>
      </c>
      <c r="H10329" t="s">
        <v>22454</v>
      </c>
      <c r="I10329" t="s">
        <v>7738</v>
      </c>
      <c r="J10329" t="s">
        <v>25909</v>
      </c>
      <c r="K10329" t="s">
        <v>29390</v>
      </c>
      <c r="M10329" t="s">
        <v>31555</v>
      </c>
      <c r="N10329" t="s">
        <v>32524</v>
      </c>
      <c r="O10329" t="s">
        <v>32525</v>
      </c>
      <c r="Q10329">
        <v>3</v>
      </c>
      <c r="R10329" t="s">
        <v>32539</v>
      </c>
      <c r="S10329" t="s">
        <v>33087</v>
      </c>
      <c r="T10329" t="s">
        <v>33230</v>
      </c>
      <c r="U10329" t="s">
        <v>35712</v>
      </c>
      <c r="W10329" t="s">
        <v>31555</v>
      </c>
      <c r="X10329" t="s">
        <v>32540</v>
      </c>
    </row>
    <row r="10330" spans="1:24">
      <c r="A10330">
        <f>HYPERLINK("https://www.philgeps.gov.ph/GEPSNONPILOT/Tender/SplashBidNoticeAbstractUI.aspx?menuIndex=3&amp;refID=7023916&amp;Result=3","7023916")</f>
        <v>0</v>
      </c>
      <c r="B10330" t="s">
        <v>145</v>
      </c>
      <c r="C10330" t="s">
        <v>12581</v>
      </c>
      <c r="D10330" t="s">
        <v>13041</v>
      </c>
      <c r="E10330" t="s">
        <v>22063</v>
      </c>
      <c r="F10330" t="s">
        <v>22436</v>
      </c>
      <c r="G10330" t="s">
        <v>22444</v>
      </c>
      <c r="H10330" t="s">
        <v>22454</v>
      </c>
      <c r="I10330" t="s">
        <v>7738</v>
      </c>
      <c r="J10330" t="s">
        <v>29085</v>
      </c>
      <c r="K10330" t="s">
        <v>29431</v>
      </c>
      <c r="M10330" t="s">
        <v>29717</v>
      </c>
      <c r="N10330" t="s">
        <v>32524</v>
      </c>
      <c r="O10330" t="s">
        <v>32525</v>
      </c>
      <c r="P10330">
        <v>0</v>
      </c>
      <c r="Q10330">
        <v>0</v>
      </c>
      <c r="R10330" t="s">
        <v>32539</v>
      </c>
      <c r="S10330" t="s">
        <v>33010</v>
      </c>
      <c r="T10330" t="s">
        <v>33523</v>
      </c>
      <c r="U10330" t="s">
        <v>42109</v>
      </c>
      <c r="W10330" t="s">
        <v>29717</v>
      </c>
      <c r="X10330" t="s">
        <v>32540</v>
      </c>
    </row>
    <row r="10331" spans="1:24">
      <c r="A10331">
        <f>HYPERLINK("https://www.philgeps.gov.ph/GEPSNONPILOT/Tender/SplashBidNoticeAbstractUI.aspx?menuIndex=3&amp;refID=7023881&amp;Result=3","7023881")</f>
        <v>0</v>
      </c>
      <c r="B10331" t="s">
        <v>145</v>
      </c>
      <c r="C10331" t="s">
        <v>12582</v>
      </c>
      <c r="D10331" t="s">
        <v>13041</v>
      </c>
      <c r="E10331" t="s">
        <v>22064</v>
      </c>
      <c r="F10331" t="s">
        <v>22436</v>
      </c>
      <c r="G10331" t="s">
        <v>22444</v>
      </c>
      <c r="H10331" t="s">
        <v>22454</v>
      </c>
      <c r="I10331" t="s">
        <v>7738</v>
      </c>
      <c r="J10331" t="s">
        <v>29086</v>
      </c>
      <c r="K10331" t="s">
        <v>29421</v>
      </c>
      <c r="M10331" t="s">
        <v>29717</v>
      </c>
      <c r="N10331" t="s">
        <v>32524</v>
      </c>
      <c r="O10331" t="s">
        <v>32525</v>
      </c>
      <c r="P10331">
        <v>0</v>
      </c>
      <c r="Q10331">
        <v>0</v>
      </c>
      <c r="R10331" t="s">
        <v>32539</v>
      </c>
      <c r="S10331" t="s">
        <v>33010</v>
      </c>
      <c r="T10331" t="s">
        <v>33523</v>
      </c>
      <c r="U10331" t="s">
        <v>42110</v>
      </c>
      <c r="W10331" t="s">
        <v>29717</v>
      </c>
      <c r="X10331" t="s">
        <v>32540</v>
      </c>
    </row>
    <row r="10332" spans="1:24">
      <c r="A10332">
        <f>HYPERLINK("https://www.philgeps.gov.ph/GEPSNONPILOT/Tender/SplashBidNoticeAbstractUI.aspx?menuIndex=3&amp;refID=7023887&amp;Result=3","7023887")</f>
        <v>0</v>
      </c>
      <c r="B10332" t="s">
        <v>2640</v>
      </c>
      <c r="C10332" t="s">
        <v>12583</v>
      </c>
      <c r="D10332" t="s">
        <v>13006</v>
      </c>
      <c r="E10332" t="s">
        <v>22065</v>
      </c>
      <c r="F10332" t="s">
        <v>22436</v>
      </c>
      <c r="G10332" t="s">
        <v>22444</v>
      </c>
      <c r="H10332" t="s">
        <v>22454</v>
      </c>
      <c r="I10332" t="s">
        <v>7738</v>
      </c>
      <c r="J10332" t="s">
        <v>22877</v>
      </c>
      <c r="K10332" t="s">
        <v>29518</v>
      </c>
      <c r="M10332" t="s">
        <v>32474</v>
      </c>
      <c r="N10332" t="s">
        <v>32524</v>
      </c>
      <c r="O10332" t="s">
        <v>32525</v>
      </c>
      <c r="P10332">
        <v>0</v>
      </c>
      <c r="Q10332">
        <v>1</v>
      </c>
      <c r="R10332" t="s">
        <v>32539</v>
      </c>
      <c r="S10332" t="s">
        <v>33010</v>
      </c>
      <c r="T10332" t="s">
        <v>33181</v>
      </c>
      <c r="U10332" t="s">
        <v>42111</v>
      </c>
      <c r="W10332" t="s">
        <v>32474</v>
      </c>
      <c r="X10332" t="s">
        <v>32540</v>
      </c>
    </row>
    <row r="10333" spans="1:24">
      <c r="A10333">
        <f>HYPERLINK("https://www.philgeps.gov.ph/GEPSNONPILOT/Tender/SplashBidNoticeAbstractUI.aspx?menuIndex=3&amp;refID=7023872&amp;Result=3","7023872")</f>
        <v>0</v>
      </c>
      <c r="B10333" t="s">
        <v>69</v>
      </c>
      <c r="C10333" t="s">
        <v>12584</v>
      </c>
      <c r="D10333" t="s">
        <v>12988</v>
      </c>
      <c r="E10333" t="s">
        <v>16755</v>
      </c>
      <c r="F10333" t="s">
        <v>22436</v>
      </c>
      <c r="G10333" t="s">
        <v>22444</v>
      </c>
      <c r="H10333" t="s">
        <v>22452</v>
      </c>
      <c r="I10333" t="s">
        <v>22521</v>
      </c>
      <c r="J10333" t="s">
        <v>29087</v>
      </c>
      <c r="K10333" t="s">
        <v>29345</v>
      </c>
      <c r="M10333" t="s">
        <v>29641</v>
      </c>
      <c r="N10333" t="s">
        <v>32524</v>
      </c>
      <c r="O10333" t="s">
        <v>32525</v>
      </c>
      <c r="Q10333">
        <v>4</v>
      </c>
      <c r="R10333" t="s">
        <v>32539</v>
      </c>
      <c r="S10333" t="s">
        <v>33088</v>
      </c>
      <c r="T10333" t="s">
        <v>33243</v>
      </c>
      <c r="U10333" t="s">
        <v>42112</v>
      </c>
      <c r="W10333" t="s">
        <v>29641</v>
      </c>
      <c r="X10333" t="s">
        <v>32540</v>
      </c>
    </row>
    <row r="10334" spans="1:24">
      <c r="A10334">
        <f>HYPERLINK("https://www.philgeps.gov.ph/GEPSNONPILOT/Tender/SplashBidNoticeAbstractUI.aspx?menuIndex=3&amp;refID=7023915&amp;Result=3","7023915")</f>
        <v>0</v>
      </c>
      <c r="B10334" t="s">
        <v>1372</v>
      </c>
      <c r="C10334" t="s">
        <v>12585</v>
      </c>
      <c r="D10334" t="s">
        <v>12988</v>
      </c>
      <c r="E10334" t="s">
        <v>22066</v>
      </c>
      <c r="F10334" t="s">
        <v>22436</v>
      </c>
      <c r="G10334" t="s">
        <v>22447</v>
      </c>
      <c r="H10334" t="s">
        <v>22452</v>
      </c>
      <c r="I10334" t="s">
        <v>22502</v>
      </c>
      <c r="J10334" t="s">
        <v>24465</v>
      </c>
      <c r="K10334" t="s">
        <v>29334</v>
      </c>
      <c r="M10334" t="s">
        <v>31028</v>
      </c>
      <c r="N10334" t="s">
        <v>32524</v>
      </c>
      <c r="O10334" t="s">
        <v>32525</v>
      </c>
      <c r="P10334">
        <v>0</v>
      </c>
      <c r="Q10334">
        <v>8</v>
      </c>
      <c r="R10334" t="s">
        <v>32539</v>
      </c>
      <c r="S10334" t="s">
        <v>33010</v>
      </c>
      <c r="T10334" t="s">
        <v>33177</v>
      </c>
      <c r="U10334" t="s">
        <v>42113</v>
      </c>
      <c r="W10334" t="s">
        <v>31028</v>
      </c>
      <c r="X10334" t="s">
        <v>32540</v>
      </c>
    </row>
    <row r="10335" spans="1:24">
      <c r="A10335">
        <f>HYPERLINK("https://www.philgeps.gov.ph/GEPSNONPILOT/Tender/SplashBidNoticeAbstractUI.aspx?menuIndex=3&amp;refID=7023868&amp;Result=3","7023868")</f>
        <v>0</v>
      </c>
      <c r="B10335" t="s">
        <v>145</v>
      </c>
      <c r="C10335" t="s">
        <v>12586</v>
      </c>
      <c r="D10335" t="s">
        <v>13041</v>
      </c>
      <c r="E10335" t="s">
        <v>22067</v>
      </c>
      <c r="F10335" t="s">
        <v>22436</v>
      </c>
      <c r="G10335" t="s">
        <v>22444</v>
      </c>
      <c r="H10335" t="s">
        <v>22454</v>
      </c>
      <c r="I10335" t="s">
        <v>7738</v>
      </c>
      <c r="J10335" t="s">
        <v>22893</v>
      </c>
      <c r="K10335" t="s">
        <v>29446</v>
      </c>
      <c r="M10335" t="s">
        <v>29717</v>
      </c>
      <c r="N10335" t="s">
        <v>32524</v>
      </c>
      <c r="O10335" t="s">
        <v>32525</v>
      </c>
      <c r="P10335">
        <v>0</v>
      </c>
      <c r="Q10335">
        <v>0</v>
      </c>
      <c r="R10335" t="s">
        <v>32539</v>
      </c>
      <c r="S10335" t="s">
        <v>33010</v>
      </c>
      <c r="T10335" t="s">
        <v>33523</v>
      </c>
      <c r="U10335" t="s">
        <v>42114</v>
      </c>
      <c r="W10335" t="s">
        <v>29717</v>
      </c>
      <c r="X10335" t="s">
        <v>32540</v>
      </c>
    </row>
    <row r="10336" spans="1:24">
      <c r="A10336">
        <f>HYPERLINK("https://www.philgeps.gov.ph/GEPSNONPILOT/Tender/SplashBidNoticeAbstractUI.aspx?menuIndex=3&amp;refID=7023914&amp;Result=3","7023914")</f>
        <v>0</v>
      </c>
      <c r="B10336" t="s">
        <v>145</v>
      </c>
      <c r="C10336" t="s">
        <v>12587</v>
      </c>
      <c r="D10336" t="s">
        <v>13041</v>
      </c>
      <c r="E10336" t="s">
        <v>22068</v>
      </c>
      <c r="F10336" t="s">
        <v>22436</v>
      </c>
      <c r="G10336" t="s">
        <v>22444</v>
      </c>
      <c r="H10336" t="s">
        <v>22454</v>
      </c>
      <c r="I10336" t="s">
        <v>7738</v>
      </c>
      <c r="J10336" t="s">
        <v>29088</v>
      </c>
      <c r="K10336" t="s">
        <v>29427</v>
      </c>
      <c r="M10336" t="s">
        <v>29717</v>
      </c>
      <c r="N10336" t="s">
        <v>32524</v>
      </c>
      <c r="O10336" t="s">
        <v>32525</v>
      </c>
      <c r="P10336">
        <v>0</v>
      </c>
      <c r="Q10336">
        <v>0</v>
      </c>
      <c r="R10336" t="s">
        <v>32539</v>
      </c>
      <c r="S10336" t="s">
        <v>33010</v>
      </c>
      <c r="T10336" t="s">
        <v>33523</v>
      </c>
      <c r="U10336" t="s">
        <v>42115</v>
      </c>
      <c r="W10336" t="s">
        <v>29717</v>
      </c>
      <c r="X10336" t="s">
        <v>32540</v>
      </c>
    </row>
    <row r="10337" spans="1:24">
      <c r="A10337">
        <f>HYPERLINK("https://www.philgeps.gov.ph/GEPSNONPILOT/Tender/SplashBidNoticeAbstractUI.aspx?menuIndex=3&amp;refID=7023924&amp;Result=3","7023924")</f>
        <v>0</v>
      </c>
      <c r="B10337" t="s">
        <v>455</v>
      </c>
      <c r="C10337" t="s">
        <v>12588</v>
      </c>
      <c r="D10337" t="s">
        <v>13006</v>
      </c>
      <c r="E10337" t="s">
        <v>22069</v>
      </c>
      <c r="F10337" t="s">
        <v>22436</v>
      </c>
      <c r="G10337" t="s">
        <v>22444</v>
      </c>
      <c r="H10337" t="s">
        <v>22454</v>
      </c>
      <c r="I10337" t="s">
        <v>7738</v>
      </c>
      <c r="J10337" t="s">
        <v>29089</v>
      </c>
      <c r="K10337" t="s">
        <v>29384</v>
      </c>
      <c r="M10337" t="s">
        <v>30037</v>
      </c>
      <c r="N10337" t="s">
        <v>32524</v>
      </c>
      <c r="O10337" t="s">
        <v>32525</v>
      </c>
      <c r="P10337">
        <v>0</v>
      </c>
      <c r="Q10337">
        <v>1</v>
      </c>
      <c r="R10337" t="s">
        <v>32539</v>
      </c>
      <c r="S10337" t="s">
        <v>33010</v>
      </c>
      <c r="T10337" t="s">
        <v>33230</v>
      </c>
      <c r="U10337" t="s">
        <v>40709</v>
      </c>
      <c r="V10337" t="s">
        <v>43620</v>
      </c>
      <c r="W10337" t="s">
        <v>30037</v>
      </c>
      <c r="X10337" t="s">
        <v>32540</v>
      </c>
    </row>
    <row r="10338" spans="1:24">
      <c r="A10338">
        <f>HYPERLINK("https://www.philgeps.gov.ph/GEPSNONPILOT/Tender/SplashBidNoticeAbstractUI.aspx?menuIndex=3&amp;refID=7023921&amp;Result=3","7023921")</f>
        <v>0</v>
      </c>
      <c r="B10338" t="s">
        <v>145</v>
      </c>
      <c r="C10338" t="s">
        <v>12589</v>
      </c>
      <c r="D10338" t="s">
        <v>13041</v>
      </c>
      <c r="E10338" t="s">
        <v>22070</v>
      </c>
      <c r="F10338" t="s">
        <v>22436</v>
      </c>
      <c r="G10338" t="s">
        <v>22444</v>
      </c>
      <c r="H10338" t="s">
        <v>22454</v>
      </c>
      <c r="I10338" t="s">
        <v>7738</v>
      </c>
      <c r="J10338" t="s">
        <v>29090</v>
      </c>
      <c r="K10338" t="s">
        <v>29363</v>
      </c>
      <c r="M10338" t="s">
        <v>29717</v>
      </c>
      <c r="N10338" t="s">
        <v>32524</v>
      </c>
      <c r="O10338" t="s">
        <v>32525</v>
      </c>
      <c r="P10338">
        <v>0</v>
      </c>
      <c r="Q10338">
        <v>0</v>
      </c>
      <c r="R10338" t="s">
        <v>32539</v>
      </c>
      <c r="S10338" t="s">
        <v>33010</v>
      </c>
      <c r="T10338" t="s">
        <v>33523</v>
      </c>
      <c r="U10338" t="s">
        <v>42116</v>
      </c>
      <c r="W10338" t="s">
        <v>29717</v>
      </c>
      <c r="X10338" t="s">
        <v>32540</v>
      </c>
    </row>
    <row r="10339" spans="1:24">
      <c r="A10339">
        <f>HYPERLINK("https://www.philgeps.gov.ph/GEPSNONPILOT/Tender/SplashBidNoticeAbstractUI.aspx?menuIndex=3&amp;refID=7023908&amp;Result=3","7023908")</f>
        <v>0</v>
      </c>
      <c r="B10339" t="s">
        <v>145</v>
      </c>
      <c r="C10339" t="s">
        <v>12590</v>
      </c>
      <c r="D10339" t="s">
        <v>13041</v>
      </c>
      <c r="E10339" t="s">
        <v>22071</v>
      </c>
      <c r="F10339" t="s">
        <v>22436</v>
      </c>
      <c r="G10339" t="s">
        <v>22444</v>
      </c>
      <c r="H10339" t="s">
        <v>22454</v>
      </c>
      <c r="I10339" t="s">
        <v>7738</v>
      </c>
      <c r="J10339" t="s">
        <v>29091</v>
      </c>
      <c r="K10339" t="s">
        <v>29389</v>
      </c>
      <c r="M10339" t="s">
        <v>29717</v>
      </c>
      <c r="N10339" t="s">
        <v>32524</v>
      </c>
      <c r="O10339" t="s">
        <v>32525</v>
      </c>
      <c r="P10339">
        <v>0</v>
      </c>
      <c r="Q10339">
        <v>0</v>
      </c>
      <c r="R10339" t="s">
        <v>32539</v>
      </c>
      <c r="S10339" t="s">
        <v>33010</v>
      </c>
      <c r="T10339" t="s">
        <v>33523</v>
      </c>
      <c r="U10339" t="s">
        <v>42117</v>
      </c>
      <c r="W10339" t="s">
        <v>29717</v>
      </c>
      <c r="X10339" t="s">
        <v>32540</v>
      </c>
    </row>
    <row r="10340" spans="1:24">
      <c r="A10340">
        <f>HYPERLINK("https://www.philgeps.gov.ph/GEPSNONPILOT/Tender/SplashBidNoticeAbstractUI.aspx?menuIndex=3&amp;refID=7023972&amp;Result=3","7023972")</f>
        <v>0</v>
      </c>
      <c r="B10340" t="s">
        <v>180</v>
      </c>
      <c r="C10340" t="s">
        <v>12591</v>
      </c>
      <c r="D10340" t="s">
        <v>13026</v>
      </c>
      <c r="E10340" t="s">
        <v>22072</v>
      </c>
      <c r="F10340" t="s">
        <v>22436</v>
      </c>
      <c r="G10340" t="s">
        <v>22444</v>
      </c>
      <c r="H10340" t="s">
        <v>22454</v>
      </c>
      <c r="I10340" t="s">
        <v>7738</v>
      </c>
      <c r="J10340" t="s">
        <v>29092</v>
      </c>
      <c r="K10340" t="s">
        <v>29334</v>
      </c>
      <c r="M10340" t="s">
        <v>32450</v>
      </c>
      <c r="N10340" t="s">
        <v>32524</v>
      </c>
      <c r="O10340" t="s">
        <v>32525</v>
      </c>
      <c r="P10340">
        <v>0</v>
      </c>
      <c r="Q10340">
        <v>0</v>
      </c>
      <c r="R10340" t="s">
        <v>32539</v>
      </c>
      <c r="S10340" t="s">
        <v>33010</v>
      </c>
      <c r="T10340" t="s">
        <v>33211</v>
      </c>
      <c r="U10340" t="s">
        <v>42118</v>
      </c>
      <c r="W10340" t="s">
        <v>32450</v>
      </c>
      <c r="X10340" t="s">
        <v>32540</v>
      </c>
    </row>
    <row r="10341" spans="1:24">
      <c r="A10341">
        <f>HYPERLINK("https://www.philgeps.gov.ph/GEPSNONPILOT/Tender/SplashBidNoticeAbstractUI.aspx?menuIndex=3&amp;refID=7023983&amp;Result=3","7023983")</f>
        <v>0</v>
      </c>
      <c r="B10341" t="s">
        <v>1947</v>
      </c>
      <c r="C10341" t="s">
        <v>12592</v>
      </c>
      <c r="D10341" t="s">
        <v>12998</v>
      </c>
      <c r="E10341" t="s">
        <v>22073</v>
      </c>
      <c r="F10341" t="s">
        <v>22436</v>
      </c>
      <c r="G10341" t="s">
        <v>22444</v>
      </c>
      <c r="H10341" t="s">
        <v>22453</v>
      </c>
      <c r="I10341" t="s">
        <v>22567</v>
      </c>
      <c r="J10341" t="s">
        <v>29093</v>
      </c>
      <c r="K10341" t="s">
        <v>29344</v>
      </c>
      <c r="M10341" t="s">
        <v>31783</v>
      </c>
      <c r="N10341" t="s">
        <v>32524</v>
      </c>
      <c r="O10341" t="s">
        <v>32525</v>
      </c>
      <c r="P10341">
        <v>0</v>
      </c>
      <c r="Q10341">
        <v>6</v>
      </c>
      <c r="R10341" t="s">
        <v>32539</v>
      </c>
      <c r="S10341" t="s">
        <v>33010</v>
      </c>
      <c r="T10341" t="s">
        <v>33168</v>
      </c>
      <c r="U10341" t="s">
        <v>38802</v>
      </c>
      <c r="V10341" t="s">
        <v>43621</v>
      </c>
      <c r="W10341" t="s">
        <v>31783</v>
      </c>
      <c r="X10341" t="s">
        <v>32540</v>
      </c>
    </row>
    <row r="10342" spans="1:24">
      <c r="A10342">
        <f>HYPERLINK("https://www.philgeps.gov.ph/GEPSNONPILOT/Tender/SplashBidNoticeAbstractUI.aspx?menuIndex=3&amp;refID=7023979&amp;Result=3","7023979")</f>
        <v>0</v>
      </c>
      <c r="B10342" t="s">
        <v>180</v>
      </c>
      <c r="C10342" t="s">
        <v>12593</v>
      </c>
      <c r="D10342" t="s">
        <v>13026</v>
      </c>
      <c r="E10342" t="s">
        <v>22074</v>
      </c>
      <c r="F10342" t="s">
        <v>22436</v>
      </c>
      <c r="G10342" t="s">
        <v>22444</v>
      </c>
      <c r="H10342" t="s">
        <v>22454</v>
      </c>
      <c r="I10342" t="s">
        <v>7738</v>
      </c>
      <c r="J10342" t="s">
        <v>29094</v>
      </c>
      <c r="K10342" t="s">
        <v>29334</v>
      </c>
      <c r="M10342" t="s">
        <v>32450</v>
      </c>
      <c r="N10342" t="s">
        <v>32524</v>
      </c>
      <c r="O10342" t="s">
        <v>32525</v>
      </c>
      <c r="P10342">
        <v>0</v>
      </c>
      <c r="Q10342">
        <v>0</v>
      </c>
      <c r="R10342" t="s">
        <v>32539</v>
      </c>
      <c r="S10342" t="s">
        <v>33010</v>
      </c>
      <c r="T10342" t="s">
        <v>33211</v>
      </c>
      <c r="U10342" t="s">
        <v>42119</v>
      </c>
      <c r="W10342" t="s">
        <v>32450</v>
      </c>
      <c r="X10342" t="s">
        <v>32540</v>
      </c>
    </row>
    <row r="10343" spans="1:24">
      <c r="A10343">
        <f>HYPERLINK("https://www.philgeps.gov.ph/GEPSNONPILOT/Tender/SplashBidNoticeAbstractUI.aspx?menuIndex=3&amp;refID=7023963&amp;Result=3","7023963")</f>
        <v>0</v>
      </c>
      <c r="B10343" t="s">
        <v>180</v>
      </c>
      <c r="C10343" t="s">
        <v>12594</v>
      </c>
      <c r="D10343" t="s">
        <v>13026</v>
      </c>
      <c r="E10343" t="s">
        <v>22075</v>
      </c>
      <c r="F10343" t="s">
        <v>22436</v>
      </c>
      <c r="G10343" t="s">
        <v>22444</v>
      </c>
      <c r="H10343" t="s">
        <v>22454</v>
      </c>
      <c r="I10343" t="s">
        <v>7738</v>
      </c>
      <c r="J10343" t="s">
        <v>22877</v>
      </c>
      <c r="K10343" t="s">
        <v>29335</v>
      </c>
      <c r="M10343" t="s">
        <v>32450</v>
      </c>
      <c r="N10343" t="s">
        <v>32524</v>
      </c>
      <c r="O10343" t="s">
        <v>32525</v>
      </c>
      <c r="P10343">
        <v>0</v>
      </c>
      <c r="Q10343">
        <v>1</v>
      </c>
      <c r="R10343" t="s">
        <v>32539</v>
      </c>
      <c r="S10343" t="s">
        <v>33010</v>
      </c>
      <c r="T10343" t="s">
        <v>33211</v>
      </c>
      <c r="U10343" t="s">
        <v>42120</v>
      </c>
      <c r="W10343" t="s">
        <v>32450</v>
      </c>
      <c r="X10343" t="s">
        <v>32540</v>
      </c>
    </row>
    <row r="10344" spans="1:24">
      <c r="A10344">
        <f>HYPERLINK("https://www.philgeps.gov.ph/GEPSNONPILOT/Tender/SplashBidNoticeAbstractUI.aspx?menuIndex=3&amp;refID=7023958&amp;Result=3","7023958")</f>
        <v>0</v>
      </c>
      <c r="B10344" t="s">
        <v>953</v>
      </c>
      <c r="C10344" t="s">
        <v>12595</v>
      </c>
      <c r="D10344" t="s">
        <v>12994</v>
      </c>
      <c r="E10344" t="s">
        <v>22076</v>
      </c>
      <c r="F10344" t="s">
        <v>22436</v>
      </c>
      <c r="G10344" t="s">
        <v>22444</v>
      </c>
      <c r="H10344" t="s">
        <v>22452</v>
      </c>
      <c r="I10344" t="s">
        <v>22479</v>
      </c>
      <c r="J10344" t="s">
        <v>29095</v>
      </c>
      <c r="K10344" t="s">
        <v>29333</v>
      </c>
      <c r="M10344" t="s">
        <v>32468</v>
      </c>
      <c r="N10344" t="s">
        <v>32524</v>
      </c>
      <c r="O10344" t="s">
        <v>32525</v>
      </c>
      <c r="P10344">
        <v>0</v>
      </c>
      <c r="Q10344">
        <v>5</v>
      </c>
      <c r="R10344" t="s">
        <v>32539</v>
      </c>
      <c r="S10344" t="s">
        <v>33010</v>
      </c>
      <c r="T10344" t="s">
        <v>33259</v>
      </c>
      <c r="U10344" t="s">
        <v>42121</v>
      </c>
      <c r="W10344" t="s">
        <v>32468</v>
      </c>
      <c r="X10344" t="s">
        <v>32540</v>
      </c>
    </row>
    <row r="10345" spans="1:24">
      <c r="A10345">
        <f>HYPERLINK("https://www.philgeps.gov.ph/GEPSNONPILOT/Tender/SplashBidNoticeAbstractUI.aspx?menuIndex=3&amp;refID=7023966&amp;Result=3","7023966")</f>
        <v>0</v>
      </c>
      <c r="B10345" t="s">
        <v>180</v>
      </c>
      <c r="C10345" t="s">
        <v>12596</v>
      </c>
      <c r="D10345" t="s">
        <v>13026</v>
      </c>
      <c r="E10345" t="s">
        <v>22077</v>
      </c>
      <c r="F10345" t="s">
        <v>22436</v>
      </c>
      <c r="G10345" t="s">
        <v>22444</v>
      </c>
      <c r="H10345" t="s">
        <v>22454</v>
      </c>
      <c r="I10345" t="s">
        <v>7738</v>
      </c>
      <c r="J10345" t="s">
        <v>22877</v>
      </c>
      <c r="K10345" t="s">
        <v>29335</v>
      </c>
      <c r="M10345" t="s">
        <v>32450</v>
      </c>
      <c r="N10345" t="s">
        <v>32524</v>
      </c>
      <c r="O10345" t="s">
        <v>32525</v>
      </c>
      <c r="P10345">
        <v>0</v>
      </c>
      <c r="Q10345">
        <v>0</v>
      </c>
      <c r="R10345" t="s">
        <v>32539</v>
      </c>
      <c r="S10345" t="s">
        <v>33010</v>
      </c>
      <c r="T10345" t="s">
        <v>33211</v>
      </c>
      <c r="U10345" t="s">
        <v>42122</v>
      </c>
      <c r="W10345" t="s">
        <v>32450</v>
      </c>
      <c r="X10345" t="s">
        <v>32540</v>
      </c>
    </row>
    <row r="10346" spans="1:24">
      <c r="A10346">
        <f>HYPERLINK("https://www.philgeps.gov.ph/GEPSNONPILOT/Tender/SplashBidNoticeAbstractUI.aspx?menuIndex=3&amp;refID=7023952&amp;Result=3","7023952")</f>
        <v>0</v>
      </c>
      <c r="B10346" t="s">
        <v>1947</v>
      </c>
      <c r="C10346" t="s">
        <v>12597</v>
      </c>
      <c r="D10346" t="s">
        <v>12998</v>
      </c>
      <c r="E10346" t="s">
        <v>22078</v>
      </c>
      <c r="F10346" t="s">
        <v>22436</v>
      </c>
      <c r="G10346" t="s">
        <v>22444</v>
      </c>
      <c r="H10346" t="s">
        <v>22453</v>
      </c>
      <c r="I10346" t="s">
        <v>22567</v>
      </c>
      <c r="J10346" t="s">
        <v>29096</v>
      </c>
      <c r="K10346" t="s">
        <v>29344</v>
      </c>
      <c r="M10346" t="s">
        <v>31783</v>
      </c>
      <c r="N10346" t="s">
        <v>32524</v>
      </c>
      <c r="O10346" t="s">
        <v>32525</v>
      </c>
      <c r="P10346">
        <v>0</v>
      </c>
      <c r="Q10346">
        <v>7</v>
      </c>
      <c r="R10346" t="s">
        <v>32539</v>
      </c>
      <c r="S10346" t="s">
        <v>33010</v>
      </c>
      <c r="T10346" t="s">
        <v>33168</v>
      </c>
      <c r="U10346" t="s">
        <v>38802</v>
      </c>
      <c r="V10346" t="s">
        <v>43415</v>
      </c>
      <c r="W10346" t="s">
        <v>31783</v>
      </c>
      <c r="X10346" t="s">
        <v>32540</v>
      </c>
    </row>
    <row r="10347" spans="1:24">
      <c r="A10347">
        <f>HYPERLINK("https://www.philgeps.gov.ph/GEPSNONPILOT/Tender/SplashBidNoticeAbstractUI.aspx?menuIndex=3&amp;refID=7023999&amp;Result=3","7023999")</f>
        <v>0</v>
      </c>
      <c r="B10347" t="s">
        <v>180</v>
      </c>
      <c r="C10347" t="s">
        <v>12598</v>
      </c>
      <c r="D10347" t="s">
        <v>13026</v>
      </c>
      <c r="E10347" t="s">
        <v>22079</v>
      </c>
      <c r="F10347" t="s">
        <v>22436</v>
      </c>
      <c r="G10347" t="s">
        <v>22444</v>
      </c>
      <c r="H10347" t="s">
        <v>22454</v>
      </c>
      <c r="I10347" t="s">
        <v>7738</v>
      </c>
      <c r="J10347" t="s">
        <v>29097</v>
      </c>
      <c r="K10347" t="s">
        <v>29433</v>
      </c>
      <c r="M10347" t="s">
        <v>32450</v>
      </c>
      <c r="N10347" t="s">
        <v>32524</v>
      </c>
      <c r="O10347" t="s">
        <v>32525</v>
      </c>
      <c r="P10347">
        <v>0</v>
      </c>
      <c r="Q10347">
        <v>1</v>
      </c>
      <c r="R10347" t="s">
        <v>32539</v>
      </c>
      <c r="S10347" t="s">
        <v>33010</v>
      </c>
      <c r="T10347" t="s">
        <v>33211</v>
      </c>
      <c r="U10347" t="s">
        <v>42123</v>
      </c>
      <c r="W10347" t="s">
        <v>32450</v>
      </c>
      <c r="X10347" t="s">
        <v>32540</v>
      </c>
    </row>
    <row r="10348" spans="1:24">
      <c r="A10348">
        <f>HYPERLINK("https://www.philgeps.gov.ph/GEPSNONPILOT/Tender/SplashBidNoticeAbstractUI.aspx?menuIndex=3&amp;refID=7023953&amp;Result=3","7023953")</f>
        <v>0</v>
      </c>
      <c r="B10348" t="s">
        <v>2105</v>
      </c>
      <c r="C10348" t="s">
        <v>12599</v>
      </c>
      <c r="D10348" t="s">
        <v>13011</v>
      </c>
      <c r="E10348" t="s">
        <v>22080</v>
      </c>
      <c r="F10348" t="s">
        <v>22436</v>
      </c>
      <c r="G10348" t="s">
        <v>22444</v>
      </c>
      <c r="H10348" t="s">
        <v>22454</v>
      </c>
      <c r="I10348" t="s">
        <v>7738</v>
      </c>
      <c r="J10348" t="s">
        <v>29098</v>
      </c>
      <c r="K10348" t="s">
        <v>29466</v>
      </c>
      <c r="M10348" t="s">
        <v>31854</v>
      </c>
      <c r="N10348" t="s">
        <v>32524</v>
      </c>
      <c r="O10348" t="s">
        <v>32525</v>
      </c>
      <c r="P10348">
        <v>0</v>
      </c>
      <c r="Q10348">
        <v>0</v>
      </c>
      <c r="R10348" t="s">
        <v>32539</v>
      </c>
      <c r="S10348" t="s">
        <v>33010</v>
      </c>
      <c r="T10348" t="s">
        <v>33230</v>
      </c>
      <c r="U10348" t="s">
        <v>42124</v>
      </c>
      <c r="W10348" t="s">
        <v>31854</v>
      </c>
      <c r="X10348" t="s">
        <v>32540</v>
      </c>
    </row>
    <row r="10349" spans="1:24">
      <c r="A10349">
        <f>HYPERLINK("https://www.philgeps.gov.ph/GEPSNONPILOT/Tender/SplashBidNoticeAbstractUI.aspx?menuIndex=3&amp;refID=7023949&amp;Result=3","7023949")</f>
        <v>0</v>
      </c>
      <c r="B10349" t="s">
        <v>2411</v>
      </c>
      <c r="C10349" t="s">
        <v>12600</v>
      </c>
      <c r="D10349" t="s">
        <v>13060</v>
      </c>
      <c r="E10349" t="s">
        <v>22081</v>
      </c>
      <c r="F10349" t="s">
        <v>22436</v>
      </c>
      <c r="G10349" t="s">
        <v>22446</v>
      </c>
      <c r="H10349" t="s">
        <v>22452</v>
      </c>
      <c r="I10349" t="s">
        <v>22467</v>
      </c>
      <c r="J10349" t="s">
        <v>23925</v>
      </c>
      <c r="K10349" t="s">
        <v>29337</v>
      </c>
      <c r="M10349" t="s">
        <v>32209</v>
      </c>
      <c r="N10349" t="s">
        <v>32524</v>
      </c>
      <c r="O10349" t="s">
        <v>32525</v>
      </c>
      <c r="Q10349">
        <v>3</v>
      </c>
      <c r="R10349" t="s">
        <v>32539</v>
      </c>
      <c r="S10349" t="s">
        <v>32751</v>
      </c>
      <c r="T10349" t="s">
        <v>33169</v>
      </c>
      <c r="U10349" t="s">
        <v>42125</v>
      </c>
      <c r="V10349" t="s">
        <v>43371</v>
      </c>
      <c r="W10349" t="s">
        <v>32209</v>
      </c>
      <c r="X10349" t="s">
        <v>32540</v>
      </c>
    </row>
    <row r="10350" spans="1:24">
      <c r="A10350">
        <f>HYPERLINK("https://www.philgeps.gov.ph/GEPSNONPILOT/Tender/SplashBidNoticeAbstractUI.aspx?menuIndex=3&amp;refID=7023994&amp;Result=3","7023994")</f>
        <v>0</v>
      </c>
      <c r="B10350" t="s">
        <v>774</v>
      </c>
      <c r="C10350" t="s">
        <v>12601</v>
      </c>
      <c r="E10350" t="s">
        <v>22082</v>
      </c>
      <c r="F10350" t="s">
        <v>22436</v>
      </c>
      <c r="G10350" t="s">
        <v>22444</v>
      </c>
      <c r="H10350" t="s">
        <v>22455</v>
      </c>
      <c r="I10350" t="s">
        <v>22455</v>
      </c>
      <c r="J10350" t="s">
        <v>23111</v>
      </c>
      <c r="K10350" t="s">
        <v>29375</v>
      </c>
      <c r="M10350" t="s">
        <v>30375</v>
      </c>
      <c r="N10350" t="s">
        <v>32524</v>
      </c>
      <c r="O10350" t="s">
        <v>32525</v>
      </c>
      <c r="Q10350">
        <v>11</v>
      </c>
      <c r="R10350" t="s">
        <v>32539</v>
      </c>
      <c r="S10350" t="s">
        <v>33089</v>
      </c>
      <c r="T10350" t="s">
        <v>33238</v>
      </c>
      <c r="U10350" t="s">
        <v>42126</v>
      </c>
      <c r="W10350" t="s">
        <v>30375</v>
      </c>
      <c r="X10350" t="s">
        <v>32540</v>
      </c>
    </row>
    <row r="10351" spans="1:24">
      <c r="A10351">
        <f>HYPERLINK("https://www.philgeps.gov.ph/GEPSNONPILOT/Tender/SplashBidNoticeAbstractUI.aspx?menuIndex=3&amp;refID=7024000&amp;Result=3","7024000")</f>
        <v>0</v>
      </c>
      <c r="B10351" t="s">
        <v>1347</v>
      </c>
      <c r="C10351" t="s">
        <v>12602</v>
      </c>
      <c r="E10351" t="s">
        <v>22083</v>
      </c>
      <c r="F10351" t="s">
        <v>22436</v>
      </c>
      <c r="G10351" t="s">
        <v>22444</v>
      </c>
      <c r="H10351" t="s">
        <v>22453</v>
      </c>
      <c r="I10351" t="s">
        <v>22457</v>
      </c>
      <c r="J10351" t="s">
        <v>29099</v>
      </c>
      <c r="K10351" t="s">
        <v>29340</v>
      </c>
      <c r="M10351" t="s">
        <v>32475</v>
      </c>
      <c r="N10351" t="s">
        <v>32524</v>
      </c>
      <c r="O10351" t="s">
        <v>32525</v>
      </c>
      <c r="Q10351">
        <v>2</v>
      </c>
      <c r="R10351" t="s">
        <v>32539</v>
      </c>
      <c r="S10351" t="s">
        <v>32907</v>
      </c>
      <c r="T10351" t="s">
        <v>33616</v>
      </c>
      <c r="U10351" t="s">
        <v>42127</v>
      </c>
      <c r="W10351" t="s">
        <v>32475</v>
      </c>
      <c r="X10351" t="s">
        <v>32540</v>
      </c>
    </row>
    <row r="10352" spans="1:24">
      <c r="A10352">
        <f>HYPERLINK("https://www.philgeps.gov.ph/GEPSNONPILOT/Tender/SplashBidNoticeAbstractUI.aspx?menuIndex=3&amp;refID=7023995&amp;Result=3","7023995")</f>
        <v>0</v>
      </c>
      <c r="B10352" t="s">
        <v>2499</v>
      </c>
      <c r="C10352" t="s">
        <v>12603</v>
      </c>
      <c r="D10352" t="s">
        <v>13058</v>
      </c>
      <c r="E10352" t="s">
        <v>22084</v>
      </c>
      <c r="F10352" t="s">
        <v>22436</v>
      </c>
      <c r="G10352" t="s">
        <v>22444</v>
      </c>
      <c r="H10352" t="s">
        <v>22454</v>
      </c>
      <c r="I10352" t="s">
        <v>7738</v>
      </c>
      <c r="J10352" t="s">
        <v>22779</v>
      </c>
      <c r="K10352" t="s">
        <v>29333</v>
      </c>
      <c r="M10352" t="s">
        <v>32305</v>
      </c>
      <c r="N10352" t="s">
        <v>32524</v>
      </c>
      <c r="O10352" t="s">
        <v>32525</v>
      </c>
      <c r="P10352">
        <v>0</v>
      </c>
      <c r="Q10352">
        <v>0</v>
      </c>
      <c r="R10352" t="s">
        <v>32539</v>
      </c>
      <c r="S10352" t="s">
        <v>33010</v>
      </c>
      <c r="T10352" t="s">
        <v>33230</v>
      </c>
      <c r="U10352" t="s">
        <v>42128</v>
      </c>
      <c r="W10352" t="s">
        <v>32305</v>
      </c>
      <c r="X10352" t="s">
        <v>32540</v>
      </c>
    </row>
    <row r="10353" spans="1:24">
      <c r="A10353">
        <f>HYPERLINK("https://www.philgeps.gov.ph/GEPSNONPILOT/Tender/SplashBidNoticeAbstractUI.aspx?menuIndex=3&amp;refID=7023925&amp;Result=3","7023925")</f>
        <v>0</v>
      </c>
      <c r="B10353" t="s">
        <v>145</v>
      </c>
      <c r="C10353" t="s">
        <v>12604</v>
      </c>
      <c r="D10353" t="s">
        <v>13041</v>
      </c>
      <c r="E10353" t="s">
        <v>22085</v>
      </c>
      <c r="F10353" t="s">
        <v>22436</v>
      </c>
      <c r="G10353" t="s">
        <v>22444</v>
      </c>
      <c r="H10353" t="s">
        <v>22454</v>
      </c>
      <c r="I10353" t="s">
        <v>7738</v>
      </c>
      <c r="J10353" t="s">
        <v>22893</v>
      </c>
      <c r="K10353" t="s">
        <v>29342</v>
      </c>
      <c r="M10353" t="s">
        <v>29717</v>
      </c>
      <c r="N10353" t="s">
        <v>32524</v>
      </c>
      <c r="O10353" t="s">
        <v>32525</v>
      </c>
      <c r="P10353">
        <v>0</v>
      </c>
      <c r="Q10353">
        <v>0</v>
      </c>
      <c r="R10353" t="s">
        <v>32539</v>
      </c>
      <c r="S10353" t="s">
        <v>33010</v>
      </c>
      <c r="T10353" t="s">
        <v>33523</v>
      </c>
      <c r="U10353" t="s">
        <v>42129</v>
      </c>
      <c r="W10353" t="s">
        <v>29717</v>
      </c>
      <c r="X10353" t="s">
        <v>32540</v>
      </c>
    </row>
    <row r="10354" spans="1:24">
      <c r="A10354">
        <f>HYPERLINK("https://www.philgeps.gov.ph/GEPSNONPILOT/Tender/SplashBidNoticeAbstractUI.aspx?menuIndex=3&amp;refID=7023969&amp;Result=3","7023969")</f>
        <v>0</v>
      </c>
      <c r="B10354" t="s">
        <v>180</v>
      </c>
      <c r="C10354" t="s">
        <v>12605</v>
      </c>
      <c r="D10354" t="s">
        <v>13026</v>
      </c>
      <c r="E10354" t="s">
        <v>22086</v>
      </c>
      <c r="F10354" t="s">
        <v>22436</v>
      </c>
      <c r="G10354" t="s">
        <v>22444</v>
      </c>
      <c r="H10354" t="s">
        <v>22454</v>
      </c>
      <c r="I10354" t="s">
        <v>7738</v>
      </c>
      <c r="J10354" t="s">
        <v>29100</v>
      </c>
      <c r="K10354" t="s">
        <v>29334</v>
      </c>
      <c r="M10354" t="s">
        <v>32450</v>
      </c>
      <c r="N10354" t="s">
        <v>32524</v>
      </c>
      <c r="O10354" t="s">
        <v>32525</v>
      </c>
      <c r="P10354">
        <v>0</v>
      </c>
      <c r="Q10354">
        <v>1</v>
      </c>
      <c r="R10354" t="s">
        <v>32539</v>
      </c>
      <c r="S10354" t="s">
        <v>33010</v>
      </c>
      <c r="T10354" t="s">
        <v>33211</v>
      </c>
      <c r="U10354" t="s">
        <v>42130</v>
      </c>
      <c r="W10354" t="s">
        <v>32450</v>
      </c>
      <c r="X10354" t="s">
        <v>32540</v>
      </c>
    </row>
    <row r="10355" spans="1:24">
      <c r="A10355">
        <f>HYPERLINK("https://www.philgeps.gov.ph/GEPSNONPILOT/Tender/SplashBidNoticeAbstractUI.aspx?menuIndex=3&amp;refID=7023988&amp;Result=3","7023988")</f>
        <v>0</v>
      </c>
      <c r="B10355" t="s">
        <v>180</v>
      </c>
      <c r="C10355" t="s">
        <v>12606</v>
      </c>
      <c r="D10355" t="s">
        <v>13026</v>
      </c>
      <c r="E10355" t="s">
        <v>22087</v>
      </c>
      <c r="F10355" t="s">
        <v>22436</v>
      </c>
      <c r="G10355" t="s">
        <v>22444</v>
      </c>
      <c r="H10355" t="s">
        <v>22454</v>
      </c>
      <c r="I10355" t="s">
        <v>7738</v>
      </c>
      <c r="J10355" t="s">
        <v>29101</v>
      </c>
      <c r="K10355" t="s">
        <v>29347</v>
      </c>
      <c r="M10355" t="s">
        <v>32450</v>
      </c>
      <c r="N10355" t="s">
        <v>32524</v>
      </c>
      <c r="O10355" t="s">
        <v>32525</v>
      </c>
      <c r="P10355">
        <v>0</v>
      </c>
      <c r="Q10355">
        <v>0</v>
      </c>
      <c r="R10355" t="s">
        <v>32539</v>
      </c>
      <c r="S10355" t="s">
        <v>33010</v>
      </c>
      <c r="T10355" t="s">
        <v>33211</v>
      </c>
      <c r="U10355" t="s">
        <v>42131</v>
      </c>
      <c r="W10355" t="s">
        <v>32450</v>
      </c>
      <c r="X10355" t="s">
        <v>32540</v>
      </c>
    </row>
    <row r="10356" spans="1:24">
      <c r="A10356">
        <f>HYPERLINK("https://www.philgeps.gov.ph/GEPSNONPILOT/Tender/SplashBidNoticeAbstractUI.aspx?menuIndex=3&amp;refID=7023985&amp;Result=3","7023985")</f>
        <v>0</v>
      </c>
      <c r="B10356" t="s">
        <v>865</v>
      </c>
      <c r="C10356" t="s">
        <v>12607</v>
      </c>
      <c r="D10356" t="s">
        <v>12988</v>
      </c>
      <c r="E10356" t="s">
        <v>22088</v>
      </c>
      <c r="F10356" t="s">
        <v>22436</v>
      </c>
      <c r="G10356" t="s">
        <v>22444</v>
      </c>
      <c r="H10356" t="s">
        <v>22452</v>
      </c>
      <c r="I10356" t="s">
        <v>22456</v>
      </c>
      <c r="J10356" t="s">
        <v>22614</v>
      </c>
      <c r="K10356" t="s">
        <v>29335</v>
      </c>
      <c r="M10356" t="s">
        <v>30472</v>
      </c>
      <c r="N10356" t="s">
        <v>32524</v>
      </c>
      <c r="O10356" t="s">
        <v>32525</v>
      </c>
      <c r="Q10356">
        <v>21</v>
      </c>
      <c r="R10356" t="s">
        <v>32539</v>
      </c>
      <c r="S10356" t="s">
        <v>33090</v>
      </c>
      <c r="T10356" t="s">
        <v>33168</v>
      </c>
      <c r="U10356" t="s">
        <v>40170</v>
      </c>
      <c r="V10356" t="s">
        <v>43622</v>
      </c>
      <c r="W10356" t="s">
        <v>30472</v>
      </c>
      <c r="X10356" t="s">
        <v>32540</v>
      </c>
    </row>
    <row r="10357" spans="1:24">
      <c r="A10357">
        <f>HYPERLINK("https://www.philgeps.gov.ph/GEPSNONPILOT/Tender/SplashBidNoticeAbstractUI.aspx?menuIndex=3&amp;refID=7023990&amp;Result=3","7023990")</f>
        <v>0</v>
      </c>
      <c r="B10357" t="s">
        <v>2499</v>
      </c>
      <c r="C10357" t="s">
        <v>12608</v>
      </c>
      <c r="D10357" t="s">
        <v>13058</v>
      </c>
      <c r="E10357" t="s">
        <v>22089</v>
      </c>
      <c r="F10357" t="s">
        <v>22436</v>
      </c>
      <c r="G10357" t="s">
        <v>22444</v>
      </c>
      <c r="H10357" t="s">
        <v>22454</v>
      </c>
      <c r="I10357" t="s">
        <v>7738</v>
      </c>
      <c r="J10357" t="s">
        <v>22877</v>
      </c>
      <c r="K10357" t="s">
        <v>29334</v>
      </c>
      <c r="M10357" t="s">
        <v>32305</v>
      </c>
      <c r="N10357" t="s">
        <v>32524</v>
      </c>
      <c r="O10357" t="s">
        <v>32525</v>
      </c>
      <c r="P10357">
        <v>0</v>
      </c>
      <c r="Q10357">
        <v>0</v>
      </c>
      <c r="R10357" t="s">
        <v>32539</v>
      </c>
      <c r="S10357" t="s">
        <v>33010</v>
      </c>
      <c r="T10357" t="s">
        <v>33230</v>
      </c>
      <c r="U10357" t="s">
        <v>42132</v>
      </c>
      <c r="W10357" t="s">
        <v>32305</v>
      </c>
      <c r="X10357" t="s">
        <v>32540</v>
      </c>
    </row>
    <row r="10358" spans="1:24">
      <c r="A10358">
        <f>HYPERLINK("https://www.philgeps.gov.ph/GEPSNONPILOT/Tender/SplashBidNoticeAbstractUI.aspx?menuIndex=3&amp;refID=7024002&amp;Result=3","7024002")</f>
        <v>0</v>
      </c>
      <c r="B10358" t="s">
        <v>2499</v>
      </c>
      <c r="C10358" t="s">
        <v>12609</v>
      </c>
      <c r="D10358" t="s">
        <v>13058</v>
      </c>
      <c r="E10358" t="s">
        <v>22090</v>
      </c>
      <c r="F10358" t="s">
        <v>22436</v>
      </c>
      <c r="G10358" t="s">
        <v>22444</v>
      </c>
      <c r="H10358" t="s">
        <v>22454</v>
      </c>
      <c r="I10358" t="s">
        <v>7738</v>
      </c>
      <c r="J10358" t="s">
        <v>29102</v>
      </c>
      <c r="K10358" t="s">
        <v>29333</v>
      </c>
      <c r="M10358" t="s">
        <v>32305</v>
      </c>
      <c r="N10358" t="s">
        <v>32524</v>
      </c>
      <c r="O10358" t="s">
        <v>32525</v>
      </c>
      <c r="P10358">
        <v>0</v>
      </c>
      <c r="Q10358">
        <v>0</v>
      </c>
      <c r="R10358" t="s">
        <v>32539</v>
      </c>
      <c r="S10358" t="s">
        <v>33010</v>
      </c>
      <c r="T10358" t="s">
        <v>33230</v>
      </c>
      <c r="U10358" t="s">
        <v>42133</v>
      </c>
      <c r="W10358" t="s">
        <v>32305</v>
      </c>
      <c r="X10358" t="s">
        <v>32540</v>
      </c>
    </row>
    <row r="10359" spans="1:24">
      <c r="A10359">
        <f>HYPERLINK("https://www.philgeps.gov.ph/GEPSNONPILOT/Tender/SplashBidNoticeAbstractUI.aspx?menuIndex=3&amp;refID=7024030&amp;Result=3","7024030")</f>
        <v>0</v>
      </c>
      <c r="B10359" t="s">
        <v>1923</v>
      </c>
      <c r="C10359" t="s">
        <v>12610</v>
      </c>
      <c r="D10359" t="s">
        <v>13060</v>
      </c>
      <c r="E10359" t="s">
        <v>22091</v>
      </c>
      <c r="F10359" t="s">
        <v>22436</v>
      </c>
      <c r="G10359" t="s">
        <v>22444</v>
      </c>
      <c r="H10359" t="s">
        <v>22454</v>
      </c>
      <c r="I10359" t="s">
        <v>7738</v>
      </c>
      <c r="J10359" t="s">
        <v>25635</v>
      </c>
      <c r="K10359" t="s">
        <v>29333</v>
      </c>
      <c r="M10359" t="s">
        <v>31651</v>
      </c>
      <c r="N10359" t="s">
        <v>32524</v>
      </c>
      <c r="O10359" t="s">
        <v>32525</v>
      </c>
      <c r="P10359">
        <v>0</v>
      </c>
      <c r="Q10359">
        <v>0</v>
      </c>
      <c r="R10359" t="s">
        <v>32539</v>
      </c>
      <c r="S10359" t="s">
        <v>33010</v>
      </c>
      <c r="T10359" t="s">
        <v>33216</v>
      </c>
      <c r="U10359" t="s">
        <v>42134</v>
      </c>
      <c r="W10359" t="s">
        <v>31651</v>
      </c>
      <c r="X10359" t="s">
        <v>32540</v>
      </c>
    </row>
    <row r="10360" spans="1:24">
      <c r="A10360">
        <f>HYPERLINK("https://www.philgeps.gov.ph/GEPSNONPILOT/Tender/SplashBidNoticeAbstractUI.aspx?menuIndex=3&amp;refID=7024024&amp;Result=3","7024024")</f>
        <v>0</v>
      </c>
      <c r="B10360" t="s">
        <v>1864</v>
      </c>
      <c r="C10360" t="s">
        <v>12611</v>
      </c>
      <c r="D10360" t="s">
        <v>13002</v>
      </c>
      <c r="E10360" t="s">
        <v>22092</v>
      </c>
      <c r="F10360" t="s">
        <v>22436</v>
      </c>
      <c r="G10360" t="s">
        <v>22444</v>
      </c>
      <c r="H10360" t="s">
        <v>22454</v>
      </c>
      <c r="I10360" t="s">
        <v>7738</v>
      </c>
      <c r="J10360" t="s">
        <v>29103</v>
      </c>
      <c r="K10360" t="s">
        <v>29344</v>
      </c>
      <c r="M10360" t="s">
        <v>31582</v>
      </c>
      <c r="N10360" t="s">
        <v>32524</v>
      </c>
      <c r="O10360" t="s">
        <v>32525</v>
      </c>
      <c r="P10360">
        <v>0</v>
      </c>
      <c r="Q10360">
        <v>0</v>
      </c>
      <c r="R10360" t="s">
        <v>32539</v>
      </c>
      <c r="S10360" t="s">
        <v>33010</v>
      </c>
      <c r="T10360" t="s">
        <v>33617</v>
      </c>
      <c r="U10360" t="s">
        <v>38496</v>
      </c>
      <c r="V10360" t="s">
        <v>43065</v>
      </c>
      <c r="W10360" t="s">
        <v>31582</v>
      </c>
      <c r="X10360" t="s">
        <v>32540</v>
      </c>
    </row>
    <row r="10361" spans="1:24">
      <c r="A10361">
        <f>HYPERLINK("https://www.philgeps.gov.ph/GEPSNONPILOT/Tender/SplashBidNoticeAbstractUI.aspx?menuIndex=3&amp;refID=7024078&amp;Result=3","7024078")</f>
        <v>0</v>
      </c>
      <c r="B10361" t="s">
        <v>121</v>
      </c>
      <c r="C10361" t="s">
        <v>12612</v>
      </c>
      <c r="D10361" t="s">
        <v>13034</v>
      </c>
      <c r="E10361" t="s">
        <v>22093</v>
      </c>
      <c r="F10361" t="s">
        <v>22436</v>
      </c>
      <c r="G10361" t="s">
        <v>22444</v>
      </c>
      <c r="H10361" t="s">
        <v>22452</v>
      </c>
      <c r="I10361" t="s">
        <v>22458</v>
      </c>
      <c r="J10361" t="s">
        <v>22640</v>
      </c>
      <c r="K10361" t="s">
        <v>29333</v>
      </c>
      <c r="M10361" t="s">
        <v>32476</v>
      </c>
      <c r="N10361" t="s">
        <v>32524</v>
      </c>
      <c r="O10361" t="s">
        <v>32525</v>
      </c>
      <c r="P10361">
        <v>0</v>
      </c>
      <c r="Q10361">
        <v>4</v>
      </c>
      <c r="R10361" t="s">
        <v>32539</v>
      </c>
      <c r="S10361" t="s">
        <v>33010</v>
      </c>
      <c r="T10361" t="s">
        <v>33302</v>
      </c>
      <c r="U10361" t="s">
        <v>42135</v>
      </c>
      <c r="V10361" t="s">
        <v>42461</v>
      </c>
      <c r="W10361" t="s">
        <v>32476</v>
      </c>
      <c r="X10361" t="s">
        <v>32540</v>
      </c>
    </row>
    <row r="10362" spans="1:24">
      <c r="A10362">
        <f>HYPERLINK("https://www.philgeps.gov.ph/GEPSNONPILOT/Tender/SplashBidNoticeAbstractUI.aspx?menuIndex=3&amp;refID=7024011&amp;Result=3","7024011")</f>
        <v>0</v>
      </c>
      <c r="B10362" t="s">
        <v>865</v>
      </c>
      <c r="C10362" t="s">
        <v>12613</v>
      </c>
      <c r="D10362" t="s">
        <v>12988</v>
      </c>
      <c r="E10362" t="s">
        <v>22094</v>
      </c>
      <c r="F10362" t="s">
        <v>22436</v>
      </c>
      <c r="G10362" t="s">
        <v>22444</v>
      </c>
      <c r="H10362" t="s">
        <v>22452</v>
      </c>
      <c r="I10362" t="s">
        <v>22529</v>
      </c>
      <c r="J10362" t="s">
        <v>22669</v>
      </c>
      <c r="K10362" t="s">
        <v>29335</v>
      </c>
      <c r="M10362" t="s">
        <v>30472</v>
      </c>
      <c r="N10362" t="s">
        <v>32524</v>
      </c>
      <c r="O10362" t="s">
        <v>32525</v>
      </c>
      <c r="Q10362">
        <v>4</v>
      </c>
      <c r="R10362" t="s">
        <v>32539</v>
      </c>
      <c r="S10362" t="s">
        <v>33091</v>
      </c>
      <c r="T10362" t="s">
        <v>33168</v>
      </c>
      <c r="U10362" t="s">
        <v>40170</v>
      </c>
      <c r="V10362" t="s">
        <v>43622</v>
      </c>
      <c r="W10362" t="s">
        <v>30472</v>
      </c>
      <c r="X10362" t="s">
        <v>32540</v>
      </c>
    </row>
    <row r="10363" spans="1:24">
      <c r="A10363">
        <f>HYPERLINK("https://www.philgeps.gov.ph/GEPSNONPILOT/Tender/SplashBidNoticeAbstractUI.aspx?menuIndex=3&amp;refID=7024017&amp;Result=3","7024017")</f>
        <v>0</v>
      </c>
      <c r="B10363" t="s">
        <v>1008</v>
      </c>
      <c r="C10363" t="s">
        <v>12614</v>
      </c>
      <c r="D10363" t="s">
        <v>13037</v>
      </c>
      <c r="E10363" t="s">
        <v>22095</v>
      </c>
      <c r="F10363" t="s">
        <v>22436</v>
      </c>
      <c r="G10363" t="s">
        <v>22449</v>
      </c>
      <c r="H10363" t="s">
        <v>22455</v>
      </c>
      <c r="I10363" t="s">
        <v>22455</v>
      </c>
      <c r="J10363" t="s">
        <v>25081</v>
      </c>
      <c r="K10363" t="s">
        <v>29335</v>
      </c>
      <c r="M10363" t="s">
        <v>30636</v>
      </c>
      <c r="N10363" t="s">
        <v>32524</v>
      </c>
      <c r="O10363" t="s">
        <v>32525</v>
      </c>
      <c r="P10363">
        <v>0</v>
      </c>
      <c r="Q10363">
        <v>3</v>
      </c>
      <c r="R10363" t="s">
        <v>32539</v>
      </c>
      <c r="S10363" t="s">
        <v>33010</v>
      </c>
      <c r="T10363" t="s">
        <v>33249</v>
      </c>
      <c r="U10363" t="s">
        <v>35903</v>
      </c>
      <c r="W10363" t="s">
        <v>30636</v>
      </c>
      <c r="X10363" t="s">
        <v>32540</v>
      </c>
    </row>
    <row r="10364" spans="1:24">
      <c r="A10364">
        <f>HYPERLINK("https://www.philgeps.gov.ph/GEPSNONPILOT/Tender/SplashBidNoticeAbstractUI.aspx?menuIndex=3&amp;refID=7024021&amp;Result=3","7024021")</f>
        <v>0</v>
      </c>
      <c r="B10364" t="s">
        <v>1136</v>
      </c>
      <c r="C10364" t="s">
        <v>12615</v>
      </c>
      <c r="D10364" t="s">
        <v>13019</v>
      </c>
      <c r="E10364" t="s">
        <v>22096</v>
      </c>
      <c r="F10364" t="s">
        <v>22436</v>
      </c>
      <c r="G10364" t="s">
        <v>22444</v>
      </c>
      <c r="H10364" t="s">
        <v>22454</v>
      </c>
      <c r="I10364" t="s">
        <v>7738</v>
      </c>
      <c r="J10364" t="s">
        <v>29104</v>
      </c>
      <c r="K10364" t="s">
        <v>29390</v>
      </c>
      <c r="M10364" t="s">
        <v>30776</v>
      </c>
      <c r="N10364" t="s">
        <v>32524</v>
      </c>
      <c r="O10364" t="s">
        <v>32525</v>
      </c>
      <c r="Q10364">
        <v>0</v>
      </c>
      <c r="R10364" t="s">
        <v>32539</v>
      </c>
      <c r="S10364" t="s">
        <v>33092</v>
      </c>
      <c r="T10364" t="s">
        <v>33155</v>
      </c>
      <c r="U10364" t="s">
        <v>42136</v>
      </c>
      <c r="W10364" t="s">
        <v>30776</v>
      </c>
      <c r="X10364" t="s">
        <v>32540</v>
      </c>
    </row>
    <row r="10365" spans="1:24">
      <c r="A10365">
        <f>HYPERLINK("https://www.philgeps.gov.ph/GEPSNONPILOT/Tender/SplashBidNoticeAbstractUI.aspx?menuIndex=3&amp;refID=7024071&amp;Result=3","7024071")</f>
        <v>0</v>
      </c>
      <c r="B10365" t="s">
        <v>180</v>
      </c>
      <c r="C10365" t="s">
        <v>12616</v>
      </c>
      <c r="D10365" t="s">
        <v>13026</v>
      </c>
      <c r="E10365" t="s">
        <v>22097</v>
      </c>
      <c r="F10365" t="s">
        <v>22436</v>
      </c>
      <c r="G10365" t="s">
        <v>22444</v>
      </c>
      <c r="H10365" t="s">
        <v>22452</v>
      </c>
      <c r="I10365" t="s">
        <v>3381</v>
      </c>
      <c r="J10365" t="s">
        <v>24895</v>
      </c>
      <c r="K10365" t="s">
        <v>29335</v>
      </c>
      <c r="M10365" t="s">
        <v>32450</v>
      </c>
      <c r="N10365" t="s">
        <v>32524</v>
      </c>
      <c r="O10365" t="s">
        <v>32525</v>
      </c>
      <c r="P10365">
        <v>0</v>
      </c>
      <c r="Q10365">
        <v>5</v>
      </c>
      <c r="R10365" t="s">
        <v>32539</v>
      </c>
      <c r="S10365" t="s">
        <v>33010</v>
      </c>
      <c r="T10365" t="s">
        <v>33211</v>
      </c>
      <c r="U10365" t="s">
        <v>42137</v>
      </c>
      <c r="W10365" t="s">
        <v>32450</v>
      </c>
      <c r="X10365" t="s">
        <v>32540</v>
      </c>
    </row>
    <row r="10366" spans="1:24">
      <c r="A10366">
        <f>HYPERLINK("https://www.philgeps.gov.ph/GEPSNONPILOT/Tender/SplashBidNoticeAbstractUI.aspx?menuIndex=3&amp;refID=7024062&amp;Result=3","7024062")</f>
        <v>0</v>
      </c>
      <c r="B10366" t="s">
        <v>1136</v>
      </c>
      <c r="C10366" t="s">
        <v>12617</v>
      </c>
      <c r="D10366" t="s">
        <v>13019</v>
      </c>
      <c r="E10366" t="s">
        <v>22098</v>
      </c>
      <c r="F10366" t="s">
        <v>22436</v>
      </c>
      <c r="G10366" t="s">
        <v>22444</v>
      </c>
      <c r="H10366" t="s">
        <v>22454</v>
      </c>
      <c r="I10366" t="s">
        <v>7738</v>
      </c>
      <c r="J10366" t="s">
        <v>29105</v>
      </c>
      <c r="K10366" t="s">
        <v>29413</v>
      </c>
      <c r="M10366" t="s">
        <v>30776</v>
      </c>
      <c r="N10366" t="s">
        <v>32524</v>
      </c>
      <c r="O10366" t="s">
        <v>32525</v>
      </c>
      <c r="Q10366">
        <v>0</v>
      </c>
      <c r="R10366" t="s">
        <v>32539</v>
      </c>
      <c r="S10366" t="s">
        <v>33093</v>
      </c>
      <c r="T10366" t="s">
        <v>33155</v>
      </c>
      <c r="U10366" t="s">
        <v>42138</v>
      </c>
      <c r="W10366" t="s">
        <v>30776</v>
      </c>
      <c r="X10366" t="s">
        <v>32540</v>
      </c>
    </row>
    <row r="10367" spans="1:24">
      <c r="A10367">
        <f>HYPERLINK("https://www.philgeps.gov.ph/GEPSNONPILOT/Tender/SplashBidNoticeAbstractUI.aspx?menuIndex=3&amp;refID=7024001&amp;Result=3","7024001")</f>
        <v>0</v>
      </c>
      <c r="B10367" t="s">
        <v>865</v>
      </c>
      <c r="C10367" t="s">
        <v>12618</v>
      </c>
      <c r="D10367" t="s">
        <v>12988</v>
      </c>
      <c r="E10367" t="s">
        <v>22099</v>
      </c>
      <c r="F10367" t="s">
        <v>22436</v>
      </c>
      <c r="G10367" t="s">
        <v>22444</v>
      </c>
      <c r="H10367" t="s">
        <v>22452</v>
      </c>
      <c r="I10367" t="s">
        <v>22545</v>
      </c>
      <c r="J10367" t="s">
        <v>22634</v>
      </c>
      <c r="K10367" t="s">
        <v>29345</v>
      </c>
      <c r="M10367" t="s">
        <v>30472</v>
      </c>
      <c r="N10367" t="s">
        <v>32524</v>
      </c>
      <c r="O10367" t="s">
        <v>32525</v>
      </c>
      <c r="Q10367">
        <v>13</v>
      </c>
      <c r="R10367" t="s">
        <v>32539</v>
      </c>
      <c r="S10367" t="s">
        <v>33094</v>
      </c>
      <c r="T10367" t="s">
        <v>33168</v>
      </c>
      <c r="U10367" t="s">
        <v>40170</v>
      </c>
      <c r="V10367" t="s">
        <v>43622</v>
      </c>
      <c r="W10367" t="s">
        <v>30472</v>
      </c>
      <c r="X10367" t="s">
        <v>32540</v>
      </c>
    </row>
    <row r="10368" spans="1:24">
      <c r="A10368">
        <f>HYPERLINK("https://www.philgeps.gov.ph/GEPSNONPILOT/Tender/SplashBidNoticeAbstractUI.aspx?menuIndex=3&amp;refID=7024046&amp;Result=3","7024046")</f>
        <v>0</v>
      </c>
      <c r="B10368" t="s">
        <v>1136</v>
      </c>
      <c r="C10368" t="s">
        <v>12619</v>
      </c>
      <c r="D10368" t="s">
        <v>13019</v>
      </c>
      <c r="E10368" t="s">
        <v>22100</v>
      </c>
      <c r="F10368" t="s">
        <v>22436</v>
      </c>
      <c r="G10368" t="s">
        <v>22444</v>
      </c>
      <c r="H10368" t="s">
        <v>22454</v>
      </c>
      <c r="I10368" t="s">
        <v>7738</v>
      </c>
      <c r="J10368" t="s">
        <v>29106</v>
      </c>
      <c r="K10368" t="s">
        <v>29384</v>
      </c>
      <c r="M10368" t="s">
        <v>30776</v>
      </c>
      <c r="N10368" t="s">
        <v>32524</v>
      </c>
      <c r="O10368" t="s">
        <v>32525</v>
      </c>
      <c r="Q10368">
        <v>0</v>
      </c>
      <c r="R10368" t="s">
        <v>32539</v>
      </c>
      <c r="S10368" t="s">
        <v>33095</v>
      </c>
      <c r="T10368" t="s">
        <v>33155</v>
      </c>
      <c r="U10368" t="s">
        <v>42139</v>
      </c>
      <c r="W10368" t="s">
        <v>30776</v>
      </c>
      <c r="X10368" t="s">
        <v>32540</v>
      </c>
    </row>
    <row r="10369" spans="1:24">
      <c r="A10369">
        <f>HYPERLINK("https://www.philgeps.gov.ph/GEPSNONPILOT/Tender/SplashBidNoticeAbstractUI.aspx?menuIndex=3&amp;refID=7024019&amp;Result=3","7024019")</f>
        <v>0</v>
      </c>
      <c r="B10369" t="s">
        <v>865</v>
      </c>
      <c r="C10369" t="s">
        <v>12620</v>
      </c>
      <c r="D10369" t="s">
        <v>12988</v>
      </c>
      <c r="E10369" t="s">
        <v>22101</v>
      </c>
      <c r="F10369" t="s">
        <v>22436</v>
      </c>
      <c r="G10369" t="s">
        <v>22444</v>
      </c>
      <c r="H10369" t="s">
        <v>22452</v>
      </c>
      <c r="I10369" t="s">
        <v>22529</v>
      </c>
      <c r="J10369" t="s">
        <v>22970</v>
      </c>
      <c r="K10369" t="s">
        <v>29335</v>
      </c>
      <c r="M10369" t="s">
        <v>30472</v>
      </c>
      <c r="N10369" t="s">
        <v>32524</v>
      </c>
      <c r="O10369" t="s">
        <v>32525</v>
      </c>
      <c r="P10369">
        <v>0</v>
      </c>
      <c r="Q10369">
        <v>4</v>
      </c>
      <c r="R10369" t="s">
        <v>32539</v>
      </c>
      <c r="S10369" t="s">
        <v>33010</v>
      </c>
      <c r="T10369" t="s">
        <v>33168</v>
      </c>
      <c r="U10369" t="s">
        <v>40170</v>
      </c>
      <c r="V10369" t="s">
        <v>43622</v>
      </c>
      <c r="W10369" t="s">
        <v>30472</v>
      </c>
      <c r="X10369" t="s">
        <v>32540</v>
      </c>
    </row>
    <row r="10370" spans="1:24">
      <c r="A10370">
        <f>HYPERLINK("https://www.philgeps.gov.ph/GEPSNONPILOT/Tender/SplashBidNoticeAbstractUI.aspx?menuIndex=3&amp;refID=7024041&amp;Result=3","7024041")</f>
        <v>0</v>
      </c>
      <c r="B10370" t="s">
        <v>2641</v>
      </c>
      <c r="C10370" t="s">
        <v>12621</v>
      </c>
      <c r="D10370" t="s">
        <v>13038</v>
      </c>
      <c r="E10370" t="s">
        <v>22102</v>
      </c>
      <c r="F10370" t="s">
        <v>22436</v>
      </c>
      <c r="G10370" t="s">
        <v>22444</v>
      </c>
      <c r="H10370" t="s">
        <v>22452</v>
      </c>
      <c r="I10370" t="s">
        <v>22502</v>
      </c>
      <c r="J10370" t="s">
        <v>22587</v>
      </c>
      <c r="K10370" t="s">
        <v>29344</v>
      </c>
      <c r="M10370" t="s">
        <v>32477</v>
      </c>
      <c r="N10370" t="s">
        <v>32524</v>
      </c>
      <c r="O10370" t="s">
        <v>32525</v>
      </c>
      <c r="Q10370">
        <v>36</v>
      </c>
      <c r="R10370" t="s">
        <v>32539</v>
      </c>
      <c r="S10370" t="s">
        <v>33096</v>
      </c>
      <c r="T10370" t="s">
        <v>33594</v>
      </c>
      <c r="U10370" t="s">
        <v>42140</v>
      </c>
      <c r="W10370" t="s">
        <v>43773</v>
      </c>
      <c r="X10370" t="s">
        <v>32540</v>
      </c>
    </row>
    <row r="10371" spans="1:24">
      <c r="A10371">
        <f>HYPERLINK("https://www.philgeps.gov.ph/GEPSNONPILOT/Tender/SplashBidNoticeAbstractUI.aspx?menuIndex=3&amp;refID=7024043&amp;Result=3","7024043")</f>
        <v>0</v>
      </c>
      <c r="B10371" t="s">
        <v>1022</v>
      </c>
      <c r="C10371" t="s">
        <v>12622</v>
      </c>
      <c r="D10371" t="s">
        <v>13006</v>
      </c>
      <c r="E10371" t="s">
        <v>22103</v>
      </c>
      <c r="F10371" t="s">
        <v>22436</v>
      </c>
      <c r="G10371" t="s">
        <v>22444</v>
      </c>
      <c r="H10371" t="s">
        <v>22454</v>
      </c>
      <c r="I10371" t="s">
        <v>7738</v>
      </c>
      <c r="J10371" t="s">
        <v>29107</v>
      </c>
      <c r="K10371" t="s">
        <v>29440</v>
      </c>
      <c r="M10371" t="s">
        <v>32478</v>
      </c>
      <c r="N10371" t="s">
        <v>32524</v>
      </c>
      <c r="O10371" t="s">
        <v>32525</v>
      </c>
      <c r="P10371">
        <v>0</v>
      </c>
      <c r="Q10371">
        <v>3</v>
      </c>
      <c r="R10371" t="s">
        <v>32539</v>
      </c>
      <c r="S10371" t="s">
        <v>33010</v>
      </c>
      <c r="T10371" t="s">
        <v>33230</v>
      </c>
      <c r="U10371" t="s">
        <v>42141</v>
      </c>
      <c r="V10371" t="s">
        <v>43623</v>
      </c>
      <c r="W10371" t="s">
        <v>32478</v>
      </c>
      <c r="X10371" t="s">
        <v>32540</v>
      </c>
    </row>
    <row r="10372" spans="1:24">
      <c r="A10372">
        <f>HYPERLINK("https://www.philgeps.gov.ph/GEPSNONPILOT/Tender/SplashBidNoticeAbstractUI.aspx?menuIndex=3&amp;refID=7024087&amp;Result=3","7024087")</f>
        <v>0</v>
      </c>
      <c r="B10372" t="s">
        <v>121</v>
      </c>
      <c r="C10372" t="s">
        <v>12623</v>
      </c>
      <c r="D10372" t="s">
        <v>13034</v>
      </c>
      <c r="E10372" t="s">
        <v>22104</v>
      </c>
      <c r="F10372" t="s">
        <v>22436</v>
      </c>
      <c r="G10372" t="s">
        <v>22444</v>
      </c>
      <c r="H10372" t="s">
        <v>22452</v>
      </c>
      <c r="I10372" t="s">
        <v>22458</v>
      </c>
      <c r="J10372" t="s">
        <v>23356</v>
      </c>
      <c r="K10372" t="s">
        <v>29333</v>
      </c>
      <c r="M10372" t="s">
        <v>32476</v>
      </c>
      <c r="N10372" t="s">
        <v>32524</v>
      </c>
      <c r="O10372" t="s">
        <v>32525</v>
      </c>
      <c r="P10372">
        <v>0</v>
      </c>
      <c r="Q10372">
        <v>8</v>
      </c>
      <c r="R10372" t="s">
        <v>32539</v>
      </c>
      <c r="S10372" t="s">
        <v>33010</v>
      </c>
      <c r="T10372" t="s">
        <v>33302</v>
      </c>
      <c r="U10372" t="s">
        <v>42142</v>
      </c>
      <c r="V10372" t="s">
        <v>42461</v>
      </c>
      <c r="W10372" t="s">
        <v>32476</v>
      </c>
      <c r="X10372" t="s">
        <v>32540</v>
      </c>
    </row>
    <row r="10373" spans="1:24">
      <c r="A10373">
        <f>HYPERLINK("https://www.philgeps.gov.ph/GEPSNONPILOT/Tender/SplashBidNoticeAbstractUI.aspx?menuIndex=3&amp;refID=7024085&amp;Result=3","7024085")</f>
        <v>0</v>
      </c>
      <c r="B10373" t="s">
        <v>1144</v>
      </c>
      <c r="C10373" t="s">
        <v>12624</v>
      </c>
      <c r="D10373" t="s">
        <v>13002</v>
      </c>
      <c r="E10373" t="s">
        <v>22105</v>
      </c>
      <c r="F10373" t="s">
        <v>22436</v>
      </c>
      <c r="G10373" t="s">
        <v>22444</v>
      </c>
      <c r="H10373" t="s">
        <v>22452</v>
      </c>
      <c r="I10373" t="s">
        <v>22461</v>
      </c>
      <c r="J10373" t="s">
        <v>29108</v>
      </c>
      <c r="K10373" t="s">
        <v>29335</v>
      </c>
      <c r="M10373" t="s">
        <v>30787</v>
      </c>
      <c r="N10373" t="s">
        <v>32524</v>
      </c>
      <c r="O10373" t="s">
        <v>32525</v>
      </c>
      <c r="P10373">
        <v>0</v>
      </c>
      <c r="Q10373">
        <v>2</v>
      </c>
      <c r="R10373" t="s">
        <v>32539</v>
      </c>
      <c r="S10373" t="s">
        <v>33010</v>
      </c>
      <c r="T10373" t="s">
        <v>33175</v>
      </c>
      <c r="U10373" t="s">
        <v>42143</v>
      </c>
      <c r="W10373" t="s">
        <v>43707</v>
      </c>
      <c r="X10373" t="s">
        <v>32540</v>
      </c>
    </row>
    <row r="10374" spans="1:24">
      <c r="A10374">
        <f>HYPERLINK("https://www.philgeps.gov.ph/GEPSNONPILOT/Tender/SplashBidNoticeAbstractUI.aspx?menuIndex=3&amp;refID=7024033&amp;Result=3","7024033")</f>
        <v>0</v>
      </c>
      <c r="B10374" t="s">
        <v>1022</v>
      </c>
      <c r="C10374" t="s">
        <v>12625</v>
      </c>
      <c r="D10374" t="s">
        <v>13006</v>
      </c>
      <c r="E10374" t="s">
        <v>22106</v>
      </c>
      <c r="F10374" t="s">
        <v>22436</v>
      </c>
      <c r="G10374" t="s">
        <v>22444</v>
      </c>
      <c r="H10374" t="s">
        <v>22454</v>
      </c>
      <c r="I10374" t="s">
        <v>7738</v>
      </c>
      <c r="J10374" t="s">
        <v>25355</v>
      </c>
      <c r="K10374" t="s">
        <v>29587</v>
      </c>
      <c r="M10374" t="s">
        <v>32478</v>
      </c>
      <c r="N10374" t="s">
        <v>32524</v>
      </c>
      <c r="O10374" t="s">
        <v>32525</v>
      </c>
      <c r="P10374">
        <v>0</v>
      </c>
      <c r="Q10374">
        <v>2</v>
      </c>
      <c r="R10374" t="s">
        <v>32539</v>
      </c>
      <c r="S10374" t="s">
        <v>33010</v>
      </c>
      <c r="T10374" t="s">
        <v>33230</v>
      </c>
      <c r="U10374" t="s">
        <v>42141</v>
      </c>
      <c r="V10374" t="s">
        <v>43624</v>
      </c>
      <c r="W10374" t="s">
        <v>32478</v>
      </c>
      <c r="X10374" t="s">
        <v>32540</v>
      </c>
    </row>
    <row r="10375" spans="1:24">
      <c r="A10375">
        <f>HYPERLINK("https://www.philgeps.gov.ph/GEPSNONPILOT/Tender/SplashBidNoticeAbstractUI.aspx?menuIndex=3&amp;refID=7024034&amp;Result=3","7024034")</f>
        <v>0</v>
      </c>
      <c r="B10375" t="s">
        <v>2182</v>
      </c>
      <c r="C10375" t="s">
        <v>12626</v>
      </c>
      <c r="D10375" t="s">
        <v>12995</v>
      </c>
      <c r="E10375" t="s">
        <v>22107</v>
      </c>
      <c r="F10375" t="s">
        <v>22436</v>
      </c>
      <c r="G10375" t="s">
        <v>22444</v>
      </c>
      <c r="H10375" t="s">
        <v>22452</v>
      </c>
      <c r="I10375" t="s">
        <v>22560</v>
      </c>
      <c r="J10375" t="s">
        <v>25393</v>
      </c>
      <c r="K10375" t="s">
        <v>29341</v>
      </c>
      <c r="M10375" t="s">
        <v>31944</v>
      </c>
      <c r="N10375" t="s">
        <v>32524</v>
      </c>
      <c r="O10375" t="s">
        <v>32525</v>
      </c>
      <c r="Q10375">
        <v>8</v>
      </c>
      <c r="R10375" t="s">
        <v>32539</v>
      </c>
      <c r="S10375" t="s">
        <v>33097</v>
      </c>
      <c r="T10375" t="s">
        <v>33358</v>
      </c>
      <c r="U10375" t="s">
        <v>42144</v>
      </c>
      <c r="W10375" t="s">
        <v>31944</v>
      </c>
      <c r="X10375" t="s">
        <v>32540</v>
      </c>
    </row>
    <row r="10376" spans="1:24">
      <c r="A10376">
        <f>HYPERLINK("https://www.philgeps.gov.ph/GEPSNONPILOT/Tender/SplashBidNoticeAbstractUI.aspx?menuIndex=3&amp;refID=7024036&amp;Result=3","7024036")</f>
        <v>0</v>
      </c>
      <c r="B10376" t="s">
        <v>1521</v>
      </c>
      <c r="C10376" t="s">
        <v>12627</v>
      </c>
      <c r="D10376" t="s">
        <v>13066</v>
      </c>
      <c r="E10376" t="s">
        <v>22108</v>
      </c>
      <c r="F10376" t="s">
        <v>22441</v>
      </c>
      <c r="G10376" t="s">
        <v>22444</v>
      </c>
      <c r="H10376" t="s">
        <v>22452</v>
      </c>
      <c r="I10376" t="s">
        <v>3529</v>
      </c>
      <c r="J10376" t="s">
        <v>29109</v>
      </c>
      <c r="K10376" t="s">
        <v>29331</v>
      </c>
      <c r="M10376" t="s">
        <v>31196</v>
      </c>
      <c r="N10376" t="s">
        <v>32524</v>
      </c>
      <c r="O10376" t="s">
        <v>32525</v>
      </c>
      <c r="P10376">
        <v>0</v>
      </c>
      <c r="Q10376">
        <v>0</v>
      </c>
      <c r="R10376" t="s">
        <v>32539</v>
      </c>
      <c r="S10376" t="s">
        <v>33010</v>
      </c>
      <c r="T10376" t="s">
        <v>33304</v>
      </c>
      <c r="U10376" t="s">
        <v>42145</v>
      </c>
      <c r="W10376" t="s">
        <v>31196</v>
      </c>
      <c r="X10376" t="s">
        <v>32540</v>
      </c>
    </row>
    <row r="10377" spans="1:24">
      <c r="A10377">
        <f>HYPERLINK("https://www.philgeps.gov.ph/GEPSNONPILOT/Tender/SplashBidNoticeAbstractUI.aspx?menuIndex=3&amp;refID=7024094&amp;Result=3","7024094")</f>
        <v>0</v>
      </c>
      <c r="B10377" t="s">
        <v>1144</v>
      </c>
      <c r="C10377" t="s">
        <v>12628</v>
      </c>
      <c r="D10377" t="s">
        <v>13002</v>
      </c>
      <c r="E10377" t="s">
        <v>22109</v>
      </c>
      <c r="F10377" t="s">
        <v>22436</v>
      </c>
      <c r="G10377" t="s">
        <v>22444</v>
      </c>
      <c r="H10377" t="s">
        <v>22452</v>
      </c>
      <c r="I10377" t="s">
        <v>22461</v>
      </c>
      <c r="J10377" t="s">
        <v>29110</v>
      </c>
      <c r="K10377" t="s">
        <v>29335</v>
      </c>
      <c r="M10377" t="s">
        <v>30787</v>
      </c>
      <c r="N10377" t="s">
        <v>32524</v>
      </c>
      <c r="O10377" t="s">
        <v>32525</v>
      </c>
      <c r="P10377">
        <v>0</v>
      </c>
      <c r="Q10377">
        <v>3</v>
      </c>
      <c r="R10377" t="s">
        <v>32539</v>
      </c>
      <c r="S10377" t="s">
        <v>33010</v>
      </c>
      <c r="T10377" t="s">
        <v>33175</v>
      </c>
      <c r="U10377" t="s">
        <v>42146</v>
      </c>
      <c r="W10377" t="s">
        <v>43707</v>
      </c>
      <c r="X10377" t="s">
        <v>32540</v>
      </c>
    </row>
    <row r="10378" spans="1:24">
      <c r="A10378">
        <f>HYPERLINK("https://www.philgeps.gov.ph/GEPSNONPILOT/Tender/SplashBidNoticeAbstractUI.aspx?menuIndex=3&amp;refID=7024082&amp;Result=3","7024082")</f>
        <v>0</v>
      </c>
      <c r="B10378" t="s">
        <v>1523</v>
      </c>
      <c r="C10378" t="s">
        <v>12629</v>
      </c>
      <c r="D10378" t="s">
        <v>13037</v>
      </c>
      <c r="E10378" t="s">
        <v>22110</v>
      </c>
      <c r="F10378" t="s">
        <v>22436</v>
      </c>
      <c r="G10378" t="s">
        <v>22444</v>
      </c>
      <c r="H10378" t="s">
        <v>22454</v>
      </c>
      <c r="I10378" t="s">
        <v>7738</v>
      </c>
      <c r="J10378" t="s">
        <v>29111</v>
      </c>
      <c r="K10378" t="s">
        <v>29334</v>
      </c>
      <c r="M10378" t="s">
        <v>32479</v>
      </c>
      <c r="N10378" t="s">
        <v>32524</v>
      </c>
      <c r="O10378" t="s">
        <v>32525</v>
      </c>
      <c r="P10378">
        <v>0</v>
      </c>
      <c r="Q10378">
        <v>0</v>
      </c>
      <c r="R10378" t="s">
        <v>32539</v>
      </c>
      <c r="S10378" t="s">
        <v>33010</v>
      </c>
      <c r="T10378" t="s">
        <v>33181</v>
      </c>
      <c r="U10378" t="s">
        <v>37344</v>
      </c>
      <c r="W10378" t="s">
        <v>32479</v>
      </c>
      <c r="X10378" t="s">
        <v>32540</v>
      </c>
    </row>
    <row r="10379" spans="1:24">
      <c r="A10379">
        <f>HYPERLINK("https://www.philgeps.gov.ph/GEPSNONPILOT/Tender/SplashBidNoticeAbstractUI.aspx?menuIndex=3&amp;refID=7024100&amp;Result=3","7024100")</f>
        <v>0</v>
      </c>
      <c r="B10379" t="s">
        <v>121</v>
      </c>
      <c r="C10379" t="s">
        <v>12630</v>
      </c>
      <c r="D10379" t="s">
        <v>13034</v>
      </c>
      <c r="E10379" t="s">
        <v>22111</v>
      </c>
      <c r="F10379" t="s">
        <v>22436</v>
      </c>
      <c r="G10379" t="s">
        <v>22444</v>
      </c>
      <c r="H10379" t="s">
        <v>22452</v>
      </c>
      <c r="I10379" t="s">
        <v>22476</v>
      </c>
      <c r="J10379" t="s">
        <v>22607</v>
      </c>
      <c r="K10379" t="s">
        <v>29341</v>
      </c>
      <c r="M10379" t="s">
        <v>29693</v>
      </c>
      <c r="N10379" t="s">
        <v>32524</v>
      </c>
      <c r="O10379" t="s">
        <v>32525</v>
      </c>
      <c r="P10379">
        <v>0</v>
      </c>
      <c r="Q10379">
        <v>1</v>
      </c>
      <c r="R10379" t="s">
        <v>32539</v>
      </c>
      <c r="S10379" t="s">
        <v>33010</v>
      </c>
      <c r="T10379" t="s">
        <v>33302</v>
      </c>
      <c r="U10379" t="s">
        <v>42147</v>
      </c>
      <c r="V10379" t="s">
        <v>42461</v>
      </c>
      <c r="W10379" t="s">
        <v>29693</v>
      </c>
      <c r="X10379" t="s">
        <v>32540</v>
      </c>
    </row>
    <row r="10380" spans="1:24">
      <c r="A10380">
        <f>HYPERLINK("https://www.philgeps.gov.ph/GEPSNONPILOT/Tender/SplashBidNoticeAbstractUI.aspx?menuIndex=3&amp;refID=7024089&amp;Result=3","7024089")</f>
        <v>0</v>
      </c>
      <c r="B10380" t="s">
        <v>121</v>
      </c>
      <c r="C10380" t="s">
        <v>12631</v>
      </c>
      <c r="D10380" t="s">
        <v>13034</v>
      </c>
      <c r="E10380" t="s">
        <v>22112</v>
      </c>
      <c r="F10380" t="s">
        <v>22436</v>
      </c>
      <c r="G10380" t="s">
        <v>22444</v>
      </c>
      <c r="H10380" t="s">
        <v>22452</v>
      </c>
      <c r="I10380" t="s">
        <v>22462</v>
      </c>
      <c r="J10380" t="s">
        <v>29112</v>
      </c>
      <c r="K10380" t="s">
        <v>29341</v>
      </c>
      <c r="M10380" t="s">
        <v>29693</v>
      </c>
      <c r="N10380" t="s">
        <v>32524</v>
      </c>
      <c r="O10380" t="s">
        <v>32525</v>
      </c>
      <c r="P10380">
        <v>0</v>
      </c>
      <c r="Q10380">
        <v>2</v>
      </c>
      <c r="R10380" t="s">
        <v>32539</v>
      </c>
      <c r="S10380" t="s">
        <v>33010</v>
      </c>
      <c r="T10380" t="s">
        <v>33302</v>
      </c>
      <c r="U10380" t="s">
        <v>42148</v>
      </c>
      <c r="V10380" t="s">
        <v>42461</v>
      </c>
      <c r="W10380" t="s">
        <v>29693</v>
      </c>
      <c r="X10380" t="s">
        <v>32540</v>
      </c>
    </row>
    <row r="10381" spans="1:24">
      <c r="A10381">
        <f>HYPERLINK("https://www.philgeps.gov.ph/GEPSNONPILOT/Tender/SplashBidNoticeAbstractUI.aspx?menuIndex=3&amp;refID=7024186&amp;Result=3","7024186")</f>
        <v>0</v>
      </c>
      <c r="B10381" t="s">
        <v>1840</v>
      </c>
      <c r="C10381" t="s">
        <v>12632</v>
      </c>
      <c r="D10381" t="s">
        <v>13045</v>
      </c>
      <c r="E10381" t="s">
        <v>22113</v>
      </c>
      <c r="F10381" t="s">
        <v>22436</v>
      </c>
      <c r="G10381" t="s">
        <v>22450</v>
      </c>
      <c r="H10381" t="s">
        <v>22454</v>
      </c>
      <c r="I10381" t="s">
        <v>7738</v>
      </c>
      <c r="J10381" t="s">
        <v>29113</v>
      </c>
      <c r="K10381" t="s">
        <v>29526</v>
      </c>
      <c r="M10381" t="s">
        <v>31555</v>
      </c>
      <c r="N10381" t="s">
        <v>32524</v>
      </c>
      <c r="O10381" t="s">
        <v>32525</v>
      </c>
      <c r="Q10381">
        <v>4</v>
      </c>
      <c r="R10381" t="s">
        <v>32539</v>
      </c>
      <c r="S10381" t="s">
        <v>33098</v>
      </c>
      <c r="T10381" t="s">
        <v>33230</v>
      </c>
      <c r="U10381" t="s">
        <v>35712</v>
      </c>
      <c r="W10381" t="s">
        <v>31555</v>
      </c>
      <c r="X10381" t="s">
        <v>32540</v>
      </c>
    </row>
    <row r="10382" spans="1:24">
      <c r="A10382">
        <f>HYPERLINK("https://www.philgeps.gov.ph/GEPSNONPILOT/Tender/SplashBidNoticeAbstractUI.aspx?menuIndex=3&amp;refID=7024174&amp;Result=3","7024174")</f>
        <v>0</v>
      </c>
      <c r="B10382" t="s">
        <v>1840</v>
      </c>
      <c r="C10382" t="s">
        <v>12633</v>
      </c>
      <c r="D10382" t="s">
        <v>13045</v>
      </c>
      <c r="E10382" t="s">
        <v>22114</v>
      </c>
      <c r="F10382" t="s">
        <v>22436</v>
      </c>
      <c r="G10382" t="s">
        <v>22450</v>
      </c>
      <c r="H10382" t="s">
        <v>22454</v>
      </c>
      <c r="I10382" t="s">
        <v>7738</v>
      </c>
      <c r="J10382" t="s">
        <v>29114</v>
      </c>
      <c r="K10382" t="s">
        <v>29521</v>
      </c>
      <c r="M10382" t="s">
        <v>31555</v>
      </c>
      <c r="N10382" t="s">
        <v>32524</v>
      </c>
      <c r="O10382" t="s">
        <v>32525</v>
      </c>
      <c r="Q10382">
        <v>7</v>
      </c>
      <c r="R10382" t="s">
        <v>32539</v>
      </c>
      <c r="S10382" t="s">
        <v>33099</v>
      </c>
      <c r="T10382" t="s">
        <v>33230</v>
      </c>
      <c r="U10382" t="s">
        <v>35712</v>
      </c>
      <c r="W10382" t="s">
        <v>31555</v>
      </c>
      <c r="X10382" t="s">
        <v>32540</v>
      </c>
    </row>
    <row r="10383" spans="1:24">
      <c r="A10383">
        <f>HYPERLINK("https://www.philgeps.gov.ph/GEPSNONPILOT/Tender/SplashBidNoticeAbstractUI.aspx?menuIndex=3&amp;refID=7024099&amp;Result=3","7024099")</f>
        <v>0</v>
      </c>
      <c r="B10383" t="s">
        <v>1144</v>
      </c>
      <c r="C10383" t="s">
        <v>12634</v>
      </c>
      <c r="D10383" t="s">
        <v>13002</v>
      </c>
      <c r="E10383" t="s">
        <v>22115</v>
      </c>
      <c r="F10383" t="s">
        <v>22436</v>
      </c>
      <c r="G10383" t="s">
        <v>22444</v>
      </c>
      <c r="H10383" t="s">
        <v>22452</v>
      </c>
      <c r="I10383" t="s">
        <v>22461</v>
      </c>
      <c r="J10383" t="s">
        <v>29115</v>
      </c>
      <c r="K10383" t="s">
        <v>29335</v>
      </c>
      <c r="M10383" t="s">
        <v>30787</v>
      </c>
      <c r="N10383" t="s">
        <v>32524</v>
      </c>
      <c r="O10383" t="s">
        <v>32525</v>
      </c>
      <c r="P10383">
        <v>0</v>
      </c>
      <c r="Q10383">
        <v>0</v>
      </c>
      <c r="R10383" t="s">
        <v>32539</v>
      </c>
      <c r="S10383" t="s">
        <v>33010</v>
      </c>
      <c r="T10383" t="s">
        <v>33175</v>
      </c>
      <c r="U10383" t="s">
        <v>42149</v>
      </c>
      <c r="W10383" t="s">
        <v>43707</v>
      </c>
      <c r="X10383" t="s">
        <v>32540</v>
      </c>
    </row>
    <row r="10384" spans="1:24">
      <c r="A10384">
        <f>HYPERLINK("https://www.philgeps.gov.ph/GEPSNONPILOT/Tender/SplashBidNoticeAbstractUI.aspx?menuIndex=3&amp;refID=7024145&amp;Result=3","7024145")</f>
        <v>0</v>
      </c>
      <c r="B10384" t="s">
        <v>1144</v>
      </c>
      <c r="C10384" t="s">
        <v>12635</v>
      </c>
      <c r="D10384" t="s">
        <v>13002</v>
      </c>
      <c r="E10384" t="s">
        <v>22116</v>
      </c>
      <c r="F10384" t="s">
        <v>22436</v>
      </c>
      <c r="G10384" t="s">
        <v>22444</v>
      </c>
      <c r="H10384" t="s">
        <v>22452</v>
      </c>
      <c r="I10384" t="s">
        <v>22467</v>
      </c>
      <c r="J10384" t="s">
        <v>29116</v>
      </c>
      <c r="K10384" t="s">
        <v>29334</v>
      </c>
      <c r="M10384" t="s">
        <v>30787</v>
      </c>
      <c r="N10384" t="s">
        <v>32524</v>
      </c>
      <c r="O10384" t="s">
        <v>32525</v>
      </c>
      <c r="P10384">
        <v>0</v>
      </c>
      <c r="Q10384">
        <v>0</v>
      </c>
      <c r="R10384" t="s">
        <v>32539</v>
      </c>
      <c r="S10384" t="s">
        <v>33010</v>
      </c>
      <c r="T10384" t="s">
        <v>33175</v>
      </c>
      <c r="U10384" t="s">
        <v>42150</v>
      </c>
      <c r="W10384" t="s">
        <v>43707</v>
      </c>
      <c r="X10384" t="s">
        <v>32540</v>
      </c>
    </row>
    <row r="10385" spans="1:24">
      <c r="A10385">
        <f>HYPERLINK("https://www.philgeps.gov.ph/GEPSNONPILOT/Tender/SplashBidNoticeAbstractUI.aspx?menuIndex=3&amp;refID=7024144&amp;Result=3","7024144")</f>
        <v>0</v>
      </c>
      <c r="B10385" t="s">
        <v>1144</v>
      </c>
      <c r="C10385" t="s">
        <v>12636</v>
      </c>
      <c r="D10385" t="s">
        <v>13002</v>
      </c>
      <c r="E10385" t="s">
        <v>22117</v>
      </c>
      <c r="F10385" t="s">
        <v>22436</v>
      </c>
      <c r="G10385" t="s">
        <v>22444</v>
      </c>
      <c r="H10385" t="s">
        <v>22452</v>
      </c>
      <c r="I10385" t="s">
        <v>22488</v>
      </c>
      <c r="J10385" t="s">
        <v>29117</v>
      </c>
      <c r="K10385" t="s">
        <v>29341</v>
      </c>
      <c r="M10385" t="s">
        <v>30787</v>
      </c>
      <c r="N10385" t="s">
        <v>32524</v>
      </c>
      <c r="O10385" t="s">
        <v>32525</v>
      </c>
      <c r="P10385">
        <v>0</v>
      </c>
      <c r="Q10385">
        <v>2</v>
      </c>
      <c r="R10385" t="s">
        <v>32539</v>
      </c>
      <c r="S10385" t="s">
        <v>33010</v>
      </c>
      <c r="T10385" t="s">
        <v>33175</v>
      </c>
      <c r="U10385" t="s">
        <v>42151</v>
      </c>
      <c r="W10385" t="s">
        <v>43707</v>
      </c>
      <c r="X10385" t="s">
        <v>32540</v>
      </c>
    </row>
    <row r="10386" spans="1:24">
      <c r="A10386">
        <f>HYPERLINK("https://www.philgeps.gov.ph/GEPSNONPILOT/Tender/SplashBidNoticeAbstractUI.aspx?menuIndex=3&amp;refID=7024139&amp;Result=3","7024139")</f>
        <v>0</v>
      </c>
      <c r="B10386" t="s">
        <v>1144</v>
      </c>
      <c r="C10386" t="s">
        <v>12637</v>
      </c>
      <c r="D10386" t="s">
        <v>13002</v>
      </c>
      <c r="E10386" t="s">
        <v>22118</v>
      </c>
      <c r="F10386" t="s">
        <v>22436</v>
      </c>
      <c r="G10386" t="s">
        <v>22444</v>
      </c>
      <c r="H10386" t="s">
        <v>22452</v>
      </c>
      <c r="I10386" t="s">
        <v>22488</v>
      </c>
      <c r="J10386" t="s">
        <v>29118</v>
      </c>
      <c r="K10386" t="s">
        <v>29341</v>
      </c>
      <c r="M10386" t="s">
        <v>30787</v>
      </c>
      <c r="N10386" t="s">
        <v>32524</v>
      </c>
      <c r="O10386" t="s">
        <v>32525</v>
      </c>
      <c r="P10386">
        <v>0</v>
      </c>
      <c r="Q10386">
        <v>3</v>
      </c>
      <c r="R10386" t="s">
        <v>32539</v>
      </c>
      <c r="S10386" t="s">
        <v>33010</v>
      </c>
      <c r="T10386" t="s">
        <v>33175</v>
      </c>
      <c r="U10386" t="s">
        <v>42152</v>
      </c>
      <c r="W10386" t="s">
        <v>43707</v>
      </c>
      <c r="X10386" t="s">
        <v>32540</v>
      </c>
    </row>
    <row r="10387" spans="1:24">
      <c r="A10387">
        <f>HYPERLINK("https://www.philgeps.gov.ph/GEPSNONPILOT/Tender/SplashBidNoticeAbstractUI.aspx?menuIndex=3&amp;refID=7024137&amp;Result=3","7024137")</f>
        <v>0</v>
      </c>
      <c r="B10387" t="s">
        <v>2574</v>
      </c>
      <c r="C10387" t="s">
        <v>12638</v>
      </c>
      <c r="D10387" t="s">
        <v>13034</v>
      </c>
      <c r="E10387" t="s">
        <v>17716</v>
      </c>
      <c r="F10387" t="s">
        <v>22436</v>
      </c>
      <c r="G10387" t="s">
        <v>22444</v>
      </c>
      <c r="H10387" t="s">
        <v>22452</v>
      </c>
      <c r="I10387" t="s">
        <v>22464</v>
      </c>
      <c r="J10387" t="s">
        <v>23066</v>
      </c>
      <c r="K10387" t="s">
        <v>29335</v>
      </c>
      <c r="M10387" t="s">
        <v>32397</v>
      </c>
      <c r="N10387" t="s">
        <v>32524</v>
      </c>
      <c r="O10387" t="s">
        <v>32525</v>
      </c>
      <c r="P10387">
        <v>0</v>
      </c>
      <c r="Q10387">
        <v>0</v>
      </c>
      <c r="R10387" t="s">
        <v>32539</v>
      </c>
      <c r="S10387" t="s">
        <v>33010</v>
      </c>
      <c r="T10387" t="s">
        <v>33155</v>
      </c>
      <c r="U10387" t="s">
        <v>42153</v>
      </c>
      <c r="V10387" t="s">
        <v>43625</v>
      </c>
      <c r="W10387" t="s">
        <v>32397</v>
      </c>
      <c r="X10387" t="s">
        <v>32540</v>
      </c>
    </row>
    <row r="10388" spans="1:24">
      <c r="A10388">
        <f>HYPERLINK("https://www.philgeps.gov.ph/GEPSNONPILOT/Tender/SplashBidNoticeAbstractUI.aspx?menuIndex=3&amp;refID=7024149&amp;Result=3","7024149")</f>
        <v>0</v>
      </c>
      <c r="B10388" t="s">
        <v>1611</v>
      </c>
      <c r="C10388" t="s">
        <v>12639</v>
      </c>
      <c r="D10388" t="s">
        <v>13018</v>
      </c>
      <c r="E10388" t="s">
        <v>22119</v>
      </c>
      <c r="F10388" t="s">
        <v>22436</v>
      </c>
      <c r="G10388" t="s">
        <v>22444</v>
      </c>
      <c r="H10388" t="s">
        <v>22454</v>
      </c>
      <c r="I10388" t="s">
        <v>7738</v>
      </c>
      <c r="J10388" t="s">
        <v>29119</v>
      </c>
      <c r="K10388" t="s">
        <v>29335</v>
      </c>
      <c r="M10388" t="s">
        <v>31295</v>
      </c>
      <c r="N10388" t="s">
        <v>32524</v>
      </c>
      <c r="O10388" t="s">
        <v>32525</v>
      </c>
      <c r="P10388">
        <v>0</v>
      </c>
      <c r="Q10388">
        <v>0</v>
      </c>
      <c r="R10388" t="s">
        <v>32539</v>
      </c>
      <c r="S10388" t="s">
        <v>33010</v>
      </c>
      <c r="T10388" t="s">
        <v>33185</v>
      </c>
      <c r="U10388" t="s">
        <v>37585</v>
      </c>
      <c r="V10388" t="s">
        <v>42937</v>
      </c>
      <c r="W10388" t="s">
        <v>31295</v>
      </c>
      <c r="X10388" t="s">
        <v>32540</v>
      </c>
    </row>
    <row r="10389" spans="1:24">
      <c r="A10389">
        <f>HYPERLINK("https://www.philgeps.gov.ph/GEPSNONPILOT/Tender/SplashBidNoticeAbstractUI.aspx?menuIndex=3&amp;refID=7024173&amp;Result=3","7024173")</f>
        <v>0</v>
      </c>
      <c r="B10389" t="s">
        <v>2574</v>
      </c>
      <c r="C10389" t="s">
        <v>12640</v>
      </c>
      <c r="D10389" t="s">
        <v>13034</v>
      </c>
      <c r="E10389" t="s">
        <v>17763</v>
      </c>
      <c r="F10389" t="s">
        <v>22436</v>
      </c>
      <c r="G10389" t="s">
        <v>22444</v>
      </c>
      <c r="H10389" t="s">
        <v>22452</v>
      </c>
      <c r="I10389" t="s">
        <v>22553</v>
      </c>
      <c r="J10389" t="s">
        <v>24714</v>
      </c>
      <c r="K10389" t="s">
        <v>29335</v>
      </c>
      <c r="M10389" t="s">
        <v>32397</v>
      </c>
      <c r="N10389" t="s">
        <v>32524</v>
      </c>
      <c r="O10389" t="s">
        <v>32525</v>
      </c>
      <c r="Q10389">
        <v>1</v>
      </c>
      <c r="R10389" t="s">
        <v>32539</v>
      </c>
      <c r="S10389" t="s">
        <v>33100</v>
      </c>
      <c r="T10389" t="s">
        <v>33155</v>
      </c>
      <c r="U10389" t="s">
        <v>42154</v>
      </c>
      <c r="V10389" t="s">
        <v>43626</v>
      </c>
      <c r="W10389" t="s">
        <v>32397</v>
      </c>
      <c r="X10389" t="s">
        <v>32540</v>
      </c>
    </row>
    <row r="10390" spans="1:24">
      <c r="A10390">
        <f>HYPERLINK("https://www.philgeps.gov.ph/GEPSNONPILOT/Tender/SplashBidNoticeAbstractUI.aspx?menuIndex=3&amp;refID=7024208&amp;Result=3","7024208")</f>
        <v>0</v>
      </c>
      <c r="B10390" t="s">
        <v>1125</v>
      </c>
      <c r="C10390" t="s">
        <v>12641</v>
      </c>
      <c r="D10390" t="s">
        <v>13041</v>
      </c>
      <c r="E10390" t="s">
        <v>22120</v>
      </c>
      <c r="F10390" t="s">
        <v>22436</v>
      </c>
      <c r="G10390" t="s">
        <v>22444</v>
      </c>
      <c r="H10390" t="s">
        <v>22452</v>
      </c>
      <c r="I10390" t="s">
        <v>7738</v>
      </c>
      <c r="J10390" t="s">
        <v>29120</v>
      </c>
      <c r="K10390" t="s">
        <v>29341</v>
      </c>
      <c r="M10390" t="s">
        <v>30763</v>
      </c>
      <c r="N10390" t="s">
        <v>32524</v>
      </c>
      <c r="O10390" t="s">
        <v>32525</v>
      </c>
      <c r="P10390">
        <v>0</v>
      </c>
      <c r="Q10390">
        <v>2</v>
      </c>
      <c r="R10390" t="s">
        <v>32539</v>
      </c>
      <c r="S10390" t="s">
        <v>33010</v>
      </c>
      <c r="T10390" t="s">
        <v>33230</v>
      </c>
      <c r="U10390" t="s">
        <v>42155</v>
      </c>
      <c r="W10390" t="s">
        <v>30763</v>
      </c>
      <c r="X10390" t="s">
        <v>32540</v>
      </c>
    </row>
    <row r="10391" spans="1:24">
      <c r="A10391">
        <f>HYPERLINK("https://www.philgeps.gov.ph/GEPSNONPILOT/Tender/SplashBidNoticeAbstractUI.aspx?menuIndex=3&amp;refID=7024120&amp;Result=3","7024120")</f>
        <v>0</v>
      </c>
      <c r="B10391" t="s">
        <v>121</v>
      </c>
      <c r="C10391" t="s">
        <v>12642</v>
      </c>
      <c r="D10391" t="s">
        <v>13034</v>
      </c>
      <c r="E10391" t="s">
        <v>22121</v>
      </c>
      <c r="F10391" t="s">
        <v>22436</v>
      </c>
      <c r="G10391" t="s">
        <v>22444</v>
      </c>
      <c r="H10391" t="s">
        <v>22452</v>
      </c>
      <c r="I10391" t="s">
        <v>3027</v>
      </c>
      <c r="J10391" t="s">
        <v>29121</v>
      </c>
      <c r="K10391" t="s">
        <v>29338</v>
      </c>
      <c r="M10391" t="s">
        <v>29693</v>
      </c>
      <c r="N10391" t="s">
        <v>32524</v>
      </c>
      <c r="O10391" t="s">
        <v>32525</v>
      </c>
      <c r="P10391">
        <v>0</v>
      </c>
      <c r="Q10391">
        <v>1</v>
      </c>
      <c r="R10391" t="s">
        <v>32539</v>
      </c>
      <c r="S10391" t="s">
        <v>33010</v>
      </c>
      <c r="T10391" t="s">
        <v>33302</v>
      </c>
      <c r="U10391" t="s">
        <v>42156</v>
      </c>
      <c r="V10391" t="s">
        <v>42461</v>
      </c>
      <c r="W10391" t="s">
        <v>29693</v>
      </c>
      <c r="X10391" t="s">
        <v>32540</v>
      </c>
    </row>
    <row r="10392" spans="1:24">
      <c r="A10392">
        <f>HYPERLINK("https://www.philgeps.gov.ph/GEPSNONPILOT/Tender/SplashBidNoticeAbstractUI.aspx?menuIndex=3&amp;refID=7024200&amp;Result=3","7024200")</f>
        <v>0</v>
      </c>
      <c r="B10392" t="s">
        <v>1840</v>
      </c>
      <c r="C10392" t="s">
        <v>12643</v>
      </c>
      <c r="D10392" t="s">
        <v>13045</v>
      </c>
      <c r="E10392" t="s">
        <v>22122</v>
      </c>
      <c r="F10392" t="s">
        <v>22436</v>
      </c>
      <c r="G10392" t="s">
        <v>22450</v>
      </c>
      <c r="H10392" t="s">
        <v>22454</v>
      </c>
      <c r="I10392" t="s">
        <v>7738</v>
      </c>
      <c r="J10392" t="s">
        <v>27465</v>
      </c>
      <c r="K10392" t="s">
        <v>29507</v>
      </c>
      <c r="M10392" t="s">
        <v>31555</v>
      </c>
      <c r="N10392" t="s">
        <v>32524</v>
      </c>
      <c r="O10392" t="s">
        <v>32525</v>
      </c>
      <c r="Q10392">
        <v>2</v>
      </c>
      <c r="R10392" t="s">
        <v>32539</v>
      </c>
      <c r="S10392" t="s">
        <v>32850</v>
      </c>
      <c r="T10392" t="s">
        <v>33230</v>
      </c>
      <c r="U10392" t="s">
        <v>35712</v>
      </c>
      <c r="W10392" t="s">
        <v>31555</v>
      </c>
      <c r="X10392" t="s">
        <v>32540</v>
      </c>
    </row>
    <row r="10393" spans="1:24">
      <c r="A10393">
        <f>HYPERLINK("https://www.philgeps.gov.ph/GEPSNONPILOT/Tender/SplashBidNoticeAbstractUI.aspx?menuIndex=3&amp;refID=7024114&amp;Result=3","7024114")</f>
        <v>0</v>
      </c>
      <c r="B10393" t="s">
        <v>121</v>
      </c>
      <c r="C10393" t="s">
        <v>12644</v>
      </c>
      <c r="D10393" t="s">
        <v>13034</v>
      </c>
      <c r="E10393" t="s">
        <v>22123</v>
      </c>
      <c r="F10393" t="s">
        <v>22436</v>
      </c>
      <c r="G10393" t="s">
        <v>22444</v>
      </c>
      <c r="H10393" t="s">
        <v>22452</v>
      </c>
      <c r="I10393" t="s">
        <v>22494</v>
      </c>
      <c r="J10393" t="s">
        <v>29122</v>
      </c>
      <c r="K10393" t="s">
        <v>29341</v>
      </c>
      <c r="M10393" t="s">
        <v>29693</v>
      </c>
      <c r="N10393" t="s">
        <v>32524</v>
      </c>
      <c r="O10393" t="s">
        <v>32525</v>
      </c>
      <c r="P10393">
        <v>0</v>
      </c>
      <c r="Q10393">
        <v>2</v>
      </c>
      <c r="R10393" t="s">
        <v>32539</v>
      </c>
      <c r="S10393" t="s">
        <v>33010</v>
      </c>
      <c r="T10393" t="s">
        <v>33302</v>
      </c>
      <c r="U10393" t="s">
        <v>42157</v>
      </c>
      <c r="V10393" t="s">
        <v>42461</v>
      </c>
      <c r="W10393" t="s">
        <v>29693</v>
      </c>
      <c r="X10393" t="s">
        <v>32540</v>
      </c>
    </row>
    <row r="10394" spans="1:24">
      <c r="A10394">
        <f>HYPERLINK("https://www.philgeps.gov.ph/GEPSNONPILOT/Tender/SplashBidNoticeAbstractUI.aspx?menuIndex=3&amp;refID=7024192&amp;Result=3","7024192")</f>
        <v>0</v>
      </c>
      <c r="B10394" t="s">
        <v>1840</v>
      </c>
      <c r="C10394" t="s">
        <v>12645</v>
      </c>
      <c r="D10394" t="s">
        <v>13045</v>
      </c>
      <c r="E10394" t="s">
        <v>22124</v>
      </c>
      <c r="F10394" t="s">
        <v>22436</v>
      </c>
      <c r="G10394" t="s">
        <v>22450</v>
      </c>
      <c r="H10394" t="s">
        <v>22454</v>
      </c>
      <c r="I10394" t="s">
        <v>7738</v>
      </c>
      <c r="J10394" t="s">
        <v>29123</v>
      </c>
      <c r="K10394" t="s">
        <v>29588</v>
      </c>
      <c r="M10394" t="s">
        <v>31555</v>
      </c>
      <c r="N10394" t="s">
        <v>32524</v>
      </c>
      <c r="O10394" t="s">
        <v>32525</v>
      </c>
      <c r="Q10394">
        <v>6</v>
      </c>
      <c r="R10394" t="s">
        <v>32539</v>
      </c>
      <c r="S10394" t="s">
        <v>33101</v>
      </c>
      <c r="T10394" t="s">
        <v>33230</v>
      </c>
      <c r="U10394" t="s">
        <v>35712</v>
      </c>
      <c r="W10394" t="s">
        <v>31555</v>
      </c>
      <c r="X10394" t="s">
        <v>32540</v>
      </c>
    </row>
    <row r="10395" spans="1:24">
      <c r="A10395">
        <f>HYPERLINK("https://www.philgeps.gov.ph/GEPSNONPILOT/Tender/SplashBidNoticeAbstractUI.aspx?menuIndex=3&amp;refID=7024224&amp;Result=3","7024224")</f>
        <v>0</v>
      </c>
      <c r="B10395" t="s">
        <v>1144</v>
      </c>
      <c r="C10395" t="s">
        <v>12646</v>
      </c>
      <c r="D10395" t="s">
        <v>13002</v>
      </c>
      <c r="E10395" t="s">
        <v>22125</v>
      </c>
      <c r="F10395" t="s">
        <v>22436</v>
      </c>
      <c r="G10395" t="s">
        <v>22444</v>
      </c>
      <c r="H10395" t="s">
        <v>22452</v>
      </c>
      <c r="I10395" t="s">
        <v>22479</v>
      </c>
      <c r="J10395" t="s">
        <v>29124</v>
      </c>
      <c r="K10395" t="s">
        <v>29335</v>
      </c>
      <c r="M10395" t="s">
        <v>30787</v>
      </c>
      <c r="N10395" t="s">
        <v>32524</v>
      </c>
      <c r="O10395" t="s">
        <v>32525</v>
      </c>
      <c r="P10395">
        <v>0</v>
      </c>
      <c r="Q10395">
        <v>8</v>
      </c>
      <c r="R10395" t="s">
        <v>32539</v>
      </c>
      <c r="S10395" t="s">
        <v>33010</v>
      </c>
      <c r="T10395" t="s">
        <v>33175</v>
      </c>
      <c r="U10395" t="s">
        <v>42158</v>
      </c>
      <c r="W10395" t="s">
        <v>43707</v>
      </c>
      <c r="X10395" t="s">
        <v>32540</v>
      </c>
    </row>
    <row r="10396" spans="1:24">
      <c r="A10396">
        <f>HYPERLINK("https://www.philgeps.gov.ph/GEPSNONPILOT/Tender/SplashBidNoticeAbstractUI.aspx?menuIndex=3&amp;refID=7024109&amp;Result=3","7024109")</f>
        <v>0</v>
      </c>
      <c r="B10396" t="s">
        <v>121</v>
      </c>
      <c r="C10396" t="s">
        <v>12647</v>
      </c>
      <c r="D10396" t="s">
        <v>13034</v>
      </c>
      <c r="E10396" t="s">
        <v>22126</v>
      </c>
      <c r="F10396" t="s">
        <v>22436</v>
      </c>
      <c r="G10396" t="s">
        <v>22444</v>
      </c>
      <c r="H10396" t="s">
        <v>22452</v>
      </c>
      <c r="I10396" t="s">
        <v>3827</v>
      </c>
      <c r="J10396" t="s">
        <v>22704</v>
      </c>
      <c r="K10396" t="s">
        <v>29341</v>
      </c>
      <c r="M10396" t="s">
        <v>29693</v>
      </c>
      <c r="N10396" t="s">
        <v>32524</v>
      </c>
      <c r="O10396" t="s">
        <v>32525</v>
      </c>
      <c r="P10396">
        <v>0</v>
      </c>
      <c r="Q10396">
        <v>2</v>
      </c>
      <c r="R10396" t="s">
        <v>32539</v>
      </c>
      <c r="S10396" t="s">
        <v>33010</v>
      </c>
      <c r="T10396" t="s">
        <v>33302</v>
      </c>
      <c r="U10396" t="s">
        <v>42159</v>
      </c>
      <c r="V10396" t="s">
        <v>42461</v>
      </c>
      <c r="W10396" t="s">
        <v>29693</v>
      </c>
      <c r="X10396" t="s">
        <v>32540</v>
      </c>
    </row>
    <row r="10397" spans="1:24">
      <c r="A10397">
        <f>HYPERLINK("https://www.philgeps.gov.ph/GEPSNONPILOT/Tender/SplashBidNoticeAbstractUI.aspx?menuIndex=3&amp;refID=7024240&amp;Result=3","7024240")</f>
        <v>0</v>
      </c>
      <c r="B10397" t="s">
        <v>940</v>
      </c>
      <c r="C10397" t="s">
        <v>12648</v>
      </c>
      <c r="D10397" t="s">
        <v>13024</v>
      </c>
      <c r="E10397" t="s">
        <v>22127</v>
      </c>
      <c r="F10397" t="s">
        <v>22436</v>
      </c>
      <c r="G10397" t="s">
        <v>22444</v>
      </c>
      <c r="H10397" t="s">
        <v>22452</v>
      </c>
      <c r="I10397" t="s">
        <v>3529</v>
      </c>
      <c r="J10397" t="s">
        <v>29125</v>
      </c>
      <c r="K10397" t="s">
        <v>29338</v>
      </c>
      <c r="M10397" t="s">
        <v>32165</v>
      </c>
      <c r="N10397" t="s">
        <v>32524</v>
      </c>
      <c r="O10397" t="s">
        <v>32525</v>
      </c>
      <c r="P10397">
        <v>0</v>
      </c>
      <c r="Q10397">
        <v>0</v>
      </c>
      <c r="R10397" t="s">
        <v>32539</v>
      </c>
      <c r="S10397" t="s">
        <v>33010</v>
      </c>
      <c r="T10397" t="s">
        <v>33163</v>
      </c>
      <c r="U10397" t="s">
        <v>42160</v>
      </c>
      <c r="W10397" t="s">
        <v>43757</v>
      </c>
      <c r="X10397" t="s">
        <v>32540</v>
      </c>
    </row>
    <row r="10398" spans="1:24">
      <c r="A10398">
        <f>HYPERLINK("https://www.philgeps.gov.ph/GEPSNONPILOT/Tender/SplashBidNoticeAbstractUI.aspx?menuIndex=3&amp;refID=7024245&amp;Result=3","7024245")</f>
        <v>0</v>
      </c>
      <c r="B10398" t="s">
        <v>940</v>
      </c>
      <c r="C10398" t="s">
        <v>12649</v>
      </c>
      <c r="D10398" t="s">
        <v>13024</v>
      </c>
      <c r="E10398" t="s">
        <v>22128</v>
      </c>
      <c r="F10398" t="s">
        <v>22436</v>
      </c>
      <c r="G10398" t="s">
        <v>22444</v>
      </c>
      <c r="H10398" t="s">
        <v>22452</v>
      </c>
      <c r="I10398" t="s">
        <v>3827</v>
      </c>
      <c r="J10398" t="s">
        <v>29126</v>
      </c>
      <c r="K10398" t="s">
        <v>29338</v>
      </c>
      <c r="M10398" t="s">
        <v>32165</v>
      </c>
      <c r="N10398" t="s">
        <v>32524</v>
      </c>
      <c r="O10398" t="s">
        <v>32525</v>
      </c>
      <c r="P10398">
        <v>0</v>
      </c>
      <c r="Q10398">
        <v>0</v>
      </c>
      <c r="R10398" t="s">
        <v>32539</v>
      </c>
      <c r="S10398" t="s">
        <v>33010</v>
      </c>
      <c r="T10398" t="s">
        <v>33163</v>
      </c>
      <c r="U10398" t="s">
        <v>42160</v>
      </c>
      <c r="W10398" t="s">
        <v>43757</v>
      </c>
      <c r="X10398" t="s">
        <v>32540</v>
      </c>
    </row>
    <row r="10399" spans="1:24">
      <c r="A10399">
        <f>HYPERLINK("https://www.philgeps.gov.ph/GEPSNONPILOT/Tender/SplashBidNoticeAbstractUI.aspx?menuIndex=3&amp;refID=6978719&amp;Result=3","6978719")</f>
        <v>0</v>
      </c>
      <c r="B10399" t="s">
        <v>46</v>
      </c>
      <c r="C10399" t="s">
        <v>12650</v>
      </c>
      <c r="D10399" t="s">
        <v>13006</v>
      </c>
      <c r="E10399" t="s">
        <v>22129</v>
      </c>
      <c r="F10399" t="s">
        <v>22436</v>
      </c>
      <c r="G10399" t="s">
        <v>22444</v>
      </c>
      <c r="H10399" t="s">
        <v>22452</v>
      </c>
      <c r="I10399" t="s">
        <v>22502</v>
      </c>
      <c r="J10399" t="s">
        <v>22929</v>
      </c>
      <c r="K10399" t="s">
        <v>29329</v>
      </c>
      <c r="M10399" t="s">
        <v>29760</v>
      </c>
      <c r="N10399" t="s">
        <v>32524</v>
      </c>
      <c r="O10399" t="s">
        <v>32525</v>
      </c>
      <c r="P10399">
        <v>0</v>
      </c>
      <c r="Q10399">
        <v>8</v>
      </c>
      <c r="R10399" t="s">
        <v>32540</v>
      </c>
      <c r="S10399" t="s">
        <v>33102</v>
      </c>
      <c r="T10399" t="s">
        <v>33324</v>
      </c>
      <c r="U10399" t="s">
        <v>42161</v>
      </c>
      <c r="V10399" t="s">
        <v>42461</v>
      </c>
      <c r="W10399" t="s">
        <v>29760</v>
      </c>
      <c r="X10399" t="s">
        <v>43803</v>
      </c>
    </row>
    <row r="10400" spans="1:24">
      <c r="A10400">
        <f>HYPERLINK("https://www.philgeps.gov.ph/GEPSNONPILOT/Tender/SplashBidNoticeAbstractUI.aspx?menuIndex=3&amp;refID=6978728&amp;Result=3","6978728")</f>
        <v>0</v>
      </c>
      <c r="B10400" t="s">
        <v>46</v>
      </c>
      <c r="C10400" t="s">
        <v>12651</v>
      </c>
      <c r="D10400" t="s">
        <v>13006</v>
      </c>
      <c r="E10400" t="s">
        <v>22130</v>
      </c>
      <c r="F10400" t="s">
        <v>22436</v>
      </c>
      <c r="G10400" t="s">
        <v>22444</v>
      </c>
      <c r="H10400" t="s">
        <v>22452</v>
      </c>
      <c r="I10400" t="s">
        <v>22502</v>
      </c>
      <c r="J10400" t="s">
        <v>29127</v>
      </c>
      <c r="K10400" t="s">
        <v>29329</v>
      </c>
      <c r="M10400" t="s">
        <v>29760</v>
      </c>
      <c r="N10400" t="s">
        <v>32524</v>
      </c>
      <c r="O10400" t="s">
        <v>32525</v>
      </c>
      <c r="Q10400">
        <v>8</v>
      </c>
      <c r="R10400" t="s">
        <v>32540</v>
      </c>
      <c r="S10400" t="s">
        <v>32723</v>
      </c>
      <c r="T10400" t="s">
        <v>33324</v>
      </c>
      <c r="U10400" t="s">
        <v>42162</v>
      </c>
      <c r="V10400" t="s">
        <v>42461</v>
      </c>
      <c r="W10400" t="s">
        <v>29760</v>
      </c>
      <c r="X10400" t="s">
        <v>43803</v>
      </c>
    </row>
    <row r="10401" spans="1:24">
      <c r="A10401">
        <f>HYPERLINK("https://www.philgeps.gov.ph/GEPSNONPILOT/Tender/SplashBidNoticeAbstractUI.aspx?menuIndex=3&amp;refID=6404943&amp;Result=3","6404943")</f>
        <v>0</v>
      </c>
      <c r="B10401" t="s">
        <v>2642</v>
      </c>
      <c r="C10401" t="s">
        <v>12652</v>
      </c>
      <c r="E10401" t="s">
        <v>22131</v>
      </c>
      <c r="F10401" t="s">
        <v>22436</v>
      </c>
      <c r="G10401" t="s">
        <v>22444</v>
      </c>
      <c r="H10401" t="s">
        <v>22452</v>
      </c>
      <c r="I10401" t="s">
        <v>22460</v>
      </c>
      <c r="J10401" t="s">
        <v>29128</v>
      </c>
      <c r="K10401" t="s">
        <v>29338</v>
      </c>
      <c r="M10401" t="s">
        <v>32480</v>
      </c>
      <c r="N10401" t="s">
        <v>32524</v>
      </c>
      <c r="O10401" t="s">
        <v>32525</v>
      </c>
      <c r="P10401">
        <v>0</v>
      </c>
      <c r="Q10401">
        <v>0</v>
      </c>
      <c r="R10401" t="s">
        <v>32540</v>
      </c>
      <c r="S10401" t="s">
        <v>33102</v>
      </c>
      <c r="T10401" t="s">
        <v>33203</v>
      </c>
      <c r="U10401" t="s">
        <v>42163</v>
      </c>
      <c r="W10401" t="s">
        <v>32480</v>
      </c>
      <c r="X10401" t="s">
        <v>43804</v>
      </c>
    </row>
    <row r="10402" spans="1:24">
      <c r="A10402">
        <f>HYPERLINK("https://www.philgeps.gov.ph/GEPSNONPILOT/Tender/SplashBidNoticeAbstractUI.aspx?menuIndex=3&amp;refID=6964177&amp;Result=3","6964177")</f>
        <v>0</v>
      </c>
      <c r="B10402" t="s">
        <v>1956</v>
      </c>
      <c r="C10402" t="s">
        <v>12653</v>
      </c>
      <c r="D10402" t="s">
        <v>12998</v>
      </c>
      <c r="E10402" t="s">
        <v>22132</v>
      </c>
      <c r="F10402" t="s">
        <v>22436</v>
      </c>
      <c r="G10402" t="s">
        <v>22444</v>
      </c>
      <c r="H10402" t="s">
        <v>22452</v>
      </c>
      <c r="I10402" t="s">
        <v>22504</v>
      </c>
      <c r="J10402" t="s">
        <v>29129</v>
      </c>
      <c r="K10402" t="s">
        <v>29335</v>
      </c>
      <c r="M10402" t="s">
        <v>31686</v>
      </c>
      <c r="N10402" t="s">
        <v>32524</v>
      </c>
      <c r="O10402" t="s">
        <v>32525</v>
      </c>
      <c r="Q10402">
        <v>13</v>
      </c>
      <c r="R10402" t="s">
        <v>32540</v>
      </c>
      <c r="S10402" t="s">
        <v>33103</v>
      </c>
      <c r="T10402" t="s">
        <v>33181</v>
      </c>
      <c r="U10402" t="s">
        <v>42164</v>
      </c>
      <c r="V10402" t="s">
        <v>43627</v>
      </c>
      <c r="W10402" t="s">
        <v>31686</v>
      </c>
      <c r="X10402" t="s">
        <v>43799</v>
      </c>
    </row>
    <row r="10403" spans="1:24">
      <c r="A10403">
        <f>HYPERLINK("https://www.philgeps.gov.ph/GEPSNONPILOT/Tender/SplashBidNoticeAbstractUI.aspx?menuIndex=3&amp;refID=7024254&amp;Result=3","7024254")</f>
        <v>0</v>
      </c>
      <c r="B10403" t="s">
        <v>940</v>
      </c>
      <c r="C10403" t="s">
        <v>12654</v>
      </c>
      <c r="D10403" t="s">
        <v>13024</v>
      </c>
      <c r="E10403" t="s">
        <v>22133</v>
      </c>
      <c r="F10403" t="s">
        <v>22436</v>
      </c>
      <c r="G10403" t="s">
        <v>22444</v>
      </c>
      <c r="H10403" t="s">
        <v>22452</v>
      </c>
      <c r="I10403" t="s">
        <v>2981</v>
      </c>
      <c r="J10403" t="s">
        <v>29130</v>
      </c>
      <c r="K10403" t="s">
        <v>29338</v>
      </c>
      <c r="M10403" t="s">
        <v>32165</v>
      </c>
      <c r="N10403" t="s">
        <v>32524</v>
      </c>
      <c r="O10403" t="s">
        <v>32525</v>
      </c>
      <c r="P10403">
        <v>0</v>
      </c>
      <c r="Q10403">
        <v>3</v>
      </c>
      <c r="R10403" t="s">
        <v>32539</v>
      </c>
      <c r="S10403" t="s">
        <v>33010</v>
      </c>
      <c r="T10403" t="s">
        <v>33163</v>
      </c>
      <c r="U10403" t="s">
        <v>42160</v>
      </c>
      <c r="W10403" t="s">
        <v>43757</v>
      </c>
      <c r="X10403" t="s">
        <v>32540</v>
      </c>
    </row>
    <row r="10404" spans="1:24">
      <c r="A10404">
        <f>HYPERLINK("https://www.philgeps.gov.ph/GEPSNONPILOT/Tender/SplashBidNoticeAbstractUI.aspx?menuIndex=3&amp;refID=7024251&amp;Result=3","7024251")</f>
        <v>0</v>
      </c>
      <c r="B10404" t="s">
        <v>940</v>
      </c>
      <c r="C10404" t="s">
        <v>12655</v>
      </c>
      <c r="D10404" t="s">
        <v>13024</v>
      </c>
      <c r="E10404" t="s">
        <v>22134</v>
      </c>
      <c r="F10404" t="s">
        <v>22436</v>
      </c>
      <c r="G10404" t="s">
        <v>22444</v>
      </c>
      <c r="H10404" t="s">
        <v>22452</v>
      </c>
      <c r="I10404" t="s">
        <v>22467</v>
      </c>
      <c r="J10404" t="s">
        <v>29131</v>
      </c>
      <c r="K10404" t="s">
        <v>29338</v>
      </c>
      <c r="M10404" t="s">
        <v>32165</v>
      </c>
      <c r="N10404" t="s">
        <v>32524</v>
      </c>
      <c r="O10404" t="s">
        <v>32525</v>
      </c>
      <c r="P10404">
        <v>0</v>
      </c>
      <c r="Q10404">
        <v>1</v>
      </c>
      <c r="R10404" t="s">
        <v>32539</v>
      </c>
      <c r="S10404" t="s">
        <v>33010</v>
      </c>
      <c r="T10404" t="s">
        <v>33163</v>
      </c>
      <c r="U10404" t="s">
        <v>42160</v>
      </c>
      <c r="W10404" t="s">
        <v>43757</v>
      </c>
      <c r="X10404" t="s">
        <v>32540</v>
      </c>
    </row>
    <row r="10405" spans="1:24">
      <c r="A10405">
        <f>HYPERLINK("https://www.philgeps.gov.ph/GEPSNONPILOT/Tender/SplashBidNoticeAbstractUI.aspx?menuIndex=3&amp;refID=7024259&amp;Result=3","7024259")</f>
        <v>0</v>
      </c>
      <c r="B10405" t="s">
        <v>2357</v>
      </c>
      <c r="C10405" t="s">
        <v>12656</v>
      </c>
      <c r="D10405" t="s">
        <v>13086</v>
      </c>
      <c r="E10405" t="s">
        <v>22135</v>
      </c>
      <c r="F10405" t="s">
        <v>22436</v>
      </c>
      <c r="G10405" t="s">
        <v>22444</v>
      </c>
      <c r="H10405" t="s">
        <v>22452</v>
      </c>
      <c r="I10405" t="s">
        <v>22479</v>
      </c>
      <c r="J10405" t="s">
        <v>23397</v>
      </c>
      <c r="K10405" t="s">
        <v>29333</v>
      </c>
      <c r="M10405" t="s">
        <v>32344</v>
      </c>
      <c r="N10405" t="s">
        <v>32524</v>
      </c>
      <c r="O10405" t="s">
        <v>32525</v>
      </c>
      <c r="P10405">
        <v>0</v>
      </c>
      <c r="Q10405">
        <v>5</v>
      </c>
      <c r="R10405" t="s">
        <v>32539</v>
      </c>
      <c r="S10405" t="s">
        <v>33010</v>
      </c>
      <c r="T10405" t="s">
        <v>33177</v>
      </c>
      <c r="U10405" t="s">
        <v>42165</v>
      </c>
      <c r="W10405" t="s">
        <v>32344</v>
      </c>
      <c r="X10405" t="s">
        <v>32540</v>
      </c>
    </row>
    <row r="10406" spans="1:24">
      <c r="A10406">
        <f>HYPERLINK("https://www.philgeps.gov.ph/GEPSNONPILOT/Tender/SplashBidNoticeAbstractUI.aspx?menuIndex=3&amp;refID=6977808&amp;Result=3","6977808")</f>
        <v>0</v>
      </c>
      <c r="B10406" t="s">
        <v>46</v>
      </c>
      <c r="C10406" t="s">
        <v>12657</v>
      </c>
      <c r="D10406" t="s">
        <v>13006</v>
      </c>
      <c r="E10406" t="s">
        <v>22136</v>
      </c>
      <c r="F10406" t="s">
        <v>22436</v>
      </c>
      <c r="G10406" t="s">
        <v>22444</v>
      </c>
      <c r="H10406" t="s">
        <v>22452</v>
      </c>
      <c r="I10406" t="s">
        <v>3529</v>
      </c>
      <c r="J10406" t="s">
        <v>29132</v>
      </c>
      <c r="K10406" t="s">
        <v>29357</v>
      </c>
      <c r="M10406" t="s">
        <v>29760</v>
      </c>
      <c r="N10406" t="s">
        <v>32524</v>
      </c>
      <c r="O10406" t="s">
        <v>32525</v>
      </c>
      <c r="P10406">
        <v>0</v>
      </c>
      <c r="Q10406">
        <v>1</v>
      </c>
      <c r="R10406" t="s">
        <v>32540</v>
      </c>
      <c r="S10406" t="s">
        <v>33102</v>
      </c>
      <c r="T10406" t="s">
        <v>33324</v>
      </c>
      <c r="U10406" t="s">
        <v>42166</v>
      </c>
      <c r="V10406" t="s">
        <v>42461</v>
      </c>
      <c r="W10406" t="s">
        <v>29760</v>
      </c>
      <c r="X10406" t="s">
        <v>43803</v>
      </c>
    </row>
    <row r="10407" spans="1:24">
      <c r="A10407">
        <f>HYPERLINK("https://www.philgeps.gov.ph/GEPSNONPILOT/Tender/SplashBidNoticeAbstractUI.aspx?menuIndex=3&amp;refID=7024253&amp;Result=3","7024253")</f>
        <v>0</v>
      </c>
      <c r="B10407" t="s">
        <v>2357</v>
      </c>
      <c r="C10407" t="s">
        <v>12656</v>
      </c>
      <c r="D10407" t="s">
        <v>13087</v>
      </c>
      <c r="E10407" t="s">
        <v>22137</v>
      </c>
      <c r="F10407" t="s">
        <v>22436</v>
      </c>
      <c r="G10407" t="s">
        <v>22444</v>
      </c>
      <c r="H10407" t="s">
        <v>22452</v>
      </c>
      <c r="I10407" t="s">
        <v>22479</v>
      </c>
      <c r="J10407" t="s">
        <v>22936</v>
      </c>
      <c r="K10407" t="s">
        <v>29333</v>
      </c>
      <c r="M10407" t="s">
        <v>32344</v>
      </c>
      <c r="N10407" t="s">
        <v>32524</v>
      </c>
      <c r="O10407" t="s">
        <v>32525</v>
      </c>
      <c r="P10407">
        <v>0</v>
      </c>
      <c r="Q10407">
        <v>7</v>
      </c>
      <c r="R10407" t="s">
        <v>32539</v>
      </c>
      <c r="S10407" t="s">
        <v>33010</v>
      </c>
      <c r="T10407" t="s">
        <v>33177</v>
      </c>
      <c r="U10407" t="s">
        <v>42167</v>
      </c>
      <c r="W10407" t="s">
        <v>32344</v>
      </c>
      <c r="X10407" t="s">
        <v>32540</v>
      </c>
    </row>
    <row r="10408" spans="1:24">
      <c r="A10408">
        <f>HYPERLINK("https://www.philgeps.gov.ph/GEPSNONPILOT/Tender/SplashBidNoticeAbstractUI.aspx?menuIndex=3&amp;refID=6940209&amp;Result=3","6940209")</f>
        <v>0</v>
      </c>
      <c r="B10408" t="s">
        <v>2643</v>
      </c>
      <c r="C10408" t="s">
        <v>12658</v>
      </c>
      <c r="D10408" t="s">
        <v>13045</v>
      </c>
      <c r="E10408" t="s">
        <v>16006</v>
      </c>
      <c r="F10408" t="s">
        <v>22436</v>
      </c>
      <c r="G10408" t="s">
        <v>22444</v>
      </c>
      <c r="H10408" t="s">
        <v>22452</v>
      </c>
      <c r="I10408" t="s">
        <v>22474</v>
      </c>
      <c r="J10408" t="s">
        <v>24714</v>
      </c>
      <c r="K10408" t="s">
        <v>29341</v>
      </c>
      <c r="M10408" t="s">
        <v>32481</v>
      </c>
      <c r="N10408" t="s">
        <v>32524</v>
      </c>
      <c r="O10408" t="s">
        <v>32525</v>
      </c>
      <c r="P10408">
        <v>0</v>
      </c>
      <c r="Q10408">
        <v>4</v>
      </c>
      <c r="R10408" t="s">
        <v>32540</v>
      </c>
      <c r="S10408" t="s">
        <v>33102</v>
      </c>
      <c r="T10408" t="s">
        <v>33197</v>
      </c>
      <c r="U10408" t="s">
        <v>42168</v>
      </c>
      <c r="W10408" t="s">
        <v>32481</v>
      </c>
      <c r="X10408" t="s">
        <v>43800</v>
      </c>
    </row>
    <row r="10409" spans="1:24">
      <c r="A10409">
        <f>HYPERLINK("https://www.philgeps.gov.ph/GEPSNONPILOT/Tender/SplashBidNoticeAbstractUI.aspx?menuIndex=3&amp;refID=7012414&amp;Result=3","7012414")</f>
        <v>0</v>
      </c>
      <c r="B10409" t="s">
        <v>2164</v>
      </c>
      <c r="C10409" t="s">
        <v>12659</v>
      </c>
      <c r="D10409" t="s">
        <v>13001</v>
      </c>
      <c r="E10409" t="s">
        <v>22138</v>
      </c>
      <c r="F10409" t="s">
        <v>22436</v>
      </c>
      <c r="G10409" t="s">
        <v>22450</v>
      </c>
      <c r="H10409" t="s">
        <v>22452</v>
      </c>
      <c r="I10409" t="s">
        <v>12358</v>
      </c>
      <c r="J10409" t="s">
        <v>29133</v>
      </c>
      <c r="K10409" t="s">
        <v>29335</v>
      </c>
      <c r="M10409" t="s">
        <v>31924</v>
      </c>
      <c r="N10409" t="s">
        <v>32524</v>
      </c>
      <c r="O10409" t="s">
        <v>32525</v>
      </c>
      <c r="P10409">
        <v>0</v>
      </c>
      <c r="Q10409">
        <v>3</v>
      </c>
      <c r="R10409" t="s">
        <v>32540</v>
      </c>
      <c r="S10409" t="s">
        <v>33102</v>
      </c>
      <c r="T10409" t="s">
        <v>33181</v>
      </c>
      <c r="U10409" t="s">
        <v>42169</v>
      </c>
      <c r="V10409" t="s">
        <v>43628</v>
      </c>
      <c r="W10409" t="s">
        <v>31924</v>
      </c>
      <c r="X10409" t="s">
        <v>43793</v>
      </c>
    </row>
    <row r="10410" spans="1:24">
      <c r="A10410">
        <f>HYPERLINK("https://www.philgeps.gov.ph/GEPSNONPILOT/Tender/SplashBidNoticeAbstractUI.aspx?menuIndex=3&amp;refID=7010939&amp;Result=3","7010939")</f>
        <v>0</v>
      </c>
      <c r="B10410" t="s">
        <v>2559</v>
      </c>
      <c r="C10410" t="s">
        <v>12660</v>
      </c>
      <c r="D10410" t="s">
        <v>13044</v>
      </c>
      <c r="E10410" t="s">
        <v>22139</v>
      </c>
      <c r="F10410" t="s">
        <v>22436</v>
      </c>
      <c r="G10410" t="s">
        <v>22444</v>
      </c>
      <c r="H10410" t="s">
        <v>22454</v>
      </c>
      <c r="I10410" t="s">
        <v>7738</v>
      </c>
      <c r="J10410" t="s">
        <v>29134</v>
      </c>
      <c r="K10410" t="s">
        <v>29402</v>
      </c>
      <c r="M10410" t="s">
        <v>32374</v>
      </c>
      <c r="N10410" t="s">
        <v>32524</v>
      </c>
      <c r="O10410" t="s">
        <v>32525</v>
      </c>
      <c r="P10410">
        <v>0</v>
      </c>
      <c r="Q10410">
        <v>3</v>
      </c>
      <c r="R10410" t="s">
        <v>32540</v>
      </c>
      <c r="S10410" t="s">
        <v>33102</v>
      </c>
      <c r="T10410" t="s">
        <v>33180</v>
      </c>
      <c r="U10410" t="s">
        <v>42170</v>
      </c>
      <c r="W10410" t="s">
        <v>32374</v>
      </c>
      <c r="X10410" t="s">
        <v>43778</v>
      </c>
    </row>
    <row r="10411" spans="1:24">
      <c r="A10411">
        <f>HYPERLINK("https://www.philgeps.gov.ph/GEPSNONPILOT/Tender/SplashBidNoticeAbstractUI.aspx?menuIndex=3&amp;refID=7013517&amp;Result=3","7013517")</f>
        <v>0</v>
      </c>
      <c r="B10411" t="s">
        <v>961</v>
      </c>
      <c r="C10411" t="s">
        <v>12661</v>
      </c>
      <c r="D10411" t="s">
        <v>13045</v>
      </c>
      <c r="E10411" t="s">
        <v>22140</v>
      </c>
      <c r="F10411" t="s">
        <v>22436</v>
      </c>
      <c r="G10411" t="s">
        <v>22444</v>
      </c>
      <c r="H10411" t="s">
        <v>22454</v>
      </c>
      <c r="I10411" t="s">
        <v>7738</v>
      </c>
      <c r="J10411" t="s">
        <v>22634</v>
      </c>
      <c r="K10411" t="s">
        <v>29333</v>
      </c>
      <c r="M10411" t="s">
        <v>30577</v>
      </c>
      <c r="N10411" t="s">
        <v>32524</v>
      </c>
      <c r="O10411" t="s">
        <v>32525</v>
      </c>
      <c r="P10411">
        <v>0</v>
      </c>
      <c r="Q10411">
        <v>2</v>
      </c>
      <c r="R10411" t="s">
        <v>32540</v>
      </c>
      <c r="S10411" t="s">
        <v>33102</v>
      </c>
      <c r="T10411" t="s">
        <v>33171</v>
      </c>
      <c r="U10411" t="s">
        <v>42171</v>
      </c>
      <c r="W10411" t="s">
        <v>30577</v>
      </c>
      <c r="X10411" t="s">
        <v>43793</v>
      </c>
    </row>
    <row r="10412" spans="1:24">
      <c r="A10412">
        <f>HYPERLINK("https://www.philgeps.gov.ph/GEPSNONPILOT/Tender/SplashBidNoticeAbstractUI.aspx?menuIndex=3&amp;refID=7012268&amp;Result=3","7012268")</f>
        <v>0</v>
      </c>
      <c r="B10412" t="s">
        <v>2164</v>
      </c>
      <c r="C10412" t="s">
        <v>12662</v>
      </c>
      <c r="D10412" t="s">
        <v>13001</v>
      </c>
      <c r="E10412" t="s">
        <v>22141</v>
      </c>
      <c r="F10412" t="s">
        <v>22436</v>
      </c>
      <c r="G10412" t="s">
        <v>22450</v>
      </c>
      <c r="H10412" t="s">
        <v>22452</v>
      </c>
      <c r="I10412" t="s">
        <v>3827</v>
      </c>
      <c r="J10412" t="s">
        <v>29135</v>
      </c>
      <c r="K10412" t="s">
        <v>29335</v>
      </c>
      <c r="M10412" t="s">
        <v>31924</v>
      </c>
      <c r="N10412" t="s">
        <v>32524</v>
      </c>
      <c r="O10412" t="s">
        <v>32525</v>
      </c>
      <c r="P10412">
        <v>0</v>
      </c>
      <c r="Q10412">
        <v>10</v>
      </c>
      <c r="R10412" t="s">
        <v>32540</v>
      </c>
      <c r="S10412" t="s">
        <v>33102</v>
      </c>
      <c r="T10412" t="s">
        <v>33181</v>
      </c>
      <c r="U10412" t="s">
        <v>42172</v>
      </c>
      <c r="V10412" t="s">
        <v>43628</v>
      </c>
      <c r="W10412" t="s">
        <v>31924</v>
      </c>
      <c r="X10412" t="s">
        <v>43793</v>
      </c>
    </row>
    <row r="10413" spans="1:24">
      <c r="A10413">
        <f>HYPERLINK("https://www.philgeps.gov.ph/GEPSNONPILOT/Tender/SplashBidNoticeAbstractUI.aspx?menuIndex=3&amp;refID=6986153&amp;Result=3","6986153")</f>
        <v>0</v>
      </c>
      <c r="B10413" t="s">
        <v>46</v>
      </c>
      <c r="C10413" t="s">
        <v>12663</v>
      </c>
      <c r="D10413" t="s">
        <v>13006</v>
      </c>
      <c r="E10413" t="s">
        <v>22142</v>
      </c>
      <c r="F10413" t="s">
        <v>22436</v>
      </c>
      <c r="G10413" t="s">
        <v>22444</v>
      </c>
      <c r="H10413" t="s">
        <v>22452</v>
      </c>
      <c r="I10413" t="s">
        <v>3529</v>
      </c>
      <c r="J10413" t="s">
        <v>29136</v>
      </c>
      <c r="K10413" t="s">
        <v>29357</v>
      </c>
      <c r="M10413" t="s">
        <v>29760</v>
      </c>
      <c r="N10413" t="s">
        <v>32524</v>
      </c>
      <c r="O10413" t="s">
        <v>32525</v>
      </c>
      <c r="P10413">
        <v>0</v>
      </c>
      <c r="Q10413">
        <v>0</v>
      </c>
      <c r="R10413" t="s">
        <v>32540</v>
      </c>
      <c r="S10413" t="s">
        <v>33102</v>
      </c>
      <c r="T10413" t="s">
        <v>33324</v>
      </c>
      <c r="U10413" t="s">
        <v>42173</v>
      </c>
      <c r="V10413" t="s">
        <v>42461</v>
      </c>
      <c r="W10413" t="s">
        <v>29760</v>
      </c>
      <c r="X10413" t="s">
        <v>43805</v>
      </c>
    </row>
    <row r="10414" spans="1:24">
      <c r="A10414">
        <f>HYPERLINK("https://www.philgeps.gov.ph/GEPSNONPILOT/Tender/SplashBidNoticeAbstractUI.aspx?menuIndex=3&amp;refID=7024247&amp;Result=3","7024247")</f>
        <v>0</v>
      </c>
      <c r="B10414" t="s">
        <v>940</v>
      </c>
      <c r="C10414" t="s">
        <v>12664</v>
      </c>
      <c r="D10414" t="s">
        <v>13024</v>
      </c>
      <c r="E10414" t="s">
        <v>15306</v>
      </c>
      <c r="F10414" t="s">
        <v>22436</v>
      </c>
      <c r="G10414" t="s">
        <v>22444</v>
      </c>
      <c r="H10414" t="s">
        <v>22452</v>
      </c>
      <c r="I10414" t="s">
        <v>2981</v>
      </c>
      <c r="J10414" t="s">
        <v>29137</v>
      </c>
      <c r="K10414" t="s">
        <v>29338</v>
      </c>
      <c r="M10414" t="s">
        <v>32165</v>
      </c>
      <c r="N10414" t="s">
        <v>32524</v>
      </c>
      <c r="O10414" t="s">
        <v>32525</v>
      </c>
      <c r="P10414">
        <v>0</v>
      </c>
      <c r="Q10414">
        <v>0</v>
      </c>
      <c r="R10414" t="s">
        <v>32539</v>
      </c>
      <c r="S10414" t="s">
        <v>33010</v>
      </c>
      <c r="T10414" t="s">
        <v>33163</v>
      </c>
      <c r="U10414" t="s">
        <v>42160</v>
      </c>
      <c r="W10414" t="s">
        <v>43757</v>
      </c>
      <c r="X10414" t="s">
        <v>32540</v>
      </c>
    </row>
    <row r="10415" spans="1:24">
      <c r="A10415">
        <f>HYPERLINK("https://www.philgeps.gov.ph/GEPSNONPILOT/Tender/SplashBidNoticeAbstractUI.aspx?menuIndex=3&amp;refID=7005631&amp;Result=3","7005631")</f>
        <v>0</v>
      </c>
      <c r="B10415" t="s">
        <v>1947</v>
      </c>
      <c r="C10415" t="s">
        <v>12665</v>
      </c>
      <c r="D10415" t="s">
        <v>12998</v>
      </c>
      <c r="E10415" t="s">
        <v>22143</v>
      </c>
      <c r="F10415" t="s">
        <v>22436</v>
      </c>
      <c r="G10415" t="s">
        <v>22447</v>
      </c>
      <c r="H10415" t="s">
        <v>22453</v>
      </c>
      <c r="I10415" t="s">
        <v>22571</v>
      </c>
      <c r="J10415" t="s">
        <v>29138</v>
      </c>
      <c r="K10415" t="s">
        <v>29388</v>
      </c>
      <c r="M10415" t="s">
        <v>31783</v>
      </c>
      <c r="N10415" t="s">
        <v>32524</v>
      </c>
      <c r="O10415" t="s">
        <v>32525</v>
      </c>
      <c r="Q10415">
        <v>1</v>
      </c>
      <c r="R10415" t="s">
        <v>32540</v>
      </c>
      <c r="S10415" t="s">
        <v>33104</v>
      </c>
      <c r="T10415" t="s">
        <v>33213</v>
      </c>
      <c r="U10415" t="s">
        <v>38802</v>
      </c>
      <c r="V10415" t="s">
        <v>43415</v>
      </c>
      <c r="W10415" t="s">
        <v>31783</v>
      </c>
      <c r="X10415" t="s">
        <v>43806</v>
      </c>
    </row>
    <row r="10416" spans="1:24">
      <c r="A10416">
        <f>HYPERLINK("https://www.philgeps.gov.ph/GEPSNONPILOT/Tender/SplashBidNoticeAbstractUI.aspx?menuIndex=3&amp;refID=7011470&amp;Result=3","7011470")</f>
        <v>0</v>
      </c>
      <c r="B10416" t="s">
        <v>958</v>
      </c>
      <c r="C10416" t="s">
        <v>12666</v>
      </c>
      <c r="E10416" t="s">
        <v>22144</v>
      </c>
      <c r="F10416" t="s">
        <v>22436</v>
      </c>
      <c r="G10416" t="s">
        <v>22444</v>
      </c>
      <c r="H10416" t="s">
        <v>22452</v>
      </c>
      <c r="I10416" t="s">
        <v>3529</v>
      </c>
      <c r="J10416" t="s">
        <v>29139</v>
      </c>
      <c r="K10416" t="s">
        <v>29338</v>
      </c>
      <c r="M10416" t="s">
        <v>30574</v>
      </c>
      <c r="N10416" t="s">
        <v>32524</v>
      </c>
      <c r="O10416" t="s">
        <v>32525</v>
      </c>
      <c r="P10416">
        <v>0</v>
      </c>
      <c r="Q10416">
        <v>2</v>
      </c>
      <c r="R10416" t="s">
        <v>32540</v>
      </c>
      <c r="S10416" t="s">
        <v>33102</v>
      </c>
      <c r="T10416" t="s">
        <v>33168</v>
      </c>
      <c r="U10416" t="s">
        <v>42174</v>
      </c>
      <c r="W10416" t="s">
        <v>30574</v>
      </c>
      <c r="X10416" t="s">
        <v>43778</v>
      </c>
    </row>
    <row r="10417" spans="1:24">
      <c r="A10417">
        <f>HYPERLINK("https://www.philgeps.gov.ph/GEPSNONPILOT/Tender/SplashBidNoticeAbstractUI.aspx?menuIndex=3&amp;refID=7013985&amp;Result=3","7013985")</f>
        <v>0</v>
      </c>
      <c r="B10417" t="s">
        <v>961</v>
      </c>
      <c r="C10417" t="s">
        <v>12667</v>
      </c>
      <c r="D10417" t="s">
        <v>13045</v>
      </c>
      <c r="E10417" t="s">
        <v>22145</v>
      </c>
      <c r="F10417" t="s">
        <v>22436</v>
      </c>
      <c r="G10417" t="s">
        <v>22444</v>
      </c>
      <c r="H10417" t="s">
        <v>22454</v>
      </c>
      <c r="I10417" t="s">
        <v>7738</v>
      </c>
      <c r="J10417" t="s">
        <v>22779</v>
      </c>
      <c r="K10417" t="s">
        <v>29334</v>
      </c>
      <c r="M10417" t="s">
        <v>30577</v>
      </c>
      <c r="N10417" t="s">
        <v>32524</v>
      </c>
      <c r="O10417" t="s">
        <v>32525</v>
      </c>
      <c r="P10417">
        <v>0</v>
      </c>
      <c r="Q10417">
        <v>2</v>
      </c>
      <c r="R10417" t="s">
        <v>32540</v>
      </c>
      <c r="S10417" t="s">
        <v>33102</v>
      </c>
      <c r="T10417" t="s">
        <v>33171</v>
      </c>
      <c r="U10417" t="s">
        <v>42175</v>
      </c>
      <c r="W10417" t="s">
        <v>30577</v>
      </c>
      <c r="X10417" t="s">
        <v>43793</v>
      </c>
    </row>
    <row r="10418" spans="1:24">
      <c r="A10418">
        <f>HYPERLINK("https://www.philgeps.gov.ph/GEPSNONPILOT/Tender/SplashBidNoticeAbstractUI.aspx?menuIndex=3&amp;refID=6978609&amp;Result=3","6978609")</f>
        <v>0</v>
      </c>
      <c r="B10418" t="s">
        <v>46</v>
      </c>
      <c r="C10418" t="s">
        <v>12668</v>
      </c>
      <c r="D10418" t="s">
        <v>13006</v>
      </c>
      <c r="E10418" t="s">
        <v>22146</v>
      </c>
      <c r="F10418" t="s">
        <v>22436</v>
      </c>
      <c r="G10418" t="s">
        <v>22444</v>
      </c>
      <c r="H10418" t="s">
        <v>22452</v>
      </c>
      <c r="I10418" t="s">
        <v>12358</v>
      </c>
      <c r="J10418" t="s">
        <v>29140</v>
      </c>
      <c r="K10418" t="s">
        <v>29330</v>
      </c>
      <c r="M10418" t="s">
        <v>29760</v>
      </c>
      <c r="N10418" t="s">
        <v>32524</v>
      </c>
      <c r="O10418" t="s">
        <v>32525</v>
      </c>
      <c r="P10418">
        <v>0</v>
      </c>
      <c r="Q10418">
        <v>0</v>
      </c>
      <c r="R10418" t="s">
        <v>32540</v>
      </c>
      <c r="S10418" t="s">
        <v>33102</v>
      </c>
      <c r="T10418" t="s">
        <v>33324</v>
      </c>
      <c r="U10418" t="s">
        <v>42176</v>
      </c>
      <c r="V10418" t="s">
        <v>42461</v>
      </c>
      <c r="W10418" t="s">
        <v>29760</v>
      </c>
      <c r="X10418" t="s">
        <v>43803</v>
      </c>
    </row>
    <row r="10419" spans="1:24">
      <c r="A10419">
        <f>HYPERLINK("https://www.philgeps.gov.ph/GEPSNONPILOT/Tender/SplashBidNoticeAbstractUI.aspx?menuIndex=3&amp;refID=6938271&amp;Result=3","6938271")</f>
        <v>0</v>
      </c>
      <c r="B10419" t="s">
        <v>2644</v>
      </c>
      <c r="C10419" t="s">
        <v>12271</v>
      </c>
      <c r="D10419" t="s">
        <v>13029</v>
      </c>
      <c r="E10419" t="s">
        <v>22147</v>
      </c>
      <c r="F10419" t="s">
        <v>22436</v>
      </c>
      <c r="G10419" t="s">
        <v>22444</v>
      </c>
      <c r="H10419" t="s">
        <v>22454</v>
      </c>
      <c r="I10419" t="s">
        <v>7738</v>
      </c>
      <c r="J10419" t="s">
        <v>23111</v>
      </c>
      <c r="K10419" t="s">
        <v>29334</v>
      </c>
      <c r="M10419" t="s">
        <v>32482</v>
      </c>
      <c r="N10419" t="s">
        <v>32524</v>
      </c>
      <c r="O10419" t="s">
        <v>32525</v>
      </c>
      <c r="P10419">
        <v>0</v>
      </c>
      <c r="Q10419">
        <v>0</v>
      </c>
      <c r="R10419" t="s">
        <v>32540</v>
      </c>
      <c r="S10419" t="s">
        <v>33102</v>
      </c>
      <c r="T10419" t="s">
        <v>33181</v>
      </c>
      <c r="U10419" t="s">
        <v>42177</v>
      </c>
      <c r="W10419" t="s">
        <v>32482</v>
      </c>
      <c r="X10419" t="s">
        <v>43777</v>
      </c>
    </row>
    <row r="10420" spans="1:24">
      <c r="A10420">
        <f>HYPERLINK("https://www.philgeps.gov.ph/GEPSNONPILOT/Tender/SplashBidNoticeAbstractUI.aspx?menuIndex=3&amp;refID=7015616&amp;Result=3","7015616")</f>
        <v>0</v>
      </c>
      <c r="B10420" t="s">
        <v>2645</v>
      </c>
      <c r="C10420" t="s">
        <v>12669</v>
      </c>
      <c r="D10420" t="s">
        <v>13019</v>
      </c>
      <c r="E10420" t="s">
        <v>22148</v>
      </c>
      <c r="F10420" t="s">
        <v>22436</v>
      </c>
      <c r="G10420" t="s">
        <v>22444</v>
      </c>
      <c r="H10420" t="s">
        <v>22454</v>
      </c>
      <c r="I10420" t="s">
        <v>7738</v>
      </c>
      <c r="J10420" t="s">
        <v>23350</v>
      </c>
      <c r="K10420" t="s">
        <v>29402</v>
      </c>
      <c r="M10420" t="s">
        <v>32483</v>
      </c>
      <c r="N10420" t="s">
        <v>32524</v>
      </c>
      <c r="O10420" t="s">
        <v>32525</v>
      </c>
      <c r="Q10420">
        <v>1</v>
      </c>
      <c r="R10420" t="s">
        <v>32540</v>
      </c>
      <c r="S10420" t="s">
        <v>33105</v>
      </c>
      <c r="T10420" t="s">
        <v>33304</v>
      </c>
      <c r="U10420" t="s">
        <v>42178</v>
      </c>
      <c r="V10420" t="s">
        <v>43629</v>
      </c>
      <c r="W10420" t="s">
        <v>32483</v>
      </c>
      <c r="X10420" t="s">
        <v>43801</v>
      </c>
    </row>
    <row r="10421" spans="1:24">
      <c r="A10421">
        <f>HYPERLINK("https://www.philgeps.gov.ph/GEPSNONPILOT/Tender/SplashBidNoticeAbstractUI.aspx?menuIndex=3&amp;refID=7014006&amp;Result=3","7014006")</f>
        <v>0</v>
      </c>
      <c r="B10421" t="s">
        <v>961</v>
      </c>
      <c r="C10421" t="s">
        <v>12670</v>
      </c>
      <c r="D10421" t="s">
        <v>13045</v>
      </c>
      <c r="E10421" t="s">
        <v>22149</v>
      </c>
      <c r="F10421" t="s">
        <v>22436</v>
      </c>
      <c r="G10421" t="s">
        <v>22444</v>
      </c>
      <c r="H10421" t="s">
        <v>22454</v>
      </c>
      <c r="I10421" t="s">
        <v>7738</v>
      </c>
      <c r="J10421" t="s">
        <v>22634</v>
      </c>
      <c r="K10421" t="s">
        <v>29334</v>
      </c>
      <c r="M10421" t="s">
        <v>30577</v>
      </c>
      <c r="N10421" t="s">
        <v>32524</v>
      </c>
      <c r="O10421" t="s">
        <v>32525</v>
      </c>
      <c r="P10421">
        <v>0</v>
      </c>
      <c r="Q10421">
        <v>2</v>
      </c>
      <c r="R10421" t="s">
        <v>32540</v>
      </c>
      <c r="S10421" t="s">
        <v>33102</v>
      </c>
      <c r="T10421" t="s">
        <v>33171</v>
      </c>
      <c r="U10421" t="s">
        <v>42171</v>
      </c>
      <c r="W10421" t="s">
        <v>30577</v>
      </c>
      <c r="X10421" t="s">
        <v>43793</v>
      </c>
    </row>
    <row r="10422" spans="1:24">
      <c r="A10422">
        <f>HYPERLINK("https://www.philgeps.gov.ph/GEPSNONPILOT/Tender/SplashBidNoticeAbstractUI.aspx?menuIndex=3&amp;refID=7014237&amp;Result=3","7014237")</f>
        <v>0</v>
      </c>
      <c r="B10422" t="s">
        <v>156</v>
      </c>
      <c r="C10422" t="s">
        <v>12671</v>
      </c>
      <c r="D10422" t="s">
        <v>12990</v>
      </c>
      <c r="E10422" t="s">
        <v>22150</v>
      </c>
      <c r="F10422" t="s">
        <v>22436</v>
      </c>
      <c r="G10422" t="s">
        <v>22444</v>
      </c>
      <c r="H10422" t="s">
        <v>22454</v>
      </c>
      <c r="I10422" t="s">
        <v>6387</v>
      </c>
      <c r="J10422" t="s">
        <v>28696</v>
      </c>
      <c r="K10422" t="s">
        <v>29329</v>
      </c>
      <c r="M10422" t="s">
        <v>29728</v>
      </c>
      <c r="N10422" t="s">
        <v>32524</v>
      </c>
      <c r="O10422" t="s">
        <v>32525</v>
      </c>
      <c r="P10422">
        <v>0</v>
      </c>
      <c r="Q10422">
        <v>6</v>
      </c>
      <c r="R10422" t="s">
        <v>32540</v>
      </c>
      <c r="S10422" t="s">
        <v>33102</v>
      </c>
      <c r="T10422" t="s">
        <v>33163</v>
      </c>
      <c r="U10422" t="s">
        <v>42179</v>
      </c>
      <c r="W10422" t="s">
        <v>29728</v>
      </c>
      <c r="X10422" t="s">
        <v>43793</v>
      </c>
    </row>
    <row r="10423" spans="1:24">
      <c r="A10423">
        <f>HYPERLINK("https://www.philgeps.gov.ph/GEPSNONPILOT/Tender/SplashBidNoticeAbstractUI.aspx?menuIndex=3&amp;refID=7015344&amp;Result=3","7015344")</f>
        <v>0</v>
      </c>
      <c r="B10423" t="s">
        <v>1302</v>
      </c>
      <c r="C10423" t="s">
        <v>12672</v>
      </c>
      <c r="D10423" t="s">
        <v>13010</v>
      </c>
      <c r="E10423" t="s">
        <v>22151</v>
      </c>
      <c r="F10423" t="s">
        <v>22436</v>
      </c>
      <c r="G10423" t="s">
        <v>22444</v>
      </c>
      <c r="H10423" t="s">
        <v>22454</v>
      </c>
      <c r="I10423" t="s">
        <v>7738</v>
      </c>
      <c r="J10423" t="s">
        <v>22960</v>
      </c>
      <c r="K10423" t="s">
        <v>29345</v>
      </c>
      <c r="M10423" t="s">
        <v>30956</v>
      </c>
      <c r="N10423" t="s">
        <v>32524</v>
      </c>
      <c r="O10423" t="s">
        <v>32525</v>
      </c>
      <c r="Q10423">
        <v>2</v>
      </c>
      <c r="R10423" t="s">
        <v>32540</v>
      </c>
      <c r="S10423" t="s">
        <v>33106</v>
      </c>
      <c r="T10423" t="s">
        <v>33155</v>
      </c>
      <c r="U10423" t="s">
        <v>42180</v>
      </c>
      <c r="W10423" t="s">
        <v>30956</v>
      </c>
      <c r="X10423" t="s">
        <v>43801</v>
      </c>
    </row>
    <row r="10424" spans="1:24">
      <c r="A10424">
        <f>HYPERLINK("https://www.philgeps.gov.ph/GEPSNONPILOT/Tender/SplashBidNoticeAbstractUI.aspx?menuIndex=3&amp;refID=7015589&amp;Result=3","7015589")</f>
        <v>0</v>
      </c>
      <c r="B10424" t="s">
        <v>2645</v>
      </c>
      <c r="C10424" t="s">
        <v>12673</v>
      </c>
      <c r="D10424" t="s">
        <v>13019</v>
      </c>
      <c r="E10424" t="s">
        <v>22152</v>
      </c>
      <c r="F10424" t="s">
        <v>22436</v>
      </c>
      <c r="G10424" t="s">
        <v>22444</v>
      </c>
      <c r="H10424" t="s">
        <v>22454</v>
      </c>
      <c r="I10424" t="s">
        <v>7738</v>
      </c>
      <c r="J10424" t="s">
        <v>22779</v>
      </c>
      <c r="K10424" t="s">
        <v>29516</v>
      </c>
      <c r="M10424" t="s">
        <v>32483</v>
      </c>
      <c r="N10424" t="s">
        <v>32524</v>
      </c>
      <c r="O10424" t="s">
        <v>32525</v>
      </c>
      <c r="Q10424">
        <v>1</v>
      </c>
      <c r="R10424" t="s">
        <v>32540</v>
      </c>
      <c r="S10424" t="s">
        <v>33107</v>
      </c>
      <c r="T10424" t="s">
        <v>33304</v>
      </c>
      <c r="U10424" t="s">
        <v>42181</v>
      </c>
      <c r="V10424" t="s">
        <v>43629</v>
      </c>
      <c r="W10424" t="s">
        <v>32483</v>
      </c>
      <c r="X10424" t="s">
        <v>43801</v>
      </c>
    </row>
    <row r="10425" spans="1:24">
      <c r="A10425">
        <f>HYPERLINK("https://www.philgeps.gov.ph/GEPSNONPILOT/Tender/SplashBidNoticeAbstractUI.aspx?menuIndex=3&amp;refID=7014219&amp;Result=3","7014219")</f>
        <v>0</v>
      </c>
      <c r="B10425" t="s">
        <v>156</v>
      </c>
      <c r="C10425" t="s">
        <v>12674</v>
      </c>
      <c r="D10425" t="s">
        <v>12990</v>
      </c>
      <c r="E10425" t="s">
        <v>22153</v>
      </c>
      <c r="F10425" t="s">
        <v>22436</v>
      </c>
      <c r="G10425" t="s">
        <v>22444</v>
      </c>
      <c r="H10425" t="s">
        <v>22454</v>
      </c>
      <c r="I10425" t="s">
        <v>7738</v>
      </c>
      <c r="J10425" t="s">
        <v>29141</v>
      </c>
      <c r="K10425" t="s">
        <v>29401</v>
      </c>
      <c r="M10425" t="s">
        <v>29728</v>
      </c>
      <c r="N10425" t="s">
        <v>32524</v>
      </c>
      <c r="O10425" t="s">
        <v>32525</v>
      </c>
      <c r="P10425">
        <v>0</v>
      </c>
      <c r="Q10425">
        <v>1</v>
      </c>
      <c r="R10425" t="s">
        <v>32540</v>
      </c>
      <c r="S10425" t="s">
        <v>33102</v>
      </c>
      <c r="T10425" t="s">
        <v>33163</v>
      </c>
      <c r="U10425" t="s">
        <v>42182</v>
      </c>
      <c r="W10425" t="s">
        <v>29728</v>
      </c>
      <c r="X10425" t="s">
        <v>43793</v>
      </c>
    </row>
    <row r="10426" spans="1:24">
      <c r="A10426">
        <f>HYPERLINK("https://www.philgeps.gov.ph/GEPSNONPILOT/Tender/SplashBidNoticeAbstractUI.aspx?menuIndex=3&amp;refID=7015374&amp;Result=3","7015374")</f>
        <v>0</v>
      </c>
      <c r="B10426" t="s">
        <v>1547</v>
      </c>
      <c r="C10426" t="s">
        <v>12675</v>
      </c>
      <c r="D10426" t="s">
        <v>13045</v>
      </c>
      <c r="E10426" t="s">
        <v>22154</v>
      </c>
      <c r="F10426" t="s">
        <v>22436</v>
      </c>
      <c r="G10426" t="s">
        <v>22444</v>
      </c>
      <c r="H10426" t="s">
        <v>22452</v>
      </c>
      <c r="I10426" t="s">
        <v>22469</v>
      </c>
      <c r="J10426" t="s">
        <v>22750</v>
      </c>
      <c r="K10426" t="s">
        <v>29335</v>
      </c>
      <c r="M10426" t="s">
        <v>32484</v>
      </c>
      <c r="N10426" t="s">
        <v>32524</v>
      </c>
      <c r="O10426" t="s">
        <v>32525</v>
      </c>
      <c r="P10426">
        <v>0</v>
      </c>
      <c r="Q10426">
        <v>9</v>
      </c>
      <c r="R10426" t="s">
        <v>32540</v>
      </c>
      <c r="S10426" t="s">
        <v>33102</v>
      </c>
      <c r="T10426" t="s">
        <v>33230</v>
      </c>
      <c r="U10426" t="s">
        <v>42183</v>
      </c>
      <c r="W10426" t="s">
        <v>43774</v>
      </c>
      <c r="X10426" t="s">
        <v>43801</v>
      </c>
    </row>
    <row r="10427" spans="1:24">
      <c r="A10427">
        <f>HYPERLINK("https://www.philgeps.gov.ph/GEPSNONPILOT/Tender/SplashBidNoticeAbstractUI.aspx?menuIndex=3&amp;refID=7016078&amp;Result=3","7016078")</f>
        <v>0</v>
      </c>
      <c r="B10427" t="s">
        <v>1026</v>
      </c>
      <c r="C10427" t="s">
        <v>12676</v>
      </c>
      <c r="D10427" t="s">
        <v>13032</v>
      </c>
      <c r="E10427" t="s">
        <v>22155</v>
      </c>
      <c r="F10427" t="s">
        <v>22436</v>
      </c>
      <c r="G10427" t="s">
        <v>22444</v>
      </c>
      <c r="H10427" t="s">
        <v>22454</v>
      </c>
      <c r="I10427" t="s">
        <v>7738</v>
      </c>
      <c r="J10427" t="s">
        <v>29142</v>
      </c>
      <c r="K10427" t="s">
        <v>29345</v>
      </c>
      <c r="M10427" t="s">
        <v>30655</v>
      </c>
      <c r="N10427" t="s">
        <v>32524</v>
      </c>
      <c r="O10427" t="s">
        <v>32525</v>
      </c>
      <c r="P10427">
        <v>0</v>
      </c>
      <c r="Q10427">
        <v>1</v>
      </c>
      <c r="R10427" t="s">
        <v>32540</v>
      </c>
      <c r="S10427" t="s">
        <v>33102</v>
      </c>
      <c r="T10427" t="s">
        <v>33203</v>
      </c>
      <c r="U10427" t="s">
        <v>42184</v>
      </c>
      <c r="W10427" t="s">
        <v>30655</v>
      </c>
      <c r="X10427" t="s">
        <v>43801</v>
      </c>
    </row>
    <row r="10428" spans="1:24">
      <c r="A10428">
        <f>HYPERLINK("https://www.philgeps.gov.ph/GEPSNONPILOT/Tender/SplashBidNoticeAbstractUI.aspx?menuIndex=3&amp;refID=7014436&amp;Result=3","7014436")</f>
        <v>0</v>
      </c>
      <c r="B10428" t="s">
        <v>333</v>
      </c>
      <c r="C10428" t="s">
        <v>12677</v>
      </c>
      <c r="D10428" t="s">
        <v>13000</v>
      </c>
      <c r="E10428" t="s">
        <v>22156</v>
      </c>
      <c r="F10428" t="s">
        <v>22436</v>
      </c>
      <c r="G10428" t="s">
        <v>22444</v>
      </c>
      <c r="H10428" t="s">
        <v>22454</v>
      </c>
      <c r="I10428" t="s">
        <v>7738</v>
      </c>
      <c r="J10428" t="s">
        <v>29143</v>
      </c>
      <c r="K10428" t="s">
        <v>29338</v>
      </c>
      <c r="M10428" t="s">
        <v>29909</v>
      </c>
      <c r="N10428" t="s">
        <v>32524</v>
      </c>
      <c r="O10428" t="s">
        <v>32525</v>
      </c>
      <c r="P10428">
        <v>0</v>
      </c>
      <c r="Q10428">
        <v>1</v>
      </c>
      <c r="R10428" t="s">
        <v>32540</v>
      </c>
      <c r="S10428" t="s">
        <v>33102</v>
      </c>
      <c r="T10428" t="s">
        <v>33230</v>
      </c>
      <c r="U10428" t="s">
        <v>42185</v>
      </c>
      <c r="W10428" t="s">
        <v>29909</v>
      </c>
      <c r="X10428" t="s">
        <v>43801</v>
      </c>
    </row>
    <row r="10429" spans="1:24">
      <c r="A10429">
        <f>HYPERLINK("https://www.philgeps.gov.ph/GEPSNONPILOT/Tender/SplashBidNoticeAbstractUI.aspx?menuIndex=3&amp;refID=7014233&amp;Result=3","7014233")</f>
        <v>0</v>
      </c>
      <c r="B10429" t="s">
        <v>156</v>
      </c>
      <c r="C10429" t="s">
        <v>12678</v>
      </c>
      <c r="D10429" t="s">
        <v>12990</v>
      </c>
      <c r="E10429" t="s">
        <v>22157</v>
      </c>
      <c r="F10429" t="s">
        <v>22436</v>
      </c>
      <c r="G10429" t="s">
        <v>22444</v>
      </c>
      <c r="H10429" t="s">
        <v>22454</v>
      </c>
      <c r="I10429" t="s">
        <v>7738</v>
      </c>
      <c r="J10429" t="s">
        <v>29144</v>
      </c>
      <c r="K10429" t="s">
        <v>29401</v>
      </c>
      <c r="M10429" t="s">
        <v>29728</v>
      </c>
      <c r="N10429" t="s">
        <v>32524</v>
      </c>
      <c r="O10429" t="s">
        <v>32525</v>
      </c>
      <c r="P10429">
        <v>0</v>
      </c>
      <c r="Q10429">
        <v>5</v>
      </c>
      <c r="R10429" t="s">
        <v>32540</v>
      </c>
      <c r="S10429" t="s">
        <v>33102</v>
      </c>
      <c r="T10429" t="s">
        <v>33163</v>
      </c>
      <c r="U10429" t="s">
        <v>42186</v>
      </c>
      <c r="W10429" t="s">
        <v>29728</v>
      </c>
      <c r="X10429" t="s">
        <v>43793</v>
      </c>
    </row>
    <row r="10430" spans="1:24">
      <c r="A10430">
        <f>HYPERLINK("https://www.philgeps.gov.ph/GEPSNONPILOT/Tender/SplashBidNoticeAbstractUI.aspx?menuIndex=3&amp;refID=7014815&amp;Result=3","7014815")</f>
        <v>0</v>
      </c>
      <c r="B10430" t="s">
        <v>2160</v>
      </c>
      <c r="C10430" t="s">
        <v>3472</v>
      </c>
      <c r="D10430" t="s">
        <v>13043</v>
      </c>
      <c r="E10430" t="s">
        <v>22158</v>
      </c>
      <c r="F10430" t="s">
        <v>22436</v>
      </c>
      <c r="G10430" t="s">
        <v>22444</v>
      </c>
      <c r="H10430" t="s">
        <v>22452</v>
      </c>
      <c r="I10430" t="s">
        <v>22460</v>
      </c>
      <c r="J10430" t="s">
        <v>29145</v>
      </c>
      <c r="K10430" t="s">
        <v>29335</v>
      </c>
      <c r="M10430" t="s">
        <v>31915</v>
      </c>
      <c r="N10430" t="s">
        <v>32524</v>
      </c>
      <c r="O10430" t="s">
        <v>32525</v>
      </c>
      <c r="P10430">
        <v>0</v>
      </c>
      <c r="Q10430">
        <v>2</v>
      </c>
      <c r="R10430" t="s">
        <v>32540</v>
      </c>
      <c r="S10430" t="s">
        <v>33102</v>
      </c>
      <c r="T10430" t="s">
        <v>33228</v>
      </c>
      <c r="U10430" t="s">
        <v>42187</v>
      </c>
      <c r="W10430" t="s">
        <v>31915</v>
      </c>
      <c r="X10430" t="s">
        <v>43801</v>
      </c>
    </row>
    <row r="10431" spans="1:24">
      <c r="A10431">
        <f>HYPERLINK("https://www.philgeps.gov.ph/GEPSNONPILOT/Tender/SplashBidNoticeAbstractUI.aspx?menuIndex=3&amp;refID=7016044&amp;Result=3","7016044")</f>
        <v>0</v>
      </c>
      <c r="B10431" t="s">
        <v>1026</v>
      </c>
      <c r="C10431" t="s">
        <v>12679</v>
      </c>
      <c r="D10431" t="s">
        <v>13032</v>
      </c>
      <c r="E10431" t="s">
        <v>22159</v>
      </c>
      <c r="F10431" t="s">
        <v>22436</v>
      </c>
      <c r="G10431" t="s">
        <v>22444</v>
      </c>
      <c r="H10431" t="s">
        <v>22454</v>
      </c>
      <c r="I10431" t="s">
        <v>7738</v>
      </c>
      <c r="J10431" t="s">
        <v>29146</v>
      </c>
      <c r="K10431" t="s">
        <v>29388</v>
      </c>
      <c r="M10431" t="s">
        <v>30655</v>
      </c>
      <c r="N10431" t="s">
        <v>32524</v>
      </c>
      <c r="O10431" t="s">
        <v>32525</v>
      </c>
      <c r="P10431">
        <v>0</v>
      </c>
      <c r="Q10431">
        <v>0</v>
      </c>
      <c r="R10431" t="s">
        <v>32540</v>
      </c>
      <c r="S10431" t="s">
        <v>33102</v>
      </c>
      <c r="T10431" t="s">
        <v>33203</v>
      </c>
      <c r="U10431" t="s">
        <v>42188</v>
      </c>
      <c r="W10431" t="s">
        <v>30655</v>
      </c>
      <c r="X10431" t="s">
        <v>43801</v>
      </c>
    </row>
    <row r="10432" spans="1:24">
      <c r="A10432">
        <f>HYPERLINK("https://www.philgeps.gov.ph/GEPSNONPILOT/Tender/SplashBidNoticeAbstractUI.aspx?menuIndex=3&amp;refID=7015883&amp;Result=3","7015883")</f>
        <v>0</v>
      </c>
      <c r="B10432" t="s">
        <v>1026</v>
      </c>
      <c r="C10432" t="s">
        <v>12680</v>
      </c>
      <c r="D10432" t="s">
        <v>13032</v>
      </c>
      <c r="E10432" t="s">
        <v>22160</v>
      </c>
      <c r="F10432" t="s">
        <v>22436</v>
      </c>
      <c r="G10432" t="s">
        <v>22444</v>
      </c>
      <c r="H10432" t="s">
        <v>22454</v>
      </c>
      <c r="I10432" t="s">
        <v>7738</v>
      </c>
      <c r="J10432" t="s">
        <v>29147</v>
      </c>
      <c r="K10432" t="s">
        <v>29401</v>
      </c>
      <c r="M10432" t="s">
        <v>30655</v>
      </c>
      <c r="N10432" t="s">
        <v>32524</v>
      </c>
      <c r="O10432" t="s">
        <v>32525</v>
      </c>
      <c r="P10432">
        <v>0</v>
      </c>
      <c r="Q10432">
        <v>0</v>
      </c>
      <c r="R10432" t="s">
        <v>32540</v>
      </c>
      <c r="S10432" t="s">
        <v>33102</v>
      </c>
      <c r="T10432" t="s">
        <v>33203</v>
      </c>
      <c r="U10432" t="s">
        <v>42189</v>
      </c>
      <c r="W10432" t="s">
        <v>30655</v>
      </c>
      <c r="X10432" t="s">
        <v>43801</v>
      </c>
    </row>
    <row r="10433" spans="1:24">
      <c r="A10433">
        <f>HYPERLINK("https://www.philgeps.gov.ph/GEPSNONPILOT/Tender/SplashBidNoticeAbstractUI.aspx?menuIndex=3&amp;refID=7015306&amp;Result=3","7015306")</f>
        <v>0</v>
      </c>
      <c r="B10433" t="s">
        <v>1547</v>
      </c>
      <c r="C10433" t="s">
        <v>12681</v>
      </c>
      <c r="D10433" t="s">
        <v>13045</v>
      </c>
      <c r="E10433" t="s">
        <v>22161</v>
      </c>
      <c r="F10433" t="s">
        <v>22436</v>
      </c>
      <c r="G10433" t="s">
        <v>22444</v>
      </c>
      <c r="H10433" t="s">
        <v>22452</v>
      </c>
      <c r="I10433" t="s">
        <v>22469</v>
      </c>
      <c r="J10433" t="s">
        <v>24082</v>
      </c>
      <c r="K10433" t="s">
        <v>29335</v>
      </c>
      <c r="M10433" t="s">
        <v>32484</v>
      </c>
      <c r="N10433" t="s">
        <v>32524</v>
      </c>
      <c r="O10433" t="s">
        <v>32525</v>
      </c>
      <c r="P10433">
        <v>0</v>
      </c>
      <c r="Q10433">
        <v>6</v>
      </c>
      <c r="R10433" t="s">
        <v>32540</v>
      </c>
      <c r="S10433" t="s">
        <v>33102</v>
      </c>
      <c r="T10433" t="s">
        <v>33230</v>
      </c>
      <c r="U10433" t="s">
        <v>42190</v>
      </c>
      <c r="W10433" t="s">
        <v>43774</v>
      </c>
      <c r="X10433" t="s">
        <v>43801</v>
      </c>
    </row>
    <row r="10434" spans="1:24">
      <c r="A10434">
        <f>HYPERLINK("https://www.philgeps.gov.ph/GEPSNONPILOT/Tender/SplashBidNoticeAbstractUI.aspx?menuIndex=3&amp;refID=7016036&amp;Result=3","7016036")</f>
        <v>0</v>
      </c>
      <c r="B10434" t="s">
        <v>2443</v>
      </c>
      <c r="C10434" t="s">
        <v>12682</v>
      </c>
      <c r="D10434" t="s">
        <v>13045</v>
      </c>
      <c r="E10434" t="s">
        <v>22162</v>
      </c>
      <c r="F10434" t="s">
        <v>22436</v>
      </c>
      <c r="G10434" t="s">
        <v>22444</v>
      </c>
      <c r="H10434" t="s">
        <v>22452</v>
      </c>
      <c r="I10434" t="s">
        <v>22502</v>
      </c>
      <c r="J10434" t="s">
        <v>23316</v>
      </c>
      <c r="K10434" t="s">
        <v>29344</v>
      </c>
      <c r="M10434" t="s">
        <v>32247</v>
      </c>
      <c r="N10434" t="s">
        <v>32524</v>
      </c>
      <c r="O10434" t="s">
        <v>32525</v>
      </c>
      <c r="Q10434">
        <v>15</v>
      </c>
      <c r="R10434" t="s">
        <v>32540</v>
      </c>
      <c r="S10434" t="s">
        <v>33108</v>
      </c>
      <c r="T10434" t="s">
        <v>33557</v>
      </c>
      <c r="U10434" t="s">
        <v>42191</v>
      </c>
      <c r="W10434" t="s">
        <v>32247</v>
      </c>
      <c r="X10434" t="s">
        <v>43801</v>
      </c>
    </row>
    <row r="10435" spans="1:24">
      <c r="A10435">
        <f>HYPERLINK("https://www.philgeps.gov.ph/GEPSNONPILOT/Tender/SplashBidNoticeAbstractUI.aspx?menuIndex=3&amp;refID=7014211&amp;Result=3","7014211")</f>
        <v>0</v>
      </c>
      <c r="B10435" t="s">
        <v>156</v>
      </c>
      <c r="C10435" t="s">
        <v>12683</v>
      </c>
      <c r="D10435" t="s">
        <v>12990</v>
      </c>
      <c r="E10435" t="s">
        <v>22163</v>
      </c>
      <c r="F10435" t="s">
        <v>22436</v>
      </c>
      <c r="G10435" t="s">
        <v>22444</v>
      </c>
      <c r="H10435" t="s">
        <v>22454</v>
      </c>
      <c r="I10435" t="s">
        <v>7738</v>
      </c>
      <c r="J10435" t="s">
        <v>29148</v>
      </c>
      <c r="K10435" t="s">
        <v>29401</v>
      </c>
      <c r="M10435" t="s">
        <v>29728</v>
      </c>
      <c r="N10435" t="s">
        <v>32524</v>
      </c>
      <c r="O10435" t="s">
        <v>32525</v>
      </c>
      <c r="P10435">
        <v>0</v>
      </c>
      <c r="Q10435">
        <v>1</v>
      </c>
      <c r="R10435" t="s">
        <v>32540</v>
      </c>
      <c r="S10435" t="s">
        <v>33102</v>
      </c>
      <c r="T10435" t="s">
        <v>33163</v>
      </c>
      <c r="U10435" t="s">
        <v>42192</v>
      </c>
      <c r="W10435" t="s">
        <v>29728</v>
      </c>
      <c r="X10435" t="s">
        <v>43793</v>
      </c>
    </row>
    <row r="10436" spans="1:24">
      <c r="A10436">
        <f>HYPERLINK("https://www.philgeps.gov.ph/GEPSNONPILOT/Tender/SplashBidNoticeAbstractUI.aspx?menuIndex=3&amp;refID=7016007&amp;Result=3","7016007")</f>
        <v>0</v>
      </c>
      <c r="B10436" t="s">
        <v>1026</v>
      </c>
      <c r="C10436" t="s">
        <v>12684</v>
      </c>
      <c r="D10436" t="s">
        <v>13032</v>
      </c>
      <c r="E10436" t="s">
        <v>22164</v>
      </c>
      <c r="F10436" t="s">
        <v>22436</v>
      </c>
      <c r="G10436" t="s">
        <v>22444</v>
      </c>
      <c r="H10436" t="s">
        <v>22454</v>
      </c>
      <c r="I10436" t="s">
        <v>6387</v>
      </c>
      <c r="J10436" t="s">
        <v>29149</v>
      </c>
      <c r="K10436" t="s">
        <v>29334</v>
      </c>
      <c r="M10436" t="s">
        <v>30655</v>
      </c>
      <c r="N10436" t="s">
        <v>32524</v>
      </c>
      <c r="O10436" t="s">
        <v>32525</v>
      </c>
      <c r="P10436">
        <v>0</v>
      </c>
      <c r="Q10436">
        <v>1</v>
      </c>
      <c r="R10436" t="s">
        <v>32540</v>
      </c>
      <c r="S10436" t="s">
        <v>33102</v>
      </c>
      <c r="T10436" t="s">
        <v>33203</v>
      </c>
      <c r="U10436" t="s">
        <v>42193</v>
      </c>
      <c r="W10436" t="s">
        <v>30655</v>
      </c>
      <c r="X10436" t="s">
        <v>43801</v>
      </c>
    </row>
    <row r="10437" spans="1:24">
      <c r="A10437">
        <f>HYPERLINK("https://www.philgeps.gov.ph/GEPSNONPILOT/Tender/SplashBidNoticeAbstractUI.aspx?menuIndex=3&amp;refID=7016106&amp;Result=3","7016106")</f>
        <v>0</v>
      </c>
      <c r="B10437" t="s">
        <v>1026</v>
      </c>
      <c r="C10437" t="s">
        <v>12685</v>
      </c>
      <c r="D10437" t="s">
        <v>13032</v>
      </c>
      <c r="E10437" t="s">
        <v>22165</v>
      </c>
      <c r="F10437" t="s">
        <v>22436</v>
      </c>
      <c r="G10437" t="s">
        <v>22444</v>
      </c>
      <c r="H10437" t="s">
        <v>22454</v>
      </c>
      <c r="I10437" t="s">
        <v>7738</v>
      </c>
      <c r="J10437" t="s">
        <v>29150</v>
      </c>
      <c r="K10437" t="s">
        <v>29345</v>
      </c>
      <c r="M10437" t="s">
        <v>30655</v>
      </c>
      <c r="N10437" t="s">
        <v>32524</v>
      </c>
      <c r="O10437" t="s">
        <v>32525</v>
      </c>
      <c r="P10437">
        <v>0</v>
      </c>
      <c r="Q10437">
        <v>0</v>
      </c>
      <c r="R10437" t="s">
        <v>32540</v>
      </c>
      <c r="S10437" t="s">
        <v>33102</v>
      </c>
      <c r="T10437" t="s">
        <v>33203</v>
      </c>
      <c r="U10437" t="s">
        <v>42194</v>
      </c>
      <c r="W10437" t="s">
        <v>30655</v>
      </c>
      <c r="X10437" t="s">
        <v>43801</v>
      </c>
    </row>
    <row r="10438" spans="1:24">
      <c r="A10438">
        <f>HYPERLINK("https://www.philgeps.gov.ph/GEPSNONPILOT/Tender/SplashBidNoticeAbstractUI.aspx?menuIndex=3&amp;refID=7015920&amp;Result=3","7015920")</f>
        <v>0</v>
      </c>
      <c r="B10438" t="s">
        <v>1026</v>
      </c>
      <c r="C10438" t="s">
        <v>12686</v>
      </c>
      <c r="D10438" t="s">
        <v>13032</v>
      </c>
      <c r="E10438" t="s">
        <v>22166</v>
      </c>
      <c r="F10438" t="s">
        <v>22436</v>
      </c>
      <c r="G10438" t="s">
        <v>22444</v>
      </c>
      <c r="H10438" t="s">
        <v>22454</v>
      </c>
      <c r="I10438" t="s">
        <v>6387</v>
      </c>
      <c r="J10438" t="s">
        <v>29151</v>
      </c>
      <c r="K10438" t="s">
        <v>29334</v>
      </c>
      <c r="M10438" t="s">
        <v>30655</v>
      </c>
      <c r="N10438" t="s">
        <v>32524</v>
      </c>
      <c r="O10438" t="s">
        <v>32525</v>
      </c>
      <c r="P10438">
        <v>0</v>
      </c>
      <c r="Q10438">
        <v>4</v>
      </c>
      <c r="R10438" t="s">
        <v>32540</v>
      </c>
      <c r="S10438" t="s">
        <v>33102</v>
      </c>
      <c r="T10438" t="s">
        <v>33203</v>
      </c>
      <c r="U10438" t="s">
        <v>42195</v>
      </c>
      <c r="W10438" t="s">
        <v>30655</v>
      </c>
      <c r="X10438" t="s">
        <v>43801</v>
      </c>
    </row>
    <row r="10439" spans="1:24">
      <c r="A10439">
        <f>HYPERLINK("https://www.philgeps.gov.ph/GEPSNONPILOT/Tender/SplashBidNoticeAbstractUI.aspx?menuIndex=3&amp;refID=7017081&amp;Result=3","7017081")</f>
        <v>0</v>
      </c>
      <c r="B10439" t="s">
        <v>2446</v>
      </c>
      <c r="C10439" t="s">
        <v>12687</v>
      </c>
      <c r="D10439" t="s">
        <v>13060</v>
      </c>
      <c r="E10439" t="s">
        <v>22167</v>
      </c>
      <c r="F10439" t="s">
        <v>22436</v>
      </c>
      <c r="G10439" t="s">
        <v>22444</v>
      </c>
      <c r="H10439" t="s">
        <v>22452</v>
      </c>
      <c r="I10439" t="s">
        <v>5194</v>
      </c>
      <c r="J10439" t="s">
        <v>29152</v>
      </c>
      <c r="K10439" t="s">
        <v>29335</v>
      </c>
      <c r="M10439" t="s">
        <v>32250</v>
      </c>
      <c r="N10439" t="s">
        <v>32524</v>
      </c>
      <c r="O10439" t="s">
        <v>32525</v>
      </c>
      <c r="Q10439">
        <v>4</v>
      </c>
      <c r="R10439" t="s">
        <v>32540</v>
      </c>
      <c r="S10439" t="s">
        <v>33109</v>
      </c>
      <c r="T10439" t="s">
        <v>33180</v>
      </c>
      <c r="U10439" t="s">
        <v>42196</v>
      </c>
      <c r="W10439" t="s">
        <v>32250</v>
      </c>
      <c r="X10439" t="s">
        <v>43782</v>
      </c>
    </row>
    <row r="10440" spans="1:24">
      <c r="A10440">
        <f>HYPERLINK("https://www.philgeps.gov.ph/GEPSNONPILOT/Tender/SplashBidNoticeAbstractUI.aspx?menuIndex=3&amp;refID=7017041&amp;Result=3","7017041")</f>
        <v>0</v>
      </c>
      <c r="B10440" t="s">
        <v>2646</v>
      </c>
      <c r="C10440" t="s">
        <v>12688</v>
      </c>
      <c r="D10440" t="s">
        <v>12997</v>
      </c>
      <c r="E10440" t="s">
        <v>22168</v>
      </c>
      <c r="F10440" t="s">
        <v>22436</v>
      </c>
      <c r="G10440" t="s">
        <v>22444</v>
      </c>
      <c r="H10440" t="s">
        <v>22454</v>
      </c>
      <c r="I10440" t="s">
        <v>7738</v>
      </c>
      <c r="J10440" t="s">
        <v>24006</v>
      </c>
      <c r="K10440" t="s">
        <v>29345</v>
      </c>
      <c r="M10440" t="s">
        <v>32485</v>
      </c>
      <c r="N10440" t="s">
        <v>32524</v>
      </c>
      <c r="O10440" t="s">
        <v>32525</v>
      </c>
      <c r="P10440">
        <v>0</v>
      </c>
      <c r="Q10440">
        <v>6</v>
      </c>
      <c r="R10440" t="s">
        <v>32540</v>
      </c>
      <c r="S10440" t="s">
        <v>33102</v>
      </c>
      <c r="T10440" t="s">
        <v>33162</v>
      </c>
      <c r="U10440" t="s">
        <v>42197</v>
      </c>
      <c r="W10440" t="s">
        <v>32485</v>
      </c>
      <c r="X10440" t="s">
        <v>43782</v>
      </c>
    </row>
    <row r="10441" spans="1:24">
      <c r="A10441">
        <f>HYPERLINK("https://www.philgeps.gov.ph/GEPSNONPILOT/Tender/SplashBidNoticeAbstractUI.aspx?menuIndex=3&amp;refID=7016993&amp;Result=3","7016993")</f>
        <v>0</v>
      </c>
      <c r="B10441" t="s">
        <v>2646</v>
      </c>
      <c r="C10441" t="s">
        <v>12689</v>
      </c>
      <c r="D10441" t="s">
        <v>13074</v>
      </c>
      <c r="E10441" t="s">
        <v>22169</v>
      </c>
      <c r="F10441" t="s">
        <v>22436</v>
      </c>
      <c r="G10441" t="s">
        <v>22444</v>
      </c>
      <c r="H10441" t="s">
        <v>22454</v>
      </c>
      <c r="I10441" t="s">
        <v>7738</v>
      </c>
      <c r="J10441" t="s">
        <v>24006</v>
      </c>
      <c r="K10441" t="s">
        <v>29345</v>
      </c>
      <c r="M10441" t="s">
        <v>32485</v>
      </c>
      <c r="N10441" t="s">
        <v>32524</v>
      </c>
      <c r="O10441" t="s">
        <v>32525</v>
      </c>
      <c r="P10441">
        <v>0</v>
      </c>
      <c r="Q10441">
        <v>4</v>
      </c>
      <c r="R10441" t="s">
        <v>32540</v>
      </c>
      <c r="S10441" t="s">
        <v>33102</v>
      </c>
      <c r="T10441" t="s">
        <v>33203</v>
      </c>
      <c r="U10441" t="s">
        <v>42198</v>
      </c>
      <c r="W10441" t="s">
        <v>32485</v>
      </c>
      <c r="X10441" t="s">
        <v>43782</v>
      </c>
    </row>
    <row r="10442" spans="1:24">
      <c r="A10442">
        <f>HYPERLINK("https://www.philgeps.gov.ph/GEPSNONPILOT/Tender/SplashBidNoticeAbstractUI.aspx?menuIndex=3&amp;refID=7016589&amp;Result=3","7016589")</f>
        <v>0</v>
      </c>
      <c r="B10442" t="s">
        <v>1026</v>
      </c>
      <c r="C10442" t="s">
        <v>5026</v>
      </c>
      <c r="D10442" t="s">
        <v>13032</v>
      </c>
      <c r="E10442" t="s">
        <v>22170</v>
      </c>
      <c r="F10442" t="s">
        <v>22436</v>
      </c>
      <c r="G10442" t="s">
        <v>22444</v>
      </c>
      <c r="H10442" t="s">
        <v>22454</v>
      </c>
      <c r="I10442" t="s">
        <v>7738</v>
      </c>
      <c r="J10442" t="s">
        <v>29153</v>
      </c>
      <c r="K10442" t="s">
        <v>29341</v>
      </c>
      <c r="M10442" t="s">
        <v>30655</v>
      </c>
      <c r="N10442" t="s">
        <v>32524</v>
      </c>
      <c r="O10442" t="s">
        <v>32525</v>
      </c>
      <c r="P10442">
        <v>0</v>
      </c>
      <c r="Q10442">
        <v>0</v>
      </c>
      <c r="R10442" t="s">
        <v>32540</v>
      </c>
      <c r="S10442" t="s">
        <v>33102</v>
      </c>
      <c r="T10442" t="s">
        <v>33203</v>
      </c>
      <c r="U10442" t="s">
        <v>42199</v>
      </c>
      <c r="W10442" t="s">
        <v>30655</v>
      </c>
      <c r="X10442" t="s">
        <v>43782</v>
      </c>
    </row>
    <row r="10443" spans="1:24">
      <c r="A10443">
        <f>HYPERLINK("https://www.philgeps.gov.ph/GEPSNONPILOT/Tender/SplashBidNoticeAbstractUI.aspx?menuIndex=3&amp;refID=7016605&amp;Result=3","7016605")</f>
        <v>0</v>
      </c>
      <c r="B10443" t="s">
        <v>1026</v>
      </c>
      <c r="C10443" t="s">
        <v>12690</v>
      </c>
      <c r="D10443" t="s">
        <v>13032</v>
      </c>
      <c r="E10443" t="s">
        <v>22171</v>
      </c>
      <c r="F10443" t="s">
        <v>22436</v>
      </c>
      <c r="G10443" t="s">
        <v>22444</v>
      </c>
      <c r="H10443" t="s">
        <v>22454</v>
      </c>
      <c r="I10443" t="s">
        <v>7738</v>
      </c>
      <c r="J10443" t="s">
        <v>29154</v>
      </c>
      <c r="K10443" t="s">
        <v>29333</v>
      </c>
      <c r="M10443" t="s">
        <v>30655</v>
      </c>
      <c r="N10443" t="s">
        <v>32524</v>
      </c>
      <c r="O10443" t="s">
        <v>32525</v>
      </c>
      <c r="P10443">
        <v>0</v>
      </c>
      <c r="Q10443">
        <v>0</v>
      </c>
      <c r="R10443" t="s">
        <v>32540</v>
      </c>
      <c r="S10443" t="s">
        <v>33102</v>
      </c>
      <c r="T10443" t="s">
        <v>33203</v>
      </c>
      <c r="U10443" t="s">
        <v>42200</v>
      </c>
      <c r="W10443" t="s">
        <v>30655</v>
      </c>
      <c r="X10443" t="s">
        <v>43782</v>
      </c>
    </row>
    <row r="10444" spans="1:24">
      <c r="A10444">
        <f>HYPERLINK("https://www.philgeps.gov.ph/GEPSNONPILOT/Tender/SplashBidNoticeAbstractUI.aspx?menuIndex=3&amp;refID=7016749&amp;Result=3","7016749")</f>
        <v>0</v>
      </c>
      <c r="B10444" t="s">
        <v>364</v>
      </c>
      <c r="C10444" t="s">
        <v>12691</v>
      </c>
      <c r="D10444" t="s">
        <v>13011</v>
      </c>
      <c r="E10444" t="s">
        <v>22172</v>
      </c>
      <c r="F10444" t="s">
        <v>22436</v>
      </c>
      <c r="G10444" t="s">
        <v>22444</v>
      </c>
      <c r="H10444" t="s">
        <v>22454</v>
      </c>
      <c r="I10444" t="s">
        <v>7738</v>
      </c>
      <c r="J10444" t="s">
        <v>22877</v>
      </c>
      <c r="K10444" t="s">
        <v>29335</v>
      </c>
      <c r="M10444" t="s">
        <v>29942</v>
      </c>
      <c r="N10444" t="s">
        <v>32524</v>
      </c>
      <c r="O10444" t="s">
        <v>32525</v>
      </c>
      <c r="P10444">
        <v>0</v>
      </c>
      <c r="Q10444">
        <v>1</v>
      </c>
      <c r="R10444" t="s">
        <v>32540</v>
      </c>
      <c r="S10444" t="s">
        <v>33102</v>
      </c>
      <c r="T10444" t="s">
        <v>33181</v>
      </c>
      <c r="U10444" t="s">
        <v>42201</v>
      </c>
      <c r="W10444" t="s">
        <v>29942</v>
      </c>
      <c r="X10444" t="s">
        <v>43782</v>
      </c>
    </row>
    <row r="10445" spans="1:24">
      <c r="A10445">
        <f>HYPERLINK("https://www.philgeps.gov.ph/GEPSNONPILOT/Tender/SplashBidNoticeAbstractUI.aspx?menuIndex=3&amp;refID=7016959&amp;Result=3","7016959")</f>
        <v>0</v>
      </c>
      <c r="B10445" t="s">
        <v>2332</v>
      </c>
      <c r="C10445" t="s">
        <v>12692</v>
      </c>
      <c r="D10445" t="s">
        <v>13006</v>
      </c>
      <c r="E10445" t="s">
        <v>20130</v>
      </c>
      <c r="F10445" t="s">
        <v>22436</v>
      </c>
      <c r="G10445" t="s">
        <v>22444</v>
      </c>
      <c r="H10445" t="s">
        <v>22454</v>
      </c>
      <c r="I10445" t="s">
        <v>7738</v>
      </c>
      <c r="J10445" t="s">
        <v>23350</v>
      </c>
      <c r="K10445" t="s">
        <v>29338</v>
      </c>
      <c r="M10445" t="s">
        <v>32109</v>
      </c>
      <c r="N10445" t="s">
        <v>32524</v>
      </c>
      <c r="O10445" t="s">
        <v>32525</v>
      </c>
      <c r="P10445">
        <v>0</v>
      </c>
      <c r="Q10445">
        <v>3</v>
      </c>
      <c r="R10445" t="s">
        <v>32540</v>
      </c>
      <c r="S10445" t="s">
        <v>33102</v>
      </c>
      <c r="T10445" t="s">
        <v>33155</v>
      </c>
      <c r="U10445" t="s">
        <v>42202</v>
      </c>
      <c r="V10445" t="s">
        <v>43630</v>
      </c>
      <c r="W10445" t="s">
        <v>32109</v>
      </c>
      <c r="X10445" t="s">
        <v>43782</v>
      </c>
    </row>
    <row r="10446" spans="1:24">
      <c r="A10446">
        <f>HYPERLINK("https://www.philgeps.gov.ph/GEPSNONPILOT/Tender/SplashBidNoticeAbstractUI.aspx?menuIndex=3&amp;refID=7016181&amp;Result=3","7016181")</f>
        <v>0</v>
      </c>
      <c r="B10446" t="s">
        <v>1026</v>
      </c>
      <c r="C10446" t="s">
        <v>12693</v>
      </c>
      <c r="D10446" t="s">
        <v>13032</v>
      </c>
      <c r="E10446" t="s">
        <v>22173</v>
      </c>
      <c r="F10446" t="s">
        <v>22436</v>
      </c>
      <c r="G10446" t="s">
        <v>22444</v>
      </c>
      <c r="H10446" t="s">
        <v>22454</v>
      </c>
      <c r="I10446" t="s">
        <v>7738</v>
      </c>
      <c r="J10446" t="s">
        <v>29155</v>
      </c>
      <c r="K10446" t="s">
        <v>29333</v>
      </c>
      <c r="M10446" t="s">
        <v>30655</v>
      </c>
      <c r="N10446" t="s">
        <v>32524</v>
      </c>
      <c r="O10446" t="s">
        <v>32525</v>
      </c>
      <c r="P10446">
        <v>0</v>
      </c>
      <c r="Q10446">
        <v>0</v>
      </c>
      <c r="R10446" t="s">
        <v>32540</v>
      </c>
      <c r="S10446" t="s">
        <v>33102</v>
      </c>
      <c r="T10446" t="s">
        <v>33203</v>
      </c>
      <c r="U10446" t="s">
        <v>42203</v>
      </c>
      <c r="W10446" t="s">
        <v>30655</v>
      </c>
      <c r="X10446" t="s">
        <v>43801</v>
      </c>
    </row>
    <row r="10447" spans="1:24">
      <c r="A10447">
        <f>HYPERLINK("https://www.philgeps.gov.ph/GEPSNONPILOT/Tender/SplashBidNoticeAbstractUI.aspx?menuIndex=3&amp;refID=7017351&amp;Result=3","7017351")</f>
        <v>0</v>
      </c>
      <c r="B10447" t="s">
        <v>1709</v>
      </c>
      <c r="C10447" t="s">
        <v>12694</v>
      </c>
      <c r="D10447" t="s">
        <v>13003</v>
      </c>
      <c r="E10447" t="s">
        <v>22174</v>
      </c>
      <c r="F10447" t="s">
        <v>22436</v>
      </c>
      <c r="G10447" t="s">
        <v>22444</v>
      </c>
      <c r="H10447" t="s">
        <v>22454</v>
      </c>
      <c r="I10447" t="s">
        <v>7738</v>
      </c>
      <c r="J10447" t="s">
        <v>22893</v>
      </c>
      <c r="K10447" t="s">
        <v>29335</v>
      </c>
      <c r="M10447" t="s">
        <v>31412</v>
      </c>
      <c r="N10447" t="s">
        <v>32524</v>
      </c>
      <c r="O10447" t="s">
        <v>32525</v>
      </c>
      <c r="P10447">
        <v>0</v>
      </c>
      <c r="Q10447">
        <v>0</v>
      </c>
      <c r="R10447" t="s">
        <v>32540</v>
      </c>
      <c r="S10447" t="s">
        <v>33102</v>
      </c>
      <c r="T10447" t="s">
        <v>33175</v>
      </c>
      <c r="U10447" t="s">
        <v>42204</v>
      </c>
      <c r="W10447" t="s">
        <v>31412</v>
      </c>
      <c r="X10447" t="s">
        <v>43782</v>
      </c>
    </row>
    <row r="10448" spans="1:24">
      <c r="A10448">
        <f>HYPERLINK("https://www.philgeps.gov.ph/GEPSNONPILOT/Tender/SplashBidNoticeAbstractUI.aspx?menuIndex=3&amp;refID=7016809&amp;Result=3","7016809")</f>
        <v>0</v>
      </c>
      <c r="B10448" t="s">
        <v>364</v>
      </c>
      <c r="C10448" t="s">
        <v>12695</v>
      </c>
      <c r="D10448" t="s">
        <v>13011</v>
      </c>
      <c r="E10448" t="s">
        <v>22175</v>
      </c>
      <c r="F10448" t="s">
        <v>22436</v>
      </c>
      <c r="G10448" t="s">
        <v>22444</v>
      </c>
      <c r="H10448" t="s">
        <v>22454</v>
      </c>
      <c r="I10448" t="s">
        <v>7738</v>
      </c>
      <c r="J10448" t="s">
        <v>22960</v>
      </c>
      <c r="K10448" t="s">
        <v>29334</v>
      </c>
      <c r="M10448" t="s">
        <v>29942</v>
      </c>
      <c r="N10448" t="s">
        <v>32524</v>
      </c>
      <c r="O10448" t="s">
        <v>32525</v>
      </c>
      <c r="P10448">
        <v>0</v>
      </c>
      <c r="Q10448">
        <v>1</v>
      </c>
      <c r="R10448" t="s">
        <v>32540</v>
      </c>
      <c r="S10448" t="s">
        <v>33102</v>
      </c>
      <c r="T10448" t="s">
        <v>33163</v>
      </c>
      <c r="U10448" t="s">
        <v>42205</v>
      </c>
      <c r="W10448" t="s">
        <v>29942</v>
      </c>
      <c r="X10448" t="s">
        <v>43782</v>
      </c>
    </row>
    <row r="10449" spans="1:24">
      <c r="A10449">
        <f>HYPERLINK("https://www.philgeps.gov.ph/GEPSNONPILOT/Tender/SplashBidNoticeAbstractUI.aspx?menuIndex=3&amp;refID=7016780&amp;Result=3","7016780")</f>
        <v>0</v>
      </c>
      <c r="B10449" t="s">
        <v>2443</v>
      </c>
      <c r="C10449" t="s">
        <v>12696</v>
      </c>
      <c r="D10449" t="s">
        <v>13045</v>
      </c>
      <c r="E10449" t="s">
        <v>13927</v>
      </c>
      <c r="F10449" t="s">
        <v>22436</v>
      </c>
      <c r="G10449" t="s">
        <v>22444</v>
      </c>
      <c r="H10449" t="s">
        <v>22452</v>
      </c>
      <c r="I10449" t="s">
        <v>22502</v>
      </c>
      <c r="J10449" t="s">
        <v>23350</v>
      </c>
      <c r="K10449" t="s">
        <v>29344</v>
      </c>
      <c r="M10449" t="s">
        <v>32247</v>
      </c>
      <c r="N10449" t="s">
        <v>32524</v>
      </c>
      <c r="O10449" t="s">
        <v>32525</v>
      </c>
      <c r="Q10449">
        <v>12</v>
      </c>
      <c r="R10449" t="s">
        <v>32540</v>
      </c>
      <c r="S10449" t="s">
        <v>33110</v>
      </c>
      <c r="T10449" t="s">
        <v>33618</v>
      </c>
      <c r="U10449" t="s">
        <v>42206</v>
      </c>
      <c r="W10449" t="s">
        <v>32247</v>
      </c>
      <c r="X10449" t="s">
        <v>43782</v>
      </c>
    </row>
    <row r="10450" spans="1:24">
      <c r="A10450">
        <f>HYPERLINK("https://www.philgeps.gov.ph/GEPSNONPILOT/Tender/SplashBidNoticeAbstractUI.aspx?menuIndex=3&amp;refID=7016578&amp;Result=3","7016578")</f>
        <v>0</v>
      </c>
      <c r="B10450" t="s">
        <v>1026</v>
      </c>
      <c r="C10450" t="s">
        <v>12697</v>
      </c>
      <c r="D10450" t="s">
        <v>13032</v>
      </c>
      <c r="E10450" t="s">
        <v>22176</v>
      </c>
      <c r="F10450" t="s">
        <v>22436</v>
      </c>
      <c r="G10450" t="s">
        <v>22444</v>
      </c>
      <c r="H10450" t="s">
        <v>22454</v>
      </c>
      <c r="I10450" t="s">
        <v>7738</v>
      </c>
      <c r="J10450" t="s">
        <v>29156</v>
      </c>
      <c r="K10450" t="s">
        <v>29347</v>
      </c>
      <c r="M10450" t="s">
        <v>30655</v>
      </c>
      <c r="N10450" t="s">
        <v>32524</v>
      </c>
      <c r="O10450" t="s">
        <v>32525</v>
      </c>
      <c r="P10450">
        <v>0</v>
      </c>
      <c r="Q10450">
        <v>0</v>
      </c>
      <c r="R10450" t="s">
        <v>32540</v>
      </c>
      <c r="S10450" t="s">
        <v>33102</v>
      </c>
      <c r="T10450" t="s">
        <v>33203</v>
      </c>
      <c r="U10450" t="s">
        <v>42207</v>
      </c>
      <c r="W10450" t="s">
        <v>30655</v>
      </c>
      <c r="X10450" t="s">
        <v>43782</v>
      </c>
    </row>
    <row r="10451" spans="1:24">
      <c r="A10451">
        <f>HYPERLINK("https://www.philgeps.gov.ph/GEPSNONPILOT/Tender/SplashBidNoticeAbstractUI.aspx?menuIndex=3&amp;refID=7017599&amp;Result=3","7017599")</f>
        <v>0</v>
      </c>
      <c r="B10451" t="s">
        <v>1709</v>
      </c>
      <c r="C10451" t="s">
        <v>12698</v>
      </c>
      <c r="D10451" t="s">
        <v>13003</v>
      </c>
      <c r="E10451" t="s">
        <v>22177</v>
      </c>
      <c r="F10451" t="s">
        <v>22436</v>
      </c>
      <c r="G10451" t="s">
        <v>22444</v>
      </c>
      <c r="H10451" t="s">
        <v>22454</v>
      </c>
      <c r="I10451" t="s">
        <v>7738</v>
      </c>
      <c r="J10451" t="s">
        <v>22640</v>
      </c>
      <c r="K10451" t="s">
        <v>29335</v>
      </c>
      <c r="M10451" t="s">
        <v>31412</v>
      </c>
      <c r="N10451" t="s">
        <v>32524</v>
      </c>
      <c r="O10451" t="s">
        <v>32525</v>
      </c>
      <c r="P10451">
        <v>0</v>
      </c>
      <c r="Q10451">
        <v>0</v>
      </c>
      <c r="R10451" t="s">
        <v>32540</v>
      </c>
      <c r="S10451" t="s">
        <v>33102</v>
      </c>
      <c r="T10451" t="s">
        <v>33175</v>
      </c>
      <c r="U10451" t="s">
        <v>42204</v>
      </c>
      <c r="W10451" t="s">
        <v>31412</v>
      </c>
      <c r="X10451" t="s">
        <v>43782</v>
      </c>
    </row>
    <row r="10452" spans="1:24">
      <c r="A10452">
        <f>HYPERLINK("https://www.philgeps.gov.ph/GEPSNONPILOT/Tender/SplashBidNoticeAbstractUI.aspx?menuIndex=3&amp;refID=7017342&amp;Result=3","7017342")</f>
        <v>0</v>
      </c>
      <c r="B10452" t="s">
        <v>2647</v>
      </c>
      <c r="C10452" t="s">
        <v>12699</v>
      </c>
      <c r="D10452" t="s">
        <v>13022</v>
      </c>
      <c r="E10452" t="s">
        <v>22178</v>
      </c>
      <c r="F10452" t="s">
        <v>22436</v>
      </c>
      <c r="G10452" t="s">
        <v>22444</v>
      </c>
      <c r="H10452" t="s">
        <v>22454</v>
      </c>
      <c r="I10452" t="s">
        <v>7738</v>
      </c>
      <c r="J10452" t="s">
        <v>22640</v>
      </c>
      <c r="K10452" t="s">
        <v>29335</v>
      </c>
      <c r="M10452" t="s">
        <v>32486</v>
      </c>
      <c r="N10452" t="s">
        <v>32524</v>
      </c>
      <c r="O10452" t="s">
        <v>32525</v>
      </c>
      <c r="P10452">
        <v>0</v>
      </c>
      <c r="Q10452">
        <v>0</v>
      </c>
      <c r="R10452" t="s">
        <v>32540</v>
      </c>
      <c r="S10452" t="s">
        <v>33102</v>
      </c>
      <c r="T10452" t="s">
        <v>33230</v>
      </c>
      <c r="U10452" t="s">
        <v>42208</v>
      </c>
      <c r="V10452" t="s">
        <v>43631</v>
      </c>
      <c r="W10452" t="s">
        <v>32486</v>
      </c>
      <c r="X10452" t="s">
        <v>43782</v>
      </c>
    </row>
    <row r="10453" spans="1:24">
      <c r="A10453">
        <f>HYPERLINK("https://www.philgeps.gov.ph/GEPSNONPILOT/Tender/SplashBidNoticeAbstractUI.aspx?menuIndex=3&amp;refID=7017569&amp;Result=3","7017569")</f>
        <v>0</v>
      </c>
      <c r="B10453" t="s">
        <v>1709</v>
      </c>
      <c r="C10453" t="s">
        <v>12700</v>
      </c>
      <c r="D10453" t="s">
        <v>13003</v>
      </c>
      <c r="E10453" t="s">
        <v>22179</v>
      </c>
      <c r="F10453" t="s">
        <v>22436</v>
      </c>
      <c r="G10453" t="s">
        <v>22444</v>
      </c>
      <c r="H10453" t="s">
        <v>22454</v>
      </c>
      <c r="I10453" t="s">
        <v>7738</v>
      </c>
      <c r="J10453" t="s">
        <v>22640</v>
      </c>
      <c r="K10453" t="s">
        <v>29335</v>
      </c>
      <c r="M10453" t="s">
        <v>31412</v>
      </c>
      <c r="N10453" t="s">
        <v>32524</v>
      </c>
      <c r="O10453" t="s">
        <v>32525</v>
      </c>
      <c r="P10453">
        <v>0</v>
      </c>
      <c r="Q10453">
        <v>0</v>
      </c>
      <c r="R10453" t="s">
        <v>32540</v>
      </c>
      <c r="S10453" t="s">
        <v>33102</v>
      </c>
      <c r="T10453" t="s">
        <v>33175</v>
      </c>
      <c r="U10453" t="s">
        <v>42204</v>
      </c>
      <c r="W10453" t="s">
        <v>31412</v>
      </c>
      <c r="X10453" t="s">
        <v>43782</v>
      </c>
    </row>
    <row r="10454" spans="1:24">
      <c r="A10454">
        <f>HYPERLINK("https://www.philgeps.gov.ph/GEPSNONPILOT/Tender/SplashBidNoticeAbstractUI.aspx?menuIndex=3&amp;refID=7017540&amp;Result=3","7017540")</f>
        <v>0</v>
      </c>
      <c r="B10454" t="s">
        <v>2648</v>
      </c>
      <c r="C10454" t="s">
        <v>12701</v>
      </c>
      <c r="D10454" t="s">
        <v>13001</v>
      </c>
      <c r="E10454" t="s">
        <v>12701</v>
      </c>
      <c r="F10454" t="s">
        <v>22436</v>
      </c>
      <c r="G10454" t="s">
        <v>22444</v>
      </c>
      <c r="H10454" t="s">
        <v>22453</v>
      </c>
      <c r="I10454" t="s">
        <v>22457</v>
      </c>
      <c r="J10454" t="s">
        <v>29157</v>
      </c>
      <c r="K10454" t="s">
        <v>29371</v>
      </c>
      <c r="M10454" t="s">
        <v>32487</v>
      </c>
      <c r="N10454" t="s">
        <v>32524</v>
      </c>
      <c r="O10454" t="s">
        <v>32525</v>
      </c>
      <c r="Q10454">
        <v>2</v>
      </c>
      <c r="R10454" t="s">
        <v>32540</v>
      </c>
      <c r="S10454" t="s">
        <v>33111</v>
      </c>
      <c r="T10454" t="s">
        <v>33203</v>
      </c>
      <c r="U10454" t="s">
        <v>42209</v>
      </c>
      <c r="W10454" t="s">
        <v>32487</v>
      </c>
      <c r="X10454" t="s">
        <v>43782</v>
      </c>
    </row>
    <row r="10455" spans="1:24">
      <c r="A10455">
        <f>HYPERLINK("https://www.philgeps.gov.ph/GEPSNONPILOT/Tender/SplashBidNoticeAbstractUI.aspx?menuIndex=3&amp;refID=7017584&amp;Result=3","7017584")</f>
        <v>0</v>
      </c>
      <c r="B10455" t="s">
        <v>1709</v>
      </c>
      <c r="C10455" t="s">
        <v>12702</v>
      </c>
      <c r="D10455" t="s">
        <v>13003</v>
      </c>
      <c r="E10455" t="s">
        <v>22180</v>
      </c>
      <c r="F10455" t="s">
        <v>22436</v>
      </c>
      <c r="G10455" t="s">
        <v>22444</v>
      </c>
      <c r="H10455" t="s">
        <v>22454</v>
      </c>
      <c r="I10455" t="s">
        <v>7738</v>
      </c>
      <c r="J10455" t="s">
        <v>22640</v>
      </c>
      <c r="K10455" t="s">
        <v>29335</v>
      </c>
      <c r="M10455" t="s">
        <v>31412</v>
      </c>
      <c r="N10455" t="s">
        <v>32524</v>
      </c>
      <c r="O10455" t="s">
        <v>32525</v>
      </c>
      <c r="P10455">
        <v>0</v>
      </c>
      <c r="Q10455">
        <v>0</v>
      </c>
      <c r="R10455" t="s">
        <v>32540</v>
      </c>
      <c r="S10455" t="s">
        <v>33102</v>
      </c>
      <c r="T10455" t="s">
        <v>33175</v>
      </c>
      <c r="U10455" t="s">
        <v>42204</v>
      </c>
      <c r="W10455" t="s">
        <v>31412</v>
      </c>
      <c r="X10455" t="s">
        <v>43782</v>
      </c>
    </row>
    <row r="10456" spans="1:24">
      <c r="A10456">
        <f>HYPERLINK("https://www.philgeps.gov.ph/GEPSNONPILOT/Tender/SplashBidNoticeAbstractUI.aspx?menuIndex=3&amp;refID=7016163&amp;Result=3","7016163")</f>
        <v>0</v>
      </c>
      <c r="B10456" t="s">
        <v>1026</v>
      </c>
      <c r="C10456" t="s">
        <v>12703</v>
      </c>
      <c r="D10456" t="s">
        <v>13032</v>
      </c>
      <c r="E10456" t="s">
        <v>22181</v>
      </c>
      <c r="F10456" t="s">
        <v>22436</v>
      </c>
      <c r="G10456" t="s">
        <v>22444</v>
      </c>
      <c r="H10456" t="s">
        <v>22454</v>
      </c>
      <c r="I10456" t="s">
        <v>7738</v>
      </c>
      <c r="J10456" t="s">
        <v>29158</v>
      </c>
      <c r="K10456" t="s">
        <v>29347</v>
      </c>
      <c r="M10456" t="s">
        <v>30655</v>
      </c>
      <c r="N10456" t="s">
        <v>32524</v>
      </c>
      <c r="O10456" t="s">
        <v>32525</v>
      </c>
      <c r="P10456">
        <v>0</v>
      </c>
      <c r="Q10456">
        <v>0</v>
      </c>
      <c r="R10456" t="s">
        <v>32540</v>
      </c>
      <c r="S10456" t="s">
        <v>33102</v>
      </c>
      <c r="T10456" t="s">
        <v>33203</v>
      </c>
      <c r="U10456" t="s">
        <v>42210</v>
      </c>
      <c r="W10456" t="s">
        <v>30655</v>
      </c>
      <c r="X10456" t="s">
        <v>43801</v>
      </c>
    </row>
    <row r="10457" spans="1:24">
      <c r="A10457">
        <f>HYPERLINK("https://www.philgeps.gov.ph/GEPSNONPILOT/Tender/SplashBidNoticeAbstractUI.aspx?menuIndex=3&amp;refID=7017577&amp;Result=3","7017577")</f>
        <v>0</v>
      </c>
      <c r="B10457" t="s">
        <v>1709</v>
      </c>
      <c r="C10457" t="s">
        <v>12704</v>
      </c>
      <c r="D10457" t="s">
        <v>13003</v>
      </c>
      <c r="E10457" t="s">
        <v>22182</v>
      </c>
      <c r="F10457" t="s">
        <v>22436</v>
      </c>
      <c r="G10457" t="s">
        <v>22444</v>
      </c>
      <c r="H10457" t="s">
        <v>22454</v>
      </c>
      <c r="I10457" t="s">
        <v>7738</v>
      </c>
      <c r="J10457" t="s">
        <v>22640</v>
      </c>
      <c r="K10457" t="s">
        <v>29335</v>
      </c>
      <c r="M10457" t="s">
        <v>31412</v>
      </c>
      <c r="N10457" t="s">
        <v>32524</v>
      </c>
      <c r="O10457" t="s">
        <v>32525</v>
      </c>
      <c r="P10457">
        <v>0</v>
      </c>
      <c r="Q10457">
        <v>0</v>
      </c>
      <c r="R10457" t="s">
        <v>32540</v>
      </c>
      <c r="S10457" t="s">
        <v>33102</v>
      </c>
      <c r="T10457" t="s">
        <v>33175</v>
      </c>
      <c r="U10457" t="s">
        <v>42204</v>
      </c>
      <c r="W10457" t="s">
        <v>31412</v>
      </c>
      <c r="X10457" t="s">
        <v>43782</v>
      </c>
    </row>
    <row r="10458" spans="1:24">
      <c r="A10458">
        <f>HYPERLINK("https://www.philgeps.gov.ph/GEPSNONPILOT/Tender/SplashBidNoticeAbstractUI.aspx?menuIndex=3&amp;refID=7017602&amp;Result=3","7017602")</f>
        <v>0</v>
      </c>
      <c r="B10458" t="s">
        <v>2213</v>
      </c>
      <c r="C10458" t="s">
        <v>12705</v>
      </c>
      <c r="D10458" t="s">
        <v>13030</v>
      </c>
      <c r="E10458" t="s">
        <v>22183</v>
      </c>
      <c r="F10458" t="s">
        <v>22436</v>
      </c>
      <c r="G10458" t="s">
        <v>22444</v>
      </c>
      <c r="H10458" t="s">
        <v>22454</v>
      </c>
      <c r="I10458" t="s">
        <v>7738</v>
      </c>
      <c r="J10458" t="s">
        <v>29159</v>
      </c>
      <c r="K10458" t="s">
        <v>29336</v>
      </c>
      <c r="M10458" t="s">
        <v>31979</v>
      </c>
      <c r="N10458" t="s">
        <v>32524</v>
      </c>
      <c r="O10458" t="s">
        <v>32525</v>
      </c>
      <c r="P10458">
        <v>0</v>
      </c>
      <c r="Q10458">
        <v>1</v>
      </c>
      <c r="R10458" t="s">
        <v>32540</v>
      </c>
      <c r="S10458" t="s">
        <v>33102</v>
      </c>
      <c r="T10458" t="s">
        <v>33180</v>
      </c>
      <c r="U10458" t="s">
        <v>42211</v>
      </c>
      <c r="W10458" t="s">
        <v>31979</v>
      </c>
      <c r="X10458" t="s">
        <v>43782</v>
      </c>
    </row>
    <row r="10459" spans="1:24">
      <c r="A10459">
        <f>HYPERLINK("https://www.philgeps.gov.ph/GEPSNONPILOT/Tender/SplashBidNoticeAbstractUI.aspx?menuIndex=3&amp;refID=7017671&amp;Result=3","7017671")</f>
        <v>0</v>
      </c>
      <c r="B10459" t="s">
        <v>1709</v>
      </c>
      <c r="C10459" t="s">
        <v>12706</v>
      </c>
      <c r="D10459" t="s">
        <v>13003</v>
      </c>
      <c r="E10459" t="s">
        <v>22184</v>
      </c>
      <c r="F10459" t="s">
        <v>22436</v>
      </c>
      <c r="G10459" t="s">
        <v>22444</v>
      </c>
      <c r="H10459" t="s">
        <v>22454</v>
      </c>
      <c r="I10459" t="s">
        <v>7738</v>
      </c>
      <c r="J10459" t="s">
        <v>22640</v>
      </c>
      <c r="K10459" t="s">
        <v>29386</v>
      </c>
      <c r="M10459" t="s">
        <v>31412</v>
      </c>
      <c r="N10459" t="s">
        <v>32524</v>
      </c>
      <c r="O10459" t="s">
        <v>32525</v>
      </c>
      <c r="P10459">
        <v>0</v>
      </c>
      <c r="Q10459">
        <v>0</v>
      </c>
      <c r="R10459" t="s">
        <v>32540</v>
      </c>
      <c r="S10459" t="s">
        <v>33102</v>
      </c>
      <c r="T10459" t="s">
        <v>33175</v>
      </c>
      <c r="U10459" t="s">
        <v>42204</v>
      </c>
      <c r="W10459" t="s">
        <v>31412</v>
      </c>
      <c r="X10459" t="s">
        <v>43782</v>
      </c>
    </row>
    <row r="10460" spans="1:24">
      <c r="A10460">
        <f>HYPERLINK("https://www.philgeps.gov.ph/GEPSNONPILOT/Tender/SplashBidNoticeAbstractUI.aspx?menuIndex=3&amp;refID=7017625&amp;Result=3","7017625")</f>
        <v>0</v>
      </c>
      <c r="B10460" t="s">
        <v>1709</v>
      </c>
      <c r="C10460" t="s">
        <v>12707</v>
      </c>
      <c r="D10460" t="s">
        <v>13003</v>
      </c>
      <c r="E10460" t="s">
        <v>22185</v>
      </c>
      <c r="F10460" t="s">
        <v>22436</v>
      </c>
      <c r="G10460" t="s">
        <v>22444</v>
      </c>
      <c r="H10460" t="s">
        <v>22454</v>
      </c>
      <c r="I10460" t="s">
        <v>7738</v>
      </c>
      <c r="J10460" t="s">
        <v>22788</v>
      </c>
      <c r="K10460" t="s">
        <v>29335</v>
      </c>
      <c r="M10460" t="s">
        <v>31412</v>
      </c>
      <c r="N10460" t="s">
        <v>32524</v>
      </c>
      <c r="O10460" t="s">
        <v>32525</v>
      </c>
      <c r="P10460">
        <v>0</v>
      </c>
      <c r="Q10460">
        <v>0</v>
      </c>
      <c r="R10460" t="s">
        <v>32540</v>
      </c>
      <c r="S10460" t="s">
        <v>33102</v>
      </c>
      <c r="T10460" t="s">
        <v>33175</v>
      </c>
      <c r="U10460" t="s">
        <v>42204</v>
      </c>
      <c r="W10460" t="s">
        <v>31412</v>
      </c>
      <c r="X10460" t="s">
        <v>43782</v>
      </c>
    </row>
    <row r="10461" spans="1:24">
      <c r="A10461">
        <f>HYPERLINK("https://www.philgeps.gov.ph/GEPSNONPILOT/Tender/SplashBidNoticeAbstractUI.aspx?menuIndex=3&amp;refID=7018242&amp;Result=3","7018242")</f>
        <v>0</v>
      </c>
      <c r="B10461" t="s">
        <v>2649</v>
      </c>
      <c r="C10461" t="s">
        <v>12708</v>
      </c>
      <c r="D10461" t="s">
        <v>13010</v>
      </c>
      <c r="E10461" t="s">
        <v>22186</v>
      </c>
      <c r="F10461" t="s">
        <v>22436</v>
      </c>
      <c r="G10461" t="s">
        <v>22444</v>
      </c>
      <c r="H10461" t="s">
        <v>22454</v>
      </c>
      <c r="I10461" t="s">
        <v>7738</v>
      </c>
      <c r="J10461" t="s">
        <v>29160</v>
      </c>
      <c r="K10461" t="s">
        <v>29493</v>
      </c>
      <c r="M10461" t="s">
        <v>32488</v>
      </c>
      <c r="N10461" t="s">
        <v>32524</v>
      </c>
      <c r="O10461" t="s">
        <v>32525</v>
      </c>
      <c r="Q10461">
        <v>4</v>
      </c>
      <c r="R10461" t="s">
        <v>32540</v>
      </c>
      <c r="S10461" t="s">
        <v>33112</v>
      </c>
      <c r="T10461" t="s">
        <v>33345</v>
      </c>
      <c r="U10461" t="s">
        <v>42212</v>
      </c>
      <c r="W10461" t="s">
        <v>32488</v>
      </c>
      <c r="X10461" t="s">
        <v>43782</v>
      </c>
    </row>
    <row r="10462" spans="1:24">
      <c r="A10462">
        <f>HYPERLINK("https://www.philgeps.gov.ph/GEPSNONPILOT/Tender/SplashBidNoticeAbstractUI.aspx?menuIndex=3&amp;refID=7018241&amp;Result=3","7018241")</f>
        <v>0</v>
      </c>
      <c r="B10462" t="s">
        <v>1709</v>
      </c>
      <c r="C10462" t="s">
        <v>12709</v>
      </c>
      <c r="D10462" t="s">
        <v>13003</v>
      </c>
      <c r="E10462" t="s">
        <v>22187</v>
      </c>
      <c r="F10462" t="s">
        <v>22436</v>
      </c>
      <c r="G10462" t="s">
        <v>22444</v>
      </c>
      <c r="H10462" t="s">
        <v>22452</v>
      </c>
      <c r="I10462" t="s">
        <v>22460</v>
      </c>
      <c r="J10462" t="s">
        <v>29161</v>
      </c>
      <c r="K10462" t="s">
        <v>29386</v>
      </c>
      <c r="M10462" t="s">
        <v>31412</v>
      </c>
      <c r="N10462" t="s">
        <v>32524</v>
      </c>
      <c r="O10462" t="s">
        <v>32525</v>
      </c>
      <c r="P10462">
        <v>0</v>
      </c>
      <c r="Q10462">
        <v>5</v>
      </c>
      <c r="R10462" t="s">
        <v>32540</v>
      </c>
      <c r="S10462" t="s">
        <v>33102</v>
      </c>
      <c r="T10462" t="s">
        <v>33203</v>
      </c>
      <c r="U10462" t="s">
        <v>42213</v>
      </c>
      <c r="V10462" t="s">
        <v>43632</v>
      </c>
      <c r="W10462" t="s">
        <v>31412</v>
      </c>
      <c r="X10462" t="s">
        <v>43782</v>
      </c>
    </row>
    <row r="10463" spans="1:24">
      <c r="A10463">
        <f>HYPERLINK("https://www.philgeps.gov.ph/GEPSNONPILOT/Tender/SplashBidNoticeAbstractUI.aspx?menuIndex=3&amp;refID=7017792&amp;Result=3","7017792")</f>
        <v>0</v>
      </c>
      <c r="B10463" t="s">
        <v>1709</v>
      </c>
      <c r="C10463" t="s">
        <v>12710</v>
      </c>
      <c r="D10463" t="s">
        <v>13003</v>
      </c>
      <c r="E10463" t="s">
        <v>22188</v>
      </c>
      <c r="F10463" t="s">
        <v>22436</v>
      </c>
      <c r="G10463" t="s">
        <v>22444</v>
      </c>
      <c r="H10463" t="s">
        <v>22454</v>
      </c>
      <c r="I10463" t="s">
        <v>7738</v>
      </c>
      <c r="J10463" t="s">
        <v>22893</v>
      </c>
      <c r="K10463" t="s">
        <v>29362</v>
      </c>
      <c r="M10463" t="s">
        <v>31412</v>
      </c>
      <c r="N10463" t="s">
        <v>32524</v>
      </c>
      <c r="O10463" t="s">
        <v>32525</v>
      </c>
      <c r="P10463">
        <v>0</v>
      </c>
      <c r="Q10463">
        <v>0</v>
      </c>
      <c r="R10463" t="s">
        <v>32540</v>
      </c>
      <c r="S10463" t="s">
        <v>33102</v>
      </c>
      <c r="T10463" t="s">
        <v>33175</v>
      </c>
      <c r="U10463" t="s">
        <v>42204</v>
      </c>
      <c r="W10463" t="s">
        <v>31412</v>
      </c>
      <c r="X10463" t="s">
        <v>43782</v>
      </c>
    </row>
    <row r="10464" spans="1:24">
      <c r="A10464">
        <f>HYPERLINK("https://www.philgeps.gov.ph/GEPSNONPILOT/Tender/SplashBidNoticeAbstractUI.aspx?menuIndex=3&amp;refID=7017774&amp;Result=3","7017774")</f>
        <v>0</v>
      </c>
      <c r="B10464" t="s">
        <v>1709</v>
      </c>
      <c r="C10464" t="s">
        <v>12711</v>
      </c>
      <c r="D10464" t="s">
        <v>13003</v>
      </c>
      <c r="E10464" t="s">
        <v>22189</v>
      </c>
      <c r="F10464" t="s">
        <v>22436</v>
      </c>
      <c r="G10464" t="s">
        <v>22444</v>
      </c>
      <c r="H10464" t="s">
        <v>22454</v>
      </c>
      <c r="I10464" t="s">
        <v>7738</v>
      </c>
      <c r="J10464" t="s">
        <v>22853</v>
      </c>
      <c r="K10464" t="s">
        <v>29362</v>
      </c>
      <c r="M10464" t="s">
        <v>31412</v>
      </c>
      <c r="N10464" t="s">
        <v>32524</v>
      </c>
      <c r="O10464" t="s">
        <v>32525</v>
      </c>
      <c r="P10464">
        <v>0</v>
      </c>
      <c r="Q10464">
        <v>0</v>
      </c>
      <c r="R10464" t="s">
        <v>32540</v>
      </c>
      <c r="S10464" t="s">
        <v>33102</v>
      </c>
      <c r="T10464" t="s">
        <v>33175</v>
      </c>
      <c r="U10464" t="s">
        <v>42204</v>
      </c>
      <c r="W10464" t="s">
        <v>31412</v>
      </c>
      <c r="X10464" t="s">
        <v>43782</v>
      </c>
    </row>
    <row r="10465" spans="1:24">
      <c r="A10465">
        <f>HYPERLINK("https://www.philgeps.gov.ph/GEPSNONPILOT/Tender/SplashBidNoticeAbstractUI.aspx?menuIndex=3&amp;refID=7017807&amp;Result=3","7017807")</f>
        <v>0</v>
      </c>
      <c r="B10465" t="s">
        <v>1709</v>
      </c>
      <c r="C10465" t="s">
        <v>12712</v>
      </c>
      <c r="D10465" t="s">
        <v>13003</v>
      </c>
      <c r="E10465" t="s">
        <v>22190</v>
      </c>
      <c r="F10465" t="s">
        <v>22436</v>
      </c>
      <c r="G10465" t="s">
        <v>22444</v>
      </c>
      <c r="H10465" t="s">
        <v>22454</v>
      </c>
      <c r="I10465" t="s">
        <v>7738</v>
      </c>
      <c r="J10465" t="s">
        <v>22788</v>
      </c>
      <c r="K10465" t="s">
        <v>29335</v>
      </c>
      <c r="M10465" t="s">
        <v>31412</v>
      </c>
      <c r="N10465" t="s">
        <v>32524</v>
      </c>
      <c r="O10465" t="s">
        <v>32525</v>
      </c>
      <c r="P10465">
        <v>0</v>
      </c>
      <c r="Q10465">
        <v>0</v>
      </c>
      <c r="R10465" t="s">
        <v>32540</v>
      </c>
      <c r="S10465" t="s">
        <v>33102</v>
      </c>
      <c r="T10465" t="s">
        <v>33175</v>
      </c>
      <c r="U10465" t="s">
        <v>42204</v>
      </c>
      <c r="W10465" t="s">
        <v>31412</v>
      </c>
      <c r="X10465" t="s">
        <v>43782</v>
      </c>
    </row>
    <row r="10466" spans="1:24">
      <c r="A10466">
        <f>HYPERLINK("https://www.philgeps.gov.ph/GEPSNONPILOT/Tender/SplashBidNoticeAbstractUI.aspx?menuIndex=3&amp;refID=7017767&amp;Result=3","7017767")</f>
        <v>0</v>
      </c>
      <c r="B10466" t="s">
        <v>1709</v>
      </c>
      <c r="C10466" t="s">
        <v>12713</v>
      </c>
      <c r="D10466" t="s">
        <v>13003</v>
      </c>
      <c r="E10466" t="s">
        <v>22191</v>
      </c>
      <c r="F10466" t="s">
        <v>22436</v>
      </c>
      <c r="G10466" t="s">
        <v>22444</v>
      </c>
      <c r="H10466" t="s">
        <v>22454</v>
      </c>
      <c r="I10466" t="s">
        <v>7738</v>
      </c>
      <c r="J10466" t="s">
        <v>22911</v>
      </c>
      <c r="K10466" t="s">
        <v>29329</v>
      </c>
      <c r="M10466" t="s">
        <v>31412</v>
      </c>
      <c r="N10466" t="s">
        <v>32524</v>
      </c>
      <c r="O10466" t="s">
        <v>32525</v>
      </c>
      <c r="P10466">
        <v>0</v>
      </c>
      <c r="Q10466">
        <v>0</v>
      </c>
      <c r="R10466" t="s">
        <v>32540</v>
      </c>
      <c r="S10466" t="s">
        <v>33102</v>
      </c>
      <c r="T10466" t="s">
        <v>33175</v>
      </c>
      <c r="U10466" t="s">
        <v>42204</v>
      </c>
      <c r="W10466" t="s">
        <v>31412</v>
      </c>
      <c r="X10466" t="s">
        <v>43782</v>
      </c>
    </row>
    <row r="10467" spans="1:24">
      <c r="A10467">
        <f>HYPERLINK("https://www.philgeps.gov.ph/GEPSNONPILOT/Tender/SplashBidNoticeAbstractUI.aspx?menuIndex=3&amp;refID=7017633&amp;Result=3","7017633")</f>
        <v>0</v>
      </c>
      <c r="B10467" t="s">
        <v>1709</v>
      </c>
      <c r="C10467" t="s">
        <v>12714</v>
      </c>
      <c r="D10467" t="s">
        <v>13003</v>
      </c>
      <c r="E10467" t="s">
        <v>22192</v>
      </c>
      <c r="F10467" t="s">
        <v>22436</v>
      </c>
      <c r="G10467" t="s">
        <v>22444</v>
      </c>
      <c r="H10467" t="s">
        <v>22454</v>
      </c>
      <c r="I10467" t="s">
        <v>7738</v>
      </c>
      <c r="J10467" t="s">
        <v>22640</v>
      </c>
      <c r="K10467" t="s">
        <v>29386</v>
      </c>
      <c r="M10467" t="s">
        <v>31412</v>
      </c>
      <c r="N10467" t="s">
        <v>32524</v>
      </c>
      <c r="O10467" t="s">
        <v>32525</v>
      </c>
      <c r="P10467">
        <v>0</v>
      </c>
      <c r="Q10467">
        <v>0</v>
      </c>
      <c r="R10467" t="s">
        <v>32540</v>
      </c>
      <c r="S10467" t="s">
        <v>33102</v>
      </c>
      <c r="T10467" t="s">
        <v>33175</v>
      </c>
      <c r="U10467" t="s">
        <v>42204</v>
      </c>
      <c r="W10467" t="s">
        <v>31412</v>
      </c>
      <c r="X10467" t="s">
        <v>43782</v>
      </c>
    </row>
    <row r="10468" spans="1:24">
      <c r="A10468">
        <f>HYPERLINK("https://www.philgeps.gov.ph/GEPSNONPILOT/Tender/SplashBidNoticeAbstractUI.aspx?menuIndex=3&amp;refID=7017756&amp;Result=3","7017756")</f>
        <v>0</v>
      </c>
      <c r="B10468" t="s">
        <v>1709</v>
      </c>
      <c r="C10468" t="s">
        <v>12715</v>
      </c>
      <c r="D10468" t="s">
        <v>13003</v>
      </c>
      <c r="E10468" t="s">
        <v>22193</v>
      </c>
      <c r="F10468" t="s">
        <v>22436</v>
      </c>
      <c r="G10468" t="s">
        <v>22444</v>
      </c>
      <c r="H10468" t="s">
        <v>22454</v>
      </c>
      <c r="I10468" t="s">
        <v>7738</v>
      </c>
      <c r="J10468" t="s">
        <v>23093</v>
      </c>
      <c r="K10468" t="s">
        <v>29333</v>
      </c>
      <c r="M10468" t="s">
        <v>31412</v>
      </c>
      <c r="N10468" t="s">
        <v>32524</v>
      </c>
      <c r="O10468" t="s">
        <v>32525</v>
      </c>
      <c r="P10468">
        <v>0</v>
      </c>
      <c r="Q10468">
        <v>0</v>
      </c>
      <c r="R10468" t="s">
        <v>32540</v>
      </c>
      <c r="S10468" t="s">
        <v>33102</v>
      </c>
      <c r="T10468" t="s">
        <v>33175</v>
      </c>
      <c r="U10468" t="s">
        <v>42204</v>
      </c>
      <c r="W10468" t="s">
        <v>31412</v>
      </c>
      <c r="X10468" t="s">
        <v>43782</v>
      </c>
    </row>
    <row r="10469" spans="1:24">
      <c r="A10469">
        <f>HYPERLINK("https://www.philgeps.gov.ph/GEPSNONPILOT/Tender/SplashBidNoticeAbstractUI.aspx?menuIndex=3&amp;refID=7017734&amp;Result=3","7017734")</f>
        <v>0</v>
      </c>
      <c r="B10469" t="s">
        <v>1709</v>
      </c>
      <c r="C10469" t="s">
        <v>12716</v>
      </c>
      <c r="D10469" t="s">
        <v>13003</v>
      </c>
      <c r="E10469" t="s">
        <v>22194</v>
      </c>
      <c r="F10469" t="s">
        <v>22436</v>
      </c>
      <c r="G10469" t="s">
        <v>22444</v>
      </c>
      <c r="H10469" t="s">
        <v>22454</v>
      </c>
      <c r="I10469" t="s">
        <v>7738</v>
      </c>
      <c r="J10469" t="s">
        <v>22640</v>
      </c>
      <c r="K10469" t="s">
        <v>29335</v>
      </c>
      <c r="M10469" t="s">
        <v>31412</v>
      </c>
      <c r="N10469" t="s">
        <v>32524</v>
      </c>
      <c r="O10469" t="s">
        <v>32525</v>
      </c>
      <c r="P10469">
        <v>0</v>
      </c>
      <c r="Q10469">
        <v>0</v>
      </c>
      <c r="R10469" t="s">
        <v>32540</v>
      </c>
      <c r="S10469" t="s">
        <v>33102</v>
      </c>
      <c r="T10469" t="s">
        <v>33175</v>
      </c>
      <c r="U10469" t="s">
        <v>42204</v>
      </c>
      <c r="W10469" t="s">
        <v>31412</v>
      </c>
      <c r="X10469" t="s">
        <v>43782</v>
      </c>
    </row>
    <row r="10470" spans="1:24">
      <c r="A10470">
        <f>HYPERLINK("https://www.philgeps.gov.ph/GEPSNONPILOT/Tender/SplashBidNoticeAbstractUI.aspx?menuIndex=3&amp;refID=7017647&amp;Result=3","7017647")</f>
        <v>0</v>
      </c>
      <c r="B10470" t="s">
        <v>1709</v>
      </c>
      <c r="C10470" t="s">
        <v>12717</v>
      </c>
      <c r="D10470" t="s">
        <v>13003</v>
      </c>
      <c r="E10470" t="s">
        <v>22195</v>
      </c>
      <c r="F10470" t="s">
        <v>22436</v>
      </c>
      <c r="G10470" t="s">
        <v>22444</v>
      </c>
      <c r="H10470" t="s">
        <v>22454</v>
      </c>
      <c r="I10470" t="s">
        <v>7738</v>
      </c>
      <c r="J10470" t="s">
        <v>22640</v>
      </c>
      <c r="K10470" t="s">
        <v>29335</v>
      </c>
      <c r="M10470" t="s">
        <v>31412</v>
      </c>
      <c r="N10470" t="s">
        <v>32524</v>
      </c>
      <c r="O10470" t="s">
        <v>32525</v>
      </c>
      <c r="P10470">
        <v>0</v>
      </c>
      <c r="Q10470">
        <v>0</v>
      </c>
      <c r="R10470" t="s">
        <v>32540</v>
      </c>
      <c r="S10470" t="s">
        <v>33102</v>
      </c>
      <c r="T10470" t="s">
        <v>33175</v>
      </c>
      <c r="U10470" t="s">
        <v>42204</v>
      </c>
      <c r="W10470" t="s">
        <v>31412</v>
      </c>
      <c r="X10470" t="s">
        <v>43782</v>
      </c>
    </row>
    <row r="10471" spans="1:24">
      <c r="A10471">
        <f>HYPERLINK("https://www.philgeps.gov.ph/GEPSNONPILOT/Tender/SplashBidNoticeAbstractUI.aspx?menuIndex=3&amp;refID=7017706&amp;Result=3","7017706")</f>
        <v>0</v>
      </c>
      <c r="B10471" t="s">
        <v>1709</v>
      </c>
      <c r="C10471" t="s">
        <v>12718</v>
      </c>
      <c r="D10471" t="s">
        <v>13003</v>
      </c>
      <c r="E10471" t="s">
        <v>22196</v>
      </c>
      <c r="F10471" t="s">
        <v>22436</v>
      </c>
      <c r="G10471" t="s">
        <v>22444</v>
      </c>
      <c r="H10471" t="s">
        <v>22454</v>
      </c>
      <c r="I10471" t="s">
        <v>7738</v>
      </c>
      <c r="J10471" t="s">
        <v>22640</v>
      </c>
      <c r="K10471" t="s">
        <v>29335</v>
      </c>
      <c r="M10471" t="s">
        <v>31412</v>
      </c>
      <c r="N10471" t="s">
        <v>32524</v>
      </c>
      <c r="O10471" t="s">
        <v>32525</v>
      </c>
      <c r="P10471">
        <v>0</v>
      </c>
      <c r="Q10471">
        <v>0</v>
      </c>
      <c r="R10471" t="s">
        <v>32540</v>
      </c>
      <c r="S10471" t="s">
        <v>33102</v>
      </c>
      <c r="T10471" t="s">
        <v>33175</v>
      </c>
      <c r="U10471" t="s">
        <v>42204</v>
      </c>
      <c r="W10471" t="s">
        <v>31412</v>
      </c>
      <c r="X10471" t="s">
        <v>43782</v>
      </c>
    </row>
    <row r="10472" spans="1:24">
      <c r="A10472">
        <f>HYPERLINK("https://www.philgeps.gov.ph/GEPSNONPILOT/Tender/SplashBidNoticeAbstractUI.aspx?menuIndex=3&amp;refID=7017746&amp;Result=3","7017746")</f>
        <v>0</v>
      </c>
      <c r="B10472" t="s">
        <v>1709</v>
      </c>
      <c r="C10472" t="s">
        <v>12719</v>
      </c>
      <c r="D10472" t="s">
        <v>13003</v>
      </c>
      <c r="E10472" t="s">
        <v>22197</v>
      </c>
      <c r="F10472" t="s">
        <v>22436</v>
      </c>
      <c r="G10472" t="s">
        <v>22444</v>
      </c>
      <c r="H10472" t="s">
        <v>22454</v>
      </c>
      <c r="I10472" t="s">
        <v>7738</v>
      </c>
      <c r="J10472" t="s">
        <v>22893</v>
      </c>
      <c r="K10472" t="s">
        <v>29335</v>
      </c>
      <c r="M10472" t="s">
        <v>31412</v>
      </c>
      <c r="N10472" t="s">
        <v>32524</v>
      </c>
      <c r="O10472" t="s">
        <v>32525</v>
      </c>
      <c r="P10472">
        <v>0</v>
      </c>
      <c r="Q10472">
        <v>0</v>
      </c>
      <c r="R10472" t="s">
        <v>32540</v>
      </c>
      <c r="S10472" t="s">
        <v>33102</v>
      </c>
      <c r="T10472" t="s">
        <v>33175</v>
      </c>
      <c r="U10472" t="s">
        <v>42204</v>
      </c>
      <c r="W10472" t="s">
        <v>31412</v>
      </c>
      <c r="X10472" t="s">
        <v>43782</v>
      </c>
    </row>
    <row r="10473" spans="1:24">
      <c r="A10473">
        <f>HYPERLINK("https://www.philgeps.gov.ph/GEPSNONPILOT/Tender/SplashBidNoticeAbstractUI.aspx?menuIndex=3&amp;refID=7017721&amp;Result=3","7017721")</f>
        <v>0</v>
      </c>
      <c r="B10473" t="s">
        <v>1709</v>
      </c>
      <c r="C10473" t="s">
        <v>12720</v>
      </c>
      <c r="D10473" t="s">
        <v>13003</v>
      </c>
      <c r="E10473" t="s">
        <v>22198</v>
      </c>
      <c r="F10473" t="s">
        <v>22436</v>
      </c>
      <c r="G10473" t="s">
        <v>22444</v>
      </c>
      <c r="H10473" t="s">
        <v>22454</v>
      </c>
      <c r="I10473" t="s">
        <v>7738</v>
      </c>
      <c r="J10473" t="s">
        <v>22640</v>
      </c>
      <c r="K10473" t="s">
        <v>29335</v>
      </c>
      <c r="M10473" t="s">
        <v>31412</v>
      </c>
      <c r="N10473" t="s">
        <v>32524</v>
      </c>
      <c r="O10473" t="s">
        <v>32525</v>
      </c>
      <c r="P10473">
        <v>0</v>
      </c>
      <c r="Q10473">
        <v>0</v>
      </c>
      <c r="R10473" t="s">
        <v>32540</v>
      </c>
      <c r="S10473" t="s">
        <v>33102</v>
      </c>
      <c r="T10473" t="s">
        <v>33175</v>
      </c>
      <c r="U10473" t="s">
        <v>42204</v>
      </c>
      <c r="W10473" t="s">
        <v>31412</v>
      </c>
      <c r="X10473" t="s">
        <v>43782</v>
      </c>
    </row>
    <row r="10474" spans="1:24">
      <c r="A10474">
        <f>HYPERLINK("https://www.philgeps.gov.ph/GEPSNONPILOT/Tender/SplashBidNoticeAbstractUI.aspx?menuIndex=3&amp;refID=7018302&amp;Result=3","7018302")</f>
        <v>0</v>
      </c>
      <c r="B10474" t="s">
        <v>1947</v>
      </c>
      <c r="C10474" t="s">
        <v>12721</v>
      </c>
      <c r="D10474" t="s">
        <v>12998</v>
      </c>
      <c r="E10474" t="s">
        <v>22199</v>
      </c>
      <c r="F10474" t="s">
        <v>22436</v>
      </c>
      <c r="G10474" t="s">
        <v>22444</v>
      </c>
      <c r="H10474" t="s">
        <v>22453</v>
      </c>
      <c r="I10474" t="s">
        <v>22550</v>
      </c>
      <c r="J10474" t="s">
        <v>29162</v>
      </c>
      <c r="K10474" t="s">
        <v>29334</v>
      </c>
      <c r="M10474" t="s">
        <v>31783</v>
      </c>
      <c r="N10474" t="s">
        <v>32524</v>
      </c>
      <c r="O10474" t="s">
        <v>32525</v>
      </c>
      <c r="Q10474">
        <v>4</v>
      </c>
      <c r="R10474" t="s">
        <v>32540</v>
      </c>
      <c r="S10474" t="s">
        <v>33113</v>
      </c>
      <c r="T10474" t="s">
        <v>33168</v>
      </c>
      <c r="U10474" t="s">
        <v>38802</v>
      </c>
      <c r="V10474" t="s">
        <v>43107</v>
      </c>
      <c r="W10474" t="s">
        <v>31783</v>
      </c>
      <c r="X10474" t="s">
        <v>43782</v>
      </c>
    </row>
    <row r="10475" spans="1:24">
      <c r="A10475">
        <f>HYPERLINK("https://www.philgeps.gov.ph/GEPSNONPILOT/Tender/SplashBidNoticeAbstractUI.aspx?menuIndex=3&amp;refID=7017651&amp;Result=3","7017651")</f>
        <v>0</v>
      </c>
      <c r="B10475" t="s">
        <v>2213</v>
      </c>
      <c r="C10475" t="s">
        <v>12722</v>
      </c>
      <c r="D10475" t="s">
        <v>13030</v>
      </c>
      <c r="E10475" t="s">
        <v>22200</v>
      </c>
      <c r="F10475" t="s">
        <v>22436</v>
      </c>
      <c r="G10475" t="s">
        <v>22444</v>
      </c>
      <c r="H10475" t="s">
        <v>22454</v>
      </c>
      <c r="I10475" t="s">
        <v>7738</v>
      </c>
      <c r="J10475" t="s">
        <v>29163</v>
      </c>
      <c r="K10475" t="s">
        <v>29338</v>
      </c>
      <c r="M10475" t="s">
        <v>31979</v>
      </c>
      <c r="N10475" t="s">
        <v>32524</v>
      </c>
      <c r="O10475" t="s">
        <v>32525</v>
      </c>
      <c r="Q10475">
        <v>4</v>
      </c>
      <c r="R10475" t="s">
        <v>32540</v>
      </c>
      <c r="S10475" t="s">
        <v>33114</v>
      </c>
      <c r="T10475" t="s">
        <v>33180</v>
      </c>
      <c r="U10475" t="s">
        <v>42211</v>
      </c>
      <c r="W10475" t="s">
        <v>31979</v>
      </c>
      <c r="X10475" t="s">
        <v>43782</v>
      </c>
    </row>
    <row r="10476" spans="1:24">
      <c r="A10476">
        <f>HYPERLINK("https://www.philgeps.gov.ph/GEPSNONPILOT/Tender/SplashBidNoticeAbstractUI.aspx?menuIndex=3&amp;refID=7018838&amp;Result=3","7018838")</f>
        <v>0</v>
      </c>
      <c r="B10476" t="s">
        <v>1711</v>
      </c>
      <c r="C10476" t="s">
        <v>12723</v>
      </c>
      <c r="D10476" t="s">
        <v>12994</v>
      </c>
      <c r="E10476" t="s">
        <v>22201</v>
      </c>
      <c r="F10476" t="s">
        <v>22436</v>
      </c>
      <c r="G10476" t="s">
        <v>22444</v>
      </c>
      <c r="H10476" t="s">
        <v>22454</v>
      </c>
      <c r="I10476" t="s">
        <v>7738</v>
      </c>
      <c r="J10476" t="s">
        <v>29164</v>
      </c>
      <c r="K10476" t="s">
        <v>29334</v>
      </c>
      <c r="M10476" t="s">
        <v>32489</v>
      </c>
      <c r="N10476" t="s">
        <v>32524</v>
      </c>
      <c r="O10476" t="s">
        <v>32525</v>
      </c>
      <c r="P10476">
        <v>0</v>
      </c>
      <c r="Q10476">
        <v>14</v>
      </c>
      <c r="R10476" t="s">
        <v>32540</v>
      </c>
      <c r="S10476" t="s">
        <v>33102</v>
      </c>
      <c r="T10476" t="s">
        <v>33230</v>
      </c>
      <c r="U10476" t="s">
        <v>42214</v>
      </c>
      <c r="W10476" t="s">
        <v>32489</v>
      </c>
      <c r="X10476" t="s">
        <v>43780</v>
      </c>
    </row>
    <row r="10477" spans="1:24">
      <c r="A10477">
        <f>HYPERLINK("https://www.philgeps.gov.ph/GEPSNONPILOT/Tender/SplashBidNoticeAbstractUI.aspx?menuIndex=3&amp;refID=7017686&amp;Result=3","7017686")</f>
        <v>0</v>
      </c>
      <c r="B10477" t="s">
        <v>2580</v>
      </c>
      <c r="C10477" t="s">
        <v>12724</v>
      </c>
      <c r="D10477" t="s">
        <v>13006</v>
      </c>
      <c r="E10477" t="s">
        <v>22202</v>
      </c>
      <c r="F10477" t="s">
        <v>22436</v>
      </c>
      <c r="G10477" t="s">
        <v>22444</v>
      </c>
      <c r="H10477" t="s">
        <v>22452</v>
      </c>
      <c r="I10477" t="s">
        <v>3529</v>
      </c>
      <c r="J10477" t="s">
        <v>29165</v>
      </c>
      <c r="K10477" t="s">
        <v>29336</v>
      </c>
      <c r="M10477" t="s">
        <v>32403</v>
      </c>
      <c r="N10477" t="s">
        <v>32524</v>
      </c>
      <c r="O10477" t="s">
        <v>32525</v>
      </c>
      <c r="P10477">
        <v>0</v>
      </c>
      <c r="Q10477">
        <v>0</v>
      </c>
      <c r="R10477" t="s">
        <v>32540</v>
      </c>
      <c r="S10477" t="s">
        <v>33102</v>
      </c>
      <c r="T10477" t="s">
        <v>33293</v>
      </c>
      <c r="U10477" t="s">
        <v>42215</v>
      </c>
      <c r="V10477" t="s">
        <v>43633</v>
      </c>
      <c r="W10477" t="s">
        <v>32403</v>
      </c>
      <c r="X10477" t="s">
        <v>43782</v>
      </c>
    </row>
    <row r="10478" spans="1:24">
      <c r="A10478">
        <f>HYPERLINK("https://www.philgeps.gov.ph/GEPSNONPILOT/Tender/SplashBidNoticeAbstractUI.aspx?menuIndex=3&amp;refID=7018904&amp;Result=3","7018904")</f>
        <v>0</v>
      </c>
      <c r="B10478" t="s">
        <v>50</v>
      </c>
      <c r="C10478" t="s">
        <v>12725</v>
      </c>
      <c r="D10478" t="s">
        <v>13008</v>
      </c>
      <c r="E10478" t="s">
        <v>22203</v>
      </c>
      <c r="F10478" t="s">
        <v>22436</v>
      </c>
      <c r="G10478" t="s">
        <v>22444</v>
      </c>
      <c r="H10478" t="s">
        <v>22452</v>
      </c>
      <c r="I10478" t="s">
        <v>22482</v>
      </c>
      <c r="J10478" t="s">
        <v>22893</v>
      </c>
      <c r="K10478" t="s">
        <v>29335</v>
      </c>
      <c r="M10478" t="s">
        <v>29622</v>
      </c>
      <c r="N10478" t="s">
        <v>32524</v>
      </c>
      <c r="O10478" t="s">
        <v>32525</v>
      </c>
      <c r="P10478">
        <v>0</v>
      </c>
      <c r="Q10478">
        <v>6</v>
      </c>
      <c r="R10478" t="s">
        <v>32540</v>
      </c>
      <c r="S10478" t="s">
        <v>33102</v>
      </c>
      <c r="T10478" t="s">
        <v>33181</v>
      </c>
      <c r="U10478" t="s">
        <v>42216</v>
      </c>
      <c r="W10478" t="s">
        <v>29622</v>
      </c>
      <c r="X10478" t="s">
        <v>43795</v>
      </c>
    </row>
    <row r="10479" spans="1:24">
      <c r="A10479">
        <f>HYPERLINK("https://www.philgeps.gov.ph/GEPSNONPILOT/Tender/SplashBidNoticeAbstractUI.aspx?menuIndex=3&amp;refID=7018918&amp;Result=3","7018918")</f>
        <v>0</v>
      </c>
      <c r="B10479" t="s">
        <v>50</v>
      </c>
      <c r="C10479" t="s">
        <v>12726</v>
      </c>
      <c r="D10479" t="s">
        <v>13008</v>
      </c>
      <c r="E10479" t="s">
        <v>22204</v>
      </c>
      <c r="F10479" t="s">
        <v>22436</v>
      </c>
      <c r="G10479" t="s">
        <v>22444</v>
      </c>
      <c r="H10479" t="s">
        <v>22452</v>
      </c>
      <c r="I10479" t="s">
        <v>3027</v>
      </c>
      <c r="J10479" t="s">
        <v>24018</v>
      </c>
      <c r="K10479" t="s">
        <v>29335</v>
      </c>
      <c r="M10479" t="s">
        <v>29622</v>
      </c>
      <c r="N10479" t="s">
        <v>32524</v>
      </c>
      <c r="O10479" t="s">
        <v>32525</v>
      </c>
      <c r="P10479">
        <v>0</v>
      </c>
      <c r="Q10479">
        <v>0</v>
      </c>
      <c r="R10479" t="s">
        <v>32540</v>
      </c>
      <c r="S10479" t="s">
        <v>33102</v>
      </c>
      <c r="T10479" t="s">
        <v>33181</v>
      </c>
      <c r="U10479" t="s">
        <v>42217</v>
      </c>
      <c r="W10479" t="s">
        <v>29622</v>
      </c>
      <c r="X10479" t="s">
        <v>43795</v>
      </c>
    </row>
    <row r="10480" spans="1:24">
      <c r="A10480">
        <f>HYPERLINK("https://www.philgeps.gov.ph/GEPSNONPILOT/Tender/SplashBidNoticeAbstractUI.aspx?menuIndex=3&amp;refID=7017678&amp;Result=3","7017678")</f>
        <v>0</v>
      </c>
      <c r="B10480" t="s">
        <v>1709</v>
      </c>
      <c r="C10480" t="s">
        <v>12727</v>
      </c>
      <c r="D10480" t="s">
        <v>13003</v>
      </c>
      <c r="E10480" t="s">
        <v>22205</v>
      </c>
      <c r="F10480" t="s">
        <v>22436</v>
      </c>
      <c r="G10480" t="s">
        <v>22444</v>
      </c>
      <c r="H10480" t="s">
        <v>22454</v>
      </c>
      <c r="I10480" t="s">
        <v>7738</v>
      </c>
      <c r="J10480" t="s">
        <v>23093</v>
      </c>
      <c r="K10480" t="s">
        <v>29335</v>
      </c>
      <c r="M10480" t="s">
        <v>31412</v>
      </c>
      <c r="N10480" t="s">
        <v>32524</v>
      </c>
      <c r="O10480" t="s">
        <v>32525</v>
      </c>
      <c r="P10480">
        <v>0</v>
      </c>
      <c r="Q10480">
        <v>0</v>
      </c>
      <c r="R10480" t="s">
        <v>32540</v>
      </c>
      <c r="S10480" t="s">
        <v>33102</v>
      </c>
      <c r="T10480" t="s">
        <v>33175</v>
      </c>
      <c r="U10480" t="s">
        <v>42204</v>
      </c>
      <c r="W10480" t="s">
        <v>31412</v>
      </c>
      <c r="X10480" t="s">
        <v>43782</v>
      </c>
    </row>
    <row r="10481" spans="1:24">
      <c r="A10481">
        <f>HYPERLINK("https://www.philgeps.gov.ph/GEPSNONPILOT/Tender/SplashBidNoticeAbstractUI.aspx?menuIndex=3&amp;refID=7018912&amp;Result=3","7018912")</f>
        <v>0</v>
      </c>
      <c r="B10481" t="s">
        <v>50</v>
      </c>
      <c r="C10481" t="s">
        <v>12728</v>
      </c>
      <c r="D10481" t="s">
        <v>13008</v>
      </c>
      <c r="E10481" t="s">
        <v>22206</v>
      </c>
      <c r="F10481" t="s">
        <v>22436</v>
      </c>
      <c r="G10481" t="s">
        <v>22444</v>
      </c>
      <c r="H10481" t="s">
        <v>22453</v>
      </c>
      <c r="I10481" t="s">
        <v>22486</v>
      </c>
      <c r="J10481" t="s">
        <v>26278</v>
      </c>
      <c r="K10481" t="s">
        <v>29335</v>
      </c>
      <c r="M10481" t="s">
        <v>29622</v>
      </c>
      <c r="N10481" t="s">
        <v>32524</v>
      </c>
      <c r="O10481" t="s">
        <v>32525</v>
      </c>
      <c r="P10481">
        <v>0</v>
      </c>
      <c r="Q10481">
        <v>2</v>
      </c>
      <c r="R10481" t="s">
        <v>32540</v>
      </c>
      <c r="S10481" t="s">
        <v>33102</v>
      </c>
      <c r="T10481" t="s">
        <v>33181</v>
      </c>
      <c r="U10481" t="s">
        <v>42218</v>
      </c>
      <c r="W10481" t="s">
        <v>29622</v>
      </c>
      <c r="X10481" t="s">
        <v>43795</v>
      </c>
    </row>
    <row r="10482" spans="1:24">
      <c r="A10482">
        <f>HYPERLINK("https://www.philgeps.gov.ph/GEPSNONPILOT/Tender/SplashBidNoticeAbstractUI.aspx?menuIndex=3&amp;refID=7017652&amp;Result=3","7017652")</f>
        <v>0</v>
      </c>
      <c r="B10482" t="s">
        <v>1709</v>
      </c>
      <c r="C10482" t="s">
        <v>12729</v>
      </c>
      <c r="D10482" t="s">
        <v>13003</v>
      </c>
      <c r="E10482" t="s">
        <v>22207</v>
      </c>
      <c r="F10482" t="s">
        <v>22436</v>
      </c>
      <c r="G10482" t="s">
        <v>22444</v>
      </c>
      <c r="H10482" t="s">
        <v>22454</v>
      </c>
      <c r="I10482" t="s">
        <v>7738</v>
      </c>
      <c r="J10482" t="s">
        <v>22853</v>
      </c>
      <c r="K10482" t="s">
        <v>29335</v>
      </c>
      <c r="M10482" t="s">
        <v>31412</v>
      </c>
      <c r="N10482" t="s">
        <v>32524</v>
      </c>
      <c r="O10482" t="s">
        <v>32525</v>
      </c>
      <c r="P10482">
        <v>0</v>
      </c>
      <c r="Q10482">
        <v>0</v>
      </c>
      <c r="R10482" t="s">
        <v>32540</v>
      </c>
      <c r="S10482" t="s">
        <v>33102</v>
      </c>
      <c r="T10482" t="s">
        <v>33175</v>
      </c>
      <c r="U10482" t="s">
        <v>42204</v>
      </c>
      <c r="W10482" t="s">
        <v>31412</v>
      </c>
      <c r="X10482" t="s">
        <v>43782</v>
      </c>
    </row>
    <row r="10483" spans="1:24">
      <c r="A10483">
        <f>HYPERLINK("https://www.philgeps.gov.ph/GEPSNONPILOT/Tender/SplashBidNoticeAbstractUI.aspx?menuIndex=3&amp;refID=7018857&amp;Result=3","7018857")</f>
        <v>0</v>
      </c>
      <c r="B10483" t="s">
        <v>1990</v>
      </c>
      <c r="C10483" t="s">
        <v>12730</v>
      </c>
      <c r="E10483" t="s">
        <v>22208</v>
      </c>
      <c r="F10483" t="s">
        <v>22436</v>
      </c>
      <c r="G10483" t="s">
        <v>22444</v>
      </c>
      <c r="H10483" t="s">
        <v>22454</v>
      </c>
      <c r="I10483" t="s">
        <v>7738</v>
      </c>
      <c r="J10483" t="s">
        <v>22779</v>
      </c>
      <c r="K10483" t="s">
        <v>29329</v>
      </c>
      <c r="M10483" t="s">
        <v>31722</v>
      </c>
      <c r="N10483" t="s">
        <v>32524</v>
      </c>
      <c r="O10483" t="s">
        <v>32525</v>
      </c>
      <c r="Q10483">
        <v>0</v>
      </c>
      <c r="R10483" t="s">
        <v>32540</v>
      </c>
      <c r="S10483" t="s">
        <v>33115</v>
      </c>
      <c r="T10483" t="s">
        <v>33168</v>
      </c>
      <c r="U10483" t="s">
        <v>42219</v>
      </c>
      <c r="V10483" t="s">
        <v>43127</v>
      </c>
      <c r="W10483" t="s">
        <v>31722</v>
      </c>
      <c r="X10483" t="s">
        <v>43780</v>
      </c>
    </row>
    <row r="10484" spans="1:24">
      <c r="A10484">
        <f>HYPERLINK("https://www.philgeps.gov.ph/GEPSNONPILOT/Tender/SplashBidNoticeAbstractUI.aspx?menuIndex=3&amp;refID=7018854&amp;Result=3","7018854")</f>
        <v>0</v>
      </c>
      <c r="B10484" t="s">
        <v>1990</v>
      </c>
      <c r="C10484" t="s">
        <v>12731</v>
      </c>
      <c r="E10484" t="s">
        <v>22209</v>
      </c>
      <c r="F10484" t="s">
        <v>22436</v>
      </c>
      <c r="G10484" t="s">
        <v>22444</v>
      </c>
      <c r="H10484" t="s">
        <v>22454</v>
      </c>
      <c r="I10484" t="s">
        <v>7738</v>
      </c>
      <c r="J10484" t="s">
        <v>24074</v>
      </c>
      <c r="K10484" t="s">
        <v>29388</v>
      </c>
      <c r="M10484" t="s">
        <v>31722</v>
      </c>
      <c r="N10484" t="s">
        <v>32524</v>
      </c>
      <c r="O10484" t="s">
        <v>32525</v>
      </c>
      <c r="Q10484">
        <v>0</v>
      </c>
      <c r="R10484" t="s">
        <v>32540</v>
      </c>
      <c r="S10484" t="s">
        <v>33116</v>
      </c>
      <c r="T10484" t="s">
        <v>33168</v>
      </c>
      <c r="U10484" t="s">
        <v>42219</v>
      </c>
      <c r="V10484" t="s">
        <v>43127</v>
      </c>
      <c r="W10484" t="s">
        <v>31722</v>
      </c>
      <c r="X10484" t="s">
        <v>43780</v>
      </c>
    </row>
    <row r="10485" spans="1:24">
      <c r="A10485">
        <f>HYPERLINK("https://www.philgeps.gov.ph/GEPSNONPILOT/Tender/SplashBidNoticeAbstractUI.aspx?menuIndex=3&amp;refID=7018856&amp;Result=3","7018856")</f>
        <v>0</v>
      </c>
      <c r="B10485" t="s">
        <v>1990</v>
      </c>
      <c r="C10485" t="s">
        <v>12732</v>
      </c>
      <c r="E10485" t="s">
        <v>22210</v>
      </c>
      <c r="F10485" t="s">
        <v>22436</v>
      </c>
      <c r="G10485" t="s">
        <v>22444</v>
      </c>
      <c r="H10485" t="s">
        <v>22454</v>
      </c>
      <c r="I10485" t="s">
        <v>7738</v>
      </c>
      <c r="J10485" t="s">
        <v>23347</v>
      </c>
      <c r="K10485" t="s">
        <v>29333</v>
      </c>
      <c r="M10485" t="s">
        <v>31722</v>
      </c>
      <c r="N10485" t="s">
        <v>32524</v>
      </c>
      <c r="O10485" t="s">
        <v>32525</v>
      </c>
      <c r="Q10485">
        <v>0</v>
      </c>
      <c r="R10485" t="s">
        <v>32540</v>
      </c>
      <c r="S10485" t="s">
        <v>33117</v>
      </c>
      <c r="T10485" t="s">
        <v>33168</v>
      </c>
      <c r="U10485" t="s">
        <v>42219</v>
      </c>
      <c r="V10485" t="s">
        <v>43127</v>
      </c>
      <c r="W10485" t="s">
        <v>31722</v>
      </c>
      <c r="X10485" t="s">
        <v>43780</v>
      </c>
    </row>
    <row r="10486" spans="1:24">
      <c r="A10486">
        <f>HYPERLINK("https://www.philgeps.gov.ph/GEPSNONPILOT/Tender/SplashBidNoticeAbstractUI.aspx?menuIndex=3&amp;refID=7018853&amp;Result=3","7018853")</f>
        <v>0</v>
      </c>
      <c r="B10486" t="s">
        <v>1990</v>
      </c>
      <c r="C10486" t="s">
        <v>12733</v>
      </c>
      <c r="E10486" t="s">
        <v>22211</v>
      </c>
      <c r="F10486" t="s">
        <v>22436</v>
      </c>
      <c r="G10486" t="s">
        <v>22444</v>
      </c>
      <c r="H10486" t="s">
        <v>22454</v>
      </c>
      <c r="I10486" t="s">
        <v>7738</v>
      </c>
      <c r="J10486" t="s">
        <v>25369</v>
      </c>
      <c r="K10486" t="s">
        <v>29388</v>
      </c>
      <c r="M10486" t="s">
        <v>31722</v>
      </c>
      <c r="N10486" t="s">
        <v>32524</v>
      </c>
      <c r="O10486" t="s">
        <v>32525</v>
      </c>
      <c r="Q10486">
        <v>0</v>
      </c>
      <c r="R10486" t="s">
        <v>32540</v>
      </c>
      <c r="S10486" t="s">
        <v>33118</v>
      </c>
      <c r="T10486" t="s">
        <v>33168</v>
      </c>
      <c r="U10486" t="s">
        <v>42219</v>
      </c>
      <c r="V10486" t="s">
        <v>43127</v>
      </c>
      <c r="W10486" t="s">
        <v>31722</v>
      </c>
      <c r="X10486" t="s">
        <v>43780</v>
      </c>
    </row>
    <row r="10487" spans="1:24">
      <c r="A10487">
        <f>HYPERLINK("https://www.philgeps.gov.ph/GEPSNONPILOT/Tender/SplashBidNoticeAbstractUI.aspx?menuIndex=3&amp;refID=7018809&amp;Result=3","7018809")</f>
        <v>0</v>
      </c>
      <c r="B10487" t="s">
        <v>946</v>
      </c>
      <c r="C10487" t="s">
        <v>12734</v>
      </c>
      <c r="D10487" t="s">
        <v>13060</v>
      </c>
      <c r="E10487" t="s">
        <v>22212</v>
      </c>
      <c r="F10487" t="s">
        <v>22436</v>
      </c>
      <c r="G10487" t="s">
        <v>22444</v>
      </c>
      <c r="H10487" t="s">
        <v>22455</v>
      </c>
      <c r="I10487" t="s">
        <v>22455</v>
      </c>
      <c r="J10487" t="s">
        <v>29166</v>
      </c>
      <c r="K10487" t="s">
        <v>29333</v>
      </c>
      <c r="M10487" t="s">
        <v>30560</v>
      </c>
      <c r="N10487" t="s">
        <v>32524</v>
      </c>
      <c r="O10487" t="s">
        <v>32525</v>
      </c>
      <c r="P10487">
        <v>0</v>
      </c>
      <c r="Q10487">
        <v>2</v>
      </c>
      <c r="R10487" t="s">
        <v>32540</v>
      </c>
      <c r="S10487" t="s">
        <v>33102</v>
      </c>
      <c r="T10487" t="s">
        <v>33168</v>
      </c>
      <c r="U10487" t="s">
        <v>42220</v>
      </c>
      <c r="W10487" t="s">
        <v>30560</v>
      </c>
      <c r="X10487" t="s">
        <v>43780</v>
      </c>
    </row>
    <row r="10488" spans="1:24">
      <c r="A10488">
        <f>HYPERLINK("https://www.philgeps.gov.ph/GEPSNONPILOT/Tender/SplashBidNoticeAbstractUI.aspx?menuIndex=3&amp;refID=7018855&amp;Result=3","7018855")</f>
        <v>0</v>
      </c>
      <c r="B10488" t="s">
        <v>1990</v>
      </c>
      <c r="C10488" t="s">
        <v>12735</v>
      </c>
      <c r="E10488" t="s">
        <v>22213</v>
      </c>
      <c r="F10488" t="s">
        <v>22436</v>
      </c>
      <c r="G10488" t="s">
        <v>22444</v>
      </c>
      <c r="H10488" t="s">
        <v>22454</v>
      </c>
      <c r="I10488" t="s">
        <v>7738</v>
      </c>
      <c r="J10488" t="s">
        <v>24103</v>
      </c>
      <c r="K10488" t="s">
        <v>29347</v>
      </c>
      <c r="M10488" t="s">
        <v>31722</v>
      </c>
      <c r="N10488" t="s">
        <v>32524</v>
      </c>
      <c r="O10488" t="s">
        <v>32525</v>
      </c>
      <c r="Q10488">
        <v>0</v>
      </c>
      <c r="R10488" t="s">
        <v>32540</v>
      </c>
      <c r="S10488" t="s">
        <v>33116</v>
      </c>
      <c r="T10488" t="s">
        <v>33168</v>
      </c>
      <c r="U10488" t="s">
        <v>42219</v>
      </c>
      <c r="V10488" t="s">
        <v>43127</v>
      </c>
      <c r="W10488" t="s">
        <v>31722</v>
      </c>
      <c r="X10488" t="s">
        <v>43780</v>
      </c>
    </row>
    <row r="10489" spans="1:24">
      <c r="A10489">
        <f>HYPERLINK("https://www.philgeps.gov.ph/GEPSNONPILOT/Tender/SplashBidNoticeAbstractUI.aspx?menuIndex=3&amp;refID=7018846&amp;Result=3","7018846")</f>
        <v>0</v>
      </c>
      <c r="B10489" t="s">
        <v>1711</v>
      </c>
      <c r="C10489" t="s">
        <v>12736</v>
      </c>
      <c r="D10489" t="s">
        <v>12994</v>
      </c>
      <c r="E10489" t="s">
        <v>22214</v>
      </c>
      <c r="F10489" t="s">
        <v>22436</v>
      </c>
      <c r="G10489" t="s">
        <v>22444</v>
      </c>
      <c r="H10489" t="s">
        <v>22454</v>
      </c>
      <c r="I10489" t="s">
        <v>7738</v>
      </c>
      <c r="J10489" t="s">
        <v>29167</v>
      </c>
      <c r="K10489" t="s">
        <v>29334</v>
      </c>
      <c r="M10489" t="s">
        <v>32489</v>
      </c>
      <c r="N10489" t="s">
        <v>32524</v>
      </c>
      <c r="O10489" t="s">
        <v>32525</v>
      </c>
      <c r="P10489">
        <v>0</v>
      </c>
      <c r="Q10489">
        <v>13</v>
      </c>
      <c r="R10489" t="s">
        <v>32540</v>
      </c>
      <c r="S10489" t="s">
        <v>33102</v>
      </c>
      <c r="T10489" t="s">
        <v>33230</v>
      </c>
      <c r="U10489" t="s">
        <v>42214</v>
      </c>
      <c r="W10489" t="s">
        <v>32489</v>
      </c>
      <c r="X10489" t="s">
        <v>43780</v>
      </c>
    </row>
    <row r="10490" spans="1:24">
      <c r="A10490">
        <f>HYPERLINK("https://www.philgeps.gov.ph/GEPSNONPILOT/Tender/SplashBidNoticeAbstractUI.aspx?menuIndex=3&amp;refID=7018530&amp;Result=3","7018530")</f>
        <v>0</v>
      </c>
      <c r="B10490" t="s">
        <v>873</v>
      </c>
      <c r="C10490" t="s">
        <v>12737</v>
      </c>
      <c r="D10490" t="s">
        <v>13062</v>
      </c>
      <c r="E10490" t="s">
        <v>22215</v>
      </c>
      <c r="F10490" t="s">
        <v>22436</v>
      </c>
      <c r="G10490" t="s">
        <v>22444</v>
      </c>
      <c r="H10490" t="s">
        <v>22454</v>
      </c>
      <c r="I10490" t="s">
        <v>7738</v>
      </c>
      <c r="J10490" t="s">
        <v>24712</v>
      </c>
      <c r="K10490" t="s">
        <v>29343</v>
      </c>
      <c r="M10490" t="s">
        <v>30481</v>
      </c>
      <c r="N10490" t="s">
        <v>32524</v>
      </c>
      <c r="O10490" t="s">
        <v>32525</v>
      </c>
      <c r="P10490">
        <v>0</v>
      </c>
      <c r="Q10490">
        <v>0</v>
      </c>
      <c r="R10490" t="s">
        <v>32540</v>
      </c>
      <c r="S10490" t="s">
        <v>33102</v>
      </c>
      <c r="T10490" t="s">
        <v>33155</v>
      </c>
      <c r="U10490" t="s">
        <v>42221</v>
      </c>
      <c r="W10490" t="s">
        <v>30481</v>
      </c>
      <c r="X10490" t="s">
        <v>43782</v>
      </c>
    </row>
    <row r="10491" spans="1:24">
      <c r="A10491">
        <f>HYPERLINK("https://www.philgeps.gov.ph/GEPSNONPILOT/Tender/SplashBidNoticeAbstractUI.aspx?menuIndex=3&amp;refID=7018848&amp;Result=3","7018848")</f>
        <v>0</v>
      </c>
      <c r="B10491" t="s">
        <v>1711</v>
      </c>
      <c r="C10491" t="s">
        <v>12738</v>
      </c>
      <c r="D10491" t="s">
        <v>12994</v>
      </c>
      <c r="E10491" t="s">
        <v>22216</v>
      </c>
      <c r="F10491" t="s">
        <v>22436</v>
      </c>
      <c r="G10491" t="s">
        <v>22444</v>
      </c>
      <c r="H10491" t="s">
        <v>22454</v>
      </c>
      <c r="I10491" t="s">
        <v>7738</v>
      </c>
      <c r="J10491" t="s">
        <v>29168</v>
      </c>
      <c r="K10491" t="s">
        <v>29347</v>
      </c>
      <c r="M10491" t="s">
        <v>32489</v>
      </c>
      <c r="N10491" t="s">
        <v>32524</v>
      </c>
      <c r="O10491" t="s">
        <v>32525</v>
      </c>
      <c r="P10491">
        <v>0</v>
      </c>
      <c r="Q10491">
        <v>8</v>
      </c>
      <c r="R10491" t="s">
        <v>32540</v>
      </c>
      <c r="S10491" t="s">
        <v>33102</v>
      </c>
      <c r="T10491" t="s">
        <v>33230</v>
      </c>
      <c r="U10491" t="s">
        <v>42214</v>
      </c>
      <c r="W10491" t="s">
        <v>32489</v>
      </c>
      <c r="X10491" t="s">
        <v>43780</v>
      </c>
    </row>
    <row r="10492" spans="1:24">
      <c r="A10492">
        <f>HYPERLINK("https://www.philgeps.gov.ph/GEPSNONPILOT/Tender/SplashBidNoticeAbstractUI.aspx?menuIndex=3&amp;refID=7018843&amp;Result=3","7018843")</f>
        <v>0</v>
      </c>
      <c r="B10492" t="s">
        <v>1711</v>
      </c>
      <c r="C10492" t="s">
        <v>12739</v>
      </c>
      <c r="D10492" t="s">
        <v>12994</v>
      </c>
      <c r="E10492" t="s">
        <v>22217</v>
      </c>
      <c r="F10492" t="s">
        <v>22436</v>
      </c>
      <c r="G10492" t="s">
        <v>22444</v>
      </c>
      <c r="H10492" t="s">
        <v>22454</v>
      </c>
      <c r="I10492" t="s">
        <v>7738</v>
      </c>
      <c r="J10492" t="s">
        <v>29169</v>
      </c>
      <c r="K10492" t="s">
        <v>29334</v>
      </c>
      <c r="M10492" t="s">
        <v>32489</v>
      </c>
      <c r="N10492" t="s">
        <v>32524</v>
      </c>
      <c r="O10492" t="s">
        <v>32525</v>
      </c>
      <c r="P10492">
        <v>0</v>
      </c>
      <c r="Q10492">
        <v>12</v>
      </c>
      <c r="R10492" t="s">
        <v>32540</v>
      </c>
      <c r="S10492" t="s">
        <v>33102</v>
      </c>
      <c r="T10492" t="s">
        <v>33230</v>
      </c>
      <c r="U10492" t="s">
        <v>42214</v>
      </c>
      <c r="W10492" t="s">
        <v>32489</v>
      </c>
      <c r="X10492" t="s">
        <v>43780</v>
      </c>
    </row>
    <row r="10493" spans="1:24">
      <c r="A10493">
        <f>HYPERLINK("https://www.philgeps.gov.ph/GEPSNONPILOT/Tender/SplashBidNoticeAbstractUI.aspx?menuIndex=3&amp;refID=7018528&amp;Result=3","7018528")</f>
        <v>0</v>
      </c>
      <c r="B10493" t="s">
        <v>873</v>
      </c>
      <c r="C10493" t="s">
        <v>12740</v>
      </c>
      <c r="D10493" t="s">
        <v>13062</v>
      </c>
      <c r="E10493" t="s">
        <v>22218</v>
      </c>
      <c r="F10493" t="s">
        <v>22436</v>
      </c>
      <c r="G10493" t="s">
        <v>22444</v>
      </c>
      <c r="H10493" t="s">
        <v>22454</v>
      </c>
      <c r="I10493" t="s">
        <v>7738</v>
      </c>
      <c r="J10493" t="s">
        <v>22669</v>
      </c>
      <c r="K10493" t="s">
        <v>29343</v>
      </c>
      <c r="M10493" t="s">
        <v>30481</v>
      </c>
      <c r="N10493" t="s">
        <v>32524</v>
      </c>
      <c r="O10493" t="s">
        <v>32525</v>
      </c>
      <c r="P10493">
        <v>0</v>
      </c>
      <c r="Q10493">
        <v>0</v>
      </c>
      <c r="R10493" t="s">
        <v>32540</v>
      </c>
      <c r="S10493" t="s">
        <v>33102</v>
      </c>
      <c r="T10493" t="s">
        <v>33155</v>
      </c>
      <c r="U10493" t="s">
        <v>42222</v>
      </c>
      <c r="W10493" t="s">
        <v>30481</v>
      </c>
      <c r="X10493" t="s">
        <v>43782</v>
      </c>
    </row>
    <row r="10494" spans="1:24">
      <c r="A10494">
        <f>HYPERLINK("https://www.philgeps.gov.ph/GEPSNONPILOT/Tender/SplashBidNoticeAbstractUI.aspx?menuIndex=3&amp;refID=7018928&amp;Result=3","7018928")</f>
        <v>0</v>
      </c>
      <c r="B10494" t="s">
        <v>50</v>
      </c>
      <c r="C10494" t="s">
        <v>12741</v>
      </c>
      <c r="D10494" t="s">
        <v>13008</v>
      </c>
      <c r="E10494" t="s">
        <v>22204</v>
      </c>
      <c r="F10494" t="s">
        <v>22436</v>
      </c>
      <c r="G10494" t="s">
        <v>22444</v>
      </c>
      <c r="H10494" t="s">
        <v>22452</v>
      </c>
      <c r="I10494" t="s">
        <v>22483</v>
      </c>
      <c r="J10494" t="s">
        <v>22692</v>
      </c>
      <c r="K10494" t="s">
        <v>29335</v>
      </c>
      <c r="M10494" t="s">
        <v>29622</v>
      </c>
      <c r="N10494" t="s">
        <v>32524</v>
      </c>
      <c r="O10494" t="s">
        <v>32525</v>
      </c>
      <c r="P10494">
        <v>0</v>
      </c>
      <c r="Q10494">
        <v>2</v>
      </c>
      <c r="R10494" t="s">
        <v>32540</v>
      </c>
      <c r="S10494" t="s">
        <v>33102</v>
      </c>
      <c r="T10494" t="s">
        <v>33181</v>
      </c>
      <c r="U10494" t="s">
        <v>42217</v>
      </c>
      <c r="W10494" t="s">
        <v>29622</v>
      </c>
      <c r="X10494" t="s">
        <v>43795</v>
      </c>
    </row>
    <row r="10495" spans="1:24">
      <c r="A10495">
        <f>HYPERLINK("https://www.philgeps.gov.ph/GEPSNONPILOT/Tender/SplashBidNoticeAbstractUI.aspx?menuIndex=3&amp;refID=7018923&amp;Result=3","7018923")</f>
        <v>0</v>
      </c>
      <c r="B10495" t="s">
        <v>50</v>
      </c>
      <c r="C10495" t="s">
        <v>12742</v>
      </c>
      <c r="D10495" t="s">
        <v>13008</v>
      </c>
      <c r="E10495" t="s">
        <v>22204</v>
      </c>
      <c r="F10495" t="s">
        <v>22436</v>
      </c>
      <c r="G10495" t="s">
        <v>22444</v>
      </c>
      <c r="H10495" t="s">
        <v>22452</v>
      </c>
      <c r="I10495" t="s">
        <v>22460</v>
      </c>
      <c r="J10495" t="s">
        <v>24864</v>
      </c>
      <c r="K10495" t="s">
        <v>29335</v>
      </c>
      <c r="M10495" t="s">
        <v>29622</v>
      </c>
      <c r="N10495" t="s">
        <v>32524</v>
      </c>
      <c r="O10495" t="s">
        <v>32525</v>
      </c>
      <c r="P10495">
        <v>0</v>
      </c>
      <c r="Q10495">
        <v>0</v>
      </c>
      <c r="R10495" t="s">
        <v>32540</v>
      </c>
      <c r="S10495" t="s">
        <v>33102</v>
      </c>
      <c r="T10495" t="s">
        <v>33181</v>
      </c>
      <c r="U10495" t="s">
        <v>42217</v>
      </c>
      <c r="W10495" t="s">
        <v>29622</v>
      </c>
      <c r="X10495" t="s">
        <v>43795</v>
      </c>
    </row>
    <row r="10496" spans="1:24">
      <c r="A10496">
        <f>HYPERLINK("https://www.philgeps.gov.ph/GEPSNONPILOT/Tender/SplashBidNoticeAbstractUI.aspx?menuIndex=3&amp;refID=7018376&amp;Result=3","7018376")</f>
        <v>0</v>
      </c>
      <c r="B10496" t="s">
        <v>1947</v>
      </c>
      <c r="C10496" t="s">
        <v>12743</v>
      </c>
      <c r="D10496" t="s">
        <v>12998</v>
      </c>
      <c r="E10496" t="s">
        <v>22219</v>
      </c>
      <c r="F10496" t="s">
        <v>22436</v>
      </c>
      <c r="G10496" t="s">
        <v>22444</v>
      </c>
      <c r="H10496" t="s">
        <v>22453</v>
      </c>
      <c r="I10496" t="s">
        <v>22550</v>
      </c>
      <c r="J10496" t="s">
        <v>29170</v>
      </c>
      <c r="K10496" t="s">
        <v>29388</v>
      </c>
      <c r="M10496" t="s">
        <v>31783</v>
      </c>
      <c r="N10496" t="s">
        <v>32524</v>
      </c>
      <c r="O10496" t="s">
        <v>32525</v>
      </c>
      <c r="Q10496">
        <v>2</v>
      </c>
      <c r="R10496" t="s">
        <v>32540</v>
      </c>
      <c r="S10496" t="s">
        <v>33119</v>
      </c>
      <c r="T10496" t="s">
        <v>33168</v>
      </c>
      <c r="U10496" t="s">
        <v>38802</v>
      </c>
      <c r="V10496" t="s">
        <v>43107</v>
      </c>
      <c r="W10496" t="s">
        <v>31783</v>
      </c>
      <c r="X10496" t="s">
        <v>43782</v>
      </c>
    </row>
    <row r="10497" spans="1:24">
      <c r="A10497">
        <f>HYPERLINK("https://www.philgeps.gov.ph/GEPSNONPILOT/Tender/SplashBidNoticeAbstractUI.aspx?menuIndex=3&amp;refID=7018941&amp;Result=3","7018941")</f>
        <v>0</v>
      </c>
      <c r="B10497" t="s">
        <v>50</v>
      </c>
      <c r="C10497" t="s">
        <v>12744</v>
      </c>
      <c r="D10497" t="s">
        <v>13008</v>
      </c>
      <c r="E10497" t="s">
        <v>22220</v>
      </c>
      <c r="F10497" t="s">
        <v>22436</v>
      </c>
      <c r="G10497" t="s">
        <v>22444</v>
      </c>
      <c r="H10497" t="s">
        <v>22452</v>
      </c>
      <c r="I10497" t="s">
        <v>22463</v>
      </c>
      <c r="J10497" t="s">
        <v>29171</v>
      </c>
      <c r="K10497" t="s">
        <v>29335</v>
      </c>
      <c r="M10497" t="s">
        <v>29622</v>
      </c>
      <c r="N10497" t="s">
        <v>32524</v>
      </c>
      <c r="O10497" t="s">
        <v>32525</v>
      </c>
      <c r="P10497">
        <v>0</v>
      </c>
      <c r="Q10497">
        <v>3</v>
      </c>
      <c r="R10497" t="s">
        <v>32540</v>
      </c>
      <c r="S10497" t="s">
        <v>33102</v>
      </c>
      <c r="T10497" t="s">
        <v>33181</v>
      </c>
      <c r="U10497" t="s">
        <v>42223</v>
      </c>
      <c r="W10497" t="s">
        <v>29622</v>
      </c>
      <c r="X10497" t="s">
        <v>43795</v>
      </c>
    </row>
    <row r="10498" spans="1:24">
      <c r="A10498">
        <f>HYPERLINK("https://www.philgeps.gov.ph/GEPSNONPILOT/Tender/SplashBidNoticeAbstractUI.aspx?menuIndex=3&amp;refID=7018956&amp;Result=3","7018956")</f>
        <v>0</v>
      </c>
      <c r="B10498" t="s">
        <v>50</v>
      </c>
      <c r="C10498" t="s">
        <v>12745</v>
      </c>
      <c r="D10498" t="s">
        <v>13008</v>
      </c>
      <c r="E10498" t="s">
        <v>22221</v>
      </c>
      <c r="F10498" t="s">
        <v>22436</v>
      </c>
      <c r="G10498" t="s">
        <v>22444</v>
      </c>
      <c r="H10498" t="s">
        <v>22452</v>
      </c>
      <c r="I10498" t="s">
        <v>22462</v>
      </c>
      <c r="J10498" t="s">
        <v>29172</v>
      </c>
      <c r="K10498" t="s">
        <v>29335</v>
      </c>
      <c r="M10498" t="s">
        <v>29622</v>
      </c>
      <c r="N10498" t="s">
        <v>32524</v>
      </c>
      <c r="O10498" t="s">
        <v>32525</v>
      </c>
      <c r="P10498">
        <v>0</v>
      </c>
      <c r="Q10498">
        <v>3</v>
      </c>
      <c r="R10498" t="s">
        <v>32540</v>
      </c>
      <c r="S10498" t="s">
        <v>33102</v>
      </c>
      <c r="T10498" t="s">
        <v>33181</v>
      </c>
      <c r="U10498" t="s">
        <v>42224</v>
      </c>
      <c r="W10498" t="s">
        <v>29622</v>
      </c>
      <c r="X10498" t="s">
        <v>43795</v>
      </c>
    </row>
    <row r="10499" spans="1:24">
      <c r="A10499">
        <f>HYPERLINK("https://www.philgeps.gov.ph/GEPSNONPILOT/Tender/SplashBidNoticeAbstractUI.aspx?menuIndex=3&amp;refID=7018982&amp;Result=3","7018982")</f>
        <v>0</v>
      </c>
      <c r="B10499" t="s">
        <v>106</v>
      </c>
      <c r="C10499" t="s">
        <v>12746</v>
      </c>
      <c r="D10499" t="s">
        <v>13000</v>
      </c>
      <c r="E10499" t="s">
        <v>22222</v>
      </c>
      <c r="F10499" t="s">
        <v>22436</v>
      </c>
      <c r="G10499" t="s">
        <v>22444</v>
      </c>
      <c r="H10499" t="s">
        <v>22452</v>
      </c>
      <c r="I10499" t="s">
        <v>3381</v>
      </c>
      <c r="J10499" t="s">
        <v>29173</v>
      </c>
      <c r="K10499" t="s">
        <v>29335</v>
      </c>
      <c r="M10499" t="s">
        <v>29678</v>
      </c>
      <c r="N10499" t="s">
        <v>32524</v>
      </c>
      <c r="O10499" t="s">
        <v>32525</v>
      </c>
      <c r="P10499">
        <v>0</v>
      </c>
      <c r="Q10499">
        <v>3</v>
      </c>
      <c r="R10499" t="s">
        <v>32540</v>
      </c>
      <c r="S10499" t="s">
        <v>33102</v>
      </c>
      <c r="T10499" t="s">
        <v>33180</v>
      </c>
      <c r="U10499" t="s">
        <v>42225</v>
      </c>
      <c r="V10499" t="s">
        <v>42863</v>
      </c>
      <c r="W10499" t="s">
        <v>29678</v>
      </c>
      <c r="X10499" t="s">
        <v>43795</v>
      </c>
    </row>
    <row r="10500" spans="1:24">
      <c r="A10500">
        <f>HYPERLINK("https://www.philgeps.gov.ph/GEPSNONPILOT/Tender/SplashBidNoticeAbstractUI.aspx?menuIndex=3&amp;refID=7018392&amp;Result=3","7018392")</f>
        <v>0</v>
      </c>
      <c r="B10500" t="s">
        <v>1947</v>
      </c>
      <c r="C10500" t="s">
        <v>12747</v>
      </c>
      <c r="D10500" t="s">
        <v>12998</v>
      </c>
      <c r="E10500" t="s">
        <v>22223</v>
      </c>
      <c r="F10500" t="s">
        <v>22436</v>
      </c>
      <c r="G10500" t="s">
        <v>22444</v>
      </c>
      <c r="H10500" t="s">
        <v>22453</v>
      </c>
      <c r="I10500" t="s">
        <v>22550</v>
      </c>
      <c r="J10500" t="s">
        <v>29138</v>
      </c>
      <c r="K10500" t="s">
        <v>29388</v>
      </c>
      <c r="M10500" t="s">
        <v>31783</v>
      </c>
      <c r="N10500" t="s">
        <v>32524</v>
      </c>
      <c r="O10500" t="s">
        <v>32525</v>
      </c>
      <c r="Q10500">
        <v>4</v>
      </c>
      <c r="R10500" t="s">
        <v>32540</v>
      </c>
      <c r="S10500" t="s">
        <v>33120</v>
      </c>
      <c r="T10500" t="s">
        <v>33168</v>
      </c>
      <c r="U10500" t="s">
        <v>38802</v>
      </c>
      <c r="V10500" t="s">
        <v>43415</v>
      </c>
      <c r="W10500" t="s">
        <v>31783</v>
      </c>
      <c r="X10500" t="s">
        <v>43782</v>
      </c>
    </row>
    <row r="10501" spans="1:24">
      <c r="A10501">
        <f>HYPERLINK("https://www.philgeps.gov.ph/GEPSNONPILOT/Tender/SplashBidNoticeAbstractUI.aspx?menuIndex=3&amp;refID=7018954&amp;Result=3","7018954")</f>
        <v>0</v>
      </c>
      <c r="B10501" t="s">
        <v>50</v>
      </c>
      <c r="C10501" t="s">
        <v>12748</v>
      </c>
      <c r="D10501" t="s">
        <v>13008</v>
      </c>
      <c r="E10501" t="s">
        <v>22224</v>
      </c>
      <c r="F10501" t="s">
        <v>22436</v>
      </c>
      <c r="G10501" t="s">
        <v>22444</v>
      </c>
      <c r="H10501" t="s">
        <v>22452</v>
      </c>
      <c r="I10501" t="s">
        <v>2981</v>
      </c>
      <c r="J10501" t="s">
        <v>22629</v>
      </c>
      <c r="K10501" t="s">
        <v>29335</v>
      </c>
      <c r="M10501" t="s">
        <v>29622</v>
      </c>
      <c r="N10501" t="s">
        <v>32524</v>
      </c>
      <c r="O10501" t="s">
        <v>32525</v>
      </c>
      <c r="P10501">
        <v>0</v>
      </c>
      <c r="Q10501">
        <v>1</v>
      </c>
      <c r="R10501" t="s">
        <v>32540</v>
      </c>
      <c r="S10501" t="s">
        <v>33102</v>
      </c>
      <c r="T10501" t="s">
        <v>33181</v>
      </c>
      <c r="U10501" t="s">
        <v>42226</v>
      </c>
      <c r="W10501" t="s">
        <v>29622</v>
      </c>
      <c r="X10501" t="s">
        <v>43795</v>
      </c>
    </row>
    <row r="10502" spans="1:24">
      <c r="A10502">
        <f>HYPERLINK("https://www.philgeps.gov.ph/GEPSNONPILOT/Tender/SplashBidNoticeAbstractUI.aspx?menuIndex=3&amp;refID=7018979&amp;Result=3","7018979")</f>
        <v>0</v>
      </c>
      <c r="B10502" t="s">
        <v>50</v>
      </c>
      <c r="C10502" t="s">
        <v>12749</v>
      </c>
      <c r="D10502" t="s">
        <v>13008</v>
      </c>
      <c r="E10502" t="s">
        <v>22225</v>
      </c>
      <c r="F10502" t="s">
        <v>22436</v>
      </c>
      <c r="G10502" t="s">
        <v>22444</v>
      </c>
      <c r="H10502" t="s">
        <v>22452</v>
      </c>
      <c r="I10502" t="s">
        <v>22469</v>
      </c>
      <c r="J10502" t="s">
        <v>29174</v>
      </c>
      <c r="K10502" t="s">
        <v>29335</v>
      </c>
      <c r="M10502" t="s">
        <v>29622</v>
      </c>
      <c r="N10502" t="s">
        <v>32524</v>
      </c>
      <c r="O10502" t="s">
        <v>32525</v>
      </c>
      <c r="P10502">
        <v>0</v>
      </c>
      <c r="Q10502">
        <v>2</v>
      </c>
      <c r="R10502" t="s">
        <v>32540</v>
      </c>
      <c r="S10502" t="s">
        <v>33102</v>
      </c>
      <c r="T10502" t="s">
        <v>33181</v>
      </c>
      <c r="U10502" t="s">
        <v>42227</v>
      </c>
      <c r="W10502" t="s">
        <v>29622</v>
      </c>
      <c r="X10502" t="s">
        <v>43795</v>
      </c>
    </row>
    <row r="10503" spans="1:24">
      <c r="A10503">
        <f>HYPERLINK("https://www.philgeps.gov.ph/GEPSNONPILOT/Tender/SplashBidNoticeAbstractUI.aspx?menuIndex=3&amp;refID=7018973&amp;Result=3","7018973")</f>
        <v>0</v>
      </c>
      <c r="B10503" t="s">
        <v>50</v>
      </c>
      <c r="C10503" t="s">
        <v>12750</v>
      </c>
      <c r="D10503" t="s">
        <v>13008</v>
      </c>
      <c r="E10503" t="s">
        <v>22226</v>
      </c>
      <c r="F10503" t="s">
        <v>22436</v>
      </c>
      <c r="G10503" t="s">
        <v>22444</v>
      </c>
      <c r="H10503" t="s">
        <v>22452</v>
      </c>
      <c r="I10503" t="s">
        <v>2981</v>
      </c>
      <c r="J10503" t="s">
        <v>23434</v>
      </c>
      <c r="K10503" t="s">
        <v>29335</v>
      </c>
      <c r="M10503" t="s">
        <v>29622</v>
      </c>
      <c r="N10503" t="s">
        <v>32524</v>
      </c>
      <c r="O10503" t="s">
        <v>32525</v>
      </c>
      <c r="P10503">
        <v>0</v>
      </c>
      <c r="Q10503">
        <v>0</v>
      </c>
      <c r="R10503" t="s">
        <v>32540</v>
      </c>
      <c r="S10503" t="s">
        <v>33102</v>
      </c>
      <c r="T10503" t="s">
        <v>33181</v>
      </c>
      <c r="U10503" t="s">
        <v>42228</v>
      </c>
      <c r="W10503" t="s">
        <v>29622</v>
      </c>
      <c r="X10503" t="s">
        <v>43795</v>
      </c>
    </row>
    <row r="10504" spans="1:24">
      <c r="A10504">
        <f>HYPERLINK("https://www.philgeps.gov.ph/GEPSNONPILOT/Tender/SplashBidNoticeAbstractUI.aspx?menuIndex=3&amp;refID=7018951&amp;Result=3","7018951")</f>
        <v>0</v>
      </c>
      <c r="B10504" t="s">
        <v>50</v>
      </c>
      <c r="C10504" t="s">
        <v>12751</v>
      </c>
      <c r="D10504" t="s">
        <v>13008</v>
      </c>
      <c r="E10504" t="s">
        <v>22227</v>
      </c>
      <c r="F10504" t="s">
        <v>22436</v>
      </c>
      <c r="G10504" t="s">
        <v>22444</v>
      </c>
      <c r="H10504" t="s">
        <v>22452</v>
      </c>
      <c r="I10504" t="s">
        <v>22462</v>
      </c>
      <c r="J10504" t="s">
        <v>22715</v>
      </c>
      <c r="K10504" t="s">
        <v>29335</v>
      </c>
      <c r="M10504" t="s">
        <v>29622</v>
      </c>
      <c r="N10504" t="s">
        <v>32524</v>
      </c>
      <c r="O10504" t="s">
        <v>32525</v>
      </c>
      <c r="P10504">
        <v>0</v>
      </c>
      <c r="Q10504">
        <v>1</v>
      </c>
      <c r="R10504" t="s">
        <v>32540</v>
      </c>
      <c r="S10504" t="s">
        <v>33102</v>
      </c>
      <c r="T10504" t="s">
        <v>33181</v>
      </c>
      <c r="U10504" t="s">
        <v>42229</v>
      </c>
      <c r="W10504" t="s">
        <v>29622</v>
      </c>
      <c r="X10504" t="s">
        <v>43795</v>
      </c>
    </row>
    <row r="10505" spans="1:24">
      <c r="A10505">
        <f>HYPERLINK("https://www.philgeps.gov.ph/GEPSNONPILOT/Tender/SplashBidNoticeAbstractUI.aspx?menuIndex=3&amp;refID=7018689&amp;Result=3","7018689")</f>
        <v>0</v>
      </c>
      <c r="B10505" t="s">
        <v>1524</v>
      </c>
      <c r="C10505" t="s">
        <v>12752</v>
      </c>
      <c r="E10505" t="s">
        <v>22228</v>
      </c>
      <c r="F10505" t="s">
        <v>22436</v>
      </c>
      <c r="G10505" t="s">
        <v>22444</v>
      </c>
      <c r="H10505" t="s">
        <v>22452</v>
      </c>
      <c r="I10505" t="s">
        <v>22457</v>
      </c>
      <c r="J10505" t="s">
        <v>29175</v>
      </c>
      <c r="K10505" t="s">
        <v>29338</v>
      </c>
      <c r="M10505" t="s">
        <v>31199</v>
      </c>
      <c r="N10505" t="s">
        <v>32524</v>
      </c>
      <c r="O10505" t="s">
        <v>32525</v>
      </c>
      <c r="Q10505">
        <v>8</v>
      </c>
      <c r="R10505" t="s">
        <v>32540</v>
      </c>
      <c r="S10505" t="s">
        <v>33121</v>
      </c>
      <c r="T10505" t="s">
        <v>33230</v>
      </c>
      <c r="U10505" t="s">
        <v>42230</v>
      </c>
      <c r="V10505" t="s">
        <v>43634</v>
      </c>
      <c r="W10505" t="s">
        <v>43725</v>
      </c>
      <c r="X10505" t="s">
        <v>43780</v>
      </c>
    </row>
    <row r="10506" spans="1:24">
      <c r="A10506">
        <f>HYPERLINK("https://www.philgeps.gov.ph/GEPSNONPILOT/Tender/SplashBidNoticeAbstractUI.aspx?menuIndex=3&amp;refID=7018976&amp;Result=3","7018976")</f>
        <v>0</v>
      </c>
      <c r="B10506" t="s">
        <v>50</v>
      </c>
      <c r="C10506" t="s">
        <v>12753</v>
      </c>
      <c r="D10506" t="s">
        <v>13008</v>
      </c>
      <c r="E10506" t="s">
        <v>22229</v>
      </c>
      <c r="F10506" t="s">
        <v>22436</v>
      </c>
      <c r="G10506" t="s">
        <v>22444</v>
      </c>
      <c r="H10506" t="s">
        <v>22452</v>
      </c>
      <c r="I10506" t="s">
        <v>12358</v>
      </c>
      <c r="J10506" t="s">
        <v>24199</v>
      </c>
      <c r="K10506" t="s">
        <v>29335</v>
      </c>
      <c r="M10506" t="s">
        <v>29622</v>
      </c>
      <c r="N10506" t="s">
        <v>32524</v>
      </c>
      <c r="O10506" t="s">
        <v>32525</v>
      </c>
      <c r="P10506">
        <v>0</v>
      </c>
      <c r="Q10506">
        <v>0</v>
      </c>
      <c r="R10506" t="s">
        <v>32540</v>
      </c>
      <c r="S10506" t="s">
        <v>33102</v>
      </c>
      <c r="T10506" t="s">
        <v>33181</v>
      </c>
      <c r="U10506" t="s">
        <v>42231</v>
      </c>
      <c r="W10506" t="s">
        <v>29622</v>
      </c>
      <c r="X10506" t="s">
        <v>43795</v>
      </c>
    </row>
    <row r="10507" spans="1:24">
      <c r="A10507">
        <f>HYPERLINK("https://www.philgeps.gov.ph/GEPSNONPILOT/Tender/SplashBidNoticeAbstractUI.aspx?menuIndex=3&amp;refID=7018980&amp;Result=3","7018980")</f>
        <v>0</v>
      </c>
      <c r="B10507" t="s">
        <v>106</v>
      </c>
      <c r="C10507" t="s">
        <v>12754</v>
      </c>
      <c r="D10507" t="s">
        <v>13000</v>
      </c>
      <c r="E10507" t="s">
        <v>22230</v>
      </c>
      <c r="F10507" t="s">
        <v>22436</v>
      </c>
      <c r="G10507" t="s">
        <v>22444</v>
      </c>
      <c r="H10507" t="s">
        <v>22452</v>
      </c>
      <c r="I10507" t="s">
        <v>22469</v>
      </c>
      <c r="J10507" t="s">
        <v>22779</v>
      </c>
      <c r="K10507" t="s">
        <v>29335</v>
      </c>
      <c r="M10507" t="s">
        <v>29678</v>
      </c>
      <c r="N10507" t="s">
        <v>32524</v>
      </c>
      <c r="O10507" t="s">
        <v>32525</v>
      </c>
      <c r="P10507">
        <v>0</v>
      </c>
      <c r="Q10507">
        <v>9</v>
      </c>
      <c r="R10507" t="s">
        <v>32540</v>
      </c>
      <c r="S10507" t="s">
        <v>33102</v>
      </c>
      <c r="T10507" t="s">
        <v>33180</v>
      </c>
      <c r="U10507" t="s">
        <v>42232</v>
      </c>
      <c r="V10507" t="s">
        <v>42863</v>
      </c>
      <c r="W10507" t="s">
        <v>29678</v>
      </c>
      <c r="X10507" t="s">
        <v>43795</v>
      </c>
    </row>
    <row r="10508" spans="1:24">
      <c r="A10508">
        <f>HYPERLINK("https://www.philgeps.gov.ph/GEPSNONPILOT/Tender/SplashBidNoticeAbstractUI.aspx?menuIndex=3&amp;refID=7018948&amp;Result=3","7018948")</f>
        <v>0</v>
      </c>
      <c r="B10508" t="s">
        <v>50</v>
      </c>
      <c r="C10508" t="s">
        <v>12755</v>
      </c>
      <c r="D10508" t="s">
        <v>13008</v>
      </c>
      <c r="E10508" t="s">
        <v>22231</v>
      </c>
      <c r="F10508" t="s">
        <v>22436</v>
      </c>
      <c r="G10508" t="s">
        <v>22444</v>
      </c>
      <c r="H10508" t="s">
        <v>22452</v>
      </c>
      <c r="I10508" t="s">
        <v>3827</v>
      </c>
      <c r="J10508" t="s">
        <v>29176</v>
      </c>
      <c r="K10508" t="s">
        <v>29335</v>
      </c>
      <c r="M10508" t="s">
        <v>29622</v>
      </c>
      <c r="N10508" t="s">
        <v>32524</v>
      </c>
      <c r="O10508" t="s">
        <v>32525</v>
      </c>
      <c r="P10508">
        <v>0</v>
      </c>
      <c r="Q10508">
        <v>1</v>
      </c>
      <c r="R10508" t="s">
        <v>32540</v>
      </c>
      <c r="S10508" t="s">
        <v>33102</v>
      </c>
      <c r="T10508" t="s">
        <v>33181</v>
      </c>
      <c r="U10508" t="s">
        <v>42233</v>
      </c>
      <c r="W10508" t="s">
        <v>29622</v>
      </c>
      <c r="X10508" t="s">
        <v>43795</v>
      </c>
    </row>
    <row r="10509" spans="1:24">
      <c r="A10509">
        <f>HYPERLINK("https://www.philgeps.gov.ph/GEPSNONPILOT/Tender/SplashBidNoticeAbstractUI.aspx?menuIndex=3&amp;refID=7018969&amp;Result=3","7018969")</f>
        <v>0</v>
      </c>
      <c r="B10509" t="s">
        <v>50</v>
      </c>
      <c r="C10509" t="s">
        <v>12756</v>
      </c>
      <c r="D10509" t="s">
        <v>13008</v>
      </c>
      <c r="E10509" t="s">
        <v>22232</v>
      </c>
      <c r="F10509" t="s">
        <v>22436</v>
      </c>
      <c r="G10509" t="s">
        <v>22444</v>
      </c>
      <c r="H10509" t="s">
        <v>22452</v>
      </c>
      <c r="I10509" t="s">
        <v>12358</v>
      </c>
      <c r="J10509" t="s">
        <v>23378</v>
      </c>
      <c r="K10509" t="s">
        <v>29335</v>
      </c>
      <c r="M10509" t="s">
        <v>29622</v>
      </c>
      <c r="N10509" t="s">
        <v>32524</v>
      </c>
      <c r="O10509" t="s">
        <v>32525</v>
      </c>
      <c r="P10509">
        <v>0</v>
      </c>
      <c r="Q10509">
        <v>0</v>
      </c>
      <c r="R10509" t="s">
        <v>32540</v>
      </c>
      <c r="S10509" t="s">
        <v>33102</v>
      </c>
      <c r="T10509" t="s">
        <v>33181</v>
      </c>
      <c r="U10509" t="s">
        <v>42234</v>
      </c>
      <c r="W10509" t="s">
        <v>29622</v>
      </c>
      <c r="X10509" t="s">
        <v>43795</v>
      </c>
    </row>
    <row r="10510" spans="1:24">
      <c r="A10510">
        <f>HYPERLINK("https://www.philgeps.gov.ph/GEPSNONPILOT/Tender/SplashBidNoticeAbstractUI.aspx?menuIndex=3&amp;refID=7018949&amp;Result=3","7018949")</f>
        <v>0</v>
      </c>
      <c r="B10510" t="s">
        <v>50</v>
      </c>
      <c r="C10510" t="s">
        <v>12757</v>
      </c>
      <c r="E10510" t="s">
        <v>22231</v>
      </c>
      <c r="F10510" t="s">
        <v>22436</v>
      </c>
      <c r="G10510" t="s">
        <v>22444</v>
      </c>
      <c r="H10510" t="s">
        <v>22452</v>
      </c>
      <c r="I10510" t="s">
        <v>22482</v>
      </c>
      <c r="J10510" t="s">
        <v>29177</v>
      </c>
      <c r="K10510" t="s">
        <v>29335</v>
      </c>
      <c r="M10510" t="s">
        <v>29622</v>
      </c>
      <c r="N10510" t="s">
        <v>32524</v>
      </c>
      <c r="O10510" t="s">
        <v>32525</v>
      </c>
      <c r="P10510">
        <v>0</v>
      </c>
      <c r="Q10510">
        <v>1</v>
      </c>
      <c r="R10510" t="s">
        <v>32540</v>
      </c>
      <c r="S10510" t="s">
        <v>33102</v>
      </c>
      <c r="T10510" t="s">
        <v>33181</v>
      </c>
      <c r="U10510" t="s">
        <v>42233</v>
      </c>
      <c r="W10510" t="s">
        <v>29622</v>
      </c>
      <c r="X10510" t="s">
        <v>43795</v>
      </c>
    </row>
    <row r="10511" spans="1:24">
      <c r="A10511">
        <f>HYPERLINK("https://www.philgeps.gov.ph/GEPSNONPILOT/Tender/SplashBidNoticeAbstractUI.aspx?menuIndex=3&amp;refID=7018952&amp;Result=3","7018952")</f>
        <v>0</v>
      </c>
      <c r="B10511" t="s">
        <v>50</v>
      </c>
      <c r="C10511" t="s">
        <v>12758</v>
      </c>
      <c r="D10511" t="s">
        <v>13008</v>
      </c>
      <c r="E10511" t="s">
        <v>22233</v>
      </c>
      <c r="F10511" t="s">
        <v>22436</v>
      </c>
      <c r="G10511" t="s">
        <v>22444</v>
      </c>
      <c r="H10511" t="s">
        <v>22452</v>
      </c>
      <c r="I10511" t="s">
        <v>2981</v>
      </c>
      <c r="J10511" t="s">
        <v>29178</v>
      </c>
      <c r="K10511" t="s">
        <v>29335</v>
      </c>
      <c r="M10511" t="s">
        <v>29622</v>
      </c>
      <c r="N10511" t="s">
        <v>32524</v>
      </c>
      <c r="O10511" t="s">
        <v>32525</v>
      </c>
      <c r="P10511">
        <v>0</v>
      </c>
      <c r="Q10511">
        <v>0</v>
      </c>
      <c r="R10511" t="s">
        <v>32540</v>
      </c>
      <c r="S10511" t="s">
        <v>33102</v>
      </c>
      <c r="T10511" t="s">
        <v>33181</v>
      </c>
      <c r="U10511" t="s">
        <v>42235</v>
      </c>
      <c r="W10511" t="s">
        <v>29622</v>
      </c>
      <c r="X10511" t="s">
        <v>43795</v>
      </c>
    </row>
    <row r="10512" spans="1:24">
      <c r="A10512">
        <f>HYPERLINK("https://www.philgeps.gov.ph/GEPSNONPILOT/Tender/SplashBidNoticeAbstractUI.aspx?menuIndex=3&amp;refID=7018946&amp;Result=3","7018946")</f>
        <v>0</v>
      </c>
      <c r="B10512" t="s">
        <v>50</v>
      </c>
      <c r="C10512" t="s">
        <v>12759</v>
      </c>
      <c r="D10512" t="s">
        <v>13008</v>
      </c>
      <c r="E10512" t="s">
        <v>22231</v>
      </c>
      <c r="F10512" t="s">
        <v>22436</v>
      </c>
      <c r="G10512" t="s">
        <v>22444</v>
      </c>
      <c r="H10512" t="s">
        <v>22452</v>
      </c>
      <c r="I10512" t="s">
        <v>2981</v>
      </c>
      <c r="J10512" t="s">
        <v>29179</v>
      </c>
      <c r="K10512" t="s">
        <v>29335</v>
      </c>
      <c r="M10512" t="s">
        <v>29622</v>
      </c>
      <c r="N10512" t="s">
        <v>32524</v>
      </c>
      <c r="O10512" t="s">
        <v>32525</v>
      </c>
      <c r="P10512">
        <v>0</v>
      </c>
      <c r="Q10512">
        <v>0</v>
      </c>
      <c r="R10512" t="s">
        <v>32540</v>
      </c>
      <c r="S10512" t="s">
        <v>33102</v>
      </c>
      <c r="T10512" t="s">
        <v>33181</v>
      </c>
      <c r="U10512" t="s">
        <v>42233</v>
      </c>
      <c r="W10512" t="s">
        <v>29622</v>
      </c>
      <c r="X10512" t="s">
        <v>43795</v>
      </c>
    </row>
    <row r="10513" spans="1:24">
      <c r="A10513">
        <f>HYPERLINK("https://www.philgeps.gov.ph/GEPSNONPILOT/Tender/SplashBidNoticeAbstractUI.aspx?menuIndex=3&amp;refID=7018959&amp;Result=3","7018959")</f>
        <v>0</v>
      </c>
      <c r="B10513" t="s">
        <v>2441</v>
      </c>
      <c r="C10513" t="s">
        <v>12760</v>
      </c>
      <c r="D10513" t="s">
        <v>13015</v>
      </c>
      <c r="E10513" t="s">
        <v>22234</v>
      </c>
      <c r="F10513" t="s">
        <v>22436</v>
      </c>
      <c r="G10513" t="s">
        <v>22444</v>
      </c>
      <c r="H10513" t="s">
        <v>22452</v>
      </c>
      <c r="I10513" t="s">
        <v>22469</v>
      </c>
      <c r="J10513" t="s">
        <v>23350</v>
      </c>
      <c r="K10513" t="s">
        <v>29344</v>
      </c>
      <c r="M10513" t="s">
        <v>32245</v>
      </c>
      <c r="N10513" t="s">
        <v>32524</v>
      </c>
      <c r="O10513" t="s">
        <v>32525</v>
      </c>
      <c r="Q10513">
        <v>10</v>
      </c>
      <c r="R10513" t="s">
        <v>32540</v>
      </c>
      <c r="S10513" t="s">
        <v>33122</v>
      </c>
      <c r="T10513" t="s">
        <v>33235</v>
      </c>
      <c r="U10513" t="s">
        <v>42236</v>
      </c>
      <c r="W10513" t="s">
        <v>32245</v>
      </c>
      <c r="X10513" t="s">
        <v>43795</v>
      </c>
    </row>
    <row r="10514" spans="1:24">
      <c r="A10514">
        <f>HYPERLINK("https://www.philgeps.gov.ph/GEPSNONPILOT/Tender/SplashBidNoticeAbstractUI.aspx?menuIndex=3&amp;refID=7018972&amp;Result=3","7018972")</f>
        <v>0</v>
      </c>
      <c r="B10514" t="s">
        <v>50</v>
      </c>
      <c r="C10514" t="s">
        <v>12761</v>
      </c>
      <c r="D10514" t="s">
        <v>13008</v>
      </c>
      <c r="E10514" t="s">
        <v>22235</v>
      </c>
      <c r="F10514" t="s">
        <v>22436</v>
      </c>
      <c r="G10514" t="s">
        <v>22444</v>
      </c>
      <c r="H10514" t="s">
        <v>22452</v>
      </c>
      <c r="I10514" t="s">
        <v>22461</v>
      </c>
      <c r="J10514" t="s">
        <v>22740</v>
      </c>
      <c r="K10514" t="s">
        <v>29335</v>
      </c>
      <c r="M10514" t="s">
        <v>29622</v>
      </c>
      <c r="N10514" t="s">
        <v>32524</v>
      </c>
      <c r="O10514" t="s">
        <v>32525</v>
      </c>
      <c r="P10514">
        <v>0</v>
      </c>
      <c r="Q10514">
        <v>1</v>
      </c>
      <c r="R10514" t="s">
        <v>32540</v>
      </c>
      <c r="S10514" t="s">
        <v>33102</v>
      </c>
      <c r="T10514" t="s">
        <v>33181</v>
      </c>
      <c r="U10514" t="s">
        <v>42237</v>
      </c>
      <c r="W10514" t="s">
        <v>29622</v>
      </c>
      <c r="X10514" t="s">
        <v>43795</v>
      </c>
    </row>
    <row r="10515" spans="1:24">
      <c r="A10515">
        <f>HYPERLINK("https://www.philgeps.gov.ph/GEPSNONPILOT/Tender/SplashBidNoticeAbstractUI.aspx?menuIndex=3&amp;refID=7018958&amp;Result=3","7018958")</f>
        <v>0</v>
      </c>
      <c r="B10515" t="s">
        <v>50</v>
      </c>
      <c r="C10515" t="s">
        <v>12762</v>
      </c>
      <c r="D10515" t="s">
        <v>13008</v>
      </c>
      <c r="E10515" t="s">
        <v>22236</v>
      </c>
      <c r="F10515" t="s">
        <v>22436</v>
      </c>
      <c r="G10515" t="s">
        <v>22444</v>
      </c>
      <c r="H10515" t="s">
        <v>22452</v>
      </c>
      <c r="I10515" t="s">
        <v>22502</v>
      </c>
      <c r="J10515" t="s">
        <v>29180</v>
      </c>
      <c r="K10515" t="s">
        <v>29335</v>
      </c>
      <c r="M10515" t="s">
        <v>29622</v>
      </c>
      <c r="N10515" t="s">
        <v>32524</v>
      </c>
      <c r="O10515" t="s">
        <v>32525</v>
      </c>
      <c r="P10515">
        <v>0</v>
      </c>
      <c r="Q10515">
        <v>11</v>
      </c>
      <c r="R10515" t="s">
        <v>32540</v>
      </c>
      <c r="S10515" t="s">
        <v>33102</v>
      </c>
      <c r="T10515" t="s">
        <v>33181</v>
      </c>
      <c r="U10515" t="s">
        <v>42238</v>
      </c>
      <c r="W10515" t="s">
        <v>29622</v>
      </c>
      <c r="X10515" t="s">
        <v>43795</v>
      </c>
    </row>
    <row r="10516" spans="1:24">
      <c r="A10516">
        <f>HYPERLINK("https://www.philgeps.gov.ph/GEPSNONPILOT/Tender/SplashBidNoticeAbstractUI.aspx?menuIndex=3&amp;refID=7018942&amp;Result=3","7018942")</f>
        <v>0</v>
      </c>
      <c r="B10516" t="s">
        <v>50</v>
      </c>
      <c r="C10516" t="s">
        <v>12763</v>
      </c>
      <c r="D10516" t="s">
        <v>13008</v>
      </c>
      <c r="E10516" t="s">
        <v>22237</v>
      </c>
      <c r="F10516" t="s">
        <v>22436</v>
      </c>
      <c r="G10516" t="s">
        <v>22444</v>
      </c>
      <c r="H10516" t="s">
        <v>22452</v>
      </c>
      <c r="I10516" t="s">
        <v>22458</v>
      </c>
      <c r="J10516" t="s">
        <v>23289</v>
      </c>
      <c r="K10516" t="s">
        <v>29335</v>
      </c>
      <c r="M10516" t="s">
        <v>29622</v>
      </c>
      <c r="N10516" t="s">
        <v>32524</v>
      </c>
      <c r="O10516" t="s">
        <v>32525</v>
      </c>
      <c r="P10516">
        <v>0</v>
      </c>
      <c r="Q10516">
        <v>5</v>
      </c>
      <c r="R10516" t="s">
        <v>32540</v>
      </c>
      <c r="S10516" t="s">
        <v>33102</v>
      </c>
      <c r="T10516" t="s">
        <v>33181</v>
      </c>
      <c r="U10516" t="s">
        <v>42239</v>
      </c>
      <c r="W10516" t="s">
        <v>29622</v>
      </c>
      <c r="X10516" t="s">
        <v>43795</v>
      </c>
    </row>
    <row r="10517" spans="1:24">
      <c r="A10517">
        <f>HYPERLINK("https://www.philgeps.gov.ph/GEPSNONPILOT/Tender/SplashBidNoticeAbstractUI.aspx?menuIndex=3&amp;refID=7019176&amp;Result=3","7019176")</f>
        <v>0</v>
      </c>
      <c r="B10517" t="s">
        <v>2650</v>
      </c>
      <c r="C10517" t="s">
        <v>12764</v>
      </c>
      <c r="D10517" t="s">
        <v>13066</v>
      </c>
      <c r="E10517" t="s">
        <v>20140</v>
      </c>
      <c r="F10517" t="s">
        <v>22436</v>
      </c>
      <c r="G10517" t="s">
        <v>22444</v>
      </c>
      <c r="H10517" t="s">
        <v>22454</v>
      </c>
      <c r="I10517" t="s">
        <v>7738</v>
      </c>
      <c r="J10517" t="s">
        <v>22779</v>
      </c>
      <c r="K10517" t="s">
        <v>29344</v>
      </c>
      <c r="M10517" t="s">
        <v>32490</v>
      </c>
      <c r="N10517" t="s">
        <v>32524</v>
      </c>
      <c r="O10517" t="s">
        <v>32525</v>
      </c>
      <c r="P10517">
        <v>0</v>
      </c>
      <c r="Q10517">
        <v>4</v>
      </c>
      <c r="R10517" t="s">
        <v>32540</v>
      </c>
      <c r="S10517" t="s">
        <v>33102</v>
      </c>
      <c r="T10517" t="s">
        <v>33162</v>
      </c>
      <c r="U10517" t="s">
        <v>42240</v>
      </c>
      <c r="W10517" t="s">
        <v>32490</v>
      </c>
      <c r="X10517" t="s">
        <v>43779</v>
      </c>
    </row>
    <row r="10518" spans="1:24">
      <c r="A10518">
        <f>HYPERLINK("https://www.philgeps.gov.ph/GEPSNONPILOT/Tender/SplashBidNoticeAbstractUI.aspx?menuIndex=3&amp;refID=7018996&amp;Result=3","7018996")</f>
        <v>0</v>
      </c>
      <c r="B10518" t="s">
        <v>2441</v>
      </c>
      <c r="C10518" t="s">
        <v>12765</v>
      </c>
      <c r="D10518" t="s">
        <v>13015</v>
      </c>
      <c r="E10518" t="s">
        <v>22234</v>
      </c>
      <c r="F10518" t="s">
        <v>22436</v>
      </c>
      <c r="G10518" t="s">
        <v>22444</v>
      </c>
      <c r="H10518" t="s">
        <v>22452</v>
      </c>
      <c r="I10518" t="s">
        <v>22502</v>
      </c>
      <c r="J10518" t="s">
        <v>29181</v>
      </c>
      <c r="K10518" t="s">
        <v>29344</v>
      </c>
      <c r="M10518" t="s">
        <v>32491</v>
      </c>
      <c r="N10518" t="s">
        <v>32524</v>
      </c>
      <c r="O10518" t="s">
        <v>32525</v>
      </c>
      <c r="Q10518">
        <v>46</v>
      </c>
      <c r="R10518" t="s">
        <v>32540</v>
      </c>
      <c r="S10518" t="s">
        <v>33123</v>
      </c>
      <c r="T10518" t="s">
        <v>33203</v>
      </c>
      <c r="U10518" t="s">
        <v>42241</v>
      </c>
      <c r="W10518" t="s">
        <v>32245</v>
      </c>
      <c r="X10518" t="s">
        <v>43795</v>
      </c>
    </row>
    <row r="10519" spans="1:24">
      <c r="A10519">
        <f>HYPERLINK("https://www.philgeps.gov.ph/GEPSNONPILOT/Tender/SplashBidNoticeAbstractUI.aspx?menuIndex=3&amp;refID=7019157&amp;Result=3","7019157")</f>
        <v>0</v>
      </c>
      <c r="B10519" t="s">
        <v>2625</v>
      </c>
      <c r="C10519" t="s">
        <v>12766</v>
      </c>
      <c r="D10519" t="s">
        <v>13040</v>
      </c>
      <c r="E10519" t="s">
        <v>22238</v>
      </c>
      <c r="F10519" t="s">
        <v>22436</v>
      </c>
      <c r="G10519" t="s">
        <v>22444</v>
      </c>
      <c r="H10519" t="s">
        <v>22454</v>
      </c>
      <c r="I10519" t="s">
        <v>7738</v>
      </c>
      <c r="J10519" t="s">
        <v>22779</v>
      </c>
      <c r="K10519" t="s">
        <v>29366</v>
      </c>
      <c r="M10519" t="s">
        <v>32453</v>
      </c>
      <c r="N10519" t="s">
        <v>32524</v>
      </c>
      <c r="O10519" t="s">
        <v>32525</v>
      </c>
      <c r="P10519">
        <v>0</v>
      </c>
      <c r="Q10519">
        <v>0</v>
      </c>
      <c r="R10519" t="s">
        <v>32540</v>
      </c>
      <c r="S10519" t="s">
        <v>33102</v>
      </c>
      <c r="T10519" t="s">
        <v>33210</v>
      </c>
      <c r="U10519" t="s">
        <v>38875</v>
      </c>
      <c r="W10519" t="s">
        <v>32453</v>
      </c>
      <c r="X10519" t="s">
        <v>43779</v>
      </c>
    </row>
    <row r="10520" spans="1:24">
      <c r="A10520">
        <f>HYPERLINK("https://www.philgeps.gov.ph/GEPSNONPILOT/Tender/SplashBidNoticeAbstractUI.aspx?menuIndex=3&amp;refID=7019192&amp;Result=3","7019192")</f>
        <v>0</v>
      </c>
      <c r="B10520" t="s">
        <v>930</v>
      </c>
      <c r="C10520" t="s">
        <v>12767</v>
      </c>
      <c r="D10520" t="s">
        <v>13041</v>
      </c>
      <c r="E10520" t="s">
        <v>22239</v>
      </c>
      <c r="F10520" t="s">
        <v>22436</v>
      </c>
      <c r="G10520" t="s">
        <v>22444</v>
      </c>
      <c r="H10520" t="s">
        <v>22454</v>
      </c>
      <c r="I10520" t="s">
        <v>7738</v>
      </c>
      <c r="J10520" t="s">
        <v>22971</v>
      </c>
      <c r="K10520" t="s">
        <v>29503</v>
      </c>
      <c r="M10520" t="s">
        <v>30544</v>
      </c>
      <c r="N10520" t="s">
        <v>32524</v>
      </c>
      <c r="O10520" t="s">
        <v>32525</v>
      </c>
      <c r="P10520">
        <v>0</v>
      </c>
      <c r="Q10520">
        <v>0</v>
      </c>
      <c r="R10520" t="s">
        <v>32540</v>
      </c>
      <c r="S10520" t="s">
        <v>33102</v>
      </c>
      <c r="T10520" t="s">
        <v>33163</v>
      </c>
      <c r="U10520" t="s">
        <v>42242</v>
      </c>
      <c r="V10520" t="s">
        <v>43635</v>
      </c>
      <c r="W10520" t="s">
        <v>30544</v>
      </c>
      <c r="X10520" t="s">
        <v>43779</v>
      </c>
    </row>
    <row r="10521" spans="1:24">
      <c r="A10521">
        <f>HYPERLINK("https://www.philgeps.gov.ph/GEPSNONPILOT/Tender/SplashBidNoticeAbstractUI.aspx?menuIndex=3&amp;refID=7019181&amp;Result=3","7019181")</f>
        <v>0</v>
      </c>
      <c r="B10521" t="s">
        <v>1272</v>
      </c>
      <c r="C10521" t="s">
        <v>12768</v>
      </c>
      <c r="D10521" t="s">
        <v>13018</v>
      </c>
      <c r="E10521" t="s">
        <v>13148</v>
      </c>
      <c r="F10521" t="s">
        <v>22436</v>
      </c>
      <c r="G10521" t="s">
        <v>22444</v>
      </c>
      <c r="H10521" t="s">
        <v>22454</v>
      </c>
      <c r="I10521" t="s">
        <v>7738</v>
      </c>
      <c r="J10521" t="s">
        <v>29182</v>
      </c>
      <c r="K10521" t="s">
        <v>29333</v>
      </c>
      <c r="L10521" t="s">
        <v>1272</v>
      </c>
      <c r="M10521" t="s">
        <v>30925</v>
      </c>
      <c r="N10521" t="s">
        <v>32524</v>
      </c>
      <c r="O10521" t="s">
        <v>32525</v>
      </c>
      <c r="P10521">
        <v>0</v>
      </c>
      <c r="Q10521">
        <v>2</v>
      </c>
      <c r="R10521" t="s">
        <v>32540</v>
      </c>
      <c r="S10521" t="s">
        <v>33102</v>
      </c>
      <c r="T10521" t="s">
        <v>33216</v>
      </c>
      <c r="U10521" t="s">
        <v>42243</v>
      </c>
      <c r="V10521" t="s">
        <v>43636</v>
      </c>
      <c r="W10521" t="s">
        <v>30925</v>
      </c>
      <c r="X10521" t="s">
        <v>43779</v>
      </c>
    </row>
    <row r="10522" spans="1:24">
      <c r="A10522">
        <f>HYPERLINK("https://www.philgeps.gov.ph/GEPSNONPILOT/Tender/SplashBidNoticeAbstractUI.aspx?menuIndex=3&amp;refID=7018338&amp;Result=3","7018338")</f>
        <v>0</v>
      </c>
      <c r="B10522" t="s">
        <v>2403</v>
      </c>
      <c r="C10522" t="s">
        <v>12769</v>
      </c>
      <c r="D10522" t="s">
        <v>13054</v>
      </c>
      <c r="E10522" t="s">
        <v>22240</v>
      </c>
      <c r="F10522" t="s">
        <v>22436</v>
      </c>
      <c r="G10522" t="s">
        <v>22444</v>
      </c>
      <c r="H10522" t="s">
        <v>22452</v>
      </c>
      <c r="I10522" t="s">
        <v>22474</v>
      </c>
      <c r="J10522" t="s">
        <v>25527</v>
      </c>
      <c r="K10522" t="s">
        <v>29338</v>
      </c>
      <c r="M10522" t="s">
        <v>32199</v>
      </c>
      <c r="N10522" t="s">
        <v>32524</v>
      </c>
      <c r="O10522" t="s">
        <v>32525</v>
      </c>
      <c r="P10522">
        <v>0</v>
      </c>
      <c r="Q10522">
        <v>7</v>
      </c>
      <c r="R10522" t="s">
        <v>32540</v>
      </c>
      <c r="S10522" t="s">
        <v>33102</v>
      </c>
      <c r="T10522" t="s">
        <v>33168</v>
      </c>
      <c r="U10522" t="s">
        <v>42244</v>
      </c>
      <c r="W10522" t="s">
        <v>32199</v>
      </c>
      <c r="X10522" t="s">
        <v>43782</v>
      </c>
    </row>
    <row r="10523" spans="1:24">
      <c r="A10523">
        <f>HYPERLINK("https://www.philgeps.gov.ph/GEPSNONPILOT/Tender/SplashBidNoticeAbstractUI.aspx?menuIndex=3&amp;refID=7019172&amp;Result=3","7019172")</f>
        <v>0</v>
      </c>
      <c r="B10523" t="s">
        <v>2650</v>
      </c>
      <c r="C10523" t="s">
        <v>12770</v>
      </c>
      <c r="D10523" t="s">
        <v>13066</v>
      </c>
      <c r="E10523" t="s">
        <v>20150</v>
      </c>
      <c r="F10523" t="s">
        <v>22436</v>
      </c>
      <c r="G10523" t="s">
        <v>22444</v>
      </c>
      <c r="H10523" t="s">
        <v>22454</v>
      </c>
      <c r="I10523" t="s">
        <v>7738</v>
      </c>
      <c r="J10523" t="s">
        <v>22634</v>
      </c>
      <c r="K10523" t="s">
        <v>29388</v>
      </c>
      <c r="M10523" t="s">
        <v>32490</v>
      </c>
      <c r="N10523" t="s">
        <v>32524</v>
      </c>
      <c r="O10523" t="s">
        <v>32525</v>
      </c>
      <c r="P10523">
        <v>0</v>
      </c>
      <c r="Q10523">
        <v>5</v>
      </c>
      <c r="R10523" t="s">
        <v>32540</v>
      </c>
      <c r="S10523" t="s">
        <v>33102</v>
      </c>
      <c r="T10523" t="s">
        <v>33162</v>
      </c>
      <c r="U10523" t="s">
        <v>42245</v>
      </c>
      <c r="W10523" t="s">
        <v>32490</v>
      </c>
      <c r="X10523" t="s">
        <v>43779</v>
      </c>
    </row>
    <row r="10524" spans="1:24">
      <c r="A10524">
        <f>HYPERLINK("https://www.philgeps.gov.ph/GEPSNONPILOT/Tender/SplashBidNoticeAbstractUI.aspx?menuIndex=3&amp;refID=7019193&amp;Result=3","7019193")</f>
        <v>0</v>
      </c>
      <c r="B10524" t="s">
        <v>930</v>
      </c>
      <c r="C10524" t="s">
        <v>12771</v>
      </c>
      <c r="D10524" t="s">
        <v>13041</v>
      </c>
      <c r="E10524" t="s">
        <v>22241</v>
      </c>
      <c r="F10524" t="s">
        <v>22436</v>
      </c>
      <c r="G10524" t="s">
        <v>22444</v>
      </c>
      <c r="H10524" t="s">
        <v>22454</v>
      </c>
      <c r="I10524" t="s">
        <v>7738</v>
      </c>
      <c r="J10524" t="s">
        <v>22893</v>
      </c>
      <c r="K10524" t="s">
        <v>29432</v>
      </c>
      <c r="M10524" t="s">
        <v>30544</v>
      </c>
      <c r="N10524" t="s">
        <v>32524</v>
      </c>
      <c r="O10524" t="s">
        <v>32525</v>
      </c>
      <c r="P10524">
        <v>0</v>
      </c>
      <c r="Q10524">
        <v>0</v>
      </c>
      <c r="R10524" t="s">
        <v>32540</v>
      </c>
      <c r="S10524" t="s">
        <v>33102</v>
      </c>
      <c r="T10524" t="s">
        <v>33163</v>
      </c>
      <c r="U10524" t="s">
        <v>42246</v>
      </c>
      <c r="V10524" t="s">
        <v>43635</v>
      </c>
      <c r="W10524" t="s">
        <v>30544</v>
      </c>
      <c r="X10524" t="s">
        <v>43779</v>
      </c>
    </row>
    <row r="10525" spans="1:24">
      <c r="A10525">
        <f>HYPERLINK("https://www.philgeps.gov.ph/GEPSNONPILOT/Tender/SplashBidNoticeAbstractUI.aspx?menuIndex=3&amp;refID=7019178&amp;Result=3","7019178")</f>
        <v>0</v>
      </c>
      <c r="B10525" t="s">
        <v>1272</v>
      </c>
      <c r="C10525" t="s">
        <v>12772</v>
      </c>
      <c r="D10525" t="s">
        <v>13018</v>
      </c>
      <c r="E10525" t="s">
        <v>14646</v>
      </c>
      <c r="F10525" t="s">
        <v>22436</v>
      </c>
      <c r="G10525" t="s">
        <v>22444</v>
      </c>
      <c r="H10525" t="s">
        <v>22454</v>
      </c>
      <c r="I10525" t="s">
        <v>7738</v>
      </c>
      <c r="J10525" t="s">
        <v>29183</v>
      </c>
      <c r="K10525" t="s">
        <v>29333</v>
      </c>
      <c r="L10525" t="s">
        <v>1272</v>
      </c>
      <c r="M10525" t="s">
        <v>30925</v>
      </c>
      <c r="N10525" t="s">
        <v>32524</v>
      </c>
      <c r="O10525" t="s">
        <v>32525</v>
      </c>
      <c r="P10525">
        <v>0</v>
      </c>
      <c r="Q10525">
        <v>1</v>
      </c>
      <c r="R10525" t="s">
        <v>32540</v>
      </c>
      <c r="S10525" t="s">
        <v>33102</v>
      </c>
      <c r="T10525" t="s">
        <v>33216</v>
      </c>
      <c r="U10525" t="s">
        <v>42247</v>
      </c>
      <c r="V10525" t="s">
        <v>43637</v>
      </c>
      <c r="W10525" t="s">
        <v>30925</v>
      </c>
      <c r="X10525" t="s">
        <v>43779</v>
      </c>
    </row>
    <row r="10526" spans="1:24">
      <c r="A10526">
        <f>HYPERLINK("https://www.philgeps.gov.ph/GEPSNONPILOT/Tender/SplashBidNoticeAbstractUI.aspx?menuIndex=3&amp;refID=7019173&amp;Result=3","7019173")</f>
        <v>0</v>
      </c>
      <c r="B10526" t="s">
        <v>2650</v>
      </c>
      <c r="C10526" t="s">
        <v>12773</v>
      </c>
      <c r="D10526" t="s">
        <v>13066</v>
      </c>
      <c r="E10526" t="s">
        <v>19666</v>
      </c>
      <c r="F10526" t="s">
        <v>22436</v>
      </c>
      <c r="G10526" t="s">
        <v>22444</v>
      </c>
      <c r="H10526" t="s">
        <v>22454</v>
      </c>
      <c r="I10526" t="s">
        <v>7738</v>
      </c>
      <c r="J10526" t="s">
        <v>22779</v>
      </c>
      <c r="K10526" t="s">
        <v>29334</v>
      </c>
      <c r="M10526" t="s">
        <v>32490</v>
      </c>
      <c r="N10526" t="s">
        <v>32524</v>
      </c>
      <c r="O10526" t="s">
        <v>32525</v>
      </c>
      <c r="P10526">
        <v>0</v>
      </c>
      <c r="Q10526">
        <v>5</v>
      </c>
      <c r="R10526" t="s">
        <v>32540</v>
      </c>
      <c r="S10526" t="s">
        <v>33102</v>
      </c>
      <c r="T10526" t="s">
        <v>33162</v>
      </c>
      <c r="U10526" t="s">
        <v>42248</v>
      </c>
      <c r="W10526" t="s">
        <v>32490</v>
      </c>
      <c r="X10526" t="s">
        <v>43779</v>
      </c>
    </row>
    <row r="10527" spans="1:24">
      <c r="A10527">
        <f>HYPERLINK("https://www.philgeps.gov.ph/GEPSNONPILOT/Tender/SplashBidNoticeAbstractUI.aspx?menuIndex=3&amp;refID=7019240&amp;Result=3","7019240")</f>
        <v>0</v>
      </c>
      <c r="B10527" t="s">
        <v>1949</v>
      </c>
      <c r="C10527" t="s">
        <v>12774</v>
      </c>
      <c r="D10527" t="s">
        <v>13019</v>
      </c>
      <c r="E10527" t="s">
        <v>22242</v>
      </c>
      <c r="F10527" t="s">
        <v>22436</v>
      </c>
      <c r="G10527" t="s">
        <v>22444</v>
      </c>
      <c r="H10527" t="s">
        <v>22454</v>
      </c>
      <c r="I10527" t="s">
        <v>7738</v>
      </c>
      <c r="J10527" t="s">
        <v>29184</v>
      </c>
      <c r="K10527" t="s">
        <v>29344</v>
      </c>
      <c r="M10527" t="s">
        <v>31679</v>
      </c>
      <c r="N10527" t="s">
        <v>32524</v>
      </c>
      <c r="O10527" t="s">
        <v>32525</v>
      </c>
      <c r="P10527">
        <v>0</v>
      </c>
      <c r="Q10527">
        <v>1</v>
      </c>
      <c r="R10527" t="s">
        <v>32540</v>
      </c>
      <c r="S10527" t="s">
        <v>33102</v>
      </c>
      <c r="T10527" t="s">
        <v>33252</v>
      </c>
      <c r="U10527" t="s">
        <v>42249</v>
      </c>
      <c r="V10527" t="s">
        <v>43638</v>
      </c>
      <c r="W10527" t="s">
        <v>31679</v>
      </c>
      <c r="X10527" t="s">
        <v>43779</v>
      </c>
    </row>
    <row r="10528" spans="1:24">
      <c r="A10528">
        <f>HYPERLINK("https://www.philgeps.gov.ph/GEPSNONPILOT/Tender/SplashBidNoticeAbstractUI.aspx?menuIndex=3&amp;refID=7019174&amp;Result=3","7019174")</f>
        <v>0</v>
      </c>
      <c r="B10528" t="s">
        <v>2650</v>
      </c>
      <c r="C10528" t="s">
        <v>12773</v>
      </c>
      <c r="D10528" t="s">
        <v>13066</v>
      </c>
      <c r="E10528" t="s">
        <v>20145</v>
      </c>
      <c r="F10528" t="s">
        <v>22436</v>
      </c>
      <c r="G10528" t="s">
        <v>22444</v>
      </c>
      <c r="H10528" t="s">
        <v>22454</v>
      </c>
      <c r="I10528" t="s">
        <v>7738</v>
      </c>
      <c r="J10528" t="s">
        <v>22779</v>
      </c>
      <c r="K10528" t="s">
        <v>29333</v>
      </c>
      <c r="M10528" t="s">
        <v>32490</v>
      </c>
      <c r="N10528" t="s">
        <v>32524</v>
      </c>
      <c r="O10528" t="s">
        <v>32525</v>
      </c>
      <c r="P10528">
        <v>0</v>
      </c>
      <c r="Q10528">
        <v>4</v>
      </c>
      <c r="R10528" t="s">
        <v>32540</v>
      </c>
      <c r="S10528" t="s">
        <v>33102</v>
      </c>
      <c r="T10528" t="s">
        <v>33162</v>
      </c>
      <c r="U10528" t="s">
        <v>42250</v>
      </c>
      <c r="W10528" t="s">
        <v>32490</v>
      </c>
      <c r="X10528" t="s">
        <v>43779</v>
      </c>
    </row>
    <row r="10529" spans="1:24">
      <c r="A10529">
        <f>HYPERLINK("https://www.philgeps.gov.ph/GEPSNONPILOT/Tender/SplashBidNoticeAbstractUI.aspx?menuIndex=3&amp;refID=7019197&amp;Result=3","7019197")</f>
        <v>0</v>
      </c>
      <c r="B10529" t="s">
        <v>2651</v>
      </c>
      <c r="C10529" t="s">
        <v>12775</v>
      </c>
      <c r="D10529" t="s">
        <v>13002</v>
      </c>
      <c r="E10529" t="s">
        <v>22243</v>
      </c>
      <c r="F10529" t="s">
        <v>22436</v>
      </c>
      <c r="G10529" t="s">
        <v>22446</v>
      </c>
      <c r="H10529" t="s">
        <v>22452</v>
      </c>
      <c r="I10529" t="s">
        <v>22471</v>
      </c>
      <c r="J10529" t="s">
        <v>29185</v>
      </c>
      <c r="K10529" t="s">
        <v>29336</v>
      </c>
      <c r="M10529" t="s">
        <v>32492</v>
      </c>
      <c r="N10529" t="s">
        <v>32524</v>
      </c>
      <c r="O10529" t="s">
        <v>32525</v>
      </c>
      <c r="Q10529">
        <v>9</v>
      </c>
      <c r="R10529" t="s">
        <v>32540</v>
      </c>
      <c r="S10529" t="s">
        <v>33124</v>
      </c>
      <c r="T10529" t="s">
        <v>33181</v>
      </c>
      <c r="U10529" t="s">
        <v>42251</v>
      </c>
      <c r="W10529" t="s">
        <v>32492</v>
      </c>
      <c r="X10529" t="s">
        <v>43779</v>
      </c>
    </row>
    <row r="10530" spans="1:24">
      <c r="A10530">
        <f>HYPERLINK("https://www.philgeps.gov.ph/GEPSNONPILOT/Tender/SplashBidNoticeAbstractUI.aspx?menuIndex=3&amp;refID=7019156&amp;Result=3","7019156")</f>
        <v>0</v>
      </c>
      <c r="B10530" t="s">
        <v>2625</v>
      </c>
      <c r="C10530" t="s">
        <v>12776</v>
      </c>
      <c r="D10530" t="s">
        <v>13040</v>
      </c>
      <c r="E10530" t="s">
        <v>22244</v>
      </c>
      <c r="F10530" t="s">
        <v>22436</v>
      </c>
      <c r="G10530" t="s">
        <v>22444</v>
      </c>
      <c r="H10530" t="s">
        <v>22454</v>
      </c>
      <c r="I10530" t="s">
        <v>7738</v>
      </c>
      <c r="J10530" t="s">
        <v>22877</v>
      </c>
      <c r="K10530" t="s">
        <v>29580</v>
      </c>
      <c r="M10530" t="s">
        <v>32453</v>
      </c>
      <c r="N10530" t="s">
        <v>32524</v>
      </c>
      <c r="O10530" t="s">
        <v>32525</v>
      </c>
      <c r="P10530">
        <v>0</v>
      </c>
      <c r="Q10530">
        <v>0</v>
      </c>
      <c r="R10530" t="s">
        <v>32540</v>
      </c>
      <c r="S10530" t="s">
        <v>33102</v>
      </c>
      <c r="T10530" t="s">
        <v>33210</v>
      </c>
      <c r="U10530" t="s">
        <v>38875</v>
      </c>
      <c r="W10530" t="s">
        <v>32453</v>
      </c>
      <c r="X10530" t="s">
        <v>43779</v>
      </c>
    </row>
    <row r="10531" spans="1:24">
      <c r="A10531">
        <f>HYPERLINK("https://www.philgeps.gov.ph/GEPSNONPILOT/Tender/SplashBidNoticeAbstractUI.aspx?menuIndex=3&amp;refID=7019052&amp;Result=3","7019052")</f>
        <v>0</v>
      </c>
      <c r="B10531" t="s">
        <v>166</v>
      </c>
      <c r="C10531" t="s">
        <v>12777</v>
      </c>
      <c r="D10531" t="s">
        <v>13088</v>
      </c>
      <c r="E10531" t="s">
        <v>22245</v>
      </c>
      <c r="F10531" t="s">
        <v>22436</v>
      </c>
      <c r="G10531" t="s">
        <v>22444</v>
      </c>
      <c r="H10531" t="s">
        <v>22452</v>
      </c>
      <c r="I10531" t="s">
        <v>22461</v>
      </c>
      <c r="J10531" t="s">
        <v>29186</v>
      </c>
      <c r="K10531" t="s">
        <v>29335</v>
      </c>
      <c r="M10531" t="s">
        <v>29813</v>
      </c>
      <c r="N10531" t="s">
        <v>32524</v>
      </c>
      <c r="O10531" t="s">
        <v>32525</v>
      </c>
      <c r="Q10531">
        <v>3</v>
      </c>
      <c r="R10531" t="s">
        <v>32540</v>
      </c>
      <c r="S10531" t="s">
        <v>33125</v>
      </c>
      <c r="T10531" t="s">
        <v>33168</v>
      </c>
      <c r="U10531" t="s">
        <v>42252</v>
      </c>
      <c r="W10531" t="s">
        <v>29813</v>
      </c>
      <c r="X10531" t="s">
        <v>43795</v>
      </c>
    </row>
    <row r="10532" spans="1:24">
      <c r="A10532">
        <f>HYPERLINK("https://www.philgeps.gov.ph/GEPSNONPILOT/Tender/SplashBidNoticeAbstractUI.aspx?menuIndex=3&amp;refID=7019055&amp;Result=3","7019055")</f>
        <v>0</v>
      </c>
      <c r="B10532" t="s">
        <v>166</v>
      </c>
      <c r="C10532" t="s">
        <v>12778</v>
      </c>
      <c r="D10532" t="s">
        <v>13022</v>
      </c>
      <c r="E10532" t="s">
        <v>22246</v>
      </c>
      <c r="F10532" t="s">
        <v>22436</v>
      </c>
      <c r="G10532" t="s">
        <v>22444</v>
      </c>
      <c r="H10532" t="s">
        <v>22452</v>
      </c>
      <c r="I10532" t="s">
        <v>22479</v>
      </c>
      <c r="J10532" t="s">
        <v>23205</v>
      </c>
      <c r="K10532" t="s">
        <v>29335</v>
      </c>
      <c r="M10532" t="s">
        <v>29813</v>
      </c>
      <c r="N10532" t="s">
        <v>32524</v>
      </c>
      <c r="O10532" t="s">
        <v>32525</v>
      </c>
      <c r="Q10532">
        <v>1</v>
      </c>
      <c r="R10532" t="s">
        <v>32540</v>
      </c>
      <c r="S10532" t="s">
        <v>33126</v>
      </c>
      <c r="T10532" t="s">
        <v>33168</v>
      </c>
      <c r="U10532" t="s">
        <v>42253</v>
      </c>
      <c r="W10532" t="s">
        <v>29813</v>
      </c>
      <c r="X10532" t="s">
        <v>43795</v>
      </c>
    </row>
    <row r="10533" spans="1:24">
      <c r="A10533">
        <f>HYPERLINK("https://www.philgeps.gov.ph/GEPSNONPILOT/Tender/SplashBidNoticeAbstractUI.aspx?menuIndex=3&amp;refID=7019237&amp;Result=3","7019237")</f>
        <v>0</v>
      </c>
      <c r="B10533" t="s">
        <v>2652</v>
      </c>
      <c r="C10533" t="s">
        <v>12779</v>
      </c>
      <c r="D10533" t="s">
        <v>12995</v>
      </c>
      <c r="E10533" t="s">
        <v>22247</v>
      </c>
      <c r="F10533" t="s">
        <v>22436</v>
      </c>
      <c r="G10533" t="s">
        <v>22444</v>
      </c>
      <c r="H10533" t="s">
        <v>22452</v>
      </c>
      <c r="I10533" t="s">
        <v>6421</v>
      </c>
      <c r="J10533" t="s">
        <v>29187</v>
      </c>
      <c r="K10533" t="s">
        <v>29353</v>
      </c>
      <c r="M10533" t="s">
        <v>32493</v>
      </c>
      <c r="N10533" t="s">
        <v>32524</v>
      </c>
      <c r="O10533" t="s">
        <v>32525</v>
      </c>
      <c r="P10533">
        <v>0</v>
      </c>
      <c r="Q10533">
        <v>13</v>
      </c>
      <c r="R10533" t="s">
        <v>32540</v>
      </c>
      <c r="S10533" t="s">
        <v>33102</v>
      </c>
      <c r="T10533" t="s">
        <v>33203</v>
      </c>
      <c r="U10533" t="s">
        <v>42254</v>
      </c>
      <c r="W10533" t="s">
        <v>32493</v>
      </c>
      <c r="X10533" t="s">
        <v>43779</v>
      </c>
    </row>
    <row r="10534" spans="1:24">
      <c r="A10534">
        <f>HYPERLINK("https://www.philgeps.gov.ph/GEPSNONPILOT/Tender/SplashBidNoticeAbstractUI.aspx?menuIndex=3&amp;refID=7019043&amp;Result=3","7019043")</f>
        <v>0</v>
      </c>
      <c r="B10534" t="s">
        <v>166</v>
      </c>
      <c r="C10534" t="s">
        <v>12780</v>
      </c>
      <c r="D10534" t="s">
        <v>13022</v>
      </c>
      <c r="E10534" t="s">
        <v>22248</v>
      </c>
      <c r="F10534" t="s">
        <v>22436</v>
      </c>
      <c r="G10534" t="s">
        <v>22444</v>
      </c>
      <c r="H10534" t="s">
        <v>22452</v>
      </c>
      <c r="I10534" t="s">
        <v>22492</v>
      </c>
      <c r="J10534" t="s">
        <v>29188</v>
      </c>
      <c r="K10534" t="s">
        <v>29338</v>
      </c>
      <c r="M10534" t="s">
        <v>29813</v>
      </c>
      <c r="N10534" t="s">
        <v>32524</v>
      </c>
      <c r="O10534" t="s">
        <v>32525</v>
      </c>
      <c r="P10534">
        <v>0</v>
      </c>
      <c r="Q10534">
        <v>2</v>
      </c>
      <c r="R10534" t="s">
        <v>32540</v>
      </c>
      <c r="S10534" t="s">
        <v>33102</v>
      </c>
      <c r="T10534" t="s">
        <v>33168</v>
      </c>
      <c r="U10534" t="s">
        <v>42255</v>
      </c>
      <c r="W10534" t="s">
        <v>29813</v>
      </c>
      <c r="X10534" t="s">
        <v>43795</v>
      </c>
    </row>
    <row r="10535" spans="1:24">
      <c r="A10535">
        <f>HYPERLINK("https://www.philgeps.gov.ph/GEPSNONPILOT/Tender/SplashBidNoticeAbstractUI.aspx?menuIndex=3&amp;refID=7019152&amp;Result=3","7019152")</f>
        <v>0</v>
      </c>
      <c r="B10535" t="s">
        <v>1990</v>
      </c>
      <c r="C10535" t="s">
        <v>12781</v>
      </c>
      <c r="E10535" t="s">
        <v>22249</v>
      </c>
      <c r="F10535" t="s">
        <v>22436</v>
      </c>
      <c r="G10535" t="s">
        <v>22444</v>
      </c>
      <c r="H10535" t="s">
        <v>22454</v>
      </c>
      <c r="I10535" t="s">
        <v>7738</v>
      </c>
      <c r="J10535" t="s">
        <v>22893</v>
      </c>
      <c r="K10535" t="s">
        <v>29333</v>
      </c>
      <c r="M10535" t="s">
        <v>31722</v>
      </c>
      <c r="N10535" t="s">
        <v>32524</v>
      </c>
      <c r="O10535" t="s">
        <v>32525</v>
      </c>
      <c r="Q10535">
        <v>0</v>
      </c>
      <c r="R10535" t="s">
        <v>32540</v>
      </c>
      <c r="S10535" t="s">
        <v>33127</v>
      </c>
      <c r="T10535" t="s">
        <v>33168</v>
      </c>
      <c r="U10535" t="s">
        <v>42256</v>
      </c>
      <c r="V10535" t="s">
        <v>43127</v>
      </c>
      <c r="W10535" t="s">
        <v>31722</v>
      </c>
      <c r="X10535" t="s">
        <v>43779</v>
      </c>
    </row>
    <row r="10536" spans="1:24">
      <c r="A10536">
        <f>HYPERLINK("https://www.philgeps.gov.ph/GEPSNONPILOT/Tender/SplashBidNoticeAbstractUI.aspx?menuIndex=3&amp;refID=7019045&amp;Result=3","7019045")</f>
        <v>0</v>
      </c>
      <c r="B10536" t="s">
        <v>166</v>
      </c>
      <c r="C10536" t="s">
        <v>12782</v>
      </c>
      <c r="D10536" t="s">
        <v>13022</v>
      </c>
      <c r="E10536" t="s">
        <v>22250</v>
      </c>
      <c r="F10536" t="s">
        <v>22436</v>
      </c>
      <c r="G10536" t="s">
        <v>22444</v>
      </c>
      <c r="H10536" t="s">
        <v>22452</v>
      </c>
      <c r="I10536" t="s">
        <v>22461</v>
      </c>
      <c r="J10536" t="s">
        <v>29189</v>
      </c>
      <c r="K10536" t="s">
        <v>29335</v>
      </c>
      <c r="M10536" t="s">
        <v>29813</v>
      </c>
      <c r="N10536" t="s">
        <v>32524</v>
      </c>
      <c r="O10536" t="s">
        <v>32525</v>
      </c>
      <c r="P10536">
        <v>0</v>
      </c>
      <c r="Q10536">
        <v>5</v>
      </c>
      <c r="R10536" t="s">
        <v>32540</v>
      </c>
      <c r="S10536" t="s">
        <v>33102</v>
      </c>
      <c r="T10536" t="s">
        <v>33168</v>
      </c>
      <c r="U10536" t="s">
        <v>42257</v>
      </c>
      <c r="W10536" t="s">
        <v>29813</v>
      </c>
      <c r="X10536" t="s">
        <v>43795</v>
      </c>
    </row>
    <row r="10537" spans="1:24">
      <c r="A10537">
        <f>HYPERLINK("https://www.philgeps.gov.ph/GEPSNONPILOT/Tender/SplashBidNoticeAbstractUI.aspx?menuIndex=3&amp;refID=7019243&amp;Result=3","7019243")</f>
        <v>0</v>
      </c>
      <c r="B10537" t="s">
        <v>2652</v>
      </c>
      <c r="C10537" t="s">
        <v>12783</v>
      </c>
      <c r="D10537" t="s">
        <v>12995</v>
      </c>
      <c r="E10537" t="s">
        <v>22251</v>
      </c>
      <c r="F10537" t="s">
        <v>22436</v>
      </c>
      <c r="G10537" t="s">
        <v>22444</v>
      </c>
      <c r="H10537" t="s">
        <v>22452</v>
      </c>
      <c r="I10537" t="s">
        <v>22463</v>
      </c>
      <c r="J10537" t="s">
        <v>29190</v>
      </c>
      <c r="K10537" t="s">
        <v>29353</v>
      </c>
      <c r="M10537" t="s">
        <v>32493</v>
      </c>
      <c r="N10537" t="s">
        <v>32524</v>
      </c>
      <c r="O10537" t="s">
        <v>32525</v>
      </c>
      <c r="P10537">
        <v>0</v>
      </c>
      <c r="Q10537">
        <v>22</v>
      </c>
      <c r="R10537" t="s">
        <v>32540</v>
      </c>
      <c r="S10537" t="s">
        <v>33102</v>
      </c>
      <c r="T10537" t="s">
        <v>33203</v>
      </c>
      <c r="U10537" t="s">
        <v>42254</v>
      </c>
      <c r="W10537" t="s">
        <v>32493</v>
      </c>
      <c r="X10537" t="s">
        <v>43779</v>
      </c>
    </row>
    <row r="10538" spans="1:24">
      <c r="A10538">
        <f>HYPERLINK("https://www.philgeps.gov.ph/GEPSNONPILOT/Tender/SplashBidNoticeAbstractUI.aspx?menuIndex=3&amp;refID=7019215&amp;Result=3","7019215")</f>
        <v>0</v>
      </c>
      <c r="B10538" t="s">
        <v>2222</v>
      </c>
      <c r="C10538" t="s">
        <v>12784</v>
      </c>
      <c r="E10538" t="s">
        <v>22252</v>
      </c>
      <c r="F10538" t="s">
        <v>22436</v>
      </c>
      <c r="G10538" t="s">
        <v>22444</v>
      </c>
      <c r="H10538" t="s">
        <v>22454</v>
      </c>
      <c r="I10538" t="s">
        <v>7738</v>
      </c>
      <c r="J10538" t="s">
        <v>29191</v>
      </c>
      <c r="K10538" t="s">
        <v>29468</v>
      </c>
      <c r="M10538" t="s">
        <v>31988</v>
      </c>
      <c r="N10538" t="s">
        <v>32524</v>
      </c>
      <c r="O10538" t="s">
        <v>32525</v>
      </c>
      <c r="Q10538">
        <v>10</v>
      </c>
      <c r="R10538" t="s">
        <v>32540</v>
      </c>
      <c r="S10538" t="s">
        <v>33128</v>
      </c>
      <c r="T10538" t="s">
        <v>33181</v>
      </c>
      <c r="U10538" t="s">
        <v>42258</v>
      </c>
      <c r="W10538" t="s">
        <v>31988</v>
      </c>
      <c r="X10538" t="s">
        <v>43779</v>
      </c>
    </row>
    <row r="10539" spans="1:24">
      <c r="A10539">
        <f>HYPERLINK("https://www.philgeps.gov.ph/GEPSNONPILOT/Tender/SplashBidNoticeAbstractUI.aspx?menuIndex=3&amp;refID=7019261&amp;Result=3","7019261")</f>
        <v>0</v>
      </c>
      <c r="B10539" t="s">
        <v>2653</v>
      </c>
      <c r="C10539" t="s">
        <v>12785</v>
      </c>
      <c r="D10539" t="s">
        <v>13032</v>
      </c>
      <c r="E10539" t="s">
        <v>22253</v>
      </c>
      <c r="F10539" t="s">
        <v>22436</v>
      </c>
      <c r="G10539" t="s">
        <v>22444</v>
      </c>
      <c r="H10539" t="s">
        <v>22452</v>
      </c>
      <c r="I10539" t="s">
        <v>22474</v>
      </c>
      <c r="J10539" t="s">
        <v>22634</v>
      </c>
      <c r="K10539" t="s">
        <v>29333</v>
      </c>
      <c r="M10539" t="s">
        <v>32494</v>
      </c>
      <c r="N10539" t="s">
        <v>32524</v>
      </c>
      <c r="O10539" t="s">
        <v>32525</v>
      </c>
      <c r="P10539">
        <v>0</v>
      </c>
      <c r="Q10539">
        <v>10</v>
      </c>
      <c r="R10539" t="s">
        <v>32540</v>
      </c>
      <c r="S10539" t="s">
        <v>33102</v>
      </c>
      <c r="T10539" t="s">
        <v>33194</v>
      </c>
      <c r="U10539" t="s">
        <v>42259</v>
      </c>
      <c r="W10539" t="s">
        <v>32494</v>
      </c>
      <c r="X10539" t="s">
        <v>43779</v>
      </c>
    </row>
    <row r="10540" spans="1:24">
      <c r="A10540">
        <f>HYPERLINK("https://www.philgeps.gov.ph/GEPSNONPILOT/Tender/SplashBidNoticeAbstractUI.aspx?menuIndex=3&amp;refID=7019276&amp;Result=3","7019276")</f>
        <v>0</v>
      </c>
      <c r="B10540" t="s">
        <v>2376</v>
      </c>
      <c r="C10540" t="s">
        <v>12786</v>
      </c>
      <c r="D10540" t="s">
        <v>13046</v>
      </c>
      <c r="E10540" t="s">
        <v>22254</v>
      </c>
      <c r="F10540" t="s">
        <v>22436</v>
      </c>
      <c r="G10540" t="s">
        <v>22444</v>
      </c>
      <c r="H10540" t="s">
        <v>22452</v>
      </c>
      <c r="I10540" t="s">
        <v>22476</v>
      </c>
      <c r="J10540" t="s">
        <v>22877</v>
      </c>
      <c r="K10540" t="s">
        <v>29329</v>
      </c>
      <c r="M10540" t="s">
        <v>32163</v>
      </c>
      <c r="N10540" t="s">
        <v>32524</v>
      </c>
      <c r="O10540" t="s">
        <v>32525</v>
      </c>
      <c r="P10540">
        <v>0</v>
      </c>
      <c r="Q10540">
        <v>1</v>
      </c>
      <c r="R10540" t="s">
        <v>32540</v>
      </c>
      <c r="S10540" t="s">
        <v>33102</v>
      </c>
      <c r="T10540" t="s">
        <v>33241</v>
      </c>
      <c r="U10540" t="s">
        <v>42260</v>
      </c>
      <c r="W10540" t="s">
        <v>32163</v>
      </c>
      <c r="X10540" t="s">
        <v>43779</v>
      </c>
    </row>
    <row r="10541" spans="1:24">
      <c r="A10541">
        <f>HYPERLINK("https://www.philgeps.gov.ph/GEPSNONPILOT/Tender/SplashBidNoticeAbstractUI.aspx?menuIndex=3&amp;refID=7019253&amp;Result=3","7019253")</f>
        <v>0</v>
      </c>
      <c r="B10541" t="s">
        <v>2652</v>
      </c>
      <c r="C10541" t="s">
        <v>12787</v>
      </c>
      <c r="D10541" t="s">
        <v>12995</v>
      </c>
      <c r="E10541" t="s">
        <v>22255</v>
      </c>
      <c r="F10541" t="s">
        <v>22436</v>
      </c>
      <c r="G10541" t="s">
        <v>22444</v>
      </c>
      <c r="H10541" t="s">
        <v>22452</v>
      </c>
      <c r="I10541" t="s">
        <v>6421</v>
      </c>
      <c r="J10541" t="s">
        <v>29192</v>
      </c>
      <c r="K10541" t="s">
        <v>29353</v>
      </c>
      <c r="M10541" t="s">
        <v>32493</v>
      </c>
      <c r="N10541" t="s">
        <v>32524</v>
      </c>
      <c r="O10541" t="s">
        <v>32525</v>
      </c>
      <c r="P10541">
        <v>0</v>
      </c>
      <c r="Q10541">
        <v>9</v>
      </c>
      <c r="R10541" t="s">
        <v>32540</v>
      </c>
      <c r="S10541" t="s">
        <v>33102</v>
      </c>
      <c r="T10541" t="s">
        <v>33203</v>
      </c>
      <c r="U10541" t="s">
        <v>42254</v>
      </c>
      <c r="W10541" t="s">
        <v>32493</v>
      </c>
      <c r="X10541" t="s">
        <v>43779</v>
      </c>
    </row>
    <row r="10542" spans="1:24">
      <c r="A10542">
        <f>HYPERLINK("https://www.philgeps.gov.ph/GEPSNONPILOT/Tender/SplashBidNoticeAbstractUI.aspx?menuIndex=3&amp;refID=7019263&amp;Result=3","7019263")</f>
        <v>0</v>
      </c>
      <c r="B10542" t="s">
        <v>2652</v>
      </c>
      <c r="C10542" t="s">
        <v>12788</v>
      </c>
      <c r="D10542" t="s">
        <v>12995</v>
      </c>
      <c r="E10542" t="s">
        <v>22256</v>
      </c>
      <c r="F10542" t="s">
        <v>22436</v>
      </c>
      <c r="G10542" t="s">
        <v>22444</v>
      </c>
      <c r="H10542" t="s">
        <v>22452</v>
      </c>
      <c r="I10542" t="s">
        <v>3529</v>
      </c>
      <c r="J10542" t="s">
        <v>29193</v>
      </c>
      <c r="K10542" t="s">
        <v>29353</v>
      </c>
      <c r="M10542" t="s">
        <v>32493</v>
      </c>
      <c r="N10542" t="s">
        <v>32524</v>
      </c>
      <c r="O10542" t="s">
        <v>32525</v>
      </c>
      <c r="P10542">
        <v>0</v>
      </c>
      <c r="Q10542">
        <v>1</v>
      </c>
      <c r="R10542" t="s">
        <v>32540</v>
      </c>
      <c r="S10542" t="s">
        <v>33102</v>
      </c>
      <c r="T10542" t="s">
        <v>33203</v>
      </c>
      <c r="U10542" t="s">
        <v>42254</v>
      </c>
      <c r="W10542" t="s">
        <v>32493</v>
      </c>
      <c r="X10542" t="s">
        <v>43779</v>
      </c>
    </row>
    <row r="10543" spans="1:24">
      <c r="A10543">
        <f>HYPERLINK("https://www.philgeps.gov.ph/GEPSNONPILOT/Tender/SplashBidNoticeAbstractUI.aspx?menuIndex=3&amp;refID=7019271&amp;Result=3","7019271")</f>
        <v>0</v>
      </c>
      <c r="B10543" t="s">
        <v>2176</v>
      </c>
      <c r="C10543" t="s">
        <v>12789</v>
      </c>
      <c r="D10543" t="s">
        <v>13044</v>
      </c>
      <c r="E10543" t="s">
        <v>22257</v>
      </c>
      <c r="F10543" t="s">
        <v>22436</v>
      </c>
      <c r="G10543" t="s">
        <v>22444</v>
      </c>
      <c r="H10543" t="s">
        <v>22454</v>
      </c>
      <c r="I10543" t="s">
        <v>7738</v>
      </c>
      <c r="J10543" t="s">
        <v>29194</v>
      </c>
      <c r="K10543" t="s">
        <v>29589</v>
      </c>
      <c r="M10543" t="s">
        <v>32495</v>
      </c>
      <c r="N10543" t="s">
        <v>32524</v>
      </c>
      <c r="O10543" t="s">
        <v>32525</v>
      </c>
      <c r="Q10543">
        <v>3</v>
      </c>
      <c r="R10543" t="s">
        <v>32540</v>
      </c>
      <c r="S10543" t="s">
        <v>33129</v>
      </c>
      <c r="T10543" t="s">
        <v>33203</v>
      </c>
      <c r="U10543" t="s">
        <v>42261</v>
      </c>
      <c r="W10543" t="s">
        <v>32495</v>
      </c>
      <c r="X10543" t="s">
        <v>43779</v>
      </c>
    </row>
    <row r="10544" spans="1:24">
      <c r="A10544">
        <f>HYPERLINK("https://www.philgeps.gov.ph/GEPSNONPILOT/Tender/SplashBidNoticeAbstractUI.aspx?menuIndex=3&amp;refID=7019259&amp;Result=3","7019259")</f>
        <v>0</v>
      </c>
      <c r="B10544" t="s">
        <v>1026</v>
      </c>
      <c r="C10544" t="s">
        <v>12790</v>
      </c>
      <c r="D10544" t="s">
        <v>13032</v>
      </c>
      <c r="E10544" t="s">
        <v>22258</v>
      </c>
      <c r="F10544" t="s">
        <v>22436</v>
      </c>
      <c r="G10544" t="s">
        <v>22444</v>
      </c>
      <c r="H10544" t="s">
        <v>22452</v>
      </c>
      <c r="I10544" t="s">
        <v>3027</v>
      </c>
      <c r="J10544" t="s">
        <v>29195</v>
      </c>
      <c r="K10544" t="s">
        <v>29371</v>
      </c>
      <c r="M10544" t="s">
        <v>30655</v>
      </c>
      <c r="N10544" t="s">
        <v>32524</v>
      </c>
      <c r="O10544" t="s">
        <v>32525</v>
      </c>
      <c r="P10544">
        <v>0</v>
      </c>
      <c r="Q10544">
        <v>0</v>
      </c>
      <c r="R10544" t="s">
        <v>32540</v>
      </c>
      <c r="S10544" t="s">
        <v>33102</v>
      </c>
      <c r="T10544" t="s">
        <v>33203</v>
      </c>
      <c r="U10544" t="s">
        <v>42262</v>
      </c>
      <c r="W10544" t="s">
        <v>30655</v>
      </c>
      <c r="X10544" t="s">
        <v>43779</v>
      </c>
    </row>
    <row r="10545" spans="1:24">
      <c r="A10545">
        <f>HYPERLINK("https://www.philgeps.gov.ph/GEPSNONPILOT/Tender/SplashBidNoticeAbstractUI.aspx?menuIndex=3&amp;refID=7019282&amp;Result=3","7019282")</f>
        <v>0</v>
      </c>
      <c r="B10545" t="s">
        <v>2653</v>
      </c>
      <c r="C10545" t="s">
        <v>12791</v>
      </c>
      <c r="D10545" t="s">
        <v>13032</v>
      </c>
      <c r="E10545" t="s">
        <v>22259</v>
      </c>
      <c r="F10545" t="s">
        <v>22436</v>
      </c>
      <c r="G10545" t="s">
        <v>22444</v>
      </c>
      <c r="H10545" t="s">
        <v>22454</v>
      </c>
      <c r="I10545" t="s">
        <v>7738</v>
      </c>
      <c r="J10545" t="s">
        <v>29196</v>
      </c>
      <c r="K10545" t="s">
        <v>29347</v>
      </c>
      <c r="M10545" t="s">
        <v>32494</v>
      </c>
      <c r="N10545" t="s">
        <v>32524</v>
      </c>
      <c r="O10545" t="s">
        <v>32525</v>
      </c>
      <c r="P10545">
        <v>0</v>
      </c>
      <c r="Q10545">
        <v>1</v>
      </c>
      <c r="R10545" t="s">
        <v>32540</v>
      </c>
      <c r="S10545" t="s">
        <v>33102</v>
      </c>
      <c r="T10545" t="s">
        <v>33194</v>
      </c>
      <c r="U10545" t="s">
        <v>42259</v>
      </c>
      <c r="W10545" t="s">
        <v>32494</v>
      </c>
      <c r="X10545" t="s">
        <v>43779</v>
      </c>
    </row>
    <row r="10546" spans="1:24">
      <c r="A10546">
        <f>HYPERLINK("https://www.philgeps.gov.ph/GEPSNONPILOT/Tender/SplashBidNoticeAbstractUI.aspx?menuIndex=3&amp;refID=7019324&amp;Result=3","7019324")</f>
        <v>0</v>
      </c>
      <c r="B10546" t="s">
        <v>2654</v>
      </c>
      <c r="C10546" t="s">
        <v>12792</v>
      </c>
      <c r="D10546" t="s">
        <v>13032</v>
      </c>
      <c r="E10546" t="s">
        <v>22260</v>
      </c>
      <c r="F10546" t="s">
        <v>22436</v>
      </c>
      <c r="G10546" t="s">
        <v>22444</v>
      </c>
      <c r="H10546" t="s">
        <v>22454</v>
      </c>
      <c r="I10546" t="s">
        <v>7738</v>
      </c>
      <c r="J10546" t="s">
        <v>29197</v>
      </c>
      <c r="K10546" t="s">
        <v>29344</v>
      </c>
      <c r="M10546" t="s">
        <v>32496</v>
      </c>
      <c r="N10546" t="s">
        <v>32524</v>
      </c>
      <c r="O10546" t="s">
        <v>32525</v>
      </c>
      <c r="P10546">
        <v>0</v>
      </c>
      <c r="Q10546">
        <v>0</v>
      </c>
      <c r="R10546" t="s">
        <v>32540</v>
      </c>
      <c r="S10546" t="s">
        <v>33102</v>
      </c>
      <c r="T10546" t="s">
        <v>33337</v>
      </c>
      <c r="U10546" t="s">
        <v>42263</v>
      </c>
      <c r="W10546" t="s">
        <v>32496</v>
      </c>
      <c r="X10546" t="s">
        <v>43779</v>
      </c>
    </row>
    <row r="10547" spans="1:24">
      <c r="A10547">
        <f>HYPERLINK("https://www.philgeps.gov.ph/GEPSNONPILOT/Tender/SplashBidNoticeAbstractUI.aspx?menuIndex=3&amp;refID=7019275&amp;Result=3","7019275")</f>
        <v>0</v>
      </c>
      <c r="B10547" t="s">
        <v>2652</v>
      </c>
      <c r="C10547" t="s">
        <v>12793</v>
      </c>
      <c r="D10547" t="s">
        <v>12995</v>
      </c>
      <c r="E10547" t="s">
        <v>22261</v>
      </c>
      <c r="F10547" t="s">
        <v>22436</v>
      </c>
      <c r="G10547" t="s">
        <v>22444</v>
      </c>
      <c r="H10547" t="s">
        <v>22452</v>
      </c>
      <c r="I10547" t="s">
        <v>3529</v>
      </c>
      <c r="J10547" t="s">
        <v>29198</v>
      </c>
      <c r="K10547" t="s">
        <v>29353</v>
      </c>
      <c r="M10547" t="s">
        <v>32493</v>
      </c>
      <c r="N10547" t="s">
        <v>32524</v>
      </c>
      <c r="O10547" t="s">
        <v>32525</v>
      </c>
      <c r="P10547">
        <v>0</v>
      </c>
      <c r="Q10547">
        <v>1</v>
      </c>
      <c r="R10547" t="s">
        <v>32540</v>
      </c>
      <c r="S10547" t="s">
        <v>33102</v>
      </c>
      <c r="T10547" t="s">
        <v>33203</v>
      </c>
      <c r="U10547" t="s">
        <v>42254</v>
      </c>
      <c r="W10547" t="s">
        <v>32493</v>
      </c>
      <c r="X10547" t="s">
        <v>43779</v>
      </c>
    </row>
    <row r="10548" spans="1:24">
      <c r="A10548">
        <f>HYPERLINK("https://www.philgeps.gov.ph/GEPSNONPILOT/Tender/SplashBidNoticeAbstractUI.aspx?menuIndex=3&amp;refID=7019297&amp;Result=3","7019297")</f>
        <v>0</v>
      </c>
      <c r="B10548" t="s">
        <v>1786</v>
      </c>
      <c r="C10548" t="s">
        <v>12794</v>
      </c>
      <c r="D10548" t="s">
        <v>12991</v>
      </c>
      <c r="E10548" t="s">
        <v>22262</v>
      </c>
      <c r="F10548" t="s">
        <v>22436</v>
      </c>
      <c r="G10548" t="s">
        <v>22444</v>
      </c>
      <c r="H10548" t="s">
        <v>22452</v>
      </c>
      <c r="I10548" t="s">
        <v>7738</v>
      </c>
      <c r="J10548" t="s">
        <v>29199</v>
      </c>
      <c r="K10548" t="s">
        <v>29330</v>
      </c>
      <c r="M10548" t="s">
        <v>31496</v>
      </c>
      <c r="N10548" t="s">
        <v>32524</v>
      </c>
      <c r="O10548" t="s">
        <v>32525</v>
      </c>
      <c r="P10548">
        <v>0</v>
      </c>
      <c r="Q10548">
        <v>5</v>
      </c>
      <c r="R10548" t="s">
        <v>32540</v>
      </c>
      <c r="S10548" t="s">
        <v>33102</v>
      </c>
      <c r="T10548" t="s">
        <v>33490</v>
      </c>
      <c r="U10548" t="s">
        <v>42264</v>
      </c>
      <c r="W10548" t="s">
        <v>31496</v>
      </c>
      <c r="X10548" t="s">
        <v>43779</v>
      </c>
    </row>
    <row r="10549" spans="1:24">
      <c r="A10549">
        <f>HYPERLINK("https://www.philgeps.gov.ph/GEPSNONPILOT/Tender/SplashBidNoticeAbstractUI.aspx?menuIndex=3&amp;refID=7019358&amp;Result=3","7019358")</f>
        <v>0</v>
      </c>
      <c r="B10549" t="s">
        <v>82</v>
      </c>
      <c r="C10549" t="s">
        <v>12795</v>
      </c>
      <c r="D10549" t="s">
        <v>13024</v>
      </c>
      <c r="E10549" t="s">
        <v>22263</v>
      </c>
      <c r="F10549" t="s">
        <v>22436</v>
      </c>
      <c r="G10549" t="s">
        <v>22444</v>
      </c>
      <c r="H10549" t="s">
        <v>22454</v>
      </c>
      <c r="I10549" t="s">
        <v>7738</v>
      </c>
      <c r="J10549" t="s">
        <v>29200</v>
      </c>
      <c r="K10549" t="s">
        <v>29345</v>
      </c>
      <c r="M10549" t="s">
        <v>29654</v>
      </c>
      <c r="N10549" t="s">
        <v>32524</v>
      </c>
      <c r="O10549" t="s">
        <v>32525</v>
      </c>
      <c r="P10549">
        <v>0</v>
      </c>
      <c r="Q10549">
        <v>3</v>
      </c>
      <c r="R10549" t="s">
        <v>32540</v>
      </c>
      <c r="S10549" t="s">
        <v>33102</v>
      </c>
      <c r="T10549" t="s">
        <v>33187</v>
      </c>
      <c r="U10549" t="s">
        <v>42265</v>
      </c>
      <c r="W10549" t="s">
        <v>29654</v>
      </c>
      <c r="X10549" t="s">
        <v>43779</v>
      </c>
    </row>
    <row r="10550" spans="1:24">
      <c r="A10550">
        <f>HYPERLINK("https://www.philgeps.gov.ph/GEPSNONPILOT/Tender/SplashBidNoticeAbstractUI.aspx?menuIndex=3&amp;refID=7019337&amp;Result=3","7019337")</f>
        <v>0</v>
      </c>
      <c r="B10550" t="s">
        <v>737</v>
      </c>
      <c r="C10550" t="s">
        <v>12796</v>
      </c>
      <c r="D10550" t="s">
        <v>13065</v>
      </c>
      <c r="E10550" t="s">
        <v>22264</v>
      </c>
      <c r="F10550" t="s">
        <v>22436</v>
      </c>
      <c r="G10550" t="s">
        <v>22450</v>
      </c>
      <c r="H10550" t="s">
        <v>22452</v>
      </c>
      <c r="I10550" t="s">
        <v>22457</v>
      </c>
      <c r="J10550" t="s">
        <v>29201</v>
      </c>
      <c r="K10550" t="s">
        <v>29344</v>
      </c>
      <c r="M10550" t="s">
        <v>32497</v>
      </c>
      <c r="N10550" t="s">
        <v>32524</v>
      </c>
      <c r="O10550" t="s">
        <v>32525</v>
      </c>
      <c r="P10550">
        <v>0</v>
      </c>
      <c r="Q10550">
        <v>1</v>
      </c>
      <c r="R10550" t="s">
        <v>32540</v>
      </c>
      <c r="S10550" t="s">
        <v>33102</v>
      </c>
      <c r="T10550" t="s">
        <v>33181</v>
      </c>
      <c r="U10550" t="s">
        <v>42266</v>
      </c>
      <c r="V10550" t="s">
        <v>43639</v>
      </c>
      <c r="W10550" t="s">
        <v>32497</v>
      </c>
      <c r="X10550" t="s">
        <v>43779</v>
      </c>
    </row>
    <row r="10551" spans="1:24">
      <c r="A10551">
        <f>HYPERLINK("https://www.philgeps.gov.ph/GEPSNONPILOT/Tender/SplashBidNoticeAbstractUI.aspx?menuIndex=3&amp;refID=7019281&amp;Result=3","7019281")</f>
        <v>0</v>
      </c>
      <c r="B10551" t="s">
        <v>2652</v>
      </c>
      <c r="C10551" t="s">
        <v>12797</v>
      </c>
      <c r="D10551" t="s">
        <v>12995</v>
      </c>
      <c r="E10551" t="s">
        <v>22265</v>
      </c>
      <c r="F10551" t="s">
        <v>22436</v>
      </c>
      <c r="G10551" t="s">
        <v>22444</v>
      </c>
      <c r="H10551" t="s">
        <v>22454</v>
      </c>
      <c r="I10551" t="s">
        <v>7738</v>
      </c>
      <c r="J10551" t="s">
        <v>29202</v>
      </c>
      <c r="K10551" t="s">
        <v>29334</v>
      </c>
      <c r="M10551" t="s">
        <v>32493</v>
      </c>
      <c r="N10551" t="s">
        <v>32524</v>
      </c>
      <c r="O10551" t="s">
        <v>32525</v>
      </c>
      <c r="P10551">
        <v>0</v>
      </c>
      <c r="Q10551">
        <v>2</v>
      </c>
      <c r="R10551" t="s">
        <v>32540</v>
      </c>
      <c r="S10551" t="s">
        <v>33102</v>
      </c>
      <c r="T10551" t="s">
        <v>33203</v>
      </c>
      <c r="U10551" t="s">
        <v>42254</v>
      </c>
      <c r="W10551" t="s">
        <v>32493</v>
      </c>
      <c r="X10551" t="s">
        <v>43779</v>
      </c>
    </row>
    <row r="10552" spans="1:24">
      <c r="A10552">
        <f>HYPERLINK("https://www.philgeps.gov.ph/GEPSNONPILOT/Tender/SplashBidNoticeAbstractUI.aspx?menuIndex=3&amp;refID=7019355&amp;Result=3","7019355")</f>
        <v>0</v>
      </c>
      <c r="B10552" t="s">
        <v>165</v>
      </c>
      <c r="C10552" t="s">
        <v>12798</v>
      </c>
      <c r="D10552" t="s">
        <v>13030</v>
      </c>
      <c r="E10552" t="s">
        <v>22266</v>
      </c>
      <c r="F10552" t="s">
        <v>22436</v>
      </c>
      <c r="G10552" t="s">
        <v>22444</v>
      </c>
      <c r="H10552" t="s">
        <v>22452</v>
      </c>
      <c r="I10552" t="s">
        <v>22474</v>
      </c>
      <c r="J10552" t="s">
        <v>26791</v>
      </c>
      <c r="K10552" t="s">
        <v>29333</v>
      </c>
      <c r="M10552" t="s">
        <v>29737</v>
      </c>
      <c r="N10552" t="s">
        <v>32524</v>
      </c>
      <c r="O10552" t="s">
        <v>32525</v>
      </c>
      <c r="P10552">
        <v>0</v>
      </c>
      <c r="Q10552">
        <v>7</v>
      </c>
      <c r="R10552" t="s">
        <v>32540</v>
      </c>
      <c r="S10552" t="s">
        <v>33102</v>
      </c>
      <c r="T10552" t="s">
        <v>33181</v>
      </c>
      <c r="U10552" t="s">
        <v>42267</v>
      </c>
      <c r="W10552" t="s">
        <v>29737</v>
      </c>
      <c r="X10552" t="s">
        <v>43779</v>
      </c>
    </row>
    <row r="10553" spans="1:24">
      <c r="A10553">
        <f>HYPERLINK("https://www.philgeps.gov.ph/GEPSNONPILOT/Tender/SplashBidNoticeAbstractUI.aspx?menuIndex=3&amp;refID=7019294&amp;Result=3","7019294")</f>
        <v>0</v>
      </c>
      <c r="B10553" t="s">
        <v>2653</v>
      </c>
      <c r="C10553" t="s">
        <v>12799</v>
      </c>
      <c r="D10553" t="s">
        <v>13032</v>
      </c>
      <c r="E10553" t="s">
        <v>22267</v>
      </c>
      <c r="F10553" t="s">
        <v>22436</v>
      </c>
      <c r="G10553" t="s">
        <v>22444</v>
      </c>
      <c r="H10553" t="s">
        <v>22454</v>
      </c>
      <c r="I10553" t="s">
        <v>7738</v>
      </c>
      <c r="J10553" t="s">
        <v>29203</v>
      </c>
      <c r="K10553" t="s">
        <v>29347</v>
      </c>
      <c r="M10553" t="s">
        <v>32494</v>
      </c>
      <c r="N10553" t="s">
        <v>32524</v>
      </c>
      <c r="O10553" t="s">
        <v>32525</v>
      </c>
      <c r="P10553">
        <v>0</v>
      </c>
      <c r="Q10553">
        <v>0</v>
      </c>
      <c r="R10553" t="s">
        <v>32540</v>
      </c>
      <c r="S10553" t="s">
        <v>33102</v>
      </c>
      <c r="T10553" t="s">
        <v>33194</v>
      </c>
      <c r="U10553" t="s">
        <v>42259</v>
      </c>
      <c r="W10553" t="s">
        <v>32494</v>
      </c>
      <c r="X10553" t="s">
        <v>43779</v>
      </c>
    </row>
    <row r="10554" spans="1:24">
      <c r="A10554">
        <f>HYPERLINK("https://www.philgeps.gov.ph/GEPSNONPILOT/Tender/SplashBidNoticeAbstractUI.aspx?menuIndex=3&amp;refID=7019348&amp;Result=3","7019348")</f>
        <v>0</v>
      </c>
      <c r="B10554" t="s">
        <v>1026</v>
      </c>
      <c r="C10554" t="s">
        <v>12800</v>
      </c>
      <c r="D10554" t="s">
        <v>13032</v>
      </c>
      <c r="E10554" t="s">
        <v>22268</v>
      </c>
      <c r="F10554" t="s">
        <v>22436</v>
      </c>
      <c r="G10554" t="s">
        <v>22444</v>
      </c>
      <c r="H10554" t="s">
        <v>22452</v>
      </c>
      <c r="I10554" t="s">
        <v>2981</v>
      </c>
      <c r="J10554" t="s">
        <v>29204</v>
      </c>
      <c r="K10554" t="s">
        <v>29335</v>
      </c>
      <c r="M10554" t="s">
        <v>30655</v>
      </c>
      <c r="N10554" t="s">
        <v>32524</v>
      </c>
      <c r="O10554" t="s">
        <v>32525</v>
      </c>
      <c r="P10554">
        <v>0</v>
      </c>
      <c r="Q10554">
        <v>5</v>
      </c>
      <c r="R10554" t="s">
        <v>32540</v>
      </c>
      <c r="S10554" t="s">
        <v>33102</v>
      </c>
      <c r="T10554" t="s">
        <v>33203</v>
      </c>
      <c r="U10554" t="s">
        <v>42268</v>
      </c>
      <c r="V10554" t="s">
        <v>42966</v>
      </c>
      <c r="W10554" t="s">
        <v>30655</v>
      </c>
      <c r="X10554" t="s">
        <v>43779</v>
      </c>
    </row>
    <row r="10555" spans="1:24">
      <c r="A10555">
        <f>HYPERLINK("https://www.philgeps.gov.ph/GEPSNONPILOT/Tender/SplashBidNoticeAbstractUI.aspx?menuIndex=3&amp;refID=7019494&amp;Result=3","7019494")</f>
        <v>0</v>
      </c>
      <c r="B10555" t="s">
        <v>1381</v>
      </c>
      <c r="C10555" t="s">
        <v>12801</v>
      </c>
      <c r="D10555" t="s">
        <v>13035</v>
      </c>
      <c r="E10555" t="s">
        <v>22269</v>
      </c>
      <c r="F10555" t="s">
        <v>22436</v>
      </c>
      <c r="G10555" t="s">
        <v>22444</v>
      </c>
      <c r="H10555" t="s">
        <v>22454</v>
      </c>
      <c r="I10555" t="s">
        <v>7738</v>
      </c>
      <c r="J10555" t="s">
        <v>29205</v>
      </c>
      <c r="K10555" t="s">
        <v>29334</v>
      </c>
      <c r="M10555" t="s">
        <v>31460</v>
      </c>
      <c r="N10555" t="s">
        <v>32524</v>
      </c>
      <c r="O10555" t="s">
        <v>32525</v>
      </c>
      <c r="Q10555">
        <v>0</v>
      </c>
      <c r="R10555" t="s">
        <v>32540</v>
      </c>
      <c r="S10555" t="s">
        <v>33130</v>
      </c>
      <c r="T10555" t="s">
        <v>33332</v>
      </c>
      <c r="U10555" t="s">
        <v>42269</v>
      </c>
      <c r="V10555" t="s">
        <v>42994</v>
      </c>
      <c r="W10555" t="s">
        <v>31460</v>
      </c>
      <c r="X10555" t="s">
        <v>43779</v>
      </c>
    </row>
    <row r="10556" spans="1:24">
      <c r="A10556">
        <f>HYPERLINK("https://www.philgeps.gov.ph/GEPSNONPILOT/Tender/SplashBidNoticeAbstractUI.aspx?menuIndex=3&amp;refID=7019382&amp;Result=3","7019382")</f>
        <v>0</v>
      </c>
      <c r="B10556" t="s">
        <v>2176</v>
      </c>
      <c r="C10556" t="s">
        <v>12802</v>
      </c>
      <c r="D10556" t="s">
        <v>13044</v>
      </c>
      <c r="E10556" t="s">
        <v>22270</v>
      </c>
      <c r="F10556" t="s">
        <v>22436</v>
      </c>
      <c r="G10556" t="s">
        <v>22444</v>
      </c>
      <c r="H10556" t="s">
        <v>22454</v>
      </c>
      <c r="I10556" t="s">
        <v>7738</v>
      </c>
      <c r="J10556" t="s">
        <v>29206</v>
      </c>
      <c r="K10556" t="s">
        <v>29461</v>
      </c>
      <c r="M10556" t="s">
        <v>32495</v>
      </c>
      <c r="N10556" t="s">
        <v>32524</v>
      </c>
      <c r="O10556" t="s">
        <v>32525</v>
      </c>
      <c r="P10556">
        <v>0</v>
      </c>
      <c r="Q10556">
        <v>4</v>
      </c>
      <c r="R10556" t="s">
        <v>32540</v>
      </c>
      <c r="S10556" t="s">
        <v>33102</v>
      </c>
      <c r="T10556" t="s">
        <v>33203</v>
      </c>
      <c r="U10556" t="s">
        <v>42270</v>
      </c>
      <c r="W10556" t="s">
        <v>32495</v>
      </c>
      <c r="X10556" t="s">
        <v>43779</v>
      </c>
    </row>
    <row r="10557" spans="1:24">
      <c r="A10557">
        <f>HYPERLINK("https://www.philgeps.gov.ph/GEPSNONPILOT/Tender/SplashBidNoticeAbstractUI.aspx?menuIndex=3&amp;refID=7019487&amp;Result=3","7019487")</f>
        <v>0</v>
      </c>
      <c r="B10557" t="s">
        <v>1026</v>
      </c>
      <c r="C10557" t="s">
        <v>12803</v>
      </c>
      <c r="D10557" t="s">
        <v>13032</v>
      </c>
      <c r="E10557" t="s">
        <v>22271</v>
      </c>
      <c r="F10557" t="s">
        <v>22436</v>
      </c>
      <c r="G10557" t="s">
        <v>22444</v>
      </c>
      <c r="H10557" t="s">
        <v>22452</v>
      </c>
      <c r="I10557" t="s">
        <v>22508</v>
      </c>
      <c r="J10557" t="s">
        <v>27013</v>
      </c>
      <c r="K10557" t="s">
        <v>29335</v>
      </c>
      <c r="M10557" t="s">
        <v>30655</v>
      </c>
      <c r="N10557" t="s">
        <v>32524</v>
      </c>
      <c r="O10557" t="s">
        <v>32525</v>
      </c>
      <c r="P10557">
        <v>0</v>
      </c>
      <c r="Q10557">
        <v>5</v>
      </c>
      <c r="R10557" t="s">
        <v>32540</v>
      </c>
      <c r="S10557" t="s">
        <v>33102</v>
      </c>
      <c r="T10557" t="s">
        <v>33203</v>
      </c>
      <c r="U10557" t="s">
        <v>42271</v>
      </c>
      <c r="V10557" t="s">
        <v>42966</v>
      </c>
      <c r="W10557" t="s">
        <v>30655</v>
      </c>
      <c r="X10557" t="s">
        <v>43779</v>
      </c>
    </row>
    <row r="10558" spans="1:24">
      <c r="A10558">
        <f>HYPERLINK("https://www.philgeps.gov.ph/GEPSNONPILOT/Tender/SplashBidNoticeAbstractUI.aspx?menuIndex=3&amp;refID=7019411&amp;Result=3","7019411")</f>
        <v>0</v>
      </c>
      <c r="B10558" t="s">
        <v>1381</v>
      </c>
      <c r="C10558" t="s">
        <v>12804</v>
      </c>
      <c r="D10558" t="s">
        <v>13035</v>
      </c>
      <c r="E10558" t="s">
        <v>22272</v>
      </c>
      <c r="F10558" t="s">
        <v>22436</v>
      </c>
      <c r="G10558" t="s">
        <v>22444</v>
      </c>
      <c r="H10558" t="s">
        <v>22454</v>
      </c>
      <c r="I10558" t="s">
        <v>7738</v>
      </c>
      <c r="J10558" t="s">
        <v>29207</v>
      </c>
      <c r="K10558" t="s">
        <v>29476</v>
      </c>
      <c r="M10558" t="s">
        <v>31460</v>
      </c>
      <c r="N10558" t="s">
        <v>32524</v>
      </c>
      <c r="O10558" t="s">
        <v>32525</v>
      </c>
      <c r="P10558">
        <v>0</v>
      </c>
      <c r="Q10558">
        <v>2</v>
      </c>
      <c r="R10558" t="s">
        <v>32540</v>
      </c>
      <c r="S10558" t="s">
        <v>33102</v>
      </c>
      <c r="T10558" t="s">
        <v>33332</v>
      </c>
      <c r="U10558" t="s">
        <v>42272</v>
      </c>
      <c r="V10558" t="s">
        <v>42994</v>
      </c>
      <c r="W10558" t="s">
        <v>31460</v>
      </c>
      <c r="X10558" t="s">
        <v>43779</v>
      </c>
    </row>
    <row r="10559" spans="1:24">
      <c r="A10559">
        <f>HYPERLINK("https://www.philgeps.gov.ph/GEPSNONPILOT/Tender/SplashBidNoticeAbstractUI.aspx?menuIndex=3&amp;refID=7019504&amp;Result=3","7019504")</f>
        <v>0</v>
      </c>
      <c r="B10559" t="s">
        <v>1381</v>
      </c>
      <c r="C10559" t="s">
        <v>12805</v>
      </c>
      <c r="D10559" t="s">
        <v>13035</v>
      </c>
      <c r="E10559" t="s">
        <v>22273</v>
      </c>
      <c r="F10559" t="s">
        <v>22436</v>
      </c>
      <c r="G10559" t="s">
        <v>22444</v>
      </c>
      <c r="H10559" t="s">
        <v>22454</v>
      </c>
      <c r="I10559" t="s">
        <v>7738</v>
      </c>
      <c r="J10559" t="s">
        <v>29208</v>
      </c>
      <c r="K10559" t="s">
        <v>29344</v>
      </c>
      <c r="M10559" t="s">
        <v>31460</v>
      </c>
      <c r="N10559" t="s">
        <v>32524</v>
      </c>
      <c r="O10559" t="s">
        <v>32525</v>
      </c>
      <c r="P10559">
        <v>0</v>
      </c>
      <c r="Q10559">
        <v>0</v>
      </c>
      <c r="R10559" t="s">
        <v>32540</v>
      </c>
      <c r="S10559" t="s">
        <v>33102</v>
      </c>
      <c r="T10559" t="s">
        <v>33332</v>
      </c>
      <c r="U10559" t="s">
        <v>42273</v>
      </c>
      <c r="V10559" t="s">
        <v>42994</v>
      </c>
      <c r="W10559" t="s">
        <v>31460</v>
      </c>
      <c r="X10559" t="s">
        <v>43779</v>
      </c>
    </row>
    <row r="10560" spans="1:24">
      <c r="A10560">
        <f>HYPERLINK("https://www.philgeps.gov.ph/GEPSNONPILOT/Tender/SplashBidNoticeAbstractUI.aspx?menuIndex=3&amp;refID=7019405&amp;Result=3","7019405")</f>
        <v>0</v>
      </c>
      <c r="B10560" t="s">
        <v>1675</v>
      </c>
      <c r="C10560" t="s">
        <v>12806</v>
      </c>
      <c r="D10560" t="s">
        <v>13006</v>
      </c>
      <c r="E10560" t="s">
        <v>22274</v>
      </c>
      <c r="F10560" t="s">
        <v>22436</v>
      </c>
      <c r="G10560" t="s">
        <v>22444</v>
      </c>
      <c r="H10560" t="s">
        <v>22452</v>
      </c>
      <c r="I10560" t="s">
        <v>3827</v>
      </c>
      <c r="J10560" t="s">
        <v>29209</v>
      </c>
      <c r="K10560" t="s">
        <v>29331</v>
      </c>
      <c r="M10560" t="s">
        <v>31373</v>
      </c>
      <c r="N10560" t="s">
        <v>32524</v>
      </c>
      <c r="O10560" t="s">
        <v>32525</v>
      </c>
      <c r="P10560">
        <v>0</v>
      </c>
      <c r="Q10560">
        <v>2</v>
      </c>
      <c r="R10560" t="s">
        <v>32540</v>
      </c>
      <c r="S10560" t="s">
        <v>33102</v>
      </c>
      <c r="T10560" t="s">
        <v>33619</v>
      </c>
      <c r="U10560" t="s">
        <v>37798</v>
      </c>
      <c r="W10560" t="s">
        <v>43730</v>
      </c>
      <c r="X10560" t="s">
        <v>43779</v>
      </c>
    </row>
    <row r="10561" spans="1:24">
      <c r="A10561">
        <f>HYPERLINK("https://www.philgeps.gov.ph/GEPSNONPILOT/Tender/SplashBidNoticeAbstractUI.aspx?menuIndex=3&amp;refID=7019472&amp;Result=3","7019472")</f>
        <v>0</v>
      </c>
      <c r="B10561" t="s">
        <v>1381</v>
      </c>
      <c r="C10561" t="s">
        <v>12807</v>
      </c>
      <c r="D10561" t="s">
        <v>13035</v>
      </c>
      <c r="E10561" t="s">
        <v>22275</v>
      </c>
      <c r="F10561" t="s">
        <v>22436</v>
      </c>
      <c r="G10561" t="s">
        <v>22444</v>
      </c>
      <c r="H10561" t="s">
        <v>22454</v>
      </c>
      <c r="I10561" t="s">
        <v>7738</v>
      </c>
      <c r="J10561" t="s">
        <v>29210</v>
      </c>
      <c r="K10561" t="s">
        <v>29412</v>
      </c>
      <c r="M10561" t="s">
        <v>31460</v>
      </c>
      <c r="N10561" t="s">
        <v>32524</v>
      </c>
      <c r="O10561" t="s">
        <v>32525</v>
      </c>
      <c r="P10561">
        <v>0</v>
      </c>
      <c r="Q10561">
        <v>1</v>
      </c>
      <c r="R10561" t="s">
        <v>32540</v>
      </c>
      <c r="S10561" t="s">
        <v>33102</v>
      </c>
      <c r="T10561" t="s">
        <v>33332</v>
      </c>
      <c r="U10561" t="s">
        <v>42274</v>
      </c>
      <c r="V10561" t="s">
        <v>42994</v>
      </c>
      <c r="W10561" t="s">
        <v>31460</v>
      </c>
      <c r="X10561" t="s">
        <v>43779</v>
      </c>
    </row>
    <row r="10562" spans="1:24">
      <c r="A10562">
        <f>HYPERLINK("https://www.philgeps.gov.ph/GEPSNONPILOT/Tender/SplashBidNoticeAbstractUI.aspx?menuIndex=3&amp;refID=7019499&amp;Result=3","7019499")</f>
        <v>0</v>
      </c>
      <c r="B10562" t="s">
        <v>2030</v>
      </c>
      <c r="C10562" t="s">
        <v>12808</v>
      </c>
      <c r="D10562" t="s">
        <v>12996</v>
      </c>
      <c r="E10562" t="s">
        <v>22276</v>
      </c>
      <c r="F10562" t="s">
        <v>22436</v>
      </c>
      <c r="G10562" t="s">
        <v>22444</v>
      </c>
      <c r="H10562" t="s">
        <v>22452</v>
      </c>
      <c r="I10562" t="s">
        <v>22505</v>
      </c>
      <c r="J10562" t="s">
        <v>29211</v>
      </c>
      <c r="K10562" t="s">
        <v>29335</v>
      </c>
      <c r="M10562" t="s">
        <v>31764</v>
      </c>
      <c r="N10562" t="s">
        <v>32524</v>
      </c>
      <c r="O10562" t="s">
        <v>32525</v>
      </c>
      <c r="P10562">
        <v>0</v>
      </c>
      <c r="Q10562">
        <v>5</v>
      </c>
      <c r="R10562" t="s">
        <v>32540</v>
      </c>
      <c r="S10562" t="s">
        <v>33102</v>
      </c>
      <c r="T10562" t="s">
        <v>33181</v>
      </c>
      <c r="U10562" t="s">
        <v>42275</v>
      </c>
      <c r="W10562" t="s">
        <v>31764</v>
      </c>
      <c r="X10562" t="s">
        <v>43779</v>
      </c>
    </row>
    <row r="10563" spans="1:24">
      <c r="A10563">
        <f>HYPERLINK("https://www.philgeps.gov.ph/GEPSNONPILOT/Tender/SplashBidNoticeAbstractUI.aspx?menuIndex=3&amp;refID=7019367&amp;Result=3","7019367")</f>
        <v>0</v>
      </c>
      <c r="B10563" t="s">
        <v>1949</v>
      </c>
      <c r="C10563" t="s">
        <v>12809</v>
      </c>
      <c r="D10563" t="s">
        <v>13019</v>
      </c>
      <c r="E10563" t="s">
        <v>22277</v>
      </c>
      <c r="F10563" t="s">
        <v>22436</v>
      </c>
      <c r="G10563" t="s">
        <v>22444</v>
      </c>
      <c r="H10563" t="s">
        <v>22454</v>
      </c>
      <c r="I10563" t="s">
        <v>7738</v>
      </c>
      <c r="J10563" t="s">
        <v>29212</v>
      </c>
      <c r="K10563" t="s">
        <v>29333</v>
      </c>
      <c r="M10563" t="s">
        <v>31679</v>
      </c>
      <c r="N10563" t="s">
        <v>32524</v>
      </c>
      <c r="O10563" t="s">
        <v>32525</v>
      </c>
      <c r="P10563">
        <v>0</v>
      </c>
      <c r="Q10563">
        <v>0</v>
      </c>
      <c r="R10563" t="s">
        <v>32540</v>
      </c>
      <c r="S10563" t="s">
        <v>33102</v>
      </c>
      <c r="T10563" t="s">
        <v>33252</v>
      </c>
      <c r="U10563" t="s">
        <v>42276</v>
      </c>
      <c r="V10563" t="s">
        <v>43640</v>
      </c>
      <c r="W10563" t="s">
        <v>31679</v>
      </c>
      <c r="X10563" t="s">
        <v>43779</v>
      </c>
    </row>
    <row r="10564" spans="1:24">
      <c r="A10564">
        <f>HYPERLINK("https://www.philgeps.gov.ph/GEPSNONPILOT/Tender/SplashBidNoticeAbstractUI.aspx?menuIndex=3&amp;refID=7019476&amp;Result=3","7019476")</f>
        <v>0</v>
      </c>
      <c r="B10564" t="s">
        <v>1381</v>
      </c>
      <c r="C10564" t="s">
        <v>12810</v>
      </c>
      <c r="D10564" t="s">
        <v>13035</v>
      </c>
      <c r="E10564" t="s">
        <v>22278</v>
      </c>
      <c r="F10564" t="s">
        <v>22436</v>
      </c>
      <c r="G10564" t="s">
        <v>22444</v>
      </c>
      <c r="H10564" t="s">
        <v>22454</v>
      </c>
      <c r="I10564" t="s">
        <v>7738</v>
      </c>
      <c r="J10564" t="s">
        <v>29213</v>
      </c>
      <c r="K10564" t="s">
        <v>29334</v>
      </c>
      <c r="M10564" t="s">
        <v>31460</v>
      </c>
      <c r="N10564" t="s">
        <v>32524</v>
      </c>
      <c r="O10564" t="s">
        <v>32525</v>
      </c>
      <c r="P10564">
        <v>0</v>
      </c>
      <c r="Q10564">
        <v>0</v>
      </c>
      <c r="R10564" t="s">
        <v>32540</v>
      </c>
      <c r="S10564" t="s">
        <v>33102</v>
      </c>
      <c r="T10564" t="s">
        <v>33332</v>
      </c>
      <c r="U10564" t="s">
        <v>42277</v>
      </c>
      <c r="V10564" t="s">
        <v>42994</v>
      </c>
      <c r="W10564" t="s">
        <v>31460</v>
      </c>
      <c r="X10564" t="s">
        <v>43779</v>
      </c>
    </row>
    <row r="10565" spans="1:24">
      <c r="A10565">
        <f>HYPERLINK("https://www.philgeps.gov.ph/GEPSNONPILOT/Tender/SplashBidNoticeAbstractUI.aspx?menuIndex=3&amp;refID=7019463&amp;Result=3","7019463")</f>
        <v>0</v>
      </c>
      <c r="B10565" t="s">
        <v>1381</v>
      </c>
      <c r="C10565" t="s">
        <v>12811</v>
      </c>
      <c r="D10565" t="s">
        <v>13035</v>
      </c>
      <c r="E10565" t="s">
        <v>22279</v>
      </c>
      <c r="F10565" t="s">
        <v>22436</v>
      </c>
      <c r="G10565" t="s">
        <v>22444</v>
      </c>
      <c r="H10565" t="s">
        <v>22454</v>
      </c>
      <c r="I10565" t="s">
        <v>7738</v>
      </c>
      <c r="J10565" t="s">
        <v>28543</v>
      </c>
      <c r="K10565" t="s">
        <v>29345</v>
      </c>
      <c r="M10565" t="s">
        <v>31460</v>
      </c>
      <c r="N10565" t="s">
        <v>32524</v>
      </c>
      <c r="O10565" t="s">
        <v>32525</v>
      </c>
      <c r="P10565">
        <v>0</v>
      </c>
      <c r="Q10565">
        <v>0</v>
      </c>
      <c r="R10565" t="s">
        <v>32540</v>
      </c>
      <c r="S10565" t="s">
        <v>33102</v>
      </c>
      <c r="T10565" t="s">
        <v>33332</v>
      </c>
      <c r="U10565" t="s">
        <v>42278</v>
      </c>
      <c r="V10565" t="s">
        <v>42994</v>
      </c>
      <c r="W10565" t="s">
        <v>31460</v>
      </c>
      <c r="X10565" t="s">
        <v>43779</v>
      </c>
    </row>
    <row r="10566" spans="1:24">
      <c r="A10566">
        <f>HYPERLINK("https://www.philgeps.gov.ph/GEPSNONPILOT/Tender/SplashBidNoticeAbstractUI.aspx?menuIndex=3&amp;refID=7019443&amp;Result=3","7019443")</f>
        <v>0</v>
      </c>
      <c r="B10566" t="s">
        <v>82</v>
      </c>
      <c r="C10566" t="s">
        <v>12812</v>
      </c>
      <c r="D10566" t="s">
        <v>13024</v>
      </c>
      <c r="E10566" t="s">
        <v>22280</v>
      </c>
      <c r="F10566" t="s">
        <v>22436</v>
      </c>
      <c r="G10566" t="s">
        <v>22444</v>
      </c>
      <c r="H10566" t="s">
        <v>22452</v>
      </c>
      <c r="I10566" t="s">
        <v>22474</v>
      </c>
      <c r="J10566" t="s">
        <v>24344</v>
      </c>
      <c r="K10566" t="s">
        <v>29335</v>
      </c>
      <c r="M10566" t="s">
        <v>29654</v>
      </c>
      <c r="N10566" t="s">
        <v>32524</v>
      </c>
      <c r="O10566" t="s">
        <v>32525</v>
      </c>
      <c r="P10566">
        <v>0</v>
      </c>
      <c r="Q10566">
        <v>4</v>
      </c>
      <c r="R10566" t="s">
        <v>32540</v>
      </c>
      <c r="S10566" t="s">
        <v>33102</v>
      </c>
      <c r="T10566" t="s">
        <v>33593</v>
      </c>
      <c r="U10566" t="s">
        <v>40085</v>
      </c>
      <c r="V10566" t="s">
        <v>43641</v>
      </c>
      <c r="W10566" t="s">
        <v>29654</v>
      </c>
      <c r="X10566" t="s">
        <v>43779</v>
      </c>
    </row>
    <row r="10567" spans="1:24">
      <c r="A10567">
        <f>HYPERLINK("https://www.philgeps.gov.ph/GEPSNONPILOT/Tender/SplashBidNoticeAbstractUI.aspx?menuIndex=3&amp;refID=7019450&amp;Result=3","7019450")</f>
        <v>0</v>
      </c>
      <c r="B10567" t="s">
        <v>2327</v>
      </c>
      <c r="C10567" t="s">
        <v>12813</v>
      </c>
      <c r="D10567" t="s">
        <v>13054</v>
      </c>
      <c r="E10567" t="s">
        <v>20778</v>
      </c>
      <c r="F10567" t="s">
        <v>22436</v>
      </c>
      <c r="G10567" t="s">
        <v>22444</v>
      </c>
      <c r="H10567" t="s">
        <v>22454</v>
      </c>
      <c r="I10567" t="s">
        <v>7738</v>
      </c>
      <c r="J10567" t="s">
        <v>23387</v>
      </c>
      <c r="K10567" t="s">
        <v>29338</v>
      </c>
      <c r="M10567" t="s">
        <v>32104</v>
      </c>
      <c r="N10567" t="s">
        <v>32524</v>
      </c>
      <c r="O10567" t="s">
        <v>32525</v>
      </c>
      <c r="P10567">
        <v>0</v>
      </c>
      <c r="Q10567">
        <v>1</v>
      </c>
      <c r="R10567" t="s">
        <v>32540</v>
      </c>
      <c r="S10567" t="s">
        <v>33102</v>
      </c>
      <c r="T10567" t="s">
        <v>33181</v>
      </c>
      <c r="U10567" t="s">
        <v>42279</v>
      </c>
      <c r="V10567" t="s">
        <v>43642</v>
      </c>
      <c r="W10567" t="s">
        <v>32104</v>
      </c>
      <c r="X10567" t="s">
        <v>43779</v>
      </c>
    </row>
    <row r="10568" spans="1:24">
      <c r="A10568">
        <f>HYPERLINK("https://www.philgeps.gov.ph/GEPSNONPILOT/Tender/SplashBidNoticeAbstractUI.aspx?menuIndex=3&amp;refID=7019542&amp;Result=3","7019542")</f>
        <v>0</v>
      </c>
      <c r="B10568" t="s">
        <v>2652</v>
      </c>
      <c r="C10568" t="s">
        <v>12814</v>
      </c>
      <c r="D10568" t="s">
        <v>12995</v>
      </c>
      <c r="E10568" t="s">
        <v>22281</v>
      </c>
      <c r="F10568" t="s">
        <v>22436</v>
      </c>
      <c r="G10568" t="s">
        <v>22444</v>
      </c>
      <c r="H10568" t="s">
        <v>22452</v>
      </c>
      <c r="I10568" t="s">
        <v>6421</v>
      </c>
      <c r="J10568" t="s">
        <v>29214</v>
      </c>
      <c r="K10568" t="s">
        <v>29341</v>
      </c>
      <c r="M10568" t="s">
        <v>32493</v>
      </c>
      <c r="N10568" t="s">
        <v>32524</v>
      </c>
      <c r="O10568" t="s">
        <v>32525</v>
      </c>
      <c r="P10568">
        <v>0</v>
      </c>
      <c r="Q10568">
        <v>9</v>
      </c>
      <c r="R10568" t="s">
        <v>32540</v>
      </c>
      <c r="S10568" t="s">
        <v>33102</v>
      </c>
      <c r="T10568" t="s">
        <v>33203</v>
      </c>
      <c r="U10568" t="s">
        <v>42280</v>
      </c>
      <c r="W10568" t="s">
        <v>32493</v>
      </c>
      <c r="X10568" t="s">
        <v>43779</v>
      </c>
    </row>
    <row r="10569" spans="1:24">
      <c r="A10569">
        <f>HYPERLINK("https://www.philgeps.gov.ph/GEPSNONPILOT/Tender/SplashBidNoticeAbstractUI.aspx?menuIndex=3&amp;refID=7019452&amp;Result=3","7019452")</f>
        <v>0</v>
      </c>
      <c r="B10569" t="s">
        <v>1381</v>
      </c>
      <c r="C10569" t="s">
        <v>12815</v>
      </c>
      <c r="D10569" t="s">
        <v>13035</v>
      </c>
      <c r="E10569" t="s">
        <v>22282</v>
      </c>
      <c r="F10569" t="s">
        <v>22436</v>
      </c>
      <c r="G10569" t="s">
        <v>22444</v>
      </c>
      <c r="H10569" t="s">
        <v>22454</v>
      </c>
      <c r="I10569" t="s">
        <v>7738</v>
      </c>
      <c r="J10569" t="s">
        <v>29215</v>
      </c>
      <c r="K10569" t="s">
        <v>29412</v>
      </c>
      <c r="M10569" t="s">
        <v>31460</v>
      </c>
      <c r="N10569" t="s">
        <v>32524</v>
      </c>
      <c r="O10569" t="s">
        <v>32525</v>
      </c>
      <c r="P10569">
        <v>0</v>
      </c>
      <c r="Q10569">
        <v>0</v>
      </c>
      <c r="R10569" t="s">
        <v>32540</v>
      </c>
      <c r="S10569" t="s">
        <v>33102</v>
      </c>
      <c r="T10569" t="s">
        <v>33332</v>
      </c>
      <c r="U10569" t="s">
        <v>42281</v>
      </c>
      <c r="V10569" t="s">
        <v>42994</v>
      </c>
      <c r="W10569" t="s">
        <v>31460</v>
      </c>
      <c r="X10569" t="s">
        <v>43779</v>
      </c>
    </row>
    <row r="10570" spans="1:24">
      <c r="A10570">
        <f>HYPERLINK("https://www.philgeps.gov.ph/GEPSNONPILOT/Tender/SplashBidNoticeAbstractUI.aspx?menuIndex=3&amp;refID=7019534&amp;Result=3","7019534")</f>
        <v>0</v>
      </c>
      <c r="B10570" t="s">
        <v>1381</v>
      </c>
      <c r="C10570" t="s">
        <v>12816</v>
      </c>
      <c r="D10570" t="s">
        <v>13035</v>
      </c>
      <c r="E10570" t="s">
        <v>22283</v>
      </c>
      <c r="F10570" t="s">
        <v>22436</v>
      </c>
      <c r="G10570" t="s">
        <v>22444</v>
      </c>
      <c r="H10570" t="s">
        <v>22454</v>
      </c>
      <c r="I10570" t="s">
        <v>7738</v>
      </c>
      <c r="J10570" t="s">
        <v>29216</v>
      </c>
      <c r="K10570" t="s">
        <v>29334</v>
      </c>
      <c r="M10570" t="s">
        <v>31460</v>
      </c>
      <c r="N10570" t="s">
        <v>32524</v>
      </c>
      <c r="O10570" t="s">
        <v>32525</v>
      </c>
      <c r="P10570">
        <v>0</v>
      </c>
      <c r="Q10570">
        <v>0</v>
      </c>
      <c r="R10570" t="s">
        <v>32540</v>
      </c>
      <c r="S10570" t="s">
        <v>33102</v>
      </c>
      <c r="T10570" t="s">
        <v>33332</v>
      </c>
      <c r="U10570" t="s">
        <v>42282</v>
      </c>
      <c r="V10570" t="s">
        <v>42994</v>
      </c>
      <c r="W10570" t="s">
        <v>31460</v>
      </c>
      <c r="X10570" t="s">
        <v>43779</v>
      </c>
    </row>
    <row r="10571" spans="1:24">
      <c r="A10571">
        <f>HYPERLINK("https://www.philgeps.gov.ph/GEPSNONPILOT/Tender/SplashBidNoticeAbstractUI.aspx?menuIndex=3&amp;refID=7019486&amp;Result=3","7019486")</f>
        <v>0</v>
      </c>
      <c r="B10571" t="s">
        <v>1381</v>
      </c>
      <c r="C10571" t="s">
        <v>12817</v>
      </c>
      <c r="D10571" t="s">
        <v>13035</v>
      </c>
      <c r="E10571" t="s">
        <v>22284</v>
      </c>
      <c r="F10571" t="s">
        <v>22436</v>
      </c>
      <c r="G10571" t="s">
        <v>22444</v>
      </c>
      <c r="H10571" t="s">
        <v>22454</v>
      </c>
      <c r="I10571" t="s">
        <v>7738</v>
      </c>
      <c r="J10571" t="s">
        <v>29217</v>
      </c>
      <c r="K10571" t="s">
        <v>29334</v>
      </c>
      <c r="M10571" t="s">
        <v>31460</v>
      </c>
      <c r="N10571" t="s">
        <v>32524</v>
      </c>
      <c r="O10571" t="s">
        <v>32525</v>
      </c>
      <c r="P10571">
        <v>0</v>
      </c>
      <c r="Q10571">
        <v>1</v>
      </c>
      <c r="R10571" t="s">
        <v>32540</v>
      </c>
      <c r="S10571" t="s">
        <v>33102</v>
      </c>
      <c r="T10571" t="s">
        <v>33332</v>
      </c>
      <c r="U10571" t="s">
        <v>42283</v>
      </c>
      <c r="V10571" t="s">
        <v>42994</v>
      </c>
      <c r="W10571" t="s">
        <v>31460</v>
      </c>
      <c r="X10571" t="s">
        <v>43779</v>
      </c>
    </row>
    <row r="10572" spans="1:24">
      <c r="A10572">
        <f>HYPERLINK("https://www.philgeps.gov.ph/GEPSNONPILOT/Tender/SplashBidNoticeAbstractUI.aspx?menuIndex=3&amp;refID=7019540&amp;Result=3","7019540")</f>
        <v>0</v>
      </c>
      <c r="B10572" t="s">
        <v>1381</v>
      </c>
      <c r="C10572" t="s">
        <v>12818</v>
      </c>
      <c r="D10572" t="s">
        <v>13035</v>
      </c>
      <c r="E10572" t="s">
        <v>22285</v>
      </c>
      <c r="F10572" t="s">
        <v>22436</v>
      </c>
      <c r="G10572" t="s">
        <v>22444</v>
      </c>
      <c r="H10572" t="s">
        <v>22454</v>
      </c>
      <c r="I10572" t="s">
        <v>7738</v>
      </c>
      <c r="J10572" t="s">
        <v>29218</v>
      </c>
      <c r="K10572" t="s">
        <v>29334</v>
      </c>
      <c r="M10572" t="s">
        <v>31460</v>
      </c>
      <c r="N10572" t="s">
        <v>32524</v>
      </c>
      <c r="O10572" t="s">
        <v>32525</v>
      </c>
      <c r="P10572">
        <v>0</v>
      </c>
      <c r="Q10572">
        <v>0</v>
      </c>
      <c r="R10572" t="s">
        <v>32540</v>
      </c>
      <c r="S10572" t="s">
        <v>33102</v>
      </c>
      <c r="T10572" t="s">
        <v>33332</v>
      </c>
      <c r="U10572" t="s">
        <v>42284</v>
      </c>
      <c r="V10572" t="s">
        <v>42994</v>
      </c>
      <c r="W10572" t="s">
        <v>31460</v>
      </c>
      <c r="X10572" t="s">
        <v>43779</v>
      </c>
    </row>
    <row r="10573" spans="1:24">
      <c r="A10573">
        <f>HYPERLINK("https://www.philgeps.gov.ph/GEPSNONPILOT/Tender/SplashBidNoticeAbstractUI.aspx?menuIndex=3&amp;refID=7019412&amp;Result=3","7019412")</f>
        <v>0</v>
      </c>
      <c r="B10573" t="s">
        <v>82</v>
      </c>
      <c r="C10573" t="s">
        <v>12819</v>
      </c>
      <c r="D10573" t="s">
        <v>13024</v>
      </c>
      <c r="E10573" t="s">
        <v>22286</v>
      </c>
      <c r="F10573" t="s">
        <v>22436</v>
      </c>
      <c r="G10573" t="s">
        <v>22444</v>
      </c>
      <c r="H10573" t="s">
        <v>22452</v>
      </c>
      <c r="I10573" t="s">
        <v>22537</v>
      </c>
      <c r="J10573" t="s">
        <v>29219</v>
      </c>
      <c r="K10573" t="s">
        <v>29335</v>
      </c>
      <c r="M10573" t="s">
        <v>29654</v>
      </c>
      <c r="N10573" t="s">
        <v>32524</v>
      </c>
      <c r="O10573" t="s">
        <v>32525</v>
      </c>
      <c r="P10573">
        <v>0</v>
      </c>
      <c r="Q10573">
        <v>6</v>
      </c>
      <c r="R10573" t="s">
        <v>32540</v>
      </c>
      <c r="S10573" t="s">
        <v>33102</v>
      </c>
      <c r="T10573" t="s">
        <v>33593</v>
      </c>
      <c r="U10573" t="s">
        <v>33741</v>
      </c>
      <c r="V10573" t="s">
        <v>43643</v>
      </c>
      <c r="W10573" t="s">
        <v>29654</v>
      </c>
      <c r="X10573" t="s">
        <v>43779</v>
      </c>
    </row>
    <row r="10574" spans="1:24">
      <c r="A10574">
        <f>HYPERLINK("https://www.philgeps.gov.ph/GEPSNONPILOT/Tender/SplashBidNoticeAbstractUI.aspx?menuIndex=3&amp;refID=7019524&amp;Result=3","7019524")</f>
        <v>0</v>
      </c>
      <c r="B10574" t="s">
        <v>1381</v>
      </c>
      <c r="C10574" t="s">
        <v>12820</v>
      </c>
      <c r="D10574" t="s">
        <v>13035</v>
      </c>
      <c r="E10574" t="s">
        <v>22287</v>
      </c>
      <c r="F10574" t="s">
        <v>22436</v>
      </c>
      <c r="G10574" t="s">
        <v>22444</v>
      </c>
      <c r="H10574" t="s">
        <v>22454</v>
      </c>
      <c r="I10574" t="s">
        <v>7738</v>
      </c>
      <c r="J10574" t="s">
        <v>29220</v>
      </c>
      <c r="K10574" t="s">
        <v>29334</v>
      </c>
      <c r="M10574" t="s">
        <v>31460</v>
      </c>
      <c r="N10574" t="s">
        <v>32524</v>
      </c>
      <c r="O10574" t="s">
        <v>32525</v>
      </c>
      <c r="P10574">
        <v>0</v>
      </c>
      <c r="Q10574">
        <v>0</v>
      </c>
      <c r="R10574" t="s">
        <v>32540</v>
      </c>
      <c r="S10574" t="s">
        <v>33102</v>
      </c>
      <c r="T10574" t="s">
        <v>33332</v>
      </c>
      <c r="U10574" t="s">
        <v>42285</v>
      </c>
      <c r="V10574" t="s">
        <v>42994</v>
      </c>
      <c r="W10574" t="s">
        <v>31460</v>
      </c>
      <c r="X10574" t="s">
        <v>43779</v>
      </c>
    </row>
    <row r="10575" spans="1:24">
      <c r="A10575">
        <f>HYPERLINK("https://www.philgeps.gov.ph/GEPSNONPILOT/Tender/SplashBidNoticeAbstractUI.aspx?menuIndex=3&amp;refID=7019507&amp;Result=3","7019507")</f>
        <v>0</v>
      </c>
      <c r="B10575" t="s">
        <v>1381</v>
      </c>
      <c r="C10575" t="s">
        <v>12821</v>
      </c>
      <c r="D10575" t="s">
        <v>13035</v>
      </c>
      <c r="E10575" t="s">
        <v>22288</v>
      </c>
      <c r="F10575" t="s">
        <v>22436</v>
      </c>
      <c r="G10575" t="s">
        <v>22444</v>
      </c>
      <c r="H10575" t="s">
        <v>22454</v>
      </c>
      <c r="I10575" t="s">
        <v>7738</v>
      </c>
      <c r="J10575" t="s">
        <v>29221</v>
      </c>
      <c r="K10575" t="s">
        <v>29334</v>
      </c>
      <c r="M10575" t="s">
        <v>31460</v>
      </c>
      <c r="N10575" t="s">
        <v>32524</v>
      </c>
      <c r="O10575" t="s">
        <v>32525</v>
      </c>
      <c r="P10575">
        <v>0</v>
      </c>
      <c r="Q10575">
        <v>0</v>
      </c>
      <c r="R10575" t="s">
        <v>32540</v>
      </c>
      <c r="S10575" t="s">
        <v>33102</v>
      </c>
      <c r="T10575" t="s">
        <v>33332</v>
      </c>
      <c r="U10575" t="s">
        <v>42286</v>
      </c>
      <c r="V10575" t="s">
        <v>42994</v>
      </c>
      <c r="W10575" t="s">
        <v>31460</v>
      </c>
      <c r="X10575" t="s">
        <v>43779</v>
      </c>
    </row>
    <row r="10576" spans="1:24">
      <c r="A10576">
        <f>HYPERLINK("https://www.philgeps.gov.ph/GEPSNONPILOT/Tender/SplashBidNoticeAbstractUI.aspx?menuIndex=3&amp;refID=7019553&amp;Result=3","7019553")</f>
        <v>0</v>
      </c>
      <c r="B10576" t="s">
        <v>1381</v>
      </c>
      <c r="C10576" t="s">
        <v>12822</v>
      </c>
      <c r="D10576" t="s">
        <v>13035</v>
      </c>
      <c r="E10576" t="s">
        <v>22289</v>
      </c>
      <c r="F10576" t="s">
        <v>22436</v>
      </c>
      <c r="G10576" t="s">
        <v>22444</v>
      </c>
      <c r="H10576" t="s">
        <v>22454</v>
      </c>
      <c r="I10576" t="s">
        <v>7738</v>
      </c>
      <c r="J10576" t="s">
        <v>29222</v>
      </c>
      <c r="K10576" t="s">
        <v>29343</v>
      </c>
      <c r="M10576" t="s">
        <v>31460</v>
      </c>
      <c r="N10576" t="s">
        <v>32524</v>
      </c>
      <c r="O10576" t="s">
        <v>32525</v>
      </c>
      <c r="P10576">
        <v>0</v>
      </c>
      <c r="Q10576">
        <v>0</v>
      </c>
      <c r="R10576" t="s">
        <v>32540</v>
      </c>
      <c r="S10576" t="s">
        <v>33102</v>
      </c>
      <c r="T10576" t="s">
        <v>33332</v>
      </c>
      <c r="U10576" t="s">
        <v>42287</v>
      </c>
      <c r="V10576" t="s">
        <v>42994</v>
      </c>
      <c r="W10576" t="s">
        <v>31460</v>
      </c>
      <c r="X10576" t="s">
        <v>43779</v>
      </c>
    </row>
    <row r="10577" spans="1:24">
      <c r="A10577">
        <f>HYPERLINK("https://www.philgeps.gov.ph/GEPSNONPILOT/Tender/SplashBidNoticeAbstractUI.aspx?menuIndex=3&amp;refID=7019427&amp;Result=3","7019427")</f>
        <v>0</v>
      </c>
      <c r="B10577" t="s">
        <v>1453</v>
      </c>
      <c r="C10577" t="s">
        <v>12823</v>
      </c>
      <c r="D10577" t="s">
        <v>13025</v>
      </c>
      <c r="E10577" t="s">
        <v>22290</v>
      </c>
      <c r="F10577" t="s">
        <v>22436</v>
      </c>
      <c r="G10577" t="s">
        <v>22444</v>
      </c>
      <c r="H10577" t="s">
        <v>22452</v>
      </c>
      <c r="I10577" t="s">
        <v>22463</v>
      </c>
      <c r="J10577" t="s">
        <v>29223</v>
      </c>
      <c r="K10577" t="s">
        <v>29341</v>
      </c>
      <c r="M10577" t="s">
        <v>31117</v>
      </c>
      <c r="N10577" t="s">
        <v>32524</v>
      </c>
      <c r="O10577" t="s">
        <v>32525</v>
      </c>
      <c r="P10577">
        <v>0</v>
      </c>
      <c r="Q10577">
        <v>7</v>
      </c>
      <c r="R10577" t="s">
        <v>32540</v>
      </c>
      <c r="S10577" t="s">
        <v>33102</v>
      </c>
      <c r="T10577" t="s">
        <v>33181</v>
      </c>
      <c r="U10577" t="s">
        <v>42288</v>
      </c>
      <c r="W10577" t="s">
        <v>31117</v>
      </c>
      <c r="X10577" t="s">
        <v>43779</v>
      </c>
    </row>
    <row r="10578" spans="1:24">
      <c r="A10578">
        <f>HYPERLINK("https://www.philgeps.gov.ph/GEPSNONPILOT/Tender/SplashBidNoticeAbstractUI.aspx?menuIndex=3&amp;refID=7019622&amp;Result=3","7019622")</f>
        <v>0</v>
      </c>
      <c r="B10578" t="s">
        <v>2492</v>
      </c>
      <c r="C10578" t="s">
        <v>12824</v>
      </c>
      <c r="D10578" t="s">
        <v>13016</v>
      </c>
      <c r="E10578" t="s">
        <v>22291</v>
      </c>
      <c r="F10578" t="s">
        <v>22436</v>
      </c>
      <c r="G10578" t="s">
        <v>22444</v>
      </c>
      <c r="H10578" t="s">
        <v>22452</v>
      </c>
      <c r="I10578" t="s">
        <v>22474</v>
      </c>
      <c r="J10578" t="s">
        <v>22624</v>
      </c>
      <c r="K10578" t="s">
        <v>29335</v>
      </c>
      <c r="M10578" t="s">
        <v>32298</v>
      </c>
      <c r="N10578" t="s">
        <v>32524</v>
      </c>
      <c r="O10578" t="s">
        <v>32525</v>
      </c>
      <c r="P10578">
        <v>0</v>
      </c>
      <c r="Q10578">
        <v>6</v>
      </c>
      <c r="R10578" t="s">
        <v>32540</v>
      </c>
      <c r="S10578" t="s">
        <v>33102</v>
      </c>
      <c r="T10578" t="s">
        <v>33435</v>
      </c>
      <c r="U10578" t="s">
        <v>42289</v>
      </c>
      <c r="V10578" t="s">
        <v>43644</v>
      </c>
      <c r="W10578" t="s">
        <v>43761</v>
      </c>
      <c r="X10578" t="s">
        <v>43779</v>
      </c>
    </row>
    <row r="10579" spans="1:24">
      <c r="A10579">
        <f>HYPERLINK("https://www.philgeps.gov.ph/GEPSNONPILOT/Tender/SplashBidNoticeAbstractUI.aspx?menuIndex=3&amp;refID=7019547&amp;Result=3","7019547")</f>
        <v>0</v>
      </c>
      <c r="B10579" t="s">
        <v>1381</v>
      </c>
      <c r="C10579" t="s">
        <v>12825</v>
      </c>
      <c r="D10579" t="s">
        <v>13035</v>
      </c>
      <c r="E10579" t="s">
        <v>22292</v>
      </c>
      <c r="F10579" t="s">
        <v>22436</v>
      </c>
      <c r="G10579" t="s">
        <v>22444</v>
      </c>
      <c r="H10579" t="s">
        <v>22454</v>
      </c>
      <c r="I10579" t="s">
        <v>7738</v>
      </c>
      <c r="J10579" t="s">
        <v>29224</v>
      </c>
      <c r="K10579" t="s">
        <v>29334</v>
      </c>
      <c r="M10579" t="s">
        <v>31460</v>
      </c>
      <c r="N10579" t="s">
        <v>32524</v>
      </c>
      <c r="O10579" t="s">
        <v>32525</v>
      </c>
      <c r="P10579">
        <v>0</v>
      </c>
      <c r="Q10579">
        <v>0</v>
      </c>
      <c r="R10579" t="s">
        <v>32540</v>
      </c>
      <c r="S10579" t="s">
        <v>33102</v>
      </c>
      <c r="T10579" t="s">
        <v>33332</v>
      </c>
      <c r="U10579" t="s">
        <v>42290</v>
      </c>
      <c r="V10579" t="s">
        <v>42994</v>
      </c>
      <c r="W10579" t="s">
        <v>31460</v>
      </c>
      <c r="X10579" t="s">
        <v>43779</v>
      </c>
    </row>
    <row r="10580" spans="1:24">
      <c r="A10580">
        <f>HYPERLINK("https://www.philgeps.gov.ph/GEPSNONPILOT/Tender/SplashBidNoticeAbstractUI.aspx?menuIndex=3&amp;refID=7019613&amp;Result=3","7019613")</f>
        <v>0</v>
      </c>
      <c r="B10580" t="s">
        <v>665</v>
      </c>
      <c r="C10580" t="s">
        <v>12826</v>
      </c>
      <c r="D10580" t="s">
        <v>13038</v>
      </c>
      <c r="E10580" t="s">
        <v>22293</v>
      </c>
      <c r="F10580" t="s">
        <v>22436</v>
      </c>
      <c r="G10580" t="s">
        <v>22444</v>
      </c>
      <c r="H10580" t="s">
        <v>22452</v>
      </c>
      <c r="I10580" t="s">
        <v>5194</v>
      </c>
      <c r="J10580" t="s">
        <v>29225</v>
      </c>
      <c r="K10580" t="s">
        <v>29337</v>
      </c>
      <c r="M10580" t="s">
        <v>30257</v>
      </c>
      <c r="N10580" t="s">
        <v>32524</v>
      </c>
      <c r="O10580" t="s">
        <v>32525</v>
      </c>
      <c r="Q10580">
        <v>6</v>
      </c>
      <c r="R10580" t="s">
        <v>32540</v>
      </c>
      <c r="S10580" t="s">
        <v>33131</v>
      </c>
      <c r="T10580" t="s">
        <v>33230</v>
      </c>
      <c r="U10580" t="s">
        <v>42291</v>
      </c>
      <c r="W10580" t="s">
        <v>30257</v>
      </c>
      <c r="X10580" t="s">
        <v>43779</v>
      </c>
    </row>
    <row r="10581" spans="1:24">
      <c r="A10581">
        <f>HYPERLINK("https://www.philgeps.gov.ph/GEPSNONPILOT/Tender/SplashBidNoticeAbstractUI.aspx?menuIndex=3&amp;refID=7019589&amp;Result=3","7019589")</f>
        <v>0</v>
      </c>
      <c r="B10581" t="s">
        <v>1709</v>
      </c>
      <c r="C10581" t="s">
        <v>12827</v>
      </c>
      <c r="D10581" t="s">
        <v>13003</v>
      </c>
      <c r="E10581" t="s">
        <v>22294</v>
      </c>
      <c r="F10581" t="s">
        <v>22436</v>
      </c>
      <c r="G10581" t="s">
        <v>22444</v>
      </c>
      <c r="H10581" t="s">
        <v>22452</v>
      </c>
      <c r="I10581" t="s">
        <v>22474</v>
      </c>
      <c r="J10581" t="s">
        <v>25556</v>
      </c>
      <c r="K10581" t="s">
        <v>29386</v>
      </c>
      <c r="M10581" t="s">
        <v>31412</v>
      </c>
      <c r="N10581" t="s">
        <v>32524</v>
      </c>
      <c r="O10581" t="s">
        <v>32525</v>
      </c>
      <c r="P10581">
        <v>0</v>
      </c>
      <c r="Q10581">
        <v>7</v>
      </c>
      <c r="R10581" t="s">
        <v>32540</v>
      </c>
      <c r="S10581" t="s">
        <v>33102</v>
      </c>
      <c r="T10581" t="s">
        <v>33203</v>
      </c>
      <c r="U10581" t="s">
        <v>42213</v>
      </c>
      <c r="V10581" t="s">
        <v>43645</v>
      </c>
      <c r="W10581" t="s">
        <v>31412</v>
      </c>
      <c r="X10581" t="s">
        <v>43779</v>
      </c>
    </row>
    <row r="10582" spans="1:24">
      <c r="A10582">
        <f>HYPERLINK("https://www.philgeps.gov.ph/GEPSNONPILOT/Tender/SplashBidNoticeAbstractUI.aspx?menuIndex=3&amp;refID=7019574&amp;Result=3","7019574")</f>
        <v>0</v>
      </c>
      <c r="B10582" t="s">
        <v>1381</v>
      </c>
      <c r="C10582" t="s">
        <v>12828</v>
      </c>
      <c r="D10582" t="s">
        <v>13035</v>
      </c>
      <c r="E10582" t="s">
        <v>22295</v>
      </c>
      <c r="F10582" t="s">
        <v>22436</v>
      </c>
      <c r="G10582" t="s">
        <v>22444</v>
      </c>
      <c r="H10582" t="s">
        <v>22454</v>
      </c>
      <c r="I10582" t="s">
        <v>7738</v>
      </c>
      <c r="J10582" t="s">
        <v>29226</v>
      </c>
      <c r="K10582" t="s">
        <v>29440</v>
      </c>
      <c r="M10582" t="s">
        <v>31460</v>
      </c>
      <c r="N10582" t="s">
        <v>32524</v>
      </c>
      <c r="O10582" t="s">
        <v>32525</v>
      </c>
      <c r="P10582">
        <v>0</v>
      </c>
      <c r="Q10582">
        <v>0</v>
      </c>
      <c r="R10582" t="s">
        <v>32540</v>
      </c>
      <c r="S10582" t="s">
        <v>33102</v>
      </c>
      <c r="T10582" t="s">
        <v>33332</v>
      </c>
      <c r="U10582" t="s">
        <v>42292</v>
      </c>
      <c r="V10582" t="s">
        <v>42994</v>
      </c>
      <c r="W10582" t="s">
        <v>31460</v>
      </c>
      <c r="X10582" t="s">
        <v>43779</v>
      </c>
    </row>
    <row r="10583" spans="1:24">
      <c r="A10583">
        <f>HYPERLINK("https://www.philgeps.gov.ph/GEPSNONPILOT/Tender/SplashBidNoticeAbstractUI.aspx?menuIndex=3&amp;refID=7019618&amp;Result=3","7019618")</f>
        <v>0</v>
      </c>
      <c r="B10583" t="s">
        <v>353</v>
      </c>
      <c r="C10583" t="s">
        <v>12829</v>
      </c>
      <c r="D10583" t="s">
        <v>13034</v>
      </c>
      <c r="E10583" t="s">
        <v>22296</v>
      </c>
      <c r="F10583" t="s">
        <v>22436</v>
      </c>
      <c r="G10583" t="s">
        <v>22444</v>
      </c>
      <c r="H10583" t="s">
        <v>22454</v>
      </c>
      <c r="I10583" t="s">
        <v>7738</v>
      </c>
      <c r="J10583" t="s">
        <v>29227</v>
      </c>
      <c r="K10583" t="s">
        <v>29333</v>
      </c>
      <c r="M10583" t="s">
        <v>29930</v>
      </c>
      <c r="N10583" t="s">
        <v>32524</v>
      </c>
      <c r="O10583" t="s">
        <v>32525</v>
      </c>
      <c r="P10583">
        <v>0</v>
      </c>
      <c r="Q10583">
        <v>0</v>
      </c>
      <c r="R10583" t="s">
        <v>32540</v>
      </c>
      <c r="S10583" t="s">
        <v>33102</v>
      </c>
      <c r="T10583" t="s">
        <v>33230</v>
      </c>
      <c r="U10583" t="s">
        <v>42293</v>
      </c>
      <c r="W10583" t="s">
        <v>29930</v>
      </c>
      <c r="X10583" t="s">
        <v>43779</v>
      </c>
    </row>
    <row r="10584" spans="1:24">
      <c r="A10584">
        <f>HYPERLINK("https://www.philgeps.gov.ph/GEPSNONPILOT/Tender/SplashBidNoticeAbstractUI.aspx?menuIndex=3&amp;refID=7019579&amp;Result=3","7019579")</f>
        <v>0</v>
      </c>
      <c r="B10584" t="s">
        <v>1709</v>
      </c>
      <c r="C10584" t="s">
        <v>12830</v>
      </c>
      <c r="D10584" t="s">
        <v>13003</v>
      </c>
      <c r="E10584" t="s">
        <v>22297</v>
      </c>
      <c r="F10584" t="s">
        <v>22436</v>
      </c>
      <c r="G10584" t="s">
        <v>22444</v>
      </c>
      <c r="H10584" t="s">
        <v>22452</v>
      </c>
      <c r="I10584" t="s">
        <v>22474</v>
      </c>
      <c r="J10584" t="s">
        <v>23278</v>
      </c>
      <c r="K10584" t="s">
        <v>29386</v>
      </c>
      <c r="M10584" t="s">
        <v>31412</v>
      </c>
      <c r="N10584" t="s">
        <v>32524</v>
      </c>
      <c r="O10584" t="s">
        <v>32525</v>
      </c>
      <c r="P10584">
        <v>0</v>
      </c>
      <c r="Q10584">
        <v>7</v>
      </c>
      <c r="R10584" t="s">
        <v>32540</v>
      </c>
      <c r="S10584" t="s">
        <v>33102</v>
      </c>
      <c r="T10584" t="s">
        <v>33203</v>
      </c>
      <c r="U10584" t="s">
        <v>42213</v>
      </c>
      <c r="V10584" t="s">
        <v>43632</v>
      </c>
      <c r="W10584" t="s">
        <v>31412</v>
      </c>
      <c r="X10584" t="s">
        <v>43779</v>
      </c>
    </row>
    <row r="10585" spans="1:24">
      <c r="A10585">
        <f>HYPERLINK("https://www.philgeps.gov.ph/GEPSNONPILOT/Tender/SplashBidNoticeAbstractUI.aspx?menuIndex=3&amp;refID=7019571&amp;Result=3","7019571")</f>
        <v>0</v>
      </c>
      <c r="B10585" t="s">
        <v>1381</v>
      </c>
      <c r="C10585" t="s">
        <v>12831</v>
      </c>
      <c r="D10585" t="s">
        <v>13035</v>
      </c>
      <c r="E10585" t="s">
        <v>22298</v>
      </c>
      <c r="F10585" t="s">
        <v>22436</v>
      </c>
      <c r="G10585" t="s">
        <v>22444</v>
      </c>
      <c r="H10585" t="s">
        <v>22454</v>
      </c>
      <c r="I10585" t="s">
        <v>7738</v>
      </c>
      <c r="J10585" t="s">
        <v>29228</v>
      </c>
      <c r="K10585" t="s">
        <v>29533</v>
      </c>
      <c r="M10585" t="s">
        <v>31460</v>
      </c>
      <c r="N10585" t="s">
        <v>32524</v>
      </c>
      <c r="O10585" t="s">
        <v>32525</v>
      </c>
      <c r="P10585">
        <v>0</v>
      </c>
      <c r="Q10585">
        <v>0</v>
      </c>
      <c r="R10585" t="s">
        <v>32540</v>
      </c>
      <c r="S10585" t="s">
        <v>33102</v>
      </c>
      <c r="T10585" t="s">
        <v>33332</v>
      </c>
      <c r="U10585" t="s">
        <v>42294</v>
      </c>
      <c r="V10585" t="s">
        <v>42994</v>
      </c>
      <c r="W10585" t="s">
        <v>31460</v>
      </c>
      <c r="X10585" t="s">
        <v>43779</v>
      </c>
    </row>
    <row r="10586" spans="1:24">
      <c r="A10586">
        <f>HYPERLINK("https://www.philgeps.gov.ph/GEPSNONPILOT/Tender/SplashBidNoticeAbstractUI.aspx?menuIndex=3&amp;refID=7019563&amp;Result=3","7019563")</f>
        <v>0</v>
      </c>
      <c r="B10586" t="s">
        <v>1381</v>
      </c>
      <c r="C10586" t="s">
        <v>12832</v>
      </c>
      <c r="D10586" t="s">
        <v>13035</v>
      </c>
      <c r="E10586" t="s">
        <v>22299</v>
      </c>
      <c r="F10586" t="s">
        <v>22436</v>
      </c>
      <c r="G10586" t="s">
        <v>22444</v>
      </c>
      <c r="H10586" t="s">
        <v>22454</v>
      </c>
      <c r="I10586" t="s">
        <v>7738</v>
      </c>
      <c r="J10586" t="s">
        <v>29229</v>
      </c>
      <c r="K10586" t="s">
        <v>29533</v>
      </c>
      <c r="M10586" t="s">
        <v>31460</v>
      </c>
      <c r="N10586" t="s">
        <v>32524</v>
      </c>
      <c r="O10586" t="s">
        <v>32525</v>
      </c>
      <c r="P10586">
        <v>0</v>
      </c>
      <c r="Q10586">
        <v>0</v>
      </c>
      <c r="R10586" t="s">
        <v>32540</v>
      </c>
      <c r="S10586" t="s">
        <v>33102</v>
      </c>
      <c r="T10586" t="s">
        <v>33332</v>
      </c>
      <c r="U10586" t="s">
        <v>42295</v>
      </c>
      <c r="V10586" t="s">
        <v>42994</v>
      </c>
      <c r="W10586" t="s">
        <v>31460</v>
      </c>
      <c r="X10586" t="s">
        <v>43779</v>
      </c>
    </row>
    <row r="10587" spans="1:24">
      <c r="A10587">
        <f>HYPERLINK("https://www.philgeps.gov.ph/GEPSNONPILOT/Tender/SplashBidNoticeAbstractUI.aspx?menuIndex=3&amp;refID=7019585&amp;Result=3","7019585")</f>
        <v>0</v>
      </c>
      <c r="B10587" t="s">
        <v>1381</v>
      </c>
      <c r="C10587" t="s">
        <v>12833</v>
      </c>
      <c r="D10587" t="s">
        <v>13035</v>
      </c>
      <c r="E10587" t="s">
        <v>22300</v>
      </c>
      <c r="F10587" t="s">
        <v>22436</v>
      </c>
      <c r="G10587" t="s">
        <v>22444</v>
      </c>
      <c r="H10587" t="s">
        <v>22454</v>
      </c>
      <c r="I10587" t="s">
        <v>7738</v>
      </c>
      <c r="J10587" t="s">
        <v>29230</v>
      </c>
      <c r="K10587" t="s">
        <v>29566</v>
      </c>
      <c r="M10587" t="s">
        <v>31460</v>
      </c>
      <c r="N10587" t="s">
        <v>32524</v>
      </c>
      <c r="O10587" t="s">
        <v>32525</v>
      </c>
      <c r="P10587">
        <v>0</v>
      </c>
      <c r="Q10587">
        <v>0</v>
      </c>
      <c r="R10587" t="s">
        <v>32540</v>
      </c>
      <c r="S10587" t="s">
        <v>33102</v>
      </c>
      <c r="T10587" t="s">
        <v>33332</v>
      </c>
      <c r="U10587" t="s">
        <v>42296</v>
      </c>
      <c r="V10587" t="s">
        <v>42994</v>
      </c>
      <c r="W10587" t="s">
        <v>31460</v>
      </c>
      <c r="X10587" t="s">
        <v>43779</v>
      </c>
    </row>
    <row r="10588" spans="1:24">
      <c r="A10588">
        <f>HYPERLINK("https://www.philgeps.gov.ph/GEPSNONPILOT/Tender/SplashBidNoticeAbstractUI.aspx?menuIndex=3&amp;refID=7019595&amp;Result=3","7019595")</f>
        <v>0</v>
      </c>
      <c r="B10588" t="s">
        <v>1381</v>
      </c>
      <c r="C10588" t="s">
        <v>12834</v>
      </c>
      <c r="D10588" t="s">
        <v>13035</v>
      </c>
      <c r="E10588" t="s">
        <v>22301</v>
      </c>
      <c r="F10588" t="s">
        <v>22436</v>
      </c>
      <c r="G10588" t="s">
        <v>22444</v>
      </c>
      <c r="H10588" t="s">
        <v>22454</v>
      </c>
      <c r="I10588" t="s">
        <v>7738</v>
      </c>
      <c r="J10588" t="s">
        <v>29231</v>
      </c>
      <c r="K10588" t="s">
        <v>29566</v>
      </c>
      <c r="M10588" t="s">
        <v>31460</v>
      </c>
      <c r="N10588" t="s">
        <v>32524</v>
      </c>
      <c r="O10588" t="s">
        <v>32525</v>
      </c>
      <c r="P10588">
        <v>0</v>
      </c>
      <c r="Q10588">
        <v>0</v>
      </c>
      <c r="R10588" t="s">
        <v>32540</v>
      </c>
      <c r="S10588" t="s">
        <v>33102</v>
      </c>
      <c r="T10588" t="s">
        <v>33332</v>
      </c>
      <c r="U10588" t="s">
        <v>42297</v>
      </c>
      <c r="V10588" t="s">
        <v>42994</v>
      </c>
      <c r="W10588" t="s">
        <v>31460</v>
      </c>
      <c r="X10588" t="s">
        <v>43779</v>
      </c>
    </row>
    <row r="10589" spans="1:24">
      <c r="A10589">
        <f>HYPERLINK("https://www.philgeps.gov.ph/GEPSNONPILOT/Tender/SplashBidNoticeAbstractUI.aspx?menuIndex=3&amp;refID=7019591&amp;Result=3","7019591")</f>
        <v>0</v>
      </c>
      <c r="B10589" t="s">
        <v>1381</v>
      </c>
      <c r="C10589" t="s">
        <v>12835</v>
      </c>
      <c r="D10589" t="s">
        <v>13035</v>
      </c>
      <c r="E10589" t="s">
        <v>22302</v>
      </c>
      <c r="F10589" t="s">
        <v>22436</v>
      </c>
      <c r="G10589" t="s">
        <v>22444</v>
      </c>
      <c r="H10589" t="s">
        <v>22454</v>
      </c>
      <c r="I10589" t="s">
        <v>7738</v>
      </c>
      <c r="J10589" t="s">
        <v>29232</v>
      </c>
      <c r="K10589" t="s">
        <v>29477</v>
      </c>
      <c r="M10589" t="s">
        <v>31460</v>
      </c>
      <c r="N10589" t="s">
        <v>32524</v>
      </c>
      <c r="O10589" t="s">
        <v>32525</v>
      </c>
      <c r="P10589">
        <v>0</v>
      </c>
      <c r="Q10589">
        <v>0</v>
      </c>
      <c r="R10589" t="s">
        <v>32540</v>
      </c>
      <c r="S10589" t="s">
        <v>33102</v>
      </c>
      <c r="T10589" t="s">
        <v>33332</v>
      </c>
      <c r="U10589" t="s">
        <v>42295</v>
      </c>
      <c r="V10589" t="s">
        <v>42994</v>
      </c>
      <c r="W10589" t="s">
        <v>31460</v>
      </c>
      <c r="X10589" t="s">
        <v>43779</v>
      </c>
    </row>
    <row r="10590" spans="1:24">
      <c r="A10590">
        <f>HYPERLINK("https://www.philgeps.gov.ph/GEPSNONPILOT/Tender/SplashBidNoticeAbstractUI.aspx?menuIndex=3&amp;refID=7019557&amp;Result=3","7019557")</f>
        <v>0</v>
      </c>
      <c r="B10590" t="s">
        <v>2652</v>
      </c>
      <c r="C10590" t="s">
        <v>12836</v>
      </c>
      <c r="D10590" t="s">
        <v>12995</v>
      </c>
      <c r="E10590" t="s">
        <v>22303</v>
      </c>
      <c r="F10590" t="s">
        <v>22436</v>
      </c>
      <c r="G10590" t="s">
        <v>22444</v>
      </c>
      <c r="H10590" t="s">
        <v>22452</v>
      </c>
      <c r="I10590" t="s">
        <v>22502</v>
      </c>
      <c r="J10590" t="s">
        <v>29233</v>
      </c>
      <c r="K10590" t="s">
        <v>29353</v>
      </c>
      <c r="M10590" t="s">
        <v>32493</v>
      </c>
      <c r="N10590" t="s">
        <v>32524</v>
      </c>
      <c r="O10590" t="s">
        <v>32525</v>
      </c>
      <c r="P10590">
        <v>0</v>
      </c>
      <c r="Q10590">
        <v>21</v>
      </c>
      <c r="R10590" t="s">
        <v>32540</v>
      </c>
      <c r="S10590" t="s">
        <v>33102</v>
      </c>
      <c r="T10590" t="s">
        <v>33203</v>
      </c>
      <c r="U10590" t="s">
        <v>42280</v>
      </c>
      <c r="W10590" t="s">
        <v>32493</v>
      </c>
      <c r="X10590" t="s">
        <v>43779</v>
      </c>
    </row>
    <row r="10591" spans="1:24">
      <c r="A10591">
        <f>HYPERLINK("https://www.philgeps.gov.ph/GEPSNONPILOT/Tender/SplashBidNoticeAbstractUI.aspx?menuIndex=3&amp;refID=7019562&amp;Result=3","7019562")</f>
        <v>0</v>
      </c>
      <c r="B10591" t="s">
        <v>1709</v>
      </c>
      <c r="C10591" t="s">
        <v>12837</v>
      </c>
      <c r="D10591" t="s">
        <v>13003</v>
      </c>
      <c r="E10591" t="s">
        <v>22304</v>
      </c>
      <c r="F10591" t="s">
        <v>22436</v>
      </c>
      <c r="G10591" t="s">
        <v>22444</v>
      </c>
      <c r="H10591" t="s">
        <v>22452</v>
      </c>
      <c r="I10591" t="s">
        <v>22474</v>
      </c>
      <c r="J10591" t="s">
        <v>22970</v>
      </c>
      <c r="K10591" t="s">
        <v>29386</v>
      </c>
      <c r="M10591" t="s">
        <v>31412</v>
      </c>
      <c r="N10591" t="s">
        <v>32524</v>
      </c>
      <c r="O10591" t="s">
        <v>32525</v>
      </c>
      <c r="P10591">
        <v>0</v>
      </c>
      <c r="Q10591">
        <v>6</v>
      </c>
      <c r="R10591" t="s">
        <v>32540</v>
      </c>
      <c r="S10591" t="s">
        <v>33102</v>
      </c>
      <c r="T10591" t="s">
        <v>33203</v>
      </c>
      <c r="U10591" t="s">
        <v>42213</v>
      </c>
      <c r="V10591" t="s">
        <v>43632</v>
      </c>
      <c r="W10591" t="s">
        <v>31412</v>
      </c>
      <c r="X10591" t="s">
        <v>43779</v>
      </c>
    </row>
    <row r="10592" spans="1:24">
      <c r="A10592">
        <f>HYPERLINK("https://www.philgeps.gov.ph/GEPSNONPILOT/Tender/SplashBidNoticeAbstractUI.aspx?menuIndex=3&amp;refID=7019641&amp;Result=3","7019641")</f>
        <v>0</v>
      </c>
      <c r="B10592" t="s">
        <v>2163</v>
      </c>
      <c r="C10592" t="s">
        <v>12838</v>
      </c>
      <c r="D10592" t="s">
        <v>13026</v>
      </c>
      <c r="E10592" t="s">
        <v>22305</v>
      </c>
      <c r="F10592" t="s">
        <v>22436</v>
      </c>
      <c r="G10592" t="s">
        <v>22444</v>
      </c>
      <c r="H10592" t="s">
        <v>22452</v>
      </c>
      <c r="I10592" t="s">
        <v>5194</v>
      </c>
      <c r="J10592" t="s">
        <v>22634</v>
      </c>
      <c r="K10592" t="s">
        <v>29330</v>
      </c>
      <c r="M10592" t="s">
        <v>31919</v>
      </c>
      <c r="N10592" t="s">
        <v>32524</v>
      </c>
      <c r="O10592" t="s">
        <v>32525</v>
      </c>
      <c r="P10592">
        <v>0</v>
      </c>
      <c r="Q10592">
        <v>3</v>
      </c>
      <c r="R10592" t="s">
        <v>32540</v>
      </c>
      <c r="S10592" t="s">
        <v>33102</v>
      </c>
      <c r="T10592" t="s">
        <v>33206</v>
      </c>
      <c r="U10592" t="s">
        <v>42298</v>
      </c>
      <c r="W10592" t="s">
        <v>43744</v>
      </c>
      <c r="X10592" t="s">
        <v>43779</v>
      </c>
    </row>
    <row r="10593" spans="1:24">
      <c r="A10593">
        <f>HYPERLINK("https://www.philgeps.gov.ph/GEPSNONPILOT/Tender/SplashBidNoticeAbstractUI.aspx?menuIndex=3&amp;refID=7019625&amp;Result=3","7019625")</f>
        <v>0</v>
      </c>
      <c r="B10593" t="s">
        <v>1381</v>
      </c>
      <c r="C10593" t="s">
        <v>12839</v>
      </c>
      <c r="D10593" t="s">
        <v>13035</v>
      </c>
      <c r="E10593" t="s">
        <v>22306</v>
      </c>
      <c r="F10593" t="s">
        <v>22436</v>
      </c>
      <c r="G10593" t="s">
        <v>22444</v>
      </c>
      <c r="H10593" t="s">
        <v>22454</v>
      </c>
      <c r="I10593" t="s">
        <v>7738</v>
      </c>
      <c r="J10593" t="s">
        <v>29234</v>
      </c>
      <c r="K10593" t="s">
        <v>29566</v>
      </c>
      <c r="M10593" t="s">
        <v>31460</v>
      </c>
      <c r="N10593" t="s">
        <v>32524</v>
      </c>
      <c r="O10593" t="s">
        <v>32525</v>
      </c>
      <c r="P10593">
        <v>0</v>
      </c>
      <c r="Q10593">
        <v>0</v>
      </c>
      <c r="R10593" t="s">
        <v>32540</v>
      </c>
      <c r="S10593" t="s">
        <v>33102</v>
      </c>
      <c r="T10593" t="s">
        <v>33332</v>
      </c>
      <c r="U10593" t="s">
        <v>42295</v>
      </c>
      <c r="V10593" t="s">
        <v>42994</v>
      </c>
      <c r="W10593" t="s">
        <v>31460</v>
      </c>
      <c r="X10593" t="s">
        <v>43779</v>
      </c>
    </row>
    <row r="10594" spans="1:24">
      <c r="A10594">
        <f>HYPERLINK("https://www.philgeps.gov.ph/GEPSNONPILOT/Tender/SplashBidNoticeAbstractUI.aspx?menuIndex=3&amp;refID=7019631&amp;Result=3","7019631")</f>
        <v>0</v>
      </c>
      <c r="B10594" t="s">
        <v>82</v>
      </c>
      <c r="C10594" t="s">
        <v>12812</v>
      </c>
      <c r="D10594" t="s">
        <v>13024</v>
      </c>
      <c r="E10594" t="s">
        <v>22307</v>
      </c>
      <c r="F10594" t="s">
        <v>22436</v>
      </c>
      <c r="G10594" t="s">
        <v>22444</v>
      </c>
      <c r="H10594" t="s">
        <v>22452</v>
      </c>
      <c r="I10594" t="s">
        <v>22474</v>
      </c>
      <c r="J10594" t="s">
        <v>29235</v>
      </c>
      <c r="K10594" t="s">
        <v>29335</v>
      </c>
      <c r="M10594" t="s">
        <v>29654</v>
      </c>
      <c r="N10594" t="s">
        <v>32524</v>
      </c>
      <c r="O10594" t="s">
        <v>32525</v>
      </c>
      <c r="Q10594">
        <v>9</v>
      </c>
      <c r="R10594" t="s">
        <v>32540</v>
      </c>
      <c r="S10594" t="s">
        <v>33132</v>
      </c>
      <c r="T10594" t="s">
        <v>33593</v>
      </c>
      <c r="U10594" t="s">
        <v>33741</v>
      </c>
      <c r="V10594" t="s">
        <v>43646</v>
      </c>
      <c r="W10594" t="s">
        <v>29654</v>
      </c>
      <c r="X10594" t="s">
        <v>43779</v>
      </c>
    </row>
    <row r="10595" spans="1:24">
      <c r="A10595">
        <f>HYPERLINK("https://www.philgeps.gov.ph/GEPSNONPILOT/Tender/SplashBidNoticeAbstractUI.aspx?menuIndex=3&amp;refID=7019663&amp;Result=3","7019663")</f>
        <v>0</v>
      </c>
      <c r="B10595" t="s">
        <v>1381</v>
      </c>
      <c r="C10595" t="s">
        <v>12840</v>
      </c>
      <c r="D10595" t="s">
        <v>13035</v>
      </c>
      <c r="E10595" t="s">
        <v>22308</v>
      </c>
      <c r="F10595" t="s">
        <v>22436</v>
      </c>
      <c r="G10595" t="s">
        <v>22444</v>
      </c>
      <c r="H10595" t="s">
        <v>22454</v>
      </c>
      <c r="I10595" t="s">
        <v>7738</v>
      </c>
      <c r="J10595" t="s">
        <v>29236</v>
      </c>
      <c r="K10595" t="s">
        <v>29415</v>
      </c>
      <c r="M10595" t="s">
        <v>31460</v>
      </c>
      <c r="N10595" t="s">
        <v>32524</v>
      </c>
      <c r="O10595" t="s">
        <v>32525</v>
      </c>
      <c r="P10595">
        <v>0</v>
      </c>
      <c r="Q10595">
        <v>2</v>
      </c>
      <c r="R10595" t="s">
        <v>32540</v>
      </c>
      <c r="S10595" t="s">
        <v>33102</v>
      </c>
      <c r="T10595" t="s">
        <v>33332</v>
      </c>
      <c r="U10595" t="s">
        <v>42299</v>
      </c>
      <c r="V10595" t="s">
        <v>42994</v>
      </c>
      <c r="W10595" t="s">
        <v>31460</v>
      </c>
      <c r="X10595" t="s">
        <v>43779</v>
      </c>
    </row>
    <row r="10596" spans="1:24">
      <c r="A10596">
        <f>HYPERLINK("https://www.philgeps.gov.ph/GEPSNONPILOT/Tender/SplashBidNoticeAbstractUI.aspx?menuIndex=3&amp;refID=7019645&amp;Result=3","7019645")</f>
        <v>0</v>
      </c>
      <c r="B10596" t="s">
        <v>1381</v>
      </c>
      <c r="C10596" t="s">
        <v>12841</v>
      </c>
      <c r="D10596" t="s">
        <v>13035</v>
      </c>
      <c r="E10596" t="s">
        <v>22309</v>
      </c>
      <c r="F10596" t="s">
        <v>22436</v>
      </c>
      <c r="G10596" t="s">
        <v>22444</v>
      </c>
      <c r="H10596" t="s">
        <v>22454</v>
      </c>
      <c r="I10596" t="s">
        <v>7738</v>
      </c>
      <c r="J10596" t="s">
        <v>29237</v>
      </c>
      <c r="K10596" t="s">
        <v>29410</v>
      </c>
      <c r="M10596" t="s">
        <v>31460</v>
      </c>
      <c r="N10596" t="s">
        <v>32524</v>
      </c>
      <c r="O10596" t="s">
        <v>32525</v>
      </c>
      <c r="P10596">
        <v>0</v>
      </c>
      <c r="Q10596">
        <v>0</v>
      </c>
      <c r="R10596" t="s">
        <v>32540</v>
      </c>
      <c r="S10596" t="s">
        <v>33102</v>
      </c>
      <c r="T10596" t="s">
        <v>33332</v>
      </c>
      <c r="U10596" t="s">
        <v>42300</v>
      </c>
      <c r="V10596" t="s">
        <v>42994</v>
      </c>
      <c r="W10596" t="s">
        <v>31460</v>
      </c>
      <c r="X10596" t="s">
        <v>43779</v>
      </c>
    </row>
    <row r="10597" spans="1:24">
      <c r="A10597">
        <f>HYPERLINK("https://www.philgeps.gov.ph/GEPSNONPILOT/Tender/SplashBidNoticeAbstractUI.aspx?menuIndex=3&amp;refID=7019715&amp;Result=3","7019715")</f>
        <v>0</v>
      </c>
      <c r="B10597" t="s">
        <v>280</v>
      </c>
      <c r="C10597" t="s">
        <v>12842</v>
      </c>
      <c r="D10597" t="s">
        <v>13055</v>
      </c>
      <c r="E10597" t="s">
        <v>22310</v>
      </c>
      <c r="F10597" t="s">
        <v>22436</v>
      </c>
      <c r="G10597" t="s">
        <v>22444</v>
      </c>
      <c r="H10597" t="s">
        <v>22452</v>
      </c>
      <c r="I10597" t="s">
        <v>22486</v>
      </c>
      <c r="J10597" t="s">
        <v>22809</v>
      </c>
      <c r="K10597" t="s">
        <v>29356</v>
      </c>
      <c r="M10597" t="s">
        <v>29854</v>
      </c>
      <c r="N10597" t="s">
        <v>32524</v>
      </c>
      <c r="O10597" t="s">
        <v>32525</v>
      </c>
      <c r="P10597">
        <v>0</v>
      </c>
      <c r="Q10597">
        <v>1</v>
      </c>
      <c r="R10597" t="s">
        <v>32540</v>
      </c>
      <c r="S10597" t="s">
        <v>33102</v>
      </c>
      <c r="T10597" t="s">
        <v>33167</v>
      </c>
      <c r="U10597" t="s">
        <v>42301</v>
      </c>
      <c r="V10597" t="s">
        <v>42486</v>
      </c>
      <c r="W10597" t="s">
        <v>29854</v>
      </c>
      <c r="X10597" t="s">
        <v>43779</v>
      </c>
    </row>
    <row r="10598" spans="1:24">
      <c r="A10598">
        <f>HYPERLINK("https://www.philgeps.gov.ph/GEPSNONPILOT/Tender/SplashBidNoticeAbstractUI.aspx?menuIndex=3&amp;refID=7019669&amp;Result=3","7019669")</f>
        <v>0</v>
      </c>
      <c r="B10598" t="s">
        <v>2655</v>
      </c>
      <c r="C10598" t="s">
        <v>12843</v>
      </c>
      <c r="E10598" t="s">
        <v>22311</v>
      </c>
      <c r="F10598" t="s">
        <v>22436</v>
      </c>
      <c r="G10598" t="s">
        <v>22444</v>
      </c>
      <c r="H10598" t="s">
        <v>22454</v>
      </c>
      <c r="I10598" t="s">
        <v>7738</v>
      </c>
      <c r="J10598" t="s">
        <v>29238</v>
      </c>
      <c r="K10598" t="s">
        <v>29524</v>
      </c>
      <c r="M10598" t="s">
        <v>32498</v>
      </c>
      <c r="N10598" t="s">
        <v>32524</v>
      </c>
      <c r="O10598" t="s">
        <v>32525</v>
      </c>
      <c r="P10598">
        <v>0</v>
      </c>
      <c r="Q10598">
        <v>3</v>
      </c>
      <c r="R10598" t="s">
        <v>32540</v>
      </c>
      <c r="S10598" t="s">
        <v>33102</v>
      </c>
      <c r="T10598" t="s">
        <v>33256</v>
      </c>
      <c r="U10598" t="s">
        <v>42302</v>
      </c>
      <c r="W10598" t="s">
        <v>32498</v>
      </c>
      <c r="X10598" t="s">
        <v>43779</v>
      </c>
    </row>
    <row r="10599" spans="1:24">
      <c r="A10599">
        <f>HYPERLINK("https://www.philgeps.gov.ph/GEPSNONPILOT/Tender/SplashBidNoticeAbstractUI.aspx?menuIndex=3&amp;refID=7019675&amp;Result=3","7019675")</f>
        <v>0</v>
      </c>
      <c r="B10599" t="s">
        <v>181</v>
      </c>
      <c r="C10599" t="s">
        <v>12844</v>
      </c>
      <c r="D10599" t="s">
        <v>13032</v>
      </c>
      <c r="E10599" t="s">
        <v>22312</v>
      </c>
      <c r="F10599" t="s">
        <v>22436</v>
      </c>
      <c r="G10599" t="s">
        <v>22444</v>
      </c>
      <c r="H10599" t="s">
        <v>22454</v>
      </c>
      <c r="I10599" t="s">
        <v>7738</v>
      </c>
      <c r="J10599" t="s">
        <v>29239</v>
      </c>
      <c r="K10599" t="s">
        <v>29334</v>
      </c>
      <c r="M10599" t="s">
        <v>29753</v>
      </c>
      <c r="N10599" t="s">
        <v>32524</v>
      </c>
      <c r="O10599" t="s">
        <v>32525</v>
      </c>
      <c r="P10599">
        <v>0</v>
      </c>
      <c r="Q10599">
        <v>2</v>
      </c>
      <c r="R10599" t="s">
        <v>32540</v>
      </c>
      <c r="S10599" t="s">
        <v>33102</v>
      </c>
      <c r="T10599" t="s">
        <v>33227</v>
      </c>
      <c r="U10599" t="s">
        <v>42303</v>
      </c>
      <c r="W10599" t="s">
        <v>29753</v>
      </c>
      <c r="X10599" t="s">
        <v>43779</v>
      </c>
    </row>
    <row r="10600" spans="1:24">
      <c r="A10600">
        <f>HYPERLINK("https://www.philgeps.gov.ph/GEPSNONPILOT/Tender/SplashBidNoticeAbstractUI.aspx?menuIndex=3&amp;refID=7019719&amp;Result=3","7019719")</f>
        <v>0</v>
      </c>
      <c r="B10600" t="s">
        <v>1381</v>
      </c>
      <c r="C10600" t="s">
        <v>12845</v>
      </c>
      <c r="D10600" t="s">
        <v>13035</v>
      </c>
      <c r="E10600" t="s">
        <v>22313</v>
      </c>
      <c r="F10600" t="s">
        <v>22436</v>
      </c>
      <c r="G10600" t="s">
        <v>22444</v>
      </c>
      <c r="H10600" t="s">
        <v>22454</v>
      </c>
      <c r="I10600" t="s">
        <v>7738</v>
      </c>
      <c r="J10600" t="s">
        <v>29240</v>
      </c>
      <c r="K10600" t="s">
        <v>29590</v>
      </c>
      <c r="M10600" t="s">
        <v>31460</v>
      </c>
      <c r="N10600" t="s">
        <v>32524</v>
      </c>
      <c r="O10600" t="s">
        <v>32525</v>
      </c>
      <c r="P10600">
        <v>0</v>
      </c>
      <c r="Q10600">
        <v>0</v>
      </c>
      <c r="R10600" t="s">
        <v>32540</v>
      </c>
      <c r="S10600" t="s">
        <v>33102</v>
      </c>
      <c r="T10600" t="s">
        <v>33332</v>
      </c>
      <c r="U10600" t="s">
        <v>42304</v>
      </c>
      <c r="V10600" t="s">
        <v>42994</v>
      </c>
      <c r="W10600" t="s">
        <v>31460</v>
      </c>
      <c r="X10600" t="s">
        <v>43779</v>
      </c>
    </row>
    <row r="10601" spans="1:24">
      <c r="A10601">
        <f>HYPERLINK("https://www.philgeps.gov.ph/GEPSNONPILOT/Tender/SplashBidNoticeAbstractUI.aspx?menuIndex=3&amp;refID=7019707&amp;Result=3","7019707")</f>
        <v>0</v>
      </c>
      <c r="B10601" t="s">
        <v>389</v>
      </c>
      <c r="C10601" t="s">
        <v>12846</v>
      </c>
      <c r="D10601" t="s">
        <v>13022</v>
      </c>
      <c r="E10601" t="s">
        <v>22314</v>
      </c>
      <c r="F10601" t="s">
        <v>22436</v>
      </c>
      <c r="G10601" t="s">
        <v>22444</v>
      </c>
      <c r="H10601" t="s">
        <v>22454</v>
      </c>
      <c r="I10601" t="s">
        <v>7738</v>
      </c>
      <c r="J10601" t="s">
        <v>22877</v>
      </c>
      <c r="K10601" t="s">
        <v>29390</v>
      </c>
      <c r="M10601" t="s">
        <v>29968</v>
      </c>
      <c r="N10601" t="s">
        <v>32524</v>
      </c>
      <c r="O10601" t="s">
        <v>32525</v>
      </c>
      <c r="P10601">
        <v>0</v>
      </c>
      <c r="Q10601">
        <v>9</v>
      </c>
      <c r="R10601" t="s">
        <v>32540</v>
      </c>
      <c r="S10601" t="s">
        <v>33102</v>
      </c>
      <c r="T10601" t="s">
        <v>33180</v>
      </c>
      <c r="U10601" t="s">
        <v>42305</v>
      </c>
      <c r="V10601" t="s">
        <v>43647</v>
      </c>
      <c r="W10601" t="s">
        <v>29968</v>
      </c>
      <c r="X10601" t="s">
        <v>43779</v>
      </c>
    </row>
    <row r="10602" spans="1:24">
      <c r="A10602">
        <f>HYPERLINK("https://www.philgeps.gov.ph/GEPSNONPILOT/Tender/SplashBidNoticeAbstractUI.aspx?menuIndex=3&amp;refID=7019678&amp;Result=3","7019678")</f>
        <v>0</v>
      </c>
      <c r="B10602" t="s">
        <v>2310</v>
      </c>
      <c r="C10602" t="s">
        <v>12847</v>
      </c>
      <c r="D10602" t="s">
        <v>13032</v>
      </c>
      <c r="E10602" t="s">
        <v>22315</v>
      </c>
      <c r="F10602" t="s">
        <v>22436</v>
      </c>
      <c r="G10602" t="s">
        <v>22444</v>
      </c>
      <c r="H10602" t="s">
        <v>22452</v>
      </c>
      <c r="I10602" t="s">
        <v>22460</v>
      </c>
      <c r="J10602" t="s">
        <v>29241</v>
      </c>
      <c r="K10602" t="s">
        <v>29338</v>
      </c>
      <c r="M10602" t="s">
        <v>32086</v>
      </c>
      <c r="N10602" t="s">
        <v>32524</v>
      </c>
      <c r="O10602" t="s">
        <v>32525</v>
      </c>
      <c r="P10602">
        <v>0</v>
      </c>
      <c r="Q10602">
        <v>3</v>
      </c>
      <c r="R10602" t="s">
        <v>32540</v>
      </c>
      <c r="S10602" t="s">
        <v>33102</v>
      </c>
      <c r="T10602" t="s">
        <v>33206</v>
      </c>
      <c r="U10602" t="s">
        <v>36570</v>
      </c>
      <c r="W10602" t="s">
        <v>32086</v>
      </c>
      <c r="X10602" t="s">
        <v>43779</v>
      </c>
    </row>
    <row r="10603" spans="1:24">
      <c r="A10603">
        <f>HYPERLINK("https://www.philgeps.gov.ph/GEPSNONPILOT/Tender/SplashBidNoticeAbstractUI.aspx?menuIndex=3&amp;refID=7019702&amp;Result=3","7019702")</f>
        <v>0</v>
      </c>
      <c r="B10603" t="s">
        <v>2492</v>
      </c>
      <c r="C10603" t="s">
        <v>12848</v>
      </c>
      <c r="D10603" t="s">
        <v>13016</v>
      </c>
      <c r="E10603" t="s">
        <v>22316</v>
      </c>
      <c r="F10603" t="s">
        <v>22436</v>
      </c>
      <c r="G10603" t="s">
        <v>22444</v>
      </c>
      <c r="H10603" t="s">
        <v>22454</v>
      </c>
      <c r="I10603" t="s">
        <v>7738</v>
      </c>
      <c r="J10603" t="s">
        <v>26791</v>
      </c>
      <c r="K10603" t="s">
        <v>29442</v>
      </c>
      <c r="M10603" t="s">
        <v>32298</v>
      </c>
      <c r="N10603" t="s">
        <v>32524</v>
      </c>
      <c r="O10603" t="s">
        <v>32525</v>
      </c>
      <c r="P10603">
        <v>0</v>
      </c>
      <c r="Q10603">
        <v>1</v>
      </c>
      <c r="R10603" t="s">
        <v>32540</v>
      </c>
      <c r="S10603" t="s">
        <v>33102</v>
      </c>
      <c r="T10603" t="s">
        <v>33435</v>
      </c>
      <c r="U10603" t="s">
        <v>42306</v>
      </c>
      <c r="V10603" t="s">
        <v>43648</v>
      </c>
      <c r="W10603" t="s">
        <v>43761</v>
      </c>
      <c r="X10603" t="s">
        <v>43779</v>
      </c>
    </row>
    <row r="10604" spans="1:24">
      <c r="A10604">
        <f>HYPERLINK("https://www.philgeps.gov.ph/GEPSNONPILOT/Tender/SplashBidNoticeAbstractUI.aspx?menuIndex=3&amp;refID=7019759&amp;Result=3","7019759")</f>
        <v>0</v>
      </c>
      <c r="B10604" t="s">
        <v>1381</v>
      </c>
      <c r="C10604" t="s">
        <v>12849</v>
      </c>
      <c r="D10604" t="s">
        <v>13035</v>
      </c>
      <c r="E10604" t="s">
        <v>22317</v>
      </c>
      <c r="F10604" t="s">
        <v>22436</v>
      </c>
      <c r="G10604" t="s">
        <v>22444</v>
      </c>
      <c r="H10604" t="s">
        <v>22454</v>
      </c>
      <c r="I10604" t="s">
        <v>7738</v>
      </c>
      <c r="J10604" t="s">
        <v>29242</v>
      </c>
      <c r="K10604" t="s">
        <v>29590</v>
      </c>
      <c r="M10604" t="s">
        <v>31460</v>
      </c>
      <c r="N10604" t="s">
        <v>32524</v>
      </c>
      <c r="O10604" t="s">
        <v>32525</v>
      </c>
      <c r="P10604">
        <v>0</v>
      </c>
      <c r="Q10604">
        <v>0</v>
      </c>
      <c r="R10604" t="s">
        <v>32540</v>
      </c>
      <c r="S10604" t="s">
        <v>33102</v>
      </c>
      <c r="T10604" t="s">
        <v>33332</v>
      </c>
      <c r="U10604" t="s">
        <v>42307</v>
      </c>
      <c r="V10604" t="s">
        <v>42994</v>
      </c>
      <c r="W10604" t="s">
        <v>31460</v>
      </c>
      <c r="X10604" t="s">
        <v>43779</v>
      </c>
    </row>
    <row r="10605" spans="1:24">
      <c r="A10605">
        <f>HYPERLINK("https://www.philgeps.gov.ph/GEPSNONPILOT/Tender/SplashBidNoticeAbstractUI.aspx?menuIndex=3&amp;refID=7019642&amp;Result=3","7019642")</f>
        <v>0</v>
      </c>
      <c r="B10605" t="s">
        <v>1769</v>
      </c>
      <c r="C10605" t="s">
        <v>12850</v>
      </c>
      <c r="E10605" t="s">
        <v>22318</v>
      </c>
      <c r="F10605" t="s">
        <v>22436</v>
      </c>
      <c r="G10605" t="s">
        <v>22444</v>
      </c>
      <c r="H10605" t="s">
        <v>22452</v>
      </c>
      <c r="I10605" t="s">
        <v>22502</v>
      </c>
      <c r="J10605" t="s">
        <v>27309</v>
      </c>
      <c r="K10605" t="s">
        <v>29341</v>
      </c>
      <c r="M10605" t="s">
        <v>31476</v>
      </c>
      <c r="N10605" t="s">
        <v>32524</v>
      </c>
      <c r="O10605" t="s">
        <v>32525</v>
      </c>
      <c r="Q10605">
        <v>14</v>
      </c>
      <c r="R10605" t="s">
        <v>32540</v>
      </c>
      <c r="S10605" t="s">
        <v>33133</v>
      </c>
      <c r="T10605" t="s">
        <v>33252</v>
      </c>
      <c r="U10605" t="s">
        <v>38140</v>
      </c>
      <c r="W10605" t="s">
        <v>31476</v>
      </c>
      <c r="X10605" t="s">
        <v>43779</v>
      </c>
    </row>
    <row r="10606" spans="1:24">
      <c r="A10606">
        <f>HYPERLINK("https://www.philgeps.gov.ph/GEPSNONPILOT/Tender/SplashBidNoticeAbstractUI.aspx?menuIndex=3&amp;refID=7019687&amp;Result=3","7019687")</f>
        <v>0</v>
      </c>
      <c r="B10606" t="s">
        <v>2656</v>
      </c>
      <c r="C10606" t="s">
        <v>12851</v>
      </c>
      <c r="D10606" t="s">
        <v>12992</v>
      </c>
      <c r="E10606" t="s">
        <v>17540</v>
      </c>
      <c r="F10606" t="s">
        <v>22436</v>
      </c>
      <c r="G10606" t="s">
        <v>22444</v>
      </c>
      <c r="H10606" t="s">
        <v>22454</v>
      </c>
      <c r="I10606" t="s">
        <v>7738</v>
      </c>
      <c r="J10606" t="s">
        <v>29243</v>
      </c>
      <c r="K10606" t="s">
        <v>29338</v>
      </c>
      <c r="M10606" t="s">
        <v>32499</v>
      </c>
      <c r="N10606" t="s">
        <v>32524</v>
      </c>
      <c r="O10606" t="s">
        <v>32525</v>
      </c>
      <c r="P10606">
        <v>0</v>
      </c>
      <c r="Q10606">
        <v>0</v>
      </c>
      <c r="R10606" t="s">
        <v>32540</v>
      </c>
      <c r="S10606" t="s">
        <v>33102</v>
      </c>
      <c r="T10606" t="s">
        <v>33181</v>
      </c>
      <c r="U10606" t="s">
        <v>42308</v>
      </c>
      <c r="W10606" t="s">
        <v>32499</v>
      </c>
      <c r="X10606" t="s">
        <v>43779</v>
      </c>
    </row>
    <row r="10607" spans="1:24">
      <c r="A10607">
        <f>HYPERLINK("https://www.philgeps.gov.ph/GEPSNONPILOT/Tender/SplashBidNoticeAbstractUI.aspx?menuIndex=3&amp;refID=7019751&amp;Result=3","7019751")</f>
        <v>0</v>
      </c>
      <c r="B10607" t="s">
        <v>1381</v>
      </c>
      <c r="C10607" t="s">
        <v>12852</v>
      </c>
      <c r="D10607" t="s">
        <v>13035</v>
      </c>
      <c r="E10607" t="s">
        <v>22319</v>
      </c>
      <c r="F10607" t="s">
        <v>22436</v>
      </c>
      <c r="G10607" t="s">
        <v>22444</v>
      </c>
      <c r="H10607" t="s">
        <v>22454</v>
      </c>
      <c r="I10607" t="s">
        <v>7738</v>
      </c>
      <c r="J10607" t="s">
        <v>29244</v>
      </c>
      <c r="K10607" t="s">
        <v>29590</v>
      </c>
      <c r="M10607" t="s">
        <v>31460</v>
      </c>
      <c r="N10607" t="s">
        <v>32524</v>
      </c>
      <c r="O10607" t="s">
        <v>32525</v>
      </c>
      <c r="P10607">
        <v>0</v>
      </c>
      <c r="Q10607">
        <v>0</v>
      </c>
      <c r="R10607" t="s">
        <v>32540</v>
      </c>
      <c r="S10607" t="s">
        <v>33102</v>
      </c>
      <c r="T10607" t="s">
        <v>33332</v>
      </c>
      <c r="U10607" t="s">
        <v>42309</v>
      </c>
      <c r="V10607" t="s">
        <v>42994</v>
      </c>
      <c r="W10607" t="s">
        <v>31460</v>
      </c>
      <c r="X10607" t="s">
        <v>43779</v>
      </c>
    </row>
    <row r="10608" spans="1:24">
      <c r="A10608">
        <f>HYPERLINK("https://www.philgeps.gov.ph/GEPSNONPILOT/Tender/SplashBidNoticeAbstractUI.aspx?menuIndex=3&amp;refID=7019651&amp;Result=3","7019651")</f>
        <v>0</v>
      </c>
      <c r="B10608" t="s">
        <v>1381</v>
      </c>
      <c r="C10608" t="s">
        <v>12853</v>
      </c>
      <c r="D10608" t="s">
        <v>13035</v>
      </c>
      <c r="E10608" t="s">
        <v>22320</v>
      </c>
      <c r="F10608" t="s">
        <v>22436</v>
      </c>
      <c r="G10608" t="s">
        <v>22444</v>
      </c>
      <c r="H10608" t="s">
        <v>22454</v>
      </c>
      <c r="I10608" t="s">
        <v>7738</v>
      </c>
      <c r="J10608" t="s">
        <v>29245</v>
      </c>
      <c r="K10608" t="s">
        <v>29429</v>
      </c>
      <c r="M10608" t="s">
        <v>31460</v>
      </c>
      <c r="N10608" t="s">
        <v>32524</v>
      </c>
      <c r="O10608" t="s">
        <v>32525</v>
      </c>
      <c r="P10608">
        <v>0</v>
      </c>
      <c r="Q10608">
        <v>0</v>
      </c>
      <c r="R10608" t="s">
        <v>32540</v>
      </c>
      <c r="S10608" t="s">
        <v>33102</v>
      </c>
      <c r="T10608" t="s">
        <v>33332</v>
      </c>
      <c r="U10608" t="s">
        <v>41412</v>
      </c>
      <c r="V10608" t="s">
        <v>42994</v>
      </c>
      <c r="W10608" t="s">
        <v>31460</v>
      </c>
      <c r="X10608" t="s">
        <v>43779</v>
      </c>
    </row>
    <row r="10609" spans="1:24">
      <c r="A10609">
        <f>HYPERLINK("https://www.philgeps.gov.ph/GEPSNONPILOT/Tender/SplashBidNoticeAbstractUI.aspx?menuIndex=3&amp;refID=7019688&amp;Result=3","7019688")</f>
        <v>0</v>
      </c>
      <c r="B10609" t="s">
        <v>2657</v>
      </c>
      <c r="C10609" t="s">
        <v>12854</v>
      </c>
      <c r="D10609" t="s">
        <v>13050</v>
      </c>
      <c r="E10609" t="s">
        <v>22321</v>
      </c>
      <c r="F10609" t="s">
        <v>22436</v>
      </c>
      <c r="G10609" t="s">
        <v>22444</v>
      </c>
      <c r="H10609" t="s">
        <v>22454</v>
      </c>
      <c r="I10609" t="s">
        <v>7738</v>
      </c>
      <c r="J10609" t="s">
        <v>22779</v>
      </c>
      <c r="K10609" t="s">
        <v>29335</v>
      </c>
      <c r="M10609" t="s">
        <v>32500</v>
      </c>
      <c r="N10609" t="s">
        <v>32524</v>
      </c>
      <c r="O10609" t="s">
        <v>32525</v>
      </c>
      <c r="P10609">
        <v>0</v>
      </c>
      <c r="Q10609">
        <v>0</v>
      </c>
      <c r="R10609" t="s">
        <v>32540</v>
      </c>
      <c r="S10609" t="s">
        <v>33102</v>
      </c>
      <c r="T10609" t="s">
        <v>33167</v>
      </c>
      <c r="U10609" t="s">
        <v>42310</v>
      </c>
      <c r="W10609" t="s">
        <v>32500</v>
      </c>
      <c r="X10609" t="s">
        <v>43779</v>
      </c>
    </row>
    <row r="10610" spans="1:24">
      <c r="A10610">
        <f>HYPERLINK("https://www.philgeps.gov.ph/GEPSNONPILOT/Tender/SplashBidNoticeAbstractUI.aspx?menuIndex=3&amp;refID=7019761&amp;Result=3","7019761")</f>
        <v>0</v>
      </c>
      <c r="B10610" t="s">
        <v>2163</v>
      </c>
      <c r="C10610" t="s">
        <v>12855</v>
      </c>
      <c r="D10610" t="s">
        <v>13026</v>
      </c>
      <c r="E10610" t="s">
        <v>22322</v>
      </c>
      <c r="F10610" t="s">
        <v>22436</v>
      </c>
      <c r="G10610" t="s">
        <v>22444</v>
      </c>
      <c r="H10610" t="s">
        <v>22452</v>
      </c>
      <c r="I10610" t="s">
        <v>22467</v>
      </c>
      <c r="J10610" t="s">
        <v>22624</v>
      </c>
      <c r="K10610" t="s">
        <v>29361</v>
      </c>
      <c r="M10610" t="s">
        <v>31919</v>
      </c>
      <c r="N10610" t="s">
        <v>32524</v>
      </c>
      <c r="O10610" t="s">
        <v>32525</v>
      </c>
      <c r="P10610">
        <v>0</v>
      </c>
      <c r="Q10610">
        <v>0</v>
      </c>
      <c r="R10610" t="s">
        <v>32540</v>
      </c>
      <c r="S10610" t="s">
        <v>33102</v>
      </c>
      <c r="T10610" t="s">
        <v>33230</v>
      </c>
      <c r="U10610" t="s">
        <v>42311</v>
      </c>
      <c r="W10610" t="s">
        <v>43744</v>
      </c>
      <c r="X10610" t="s">
        <v>43779</v>
      </c>
    </row>
    <row r="10611" spans="1:24">
      <c r="A10611">
        <f>HYPERLINK("https://www.philgeps.gov.ph/GEPSNONPILOT/Tender/SplashBidNoticeAbstractUI.aspx?menuIndex=3&amp;refID=7019713&amp;Result=3","7019713")</f>
        <v>0</v>
      </c>
      <c r="B10611" t="s">
        <v>1381</v>
      </c>
      <c r="C10611" t="s">
        <v>12856</v>
      </c>
      <c r="D10611" t="s">
        <v>13035</v>
      </c>
      <c r="E10611" t="s">
        <v>22323</v>
      </c>
      <c r="F10611" t="s">
        <v>22436</v>
      </c>
      <c r="G10611" t="s">
        <v>22444</v>
      </c>
      <c r="H10611" t="s">
        <v>22454</v>
      </c>
      <c r="I10611" t="s">
        <v>7738</v>
      </c>
      <c r="J10611" t="s">
        <v>29246</v>
      </c>
      <c r="K10611" t="s">
        <v>29334</v>
      </c>
      <c r="M10611" t="s">
        <v>31460</v>
      </c>
      <c r="N10611" t="s">
        <v>32524</v>
      </c>
      <c r="O10611" t="s">
        <v>32525</v>
      </c>
      <c r="P10611">
        <v>0</v>
      </c>
      <c r="Q10611">
        <v>0</v>
      </c>
      <c r="R10611" t="s">
        <v>32540</v>
      </c>
      <c r="S10611" t="s">
        <v>33102</v>
      </c>
      <c r="T10611" t="s">
        <v>33332</v>
      </c>
      <c r="U10611" t="s">
        <v>42312</v>
      </c>
      <c r="V10611" t="s">
        <v>42994</v>
      </c>
      <c r="W10611" t="s">
        <v>31460</v>
      </c>
      <c r="X10611" t="s">
        <v>43779</v>
      </c>
    </row>
    <row r="10612" spans="1:24">
      <c r="A10612">
        <f>HYPERLINK("https://www.philgeps.gov.ph/GEPSNONPILOT/Tender/SplashBidNoticeAbstractUI.aspx?menuIndex=3&amp;refID=7019724&amp;Result=3","7019724")</f>
        <v>0</v>
      </c>
      <c r="B10612" t="s">
        <v>1381</v>
      </c>
      <c r="C10612" t="s">
        <v>12857</v>
      </c>
      <c r="D10612" t="s">
        <v>13035</v>
      </c>
      <c r="E10612" t="s">
        <v>22324</v>
      </c>
      <c r="F10612" t="s">
        <v>22436</v>
      </c>
      <c r="G10612" t="s">
        <v>22444</v>
      </c>
      <c r="H10612" t="s">
        <v>22454</v>
      </c>
      <c r="I10612" t="s">
        <v>7738</v>
      </c>
      <c r="J10612" t="s">
        <v>29247</v>
      </c>
      <c r="K10612" t="s">
        <v>29566</v>
      </c>
      <c r="M10612" t="s">
        <v>31460</v>
      </c>
      <c r="N10612" t="s">
        <v>32524</v>
      </c>
      <c r="O10612" t="s">
        <v>32525</v>
      </c>
      <c r="P10612">
        <v>0</v>
      </c>
      <c r="Q10612">
        <v>0</v>
      </c>
      <c r="R10612" t="s">
        <v>32540</v>
      </c>
      <c r="S10612" t="s">
        <v>33102</v>
      </c>
      <c r="T10612" t="s">
        <v>33332</v>
      </c>
      <c r="U10612" t="s">
        <v>42313</v>
      </c>
      <c r="V10612" t="s">
        <v>42994</v>
      </c>
      <c r="W10612" t="s">
        <v>31460</v>
      </c>
      <c r="X10612" t="s">
        <v>43779</v>
      </c>
    </row>
    <row r="10613" spans="1:24">
      <c r="A10613">
        <f>HYPERLINK("https://www.philgeps.gov.ph/GEPSNONPILOT/Tender/SplashBidNoticeAbstractUI.aspx?menuIndex=3&amp;refID=7019708&amp;Result=3","7019708")</f>
        <v>0</v>
      </c>
      <c r="B10613" t="s">
        <v>1381</v>
      </c>
      <c r="C10613" t="s">
        <v>12858</v>
      </c>
      <c r="D10613" t="s">
        <v>13035</v>
      </c>
      <c r="E10613" t="s">
        <v>22325</v>
      </c>
      <c r="F10613" t="s">
        <v>22436</v>
      </c>
      <c r="G10613" t="s">
        <v>22444</v>
      </c>
      <c r="H10613" t="s">
        <v>22454</v>
      </c>
      <c r="I10613" t="s">
        <v>7738</v>
      </c>
      <c r="J10613" t="s">
        <v>29248</v>
      </c>
      <c r="K10613" t="s">
        <v>29334</v>
      </c>
      <c r="M10613" t="s">
        <v>31460</v>
      </c>
      <c r="N10613" t="s">
        <v>32524</v>
      </c>
      <c r="O10613" t="s">
        <v>32525</v>
      </c>
      <c r="P10613">
        <v>0</v>
      </c>
      <c r="Q10613">
        <v>0</v>
      </c>
      <c r="R10613" t="s">
        <v>32540</v>
      </c>
      <c r="S10613" t="s">
        <v>33102</v>
      </c>
      <c r="T10613" t="s">
        <v>33332</v>
      </c>
      <c r="U10613" t="s">
        <v>42314</v>
      </c>
      <c r="V10613" t="s">
        <v>42994</v>
      </c>
      <c r="W10613" t="s">
        <v>31460</v>
      </c>
      <c r="X10613" t="s">
        <v>43779</v>
      </c>
    </row>
    <row r="10614" spans="1:24">
      <c r="A10614">
        <f>HYPERLINK("https://www.philgeps.gov.ph/GEPSNONPILOT/Tender/SplashBidNoticeAbstractUI.aspx?menuIndex=3&amp;refID=7019731&amp;Result=3","7019731")</f>
        <v>0</v>
      </c>
      <c r="B10614" t="s">
        <v>1381</v>
      </c>
      <c r="C10614" t="s">
        <v>12859</v>
      </c>
      <c r="D10614" t="s">
        <v>13035</v>
      </c>
      <c r="E10614" t="s">
        <v>22326</v>
      </c>
      <c r="F10614" t="s">
        <v>22436</v>
      </c>
      <c r="G10614" t="s">
        <v>22444</v>
      </c>
      <c r="H10614" t="s">
        <v>22454</v>
      </c>
      <c r="I10614" t="s">
        <v>7738</v>
      </c>
      <c r="J10614" t="s">
        <v>29249</v>
      </c>
      <c r="K10614" t="s">
        <v>29440</v>
      </c>
      <c r="M10614" t="s">
        <v>31460</v>
      </c>
      <c r="N10614" t="s">
        <v>32524</v>
      </c>
      <c r="O10614" t="s">
        <v>32525</v>
      </c>
      <c r="P10614">
        <v>0</v>
      </c>
      <c r="Q10614">
        <v>0</v>
      </c>
      <c r="R10614" t="s">
        <v>32540</v>
      </c>
      <c r="S10614" t="s">
        <v>33102</v>
      </c>
      <c r="T10614" t="s">
        <v>33332</v>
      </c>
      <c r="U10614" t="s">
        <v>42315</v>
      </c>
      <c r="V10614" t="s">
        <v>42994</v>
      </c>
      <c r="W10614" t="s">
        <v>31460</v>
      </c>
      <c r="X10614" t="s">
        <v>43779</v>
      </c>
    </row>
    <row r="10615" spans="1:24">
      <c r="A10615">
        <f>HYPERLINK("https://www.philgeps.gov.ph/GEPSNONPILOT/Tender/SplashBidNoticeAbstractUI.aspx?menuIndex=3&amp;refID=7019766&amp;Result=3","7019766")</f>
        <v>0</v>
      </c>
      <c r="B10615" t="s">
        <v>1943</v>
      </c>
      <c r="C10615" t="s">
        <v>12860</v>
      </c>
      <c r="D10615" t="s">
        <v>13039</v>
      </c>
      <c r="E10615" t="s">
        <v>22327</v>
      </c>
      <c r="F10615" t="s">
        <v>22436</v>
      </c>
      <c r="G10615" t="s">
        <v>22444</v>
      </c>
      <c r="H10615" t="s">
        <v>22453</v>
      </c>
      <c r="I10615" t="s">
        <v>22464</v>
      </c>
      <c r="J10615" t="s">
        <v>24428</v>
      </c>
      <c r="K10615" t="s">
        <v>29341</v>
      </c>
      <c r="M10615" t="s">
        <v>31672</v>
      </c>
      <c r="N10615" t="s">
        <v>32524</v>
      </c>
      <c r="O10615" t="s">
        <v>32525</v>
      </c>
      <c r="P10615">
        <v>0</v>
      </c>
      <c r="Q10615">
        <v>0</v>
      </c>
      <c r="R10615" t="s">
        <v>32540</v>
      </c>
      <c r="S10615" t="s">
        <v>33102</v>
      </c>
      <c r="T10615" t="s">
        <v>33310</v>
      </c>
      <c r="U10615" t="s">
        <v>42316</v>
      </c>
      <c r="W10615" t="s">
        <v>31672</v>
      </c>
      <c r="X10615" t="s">
        <v>43779</v>
      </c>
    </row>
    <row r="10616" spans="1:24">
      <c r="A10616">
        <f>HYPERLINK("https://www.philgeps.gov.ph/GEPSNONPILOT/Tender/SplashBidNoticeAbstractUI.aspx?menuIndex=3&amp;refID=7019737&amp;Result=3","7019737")</f>
        <v>0</v>
      </c>
      <c r="B10616" t="s">
        <v>1381</v>
      </c>
      <c r="C10616" t="s">
        <v>12861</v>
      </c>
      <c r="D10616" t="s">
        <v>13035</v>
      </c>
      <c r="E10616" t="s">
        <v>22328</v>
      </c>
      <c r="F10616" t="s">
        <v>22436</v>
      </c>
      <c r="G10616" t="s">
        <v>22444</v>
      </c>
      <c r="H10616" t="s">
        <v>22454</v>
      </c>
      <c r="I10616" t="s">
        <v>7738</v>
      </c>
      <c r="J10616" t="s">
        <v>29250</v>
      </c>
      <c r="K10616" t="s">
        <v>29590</v>
      </c>
      <c r="M10616" t="s">
        <v>31460</v>
      </c>
      <c r="N10616" t="s">
        <v>32524</v>
      </c>
      <c r="O10616" t="s">
        <v>32525</v>
      </c>
      <c r="P10616">
        <v>0</v>
      </c>
      <c r="Q10616">
        <v>1</v>
      </c>
      <c r="R10616" t="s">
        <v>32540</v>
      </c>
      <c r="S10616" t="s">
        <v>33102</v>
      </c>
      <c r="T10616" t="s">
        <v>33332</v>
      </c>
      <c r="U10616" t="s">
        <v>42317</v>
      </c>
      <c r="V10616" t="s">
        <v>42994</v>
      </c>
      <c r="W10616" t="s">
        <v>31460</v>
      </c>
      <c r="X10616" t="s">
        <v>43779</v>
      </c>
    </row>
    <row r="10617" spans="1:24">
      <c r="A10617">
        <f>HYPERLINK("https://www.philgeps.gov.ph/GEPSNONPILOT/Tender/SplashBidNoticeAbstractUI.aspx?menuIndex=3&amp;refID=7019772&amp;Result=3","7019772")</f>
        <v>0</v>
      </c>
      <c r="B10617" t="s">
        <v>2658</v>
      </c>
      <c r="C10617" t="s">
        <v>12862</v>
      </c>
      <c r="E10617" t="s">
        <v>13182</v>
      </c>
      <c r="F10617" t="s">
        <v>22436</v>
      </c>
      <c r="G10617" t="s">
        <v>22444</v>
      </c>
      <c r="H10617" t="s">
        <v>22452</v>
      </c>
      <c r="I10617" t="s">
        <v>3529</v>
      </c>
      <c r="J10617" t="s">
        <v>29251</v>
      </c>
      <c r="K10617" t="s">
        <v>29338</v>
      </c>
      <c r="M10617" t="s">
        <v>32501</v>
      </c>
      <c r="N10617" t="s">
        <v>32524</v>
      </c>
      <c r="O10617" t="s">
        <v>32525</v>
      </c>
      <c r="P10617">
        <v>0</v>
      </c>
      <c r="Q10617">
        <v>1</v>
      </c>
      <c r="R10617" t="s">
        <v>32540</v>
      </c>
      <c r="S10617" t="s">
        <v>33102</v>
      </c>
      <c r="T10617" t="s">
        <v>33406</v>
      </c>
      <c r="U10617" t="s">
        <v>42318</v>
      </c>
      <c r="W10617" t="s">
        <v>32501</v>
      </c>
      <c r="X10617" t="s">
        <v>43779</v>
      </c>
    </row>
    <row r="10618" spans="1:24">
      <c r="A10618">
        <f>HYPERLINK("https://www.philgeps.gov.ph/GEPSNONPILOT/Tender/SplashBidNoticeAbstractUI.aspx?menuIndex=3&amp;refID=7019760&amp;Result=3","7019760")</f>
        <v>0</v>
      </c>
      <c r="B10618" t="s">
        <v>2659</v>
      </c>
      <c r="C10618" t="s">
        <v>12863</v>
      </c>
      <c r="D10618" t="s">
        <v>13012</v>
      </c>
      <c r="E10618" t="s">
        <v>16755</v>
      </c>
      <c r="F10618" t="s">
        <v>22436</v>
      </c>
      <c r="G10618" t="s">
        <v>22444</v>
      </c>
      <c r="H10618" t="s">
        <v>22454</v>
      </c>
      <c r="I10618" t="s">
        <v>7738</v>
      </c>
      <c r="J10618" t="s">
        <v>23399</v>
      </c>
      <c r="K10618" t="s">
        <v>29346</v>
      </c>
      <c r="M10618" t="s">
        <v>32502</v>
      </c>
      <c r="N10618" t="s">
        <v>32524</v>
      </c>
      <c r="O10618" t="s">
        <v>32525</v>
      </c>
      <c r="P10618">
        <v>0</v>
      </c>
      <c r="Q10618">
        <v>4</v>
      </c>
      <c r="R10618" t="s">
        <v>32540</v>
      </c>
      <c r="S10618" t="s">
        <v>33102</v>
      </c>
      <c r="T10618" t="s">
        <v>33230</v>
      </c>
      <c r="U10618" t="s">
        <v>42319</v>
      </c>
      <c r="V10618" t="s">
        <v>43649</v>
      </c>
      <c r="W10618" t="s">
        <v>32502</v>
      </c>
      <c r="X10618" t="s">
        <v>43779</v>
      </c>
    </row>
    <row r="10619" spans="1:24">
      <c r="A10619">
        <f>HYPERLINK("https://www.philgeps.gov.ph/GEPSNONPILOT/Tender/SplashBidNoticeAbstractUI.aspx?menuIndex=3&amp;refID=7019857&amp;Result=3","7019857")</f>
        <v>0</v>
      </c>
      <c r="B10619" t="s">
        <v>2660</v>
      </c>
      <c r="C10619" t="s">
        <v>12864</v>
      </c>
      <c r="D10619" t="s">
        <v>13066</v>
      </c>
      <c r="E10619" t="s">
        <v>22329</v>
      </c>
      <c r="F10619" t="s">
        <v>22436</v>
      </c>
      <c r="G10619" t="s">
        <v>22444</v>
      </c>
      <c r="H10619" t="s">
        <v>22454</v>
      </c>
      <c r="I10619" t="s">
        <v>7738</v>
      </c>
      <c r="J10619" t="s">
        <v>29252</v>
      </c>
      <c r="K10619" t="s">
        <v>29333</v>
      </c>
      <c r="M10619" t="s">
        <v>32503</v>
      </c>
      <c r="N10619" t="s">
        <v>32524</v>
      </c>
      <c r="O10619" t="s">
        <v>32525</v>
      </c>
      <c r="P10619">
        <v>0</v>
      </c>
      <c r="Q10619">
        <v>0</v>
      </c>
      <c r="R10619" t="s">
        <v>32540</v>
      </c>
      <c r="S10619" t="s">
        <v>33102</v>
      </c>
      <c r="T10619" t="s">
        <v>33351</v>
      </c>
      <c r="U10619" t="s">
        <v>42320</v>
      </c>
      <c r="W10619" t="s">
        <v>32503</v>
      </c>
      <c r="X10619" t="s">
        <v>43779</v>
      </c>
    </row>
    <row r="10620" spans="1:24">
      <c r="A10620">
        <f>HYPERLINK("https://www.philgeps.gov.ph/GEPSNONPILOT/Tender/SplashBidNoticeAbstractUI.aspx?menuIndex=3&amp;refID=7019826&amp;Result=3","7019826")</f>
        <v>0</v>
      </c>
      <c r="B10620" t="s">
        <v>2660</v>
      </c>
      <c r="C10620" t="s">
        <v>12865</v>
      </c>
      <c r="D10620" t="s">
        <v>13066</v>
      </c>
      <c r="E10620" t="s">
        <v>21918</v>
      </c>
      <c r="F10620" t="s">
        <v>22436</v>
      </c>
      <c r="G10620" t="s">
        <v>22444</v>
      </c>
      <c r="H10620" t="s">
        <v>22454</v>
      </c>
      <c r="I10620" t="s">
        <v>7738</v>
      </c>
      <c r="J10620" t="s">
        <v>29253</v>
      </c>
      <c r="K10620" t="s">
        <v>29333</v>
      </c>
      <c r="M10620" t="s">
        <v>32503</v>
      </c>
      <c r="N10620" t="s">
        <v>32524</v>
      </c>
      <c r="O10620" t="s">
        <v>32525</v>
      </c>
      <c r="P10620">
        <v>0</v>
      </c>
      <c r="Q10620">
        <v>0</v>
      </c>
      <c r="R10620" t="s">
        <v>32540</v>
      </c>
      <c r="S10620" t="s">
        <v>33102</v>
      </c>
      <c r="T10620" t="s">
        <v>33351</v>
      </c>
      <c r="U10620" t="s">
        <v>42321</v>
      </c>
      <c r="W10620" t="s">
        <v>32503</v>
      </c>
      <c r="X10620" t="s">
        <v>43779</v>
      </c>
    </row>
    <row r="10621" spans="1:24">
      <c r="A10621">
        <f>HYPERLINK("https://www.philgeps.gov.ph/GEPSNONPILOT/Tender/SplashBidNoticeAbstractUI.aspx?menuIndex=3&amp;refID=7019843&amp;Result=3","7019843")</f>
        <v>0</v>
      </c>
      <c r="B10621" t="s">
        <v>2655</v>
      </c>
      <c r="C10621" t="s">
        <v>12866</v>
      </c>
      <c r="E10621" t="s">
        <v>22330</v>
      </c>
      <c r="F10621" t="s">
        <v>22436</v>
      </c>
      <c r="G10621" t="s">
        <v>22444</v>
      </c>
      <c r="H10621" t="s">
        <v>22454</v>
      </c>
      <c r="I10621" t="s">
        <v>7738</v>
      </c>
      <c r="J10621" t="s">
        <v>29254</v>
      </c>
      <c r="K10621" t="s">
        <v>29333</v>
      </c>
      <c r="M10621" t="s">
        <v>32498</v>
      </c>
      <c r="N10621" t="s">
        <v>32524</v>
      </c>
      <c r="O10621" t="s">
        <v>32525</v>
      </c>
      <c r="P10621">
        <v>0</v>
      </c>
      <c r="Q10621">
        <v>2</v>
      </c>
      <c r="R10621" t="s">
        <v>32540</v>
      </c>
      <c r="S10621" t="s">
        <v>33102</v>
      </c>
      <c r="T10621" t="s">
        <v>33256</v>
      </c>
      <c r="U10621" t="s">
        <v>42302</v>
      </c>
      <c r="W10621" t="s">
        <v>32498</v>
      </c>
      <c r="X10621" t="s">
        <v>43779</v>
      </c>
    </row>
    <row r="10622" spans="1:24">
      <c r="A10622">
        <f>HYPERLINK("https://www.philgeps.gov.ph/GEPSNONPILOT/Tender/SplashBidNoticeAbstractUI.aspx?menuIndex=3&amp;refID=7019818&amp;Result=3","7019818")</f>
        <v>0</v>
      </c>
      <c r="B10622" t="s">
        <v>1601</v>
      </c>
      <c r="C10622" t="s">
        <v>12867</v>
      </c>
      <c r="D10622" t="s">
        <v>13001</v>
      </c>
      <c r="E10622" t="s">
        <v>22331</v>
      </c>
      <c r="F10622" t="s">
        <v>22436</v>
      </c>
      <c r="G10622" t="s">
        <v>22444</v>
      </c>
      <c r="H10622" t="s">
        <v>22452</v>
      </c>
      <c r="I10622" t="s">
        <v>22467</v>
      </c>
      <c r="J10622" t="s">
        <v>29255</v>
      </c>
      <c r="K10622" t="s">
        <v>29341</v>
      </c>
      <c r="M10622" t="s">
        <v>31285</v>
      </c>
      <c r="N10622" t="s">
        <v>32524</v>
      </c>
      <c r="O10622" t="s">
        <v>32525</v>
      </c>
      <c r="P10622">
        <v>0</v>
      </c>
      <c r="Q10622">
        <v>2</v>
      </c>
      <c r="R10622" t="s">
        <v>32540</v>
      </c>
      <c r="S10622" t="s">
        <v>33102</v>
      </c>
      <c r="T10622" t="s">
        <v>33230</v>
      </c>
      <c r="U10622" t="s">
        <v>42322</v>
      </c>
      <c r="W10622" t="s">
        <v>43749</v>
      </c>
      <c r="X10622" t="s">
        <v>43779</v>
      </c>
    </row>
    <row r="10623" spans="1:24">
      <c r="A10623">
        <f>HYPERLINK("https://www.philgeps.gov.ph/GEPSNONPILOT/Tender/SplashBidNoticeAbstractUI.aspx?menuIndex=3&amp;refID=7019816&amp;Result=3","7019816")</f>
        <v>0</v>
      </c>
      <c r="B10623" t="s">
        <v>1381</v>
      </c>
      <c r="C10623" t="s">
        <v>12868</v>
      </c>
      <c r="D10623" t="s">
        <v>13035</v>
      </c>
      <c r="E10623" t="s">
        <v>22332</v>
      </c>
      <c r="F10623" t="s">
        <v>22436</v>
      </c>
      <c r="G10623" t="s">
        <v>22444</v>
      </c>
      <c r="H10623" t="s">
        <v>22454</v>
      </c>
      <c r="I10623" t="s">
        <v>7738</v>
      </c>
      <c r="J10623" t="s">
        <v>29256</v>
      </c>
      <c r="K10623" t="s">
        <v>29345</v>
      </c>
      <c r="M10623" t="s">
        <v>31460</v>
      </c>
      <c r="N10623" t="s">
        <v>32524</v>
      </c>
      <c r="O10623" t="s">
        <v>32525</v>
      </c>
      <c r="P10623">
        <v>0</v>
      </c>
      <c r="Q10623">
        <v>0</v>
      </c>
      <c r="R10623" t="s">
        <v>32540</v>
      </c>
      <c r="S10623" t="s">
        <v>33102</v>
      </c>
      <c r="T10623" t="s">
        <v>33332</v>
      </c>
      <c r="U10623" t="s">
        <v>42323</v>
      </c>
      <c r="V10623" t="s">
        <v>42994</v>
      </c>
      <c r="W10623" t="s">
        <v>31460</v>
      </c>
      <c r="X10623" t="s">
        <v>43779</v>
      </c>
    </row>
    <row r="10624" spans="1:24">
      <c r="A10624">
        <f>HYPERLINK("https://www.philgeps.gov.ph/GEPSNONPILOT/Tender/SplashBidNoticeAbstractUI.aspx?menuIndex=3&amp;refID=7019804&amp;Result=3","7019804")</f>
        <v>0</v>
      </c>
      <c r="B10624" t="s">
        <v>1381</v>
      </c>
      <c r="C10624" t="s">
        <v>12869</v>
      </c>
      <c r="D10624" t="s">
        <v>13035</v>
      </c>
      <c r="E10624" t="s">
        <v>22333</v>
      </c>
      <c r="F10624" t="s">
        <v>22436</v>
      </c>
      <c r="G10624" t="s">
        <v>22444</v>
      </c>
      <c r="H10624" t="s">
        <v>22454</v>
      </c>
      <c r="I10624" t="s">
        <v>7738</v>
      </c>
      <c r="J10624" t="s">
        <v>29257</v>
      </c>
      <c r="K10624" t="s">
        <v>29345</v>
      </c>
      <c r="M10624" t="s">
        <v>31460</v>
      </c>
      <c r="N10624" t="s">
        <v>32524</v>
      </c>
      <c r="O10624" t="s">
        <v>32525</v>
      </c>
      <c r="P10624">
        <v>0</v>
      </c>
      <c r="Q10624">
        <v>0</v>
      </c>
      <c r="R10624" t="s">
        <v>32540</v>
      </c>
      <c r="S10624" t="s">
        <v>33102</v>
      </c>
      <c r="T10624" t="s">
        <v>33332</v>
      </c>
      <c r="U10624" t="s">
        <v>42324</v>
      </c>
      <c r="V10624" t="s">
        <v>42994</v>
      </c>
      <c r="W10624" t="s">
        <v>31460</v>
      </c>
      <c r="X10624" t="s">
        <v>43779</v>
      </c>
    </row>
    <row r="10625" spans="1:24">
      <c r="A10625">
        <f>HYPERLINK("https://www.philgeps.gov.ph/GEPSNONPILOT/Tender/SplashBidNoticeAbstractUI.aspx?menuIndex=3&amp;refID=7019830&amp;Result=3","7019830")</f>
        <v>0</v>
      </c>
      <c r="B10625" t="s">
        <v>353</v>
      </c>
      <c r="C10625" t="s">
        <v>12870</v>
      </c>
      <c r="D10625" t="s">
        <v>13034</v>
      </c>
      <c r="E10625" t="s">
        <v>22334</v>
      </c>
      <c r="F10625" t="s">
        <v>22436</v>
      </c>
      <c r="G10625" t="s">
        <v>22444</v>
      </c>
      <c r="H10625" t="s">
        <v>22454</v>
      </c>
      <c r="I10625" t="s">
        <v>7738</v>
      </c>
      <c r="J10625" t="s">
        <v>22779</v>
      </c>
      <c r="K10625" t="s">
        <v>29333</v>
      </c>
      <c r="M10625" t="s">
        <v>29930</v>
      </c>
      <c r="N10625" t="s">
        <v>32524</v>
      </c>
      <c r="O10625" t="s">
        <v>32525</v>
      </c>
      <c r="P10625">
        <v>0</v>
      </c>
      <c r="Q10625">
        <v>0</v>
      </c>
      <c r="R10625" t="s">
        <v>32540</v>
      </c>
      <c r="S10625" t="s">
        <v>33102</v>
      </c>
      <c r="T10625" t="s">
        <v>33230</v>
      </c>
      <c r="U10625" t="s">
        <v>42325</v>
      </c>
      <c r="W10625" t="s">
        <v>29930</v>
      </c>
      <c r="X10625" t="s">
        <v>43779</v>
      </c>
    </row>
    <row r="10626" spans="1:24">
      <c r="A10626">
        <f>HYPERLINK("https://www.philgeps.gov.ph/GEPSNONPILOT/Tender/SplashBidNoticeAbstractUI.aspx?menuIndex=3&amp;refID=7019856&amp;Result=3","7019856")</f>
        <v>0</v>
      </c>
      <c r="B10626" t="s">
        <v>2163</v>
      </c>
      <c r="C10626" t="s">
        <v>12871</v>
      </c>
      <c r="D10626" t="s">
        <v>13026</v>
      </c>
      <c r="E10626" t="s">
        <v>22335</v>
      </c>
      <c r="F10626" t="s">
        <v>22436</v>
      </c>
      <c r="G10626" t="s">
        <v>22444</v>
      </c>
      <c r="H10626" t="s">
        <v>22454</v>
      </c>
      <c r="I10626" t="s">
        <v>22508</v>
      </c>
      <c r="J10626" t="s">
        <v>29258</v>
      </c>
      <c r="K10626" t="s">
        <v>29335</v>
      </c>
      <c r="M10626" t="s">
        <v>31919</v>
      </c>
      <c r="N10626" t="s">
        <v>32524</v>
      </c>
      <c r="O10626" t="s">
        <v>32525</v>
      </c>
      <c r="P10626">
        <v>0</v>
      </c>
      <c r="Q10626">
        <v>10</v>
      </c>
      <c r="R10626" t="s">
        <v>32540</v>
      </c>
      <c r="S10626" t="s">
        <v>33102</v>
      </c>
      <c r="T10626" t="s">
        <v>33230</v>
      </c>
      <c r="U10626" t="s">
        <v>42326</v>
      </c>
      <c r="W10626" t="s">
        <v>43744</v>
      </c>
      <c r="X10626" t="s">
        <v>43779</v>
      </c>
    </row>
    <row r="10627" spans="1:24">
      <c r="A10627">
        <f>HYPERLINK("https://www.philgeps.gov.ph/GEPSNONPILOT/Tender/SplashBidNoticeAbstractUI.aspx?menuIndex=3&amp;refID=7019858&amp;Result=3","7019858")</f>
        <v>0</v>
      </c>
      <c r="B10627" t="s">
        <v>389</v>
      </c>
      <c r="C10627" t="s">
        <v>12872</v>
      </c>
      <c r="D10627" t="s">
        <v>13022</v>
      </c>
      <c r="E10627" t="s">
        <v>22336</v>
      </c>
      <c r="F10627" t="s">
        <v>22436</v>
      </c>
      <c r="G10627" t="s">
        <v>22444</v>
      </c>
      <c r="H10627" t="s">
        <v>22454</v>
      </c>
      <c r="I10627" t="s">
        <v>7738</v>
      </c>
      <c r="J10627" t="s">
        <v>22634</v>
      </c>
      <c r="K10627" t="s">
        <v>29333</v>
      </c>
      <c r="M10627" t="s">
        <v>29968</v>
      </c>
      <c r="N10627" t="s">
        <v>32524</v>
      </c>
      <c r="O10627" t="s">
        <v>32525</v>
      </c>
      <c r="P10627">
        <v>0</v>
      </c>
      <c r="Q10627">
        <v>8</v>
      </c>
      <c r="R10627" t="s">
        <v>32540</v>
      </c>
      <c r="S10627" t="s">
        <v>33102</v>
      </c>
      <c r="T10627" t="s">
        <v>33293</v>
      </c>
      <c r="U10627" t="s">
        <v>42327</v>
      </c>
      <c r="V10627" t="s">
        <v>43647</v>
      </c>
      <c r="W10627" t="s">
        <v>29968</v>
      </c>
      <c r="X10627" t="s">
        <v>43779</v>
      </c>
    </row>
    <row r="10628" spans="1:24">
      <c r="A10628">
        <f>HYPERLINK("https://www.philgeps.gov.ph/GEPSNONPILOT/Tender/SplashBidNoticeAbstractUI.aspx?menuIndex=3&amp;refID=7019879&amp;Result=3","7019879")</f>
        <v>0</v>
      </c>
      <c r="B10628" t="s">
        <v>2659</v>
      </c>
      <c r="C10628" t="s">
        <v>12873</v>
      </c>
      <c r="D10628" t="s">
        <v>13012</v>
      </c>
      <c r="E10628" t="s">
        <v>13681</v>
      </c>
      <c r="F10628" t="s">
        <v>22436</v>
      </c>
      <c r="G10628" t="s">
        <v>22444</v>
      </c>
      <c r="H10628" t="s">
        <v>22454</v>
      </c>
      <c r="I10628" t="s">
        <v>7738</v>
      </c>
      <c r="J10628" t="s">
        <v>24456</v>
      </c>
      <c r="K10628" t="s">
        <v>29415</v>
      </c>
      <c r="M10628" t="s">
        <v>32502</v>
      </c>
      <c r="N10628" t="s">
        <v>32524</v>
      </c>
      <c r="O10628" t="s">
        <v>32525</v>
      </c>
      <c r="P10628">
        <v>0</v>
      </c>
      <c r="Q10628">
        <v>0</v>
      </c>
      <c r="R10628" t="s">
        <v>32540</v>
      </c>
      <c r="S10628" t="s">
        <v>33102</v>
      </c>
      <c r="T10628" t="s">
        <v>33230</v>
      </c>
      <c r="U10628" t="s">
        <v>42328</v>
      </c>
      <c r="V10628" t="s">
        <v>43650</v>
      </c>
      <c r="W10628" t="s">
        <v>32502</v>
      </c>
      <c r="X10628" t="s">
        <v>43779</v>
      </c>
    </row>
    <row r="10629" spans="1:24">
      <c r="A10629">
        <f>HYPERLINK("https://www.philgeps.gov.ph/GEPSNONPILOT/Tender/SplashBidNoticeAbstractUI.aspx?menuIndex=3&amp;refID=7019786&amp;Result=3","7019786")</f>
        <v>0</v>
      </c>
      <c r="B10629" t="s">
        <v>2661</v>
      </c>
      <c r="C10629" t="s">
        <v>12874</v>
      </c>
      <c r="D10629" t="s">
        <v>13067</v>
      </c>
      <c r="E10629" t="s">
        <v>22337</v>
      </c>
      <c r="F10629" t="s">
        <v>22436</v>
      </c>
      <c r="G10629" t="s">
        <v>22444</v>
      </c>
      <c r="H10629" t="s">
        <v>22452</v>
      </c>
      <c r="I10629" t="s">
        <v>6421</v>
      </c>
      <c r="J10629" t="s">
        <v>29259</v>
      </c>
      <c r="K10629" t="s">
        <v>29341</v>
      </c>
      <c r="M10629" t="s">
        <v>32504</v>
      </c>
      <c r="N10629" t="s">
        <v>32524</v>
      </c>
      <c r="O10629" t="s">
        <v>32525</v>
      </c>
      <c r="P10629">
        <v>0</v>
      </c>
      <c r="Q10629">
        <v>3</v>
      </c>
      <c r="R10629" t="s">
        <v>32540</v>
      </c>
      <c r="S10629" t="s">
        <v>33102</v>
      </c>
      <c r="T10629" t="s">
        <v>33168</v>
      </c>
      <c r="U10629" t="s">
        <v>42329</v>
      </c>
      <c r="W10629" t="s">
        <v>32504</v>
      </c>
      <c r="X10629" t="s">
        <v>43779</v>
      </c>
    </row>
    <row r="10630" spans="1:24">
      <c r="A10630">
        <f>HYPERLINK("https://www.philgeps.gov.ph/GEPSNONPILOT/Tender/SplashBidNoticeAbstractUI.aspx?menuIndex=3&amp;refID=7019777&amp;Result=3","7019777")</f>
        <v>0</v>
      </c>
      <c r="B10630" t="s">
        <v>1026</v>
      </c>
      <c r="C10630" t="s">
        <v>12875</v>
      </c>
      <c r="D10630" t="s">
        <v>13032</v>
      </c>
      <c r="E10630" t="s">
        <v>22338</v>
      </c>
      <c r="F10630" t="s">
        <v>22436</v>
      </c>
      <c r="G10630" t="s">
        <v>22444</v>
      </c>
      <c r="H10630" t="s">
        <v>22452</v>
      </c>
      <c r="I10630" t="s">
        <v>2981</v>
      </c>
      <c r="J10630" t="s">
        <v>29260</v>
      </c>
      <c r="K10630" t="s">
        <v>29335</v>
      </c>
      <c r="M10630" t="s">
        <v>30655</v>
      </c>
      <c r="N10630" t="s">
        <v>32524</v>
      </c>
      <c r="O10630" t="s">
        <v>32525</v>
      </c>
      <c r="P10630">
        <v>0</v>
      </c>
      <c r="Q10630">
        <v>0</v>
      </c>
      <c r="R10630" t="s">
        <v>32540</v>
      </c>
      <c r="S10630" t="s">
        <v>33102</v>
      </c>
      <c r="T10630" t="s">
        <v>33203</v>
      </c>
      <c r="U10630" t="s">
        <v>42330</v>
      </c>
      <c r="W10630" t="s">
        <v>30655</v>
      </c>
      <c r="X10630" t="s">
        <v>43779</v>
      </c>
    </row>
    <row r="10631" spans="1:24">
      <c r="A10631">
        <f>HYPERLINK("https://www.philgeps.gov.ph/GEPSNONPILOT/Tender/SplashBidNoticeAbstractUI.aspx?menuIndex=3&amp;refID=7019833&amp;Result=3","7019833")</f>
        <v>0</v>
      </c>
      <c r="B10631" t="s">
        <v>1008</v>
      </c>
      <c r="C10631" t="s">
        <v>12876</v>
      </c>
      <c r="D10631" t="s">
        <v>13037</v>
      </c>
      <c r="E10631" t="s">
        <v>22339</v>
      </c>
      <c r="F10631" t="s">
        <v>22436</v>
      </c>
      <c r="G10631" t="s">
        <v>22444</v>
      </c>
      <c r="H10631" t="s">
        <v>22454</v>
      </c>
      <c r="I10631" t="s">
        <v>7738</v>
      </c>
      <c r="J10631" t="s">
        <v>23713</v>
      </c>
      <c r="K10631" t="s">
        <v>29427</v>
      </c>
      <c r="M10631" t="s">
        <v>30636</v>
      </c>
      <c r="N10631" t="s">
        <v>32524</v>
      </c>
      <c r="O10631" t="s">
        <v>32525</v>
      </c>
      <c r="P10631">
        <v>0</v>
      </c>
      <c r="Q10631">
        <v>0</v>
      </c>
      <c r="R10631" t="s">
        <v>32540</v>
      </c>
      <c r="S10631" t="s">
        <v>33102</v>
      </c>
      <c r="T10631" t="s">
        <v>33167</v>
      </c>
      <c r="U10631" t="s">
        <v>35903</v>
      </c>
      <c r="W10631" t="s">
        <v>30636</v>
      </c>
      <c r="X10631" t="s">
        <v>43779</v>
      </c>
    </row>
    <row r="10632" spans="1:24">
      <c r="A10632">
        <f>HYPERLINK("https://www.philgeps.gov.ph/GEPSNONPILOT/Tender/SplashBidNoticeAbstractUI.aspx?menuIndex=3&amp;refID=7019864&amp;Result=3","7019864")</f>
        <v>0</v>
      </c>
      <c r="B10632" t="s">
        <v>1008</v>
      </c>
      <c r="C10632" t="s">
        <v>12877</v>
      </c>
      <c r="D10632" t="s">
        <v>13037</v>
      </c>
      <c r="E10632" t="s">
        <v>22340</v>
      </c>
      <c r="F10632" t="s">
        <v>22436</v>
      </c>
      <c r="G10632" t="s">
        <v>22444</v>
      </c>
      <c r="H10632" t="s">
        <v>22454</v>
      </c>
      <c r="I10632" t="s">
        <v>7738</v>
      </c>
      <c r="J10632" t="s">
        <v>25909</v>
      </c>
      <c r="K10632" t="s">
        <v>29334</v>
      </c>
      <c r="M10632" t="s">
        <v>30636</v>
      </c>
      <c r="N10632" t="s">
        <v>32524</v>
      </c>
      <c r="O10632" t="s">
        <v>32525</v>
      </c>
      <c r="P10632">
        <v>0</v>
      </c>
      <c r="Q10632">
        <v>0</v>
      </c>
      <c r="R10632" t="s">
        <v>32540</v>
      </c>
      <c r="S10632" t="s">
        <v>33102</v>
      </c>
      <c r="T10632" t="s">
        <v>33167</v>
      </c>
      <c r="U10632" t="s">
        <v>35903</v>
      </c>
      <c r="W10632" t="s">
        <v>30636</v>
      </c>
      <c r="X10632" t="s">
        <v>43779</v>
      </c>
    </row>
    <row r="10633" spans="1:24">
      <c r="A10633">
        <f>HYPERLINK("https://www.philgeps.gov.ph/GEPSNONPILOT/Tender/SplashBidNoticeAbstractUI.aspx?menuIndex=3&amp;refID=7019869&amp;Result=3","7019869")</f>
        <v>0</v>
      </c>
      <c r="B10633" t="s">
        <v>2642</v>
      </c>
      <c r="C10633" t="s">
        <v>12878</v>
      </c>
      <c r="E10633" t="s">
        <v>14054</v>
      </c>
      <c r="F10633" t="s">
        <v>22436</v>
      </c>
      <c r="G10633" t="s">
        <v>22444</v>
      </c>
      <c r="H10633" t="s">
        <v>22452</v>
      </c>
      <c r="I10633" t="s">
        <v>22460</v>
      </c>
      <c r="J10633" t="s">
        <v>22692</v>
      </c>
      <c r="K10633" t="s">
        <v>29338</v>
      </c>
      <c r="M10633" t="s">
        <v>32480</v>
      </c>
      <c r="N10633" t="s">
        <v>32524</v>
      </c>
      <c r="O10633" t="s">
        <v>32525</v>
      </c>
      <c r="P10633">
        <v>0</v>
      </c>
      <c r="Q10633">
        <v>0</v>
      </c>
      <c r="R10633" t="s">
        <v>32540</v>
      </c>
      <c r="S10633" t="s">
        <v>33102</v>
      </c>
      <c r="T10633" t="s">
        <v>33203</v>
      </c>
      <c r="U10633" t="s">
        <v>42331</v>
      </c>
      <c r="W10633" t="s">
        <v>32480</v>
      </c>
      <c r="X10633" t="s">
        <v>43779</v>
      </c>
    </row>
    <row r="10634" spans="1:24">
      <c r="A10634">
        <f>HYPERLINK("https://www.philgeps.gov.ph/GEPSNONPILOT/Tender/SplashBidNoticeAbstractUI.aspx?menuIndex=3&amp;refID=7019894&amp;Result=3","7019894")</f>
        <v>0</v>
      </c>
      <c r="B10634" t="s">
        <v>1008</v>
      </c>
      <c r="C10634" t="s">
        <v>12879</v>
      </c>
      <c r="D10634" t="s">
        <v>13037</v>
      </c>
      <c r="E10634" t="s">
        <v>22341</v>
      </c>
      <c r="F10634" t="s">
        <v>22436</v>
      </c>
      <c r="G10634" t="s">
        <v>22444</v>
      </c>
      <c r="H10634" t="s">
        <v>22454</v>
      </c>
      <c r="I10634" t="s">
        <v>7738</v>
      </c>
      <c r="J10634" t="s">
        <v>25909</v>
      </c>
      <c r="K10634" t="s">
        <v>29591</v>
      </c>
      <c r="M10634" t="s">
        <v>30636</v>
      </c>
      <c r="N10634" t="s">
        <v>32524</v>
      </c>
      <c r="O10634" t="s">
        <v>32525</v>
      </c>
      <c r="P10634">
        <v>0</v>
      </c>
      <c r="Q10634">
        <v>0</v>
      </c>
      <c r="R10634" t="s">
        <v>32540</v>
      </c>
      <c r="S10634" t="s">
        <v>33102</v>
      </c>
      <c r="T10634" t="s">
        <v>33167</v>
      </c>
      <c r="U10634" t="s">
        <v>35903</v>
      </c>
      <c r="W10634" t="s">
        <v>30636</v>
      </c>
      <c r="X10634" t="s">
        <v>43779</v>
      </c>
    </row>
    <row r="10635" spans="1:24">
      <c r="A10635">
        <f>HYPERLINK("https://www.philgeps.gov.ph/GEPSNONPILOT/Tender/SplashBidNoticeAbstractUI.aspx?menuIndex=3&amp;refID=7019854&amp;Result=3","7019854")</f>
        <v>0</v>
      </c>
      <c r="B10635" t="s">
        <v>2662</v>
      </c>
      <c r="C10635" t="s">
        <v>12880</v>
      </c>
      <c r="D10635" t="s">
        <v>12988</v>
      </c>
      <c r="E10635" t="s">
        <v>20644</v>
      </c>
      <c r="F10635" t="s">
        <v>22436</v>
      </c>
      <c r="G10635" t="s">
        <v>22447</v>
      </c>
      <c r="H10635" t="s">
        <v>22452</v>
      </c>
      <c r="I10635" t="s">
        <v>22467</v>
      </c>
      <c r="J10635" t="s">
        <v>29261</v>
      </c>
      <c r="K10635" t="s">
        <v>29443</v>
      </c>
      <c r="M10635" t="s">
        <v>32505</v>
      </c>
      <c r="N10635" t="s">
        <v>32524</v>
      </c>
      <c r="O10635" t="s">
        <v>32525</v>
      </c>
      <c r="Q10635">
        <v>5</v>
      </c>
      <c r="R10635" t="s">
        <v>32540</v>
      </c>
      <c r="S10635" t="s">
        <v>33134</v>
      </c>
      <c r="T10635" t="s">
        <v>33237</v>
      </c>
      <c r="U10635" t="s">
        <v>42332</v>
      </c>
      <c r="W10635" t="s">
        <v>32505</v>
      </c>
      <c r="X10635" t="s">
        <v>43779</v>
      </c>
    </row>
    <row r="10636" spans="1:24">
      <c r="A10636">
        <f>HYPERLINK("https://www.philgeps.gov.ph/GEPSNONPILOT/Tender/SplashBidNoticeAbstractUI.aspx?menuIndex=3&amp;refID=7019877&amp;Result=3","7019877")</f>
        <v>0</v>
      </c>
      <c r="B10636" t="s">
        <v>2660</v>
      </c>
      <c r="C10636" t="s">
        <v>12881</v>
      </c>
      <c r="D10636" t="s">
        <v>13066</v>
      </c>
      <c r="E10636" t="s">
        <v>22342</v>
      </c>
      <c r="F10636" t="s">
        <v>22436</v>
      </c>
      <c r="G10636" t="s">
        <v>22444</v>
      </c>
      <c r="H10636" t="s">
        <v>22454</v>
      </c>
      <c r="I10636" t="s">
        <v>7738</v>
      </c>
      <c r="J10636" t="s">
        <v>29262</v>
      </c>
      <c r="K10636" t="s">
        <v>29333</v>
      </c>
      <c r="M10636" t="s">
        <v>32503</v>
      </c>
      <c r="N10636" t="s">
        <v>32524</v>
      </c>
      <c r="O10636" t="s">
        <v>32525</v>
      </c>
      <c r="P10636">
        <v>0</v>
      </c>
      <c r="Q10636">
        <v>0</v>
      </c>
      <c r="R10636" t="s">
        <v>32540</v>
      </c>
      <c r="S10636" t="s">
        <v>33102</v>
      </c>
      <c r="T10636" t="s">
        <v>33351</v>
      </c>
      <c r="U10636" t="s">
        <v>42333</v>
      </c>
      <c r="W10636" t="s">
        <v>32503</v>
      </c>
      <c r="X10636" t="s">
        <v>43779</v>
      </c>
    </row>
    <row r="10637" spans="1:24">
      <c r="A10637">
        <f>HYPERLINK("https://www.philgeps.gov.ph/GEPSNONPILOT/Tender/SplashBidNoticeAbstractUI.aspx?menuIndex=3&amp;refID=7019880&amp;Result=3","7019880")</f>
        <v>0</v>
      </c>
      <c r="B10637" t="s">
        <v>1008</v>
      </c>
      <c r="C10637" t="s">
        <v>12882</v>
      </c>
      <c r="D10637" t="s">
        <v>13037</v>
      </c>
      <c r="E10637" t="s">
        <v>22343</v>
      </c>
      <c r="F10637" t="s">
        <v>22436</v>
      </c>
      <c r="G10637" t="s">
        <v>22444</v>
      </c>
      <c r="H10637" t="s">
        <v>22454</v>
      </c>
      <c r="I10637" t="s">
        <v>7738</v>
      </c>
      <c r="J10637" t="s">
        <v>25909</v>
      </c>
      <c r="K10637" t="s">
        <v>29442</v>
      </c>
      <c r="M10637" t="s">
        <v>30636</v>
      </c>
      <c r="N10637" t="s">
        <v>32524</v>
      </c>
      <c r="O10637" t="s">
        <v>32525</v>
      </c>
      <c r="P10637">
        <v>0</v>
      </c>
      <c r="Q10637">
        <v>0</v>
      </c>
      <c r="R10637" t="s">
        <v>32540</v>
      </c>
      <c r="S10637" t="s">
        <v>33102</v>
      </c>
      <c r="T10637" t="s">
        <v>33167</v>
      </c>
      <c r="U10637" t="s">
        <v>35903</v>
      </c>
      <c r="W10637" t="s">
        <v>30636</v>
      </c>
      <c r="X10637" t="s">
        <v>43779</v>
      </c>
    </row>
    <row r="10638" spans="1:24">
      <c r="A10638">
        <f>HYPERLINK("https://www.philgeps.gov.ph/GEPSNONPILOT/Tender/SplashBidNoticeAbstractUI.aspx?menuIndex=3&amp;refID=7019895&amp;Result=3","7019895")</f>
        <v>0</v>
      </c>
      <c r="B10638" t="s">
        <v>2660</v>
      </c>
      <c r="C10638" t="s">
        <v>12883</v>
      </c>
      <c r="D10638" t="s">
        <v>13066</v>
      </c>
      <c r="E10638" t="s">
        <v>14138</v>
      </c>
      <c r="F10638" t="s">
        <v>22436</v>
      </c>
      <c r="G10638" t="s">
        <v>22444</v>
      </c>
      <c r="H10638" t="s">
        <v>22454</v>
      </c>
      <c r="I10638" t="s">
        <v>7738</v>
      </c>
      <c r="J10638" t="s">
        <v>29263</v>
      </c>
      <c r="K10638" t="s">
        <v>29333</v>
      </c>
      <c r="M10638" t="s">
        <v>32503</v>
      </c>
      <c r="N10638" t="s">
        <v>32524</v>
      </c>
      <c r="O10638" t="s">
        <v>32525</v>
      </c>
      <c r="P10638">
        <v>0</v>
      </c>
      <c r="Q10638">
        <v>1</v>
      </c>
      <c r="R10638" t="s">
        <v>32540</v>
      </c>
      <c r="S10638" t="s">
        <v>33102</v>
      </c>
      <c r="T10638" t="s">
        <v>33351</v>
      </c>
      <c r="U10638" t="s">
        <v>42334</v>
      </c>
      <c r="W10638" t="s">
        <v>32503</v>
      </c>
      <c r="X10638" t="s">
        <v>43779</v>
      </c>
    </row>
    <row r="10639" spans="1:24">
      <c r="A10639">
        <f>HYPERLINK("https://www.philgeps.gov.ph/GEPSNONPILOT/Tender/SplashBidNoticeAbstractUI.aspx?menuIndex=3&amp;refID=7019988&amp;Result=3","7019988")</f>
        <v>0</v>
      </c>
      <c r="B10639" t="s">
        <v>2327</v>
      </c>
      <c r="C10639" t="s">
        <v>12884</v>
      </c>
      <c r="D10639" t="s">
        <v>13054</v>
      </c>
      <c r="E10639" t="s">
        <v>20778</v>
      </c>
      <c r="F10639" t="s">
        <v>22436</v>
      </c>
      <c r="G10639" t="s">
        <v>22444</v>
      </c>
      <c r="H10639" t="s">
        <v>22454</v>
      </c>
      <c r="I10639" t="s">
        <v>7738</v>
      </c>
      <c r="J10639" t="s">
        <v>29264</v>
      </c>
      <c r="K10639" t="s">
        <v>29338</v>
      </c>
      <c r="M10639" t="s">
        <v>32104</v>
      </c>
      <c r="N10639" t="s">
        <v>32524</v>
      </c>
      <c r="O10639" t="s">
        <v>32525</v>
      </c>
      <c r="P10639">
        <v>0</v>
      </c>
      <c r="Q10639">
        <v>0</v>
      </c>
      <c r="R10639" t="s">
        <v>32540</v>
      </c>
      <c r="S10639" t="s">
        <v>33102</v>
      </c>
      <c r="T10639" t="s">
        <v>33168</v>
      </c>
      <c r="U10639" t="s">
        <v>42335</v>
      </c>
      <c r="V10639" t="s">
        <v>43642</v>
      </c>
      <c r="W10639" t="s">
        <v>32104</v>
      </c>
      <c r="X10639" t="s">
        <v>43779</v>
      </c>
    </row>
    <row r="10640" spans="1:24">
      <c r="A10640">
        <f>HYPERLINK("https://www.philgeps.gov.ph/GEPSNONPILOT/Tender/SplashBidNoticeAbstractUI.aspx?menuIndex=3&amp;refID=7019927&amp;Result=3","7019927")</f>
        <v>0</v>
      </c>
      <c r="B10640" t="s">
        <v>1864</v>
      </c>
      <c r="C10640" t="s">
        <v>12885</v>
      </c>
      <c r="D10640" t="s">
        <v>13002</v>
      </c>
      <c r="E10640" t="s">
        <v>22344</v>
      </c>
      <c r="F10640" t="s">
        <v>22436</v>
      </c>
      <c r="G10640" t="s">
        <v>22444</v>
      </c>
      <c r="H10640" t="s">
        <v>22454</v>
      </c>
      <c r="I10640" t="s">
        <v>7738</v>
      </c>
      <c r="J10640" t="s">
        <v>29265</v>
      </c>
      <c r="K10640" t="s">
        <v>29344</v>
      </c>
      <c r="M10640" t="s">
        <v>31582</v>
      </c>
      <c r="N10640" t="s">
        <v>32524</v>
      </c>
      <c r="O10640" t="s">
        <v>32525</v>
      </c>
      <c r="P10640">
        <v>0</v>
      </c>
      <c r="Q10640">
        <v>1</v>
      </c>
      <c r="R10640" t="s">
        <v>32540</v>
      </c>
      <c r="S10640" t="s">
        <v>33102</v>
      </c>
      <c r="T10640" t="s">
        <v>33620</v>
      </c>
      <c r="U10640" t="s">
        <v>38496</v>
      </c>
      <c r="V10640" t="s">
        <v>43651</v>
      </c>
      <c r="W10640" t="s">
        <v>31582</v>
      </c>
      <c r="X10640" t="s">
        <v>43779</v>
      </c>
    </row>
    <row r="10641" spans="1:24">
      <c r="A10641">
        <f>HYPERLINK("https://www.philgeps.gov.ph/GEPSNONPILOT/Tender/SplashBidNoticeAbstractUI.aspx?menuIndex=3&amp;refID=7019924&amp;Result=3","7019924")</f>
        <v>0</v>
      </c>
      <c r="B10641" t="s">
        <v>1008</v>
      </c>
      <c r="C10641" t="s">
        <v>12886</v>
      </c>
      <c r="D10641" t="s">
        <v>13037</v>
      </c>
      <c r="E10641" t="s">
        <v>22345</v>
      </c>
      <c r="F10641" t="s">
        <v>22436</v>
      </c>
      <c r="G10641" t="s">
        <v>22444</v>
      </c>
      <c r="H10641" t="s">
        <v>22454</v>
      </c>
      <c r="I10641" t="s">
        <v>7738</v>
      </c>
      <c r="J10641" t="s">
        <v>25355</v>
      </c>
      <c r="K10641" t="s">
        <v>29479</v>
      </c>
      <c r="M10641" t="s">
        <v>30636</v>
      </c>
      <c r="N10641" t="s">
        <v>32524</v>
      </c>
      <c r="O10641" t="s">
        <v>32525</v>
      </c>
      <c r="P10641">
        <v>0</v>
      </c>
      <c r="Q10641">
        <v>0</v>
      </c>
      <c r="R10641" t="s">
        <v>32540</v>
      </c>
      <c r="S10641" t="s">
        <v>33102</v>
      </c>
      <c r="T10641" t="s">
        <v>33167</v>
      </c>
      <c r="U10641" t="s">
        <v>35903</v>
      </c>
      <c r="W10641" t="s">
        <v>30636</v>
      </c>
      <c r="X10641" t="s">
        <v>43779</v>
      </c>
    </row>
    <row r="10642" spans="1:24">
      <c r="A10642">
        <f>HYPERLINK("https://www.philgeps.gov.ph/GEPSNONPILOT/Tender/SplashBidNoticeAbstractUI.aspx?menuIndex=3&amp;refID=7019912&amp;Result=3","7019912")</f>
        <v>0</v>
      </c>
      <c r="B10642" t="s">
        <v>2660</v>
      </c>
      <c r="C10642" t="s">
        <v>12887</v>
      </c>
      <c r="D10642" t="s">
        <v>13066</v>
      </c>
      <c r="E10642" t="s">
        <v>22346</v>
      </c>
      <c r="F10642" t="s">
        <v>22436</v>
      </c>
      <c r="G10642" t="s">
        <v>22444</v>
      </c>
      <c r="H10642" t="s">
        <v>22454</v>
      </c>
      <c r="I10642" t="s">
        <v>22511</v>
      </c>
      <c r="J10642" t="s">
        <v>22640</v>
      </c>
      <c r="K10642" t="s">
        <v>29333</v>
      </c>
      <c r="M10642" t="s">
        <v>32503</v>
      </c>
      <c r="N10642" t="s">
        <v>32524</v>
      </c>
      <c r="O10642" t="s">
        <v>32525</v>
      </c>
      <c r="P10642">
        <v>0</v>
      </c>
      <c r="Q10642">
        <v>1</v>
      </c>
      <c r="R10642" t="s">
        <v>32540</v>
      </c>
      <c r="S10642" t="s">
        <v>33102</v>
      </c>
      <c r="T10642" t="s">
        <v>33351</v>
      </c>
      <c r="U10642" t="s">
        <v>42336</v>
      </c>
      <c r="W10642" t="s">
        <v>32503</v>
      </c>
      <c r="X10642" t="s">
        <v>43779</v>
      </c>
    </row>
    <row r="10643" spans="1:24">
      <c r="A10643">
        <f>HYPERLINK("https://www.philgeps.gov.ph/GEPSNONPILOT/Tender/SplashBidNoticeAbstractUI.aspx?menuIndex=3&amp;refID=7019935&amp;Result=3","7019935")</f>
        <v>0</v>
      </c>
      <c r="B10643" t="s">
        <v>1008</v>
      </c>
      <c r="C10643" t="s">
        <v>12888</v>
      </c>
      <c r="D10643" t="s">
        <v>13037</v>
      </c>
      <c r="E10643" t="s">
        <v>22347</v>
      </c>
      <c r="F10643" t="s">
        <v>22436</v>
      </c>
      <c r="G10643" t="s">
        <v>22444</v>
      </c>
      <c r="H10643" t="s">
        <v>22454</v>
      </c>
      <c r="I10643" t="s">
        <v>7738</v>
      </c>
      <c r="J10643" t="s">
        <v>24295</v>
      </c>
      <c r="K10643" t="s">
        <v>29419</v>
      </c>
      <c r="M10643" t="s">
        <v>30636</v>
      </c>
      <c r="N10643" t="s">
        <v>32524</v>
      </c>
      <c r="O10643" t="s">
        <v>32525</v>
      </c>
      <c r="P10643">
        <v>0</v>
      </c>
      <c r="Q10643">
        <v>0</v>
      </c>
      <c r="R10643" t="s">
        <v>32540</v>
      </c>
      <c r="S10643" t="s">
        <v>33102</v>
      </c>
      <c r="T10643" t="s">
        <v>33167</v>
      </c>
      <c r="U10643" t="s">
        <v>35903</v>
      </c>
      <c r="W10643" t="s">
        <v>30636</v>
      </c>
      <c r="X10643" t="s">
        <v>43779</v>
      </c>
    </row>
    <row r="10644" spans="1:24">
      <c r="A10644">
        <f>HYPERLINK("https://www.philgeps.gov.ph/GEPSNONPILOT/Tender/SplashBidNoticeAbstractUI.aspx?menuIndex=3&amp;refID=7020010&amp;Result=3","7020010")</f>
        <v>0</v>
      </c>
      <c r="B10644" t="s">
        <v>1026</v>
      </c>
      <c r="C10644" t="s">
        <v>12889</v>
      </c>
      <c r="D10644" t="s">
        <v>13032</v>
      </c>
      <c r="E10644" t="s">
        <v>22348</v>
      </c>
      <c r="F10644" t="s">
        <v>22436</v>
      </c>
      <c r="G10644" t="s">
        <v>22444</v>
      </c>
      <c r="H10644" t="s">
        <v>22452</v>
      </c>
      <c r="I10644" t="s">
        <v>12358</v>
      </c>
      <c r="J10644" t="s">
        <v>22743</v>
      </c>
      <c r="K10644" t="s">
        <v>29333</v>
      </c>
      <c r="M10644" t="s">
        <v>30655</v>
      </c>
      <c r="N10644" t="s">
        <v>32524</v>
      </c>
      <c r="O10644" t="s">
        <v>32525</v>
      </c>
      <c r="P10644">
        <v>0</v>
      </c>
      <c r="Q10644">
        <v>1</v>
      </c>
      <c r="R10644" t="s">
        <v>32540</v>
      </c>
      <c r="S10644" t="s">
        <v>33102</v>
      </c>
      <c r="T10644" t="s">
        <v>33203</v>
      </c>
      <c r="U10644" t="s">
        <v>42337</v>
      </c>
      <c r="W10644" t="s">
        <v>30655</v>
      </c>
      <c r="X10644" t="s">
        <v>43779</v>
      </c>
    </row>
    <row r="10645" spans="1:24">
      <c r="A10645">
        <f>HYPERLINK("https://www.philgeps.gov.ph/GEPSNONPILOT/Tender/SplashBidNoticeAbstractUI.aspx?menuIndex=3&amp;refID=7019902&amp;Result=3","7019902")</f>
        <v>0</v>
      </c>
      <c r="B10645" t="s">
        <v>50</v>
      </c>
      <c r="C10645" t="s">
        <v>12890</v>
      </c>
      <c r="D10645" t="s">
        <v>13008</v>
      </c>
      <c r="E10645" t="s">
        <v>22349</v>
      </c>
      <c r="F10645" t="s">
        <v>22436</v>
      </c>
      <c r="G10645" t="s">
        <v>22444</v>
      </c>
      <c r="H10645" t="s">
        <v>22452</v>
      </c>
      <c r="I10645" t="s">
        <v>3827</v>
      </c>
      <c r="J10645" t="s">
        <v>22640</v>
      </c>
      <c r="K10645" t="s">
        <v>29335</v>
      </c>
      <c r="M10645" t="s">
        <v>29622</v>
      </c>
      <c r="N10645" t="s">
        <v>32524</v>
      </c>
      <c r="O10645" t="s">
        <v>32525</v>
      </c>
      <c r="P10645">
        <v>0</v>
      </c>
      <c r="Q10645">
        <v>10</v>
      </c>
      <c r="R10645" t="s">
        <v>32540</v>
      </c>
      <c r="S10645" t="s">
        <v>33102</v>
      </c>
      <c r="T10645" t="s">
        <v>33181</v>
      </c>
      <c r="U10645" t="s">
        <v>42338</v>
      </c>
      <c r="W10645" t="s">
        <v>29622</v>
      </c>
      <c r="X10645" t="s">
        <v>43779</v>
      </c>
    </row>
    <row r="10646" spans="1:24">
      <c r="A10646">
        <f>HYPERLINK("https://www.philgeps.gov.ph/GEPSNONPILOT/Tender/SplashBidNoticeAbstractUI.aspx?menuIndex=3&amp;refID=7019896&amp;Result=3","7019896")</f>
        <v>0</v>
      </c>
      <c r="B10646" t="s">
        <v>1949</v>
      </c>
      <c r="C10646" t="s">
        <v>12891</v>
      </c>
      <c r="D10646" t="s">
        <v>13019</v>
      </c>
      <c r="E10646" t="s">
        <v>22350</v>
      </c>
      <c r="F10646" t="s">
        <v>22436</v>
      </c>
      <c r="G10646" t="s">
        <v>22444</v>
      </c>
      <c r="H10646" t="s">
        <v>22454</v>
      </c>
      <c r="I10646" t="s">
        <v>7738</v>
      </c>
      <c r="J10646" t="s">
        <v>29266</v>
      </c>
      <c r="K10646" t="s">
        <v>29334</v>
      </c>
      <c r="M10646" t="s">
        <v>31679</v>
      </c>
      <c r="N10646" t="s">
        <v>32524</v>
      </c>
      <c r="O10646" t="s">
        <v>32525</v>
      </c>
      <c r="P10646">
        <v>0</v>
      </c>
      <c r="Q10646">
        <v>0</v>
      </c>
      <c r="R10646" t="s">
        <v>32540</v>
      </c>
      <c r="S10646" t="s">
        <v>33102</v>
      </c>
      <c r="T10646" t="s">
        <v>33252</v>
      </c>
      <c r="U10646" t="s">
        <v>42339</v>
      </c>
      <c r="V10646" t="s">
        <v>43652</v>
      </c>
      <c r="W10646" t="s">
        <v>31679</v>
      </c>
      <c r="X10646" t="s">
        <v>43779</v>
      </c>
    </row>
    <row r="10647" spans="1:24">
      <c r="A10647">
        <f>HYPERLINK("https://www.philgeps.gov.ph/GEPSNONPILOT/Tender/SplashBidNoticeAbstractUI.aspx?menuIndex=3&amp;refID=7020052&amp;Result=3","7020052")</f>
        <v>0</v>
      </c>
      <c r="B10647" t="s">
        <v>2052</v>
      </c>
      <c r="C10647" t="s">
        <v>12892</v>
      </c>
      <c r="D10647" t="s">
        <v>13018</v>
      </c>
      <c r="E10647" t="s">
        <v>22351</v>
      </c>
      <c r="F10647" t="s">
        <v>22436</v>
      </c>
      <c r="G10647" t="s">
        <v>22444</v>
      </c>
      <c r="H10647" t="s">
        <v>22454</v>
      </c>
      <c r="I10647" t="s">
        <v>7738</v>
      </c>
      <c r="J10647" t="s">
        <v>29267</v>
      </c>
      <c r="K10647" t="s">
        <v>29362</v>
      </c>
      <c r="M10647" t="s">
        <v>31793</v>
      </c>
      <c r="N10647" t="s">
        <v>32524</v>
      </c>
      <c r="O10647" t="s">
        <v>32525</v>
      </c>
      <c r="P10647">
        <v>0</v>
      </c>
      <c r="Q10647">
        <v>1</v>
      </c>
      <c r="R10647" t="s">
        <v>32540</v>
      </c>
      <c r="S10647" t="s">
        <v>33102</v>
      </c>
      <c r="T10647" t="s">
        <v>33167</v>
      </c>
      <c r="U10647" t="s">
        <v>42340</v>
      </c>
      <c r="V10647" t="s">
        <v>43653</v>
      </c>
      <c r="W10647" t="s">
        <v>31793</v>
      </c>
      <c r="X10647" t="s">
        <v>43779</v>
      </c>
    </row>
    <row r="10648" spans="1:24">
      <c r="A10648">
        <f>HYPERLINK("https://www.philgeps.gov.ph/GEPSNONPILOT/Tender/SplashBidNoticeAbstractUI.aspx?menuIndex=3&amp;refID=7020038&amp;Result=3","7020038")</f>
        <v>0</v>
      </c>
      <c r="B10648" t="s">
        <v>456</v>
      </c>
      <c r="C10648" t="s">
        <v>12893</v>
      </c>
      <c r="D10648" t="s">
        <v>13045</v>
      </c>
      <c r="E10648" t="s">
        <v>22352</v>
      </c>
      <c r="F10648" t="s">
        <v>22436</v>
      </c>
      <c r="G10648" t="s">
        <v>22444</v>
      </c>
      <c r="H10648" t="s">
        <v>22454</v>
      </c>
      <c r="I10648" t="s">
        <v>7738</v>
      </c>
      <c r="J10648" t="s">
        <v>22587</v>
      </c>
      <c r="K10648" t="s">
        <v>29571</v>
      </c>
      <c r="M10648" t="s">
        <v>30038</v>
      </c>
      <c r="N10648" t="s">
        <v>32524</v>
      </c>
      <c r="O10648" t="s">
        <v>32525</v>
      </c>
      <c r="Q10648">
        <v>2</v>
      </c>
      <c r="R10648" t="s">
        <v>32540</v>
      </c>
      <c r="S10648" t="s">
        <v>33135</v>
      </c>
      <c r="T10648" t="s">
        <v>33332</v>
      </c>
      <c r="U10648" t="s">
        <v>42341</v>
      </c>
      <c r="V10648" t="s">
        <v>43654</v>
      </c>
      <c r="W10648" t="s">
        <v>30038</v>
      </c>
      <c r="X10648" t="s">
        <v>43779</v>
      </c>
    </row>
    <row r="10649" spans="1:24">
      <c r="A10649">
        <f>HYPERLINK("https://www.philgeps.gov.ph/GEPSNONPILOT/Tender/SplashBidNoticeAbstractUI.aspx?menuIndex=3&amp;refID=7020030&amp;Result=3","7020030")</f>
        <v>0</v>
      </c>
      <c r="B10649" t="s">
        <v>50</v>
      </c>
      <c r="C10649" t="s">
        <v>12894</v>
      </c>
      <c r="D10649" t="s">
        <v>13008</v>
      </c>
      <c r="E10649" t="s">
        <v>22353</v>
      </c>
      <c r="F10649" t="s">
        <v>22436</v>
      </c>
      <c r="G10649" t="s">
        <v>22444</v>
      </c>
      <c r="H10649" t="s">
        <v>22452</v>
      </c>
      <c r="I10649" t="s">
        <v>11896</v>
      </c>
      <c r="J10649" t="s">
        <v>29268</v>
      </c>
      <c r="K10649" t="s">
        <v>29335</v>
      </c>
      <c r="M10649" t="s">
        <v>29622</v>
      </c>
      <c r="N10649" t="s">
        <v>32524</v>
      </c>
      <c r="O10649" t="s">
        <v>32525</v>
      </c>
      <c r="P10649">
        <v>0</v>
      </c>
      <c r="Q10649">
        <v>3</v>
      </c>
      <c r="R10649" t="s">
        <v>32540</v>
      </c>
      <c r="S10649" t="s">
        <v>33102</v>
      </c>
      <c r="T10649" t="s">
        <v>33181</v>
      </c>
      <c r="U10649" t="s">
        <v>42342</v>
      </c>
      <c r="W10649" t="s">
        <v>29622</v>
      </c>
      <c r="X10649" t="s">
        <v>43779</v>
      </c>
    </row>
    <row r="10650" spans="1:24">
      <c r="A10650">
        <f>HYPERLINK("https://www.philgeps.gov.ph/GEPSNONPILOT/Tender/SplashBidNoticeAbstractUI.aspx?menuIndex=3&amp;refID=7019984&amp;Result=3","7019984")</f>
        <v>0</v>
      </c>
      <c r="B10650" t="s">
        <v>720</v>
      </c>
      <c r="C10650" t="s">
        <v>12895</v>
      </c>
      <c r="D10650" t="s">
        <v>13058</v>
      </c>
      <c r="E10650" t="s">
        <v>22354</v>
      </c>
      <c r="F10650" t="s">
        <v>22436</v>
      </c>
      <c r="G10650" t="s">
        <v>22450</v>
      </c>
      <c r="H10650" t="s">
        <v>22452</v>
      </c>
      <c r="I10650" t="s">
        <v>22474</v>
      </c>
      <c r="J10650" t="s">
        <v>29269</v>
      </c>
      <c r="K10650" t="s">
        <v>29335</v>
      </c>
      <c r="M10650" t="s">
        <v>30317</v>
      </c>
      <c r="N10650" t="s">
        <v>32524</v>
      </c>
      <c r="O10650" t="s">
        <v>32525</v>
      </c>
      <c r="P10650">
        <v>0</v>
      </c>
      <c r="Q10650">
        <v>2</v>
      </c>
      <c r="R10650" t="s">
        <v>32540</v>
      </c>
      <c r="S10650" t="s">
        <v>33102</v>
      </c>
      <c r="T10650" t="s">
        <v>33180</v>
      </c>
      <c r="U10650" t="s">
        <v>42343</v>
      </c>
      <c r="V10650" t="s">
        <v>43655</v>
      </c>
      <c r="W10650" t="s">
        <v>30317</v>
      </c>
      <c r="X10650" t="s">
        <v>43779</v>
      </c>
    </row>
    <row r="10651" spans="1:24">
      <c r="A10651">
        <f>HYPERLINK("https://www.philgeps.gov.ph/GEPSNONPILOT/Tender/SplashBidNoticeAbstractUI.aspx?menuIndex=3&amp;refID=7020019&amp;Result=3","7020019")</f>
        <v>0</v>
      </c>
      <c r="B10651" t="s">
        <v>2327</v>
      </c>
      <c r="C10651" t="s">
        <v>12896</v>
      </c>
      <c r="D10651" t="s">
        <v>13054</v>
      </c>
      <c r="E10651" t="s">
        <v>20778</v>
      </c>
      <c r="F10651" t="s">
        <v>22436</v>
      </c>
      <c r="G10651" t="s">
        <v>22444</v>
      </c>
      <c r="H10651" t="s">
        <v>22454</v>
      </c>
      <c r="I10651" t="s">
        <v>7738</v>
      </c>
      <c r="J10651" t="s">
        <v>22779</v>
      </c>
      <c r="K10651" t="s">
        <v>29338</v>
      </c>
      <c r="M10651" t="s">
        <v>32104</v>
      </c>
      <c r="N10651" t="s">
        <v>32524</v>
      </c>
      <c r="O10651" t="s">
        <v>32525</v>
      </c>
      <c r="P10651">
        <v>0</v>
      </c>
      <c r="Q10651">
        <v>0</v>
      </c>
      <c r="R10651" t="s">
        <v>32540</v>
      </c>
      <c r="S10651" t="s">
        <v>33102</v>
      </c>
      <c r="T10651" t="s">
        <v>33181</v>
      </c>
      <c r="U10651" t="s">
        <v>42344</v>
      </c>
      <c r="V10651" t="s">
        <v>43642</v>
      </c>
      <c r="W10651" t="s">
        <v>32104</v>
      </c>
      <c r="X10651" t="s">
        <v>43779</v>
      </c>
    </row>
    <row r="10652" spans="1:24">
      <c r="A10652">
        <f>HYPERLINK("https://www.philgeps.gov.ph/GEPSNONPILOT/Tender/SplashBidNoticeAbstractUI.aspx?menuIndex=3&amp;refID=7020039&amp;Result=3","7020039")</f>
        <v>0</v>
      </c>
      <c r="B10652" t="s">
        <v>50</v>
      </c>
      <c r="C10652" t="s">
        <v>12897</v>
      </c>
      <c r="D10652" t="s">
        <v>13008</v>
      </c>
      <c r="E10652" t="s">
        <v>22353</v>
      </c>
      <c r="F10652" t="s">
        <v>22436</v>
      </c>
      <c r="G10652" t="s">
        <v>22444</v>
      </c>
      <c r="H10652" t="s">
        <v>22452</v>
      </c>
      <c r="I10652" t="s">
        <v>22482</v>
      </c>
      <c r="J10652" t="s">
        <v>29270</v>
      </c>
      <c r="K10652" t="s">
        <v>29335</v>
      </c>
      <c r="M10652" t="s">
        <v>29622</v>
      </c>
      <c r="N10652" t="s">
        <v>32524</v>
      </c>
      <c r="O10652" t="s">
        <v>32525</v>
      </c>
      <c r="P10652">
        <v>0</v>
      </c>
      <c r="Q10652">
        <v>2</v>
      </c>
      <c r="R10652" t="s">
        <v>32540</v>
      </c>
      <c r="S10652" t="s">
        <v>33102</v>
      </c>
      <c r="T10652" t="s">
        <v>33181</v>
      </c>
      <c r="U10652" t="s">
        <v>42342</v>
      </c>
      <c r="W10652" t="s">
        <v>29622</v>
      </c>
      <c r="X10652" t="s">
        <v>43779</v>
      </c>
    </row>
    <row r="10653" spans="1:24">
      <c r="A10653">
        <f>HYPERLINK("https://www.philgeps.gov.ph/GEPSNONPILOT/Tender/SplashBidNoticeAbstractUI.aspx?menuIndex=3&amp;refID=7020053&amp;Result=3","7020053")</f>
        <v>0</v>
      </c>
      <c r="B10653" t="s">
        <v>50</v>
      </c>
      <c r="C10653" t="s">
        <v>12898</v>
      </c>
      <c r="D10653" t="s">
        <v>13008</v>
      </c>
      <c r="E10653" t="s">
        <v>22353</v>
      </c>
      <c r="F10653" t="s">
        <v>22436</v>
      </c>
      <c r="G10653" t="s">
        <v>22444</v>
      </c>
      <c r="H10653" t="s">
        <v>22452</v>
      </c>
      <c r="I10653" t="s">
        <v>22458</v>
      </c>
      <c r="J10653" t="s">
        <v>25148</v>
      </c>
      <c r="K10653" t="s">
        <v>29335</v>
      </c>
      <c r="M10653" t="s">
        <v>29622</v>
      </c>
      <c r="N10653" t="s">
        <v>32524</v>
      </c>
      <c r="O10653" t="s">
        <v>32525</v>
      </c>
      <c r="P10653">
        <v>0</v>
      </c>
      <c r="Q10653">
        <v>4</v>
      </c>
      <c r="R10653" t="s">
        <v>32540</v>
      </c>
      <c r="S10653" t="s">
        <v>33102</v>
      </c>
      <c r="T10653" t="s">
        <v>33181</v>
      </c>
      <c r="U10653" t="s">
        <v>42342</v>
      </c>
      <c r="W10653" t="s">
        <v>29622</v>
      </c>
      <c r="X10653" t="s">
        <v>43779</v>
      </c>
    </row>
    <row r="10654" spans="1:24">
      <c r="A10654">
        <f>HYPERLINK("https://www.philgeps.gov.ph/GEPSNONPILOT/Tender/SplashBidNoticeAbstractUI.aspx?menuIndex=3&amp;refID=7019994&amp;Result=3","7019994")</f>
        <v>0</v>
      </c>
      <c r="B10654" t="s">
        <v>720</v>
      </c>
      <c r="C10654" t="s">
        <v>12899</v>
      </c>
      <c r="D10654" t="s">
        <v>13058</v>
      </c>
      <c r="E10654" t="s">
        <v>22355</v>
      </c>
      <c r="F10654" t="s">
        <v>22436</v>
      </c>
      <c r="G10654" t="s">
        <v>22450</v>
      </c>
      <c r="H10654" t="s">
        <v>22452</v>
      </c>
      <c r="I10654" t="s">
        <v>22474</v>
      </c>
      <c r="J10654" t="s">
        <v>29271</v>
      </c>
      <c r="K10654" t="s">
        <v>29335</v>
      </c>
      <c r="M10654" t="s">
        <v>30317</v>
      </c>
      <c r="N10654" t="s">
        <v>32524</v>
      </c>
      <c r="O10654" t="s">
        <v>32525</v>
      </c>
      <c r="P10654">
        <v>0</v>
      </c>
      <c r="Q10654">
        <v>2</v>
      </c>
      <c r="R10654" t="s">
        <v>32540</v>
      </c>
      <c r="S10654" t="s">
        <v>33102</v>
      </c>
      <c r="T10654" t="s">
        <v>33180</v>
      </c>
      <c r="U10654" t="s">
        <v>42345</v>
      </c>
      <c r="V10654" t="s">
        <v>43656</v>
      </c>
      <c r="W10654" t="s">
        <v>30317</v>
      </c>
      <c r="X10654" t="s">
        <v>43779</v>
      </c>
    </row>
    <row r="10655" spans="1:24">
      <c r="A10655">
        <f>HYPERLINK("https://www.philgeps.gov.ph/GEPSNONPILOT/Tender/SplashBidNoticeAbstractUI.aspx?menuIndex=3&amp;refID=7020014&amp;Result=3","7020014")</f>
        <v>0</v>
      </c>
      <c r="B10655" t="s">
        <v>50</v>
      </c>
      <c r="C10655" t="s">
        <v>12900</v>
      </c>
      <c r="D10655" t="s">
        <v>13008</v>
      </c>
      <c r="E10655" t="s">
        <v>22353</v>
      </c>
      <c r="F10655" t="s">
        <v>22436</v>
      </c>
      <c r="G10655" t="s">
        <v>22444</v>
      </c>
      <c r="H10655" t="s">
        <v>22452</v>
      </c>
      <c r="I10655" t="s">
        <v>22469</v>
      </c>
      <c r="J10655" t="s">
        <v>23200</v>
      </c>
      <c r="K10655" t="s">
        <v>29335</v>
      </c>
      <c r="M10655" t="s">
        <v>29622</v>
      </c>
      <c r="N10655" t="s">
        <v>32524</v>
      </c>
      <c r="O10655" t="s">
        <v>32525</v>
      </c>
      <c r="P10655">
        <v>0</v>
      </c>
      <c r="Q10655">
        <v>5</v>
      </c>
      <c r="R10655" t="s">
        <v>32540</v>
      </c>
      <c r="S10655" t="s">
        <v>33102</v>
      </c>
      <c r="T10655" t="s">
        <v>33181</v>
      </c>
      <c r="U10655" t="s">
        <v>42342</v>
      </c>
      <c r="W10655" t="s">
        <v>29622</v>
      </c>
      <c r="X10655" t="s">
        <v>43779</v>
      </c>
    </row>
    <row r="10656" spans="1:24">
      <c r="A10656">
        <f>HYPERLINK("https://www.philgeps.gov.ph/GEPSNONPILOT/Tender/SplashBidNoticeAbstractUI.aspx?menuIndex=3&amp;refID=7020146&amp;Result=3","7020146")</f>
        <v>0</v>
      </c>
      <c r="B10656" t="s">
        <v>2663</v>
      </c>
      <c r="C10656" t="s">
        <v>12901</v>
      </c>
      <c r="D10656" t="s">
        <v>13018</v>
      </c>
      <c r="E10656" t="s">
        <v>22356</v>
      </c>
      <c r="F10656" t="s">
        <v>22436</v>
      </c>
      <c r="G10656" t="s">
        <v>22444</v>
      </c>
      <c r="H10656" t="s">
        <v>22452</v>
      </c>
      <c r="I10656" t="s">
        <v>3381</v>
      </c>
      <c r="J10656" t="s">
        <v>29272</v>
      </c>
      <c r="K10656" t="s">
        <v>29333</v>
      </c>
      <c r="M10656" t="s">
        <v>32506</v>
      </c>
      <c r="N10656" t="s">
        <v>32524</v>
      </c>
      <c r="O10656" t="s">
        <v>32525</v>
      </c>
      <c r="Q10656">
        <v>6</v>
      </c>
      <c r="R10656" t="s">
        <v>32540</v>
      </c>
      <c r="S10656" t="s">
        <v>33136</v>
      </c>
      <c r="T10656" t="s">
        <v>33168</v>
      </c>
      <c r="U10656" t="s">
        <v>42346</v>
      </c>
      <c r="V10656" t="s">
        <v>43657</v>
      </c>
      <c r="W10656" t="s">
        <v>32506</v>
      </c>
      <c r="X10656" t="s">
        <v>43779</v>
      </c>
    </row>
    <row r="10657" spans="1:24">
      <c r="A10657">
        <f>HYPERLINK("https://www.philgeps.gov.ph/GEPSNONPILOT/Tender/SplashBidNoticeAbstractUI.aspx?menuIndex=3&amp;refID=7020132&amp;Result=3","7020132")</f>
        <v>0</v>
      </c>
      <c r="B10657" t="s">
        <v>2664</v>
      </c>
      <c r="C10657" t="s">
        <v>12902</v>
      </c>
      <c r="D10657" t="s">
        <v>13061</v>
      </c>
      <c r="E10657" t="s">
        <v>22357</v>
      </c>
      <c r="F10657" t="s">
        <v>22436</v>
      </c>
      <c r="G10657" t="s">
        <v>22444</v>
      </c>
      <c r="H10657" t="s">
        <v>22454</v>
      </c>
      <c r="I10657" t="s">
        <v>7738</v>
      </c>
      <c r="J10657" t="s">
        <v>29273</v>
      </c>
      <c r="K10657" t="s">
        <v>29378</v>
      </c>
      <c r="M10657" t="s">
        <v>32507</v>
      </c>
      <c r="N10657" t="s">
        <v>32524</v>
      </c>
      <c r="O10657" t="s">
        <v>32525</v>
      </c>
      <c r="P10657">
        <v>0</v>
      </c>
      <c r="Q10657">
        <v>0</v>
      </c>
      <c r="R10657" t="s">
        <v>32540</v>
      </c>
      <c r="S10657" t="s">
        <v>33102</v>
      </c>
      <c r="T10657" t="s">
        <v>33211</v>
      </c>
      <c r="U10657" t="s">
        <v>42347</v>
      </c>
      <c r="W10657" t="s">
        <v>32507</v>
      </c>
      <c r="X10657" t="s">
        <v>43779</v>
      </c>
    </row>
    <row r="10658" spans="1:24">
      <c r="A10658">
        <f>HYPERLINK("https://www.philgeps.gov.ph/GEPSNONPILOT/Tender/SplashBidNoticeAbstractUI.aspx?menuIndex=3&amp;refID=7019957&amp;Result=3","7019957")</f>
        <v>0</v>
      </c>
      <c r="B10658" t="s">
        <v>1008</v>
      </c>
      <c r="C10658" t="s">
        <v>12903</v>
      </c>
      <c r="D10658" t="s">
        <v>13037</v>
      </c>
      <c r="E10658" t="s">
        <v>22358</v>
      </c>
      <c r="F10658" t="s">
        <v>22436</v>
      </c>
      <c r="G10658" t="s">
        <v>22444</v>
      </c>
      <c r="H10658" t="s">
        <v>22454</v>
      </c>
      <c r="I10658" t="s">
        <v>7738</v>
      </c>
      <c r="J10658" t="s">
        <v>25263</v>
      </c>
      <c r="K10658" t="s">
        <v>29345</v>
      </c>
      <c r="M10658" t="s">
        <v>30636</v>
      </c>
      <c r="N10658" t="s">
        <v>32524</v>
      </c>
      <c r="O10658" t="s">
        <v>32525</v>
      </c>
      <c r="Q10658">
        <v>0</v>
      </c>
      <c r="R10658" t="s">
        <v>32540</v>
      </c>
      <c r="S10658" t="s">
        <v>33137</v>
      </c>
      <c r="T10658" t="s">
        <v>33167</v>
      </c>
      <c r="U10658" t="s">
        <v>35903</v>
      </c>
      <c r="W10658" t="s">
        <v>30636</v>
      </c>
      <c r="X10658" t="s">
        <v>43779</v>
      </c>
    </row>
    <row r="10659" spans="1:24">
      <c r="A10659">
        <f>HYPERLINK("https://www.philgeps.gov.ph/GEPSNONPILOT/Tender/SplashBidNoticeAbstractUI.aspx?menuIndex=3&amp;refID=7019983&amp;Result=3","7019983")</f>
        <v>0</v>
      </c>
      <c r="B10659" t="s">
        <v>2225</v>
      </c>
      <c r="C10659" t="s">
        <v>12904</v>
      </c>
      <c r="D10659" t="s">
        <v>13032</v>
      </c>
      <c r="E10659" t="s">
        <v>20150</v>
      </c>
      <c r="F10659" t="s">
        <v>22436</v>
      </c>
      <c r="G10659" t="s">
        <v>22444</v>
      </c>
      <c r="H10659" t="s">
        <v>22453</v>
      </c>
      <c r="I10659" t="s">
        <v>3381</v>
      </c>
      <c r="J10659" t="s">
        <v>22669</v>
      </c>
      <c r="K10659" t="s">
        <v>29335</v>
      </c>
      <c r="M10659" t="s">
        <v>31991</v>
      </c>
      <c r="N10659" t="s">
        <v>32524</v>
      </c>
      <c r="O10659" t="s">
        <v>32525</v>
      </c>
      <c r="P10659">
        <v>0</v>
      </c>
      <c r="Q10659">
        <v>5</v>
      </c>
      <c r="R10659" t="s">
        <v>32540</v>
      </c>
      <c r="S10659" t="s">
        <v>33102</v>
      </c>
      <c r="T10659" t="s">
        <v>33603</v>
      </c>
      <c r="U10659" t="s">
        <v>42348</v>
      </c>
      <c r="W10659" t="s">
        <v>31991</v>
      </c>
      <c r="X10659" t="s">
        <v>43779</v>
      </c>
    </row>
    <row r="10660" spans="1:24">
      <c r="A10660">
        <f>HYPERLINK("https://www.philgeps.gov.ph/GEPSNONPILOT/Tender/SplashBidNoticeAbstractUI.aspx?menuIndex=3&amp;refID=7020134&amp;Result=3","7020134")</f>
        <v>0</v>
      </c>
      <c r="B10660" t="s">
        <v>371</v>
      </c>
      <c r="C10660" t="s">
        <v>3700</v>
      </c>
      <c r="D10660" t="s">
        <v>13035</v>
      </c>
      <c r="E10660" t="s">
        <v>22359</v>
      </c>
      <c r="F10660" t="s">
        <v>22436</v>
      </c>
      <c r="G10660" t="s">
        <v>22444</v>
      </c>
      <c r="H10660" t="s">
        <v>22452</v>
      </c>
      <c r="I10660" t="s">
        <v>6421</v>
      </c>
      <c r="J10660" t="s">
        <v>29274</v>
      </c>
      <c r="K10660" t="s">
        <v>29331</v>
      </c>
      <c r="M10660" t="s">
        <v>29949</v>
      </c>
      <c r="N10660" t="s">
        <v>32524</v>
      </c>
      <c r="O10660" t="s">
        <v>32525</v>
      </c>
      <c r="P10660">
        <v>0</v>
      </c>
      <c r="Q10660">
        <v>2</v>
      </c>
      <c r="R10660" t="s">
        <v>32540</v>
      </c>
      <c r="S10660" t="s">
        <v>33102</v>
      </c>
      <c r="T10660" t="s">
        <v>33168</v>
      </c>
      <c r="U10660" t="s">
        <v>42349</v>
      </c>
      <c r="W10660" t="s">
        <v>29949</v>
      </c>
      <c r="X10660" t="s">
        <v>43779</v>
      </c>
    </row>
    <row r="10661" spans="1:24">
      <c r="A10661">
        <f>HYPERLINK("https://www.philgeps.gov.ph/GEPSNONPILOT/Tender/SplashBidNoticeAbstractUI.aspx?menuIndex=3&amp;refID=7020142&amp;Result=3","7020142")</f>
        <v>0</v>
      </c>
      <c r="B10661" t="s">
        <v>2664</v>
      </c>
      <c r="C10661" t="s">
        <v>12905</v>
      </c>
      <c r="D10661" t="s">
        <v>13061</v>
      </c>
      <c r="E10661" t="s">
        <v>22360</v>
      </c>
      <c r="F10661" t="s">
        <v>22436</v>
      </c>
      <c r="G10661" t="s">
        <v>22444</v>
      </c>
      <c r="H10661" t="s">
        <v>22454</v>
      </c>
      <c r="I10661" t="s">
        <v>7738</v>
      </c>
      <c r="J10661" t="s">
        <v>29275</v>
      </c>
      <c r="K10661" t="s">
        <v>29418</v>
      </c>
      <c r="M10661" t="s">
        <v>32507</v>
      </c>
      <c r="N10661" t="s">
        <v>32524</v>
      </c>
      <c r="O10661" t="s">
        <v>32525</v>
      </c>
      <c r="P10661">
        <v>0</v>
      </c>
      <c r="Q10661">
        <v>0</v>
      </c>
      <c r="R10661" t="s">
        <v>32540</v>
      </c>
      <c r="S10661" t="s">
        <v>33102</v>
      </c>
      <c r="T10661" t="s">
        <v>33211</v>
      </c>
      <c r="U10661" t="s">
        <v>35683</v>
      </c>
      <c r="W10661" t="s">
        <v>32507</v>
      </c>
      <c r="X10661" t="s">
        <v>43779</v>
      </c>
    </row>
    <row r="10662" spans="1:24">
      <c r="A10662">
        <f>HYPERLINK("https://www.philgeps.gov.ph/GEPSNONPILOT/Tender/SplashBidNoticeAbstractUI.aspx?menuIndex=3&amp;refID=7020199&amp;Result=3","7020199")</f>
        <v>0</v>
      </c>
      <c r="B10662" t="s">
        <v>2664</v>
      </c>
      <c r="C10662" t="s">
        <v>12906</v>
      </c>
      <c r="D10662" t="s">
        <v>13061</v>
      </c>
      <c r="E10662" t="s">
        <v>22361</v>
      </c>
      <c r="F10662" t="s">
        <v>22436</v>
      </c>
      <c r="G10662" t="s">
        <v>22444</v>
      </c>
      <c r="H10662" t="s">
        <v>22454</v>
      </c>
      <c r="I10662" t="s">
        <v>7738</v>
      </c>
      <c r="J10662" t="s">
        <v>29276</v>
      </c>
      <c r="K10662" t="s">
        <v>29362</v>
      </c>
      <c r="M10662" t="s">
        <v>32507</v>
      </c>
      <c r="N10662" t="s">
        <v>32524</v>
      </c>
      <c r="O10662" t="s">
        <v>32525</v>
      </c>
      <c r="P10662">
        <v>0</v>
      </c>
      <c r="Q10662">
        <v>0</v>
      </c>
      <c r="R10662" t="s">
        <v>32540</v>
      </c>
      <c r="S10662" t="s">
        <v>33102</v>
      </c>
      <c r="T10662" t="s">
        <v>33211</v>
      </c>
      <c r="U10662" t="s">
        <v>42350</v>
      </c>
      <c r="W10662" t="s">
        <v>32507</v>
      </c>
      <c r="X10662" t="s">
        <v>43779</v>
      </c>
    </row>
    <row r="10663" spans="1:24">
      <c r="A10663">
        <f>HYPERLINK("https://www.philgeps.gov.ph/GEPSNONPILOT/Tender/SplashBidNoticeAbstractUI.aspx?menuIndex=3&amp;refID=7020064&amp;Result=3","7020064")</f>
        <v>0</v>
      </c>
      <c r="B10663" t="s">
        <v>456</v>
      </c>
      <c r="C10663" t="s">
        <v>12907</v>
      </c>
      <c r="D10663" t="s">
        <v>13045</v>
      </c>
      <c r="E10663" t="s">
        <v>22362</v>
      </c>
      <c r="F10663" t="s">
        <v>22436</v>
      </c>
      <c r="G10663" t="s">
        <v>22444</v>
      </c>
      <c r="H10663" t="s">
        <v>22454</v>
      </c>
      <c r="I10663" t="s">
        <v>7738</v>
      </c>
      <c r="J10663" t="s">
        <v>24431</v>
      </c>
      <c r="K10663" t="s">
        <v>29333</v>
      </c>
      <c r="M10663" t="s">
        <v>30038</v>
      </c>
      <c r="N10663" t="s">
        <v>32524</v>
      </c>
      <c r="O10663" t="s">
        <v>32525</v>
      </c>
      <c r="Q10663">
        <v>1</v>
      </c>
      <c r="R10663" t="s">
        <v>32540</v>
      </c>
      <c r="S10663" t="s">
        <v>33138</v>
      </c>
      <c r="T10663" t="s">
        <v>33332</v>
      </c>
      <c r="U10663" t="s">
        <v>42351</v>
      </c>
      <c r="V10663" t="s">
        <v>43654</v>
      </c>
      <c r="W10663" t="s">
        <v>30038</v>
      </c>
      <c r="X10663" t="s">
        <v>43779</v>
      </c>
    </row>
    <row r="10664" spans="1:24">
      <c r="A10664">
        <f>HYPERLINK("https://www.philgeps.gov.ph/GEPSNONPILOT/Tender/SplashBidNoticeAbstractUI.aspx?menuIndex=3&amp;refID=7020210&amp;Result=3","7020210")</f>
        <v>0</v>
      </c>
      <c r="B10664" t="s">
        <v>286</v>
      </c>
      <c r="C10664" t="s">
        <v>12908</v>
      </c>
      <c r="D10664" t="s">
        <v>12988</v>
      </c>
      <c r="E10664" t="s">
        <v>22363</v>
      </c>
      <c r="F10664" t="s">
        <v>22436</v>
      </c>
      <c r="G10664" t="s">
        <v>22444</v>
      </c>
      <c r="H10664" t="s">
        <v>22452</v>
      </c>
      <c r="I10664" t="s">
        <v>22466</v>
      </c>
      <c r="J10664" t="s">
        <v>29277</v>
      </c>
      <c r="K10664" t="s">
        <v>29336</v>
      </c>
      <c r="M10664" t="s">
        <v>29860</v>
      </c>
      <c r="N10664" t="s">
        <v>32524</v>
      </c>
      <c r="O10664" t="s">
        <v>32525</v>
      </c>
      <c r="P10664">
        <v>0</v>
      </c>
      <c r="Q10664">
        <v>15</v>
      </c>
      <c r="R10664" t="s">
        <v>32540</v>
      </c>
      <c r="S10664" t="s">
        <v>33102</v>
      </c>
      <c r="T10664" t="s">
        <v>33203</v>
      </c>
      <c r="U10664" t="s">
        <v>42352</v>
      </c>
      <c r="W10664" t="s">
        <v>29860</v>
      </c>
      <c r="X10664" t="s">
        <v>43779</v>
      </c>
    </row>
    <row r="10665" spans="1:24">
      <c r="A10665">
        <f>HYPERLINK("https://www.philgeps.gov.ph/GEPSNONPILOT/Tender/SplashBidNoticeAbstractUI.aspx?menuIndex=3&amp;refID=7020175&amp;Result=3","7020175")</f>
        <v>0</v>
      </c>
      <c r="B10665" t="s">
        <v>2664</v>
      </c>
      <c r="C10665" t="s">
        <v>12909</v>
      </c>
      <c r="D10665" t="s">
        <v>13061</v>
      </c>
      <c r="E10665" t="s">
        <v>22364</v>
      </c>
      <c r="F10665" t="s">
        <v>22436</v>
      </c>
      <c r="G10665" t="s">
        <v>22444</v>
      </c>
      <c r="H10665" t="s">
        <v>22454</v>
      </c>
      <c r="I10665" t="s">
        <v>7738</v>
      </c>
      <c r="J10665" t="s">
        <v>29278</v>
      </c>
      <c r="K10665" t="s">
        <v>29333</v>
      </c>
      <c r="M10665" t="s">
        <v>32507</v>
      </c>
      <c r="N10665" t="s">
        <v>32524</v>
      </c>
      <c r="O10665" t="s">
        <v>32525</v>
      </c>
      <c r="P10665">
        <v>0</v>
      </c>
      <c r="Q10665">
        <v>0</v>
      </c>
      <c r="R10665" t="s">
        <v>32540</v>
      </c>
      <c r="S10665" t="s">
        <v>33102</v>
      </c>
      <c r="T10665" t="s">
        <v>33211</v>
      </c>
      <c r="U10665" t="s">
        <v>42353</v>
      </c>
      <c r="W10665" t="s">
        <v>32507</v>
      </c>
      <c r="X10665" t="s">
        <v>43779</v>
      </c>
    </row>
    <row r="10666" spans="1:24">
      <c r="A10666">
        <f>HYPERLINK("https://www.philgeps.gov.ph/GEPSNONPILOT/Tender/SplashBidNoticeAbstractUI.aspx?menuIndex=3&amp;refID=7020182&amp;Result=3","7020182")</f>
        <v>0</v>
      </c>
      <c r="B10666" t="s">
        <v>1026</v>
      </c>
      <c r="C10666" t="s">
        <v>12910</v>
      </c>
      <c r="D10666" t="s">
        <v>13032</v>
      </c>
      <c r="E10666" t="s">
        <v>22365</v>
      </c>
      <c r="F10666" t="s">
        <v>22436</v>
      </c>
      <c r="G10666" t="s">
        <v>22444</v>
      </c>
      <c r="H10666" t="s">
        <v>22452</v>
      </c>
      <c r="I10666" t="s">
        <v>22474</v>
      </c>
      <c r="J10666" t="s">
        <v>23980</v>
      </c>
      <c r="K10666" t="s">
        <v>29335</v>
      </c>
      <c r="M10666" t="s">
        <v>30655</v>
      </c>
      <c r="N10666" t="s">
        <v>32524</v>
      </c>
      <c r="O10666" t="s">
        <v>32525</v>
      </c>
      <c r="P10666">
        <v>0</v>
      </c>
      <c r="Q10666">
        <v>0</v>
      </c>
      <c r="R10666" t="s">
        <v>32540</v>
      </c>
      <c r="S10666" t="s">
        <v>33102</v>
      </c>
      <c r="T10666" t="s">
        <v>33256</v>
      </c>
      <c r="U10666" t="s">
        <v>42354</v>
      </c>
      <c r="V10666" t="s">
        <v>42966</v>
      </c>
      <c r="W10666" t="s">
        <v>30655</v>
      </c>
      <c r="X10666" t="s">
        <v>43779</v>
      </c>
    </row>
    <row r="10667" spans="1:24">
      <c r="A10667">
        <f>HYPERLINK("https://www.philgeps.gov.ph/GEPSNONPILOT/Tender/SplashBidNoticeAbstractUI.aspx?menuIndex=3&amp;refID=7020153&amp;Result=3","7020153")</f>
        <v>0</v>
      </c>
      <c r="B10667" t="s">
        <v>51</v>
      </c>
      <c r="C10667" t="s">
        <v>12911</v>
      </c>
      <c r="D10667" t="s">
        <v>13009</v>
      </c>
      <c r="E10667" t="s">
        <v>22366</v>
      </c>
      <c r="F10667" t="s">
        <v>22436</v>
      </c>
      <c r="G10667" t="s">
        <v>22444</v>
      </c>
      <c r="H10667" t="s">
        <v>22454</v>
      </c>
      <c r="I10667" t="s">
        <v>7738</v>
      </c>
      <c r="J10667" t="s">
        <v>22779</v>
      </c>
      <c r="K10667" t="s">
        <v>29334</v>
      </c>
      <c r="M10667" t="s">
        <v>29623</v>
      </c>
      <c r="N10667" t="s">
        <v>32524</v>
      </c>
      <c r="O10667" t="s">
        <v>32525</v>
      </c>
      <c r="P10667">
        <v>0</v>
      </c>
      <c r="Q10667">
        <v>0</v>
      </c>
      <c r="R10667" t="s">
        <v>32540</v>
      </c>
      <c r="S10667" t="s">
        <v>33102</v>
      </c>
      <c r="T10667" t="s">
        <v>33168</v>
      </c>
      <c r="U10667" t="s">
        <v>42355</v>
      </c>
      <c r="W10667" t="s">
        <v>29623</v>
      </c>
      <c r="X10667" t="s">
        <v>43779</v>
      </c>
    </row>
    <row r="10668" spans="1:24">
      <c r="A10668">
        <f>HYPERLINK("https://www.philgeps.gov.ph/GEPSNONPILOT/Tender/SplashBidNoticeAbstractUI.aspx?menuIndex=3&amp;refID=7020096&amp;Result=3","7020096")</f>
        <v>0</v>
      </c>
      <c r="B10668" t="s">
        <v>2665</v>
      </c>
      <c r="C10668" t="s">
        <v>12912</v>
      </c>
      <c r="D10668" t="s">
        <v>13005</v>
      </c>
      <c r="E10668" t="s">
        <v>22367</v>
      </c>
      <c r="F10668" t="s">
        <v>22436</v>
      </c>
      <c r="G10668" t="s">
        <v>22444</v>
      </c>
      <c r="H10668" t="s">
        <v>22454</v>
      </c>
      <c r="I10668" t="s">
        <v>7738</v>
      </c>
      <c r="J10668" t="s">
        <v>24431</v>
      </c>
      <c r="K10668" t="s">
        <v>29433</v>
      </c>
      <c r="M10668" t="s">
        <v>32508</v>
      </c>
      <c r="N10668" t="s">
        <v>32524</v>
      </c>
      <c r="O10668" t="s">
        <v>32525</v>
      </c>
      <c r="Q10668">
        <v>1</v>
      </c>
      <c r="R10668" t="s">
        <v>32540</v>
      </c>
      <c r="S10668" t="s">
        <v>33139</v>
      </c>
      <c r="T10668" t="s">
        <v>33371</v>
      </c>
      <c r="U10668" t="s">
        <v>42356</v>
      </c>
      <c r="W10668" t="s">
        <v>32508</v>
      </c>
      <c r="X10668" t="s">
        <v>43779</v>
      </c>
    </row>
    <row r="10669" spans="1:24">
      <c r="A10669">
        <f>HYPERLINK("https://www.philgeps.gov.ph/GEPSNONPILOT/Tender/SplashBidNoticeAbstractUI.aspx?menuIndex=3&amp;refID=7020162&amp;Result=3","7020162")</f>
        <v>0</v>
      </c>
      <c r="B10669" t="s">
        <v>2664</v>
      </c>
      <c r="C10669" t="s">
        <v>12913</v>
      </c>
      <c r="D10669" t="s">
        <v>13061</v>
      </c>
      <c r="E10669" t="s">
        <v>22368</v>
      </c>
      <c r="F10669" t="s">
        <v>22436</v>
      </c>
      <c r="G10669" t="s">
        <v>22444</v>
      </c>
      <c r="H10669" t="s">
        <v>22454</v>
      </c>
      <c r="I10669" t="s">
        <v>7738</v>
      </c>
      <c r="J10669" t="s">
        <v>29279</v>
      </c>
      <c r="K10669" t="s">
        <v>29446</v>
      </c>
      <c r="M10669" t="s">
        <v>32507</v>
      </c>
      <c r="N10669" t="s">
        <v>32524</v>
      </c>
      <c r="O10669" t="s">
        <v>32525</v>
      </c>
      <c r="P10669">
        <v>0</v>
      </c>
      <c r="Q10669">
        <v>0</v>
      </c>
      <c r="R10669" t="s">
        <v>32540</v>
      </c>
      <c r="S10669" t="s">
        <v>33102</v>
      </c>
      <c r="T10669" t="s">
        <v>33211</v>
      </c>
      <c r="U10669" t="s">
        <v>42357</v>
      </c>
      <c r="W10669" t="s">
        <v>32507</v>
      </c>
      <c r="X10669" t="s">
        <v>43779</v>
      </c>
    </row>
    <row r="10670" spans="1:24">
      <c r="A10670">
        <f>HYPERLINK("https://www.philgeps.gov.ph/GEPSNONPILOT/Tender/SplashBidNoticeAbstractUI.aspx?menuIndex=3&amp;refID=7020151&amp;Result=3","7020151")</f>
        <v>0</v>
      </c>
      <c r="B10670" t="s">
        <v>2664</v>
      </c>
      <c r="C10670" t="s">
        <v>12914</v>
      </c>
      <c r="D10670" t="s">
        <v>13061</v>
      </c>
      <c r="E10670" t="s">
        <v>22369</v>
      </c>
      <c r="F10670" t="s">
        <v>22436</v>
      </c>
      <c r="G10670" t="s">
        <v>22444</v>
      </c>
      <c r="H10670" t="s">
        <v>22454</v>
      </c>
      <c r="I10670" t="s">
        <v>7738</v>
      </c>
      <c r="J10670" t="s">
        <v>29280</v>
      </c>
      <c r="K10670" t="s">
        <v>29355</v>
      </c>
      <c r="M10670" t="s">
        <v>32507</v>
      </c>
      <c r="N10670" t="s">
        <v>32524</v>
      </c>
      <c r="O10670" t="s">
        <v>32525</v>
      </c>
      <c r="P10670">
        <v>0</v>
      </c>
      <c r="Q10670">
        <v>0</v>
      </c>
      <c r="R10670" t="s">
        <v>32540</v>
      </c>
      <c r="S10670" t="s">
        <v>33102</v>
      </c>
      <c r="T10670" t="s">
        <v>33211</v>
      </c>
      <c r="U10670" t="s">
        <v>42358</v>
      </c>
      <c r="W10670" t="s">
        <v>32507</v>
      </c>
      <c r="X10670" t="s">
        <v>43779</v>
      </c>
    </row>
    <row r="10671" spans="1:24">
      <c r="A10671">
        <f>HYPERLINK("https://www.philgeps.gov.ph/GEPSNONPILOT/Tender/SplashBidNoticeAbstractUI.aspx?menuIndex=3&amp;refID=7020185&amp;Result=3","7020185")</f>
        <v>0</v>
      </c>
      <c r="B10671" t="s">
        <v>2664</v>
      </c>
      <c r="C10671" t="s">
        <v>12915</v>
      </c>
      <c r="D10671" t="s">
        <v>13061</v>
      </c>
      <c r="E10671" t="s">
        <v>22370</v>
      </c>
      <c r="F10671" t="s">
        <v>22436</v>
      </c>
      <c r="G10671" t="s">
        <v>22444</v>
      </c>
      <c r="H10671" t="s">
        <v>22454</v>
      </c>
      <c r="I10671" t="s">
        <v>7738</v>
      </c>
      <c r="J10671" t="s">
        <v>29281</v>
      </c>
      <c r="K10671" t="s">
        <v>29516</v>
      </c>
      <c r="M10671" t="s">
        <v>32507</v>
      </c>
      <c r="N10671" t="s">
        <v>32524</v>
      </c>
      <c r="O10671" t="s">
        <v>32525</v>
      </c>
      <c r="P10671">
        <v>0</v>
      </c>
      <c r="Q10671">
        <v>0</v>
      </c>
      <c r="R10671" t="s">
        <v>32540</v>
      </c>
      <c r="S10671" t="s">
        <v>33102</v>
      </c>
      <c r="T10671" t="s">
        <v>33211</v>
      </c>
      <c r="U10671" t="s">
        <v>42359</v>
      </c>
      <c r="W10671" t="s">
        <v>32507</v>
      </c>
      <c r="X10671" t="s">
        <v>43779</v>
      </c>
    </row>
    <row r="10672" spans="1:24">
      <c r="A10672">
        <f>HYPERLINK("https://www.philgeps.gov.ph/GEPSNONPILOT/Tender/SplashBidNoticeAbstractUI.aspx?menuIndex=3&amp;refID=7020088&amp;Result=3","7020088")</f>
        <v>0</v>
      </c>
      <c r="B10672" t="s">
        <v>623</v>
      </c>
      <c r="C10672" t="s">
        <v>12916</v>
      </c>
      <c r="E10672" t="s">
        <v>22371</v>
      </c>
      <c r="F10672" t="s">
        <v>22436</v>
      </c>
      <c r="G10672" t="s">
        <v>22444</v>
      </c>
      <c r="H10672" t="s">
        <v>22452</v>
      </c>
      <c r="I10672" t="s">
        <v>22467</v>
      </c>
      <c r="J10672" t="s">
        <v>29282</v>
      </c>
      <c r="K10672" t="s">
        <v>29338</v>
      </c>
      <c r="M10672" t="s">
        <v>30214</v>
      </c>
      <c r="N10672" t="s">
        <v>32524</v>
      </c>
      <c r="O10672" t="s">
        <v>32525</v>
      </c>
      <c r="P10672">
        <v>0</v>
      </c>
      <c r="Q10672">
        <v>0</v>
      </c>
      <c r="R10672" t="s">
        <v>32540</v>
      </c>
      <c r="S10672" t="s">
        <v>33102</v>
      </c>
      <c r="T10672" t="s">
        <v>33155</v>
      </c>
      <c r="U10672" t="s">
        <v>42360</v>
      </c>
      <c r="W10672" t="s">
        <v>30214</v>
      </c>
      <c r="X10672" t="s">
        <v>43779</v>
      </c>
    </row>
    <row r="10673" spans="1:24">
      <c r="A10673">
        <f>HYPERLINK("https://www.philgeps.gov.ph/GEPSNONPILOT/Tender/SplashBidNoticeAbstractUI.aspx?menuIndex=3&amp;refID=7020090&amp;Result=3","7020090")</f>
        <v>0</v>
      </c>
      <c r="B10673" t="s">
        <v>2663</v>
      </c>
      <c r="C10673" t="s">
        <v>12917</v>
      </c>
      <c r="D10673" t="s">
        <v>13078</v>
      </c>
      <c r="E10673" t="s">
        <v>22372</v>
      </c>
      <c r="F10673" t="s">
        <v>22436</v>
      </c>
      <c r="G10673" t="s">
        <v>22444</v>
      </c>
      <c r="H10673" t="s">
        <v>22452</v>
      </c>
      <c r="I10673" t="s">
        <v>22490</v>
      </c>
      <c r="J10673" t="s">
        <v>22779</v>
      </c>
      <c r="K10673" t="s">
        <v>29335</v>
      </c>
      <c r="M10673" t="s">
        <v>32506</v>
      </c>
      <c r="N10673" t="s">
        <v>32524</v>
      </c>
      <c r="O10673" t="s">
        <v>32525</v>
      </c>
      <c r="P10673">
        <v>0</v>
      </c>
      <c r="Q10673">
        <v>2</v>
      </c>
      <c r="R10673" t="s">
        <v>32540</v>
      </c>
      <c r="S10673" t="s">
        <v>33102</v>
      </c>
      <c r="T10673" t="s">
        <v>33168</v>
      </c>
      <c r="U10673" t="s">
        <v>42346</v>
      </c>
      <c r="V10673" t="s">
        <v>43658</v>
      </c>
      <c r="W10673" t="s">
        <v>32506</v>
      </c>
      <c r="X10673" t="s">
        <v>43779</v>
      </c>
    </row>
    <row r="10674" spans="1:24">
      <c r="A10674">
        <f>HYPERLINK("https://www.philgeps.gov.ph/GEPSNONPILOT/Tender/SplashBidNoticeAbstractUI.aspx?menuIndex=3&amp;refID=7020223&amp;Result=3","7020223")</f>
        <v>0</v>
      </c>
      <c r="B10674" t="s">
        <v>1947</v>
      </c>
      <c r="C10674" t="s">
        <v>12918</v>
      </c>
      <c r="D10674" t="s">
        <v>12988</v>
      </c>
      <c r="E10674" t="s">
        <v>22373</v>
      </c>
      <c r="F10674" t="s">
        <v>22436</v>
      </c>
      <c r="G10674" t="s">
        <v>22444</v>
      </c>
      <c r="H10674" t="s">
        <v>22453</v>
      </c>
      <c r="I10674" t="s">
        <v>22567</v>
      </c>
      <c r="J10674" t="s">
        <v>29283</v>
      </c>
      <c r="K10674" t="s">
        <v>29333</v>
      </c>
      <c r="M10674" t="s">
        <v>31783</v>
      </c>
      <c r="N10674" t="s">
        <v>32524</v>
      </c>
      <c r="O10674" t="s">
        <v>32525</v>
      </c>
      <c r="Q10674">
        <v>4</v>
      </c>
      <c r="R10674" t="s">
        <v>32540</v>
      </c>
      <c r="S10674" t="s">
        <v>33072</v>
      </c>
      <c r="T10674" t="s">
        <v>33168</v>
      </c>
      <c r="U10674" t="s">
        <v>38802</v>
      </c>
      <c r="V10674" t="s">
        <v>43415</v>
      </c>
      <c r="W10674" t="s">
        <v>31783</v>
      </c>
      <c r="X10674" t="s">
        <v>43779</v>
      </c>
    </row>
    <row r="10675" spans="1:24">
      <c r="A10675">
        <f>HYPERLINK("https://www.philgeps.gov.ph/GEPSNONPILOT/Tender/SplashBidNoticeAbstractUI.aspx?menuIndex=3&amp;refID=7020303&amp;Result=3","7020303")</f>
        <v>0</v>
      </c>
      <c r="B10675" t="s">
        <v>2149</v>
      </c>
      <c r="C10675" t="s">
        <v>12919</v>
      </c>
      <c r="D10675" t="s">
        <v>13033</v>
      </c>
      <c r="E10675" t="s">
        <v>16920</v>
      </c>
      <c r="F10675" t="s">
        <v>22436</v>
      </c>
      <c r="G10675" t="s">
        <v>22450</v>
      </c>
      <c r="H10675" t="s">
        <v>22452</v>
      </c>
      <c r="I10675" t="s">
        <v>22474</v>
      </c>
      <c r="J10675" t="s">
        <v>23350</v>
      </c>
      <c r="K10675" t="s">
        <v>29336</v>
      </c>
      <c r="M10675" t="s">
        <v>31901</v>
      </c>
      <c r="N10675" t="s">
        <v>32524</v>
      </c>
      <c r="O10675" t="s">
        <v>32525</v>
      </c>
      <c r="P10675">
        <v>0</v>
      </c>
      <c r="Q10675">
        <v>6</v>
      </c>
      <c r="R10675" t="s">
        <v>32540</v>
      </c>
      <c r="S10675" t="s">
        <v>33102</v>
      </c>
      <c r="T10675" t="s">
        <v>33292</v>
      </c>
      <c r="U10675" t="s">
        <v>42361</v>
      </c>
      <c r="W10675" t="s">
        <v>31901</v>
      </c>
      <c r="X10675" t="s">
        <v>43779</v>
      </c>
    </row>
    <row r="10676" spans="1:24">
      <c r="A10676">
        <f>HYPERLINK("https://www.philgeps.gov.ph/GEPSNONPILOT/Tender/SplashBidNoticeAbstractUI.aspx?menuIndex=3&amp;refID=7020092&amp;Result=3","7020092")</f>
        <v>0</v>
      </c>
      <c r="B10676" t="s">
        <v>1495</v>
      </c>
      <c r="C10676" t="s">
        <v>12920</v>
      </c>
      <c r="D10676" t="s">
        <v>13024</v>
      </c>
      <c r="E10676" t="s">
        <v>22374</v>
      </c>
      <c r="F10676" t="s">
        <v>22436</v>
      </c>
      <c r="G10676" t="s">
        <v>22444</v>
      </c>
      <c r="H10676" t="s">
        <v>22452</v>
      </c>
      <c r="I10676" t="s">
        <v>22467</v>
      </c>
      <c r="J10676" t="s">
        <v>29284</v>
      </c>
      <c r="K10676" t="s">
        <v>29335</v>
      </c>
      <c r="M10676" t="s">
        <v>32509</v>
      </c>
      <c r="N10676" t="s">
        <v>32524</v>
      </c>
      <c r="O10676" t="s">
        <v>32525</v>
      </c>
      <c r="P10676">
        <v>0</v>
      </c>
      <c r="Q10676">
        <v>0</v>
      </c>
      <c r="R10676" t="s">
        <v>32540</v>
      </c>
      <c r="S10676" t="s">
        <v>33102</v>
      </c>
      <c r="T10676" t="s">
        <v>33171</v>
      </c>
      <c r="U10676" t="s">
        <v>42362</v>
      </c>
      <c r="V10676" t="s">
        <v>42893</v>
      </c>
      <c r="W10676" t="s">
        <v>32509</v>
      </c>
      <c r="X10676" t="s">
        <v>43779</v>
      </c>
    </row>
    <row r="10677" spans="1:24">
      <c r="A10677">
        <f>HYPERLINK("https://www.philgeps.gov.ph/GEPSNONPILOT/Tender/SplashBidNoticeAbstractUI.aspx?menuIndex=3&amp;refID=7020065&amp;Result=3","7020065")</f>
        <v>0</v>
      </c>
      <c r="B10677" t="s">
        <v>2666</v>
      </c>
      <c r="C10677" t="s">
        <v>12921</v>
      </c>
      <c r="E10677" t="s">
        <v>22375</v>
      </c>
      <c r="F10677" t="s">
        <v>22436</v>
      </c>
      <c r="G10677" t="s">
        <v>22444</v>
      </c>
      <c r="H10677" t="s">
        <v>22452</v>
      </c>
      <c r="I10677" t="s">
        <v>3529</v>
      </c>
      <c r="J10677" t="s">
        <v>29285</v>
      </c>
      <c r="K10677" t="s">
        <v>29338</v>
      </c>
      <c r="M10677" t="s">
        <v>32510</v>
      </c>
      <c r="N10677" t="s">
        <v>32524</v>
      </c>
      <c r="O10677" t="s">
        <v>32525</v>
      </c>
      <c r="P10677">
        <v>0</v>
      </c>
      <c r="Q10677">
        <v>2</v>
      </c>
      <c r="R10677" t="s">
        <v>32540</v>
      </c>
      <c r="S10677" t="s">
        <v>33102</v>
      </c>
      <c r="T10677" t="s">
        <v>33256</v>
      </c>
      <c r="U10677" t="s">
        <v>42363</v>
      </c>
      <c r="V10677" t="s">
        <v>43659</v>
      </c>
      <c r="W10677" t="s">
        <v>32510</v>
      </c>
      <c r="X10677" t="s">
        <v>43779</v>
      </c>
    </row>
    <row r="10678" spans="1:24">
      <c r="A10678">
        <f>HYPERLINK("https://www.philgeps.gov.ph/GEPSNONPILOT/Tender/SplashBidNoticeAbstractUI.aspx?menuIndex=3&amp;refID=7020097&amp;Result=3","7020097")</f>
        <v>0</v>
      </c>
      <c r="B10678" t="s">
        <v>2667</v>
      </c>
      <c r="C10678" t="s">
        <v>12922</v>
      </c>
      <c r="D10678" t="s">
        <v>12999</v>
      </c>
      <c r="E10678" t="s">
        <v>22376</v>
      </c>
      <c r="F10678" t="s">
        <v>22437</v>
      </c>
      <c r="G10678" t="s">
        <v>22444</v>
      </c>
      <c r="H10678" t="s">
        <v>22454</v>
      </c>
      <c r="I10678" t="s">
        <v>3529</v>
      </c>
      <c r="J10678" t="s">
        <v>22605</v>
      </c>
      <c r="K10678" t="s">
        <v>29338</v>
      </c>
      <c r="M10678" t="s">
        <v>32511</v>
      </c>
      <c r="N10678" t="s">
        <v>32524</v>
      </c>
      <c r="O10678" t="s">
        <v>32525</v>
      </c>
      <c r="P10678">
        <v>0</v>
      </c>
      <c r="Q10678">
        <v>0</v>
      </c>
      <c r="R10678" t="s">
        <v>32540</v>
      </c>
      <c r="S10678" t="s">
        <v>33102</v>
      </c>
      <c r="T10678" t="s">
        <v>33371</v>
      </c>
      <c r="U10678" t="s">
        <v>42364</v>
      </c>
      <c r="W10678" t="s">
        <v>32511</v>
      </c>
      <c r="X10678" t="s">
        <v>43779</v>
      </c>
    </row>
    <row r="10679" spans="1:24">
      <c r="A10679">
        <f>HYPERLINK("https://www.philgeps.gov.ph/GEPSNONPILOT/Tender/SplashBidNoticeAbstractUI.aspx?menuIndex=3&amp;refID=7020281&amp;Result=3","7020281")</f>
        <v>0</v>
      </c>
      <c r="B10679" t="s">
        <v>1026</v>
      </c>
      <c r="C10679" t="s">
        <v>12923</v>
      </c>
      <c r="D10679" t="s">
        <v>13032</v>
      </c>
      <c r="E10679" t="s">
        <v>22377</v>
      </c>
      <c r="F10679" t="s">
        <v>22436</v>
      </c>
      <c r="G10679" t="s">
        <v>22444</v>
      </c>
      <c r="H10679" t="s">
        <v>22452</v>
      </c>
      <c r="I10679" t="s">
        <v>22461</v>
      </c>
      <c r="J10679" t="s">
        <v>29286</v>
      </c>
      <c r="K10679" t="s">
        <v>29335</v>
      </c>
      <c r="M10679" t="s">
        <v>30655</v>
      </c>
      <c r="N10679" t="s">
        <v>32524</v>
      </c>
      <c r="O10679" t="s">
        <v>32525</v>
      </c>
      <c r="P10679">
        <v>0</v>
      </c>
      <c r="Q10679">
        <v>4</v>
      </c>
      <c r="R10679" t="s">
        <v>32540</v>
      </c>
      <c r="S10679" t="s">
        <v>33102</v>
      </c>
      <c r="T10679" t="s">
        <v>33203</v>
      </c>
      <c r="U10679" t="s">
        <v>42365</v>
      </c>
      <c r="V10679" t="s">
        <v>42966</v>
      </c>
      <c r="W10679" t="s">
        <v>30655</v>
      </c>
      <c r="X10679" t="s">
        <v>43779</v>
      </c>
    </row>
    <row r="10680" spans="1:24">
      <c r="A10680">
        <f>HYPERLINK("https://www.philgeps.gov.ph/GEPSNONPILOT/Tender/SplashBidNoticeAbstractUI.aspx?menuIndex=3&amp;refID=7020297&amp;Result=3","7020297")</f>
        <v>0</v>
      </c>
      <c r="B10680" t="s">
        <v>440</v>
      </c>
      <c r="C10680" t="s">
        <v>12924</v>
      </c>
      <c r="D10680" t="s">
        <v>13000</v>
      </c>
      <c r="E10680" t="s">
        <v>22378</v>
      </c>
      <c r="F10680" t="s">
        <v>22436</v>
      </c>
      <c r="G10680" t="s">
        <v>22444</v>
      </c>
      <c r="H10680" t="s">
        <v>22452</v>
      </c>
      <c r="I10680" t="s">
        <v>22456</v>
      </c>
      <c r="J10680" t="s">
        <v>29287</v>
      </c>
      <c r="K10680" t="s">
        <v>29335</v>
      </c>
      <c r="M10680" t="s">
        <v>30021</v>
      </c>
      <c r="N10680" t="s">
        <v>32524</v>
      </c>
      <c r="O10680" t="s">
        <v>32525</v>
      </c>
      <c r="P10680">
        <v>0</v>
      </c>
      <c r="Q10680">
        <v>3</v>
      </c>
      <c r="R10680" t="s">
        <v>32540</v>
      </c>
      <c r="S10680" t="s">
        <v>33102</v>
      </c>
      <c r="T10680" t="s">
        <v>33389</v>
      </c>
      <c r="U10680" t="s">
        <v>42366</v>
      </c>
      <c r="W10680" t="s">
        <v>30021</v>
      </c>
      <c r="X10680" t="s">
        <v>43779</v>
      </c>
    </row>
    <row r="10681" spans="1:24">
      <c r="A10681">
        <f>HYPERLINK("https://www.philgeps.gov.ph/GEPSNONPILOT/Tender/SplashBidNoticeAbstractUI.aspx?menuIndex=3&amp;refID=7020294&amp;Result=3","7020294")</f>
        <v>0</v>
      </c>
      <c r="B10681" t="s">
        <v>2479</v>
      </c>
      <c r="C10681" t="s">
        <v>12925</v>
      </c>
      <c r="D10681" t="s">
        <v>13065</v>
      </c>
      <c r="E10681" t="s">
        <v>22379</v>
      </c>
      <c r="F10681" t="s">
        <v>22436</v>
      </c>
      <c r="G10681" t="s">
        <v>22444</v>
      </c>
      <c r="H10681" t="s">
        <v>22454</v>
      </c>
      <c r="I10681" t="s">
        <v>7738</v>
      </c>
      <c r="J10681" t="s">
        <v>29288</v>
      </c>
      <c r="K10681" t="s">
        <v>29388</v>
      </c>
      <c r="M10681" t="s">
        <v>32283</v>
      </c>
      <c r="N10681" t="s">
        <v>32524</v>
      </c>
      <c r="O10681" t="s">
        <v>32525</v>
      </c>
      <c r="P10681">
        <v>0</v>
      </c>
      <c r="Q10681">
        <v>0</v>
      </c>
      <c r="R10681" t="s">
        <v>32540</v>
      </c>
      <c r="S10681" t="s">
        <v>33102</v>
      </c>
      <c r="T10681" t="s">
        <v>33582</v>
      </c>
      <c r="U10681" t="s">
        <v>42367</v>
      </c>
      <c r="W10681" t="s">
        <v>32283</v>
      </c>
      <c r="X10681" t="s">
        <v>43779</v>
      </c>
    </row>
    <row r="10682" spans="1:24">
      <c r="A10682">
        <f>HYPERLINK("https://www.philgeps.gov.ph/GEPSNONPILOT/Tender/SplashBidNoticeAbstractUI.aspx?menuIndex=3&amp;refID=7020279&amp;Result=3","7020279")</f>
        <v>0</v>
      </c>
      <c r="B10682" t="s">
        <v>333</v>
      </c>
      <c r="C10682" t="s">
        <v>12677</v>
      </c>
      <c r="D10682" t="s">
        <v>13000</v>
      </c>
      <c r="E10682" t="s">
        <v>13668</v>
      </c>
      <c r="F10682" t="s">
        <v>22436</v>
      </c>
      <c r="G10682" t="s">
        <v>22444</v>
      </c>
      <c r="H10682" t="s">
        <v>22454</v>
      </c>
      <c r="I10682" t="s">
        <v>7738</v>
      </c>
      <c r="J10682" t="s">
        <v>29143</v>
      </c>
      <c r="K10682" t="s">
        <v>29338</v>
      </c>
      <c r="M10682" t="s">
        <v>29909</v>
      </c>
      <c r="N10682" t="s">
        <v>32524</v>
      </c>
      <c r="O10682" t="s">
        <v>32525</v>
      </c>
      <c r="P10682">
        <v>0</v>
      </c>
      <c r="Q10682">
        <v>0</v>
      </c>
      <c r="R10682" t="s">
        <v>32540</v>
      </c>
      <c r="S10682" t="s">
        <v>33102</v>
      </c>
      <c r="T10682" t="s">
        <v>33230</v>
      </c>
      <c r="U10682" t="s">
        <v>42185</v>
      </c>
      <c r="W10682" t="s">
        <v>29909</v>
      </c>
      <c r="X10682" t="s">
        <v>43779</v>
      </c>
    </row>
    <row r="10683" spans="1:24">
      <c r="A10683">
        <f>HYPERLINK("https://www.philgeps.gov.ph/GEPSNONPILOT/Tender/SplashBidNoticeAbstractUI.aspx?menuIndex=3&amp;refID=7020275&amp;Result=3","7020275")</f>
        <v>0</v>
      </c>
      <c r="B10683" t="s">
        <v>695</v>
      </c>
      <c r="C10683" t="s">
        <v>12926</v>
      </c>
      <c r="D10683" t="s">
        <v>12988</v>
      </c>
      <c r="E10683" t="s">
        <v>22380</v>
      </c>
      <c r="F10683" t="s">
        <v>22436</v>
      </c>
      <c r="G10683" t="s">
        <v>22444</v>
      </c>
      <c r="H10683" t="s">
        <v>22454</v>
      </c>
      <c r="I10683" t="s">
        <v>7738</v>
      </c>
      <c r="J10683" t="s">
        <v>29289</v>
      </c>
      <c r="K10683" t="s">
        <v>29329</v>
      </c>
      <c r="M10683" t="s">
        <v>32512</v>
      </c>
      <c r="N10683" t="s">
        <v>32524</v>
      </c>
      <c r="O10683" t="s">
        <v>32525</v>
      </c>
      <c r="P10683">
        <v>0</v>
      </c>
      <c r="Q10683">
        <v>4</v>
      </c>
      <c r="R10683" t="s">
        <v>32540</v>
      </c>
      <c r="S10683" t="s">
        <v>33102</v>
      </c>
      <c r="T10683" t="s">
        <v>33180</v>
      </c>
      <c r="U10683" t="s">
        <v>42368</v>
      </c>
      <c r="W10683" t="s">
        <v>32512</v>
      </c>
      <c r="X10683" t="s">
        <v>43779</v>
      </c>
    </row>
    <row r="10684" spans="1:24">
      <c r="A10684">
        <f>HYPERLINK("https://www.philgeps.gov.ph/GEPSNONPILOT/Tender/SplashBidNoticeAbstractUI.aspx?menuIndex=3&amp;refID=7020288&amp;Result=3","7020288")</f>
        <v>0</v>
      </c>
      <c r="B10684" t="s">
        <v>695</v>
      </c>
      <c r="C10684" t="s">
        <v>12927</v>
      </c>
      <c r="D10684" t="s">
        <v>12988</v>
      </c>
      <c r="E10684" t="s">
        <v>22381</v>
      </c>
      <c r="F10684" t="s">
        <v>22436</v>
      </c>
      <c r="G10684" t="s">
        <v>22444</v>
      </c>
      <c r="H10684" t="s">
        <v>22454</v>
      </c>
      <c r="I10684" t="s">
        <v>7738</v>
      </c>
      <c r="J10684" t="s">
        <v>29290</v>
      </c>
      <c r="K10684" t="s">
        <v>29329</v>
      </c>
      <c r="M10684" t="s">
        <v>32512</v>
      </c>
      <c r="N10684" t="s">
        <v>32524</v>
      </c>
      <c r="O10684" t="s">
        <v>32525</v>
      </c>
      <c r="P10684">
        <v>0</v>
      </c>
      <c r="Q10684">
        <v>3</v>
      </c>
      <c r="R10684" t="s">
        <v>32540</v>
      </c>
      <c r="S10684" t="s">
        <v>33102</v>
      </c>
      <c r="T10684" t="s">
        <v>33180</v>
      </c>
      <c r="U10684" t="s">
        <v>42369</v>
      </c>
      <c r="W10684" t="s">
        <v>32512</v>
      </c>
      <c r="X10684" t="s">
        <v>43779</v>
      </c>
    </row>
    <row r="10685" spans="1:24">
      <c r="A10685">
        <f>HYPERLINK("https://www.philgeps.gov.ph/GEPSNONPILOT/Tender/SplashBidNoticeAbstractUI.aspx?menuIndex=3&amp;refID=7020357&amp;Result=3","7020357")</f>
        <v>0</v>
      </c>
      <c r="B10685" t="s">
        <v>2664</v>
      </c>
      <c r="C10685" t="s">
        <v>12928</v>
      </c>
      <c r="D10685" t="s">
        <v>13061</v>
      </c>
      <c r="E10685" t="s">
        <v>22382</v>
      </c>
      <c r="F10685" t="s">
        <v>22436</v>
      </c>
      <c r="G10685" t="s">
        <v>22444</v>
      </c>
      <c r="H10685" t="s">
        <v>22454</v>
      </c>
      <c r="I10685" t="s">
        <v>7738</v>
      </c>
      <c r="J10685" t="s">
        <v>29291</v>
      </c>
      <c r="K10685" t="s">
        <v>29362</v>
      </c>
      <c r="M10685" t="s">
        <v>32507</v>
      </c>
      <c r="N10685" t="s">
        <v>32524</v>
      </c>
      <c r="O10685" t="s">
        <v>32525</v>
      </c>
      <c r="P10685">
        <v>0</v>
      </c>
      <c r="Q10685">
        <v>0</v>
      </c>
      <c r="R10685" t="s">
        <v>32540</v>
      </c>
      <c r="S10685" t="s">
        <v>33102</v>
      </c>
      <c r="T10685" t="s">
        <v>33211</v>
      </c>
      <c r="U10685" t="s">
        <v>42370</v>
      </c>
      <c r="W10685" t="s">
        <v>32507</v>
      </c>
      <c r="X10685" t="s">
        <v>43779</v>
      </c>
    </row>
    <row r="10686" spans="1:24">
      <c r="A10686">
        <f>HYPERLINK("https://www.philgeps.gov.ph/GEPSNONPILOT/Tender/SplashBidNoticeAbstractUI.aspx?menuIndex=3&amp;refID=7020282&amp;Result=3","7020282")</f>
        <v>0</v>
      </c>
      <c r="B10686" t="s">
        <v>389</v>
      </c>
      <c r="C10686" t="s">
        <v>12929</v>
      </c>
      <c r="D10686" t="s">
        <v>13022</v>
      </c>
      <c r="E10686" t="s">
        <v>22383</v>
      </c>
      <c r="F10686" t="s">
        <v>22436</v>
      </c>
      <c r="G10686" t="s">
        <v>22444</v>
      </c>
      <c r="H10686" t="s">
        <v>22454</v>
      </c>
      <c r="I10686" t="s">
        <v>7738</v>
      </c>
      <c r="J10686" t="s">
        <v>22893</v>
      </c>
      <c r="K10686" t="s">
        <v>29341</v>
      </c>
      <c r="M10686" t="s">
        <v>29968</v>
      </c>
      <c r="N10686" t="s">
        <v>32524</v>
      </c>
      <c r="O10686" t="s">
        <v>32525</v>
      </c>
      <c r="P10686">
        <v>0</v>
      </c>
      <c r="Q10686">
        <v>6</v>
      </c>
      <c r="R10686" t="s">
        <v>32540</v>
      </c>
      <c r="S10686" t="s">
        <v>33102</v>
      </c>
      <c r="T10686" t="s">
        <v>33203</v>
      </c>
      <c r="U10686" t="s">
        <v>42371</v>
      </c>
      <c r="V10686" t="s">
        <v>43647</v>
      </c>
      <c r="W10686" t="s">
        <v>29968</v>
      </c>
      <c r="X10686" t="s">
        <v>43779</v>
      </c>
    </row>
    <row r="10687" spans="1:24">
      <c r="A10687">
        <f>HYPERLINK("https://www.philgeps.gov.ph/GEPSNONPILOT/Tender/SplashBidNoticeAbstractUI.aspx?menuIndex=3&amp;refID=7020087&amp;Result=3","7020087")</f>
        <v>0</v>
      </c>
      <c r="B10687" t="s">
        <v>456</v>
      </c>
      <c r="C10687" t="s">
        <v>12930</v>
      </c>
      <c r="D10687" t="s">
        <v>13045</v>
      </c>
      <c r="E10687" t="s">
        <v>22384</v>
      </c>
      <c r="F10687" t="s">
        <v>22436</v>
      </c>
      <c r="G10687" t="s">
        <v>22444</v>
      </c>
      <c r="H10687" t="s">
        <v>22454</v>
      </c>
      <c r="I10687" t="s">
        <v>7738</v>
      </c>
      <c r="J10687" t="s">
        <v>22779</v>
      </c>
      <c r="K10687" t="s">
        <v>29329</v>
      </c>
      <c r="M10687" t="s">
        <v>30038</v>
      </c>
      <c r="N10687" t="s">
        <v>32524</v>
      </c>
      <c r="O10687" t="s">
        <v>32525</v>
      </c>
      <c r="Q10687">
        <v>1</v>
      </c>
      <c r="R10687" t="s">
        <v>32540</v>
      </c>
      <c r="S10687" t="s">
        <v>33140</v>
      </c>
      <c r="T10687" t="s">
        <v>33332</v>
      </c>
      <c r="U10687" t="s">
        <v>42372</v>
      </c>
      <c r="V10687" t="s">
        <v>43654</v>
      </c>
      <c r="W10687" t="s">
        <v>30038</v>
      </c>
      <c r="X10687" t="s">
        <v>43779</v>
      </c>
    </row>
    <row r="10688" spans="1:24">
      <c r="A10688">
        <f>HYPERLINK("https://www.philgeps.gov.ph/GEPSNONPILOT/Tender/SplashBidNoticeAbstractUI.aspx?menuIndex=3&amp;refID=7020346&amp;Result=3","7020346")</f>
        <v>0</v>
      </c>
      <c r="B10688" t="s">
        <v>1949</v>
      </c>
      <c r="C10688" t="s">
        <v>12931</v>
      </c>
      <c r="D10688" t="s">
        <v>13019</v>
      </c>
      <c r="E10688" t="s">
        <v>22385</v>
      </c>
      <c r="F10688" t="s">
        <v>22436</v>
      </c>
      <c r="G10688" t="s">
        <v>22444</v>
      </c>
      <c r="H10688" t="s">
        <v>22454</v>
      </c>
      <c r="I10688" t="s">
        <v>7738</v>
      </c>
      <c r="J10688" t="s">
        <v>29292</v>
      </c>
      <c r="K10688" t="s">
        <v>29334</v>
      </c>
      <c r="M10688" t="s">
        <v>31679</v>
      </c>
      <c r="N10688" t="s">
        <v>32524</v>
      </c>
      <c r="O10688" t="s">
        <v>32525</v>
      </c>
      <c r="P10688">
        <v>0</v>
      </c>
      <c r="Q10688">
        <v>1</v>
      </c>
      <c r="R10688" t="s">
        <v>32540</v>
      </c>
      <c r="S10688" t="s">
        <v>33102</v>
      </c>
      <c r="T10688" t="s">
        <v>33252</v>
      </c>
      <c r="U10688" t="s">
        <v>42373</v>
      </c>
      <c r="V10688" t="s">
        <v>43640</v>
      </c>
      <c r="W10688" t="s">
        <v>31679</v>
      </c>
      <c r="X10688" t="s">
        <v>43779</v>
      </c>
    </row>
    <row r="10689" spans="1:24">
      <c r="A10689">
        <f>HYPERLINK("https://www.philgeps.gov.ph/GEPSNONPILOT/Tender/SplashBidNoticeAbstractUI.aspx?menuIndex=3&amp;refID=7020271&amp;Result=3","7020271")</f>
        <v>0</v>
      </c>
      <c r="B10689" t="s">
        <v>2668</v>
      </c>
      <c r="C10689" t="s">
        <v>12932</v>
      </c>
      <c r="D10689" t="s">
        <v>13007</v>
      </c>
      <c r="E10689" t="s">
        <v>22386</v>
      </c>
      <c r="F10689" t="s">
        <v>22436</v>
      </c>
      <c r="G10689" t="s">
        <v>22444</v>
      </c>
      <c r="H10689" t="s">
        <v>22454</v>
      </c>
      <c r="I10689" t="s">
        <v>7738</v>
      </c>
      <c r="J10689" t="s">
        <v>22806</v>
      </c>
      <c r="K10689" t="s">
        <v>29335</v>
      </c>
      <c r="M10689" t="s">
        <v>32513</v>
      </c>
      <c r="N10689" t="s">
        <v>32524</v>
      </c>
      <c r="O10689" t="s">
        <v>32525</v>
      </c>
      <c r="P10689">
        <v>0</v>
      </c>
      <c r="Q10689">
        <v>0</v>
      </c>
      <c r="R10689" t="s">
        <v>32540</v>
      </c>
      <c r="S10689" t="s">
        <v>33102</v>
      </c>
      <c r="T10689" t="s">
        <v>33229</v>
      </c>
      <c r="U10689" t="s">
        <v>42374</v>
      </c>
      <c r="W10689" t="s">
        <v>32513</v>
      </c>
      <c r="X10689" t="s">
        <v>43779</v>
      </c>
    </row>
    <row r="10690" spans="1:24">
      <c r="A10690">
        <f>HYPERLINK("https://www.philgeps.gov.ph/GEPSNONPILOT/Tender/SplashBidNoticeAbstractUI.aspx?menuIndex=3&amp;refID=7020315&amp;Result=3","7020315")</f>
        <v>0</v>
      </c>
      <c r="B10690" t="s">
        <v>2669</v>
      </c>
      <c r="C10690" t="s">
        <v>12933</v>
      </c>
      <c r="D10690" t="s">
        <v>12988</v>
      </c>
      <c r="E10690" t="s">
        <v>22387</v>
      </c>
      <c r="F10690" t="s">
        <v>22436</v>
      </c>
      <c r="G10690" t="s">
        <v>22444</v>
      </c>
      <c r="H10690" t="s">
        <v>22452</v>
      </c>
      <c r="I10690" t="s">
        <v>3122</v>
      </c>
      <c r="J10690" t="s">
        <v>29293</v>
      </c>
      <c r="K10690" t="s">
        <v>29338</v>
      </c>
      <c r="M10690" t="s">
        <v>32514</v>
      </c>
      <c r="N10690" t="s">
        <v>32524</v>
      </c>
      <c r="O10690" t="s">
        <v>32525</v>
      </c>
      <c r="P10690">
        <v>0</v>
      </c>
      <c r="Q10690">
        <v>15</v>
      </c>
      <c r="R10690" t="s">
        <v>32540</v>
      </c>
      <c r="S10690" t="s">
        <v>33102</v>
      </c>
      <c r="T10690" t="s">
        <v>33230</v>
      </c>
      <c r="U10690" t="s">
        <v>42375</v>
      </c>
      <c r="W10690" t="s">
        <v>32514</v>
      </c>
      <c r="X10690" t="s">
        <v>43779</v>
      </c>
    </row>
    <row r="10691" spans="1:24">
      <c r="A10691">
        <f>HYPERLINK("https://www.philgeps.gov.ph/GEPSNONPILOT/Tender/SplashBidNoticeAbstractUI.aspx?menuIndex=3&amp;refID=7020257&amp;Result=3","7020257")</f>
        <v>0</v>
      </c>
      <c r="B10691" t="s">
        <v>1939</v>
      </c>
      <c r="C10691" t="s">
        <v>12934</v>
      </c>
      <c r="D10691" t="s">
        <v>12993</v>
      </c>
      <c r="E10691" t="s">
        <v>22388</v>
      </c>
      <c r="F10691" t="s">
        <v>22436</v>
      </c>
      <c r="G10691" t="s">
        <v>22443</v>
      </c>
      <c r="H10691" t="s">
        <v>22455</v>
      </c>
      <c r="I10691" t="s">
        <v>22455</v>
      </c>
      <c r="J10691" t="s">
        <v>29294</v>
      </c>
      <c r="K10691" t="s">
        <v>29338</v>
      </c>
      <c r="M10691" t="s">
        <v>32515</v>
      </c>
      <c r="N10691" t="s">
        <v>32524</v>
      </c>
      <c r="O10691" t="s">
        <v>32525</v>
      </c>
      <c r="P10691">
        <v>0</v>
      </c>
      <c r="Q10691">
        <v>3</v>
      </c>
      <c r="R10691" t="s">
        <v>32540</v>
      </c>
      <c r="S10691" t="s">
        <v>33102</v>
      </c>
      <c r="T10691" t="s">
        <v>33220</v>
      </c>
      <c r="U10691" t="s">
        <v>42376</v>
      </c>
      <c r="V10691" t="s">
        <v>43660</v>
      </c>
      <c r="W10691" t="s">
        <v>32515</v>
      </c>
      <c r="X10691" t="s">
        <v>43779</v>
      </c>
    </row>
    <row r="10692" spans="1:24">
      <c r="A10692">
        <f>HYPERLINK("https://www.philgeps.gov.ph/GEPSNONPILOT/Tender/SplashBidNoticeAbstractUI.aspx?menuIndex=3&amp;refID=7020326&amp;Result=3","7020326")</f>
        <v>0</v>
      </c>
      <c r="B10692" t="s">
        <v>2664</v>
      </c>
      <c r="C10692" t="s">
        <v>12935</v>
      </c>
      <c r="D10692" t="s">
        <v>13061</v>
      </c>
      <c r="E10692" t="s">
        <v>22389</v>
      </c>
      <c r="F10692" t="s">
        <v>22436</v>
      </c>
      <c r="G10692" t="s">
        <v>22444</v>
      </c>
      <c r="H10692" t="s">
        <v>22454</v>
      </c>
      <c r="I10692" t="s">
        <v>7738</v>
      </c>
      <c r="J10692" t="s">
        <v>29295</v>
      </c>
      <c r="K10692" t="s">
        <v>29394</v>
      </c>
      <c r="M10692" t="s">
        <v>32507</v>
      </c>
      <c r="N10692" t="s">
        <v>32524</v>
      </c>
      <c r="O10692" t="s">
        <v>32525</v>
      </c>
      <c r="P10692">
        <v>0</v>
      </c>
      <c r="Q10692">
        <v>0</v>
      </c>
      <c r="R10692" t="s">
        <v>32540</v>
      </c>
      <c r="S10692" t="s">
        <v>33102</v>
      </c>
      <c r="T10692" t="s">
        <v>33211</v>
      </c>
      <c r="U10692" t="s">
        <v>42377</v>
      </c>
      <c r="W10692" t="s">
        <v>32507</v>
      </c>
      <c r="X10692" t="s">
        <v>43779</v>
      </c>
    </row>
    <row r="10693" spans="1:24">
      <c r="A10693">
        <f>HYPERLINK("https://www.philgeps.gov.ph/GEPSNONPILOT/Tender/SplashBidNoticeAbstractUI.aspx?menuIndex=3&amp;refID=7020366&amp;Result=3","7020366")</f>
        <v>0</v>
      </c>
      <c r="B10693" t="s">
        <v>2664</v>
      </c>
      <c r="C10693" t="s">
        <v>12936</v>
      </c>
      <c r="D10693" t="s">
        <v>13061</v>
      </c>
      <c r="E10693" t="s">
        <v>22390</v>
      </c>
      <c r="F10693" t="s">
        <v>22436</v>
      </c>
      <c r="G10693" t="s">
        <v>22444</v>
      </c>
      <c r="H10693" t="s">
        <v>22454</v>
      </c>
      <c r="I10693" t="s">
        <v>7738</v>
      </c>
      <c r="J10693" t="s">
        <v>29296</v>
      </c>
      <c r="K10693" t="s">
        <v>29363</v>
      </c>
      <c r="M10693" t="s">
        <v>32507</v>
      </c>
      <c r="N10693" t="s">
        <v>32524</v>
      </c>
      <c r="O10693" t="s">
        <v>32525</v>
      </c>
      <c r="P10693">
        <v>0</v>
      </c>
      <c r="Q10693">
        <v>0</v>
      </c>
      <c r="R10693" t="s">
        <v>32540</v>
      </c>
      <c r="S10693" t="s">
        <v>33102</v>
      </c>
      <c r="T10693" t="s">
        <v>33211</v>
      </c>
      <c r="U10693" t="s">
        <v>42378</v>
      </c>
      <c r="W10693" t="s">
        <v>32507</v>
      </c>
      <c r="X10693" t="s">
        <v>43779</v>
      </c>
    </row>
    <row r="10694" spans="1:24">
      <c r="A10694">
        <f>HYPERLINK("https://www.philgeps.gov.ph/GEPSNONPILOT/Tender/SplashBidNoticeAbstractUI.aspx?menuIndex=3&amp;refID=7020385&amp;Result=3","7020385")</f>
        <v>0</v>
      </c>
      <c r="B10694" t="s">
        <v>2663</v>
      </c>
      <c r="C10694" t="s">
        <v>12937</v>
      </c>
      <c r="D10694" t="s">
        <v>12989</v>
      </c>
      <c r="E10694" t="s">
        <v>22391</v>
      </c>
      <c r="F10694" t="s">
        <v>22436</v>
      </c>
      <c r="G10694" t="s">
        <v>22444</v>
      </c>
      <c r="H10694" t="s">
        <v>22452</v>
      </c>
      <c r="I10694" t="s">
        <v>22544</v>
      </c>
      <c r="J10694" t="s">
        <v>23356</v>
      </c>
      <c r="K10694" t="s">
        <v>29335</v>
      </c>
      <c r="M10694" t="s">
        <v>32506</v>
      </c>
      <c r="N10694" t="s">
        <v>32524</v>
      </c>
      <c r="O10694" t="s">
        <v>32525</v>
      </c>
      <c r="P10694">
        <v>0</v>
      </c>
      <c r="Q10694">
        <v>1</v>
      </c>
      <c r="R10694" t="s">
        <v>32540</v>
      </c>
      <c r="S10694" t="s">
        <v>33102</v>
      </c>
      <c r="T10694" t="s">
        <v>33168</v>
      </c>
      <c r="U10694" t="s">
        <v>42346</v>
      </c>
      <c r="V10694" t="s">
        <v>43661</v>
      </c>
      <c r="W10694" t="s">
        <v>32506</v>
      </c>
      <c r="X10694" t="s">
        <v>43779</v>
      </c>
    </row>
    <row r="10695" spans="1:24">
      <c r="A10695">
        <f>HYPERLINK("https://www.philgeps.gov.ph/GEPSNONPILOT/Tender/SplashBidNoticeAbstractUI.aspx?menuIndex=3&amp;refID=7020263&amp;Result=3","7020263")</f>
        <v>0</v>
      </c>
      <c r="B10695" t="s">
        <v>2327</v>
      </c>
      <c r="C10695" t="s">
        <v>12938</v>
      </c>
      <c r="D10695" t="s">
        <v>13054</v>
      </c>
      <c r="E10695" t="s">
        <v>20778</v>
      </c>
      <c r="F10695" t="s">
        <v>22436</v>
      </c>
      <c r="G10695" t="s">
        <v>22444</v>
      </c>
      <c r="H10695" t="s">
        <v>22454</v>
      </c>
      <c r="I10695" t="s">
        <v>7738</v>
      </c>
      <c r="J10695" t="s">
        <v>29297</v>
      </c>
      <c r="K10695" t="s">
        <v>29338</v>
      </c>
      <c r="M10695" t="s">
        <v>32104</v>
      </c>
      <c r="N10695" t="s">
        <v>32524</v>
      </c>
      <c r="O10695" t="s">
        <v>32525</v>
      </c>
      <c r="P10695">
        <v>0</v>
      </c>
      <c r="Q10695">
        <v>0</v>
      </c>
      <c r="R10695" t="s">
        <v>32540</v>
      </c>
      <c r="S10695" t="s">
        <v>33102</v>
      </c>
      <c r="T10695" t="s">
        <v>33181</v>
      </c>
      <c r="U10695" t="s">
        <v>42379</v>
      </c>
      <c r="V10695" t="s">
        <v>43642</v>
      </c>
      <c r="W10695" t="s">
        <v>32104</v>
      </c>
      <c r="X10695" t="s">
        <v>43779</v>
      </c>
    </row>
    <row r="10696" spans="1:24">
      <c r="A10696">
        <f>HYPERLINK("https://www.philgeps.gov.ph/GEPSNONPILOT/Tender/SplashBidNoticeAbstractUI.aspx?menuIndex=3&amp;refID=7020317&amp;Result=3","7020317")</f>
        <v>0</v>
      </c>
      <c r="B10696" t="s">
        <v>2663</v>
      </c>
      <c r="C10696" t="s">
        <v>12939</v>
      </c>
      <c r="D10696" t="s">
        <v>13018</v>
      </c>
      <c r="E10696" t="s">
        <v>22392</v>
      </c>
      <c r="F10696" t="s">
        <v>22436</v>
      </c>
      <c r="G10696" t="s">
        <v>22444</v>
      </c>
      <c r="H10696" t="s">
        <v>22452</v>
      </c>
      <c r="I10696" t="s">
        <v>22533</v>
      </c>
      <c r="J10696" t="s">
        <v>22893</v>
      </c>
      <c r="K10696" t="s">
        <v>29333</v>
      </c>
      <c r="M10696" t="s">
        <v>32506</v>
      </c>
      <c r="N10696" t="s">
        <v>32524</v>
      </c>
      <c r="O10696" t="s">
        <v>32525</v>
      </c>
      <c r="P10696">
        <v>0</v>
      </c>
      <c r="Q10696">
        <v>7</v>
      </c>
      <c r="R10696" t="s">
        <v>32540</v>
      </c>
      <c r="S10696" t="s">
        <v>33102</v>
      </c>
      <c r="T10696" t="s">
        <v>33168</v>
      </c>
      <c r="U10696" t="s">
        <v>42346</v>
      </c>
      <c r="V10696" t="s">
        <v>43657</v>
      </c>
      <c r="W10696" t="s">
        <v>32506</v>
      </c>
      <c r="X10696" t="s">
        <v>43779</v>
      </c>
    </row>
    <row r="10697" spans="1:24">
      <c r="A10697">
        <f>HYPERLINK("https://www.philgeps.gov.ph/GEPSNONPILOT/Tender/SplashBidNoticeAbstractUI.aspx?menuIndex=3&amp;refID=7020377&amp;Result=3","7020377")</f>
        <v>0</v>
      </c>
      <c r="B10697" t="s">
        <v>2670</v>
      </c>
      <c r="C10697" t="s">
        <v>12940</v>
      </c>
      <c r="D10697" t="s">
        <v>13000</v>
      </c>
      <c r="E10697" t="s">
        <v>22393</v>
      </c>
      <c r="F10697" t="s">
        <v>22436</v>
      </c>
      <c r="G10697" t="s">
        <v>22444</v>
      </c>
      <c r="H10697" t="s">
        <v>22454</v>
      </c>
      <c r="I10697" t="s">
        <v>7738</v>
      </c>
      <c r="J10697" t="s">
        <v>22893</v>
      </c>
      <c r="K10697" t="s">
        <v>29329</v>
      </c>
      <c r="M10697" t="s">
        <v>32516</v>
      </c>
      <c r="N10697" t="s">
        <v>32524</v>
      </c>
      <c r="O10697" t="s">
        <v>32525</v>
      </c>
      <c r="P10697">
        <v>0</v>
      </c>
      <c r="Q10697">
        <v>1</v>
      </c>
      <c r="R10697" t="s">
        <v>32540</v>
      </c>
      <c r="S10697" t="s">
        <v>33102</v>
      </c>
      <c r="T10697" t="s">
        <v>33233</v>
      </c>
      <c r="U10697" t="s">
        <v>42380</v>
      </c>
      <c r="W10697" t="s">
        <v>32516</v>
      </c>
      <c r="X10697" t="s">
        <v>43779</v>
      </c>
    </row>
    <row r="10698" spans="1:24">
      <c r="A10698">
        <f>HYPERLINK("https://www.philgeps.gov.ph/GEPSNONPILOT/Tender/SplashBidNoticeAbstractUI.aspx?menuIndex=3&amp;refID=7020229&amp;Result=3","7020229")</f>
        <v>0</v>
      </c>
      <c r="B10698" t="s">
        <v>51</v>
      </c>
      <c r="C10698" t="s">
        <v>12941</v>
      </c>
      <c r="D10698" t="s">
        <v>13009</v>
      </c>
      <c r="E10698" t="s">
        <v>22394</v>
      </c>
      <c r="F10698" t="s">
        <v>22436</v>
      </c>
      <c r="G10698" t="s">
        <v>22444</v>
      </c>
      <c r="H10698" t="s">
        <v>22452</v>
      </c>
      <c r="I10698" t="s">
        <v>22467</v>
      </c>
      <c r="J10698" t="s">
        <v>29298</v>
      </c>
      <c r="K10698" t="s">
        <v>29371</v>
      </c>
      <c r="M10698" t="s">
        <v>29623</v>
      </c>
      <c r="N10698" t="s">
        <v>32524</v>
      </c>
      <c r="O10698" t="s">
        <v>32525</v>
      </c>
      <c r="P10698">
        <v>0</v>
      </c>
      <c r="Q10698">
        <v>0</v>
      </c>
      <c r="R10698" t="s">
        <v>32540</v>
      </c>
      <c r="S10698" t="s">
        <v>33102</v>
      </c>
      <c r="T10698" t="s">
        <v>33168</v>
      </c>
      <c r="U10698" t="s">
        <v>42381</v>
      </c>
      <c r="W10698" t="s">
        <v>29623</v>
      </c>
      <c r="X10698" t="s">
        <v>43779</v>
      </c>
    </row>
    <row r="10699" spans="1:24">
      <c r="A10699">
        <f>HYPERLINK("https://www.philgeps.gov.ph/GEPSNONPILOT/Tender/SplashBidNoticeAbstractUI.aspx?menuIndex=3&amp;refID=7020341&amp;Result=3","7020341")</f>
        <v>0</v>
      </c>
      <c r="B10699" t="s">
        <v>2664</v>
      </c>
      <c r="C10699" t="s">
        <v>12942</v>
      </c>
      <c r="D10699" t="s">
        <v>13061</v>
      </c>
      <c r="E10699" t="s">
        <v>22395</v>
      </c>
      <c r="F10699" t="s">
        <v>22436</v>
      </c>
      <c r="G10699" t="s">
        <v>22444</v>
      </c>
      <c r="H10699" t="s">
        <v>22454</v>
      </c>
      <c r="I10699" t="s">
        <v>7738</v>
      </c>
      <c r="J10699" t="s">
        <v>29299</v>
      </c>
      <c r="K10699" t="s">
        <v>29335</v>
      </c>
      <c r="M10699" t="s">
        <v>32507</v>
      </c>
      <c r="N10699" t="s">
        <v>32524</v>
      </c>
      <c r="O10699" t="s">
        <v>32525</v>
      </c>
      <c r="P10699">
        <v>0</v>
      </c>
      <c r="Q10699">
        <v>0</v>
      </c>
      <c r="R10699" t="s">
        <v>32540</v>
      </c>
      <c r="S10699" t="s">
        <v>33102</v>
      </c>
      <c r="T10699" t="s">
        <v>33211</v>
      </c>
      <c r="U10699" t="s">
        <v>42382</v>
      </c>
      <c r="W10699" t="s">
        <v>32507</v>
      </c>
      <c r="X10699" t="s">
        <v>43779</v>
      </c>
    </row>
    <row r="10700" spans="1:24">
      <c r="A10700">
        <f>HYPERLINK("https://www.philgeps.gov.ph/GEPSNONPILOT/Tender/SplashBidNoticeAbstractUI.aspx?menuIndex=3&amp;refID=7020384&amp;Result=3","7020384")</f>
        <v>0</v>
      </c>
      <c r="B10700" t="s">
        <v>2664</v>
      </c>
      <c r="C10700" t="s">
        <v>12943</v>
      </c>
      <c r="D10700" t="s">
        <v>13061</v>
      </c>
      <c r="E10700" t="s">
        <v>22396</v>
      </c>
      <c r="F10700" t="s">
        <v>22436</v>
      </c>
      <c r="G10700" t="s">
        <v>22444</v>
      </c>
      <c r="H10700" t="s">
        <v>22454</v>
      </c>
      <c r="I10700" t="s">
        <v>7738</v>
      </c>
      <c r="J10700" t="s">
        <v>23399</v>
      </c>
      <c r="K10700" t="s">
        <v>29344</v>
      </c>
      <c r="M10700" t="s">
        <v>32507</v>
      </c>
      <c r="N10700" t="s">
        <v>32524</v>
      </c>
      <c r="O10700" t="s">
        <v>32525</v>
      </c>
      <c r="P10700">
        <v>0</v>
      </c>
      <c r="Q10700">
        <v>1</v>
      </c>
      <c r="R10700" t="s">
        <v>32540</v>
      </c>
      <c r="S10700" t="s">
        <v>33102</v>
      </c>
      <c r="T10700" t="s">
        <v>33211</v>
      </c>
      <c r="U10700" t="s">
        <v>42383</v>
      </c>
      <c r="W10700" t="s">
        <v>32507</v>
      </c>
      <c r="X10700" t="s">
        <v>43779</v>
      </c>
    </row>
    <row r="10701" spans="1:24">
      <c r="A10701">
        <f>HYPERLINK("https://www.philgeps.gov.ph/GEPSNONPILOT/Tender/SplashBidNoticeAbstractUI.aspx?menuIndex=3&amp;refID=7020355&amp;Result=3","7020355")</f>
        <v>0</v>
      </c>
      <c r="B10701" t="s">
        <v>2671</v>
      </c>
      <c r="C10701" t="s">
        <v>12944</v>
      </c>
      <c r="D10701" t="s">
        <v>13025</v>
      </c>
      <c r="E10701" t="s">
        <v>12944</v>
      </c>
      <c r="F10701" t="s">
        <v>22436</v>
      </c>
      <c r="G10701" t="s">
        <v>22444</v>
      </c>
      <c r="H10701" t="s">
        <v>22452</v>
      </c>
      <c r="I10701" t="s">
        <v>22485</v>
      </c>
      <c r="J10701" t="s">
        <v>29300</v>
      </c>
      <c r="K10701" t="s">
        <v>29334</v>
      </c>
      <c r="M10701" t="s">
        <v>32517</v>
      </c>
      <c r="N10701" t="s">
        <v>32524</v>
      </c>
      <c r="O10701" t="s">
        <v>32525</v>
      </c>
      <c r="P10701">
        <v>0</v>
      </c>
      <c r="Q10701">
        <v>11</v>
      </c>
      <c r="R10701" t="s">
        <v>32540</v>
      </c>
      <c r="S10701" t="s">
        <v>33102</v>
      </c>
      <c r="T10701" t="s">
        <v>33188</v>
      </c>
      <c r="U10701" t="s">
        <v>42384</v>
      </c>
      <c r="W10701" t="s">
        <v>32517</v>
      </c>
      <c r="X10701" t="s">
        <v>43779</v>
      </c>
    </row>
    <row r="10702" spans="1:24">
      <c r="A10702">
        <f>HYPERLINK("https://www.philgeps.gov.ph/GEPSNONPILOT/Tender/SplashBidNoticeAbstractUI.aspx?menuIndex=3&amp;refID=7020374&amp;Result=3","7020374")</f>
        <v>0</v>
      </c>
      <c r="B10702" t="s">
        <v>1026</v>
      </c>
      <c r="C10702" t="s">
        <v>12945</v>
      </c>
      <c r="D10702" t="s">
        <v>13032</v>
      </c>
      <c r="E10702" t="s">
        <v>22397</v>
      </c>
      <c r="F10702" t="s">
        <v>22436</v>
      </c>
      <c r="G10702" t="s">
        <v>22444</v>
      </c>
      <c r="H10702" t="s">
        <v>22452</v>
      </c>
      <c r="I10702" t="s">
        <v>22523</v>
      </c>
      <c r="J10702" t="s">
        <v>29301</v>
      </c>
      <c r="K10702" t="s">
        <v>29334</v>
      </c>
      <c r="M10702" t="s">
        <v>30655</v>
      </c>
      <c r="N10702" t="s">
        <v>32524</v>
      </c>
      <c r="O10702" t="s">
        <v>32525</v>
      </c>
      <c r="P10702">
        <v>0</v>
      </c>
      <c r="Q10702">
        <v>3</v>
      </c>
      <c r="R10702" t="s">
        <v>32540</v>
      </c>
      <c r="S10702" t="s">
        <v>33102</v>
      </c>
      <c r="T10702" t="s">
        <v>33203</v>
      </c>
      <c r="U10702" t="s">
        <v>42385</v>
      </c>
      <c r="V10702" t="s">
        <v>42966</v>
      </c>
      <c r="W10702" t="s">
        <v>30655</v>
      </c>
      <c r="X10702" t="s">
        <v>43779</v>
      </c>
    </row>
    <row r="10703" spans="1:24">
      <c r="A10703">
        <f>HYPERLINK("https://www.philgeps.gov.ph/GEPSNONPILOT/Tender/SplashBidNoticeAbstractUI.aspx?menuIndex=3&amp;refID=7020395&amp;Result=3","7020395")</f>
        <v>0</v>
      </c>
      <c r="B10703" t="s">
        <v>2664</v>
      </c>
      <c r="C10703" t="s">
        <v>12946</v>
      </c>
      <c r="D10703" t="s">
        <v>13061</v>
      </c>
      <c r="E10703" t="s">
        <v>22398</v>
      </c>
      <c r="F10703" t="s">
        <v>22436</v>
      </c>
      <c r="G10703" t="s">
        <v>22444</v>
      </c>
      <c r="H10703" t="s">
        <v>22454</v>
      </c>
      <c r="I10703" t="s">
        <v>7738</v>
      </c>
      <c r="J10703" t="s">
        <v>22779</v>
      </c>
      <c r="K10703" t="s">
        <v>29363</v>
      </c>
      <c r="M10703" t="s">
        <v>32507</v>
      </c>
      <c r="N10703" t="s">
        <v>32524</v>
      </c>
      <c r="O10703" t="s">
        <v>32525</v>
      </c>
      <c r="P10703">
        <v>0</v>
      </c>
      <c r="Q10703">
        <v>0</v>
      </c>
      <c r="R10703" t="s">
        <v>32540</v>
      </c>
      <c r="S10703" t="s">
        <v>33102</v>
      </c>
      <c r="T10703" t="s">
        <v>33211</v>
      </c>
      <c r="U10703" t="s">
        <v>40610</v>
      </c>
      <c r="W10703" t="s">
        <v>32507</v>
      </c>
      <c r="X10703" t="s">
        <v>43779</v>
      </c>
    </row>
    <row r="10704" spans="1:24">
      <c r="A10704">
        <f>HYPERLINK("https://www.philgeps.gov.ph/GEPSNONPILOT/Tender/SplashBidNoticeAbstractUI.aspx?menuIndex=3&amp;refID=7020408&amp;Result=3","7020408")</f>
        <v>0</v>
      </c>
      <c r="B10704" t="s">
        <v>2075</v>
      </c>
      <c r="C10704" t="s">
        <v>12947</v>
      </c>
      <c r="D10704" t="s">
        <v>12988</v>
      </c>
      <c r="E10704" t="s">
        <v>22399</v>
      </c>
      <c r="F10704" t="s">
        <v>22436</v>
      </c>
      <c r="G10704" t="s">
        <v>22443</v>
      </c>
      <c r="H10704" t="s">
        <v>22452</v>
      </c>
      <c r="I10704" t="s">
        <v>11896</v>
      </c>
      <c r="J10704" t="s">
        <v>29302</v>
      </c>
      <c r="K10704" t="s">
        <v>29335</v>
      </c>
      <c r="M10704" t="s">
        <v>31819</v>
      </c>
      <c r="N10704" t="s">
        <v>32524</v>
      </c>
      <c r="O10704" t="s">
        <v>32525</v>
      </c>
      <c r="Q10704">
        <v>4</v>
      </c>
      <c r="R10704" t="s">
        <v>32540</v>
      </c>
      <c r="S10704" t="s">
        <v>33141</v>
      </c>
      <c r="T10704" t="s">
        <v>33167</v>
      </c>
      <c r="U10704" t="s">
        <v>42386</v>
      </c>
      <c r="V10704" t="s">
        <v>43157</v>
      </c>
      <c r="W10704" t="s">
        <v>31819</v>
      </c>
      <c r="X10704" t="s">
        <v>43779</v>
      </c>
    </row>
    <row r="10705" spans="1:24">
      <c r="A10705">
        <f>HYPERLINK("https://www.philgeps.gov.ph/GEPSNONPILOT/Tender/SplashBidNoticeAbstractUI.aspx?menuIndex=3&amp;refID=7020440&amp;Result=3","7020440")</f>
        <v>0</v>
      </c>
      <c r="B10705" t="s">
        <v>2664</v>
      </c>
      <c r="C10705" t="s">
        <v>12948</v>
      </c>
      <c r="D10705" t="s">
        <v>13061</v>
      </c>
      <c r="E10705" t="s">
        <v>22400</v>
      </c>
      <c r="F10705" t="s">
        <v>22436</v>
      </c>
      <c r="G10705" t="s">
        <v>22444</v>
      </c>
      <c r="H10705" t="s">
        <v>22454</v>
      </c>
      <c r="I10705" t="s">
        <v>7738</v>
      </c>
      <c r="J10705" t="s">
        <v>29303</v>
      </c>
      <c r="K10705" t="s">
        <v>29335</v>
      </c>
      <c r="M10705" t="s">
        <v>32507</v>
      </c>
      <c r="N10705" t="s">
        <v>32524</v>
      </c>
      <c r="O10705" t="s">
        <v>32525</v>
      </c>
      <c r="P10705">
        <v>0</v>
      </c>
      <c r="Q10705">
        <v>0</v>
      </c>
      <c r="R10705" t="s">
        <v>32540</v>
      </c>
      <c r="S10705" t="s">
        <v>33102</v>
      </c>
      <c r="T10705" t="s">
        <v>33211</v>
      </c>
      <c r="U10705" t="s">
        <v>42387</v>
      </c>
      <c r="W10705" t="s">
        <v>32507</v>
      </c>
      <c r="X10705" t="s">
        <v>43779</v>
      </c>
    </row>
    <row r="10706" spans="1:24">
      <c r="A10706">
        <f>HYPERLINK("https://www.philgeps.gov.ph/GEPSNONPILOT/Tender/SplashBidNoticeAbstractUI.aspx?menuIndex=3&amp;refID=7020411&amp;Result=3","7020411")</f>
        <v>0</v>
      </c>
      <c r="B10706" t="s">
        <v>2517</v>
      </c>
      <c r="C10706" t="s">
        <v>12949</v>
      </c>
      <c r="D10706" t="s">
        <v>12991</v>
      </c>
      <c r="E10706" t="s">
        <v>22401</v>
      </c>
      <c r="F10706" t="s">
        <v>22436</v>
      </c>
      <c r="G10706" t="s">
        <v>22444</v>
      </c>
      <c r="H10706" t="s">
        <v>22454</v>
      </c>
      <c r="I10706" t="s">
        <v>7738</v>
      </c>
      <c r="J10706" t="s">
        <v>22877</v>
      </c>
      <c r="K10706" t="s">
        <v>29336</v>
      </c>
      <c r="M10706" t="s">
        <v>32324</v>
      </c>
      <c r="N10706" t="s">
        <v>32524</v>
      </c>
      <c r="O10706" t="s">
        <v>32525</v>
      </c>
      <c r="P10706">
        <v>0</v>
      </c>
      <c r="Q10706">
        <v>2</v>
      </c>
      <c r="R10706" t="s">
        <v>32540</v>
      </c>
      <c r="S10706" t="s">
        <v>33102</v>
      </c>
      <c r="T10706" t="s">
        <v>33487</v>
      </c>
      <c r="U10706" t="s">
        <v>42388</v>
      </c>
      <c r="W10706" t="s">
        <v>32324</v>
      </c>
      <c r="X10706" t="s">
        <v>43779</v>
      </c>
    </row>
    <row r="10707" spans="1:24">
      <c r="A10707">
        <f>HYPERLINK("https://www.philgeps.gov.ph/GEPSNONPILOT/Tender/SplashBidNoticeAbstractUI.aspx?menuIndex=3&amp;refID=7020425&amp;Result=3","7020425")</f>
        <v>0</v>
      </c>
      <c r="B10707" t="s">
        <v>440</v>
      </c>
      <c r="C10707" t="s">
        <v>12950</v>
      </c>
      <c r="D10707" t="s">
        <v>13000</v>
      </c>
      <c r="E10707" t="s">
        <v>22378</v>
      </c>
      <c r="F10707" t="s">
        <v>22436</v>
      </c>
      <c r="G10707" t="s">
        <v>22444</v>
      </c>
      <c r="H10707" t="s">
        <v>22454</v>
      </c>
      <c r="I10707" t="s">
        <v>7738</v>
      </c>
      <c r="J10707" t="s">
        <v>29304</v>
      </c>
      <c r="K10707" t="s">
        <v>29446</v>
      </c>
      <c r="M10707" t="s">
        <v>30021</v>
      </c>
      <c r="N10707" t="s">
        <v>32524</v>
      </c>
      <c r="O10707" t="s">
        <v>32525</v>
      </c>
      <c r="P10707">
        <v>0</v>
      </c>
      <c r="Q10707">
        <v>1</v>
      </c>
      <c r="R10707" t="s">
        <v>32540</v>
      </c>
      <c r="S10707" t="s">
        <v>33102</v>
      </c>
      <c r="T10707" t="s">
        <v>33389</v>
      </c>
      <c r="U10707" t="s">
        <v>42389</v>
      </c>
      <c r="W10707" t="s">
        <v>30021</v>
      </c>
      <c r="X10707" t="s">
        <v>43779</v>
      </c>
    </row>
    <row r="10708" spans="1:24">
      <c r="A10708">
        <f>HYPERLINK("https://www.philgeps.gov.ph/GEPSNONPILOT/Tender/SplashBidNoticeAbstractUI.aspx?menuIndex=3&amp;refID=7020438&amp;Result=3","7020438")</f>
        <v>0</v>
      </c>
      <c r="B10708" t="s">
        <v>824</v>
      </c>
      <c r="C10708" t="s">
        <v>12951</v>
      </c>
      <c r="D10708" t="s">
        <v>13013</v>
      </c>
      <c r="E10708" t="s">
        <v>22402</v>
      </c>
      <c r="F10708" t="s">
        <v>22437</v>
      </c>
      <c r="G10708" t="s">
        <v>22443</v>
      </c>
      <c r="H10708" t="s">
        <v>22452</v>
      </c>
      <c r="I10708" t="s">
        <v>22493</v>
      </c>
      <c r="J10708" t="s">
        <v>29305</v>
      </c>
      <c r="K10708" t="s">
        <v>29341</v>
      </c>
      <c r="M10708" t="s">
        <v>30430</v>
      </c>
      <c r="N10708" t="s">
        <v>32524</v>
      </c>
      <c r="O10708" t="s">
        <v>32525</v>
      </c>
      <c r="Q10708">
        <v>0</v>
      </c>
      <c r="R10708" t="s">
        <v>32540</v>
      </c>
      <c r="S10708" t="s">
        <v>33142</v>
      </c>
      <c r="T10708" t="s">
        <v>33209</v>
      </c>
      <c r="U10708" t="s">
        <v>40429</v>
      </c>
      <c r="W10708" t="s">
        <v>30430</v>
      </c>
      <c r="X10708" t="s">
        <v>43779</v>
      </c>
    </row>
    <row r="10709" spans="1:24">
      <c r="A10709">
        <f>HYPERLINK("https://www.philgeps.gov.ph/GEPSNONPILOT/Tender/SplashBidNoticeAbstractUI.aspx?menuIndex=3&amp;refID=7020402&amp;Result=3","7020402")</f>
        <v>0</v>
      </c>
      <c r="B10709" t="s">
        <v>2664</v>
      </c>
      <c r="C10709" t="s">
        <v>12952</v>
      </c>
      <c r="D10709" t="s">
        <v>13061</v>
      </c>
      <c r="E10709" t="s">
        <v>22403</v>
      </c>
      <c r="F10709" t="s">
        <v>22436</v>
      </c>
      <c r="G10709" t="s">
        <v>22444</v>
      </c>
      <c r="H10709" t="s">
        <v>22454</v>
      </c>
      <c r="I10709" t="s">
        <v>7738</v>
      </c>
      <c r="J10709" t="s">
        <v>29306</v>
      </c>
      <c r="K10709" t="s">
        <v>29438</v>
      </c>
      <c r="M10709" t="s">
        <v>32507</v>
      </c>
      <c r="N10709" t="s">
        <v>32524</v>
      </c>
      <c r="O10709" t="s">
        <v>32525</v>
      </c>
      <c r="P10709">
        <v>0</v>
      </c>
      <c r="Q10709">
        <v>0</v>
      </c>
      <c r="R10709" t="s">
        <v>32540</v>
      </c>
      <c r="S10709" t="s">
        <v>33102</v>
      </c>
      <c r="T10709" t="s">
        <v>33211</v>
      </c>
      <c r="U10709" t="s">
        <v>42390</v>
      </c>
      <c r="W10709" t="s">
        <v>32507</v>
      </c>
      <c r="X10709" t="s">
        <v>43779</v>
      </c>
    </row>
    <row r="10710" spans="1:24">
      <c r="A10710">
        <f>HYPERLINK("https://www.philgeps.gov.ph/GEPSNONPILOT/Tender/SplashBidNoticeAbstractUI.aspx?menuIndex=3&amp;refID=7020376&amp;Result=3","7020376")</f>
        <v>0</v>
      </c>
      <c r="B10710" t="s">
        <v>2664</v>
      </c>
      <c r="C10710" t="s">
        <v>12953</v>
      </c>
      <c r="D10710" t="s">
        <v>13061</v>
      </c>
      <c r="E10710" t="s">
        <v>22404</v>
      </c>
      <c r="F10710" t="s">
        <v>22436</v>
      </c>
      <c r="G10710" t="s">
        <v>22444</v>
      </c>
      <c r="H10710" t="s">
        <v>22454</v>
      </c>
      <c r="I10710" t="s">
        <v>7738</v>
      </c>
      <c r="J10710" t="s">
        <v>23505</v>
      </c>
      <c r="K10710" t="s">
        <v>29334</v>
      </c>
      <c r="M10710" t="s">
        <v>32507</v>
      </c>
      <c r="N10710" t="s">
        <v>32524</v>
      </c>
      <c r="O10710" t="s">
        <v>32525</v>
      </c>
      <c r="P10710">
        <v>0</v>
      </c>
      <c r="Q10710">
        <v>0</v>
      </c>
      <c r="R10710" t="s">
        <v>32540</v>
      </c>
      <c r="S10710" t="s">
        <v>33102</v>
      </c>
      <c r="T10710" t="s">
        <v>33211</v>
      </c>
      <c r="U10710" t="s">
        <v>42391</v>
      </c>
      <c r="W10710" t="s">
        <v>32507</v>
      </c>
      <c r="X10710" t="s">
        <v>43779</v>
      </c>
    </row>
    <row r="10711" spans="1:24">
      <c r="A10711">
        <f>HYPERLINK("https://www.philgeps.gov.ph/GEPSNONPILOT/Tender/SplashBidNoticeAbstractUI.aspx?menuIndex=3&amp;refID=7020433&amp;Result=3","7020433")</f>
        <v>0</v>
      </c>
      <c r="B10711" t="s">
        <v>339</v>
      </c>
      <c r="C10711" t="s">
        <v>12954</v>
      </c>
      <c r="D10711" t="s">
        <v>12990</v>
      </c>
      <c r="E10711" t="s">
        <v>22405</v>
      </c>
      <c r="F10711" t="s">
        <v>22436</v>
      </c>
      <c r="G10711" t="s">
        <v>22444</v>
      </c>
      <c r="H10711" t="s">
        <v>22452</v>
      </c>
      <c r="I10711" t="s">
        <v>7738</v>
      </c>
      <c r="J10711" t="s">
        <v>29307</v>
      </c>
      <c r="K10711" t="s">
        <v>29338</v>
      </c>
      <c r="M10711" t="s">
        <v>31131</v>
      </c>
      <c r="N10711" t="s">
        <v>32524</v>
      </c>
      <c r="O10711" t="s">
        <v>32525</v>
      </c>
      <c r="P10711">
        <v>0</v>
      </c>
      <c r="Q10711">
        <v>1</v>
      </c>
      <c r="R10711" t="s">
        <v>32540</v>
      </c>
      <c r="S10711" t="s">
        <v>33102</v>
      </c>
      <c r="T10711" t="s">
        <v>33173</v>
      </c>
      <c r="U10711" t="s">
        <v>37443</v>
      </c>
      <c r="W10711" t="s">
        <v>31131</v>
      </c>
      <c r="X10711" t="s">
        <v>43779</v>
      </c>
    </row>
    <row r="10712" spans="1:24">
      <c r="A10712">
        <f>HYPERLINK("https://www.philgeps.gov.ph/GEPSNONPILOT/Tender/SplashBidNoticeAbstractUI.aspx?menuIndex=3&amp;refID=7020413&amp;Result=3","7020413")</f>
        <v>0</v>
      </c>
      <c r="B10712" t="s">
        <v>2664</v>
      </c>
      <c r="C10712" t="s">
        <v>12955</v>
      </c>
      <c r="D10712" t="s">
        <v>13032</v>
      </c>
      <c r="E10712" t="s">
        <v>22406</v>
      </c>
      <c r="F10712" t="s">
        <v>22436</v>
      </c>
      <c r="G10712" t="s">
        <v>22444</v>
      </c>
      <c r="H10712" t="s">
        <v>22454</v>
      </c>
      <c r="I10712" t="s">
        <v>7738</v>
      </c>
      <c r="J10712" t="s">
        <v>29308</v>
      </c>
      <c r="K10712" t="s">
        <v>29421</v>
      </c>
      <c r="M10712" t="s">
        <v>32507</v>
      </c>
      <c r="N10712" t="s">
        <v>32524</v>
      </c>
      <c r="O10712" t="s">
        <v>32525</v>
      </c>
      <c r="P10712">
        <v>0</v>
      </c>
      <c r="Q10712">
        <v>0</v>
      </c>
      <c r="R10712" t="s">
        <v>32540</v>
      </c>
      <c r="S10712" t="s">
        <v>33102</v>
      </c>
      <c r="T10712" t="s">
        <v>33211</v>
      </c>
      <c r="U10712" t="s">
        <v>42392</v>
      </c>
      <c r="W10712" t="s">
        <v>32507</v>
      </c>
      <c r="X10712" t="s">
        <v>43779</v>
      </c>
    </row>
    <row r="10713" spans="1:24">
      <c r="A10713">
        <f>HYPERLINK("https://www.philgeps.gov.ph/GEPSNONPILOT/Tender/SplashBidNoticeAbstractUI.aspx?menuIndex=3&amp;refID=7020535&amp;Result=3","7020535")</f>
        <v>0</v>
      </c>
      <c r="B10713" t="s">
        <v>87</v>
      </c>
      <c r="C10713" t="s">
        <v>12956</v>
      </c>
      <c r="E10713" t="s">
        <v>22407</v>
      </c>
      <c r="F10713" t="s">
        <v>22436</v>
      </c>
      <c r="G10713" t="s">
        <v>22444</v>
      </c>
      <c r="H10713" t="s">
        <v>22454</v>
      </c>
      <c r="I10713" t="s">
        <v>7738</v>
      </c>
      <c r="J10713" t="s">
        <v>29309</v>
      </c>
      <c r="K10713" t="s">
        <v>29338</v>
      </c>
      <c r="M10713" t="s">
        <v>29659</v>
      </c>
      <c r="N10713" t="s">
        <v>32524</v>
      </c>
      <c r="O10713" t="s">
        <v>32525</v>
      </c>
      <c r="Q10713">
        <v>2</v>
      </c>
      <c r="R10713" t="s">
        <v>32540</v>
      </c>
      <c r="S10713" t="s">
        <v>33143</v>
      </c>
      <c r="T10713" t="s">
        <v>33181</v>
      </c>
      <c r="U10713" t="s">
        <v>42393</v>
      </c>
      <c r="W10713" t="s">
        <v>29659</v>
      </c>
      <c r="X10713" t="s">
        <v>43779</v>
      </c>
    </row>
    <row r="10714" spans="1:24">
      <c r="A10714">
        <f>HYPERLINK("https://www.philgeps.gov.ph/GEPSNONPILOT/Tender/SplashBidNoticeAbstractUI.aspx?menuIndex=3&amp;refID=7020414&amp;Result=3","7020414")</f>
        <v>0</v>
      </c>
      <c r="B10714" t="s">
        <v>2149</v>
      </c>
      <c r="C10714" t="s">
        <v>12957</v>
      </c>
      <c r="D10714" t="s">
        <v>13033</v>
      </c>
      <c r="E10714" t="s">
        <v>22408</v>
      </c>
      <c r="F10714" t="s">
        <v>22436</v>
      </c>
      <c r="G10714" t="s">
        <v>22450</v>
      </c>
      <c r="H10714" t="s">
        <v>22452</v>
      </c>
      <c r="I10714" t="s">
        <v>22474</v>
      </c>
      <c r="J10714" t="s">
        <v>22624</v>
      </c>
      <c r="K10714" t="s">
        <v>29336</v>
      </c>
      <c r="M10714" t="s">
        <v>31901</v>
      </c>
      <c r="N10714" t="s">
        <v>32524</v>
      </c>
      <c r="O10714" t="s">
        <v>32525</v>
      </c>
      <c r="Q10714">
        <v>5</v>
      </c>
      <c r="R10714" t="s">
        <v>32540</v>
      </c>
      <c r="S10714" t="s">
        <v>33144</v>
      </c>
      <c r="T10714" t="s">
        <v>33435</v>
      </c>
      <c r="U10714" t="s">
        <v>42394</v>
      </c>
      <c r="W10714" t="s">
        <v>31901</v>
      </c>
      <c r="X10714" t="s">
        <v>43779</v>
      </c>
    </row>
    <row r="10715" spans="1:24">
      <c r="A10715">
        <f>HYPERLINK("https://www.philgeps.gov.ph/GEPSNONPILOT/Tender/SplashBidNoticeAbstractUI.aspx?menuIndex=3&amp;refID=7020427&amp;Result=3","7020427")</f>
        <v>0</v>
      </c>
      <c r="B10715" t="s">
        <v>2664</v>
      </c>
      <c r="C10715" t="s">
        <v>12958</v>
      </c>
      <c r="D10715" t="s">
        <v>13061</v>
      </c>
      <c r="E10715" t="s">
        <v>22409</v>
      </c>
      <c r="F10715" t="s">
        <v>22436</v>
      </c>
      <c r="G10715" t="s">
        <v>22444</v>
      </c>
      <c r="H10715" t="s">
        <v>22454</v>
      </c>
      <c r="I10715" t="s">
        <v>7738</v>
      </c>
      <c r="J10715" t="s">
        <v>29310</v>
      </c>
      <c r="K10715" t="s">
        <v>29334</v>
      </c>
      <c r="M10715" t="s">
        <v>32507</v>
      </c>
      <c r="N10715" t="s">
        <v>32524</v>
      </c>
      <c r="O10715" t="s">
        <v>32525</v>
      </c>
      <c r="P10715">
        <v>0</v>
      </c>
      <c r="Q10715">
        <v>0</v>
      </c>
      <c r="R10715" t="s">
        <v>32540</v>
      </c>
      <c r="S10715" t="s">
        <v>33102</v>
      </c>
      <c r="T10715" t="s">
        <v>33211</v>
      </c>
      <c r="U10715" t="s">
        <v>42395</v>
      </c>
      <c r="W10715" t="s">
        <v>32507</v>
      </c>
      <c r="X10715" t="s">
        <v>43779</v>
      </c>
    </row>
    <row r="10716" spans="1:24">
      <c r="A10716">
        <f>HYPERLINK("https://www.philgeps.gov.ph/GEPSNONPILOT/Tender/SplashBidNoticeAbstractUI.aspx?menuIndex=3&amp;refID=7020452&amp;Result=3","7020452")</f>
        <v>0</v>
      </c>
      <c r="B10716" t="s">
        <v>2664</v>
      </c>
      <c r="C10716" t="s">
        <v>12959</v>
      </c>
      <c r="D10716" t="s">
        <v>13061</v>
      </c>
      <c r="E10716" t="s">
        <v>22410</v>
      </c>
      <c r="F10716" t="s">
        <v>22436</v>
      </c>
      <c r="G10716" t="s">
        <v>22444</v>
      </c>
      <c r="H10716" t="s">
        <v>22454</v>
      </c>
      <c r="I10716" t="s">
        <v>7738</v>
      </c>
      <c r="J10716" t="s">
        <v>29311</v>
      </c>
      <c r="K10716" t="s">
        <v>29335</v>
      </c>
      <c r="M10716" t="s">
        <v>32507</v>
      </c>
      <c r="N10716" t="s">
        <v>32524</v>
      </c>
      <c r="O10716" t="s">
        <v>32525</v>
      </c>
      <c r="P10716">
        <v>0</v>
      </c>
      <c r="Q10716">
        <v>0</v>
      </c>
      <c r="R10716" t="s">
        <v>32540</v>
      </c>
      <c r="S10716" t="s">
        <v>33102</v>
      </c>
      <c r="T10716" t="s">
        <v>33211</v>
      </c>
      <c r="U10716" t="s">
        <v>42396</v>
      </c>
      <c r="W10716" t="s">
        <v>32507</v>
      </c>
      <c r="X10716" t="s">
        <v>43779</v>
      </c>
    </row>
    <row r="10717" spans="1:24">
      <c r="A10717">
        <f>HYPERLINK("https://www.philgeps.gov.ph/GEPSNONPILOT/Tender/SplashBidNoticeAbstractUI.aspx?menuIndex=3&amp;refID=7020532&amp;Result=3","7020532")</f>
        <v>0</v>
      </c>
      <c r="B10717" t="s">
        <v>2559</v>
      </c>
      <c r="C10717" t="s">
        <v>12960</v>
      </c>
      <c r="D10717" t="s">
        <v>13044</v>
      </c>
      <c r="E10717" t="s">
        <v>22411</v>
      </c>
      <c r="F10717" t="s">
        <v>22436</v>
      </c>
      <c r="G10717" t="s">
        <v>22444</v>
      </c>
      <c r="H10717" t="s">
        <v>22454</v>
      </c>
      <c r="I10717" t="s">
        <v>7738</v>
      </c>
      <c r="J10717" t="s">
        <v>29312</v>
      </c>
      <c r="K10717" t="s">
        <v>29531</v>
      </c>
      <c r="M10717" t="s">
        <v>32374</v>
      </c>
      <c r="N10717" t="s">
        <v>32524</v>
      </c>
      <c r="O10717" t="s">
        <v>32525</v>
      </c>
      <c r="P10717">
        <v>0</v>
      </c>
      <c r="Q10717">
        <v>2</v>
      </c>
      <c r="R10717" t="s">
        <v>32540</v>
      </c>
      <c r="S10717" t="s">
        <v>33102</v>
      </c>
      <c r="T10717" t="s">
        <v>33180</v>
      </c>
      <c r="U10717" t="s">
        <v>42397</v>
      </c>
      <c r="W10717" t="s">
        <v>32374</v>
      </c>
      <c r="X10717" t="s">
        <v>43779</v>
      </c>
    </row>
    <row r="10718" spans="1:24">
      <c r="A10718">
        <f>HYPERLINK("https://www.philgeps.gov.ph/GEPSNONPILOT/Tender/SplashBidNoticeAbstractUI.aspx?menuIndex=3&amp;refID=7020419&amp;Result=3","7020419")</f>
        <v>0</v>
      </c>
      <c r="B10718" t="s">
        <v>1262</v>
      </c>
      <c r="C10718" t="s">
        <v>12961</v>
      </c>
      <c r="D10718" t="s">
        <v>13032</v>
      </c>
      <c r="E10718" t="s">
        <v>19092</v>
      </c>
      <c r="F10718" t="s">
        <v>22436</v>
      </c>
      <c r="G10718" t="s">
        <v>22444</v>
      </c>
      <c r="H10718" t="s">
        <v>22454</v>
      </c>
      <c r="I10718" t="s">
        <v>7738</v>
      </c>
      <c r="J10718" t="s">
        <v>29313</v>
      </c>
      <c r="K10718" t="s">
        <v>29374</v>
      </c>
      <c r="M10718" t="s">
        <v>30915</v>
      </c>
      <c r="N10718" t="s">
        <v>32524</v>
      </c>
      <c r="O10718" t="s">
        <v>32525</v>
      </c>
      <c r="P10718">
        <v>0</v>
      </c>
      <c r="Q10718">
        <v>0</v>
      </c>
      <c r="R10718" t="s">
        <v>32540</v>
      </c>
      <c r="S10718" t="s">
        <v>33102</v>
      </c>
      <c r="T10718" t="s">
        <v>33180</v>
      </c>
      <c r="U10718" t="s">
        <v>42398</v>
      </c>
      <c r="W10718" t="s">
        <v>30915</v>
      </c>
      <c r="X10718" t="s">
        <v>43779</v>
      </c>
    </row>
    <row r="10719" spans="1:24">
      <c r="A10719">
        <f>HYPERLINK("https://www.philgeps.gov.ph/GEPSNONPILOT/Tender/SplashBidNoticeAbstractUI.aspx?menuIndex=3&amp;refID=7020412&amp;Result=3","7020412")</f>
        <v>0</v>
      </c>
      <c r="B10719" t="s">
        <v>2672</v>
      </c>
      <c r="C10719" t="s">
        <v>12962</v>
      </c>
      <c r="D10719" t="s">
        <v>13014</v>
      </c>
      <c r="E10719" t="s">
        <v>22412</v>
      </c>
      <c r="F10719" t="s">
        <v>22436</v>
      </c>
      <c r="G10719" t="s">
        <v>22444</v>
      </c>
      <c r="H10719" t="s">
        <v>22452</v>
      </c>
      <c r="I10719" t="s">
        <v>22474</v>
      </c>
      <c r="J10719" t="s">
        <v>22960</v>
      </c>
      <c r="K10719" t="s">
        <v>29338</v>
      </c>
      <c r="M10719" t="s">
        <v>32518</v>
      </c>
      <c r="N10719" t="s">
        <v>32524</v>
      </c>
      <c r="O10719" t="s">
        <v>32525</v>
      </c>
      <c r="P10719">
        <v>0</v>
      </c>
      <c r="Q10719">
        <v>7</v>
      </c>
      <c r="R10719" t="s">
        <v>32540</v>
      </c>
      <c r="S10719" t="s">
        <v>33102</v>
      </c>
      <c r="T10719" t="s">
        <v>33182</v>
      </c>
      <c r="U10719" t="s">
        <v>42399</v>
      </c>
      <c r="W10719" t="s">
        <v>32518</v>
      </c>
      <c r="X10719" t="s">
        <v>43779</v>
      </c>
    </row>
    <row r="10720" spans="1:24">
      <c r="A10720">
        <f>HYPERLINK("https://www.philgeps.gov.ph/GEPSNONPILOT/Tender/SplashBidNoticeAbstractUI.aspx?menuIndex=3&amp;refID=7020521&amp;Result=3","7020521")</f>
        <v>0</v>
      </c>
      <c r="B10720" t="s">
        <v>432</v>
      </c>
      <c r="C10720" t="s">
        <v>12963</v>
      </c>
      <c r="D10720" t="s">
        <v>13028</v>
      </c>
      <c r="E10720" t="s">
        <v>22413</v>
      </c>
      <c r="F10720" t="s">
        <v>22436</v>
      </c>
      <c r="G10720" t="s">
        <v>22444</v>
      </c>
      <c r="H10720" t="s">
        <v>22454</v>
      </c>
      <c r="I10720" t="s">
        <v>7738</v>
      </c>
      <c r="J10720" t="s">
        <v>27952</v>
      </c>
      <c r="K10720" t="s">
        <v>29592</v>
      </c>
      <c r="M10720" t="s">
        <v>32235</v>
      </c>
      <c r="N10720" t="s">
        <v>32524</v>
      </c>
      <c r="O10720" t="s">
        <v>32525</v>
      </c>
      <c r="P10720">
        <v>0</v>
      </c>
      <c r="Q10720">
        <v>10</v>
      </c>
      <c r="R10720" t="s">
        <v>32540</v>
      </c>
      <c r="S10720" t="s">
        <v>33102</v>
      </c>
      <c r="T10720" t="s">
        <v>33230</v>
      </c>
      <c r="U10720" t="s">
        <v>34672</v>
      </c>
      <c r="V10720" t="s">
        <v>43662</v>
      </c>
      <c r="W10720" t="s">
        <v>32235</v>
      </c>
      <c r="X10720" t="s">
        <v>43779</v>
      </c>
    </row>
    <row r="10721" spans="1:24">
      <c r="A10721">
        <f>HYPERLINK("https://www.philgeps.gov.ph/GEPSNONPILOT/Tender/SplashBidNoticeAbstractUI.aspx?menuIndex=3&amp;refID=7020509&amp;Result=3","7020509")</f>
        <v>0</v>
      </c>
      <c r="B10721" t="s">
        <v>87</v>
      </c>
      <c r="C10721" t="s">
        <v>12964</v>
      </c>
      <c r="E10721" t="s">
        <v>22414</v>
      </c>
      <c r="F10721" t="s">
        <v>22436</v>
      </c>
      <c r="G10721" t="s">
        <v>22444</v>
      </c>
      <c r="H10721" t="s">
        <v>22454</v>
      </c>
      <c r="I10721" t="s">
        <v>7738</v>
      </c>
      <c r="J10721" t="s">
        <v>29314</v>
      </c>
      <c r="K10721" t="s">
        <v>29338</v>
      </c>
      <c r="M10721" t="s">
        <v>29659</v>
      </c>
      <c r="N10721" t="s">
        <v>32524</v>
      </c>
      <c r="O10721" t="s">
        <v>32525</v>
      </c>
      <c r="Q10721">
        <v>5</v>
      </c>
      <c r="R10721" t="s">
        <v>32540</v>
      </c>
      <c r="S10721" t="s">
        <v>33145</v>
      </c>
      <c r="T10721" t="s">
        <v>33168</v>
      </c>
      <c r="U10721" t="s">
        <v>42400</v>
      </c>
      <c r="W10721" t="s">
        <v>29659</v>
      </c>
      <c r="X10721" t="s">
        <v>43779</v>
      </c>
    </row>
    <row r="10722" spans="1:24">
      <c r="A10722">
        <f>HYPERLINK("https://www.philgeps.gov.ph/GEPSNONPILOT/Tender/SplashBidNoticeAbstractUI.aspx?menuIndex=3&amp;refID=7020453&amp;Result=3","7020453")</f>
        <v>0</v>
      </c>
      <c r="B10722" t="s">
        <v>456</v>
      </c>
      <c r="C10722" t="s">
        <v>12965</v>
      </c>
      <c r="D10722" t="s">
        <v>13045</v>
      </c>
      <c r="E10722" t="s">
        <v>22415</v>
      </c>
      <c r="F10722" t="s">
        <v>22436</v>
      </c>
      <c r="G10722" t="s">
        <v>22444</v>
      </c>
      <c r="H10722" t="s">
        <v>22455</v>
      </c>
      <c r="I10722" t="s">
        <v>22455</v>
      </c>
      <c r="J10722" t="s">
        <v>29315</v>
      </c>
      <c r="K10722" t="s">
        <v>29333</v>
      </c>
      <c r="M10722" t="s">
        <v>30038</v>
      </c>
      <c r="N10722" t="s">
        <v>32524</v>
      </c>
      <c r="O10722" t="s">
        <v>32525</v>
      </c>
      <c r="Q10722">
        <v>3</v>
      </c>
      <c r="R10722" t="s">
        <v>32540</v>
      </c>
      <c r="S10722" t="s">
        <v>33146</v>
      </c>
      <c r="T10722" t="s">
        <v>33465</v>
      </c>
      <c r="U10722" t="s">
        <v>42401</v>
      </c>
      <c r="V10722" t="s">
        <v>43663</v>
      </c>
      <c r="W10722" t="s">
        <v>30038</v>
      </c>
      <c r="X10722" t="s">
        <v>43779</v>
      </c>
    </row>
    <row r="10723" spans="1:24">
      <c r="A10723">
        <f>HYPERLINK("https://www.philgeps.gov.ph/GEPSNONPILOT/Tender/SplashBidNoticeAbstractUI.aspx?menuIndex=3&amp;refID=7020486&amp;Result=3","7020486")</f>
        <v>0</v>
      </c>
      <c r="B10723" t="s">
        <v>2664</v>
      </c>
      <c r="C10723" t="s">
        <v>12966</v>
      </c>
      <c r="D10723" t="s">
        <v>13061</v>
      </c>
      <c r="E10723" t="s">
        <v>22416</v>
      </c>
      <c r="F10723" t="s">
        <v>22436</v>
      </c>
      <c r="G10723" t="s">
        <v>22444</v>
      </c>
      <c r="H10723" t="s">
        <v>22454</v>
      </c>
      <c r="I10723" t="s">
        <v>7738</v>
      </c>
      <c r="J10723" t="s">
        <v>29316</v>
      </c>
      <c r="K10723" t="s">
        <v>29392</v>
      </c>
      <c r="M10723" t="s">
        <v>32507</v>
      </c>
      <c r="N10723" t="s">
        <v>32524</v>
      </c>
      <c r="O10723" t="s">
        <v>32525</v>
      </c>
      <c r="P10723">
        <v>0</v>
      </c>
      <c r="Q10723">
        <v>0</v>
      </c>
      <c r="R10723" t="s">
        <v>32540</v>
      </c>
      <c r="S10723" t="s">
        <v>33102</v>
      </c>
      <c r="T10723" t="s">
        <v>33211</v>
      </c>
      <c r="U10723" t="s">
        <v>42402</v>
      </c>
      <c r="W10723" t="s">
        <v>32507</v>
      </c>
      <c r="X10723" t="s">
        <v>43779</v>
      </c>
    </row>
    <row r="10724" spans="1:24">
      <c r="A10724">
        <f>HYPERLINK("https://www.philgeps.gov.ph/GEPSNONPILOT/Tender/SplashBidNoticeAbstractUI.aspx?menuIndex=3&amp;refID=7020519&amp;Result=3","7020519")</f>
        <v>0</v>
      </c>
      <c r="B10724" t="s">
        <v>2664</v>
      </c>
      <c r="C10724" t="s">
        <v>12967</v>
      </c>
      <c r="D10724" t="s">
        <v>13061</v>
      </c>
      <c r="E10724" t="s">
        <v>22417</v>
      </c>
      <c r="F10724" t="s">
        <v>22436</v>
      </c>
      <c r="G10724" t="s">
        <v>22444</v>
      </c>
      <c r="H10724" t="s">
        <v>22454</v>
      </c>
      <c r="I10724" t="s">
        <v>7738</v>
      </c>
      <c r="J10724" t="s">
        <v>29317</v>
      </c>
      <c r="K10724" t="s">
        <v>29342</v>
      </c>
      <c r="M10724" t="s">
        <v>32507</v>
      </c>
      <c r="N10724" t="s">
        <v>32524</v>
      </c>
      <c r="O10724" t="s">
        <v>32525</v>
      </c>
      <c r="P10724">
        <v>0</v>
      </c>
      <c r="Q10724">
        <v>0</v>
      </c>
      <c r="R10724" t="s">
        <v>32540</v>
      </c>
      <c r="S10724" t="s">
        <v>33102</v>
      </c>
      <c r="T10724" t="s">
        <v>33211</v>
      </c>
      <c r="U10724" t="s">
        <v>42403</v>
      </c>
      <c r="W10724" t="s">
        <v>32507</v>
      </c>
      <c r="X10724" t="s">
        <v>43779</v>
      </c>
    </row>
    <row r="10725" spans="1:24">
      <c r="A10725">
        <f>HYPERLINK("https://www.philgeps.gov.ph/GEPSNONPILOT/Tender/SplashBidNoticeAbstractUI.aspx?menuIndex=3&amp;refID=7020564&amp;Result=3","7020564")</f>
        <v>0</v>
      </c>
      <c r="B10725" t="s">
        <v>2664</v>
      </c>
      <c r="C10725" t="s">
        <v>12968</v>
      </c>
      <c r="D10725" t="s">
        <v>13061</v>
      </c>
      <c r="E10725" t="s">
        <v>22418</v>
      </c>
      <c r="F10725" t="s">
        <v>22436</v>
      </c>
      <c r="G10725" t="s">
        <v>22444</v>
      </c>
      <c r="H10725" t="s">
        <v>22454</v>
      </c>
      <c r="I10725" t="s">
        <v>7738</v>
      </c>
      <c r="J10725" t="s">
        <v>29318</v>
      </c>
      <c r="K10725" t="s">
        <v>29341</v>
      </c>
      <c r="M10725" t="s">
        <v>32507</v>
      </c>
      <c r="N10725" t="s">
        <v>32524</v>
      </c>
      <c r="O10725" t="s">
        <v>32525</v>
      </c>
      <c r="P10725">
        <v>0</v>
      </c>
      <c r="Q10725">
        <v>0</v>
      </c>
      <c r="R10725" t="s">
        <v>32540</v>
      </c>
      <c r="S10725" t="s">
        <v>33102</v>
      </c>
      <c r="T10725" t="s">
        <v>33211</v>
      </c>
      <c r="U10725" t="s">
        <v>42404</v>
      </c>
      <c r="W10725" t="s">
        <v>32507</v>
      </c>
      <c r="X10725" t="s">
        <v>43779</v>
      </c>
    </row>
    <row r="10726" spans="1:24">
      <c r="A10726">
        <f>HYPERLINK("https://www.philgeps.gov.ph/GEPSNONPILOT/Tender/SplashBidNoticeAbstractUI.aspx?menuIndex=3&amp;refID=7020515&amp;Result=3","7020515")</f>
        <v>0</v>
      </c>
      <c r="B10726" t="s">
        <v>803</v>
      </c>
      <c r="C10726" t="s">
        <v>12969</v>
      </c>
      <c r="D10726" t="s">
        <v>12995</v>
      </c>
      <c r="E10726" t="s">
        <v>22419</v>
      </c>
      <c r="F10726" t="s">
        <v>22441</v>
      </c>
      <c r="G10726" t="s">
        <v>22444</v>
      </c>
      <c r="H10726" t="s">
        <v>22452</v>
      </c>
      <c r="I10726" t="s">
        <v>22474</v>
      </c>
      <c r="J10726" t="s">
        <v>23505</v>
      </c>
      <c r="K10726" t="s">
        <v>29334</v>
      </c>
      <c r="M10726" t="s">
        <v>30405</v>
      </c>
      <c r="N10726" t="s">
        <v>32524</v>
      </c>
      <c r="O10726" t="s">
        <v>32525</v>
      </c>
      <c r="P10726">
        <v>0</v>
      </c>
      <c r="Q10726">
        <v>9</v>
      </c>
      <c r="R10726" t="s">
        <v>32540</v>
      </c>
      <c r="S10726" t="s">
        <v>33102</v>
      </c>
      <c r="T10726" t="s">
        <v>33218</v>
      </c>
      <c r="U10726" t="s">
        <v>42405</v>
      </c>
      <c r="W10726" t="s">
        <v>30405</v>
      </c>
      <c r="X10726" t="s">
        <v>43779</v>
      </c>
    </row>
    <row r="10727" spans="1:24">
      <c r="A10727">
        <f>HYPERLINK("https://www.philgeps.gov.ph/GEPSNONPILOT/Tender/SplashBidNoticeAbstractUI.aspx?menuIndex=3&amp;refID=7020497&amp;Result=3","7020497")</f>
        <v>0</v>
      </c>
      <c r="B10727" t="s">
        <v>2664</v>
      </c>
      <c r="C10727" t="s">
        <v>12970</v>
      </c>
      <c r="D10727" t="s">
        <v>13061</v>
      </c>
      <c r="E10727" t="s">
        <v>22420</v>
      </c>
      <c r="F10727" t="s">
        <v>22436</v>
      </c>
      <c r="G10727" t="s">
        <v>22444</v>
      </c>
      <c r="H10727" t="s">
        <v>22454</v>
      </c>
      <c r="I10727" t="s">
        <v>7738</v>
      </c>
      <c r="J10727" t="s">
        <v>29319</v>
      </c>
      <c r="K10727" t="s">
        <v>29402</v>
      </c>
      <c r="M10727" t="s">
        <v>32507</v>
      </c>
      <c r="N10727" t="s">
        <v>32524</v>
      </c>
      <c r="O10727" t="s">
        <v>32525</v>
      </c>
      <c r="P10727">
        <v>0</v>
      </c>
      <c r="Q10727">
        <v>0</v>
      </c>
      <c r="R10727" t="s">
        <v>32540</v>
      </c>
      <c r="S10727" t="s">
        <v>33102</v>
      </c>
      <c r="T10727" t="s">
        <v>33211</v>
      </c>
      <c r="U10727" t="s">
        <v>42406</v>
      </c>
      <c r="W10727" t="s">
        <v>32507</v>
      </c>
      <c r="X10727" t="s">
        <v>43779</v>
      </c>
    </row>
    <row r="10728" spans="1:24">
      <c r="A10728">
        <f>HYPERLINK("https://www.philgeps.gov.ph/GEPSNONPILOT/Tender/SplashBidNoticeAbstractUI.aspx?menuIndex=3&amp;refID=7020558&amp;Result=3","7020558")</f>
        <v>0</v>
      </c>
      <c r="B10728" t="s">
        <v>2673</v>
      </c>
      <c r="C10728" t="s">
        <v>12971</v>
      </c>
      <c r="D10728" t="s">
        <v>12992</v>
      </c>
      <c r="E10728" t="s">
        <v>22421</v>
      </c>
      <c r="F10728" t="s">
        <v>22436</v>
      </c>
      <c r="G10728" t="s">
        <v>22444</v>
      </c>
      <c r="H10728" t="s">
        <v>22454</v>
      </c>
      <c r="I10728" t="s">
        <v>7738</v>
      </c>
      <c r="J10728" t="s">
        <v>22960</v>
      </c>
      <c r="K10728" t="s">
        <v>29334</v>
      </c>
      <c r="M10728" t="s">
        <v>32519</v>
      </c>
      <c r="N10728" t="s">
        <v>32524</v>
      </c>
      <c r="O10728" t="s">
        <v>32525</v>
      </c>
      <c r="P10728">
        <v>0</v>
      </c>
      <c r="Q10728">
        <v>3</v>
      </c>
      <c r="R10728" t="s">
        <v>32540</v>
      </c>
      <c r="S10728" t="s">
        <v>33102</v>
      </c>
      <c r="T10728" t="s">
        <v>33180</v>
      </c>
      <c r="U10728" t="s">
        <v>42407</v>
      </c>
      <c r="W10728" t="s">
        <v>32519</v>
      </c>
      <c r="X10728" t="s">
        <v>43779</v>
      </c>
    </row>
    <row r="10729" spans="1:24">
      <c r="A10729">
        <f>HYPERLINK("https://www.philgeps.gov.ph/GEPSNONPILOT/Tender/SplashBidNoticeAbstractUI.aspx?menuIndex=3&amp;refID=7020556&amp;Result=3","7020556")</f>
        <v>0</v>
      </c>
      <c r="B10729" t="s">
        <v>432</v>
      </c>
      <c r="C10729" t="s">
        <v>12972</v>
      </c>
      <c r="D10729" t="s">
        <v>13028</v>
      </c>
      <c r="E10729" t="s">
        <v>22422</v>
      </c>
      <c r="F10729" t="s">
        <v>22436</v>
      </c>
      <c r="G10729" t="s">
        <v>22444</v>
      </c>
      <c r="H10729" t="s">
        <v>22454</v>
      </c>
      <c r="I10729" t="s">
        <v>7738</v>
      </c>
      <c r="J10729" t="s">
        <v>27952</v>
      </c>
      <c r="K10729" t="s">
        <v>29592</v>
      </c>
      <c r="M10729" t="s">
        <v>32235</v>
      </c>
      <c r="N10729" t="s">
        <v>32524</v>
      </c>
      <c r="O10729" t="s">
        <v>32525</v>
      </c>
      <c r="Q10729">
        <v>10</v>
      </c>
      <c r="R10729" t="s">
        <v>32540</v>
      </c>
      <c r="S10729" t="s">
        <v>33147</v>
      </c>
      <c r="T10729" t="s">
        <v>33171</v>
      </c>
      <c r="U10729" t="s">
        <v>34672</v>
      </c>
      <c r="V10729" t="s">
        <v>43664</v>
      </c>
      <c r="W10729" t="s">
        <v>32235</v>
      </c>
      <c r="X10729" t="s">
        <v>43779</v>
      </c>
    </row>
    <row r="10730" spans="1:24">
      <c r="A10730">
        <f>HYPERLINK("https://www.philgeps.gov.ph/GEPSNONPILOT/Tender/SplashBidNoticeAbstractUI.aspx?menuIndex=3&amp;refID=7020572&amp;Result=3","7020572")</f>
        <v>0</v>
      </c>
      <c r="B10730" t="s">
        <v>235</v>
      </c>
      <c r="C10730" t="s">
        <v>12973</v>
      </c>
      <c r="D10730" t="s">
        <v>13012</v>
      </c>
      <c r="E10730" t="s">
        <v>20497</v>
      </c>
      <c r="F10730" t="s">
        <v>22436</v>
      </c>
      <c r="G10730" t="s">
        <v>22444</v>
      </c>
      <c r="H10730" t="s">
        <v>22454</v>
      </c>
      <c r="I10730" t="s">
        <v>7738</v>
      </c>
      <c r="J10730" t="s">
        <v>25001</v>
      </c>
      <c r="K10730" t="s">
        <v>29333</v>
      </c>
      <c r="M10730" t="s">
        <v>29808</v>
      </c>
      <c r="N10730" t="s">
        <v>32524</v>
      </c>
      <c r="O10730" t="s">
        <v>32525</v>
      </c>
      <c r="P10730">
        <v>0</v>
      </c>
      <c r="Q10730">
        <v>0</v>
      </c>
      <c r="R10730" t="s">
        <v>32540</v>
      </c>
      <c r="S10730" t="s">
        <v>33102</v>
      </c>
      <c r="T10730" t="s">
        <v>33168</v>
      </c>
      <c r="U10730" t="s">
        <v>42408</v>
      </c>
      <c r="W10730" t="s">
        <v>29808</v>
      </c>
      <c r="X10730" t="s">
        <v>43779</v>
      </c>
    </row>
    <row r="10731" spans="1:24">
      <c r="A10731">
        <f>HYPERLINK("https://www.philgeps.gov.ph/GEPSNONPILOT/Tender/SplashBidNoticeAbstractUI.aspx?menuIndex=3&amp;refID=7020550&amp;Result=3","7020550")</f>
        <v>0</v>
      </c>
      <c r="B10731" t="s">
        <v>2664</v>
      </c>
      <c r="C10731" t="s">
        <v>12974</v>
      </c>
      <c r="D10731" t="s">
        <v>13061</v>
      </c>
      <c r="E10731" t="s">
        <v>22423</v>
      </c>
      <c r="F10731" t="s">
        <v>22436</v>
      </c>
      <c r="G10731" t="s">
        <v>22444</v>
      </c>
      <c r="H10731" t="s">
        <v>22454</v>
      </c>
      <c r="I10731" t="s">
        <v>7738</v>
      </c>
      <c r="J10731" t="s">
        <v>23687</v>
      </c>
      <c r="K10731" t="s">
        <v>29360</v>
      </c>
      <c r="M10731" t="s">
        <v>32507</v>
      </c>
      <c r="N10731" t="s">
        <v>32524</v>
      </c>
      <c r="O10731" t="s">
        <v>32525</v>
      </c>
      <c r="P10731">
        <v>0</v>
      </c>
      <c r="Q10731">
        <v>0</v>
      </c>
      <c r="R10731" t="s">
        <v>32540</v>
      </c>
      <c r="S10731" t="s">
        <v>33102</v>
      </c>
      <c r="T10731" t="s">
        <v>33211</v>
      </c>
      <c r="U10731" t="s">
        <v>42404</v>
      </c>
      <c r="W10731" t="s">
        <v>32507</v>
      </c>
      <c r="X10731" t="s">
        <v>43779</v>
      </c>
    </row>
    <row r="10732" spans="1:24">
      <c r="A10732">
        <f>HYPERLINK("https://www.philgeps.gov.ph/GEPSNONPILOT/Tender/SplashBidNoticeAbstractUI.aspx?menuIndex=3&amp;refID=7020485&amp;Result=3","7020485")</f>
        <v>0</v>
      </c>
      <c r="B10732" t="s">
        <v>2673</v>
      </c>
      <c r="C10732" t="s">
        <v>12975</v>
      </c>
      <c r="D10732" t="s">
        <v>12992</v>
      </c>
      <c r="E10732" t="s">
        <v>22424</v>
      </c>
      <c r="F10732" t="s">
        <v>22436</v>
      </c>
      <c r="G10732" t="s">
        <v>22444</v>
      </c>
      <c r="H10732" t="s">
        <v>22454</v>
      </c>
      <c r="I10732" t="s">
        <v>7738</v>
      </c>
      <c r="J10732" t="s">
        <v>22960</v>
      </c>
      <c r="K10732" t="s">
        <v>29334</v>
      </c>
      <c r="M10732" t="s">
        <v>32519</v>
      </c>
      <c r="N10732" t="s">
        <v>32524</v>
      </c>
      <c r="O10732" t="s">
        <v>32525</v>
      </c>
      <c r="P10732">
        <v>0</v>
      </c>
      <c r="Q10732">
        <v>2</v>
      </c>
      <c r="R10732" t="s">
        <v>32540</v>
      </c>
      <c r="S10732" t="s">
        <v>33102</v>
      </c>
      <c r="T10732" t="s">
        <v>33180</v>
      </c>
      <c r="U10732" t="s">
        <v>42409</v>
      </c>
      <c r="W10732" t="s">
        <v>32519</v>
      </c>
      <c r="X10732" t="s">
        <v>43779</v>
      </c>
    </row>
    <row r="10733" spans="1:24">
      <c r="A10733">
        <f>HYPERLINK("https://www.philgeps.gov.ph/GEPSNONPILOT/Tender/SplashBidNoticeAbstractUI.aspx?menuIndex=3&amp;refID=7020470&amp;Result=3","7020470")</f>
        <v>0</v>
      </c>
      <c r="B10733" t="s">
        <v>2664</v>
      </c>
      <c r="C10733" t="s">
        <v>12976</v>
      </c>
      <c r="D10733" t="s">
        <v>13061</v>
      </c>
      <c r="E10733" t="s">
        <v>22425</v>
      </c>
      <c r="F10733" t="s">
        <v>22436</v>
      </c>
      <c r="G10733" t="s">
        <v>22444</v>
      </c>
      <c r="H10733" t="s">
        <v>22454</v>
      </c>
      <c r="I10733" t="s">
        <v>7738</v>
      </c>
      <c r="J10733" t="s">
        <v>29320</v>
      </c>
      <c r="K10733" t="s">
        <v>29335</v>
      </c>
      <c r="M10733" t="s">
        <v>32507</v>
      </c>
      <c r="N10733" t="s">
        <v>32524</v>
      </c>
      <c r="O10733" t="s">
        <v>32525</v>
      </c>
      <c r="P10733">
        <v>0</v>
      </c>
      <c r="Q10733">
        <v>0</v>
      </c>
      <c r="R10733" t="s">
        <v>32540</v>
      </c>
      <c r="S10733" t="s">
        <v>33102</v>
      </c>
      <c r="T10733" t="s">
        <v>33211</v>
      </c>
      <c r="U10733" t="s">
        <v>42410</v>
      </c>
      <c r="W10733" t="s">
        <v>32507</v>
      </c>
      <c r="X10733" t="s">
        <v>43779</v>
      </c>
    </row>
    <row r="10734" spans="1:24">
      <c r="A10734">
        <f>HYPERLINK("https://www.philgeps.gov.ph/GEPSNONPILOT/Tender/SplashBidNoticeAbstractUI.aspx?menuIndex=3&amp;refID=7020546&amp;Result=3","7020546")</f>
        <v>0</v>
      </c>
      <c r="B10734" t="s">
        <v>2674</v>
      </c>
      <c r="C10734" t="s">
        <v>12977</v>
      </c>
      <c r="D10734" t="s">
        <v>13032</v>
      </c>
      <c r="E10734" t="s">
        <v>22426</v>
      </c>
      <c r="F10734" t="s">
        <v>22436</v>
      </c>
      <c r="G10734" t="s">
        <v>22444</v>
      </c>
      <c r="H10734" t="s">
        <v>22452</v>
      </c>
      <c r="I10734" t="s">
        <v>22471</v>
      </c>
      <c r="J10734" t="s">
        <v>29321</v>
      </c>
      <c r="K10734" t="s">
        <v>29335</v>
      </c>
      <c r="M10734" t="s">
        <v>32520</v>
      </c>
      <c r="N10734" t="s">
        <v>32524</v>
      </c>
      <c r="O10734" t="s">
        <v>32525</v>
      </c>
      <c r="P10734">
        <v>0</v>
      </c>
      <c r="Q10734">
        <v>9</v>
      </c>
      <c r="R10734" t="s">
        <v>32540</v>
      </c>
      <c r="S10734" t="s">
        <v>33102</v>
      </c>
      <c r="T10734" t="s">
        <v>33235</v>
      </c>
      <c r="U10734" t="s">
        <v>42411</v>
      </c>
      <c r="W10734" t="s">
        <v>32520</v>
      </c>
      <c r="X10734" t="s">
        <v>43779</v>
      </c>
    </row>
    <row r="10735" spans="1:24">
      <c r="A10735">
        <f>HYPERLINK("https://www.philgeps.gov.ph/GEPSNONPILOT/Tender/SplashBidNoticeAbstractUI.aspx?menuIndex=3&amp;refID=7020538&amp;Result=3","7020538")</f>
        <v>0</v>
      </c>
      <c r="B10735" t="s">
        <v>2664</v>
      </c>
      <c r="C10735" t="s">
        <v>12978</v>
      </c>
      <c r="D10735" t="s">
        <v>13061</v>
      </c>
      <c r="E10735" t="s">
        <v>22427</v>
      </c>
      <c r="F10735" t="s">
        <v>22436</v>
      </c>
      <c r="G10735" t="s">
        <v>22444</v>
      </c>
      <c r="H10735" t="s">
        <v>22454</v>
      </c>
      <c r="I10735" t="s">
        <v>7738</v>
      </c>
      <c r="J10735" t="s">
        <v>29322</v>
      </c>
      <c r="K10735" t="s">
        <v>29363</v>
      </c>
      <c r="M10735" t="s">
        <v>32507</v>
      </c>
      <c r="N10735" t="s">
        <v>32524</v>
      </c>
      <c r="O10735" t="s">
        <v>32525</v>
      </c>
      <c r="P10735">
        <v>0</v>
      </c>
      <c r="Q10735">
        <v>2</v>
      </c>
      <c r="R10735" t="s">
        <v>32540</v>
      </c>
      <c r="S10735" t="s">
        <v>33102</v>
      </c>
      <c r="T10735" t="s">
        <v>33211</v>
      </c>
      <c r="U10735" t="s">
        <v>42412</v>
      </c>
      <c r="W10735" t="s">
        <v>32507</v>
      </c>
      <c r="X10735" t="s">
        <v>43779</v>
      </c>
    </row>
    <row r="10736" spans="1:24">
      <c r="A10736">
        <f>HYPERLINK("https://www.philgeps.gov.ph/GEPSNONPILOT/Tender/SplashBidNoticeAbstractUI.aspx?menuIndex=3&amp;refID=7020455&amp;Result=3","7020455")</f>
        <v>0</v>
      </c>
      <c r="B10736" t="s">
        <v>339</v>
      </c>
      <c r="C10736" t="s">
        <v>12979</v>
      </c>
      <c r="D10736" t="s">
        <v>12990</v>
      </c>
      <c r="E10736" t="s">
        <v>22428</v>
      </c>
      <c r="F10736" t="s">
        <v>22436</v>
      </c>
      <c r="G10736" t="s">
        <v>22444</v>
      </c>
      <c r="H10736" t="s">
        <v>22452</v>
      </c>
      <c r="I10736" t="s">
        <v>7738</v>
      </c>
      <c r="J10736" t="s">
        <v>29323</v>
      </c>
      <c r="K10736" t="s">
        <v>29386</v>
      </c>
      <c r="M10736" t="s">
        <v>31131</v>
      </c>
      <c r="N10736" t="s">
        <v>32524</v>
      </c>
      <c r="O10736" t="s">
        <v>32525</v>
      </c>
      <c r="P10736">
        <v>0</v>
      </c>
      <c r="Q10736">
        <v>1</v>
      </c>
      <c r="R10736" t="s">
        <v>32540</v>
      </c>
      <c r="S10736" t="s">
        <v>33102</v>
      </c>
      <c r="T10736" t="s">
        <v>33173</v>
      </c>
      <c r="U10736" t="s">
        <v>37443</v>
      </c>
      <c r="W10736" t="s">
        <v>31131</v>
      </c>
      <c r="X10736" t="s">
        <v>43779</v>
      </c>
    </row>
    <row r="10737" spans="1:24">
      <c r="A10737">
        <f>HYPERLINK("https://www.philgeps.gov.ph/GEPSNONPILOT/Tender/SplashBidNoticeAbstractUI.aspx?menuIndex=3&amp;refID=6705215&amp;Result=3","6705215")</f>
        <v>0</v>
      </c>
      <c r="B10737" t="s">
        <v>2108</v>
      </c>
      <c r="C10737" t="s">
        <v>12980</v>
      </c>
      <c r="D10737" t="s">
        <v>13045</v>
      </c>
      <c r="E10737" t="s">
        <v>22429</v>
      </c>
      <c r="F10737" t="s">
        <v>22436</v>
      </c>
      <c r="G10737" t="s">
        <v>22444</v>
      </c>
      <c r="H10737" t="s">
        <v>22454</v>
      </c>
      <c r="I10737" t="s">
        <v>7738</v>
      </c>
      <c r="J10737" t="s">
        <v>24103</v>
      </c>
      <c r="K10737" t="s">
        <v>29362</v>
      </c>
      <c r="M10737" t="s">
        <v>31857</v>
      </c>
      <c r="N10737" t="s">
        <v>32524</v>
      </c>
      <c r="O10737" t="s">
        <v>32525</v>
      </c>
      <c r="Q10737">
        <v>2</v>
      </c>
      <c r="R10737" t="s">
        <v>32541</v>
      </c>
      <c r="S10737" t="s">
        <v>33148</v>
      </c>
      <c r="T10737" t="s">
        <v>33190</v>
      </c>
      <c r="U10737" t="s">
        <v>40333</v>
      </c>
      <c r="W10737" t="s">
        <v>31857</v>
      </c>
      <c r="X10737" t="s">
        <v>43807</v>
      </c>
    </row>
    <row r="10738" spans="1:24">
      <c r="A10738">
        <f>HYPERLINK("https://www.philgeps.gov.ph/GEPSNONPILOT/Tender/SplashBidNoticeAbstractUI.aspx?menuIndex=3&amp;refID=7020483&amp;Result=3","7020483")</f>
        <v>0</v>
      </c>
      <c r="B10738" t="s">
        <v>2675</v>
      </c>
      <c r="C10738" t="s">
        <v>12981</v>
      </c>
      <c r="D10738" t="s">
        <v>13012</v>
      </c>
      <c r="E10738" t="s">
        <v>22430</v>
      </c>
      <c r="F10738" t="s">
        <v>22436</v>
      </c>
      <c r="G10738" t="s">
        <v>22444</v>
      </c>
      <c r="H10738" t="s">
        <v>22454</v>
      </c>
      <c r="I10738" t="s">
        <v>7738</v>
      </c>
      <c r="J10738" t="s">
        <v>29324</v>
      </c>
      <c r="K10738" t="s">
        <v>29396</v>
      </c>
      <c r="M10738" t="s">
        <v>32521</v>
      </c>
      <c r="N10738" t="s">
        <v>32524</v>
      </c>
      <c r="O10738" t="s">
        <v>32525</v>
      </c>
      <c r="P10738">
        <v>0</v>
      </c>
      <c r="Q10738">
        <v>1</v>
      </c>
      <c r="R10738" t="s">
        <v>32540</v>
      </c>
      <c r="S10738" t="s">
        <v>33102</v>
      </c>
      <c r="T10738" t="s">
        <v>33547</v>
      </c>
      <c r="U10738" t="s">
        <v>42413</v>
      </c>
      <c r="W10738" t="s">
        <v>32521</v>
      </c>
      <c r="X10738" t="s">
        <v>43779</v>
      </c>
    </row>
    <row r="10739" spans="1:24">
      <c r="A10739">
        <f>HYPERLINK("https://www.philgeps.gov.ph/GEPSNONPILOT/Tender/SplashBidNoticeAbstractUI.aspx?menuIndex=3&amp;refID=6578822&amp;Result=3","6578822")</f>
        <v>0</v>
      </c>
      <c r="B10739" t="s">
        <v>2676</v>
      </c>
      <c r="C10739" t="s">
        <v>12982</v>
      </c>
      <c r="D10739" t="s">
        <v>13009</v>
      </c>
      <c r="E10739" t="s">
        <v>22431</v>
      </c>
      <c r="F10739" t="s">
        <v>22436</v>
      </c>
      <c r="G10739" t="s">
        <v>22444</v>
      </c>
      <c r="H10739" t="s">
        <v>22454</v>
      </c>
      <c r="I10739" t="s">
        <v>7738</v>
      </c>
      <c r="J10739" t="s">
        <v>29325</v>
      </c>
      <c r="K10739" t="s">
        <v>29412</v>
      </c>
      <c r="M10739" t="s">
        <v>29635</v>
      </c>
      <c r="N10739" t="s">
        <v>32524</v>
      </c>
      <c r="O10739" t="s">
        <v>32525</v>
      </c>
      <c r="Q10739">
        <v>13</v>
      </c>
      <c r="R10739" t="s">
        <v>32542</v>
      </c>
      <c r="S10739" t="s">
        <v>32845</v>
      </c>
      <c r="T10739" t="s">
        <v>33220</v>
      </c>
      <c r="U10739" t="s">
        <v>42414</v>
      </c>
      <c r="W10739" t="s">
        <v>29635</v>
      </c>
      <c r="X10739" t="s">
        <v>43808</v>
      </c>
    </row>
    <row r="10740" spans="1:24">
      <c r="A10740">
        <f>HYPERLINK("https://www.philgeps.gov.ph/GEPSNONPILOT/Tender/SplashBidNoticeAbstractUI.aspx?menuIndex=3&amp;refID=6598060&amp;Result=3","6598060")</f>
        <v>0</v>
      </c>
      <c r="B10740" t="s">
        <v>2261</v>
      </c>
      <c r="C10740" t="s">
        <v>12983</v>
      </c>
      <c r="D10740" t="s">
        <v>13050</v>
      </c>
      <c r="E10740" t="s">
        <v>22432</v>
      </c>
      <c r="F10740" t="s">
        <v>22436</v>
      </c>
      <c r="G10740" t="s">
        <v>22444</v>
      </c>
      <c r="H10740" t="s">
        <v>22454</v>
      </c>
      <c r="I10740" t="s">
        <v>7738</v>
      </c>
      <c r="J10740" t="s">
        <v>29326</v>
      </c>
      <c r="K10740" t="s">
        <v>29345</v>
      </c>
      <c r="M10740" t="s">
        <v>32030</v>
      </c>
      <c r="N10740" t="s">
        <v>32524</v>
      </c>
      <c r="O10740" t="s">
        <v>32525</v>
      </c>
      <c r="Q10740">
        <v>36</v>
      </c>
      <c r="R10740" t="s">
        <v>32543</v>
      </c>
      <c r="S10740" t="s">
        <v>33149</v>
      </c>
      <c r="T10740" t="s">
        <v>33220</v>
      </c>
      <c r="U10740" t="s">
        <v>42415</v>
      </c>
      <c r="W10740" t="s">
        <v>43748</v>
      </c>
      <c r="X10740" t="s">
        <v>43809</v>
      </c>
    </row>
    <row r="10741" spans="1:24">
      <c r="A10741">
        <f>HYPERLINK("https://www.philgeps.gov.ph/GEPSNONPILOT/Tender/SplashBidNoticeAbstractUI.aspx?menuIndex=3&amp;refID=6005560&amp;Result=3","6005560")</f>
        <v>0</v>
      </c>
      <c r="B10741" t="s">
        <v>1867</v>
      </c>
      <c r="C10741" t="s">
        <v>12984</v>
      </c>
      <c r="F10741" t="s">
        <v>22436</v>
      </c>
      <c r="G10741" t="s">
        <v>22444</v>
      </c>
      <c r="H10741" t="s">
        <v>22452</v>
      </c>
      <c r="I10741" t="s">
        <v>7738</v>
      </c>
      <c r="J10741" t="s">
        <v>27160</v>
      </c>
      <c r="K10741" t="s">
        <v>29338</v>
      </c>
      <c r="M10741" t="s">
        <v>31585</v>
      </c>
      <c r="N10741" t="s">
        <v>32524</v>
      </c>
      <c r="O10741" t="s">
        <v>32525</v>
      </c>
      <c r="Q10741">
        <v>0</v>
      </c>
      <c r="R10741" t="s">
        <v>32544</v>
      </c>
      <c r="S10741" t="s">
        <v>33150</v>
      </c>
      <c r="T10741" t="s">
        <v>33245</v>
      </c>
      <c r="U10741" t="s">
        <v>42416</v>
      </c>
      <c r="W10741" t="s">
        <v>31585</v>
      </c>
      <c r="X10741" t="s">
        <v>43810</v>
      </c>
    </row>
    <row r="10742" spans="1:24">
      <c r="A10742">
        <f>HYPERLINK("https://www.philgeps.gov.ph/GEPSNONPILOT/Tender/SplashBidNoticeAbstractUI.aspx?menuIndex=3&amp;refID=6579431&amp;Result=3","6579431")</f>
        <v>0</v>
      </c>
      <c r="B10742" t="s">
        <v>2676</v>
      </c>
      <c r="C10742" t="s">
        <v>12985</v>
      </c>
      <c r="D10742" t="s">
        <v>13046</v>
      </c>
      <c r="E10742" t="s">
        <v>22433</v>
      </c>
      <c r="F10742" t="s">
        <v>22436</v>
      </c>
      <c r="G10742" t="s">
        <v>22444</v>
      </c>
      <c r="H10742" t="s">
        <v>22454</v>
      </c>
      <c r="I10742" t="s">
        <v>7738</v>
      </c>
      <c r="J10742" t="s">
        <v>29327</v>
      </c>
      <c r="K10742" t="s">
        <v>29593</v>
      </c>
      <c r="M10742" t="s">
        <v>29635</v>
      </c>
      <c r="N10742" t="s">
        <v>32524</v>
      </c>
      <c r="O10742" t="s">
        <v>32525</v>
      </c>
      <c r="Q10742">
        <v>9</v>
      </c>
      <c r="R10742" t="s">
        <v>32542</v>
      </c>
      <c r="S10742" t="s">
        <v>32851</v>
      </c>
      <c r="T10742" t="s">
        <v>33220</v>
      </c>
      <c r="U10742" t="s">
        <v>42417</v>
      </c>
      <c r="W10742" t="s">
        <v>29635</v>
      </c>
      <c r="X10742" t="s">
        <v>43808</v>
      </c>
    </row>
    <row r="10743" spans="1:24">
      <c r="A10743">
        <f>HYPERLINK("https://www.philgeps.gov.ph/GEPSNONPILOT/Tender/SplashBidNoticeAbstractUI.aspx?menuIndex=3&amp;refID=6620808&amp;Result=3","6620808")</f>
        <v>0</v>
      </c>
      <c r="B10743" t="s">
        <v>2677</v>
      </c>
      <c r="C10743" t="s">
        <v>12986</v>
      </c>
      <c r="D10743" t="s">
        <v>13015</v>
      </c>
      <c r="E10743" t="s">
        <v>22434</v>
      </c>
      <c r="F10743" t="s">
        <v>22436</v>
      </c>
      <c r="G10743" t="s">
        <v>22444</v>
      </c>
      <c r="H10743" t="s">
        <v>22454</v>
      </c>
      <c r="I10743" t="s">
        <v>7738</v>
      </c>
      <c r="J10743" t="s">
        <v>29328</v>
      </c>
      <c r="K10743" t="s">
        <v>29338</v>
      </c>
      <c r="M10743" t="s">
        <v>32522</v>
      </c>
      <c r="N10743" t="s">
        <v>32524</v>
      </c>
      <c r="O10743" t="s">
        <v>32525</v>
      </c>
      <c r="Q10743">
        <v>5</v>
      </c>
      <c r="R10743" t="s">
        <v>32545</v>
      </c>
      <c r="S10743" t="s">
        <v>33151</v>
      </c>
      <c r="T10743" t="s">
        <v>33301</v>
      </c>
      <c r="U10743" t="s">
        <v>42418</v>
      </c>
      <c r="V10743" t="s">
        <v>43665</v>
      </c>
      <c r="W10743" t="s">
        <v>32522</v>
      </c>
      <c r="X10743" t="s">
        <v>43811</v>
      </c>
    </row>
    <row r="10744" spans="1:24">
      <c r="A10744">
        <f>HYPERLINK("https://www.philgeps.gov.ph/GEPSNONPILOT/Tender/SplashBidNoticeAbstractUI.aspx?menuIndex=3&amp;refID=6563963&amp;Result=3","6563963")</f>
        <v>0</v>
      </c>
      <c r="B10744" t="s">
        <v>2678</v>
      </c>
      <c r="C10744" t="s">
        <v>12987</v>
      </c>
      <c r="D10744" t="s">
        <v>13031</v>
      </c>
      <c r="E10744" t="s">
        <v>22435</v>
      </c>
      <c r="F10744" t="s">
        <v>22436</v>
      </c>
      <c r="G10744" t="s">
        <v>22444</v>
      </c>
      <c r="H10744" t="s">
        <v>22454</v>
      </c>
      <c r="I10744" t="s">
        <v>7738</v>
      </c>
      <c r="J10744" t="s">
        <v>23627</v>
      </c>
      <c r="K10744" t="s">
        <v>29329</v>
      </c>
      <c r="M10744" t="s">
        <v>32523</v>
      </c>
      <c r="N10744" t="s">
        <v>32524</v>
      </c>
      <c r="O10744" t="s">
        <v>32525</v>
      </c>
      <c r="Q10744">
        <v>0</v>
      </c>
      <c r="R10744" t="s">
        <v>32546</v>
      </c>
      <c r="S10744" t="s">
        <v>33152</v>
      </c>
      <c r="T10744" t="s">
        <v>33323</v>
      </c>
      <c r="U10744" t="s">
        <v>42419</v>
      </c>
      <c r="W10744" t="s">
        <v>32523</v>
      </c>
      <c r="X10744" t="s">
        <v>43812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2020-06-16T19:12:17Z</dcterms:created>
  <dcterms:modified xsi:type="dcterms:W3CDTF">2020-06-16T19:12:17Z</dcterms:modified>
</cp:coreProperties>
</file>